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Reynan\Downloads\"/>
    </mc:Choice>
  </mc:AlternateContent>
  <xr:revisionPtr revIDLastSave="0" documentId="13_ncr:1_{7C34FD03-EC10-4E30-B599-ADADDA92A6C1}" xr6:coauthVersionLast="46" xr6:coauthVersionMax="46" xr10:uidLastSave="{00000000-0000-0000-0000-000000000000}"/>
  <bookViews>
    <workbookView xWindow="-108" yWindow="-108" windowWidth="23256" windowHeight="12576" tabRatio="850" xr2:uid="{00000000-000D-0000-FFFF-FFFF00000000}"/>
  </bookViews>
  <sheets>
    <sheet name="Import Transactions (2)" sheetId="47" r:id="rId1"/>
    <sheet name="Import Process ORS (2)" sheetId="48" r:id="rId2"/>
    <sheet name="Import DV AUCS" sheetId="43" r:id="rId3"/>
    <sheet name="TRA Table" sheetId="44" r:id="rId4"/>
    <sheet name=" Import Record Allotments" sheetId="32" r:id="rId5"/>
    <sheet name="Import Transactions" sheetId="34" r:id="rId6"/>
    <sheet name="Import Process ORS" sheetId="36" r:id="rId7"/>
    <sheet name="Taxes Withheld" sheetId="45" r:id="rId8"/>
    <sheet name="Sheet3" sheetId="46" r:id="rId9"/>
    <sheet name="DV List for import" sheetId="42" r:id="rId10"/>
    <sheet name="Fund Utilization Report" sheetId="26" r:id="rId11"/>
    <sheet name="Format for Import of DV" sheetId="39" r:id="rId12"/>
    <sheet name="Recon of ORS and DV" sheetId="40" r:id="rId13"/>
    <sheet name="DV List" sheetId="41" r:id="rId14"/>
    <sheet name="Revised RAO" sheetId="27" r:id="rId15"/>
    <sheet name="Transactions for Import (2)" sheetId="38" r:id="rId16"/>
    <sheet name="Payor,Payee" sheetId="35" r:id="rId17"/>
    <sheet name="Sheet6" sheetId="37" r:id="rId18"/>
    <sheet name="Sheet2" sheetId="33" r:id="rId19"/>
    <sheet name="Pivot (2)" sheetId="30" r:id="rId20"/>
    <sheet name="Pivot" sheetId="29" r:id="rId21"/>
    <sheet name="Summary" sheetId="31" r:id="rId22"/>
    <sheet name="Dropdown List" sheetId="28" r:id="rId23"/>
    <sheet name="Chart of accounts" sheetId="7" r:id="rId24"/>
    <sheet name="RAO" sheetId="1" r:id="rId25"/>
    <sheet name="PS 101" sheetId="2" r:id="rId26"/>
    <sheet name="PS CARP" sheetId="8" r:id="rId27"/>
    <sheet name="CARP MOOE" sheetId="3" r:id="rId28"/>
    <sheet name="MOOE OTHERS" sheetId="4" r:id="rId29"/>
    <sheet name="OTOP" sheetId="9" r:id="rId30"/>
    <sheet name="NC" sheetId="14" r:id="rId31"/>
    <sheet name="SSF" sheetId="15" r:id="rId32"/>
    <sheet name="SSF CO" sheetId="25" r:id="rId33"/>
    <sheet name="LSP NSB" sheetId="16" r:id="rId34"/>
    <sheet name="RAPID LP" sheetId="17" r:id="rId35"/>
    <sheet name="RAPID GOP" sheetId="18" r:id="rId36"/>
    <sheet name="INTERNET SAA" sheetId="19" r:id="rId37"/>
    <sheet name="RCC" sheetId="20" r:id="rId38"/>
    <sheet name="PPG" sheetId="21" r:id="rId39"/>
  </sheets>
  <externalReferences>
    <externalReference r:id="rId40"/>
    <externalReference r:id="rId41"/>
    <externalReference r:id="rId42"/>
    <externalReference r:id="rId43"/>
  </externalReferences>
  <definedNames>
    <definedName name="_xlnm._FilterDatabase" localSheetId="13" hidden="1">'DV List'!$A$3:$J$607</definedName>
    <definedName name="_xlnm._FilterDatabase" localSheetId="9" hidden="1">'DV List for import'!$A$3:$R$607</definedName>
    <definedName name="_xlnm._FilterDatabase" localSheetId="11" hidden="1">'Format for Import of DV'!$B$2:$S$1556</definedName>
    <definedName name="_xlnm._FilterDatabase" localSheetId="10" hidden="1">'Fund Utilization Report'!$A$3:$P$56</definedName>
    <definedName name="_xlnm._FilterDatabase" localSheetId="2" hidden="1">'Import DV AUCS'!$A$2:$O$606</definedName>
    <definedName name="_xlnm._FilterDatabase" localSheetId="6" hidden="1">'Import Process ORS'!$A$3:$L$1602</definedName>
    <definedName name="_xlnm._FilterDatabase" localSheetId="1" hidden="1">'Import Process ORS (2)'!$A$3:$L$301</definedName>
    <definedName name="_xlnm._FilterDatabase" localSheetId="5" hidden="1">'Import Transactions'!$A$2:$G$357</definedName>
    <definedName name="_xlnm._FilterDatabase" localSheetId="0" hidden="1">'Import Transactions (2)'!$A$2:$G$345</definedName>
    <definedName name="_xlnm._FilterDatabase" localSheetId="16" hidden="1">'Payor,Payee'!$A$2:$J$149</definedName>
    <definedName name="_xlnm._FilterDatabase" localSheetId="12" hidden="1">'Recon of ORS and DV'!$A$3:$E$358</definedName>
    <definedName name="_xlnm._FilterDatabase" localSheetId="18" hidden="1">Sheet2!$A$2:$D$379</definedName>
    <definedName name="_xlnm._FilterDatabase" localSheetId="8" hidden="1">Sheet3!$A$2:$K$169</definedName>
    <definedName name="_xlnm._FilterDatabase" localSheetId="17" hidden="1">Sheet6!$C$1:$E$1</definedName>
    <definedName name="_xlnm._FilterDatabase" localSheetId="7" hidden="1">'Taxes Withheld'!$A$2:$L$169</definedName>
    <definedName name="_xlnm._FilterDatabase" localSheetId="3" hidden="1">'TRA Table'!$A$2:$I$302</definedName>
    <definedName name="_xlnm._FilterDatabase" localSheetId="15" hidden="1">'Transactions for Import (2)'!$A$2:$F$357</definedName>
    <definedName name="_xlnm.Print_Area" localSheetId="8">Sheet3!$A$1:$K$165</definedName>
  </definedNames>
  <calcPr calcId="191029"/>
  <pivotCaches>
    <pivotCache cacheId="0" r:id="rId44"/>
  </pivotCaches>
</workbook>
</file>

<file path=xl/calcChain.xml><?xml version="1.0" encoding="utf-8"?>
<calcChain xmlns="http://schemas.openxmlformats.org/spreadsheetml/2006/main">
  <c r="L31" i="47" l="1"/>
  <c r="CD24" i="21"/>
  <c r="BC24" i="21"/>
  <c r="DZ23" i="21"/>
  <c r="DY23" i="21"/>
  <c r="DX23" i="21"/>
  <c r="DW23" i="21"/>
  <c r="DV23" i="21"/>
  <c r="DU23" i="21"/>
  <c r="DT23" i="21"/>
  <c r="DS23" i="21"/>
  <c r="DR23" i="21"/>
  <c r="DQ23" i="21"/>
  <c r="DP23" i="21"/>
  <c r="DO23" i="21"/>
  <c r="DN23" i="21"/>
  <c r="DM23" i="21"/>
  <c r="DL23" i="21"/>
  <c r="DK23" i="21"/>
  <c r="DJ23" i="21"/>
  <c r="DI23" i="21"/>
  <c r="DH23" i="21"/>
  <c r="DG23" i="21"/>
  <c r="DF23" i="21"/>
  <c r="DE23" i="21"/>
  <c r="DD23" i="21"/>
  <c r="DC23" i="21"/>
  <c r="DB23" i="21"/>
  <c r="DA23" i="21"/>
  <c r="CZ23" i="21"/>
  <c r="CY23" i="21"/>
  <c r="CX23" i="21"/>
  <c r="CW23" i="21"/>
  <c r="CV23" i="21"/>
  <c r="CU23" i="21"/>
  <c r="CT23" i="21"/>
  <c r="CS23" i="21"/>
  <c r="CR23" i="21"/>
  <c r="CQ23" i="21"/>
  <c r="CP23" i="21"/>
  <c r="CO23" i="21"/>
  <c r="CN23" i="21"/>
  <c r="CM23" i="21"/>
  <c r="CL23" i="21"/>
  <c r="CK23" i="21"/>
  <c r="CJ23" i="21"/>
  <c r="CI23" i="21"/>
  <c r="CH23" i="21"/>
  <c r="CG23" i="21"/>
  <c r="CF23" i="21"/>
  <c r="CE23" i="21"/>
  <c r="CD23" i="21"/>
  <c r="CC23" i="21"/>
  <c r="CB23" i="21"/>
  <c r="CA23" i="21"/>
  <c r="BZ23" i="21"/>
  <c r="BY23" i="21"/>
  <c r="BX23" i="21"/>
  <c r="BW23" i="21"/>
  <c r="BV23" i="21"/>
  <c r="BU23" i="21"/>
  <c r="BT23" i="21"/>
  <c r="BS23" i="21"/>
  <c r="BR23" i="21"/>
  <c r="BQ23" i="21"/>
  <c r="BP23" i="21"/>
  <c r="BO23" i="21"/>
  <c r="BN23" i="21"/>
  <c r="BM23" i="21"/>
  <c r="BL23" i="21"/>
  <c r="BK23" i="21"/>
  <c r="BJ23" i="21"/>
  <c r="BI23" i="21"/>
  <c r="BH23" i="21"/>
  <c r="BG23" i="21"/>
  <c r="BF23" i="21"/>
  <c r="BE23" i="21"/>
  <c r="BD23" i="21"/>
  <c r="BC23" i="21"/>
  <c r="BB23" i="21"/>
  <c r="BA23" i="21"/>
  <c r="AZ23" i="21"/>
  <c r="AY23" i="21"/>
  <c r="AX23" i="21"/>
  <c r="AW23" i="21"/>
  <c r="AV23" i="21"/>
  <c r="AU23" i="21"/>
  <c r="AT23" i="21"/>
  <c r="AS23" i="21"/>
  <c r="AR23" i="21"/>
  <c r="AQ23" i="21"/>
  <c r="AP23" i="21"/>
  <c r="AO23" i="21"/>
  <c r="AN23" i="21"/>
  <c r="AM23" i="21"/>
  <c r="AL23" i="21"/>
  <c r="AK23" i="21"/>
  <c r="AJ23" i="21"/>
  <c r="AI23" i="21"/>
  <c r="AH23" i="21"/>
  <c r="AG23" i="21"/>
  <c r="AF23" i="21"/>
  <c r="AE23" i="21"/>
  <c r="AD23" i="21"/>
  <c r="AC23" i="21"/>
  <c r="AB23" i="21"/>
  <c r="AA23" i="21"/>
  <c r="Z23" i="21"/>
  <c r="Y23" i="21"/>
  <c r="X23" i="21"/>
  <c r="W23" i="21"/>
  <c r="V23" i="21"/>
  <c r="T23" i="21"/>
  <c r="CD24" i="20"/>
  <c r="BC24" i="20"/>
  <c r="DZ23" i="20"/>
  <c r="DY23" i="20"/>
  <c r="DX23" i="20"/>
  <c r="DW23" i="20"/>
  <c r="DV23" i="20"/>
  <c r="DU23" i="20"/>
  <c r="DT23" i="20"/>
  <c r="DS23" i="20"/>
  <c r="DR23" i="20"/>
  <c r="DQ23" i="20"/>
  <c r="DP23" i="20"/>
  <c r="DO23" i="20"/>
  <c r="DN23" i="20"/>
  <c r="DM23" i="20"/>
  <c r="DL23" i="20"/>
  <c r="DK23" i="20"/>
  <c r="DJ23" i="20"/>
  <c r="DI23" i="20"/>
  <c r="DH23" i="20"/>
  <c r="DG23" i="20"/>
  <c r="DF23" i="20"/>
  <c r="DE23" i="20"/>
  <c r="DD23" i="20"/>
  <c r="DC23" i="20"/>
  <c r="DB23" i="20"/>
  <c r="DA23" i="20"/>
  <c r="CZ23" i="20"/>
  <c r="CY23" i="20"/>
  <c r="CX23" i="20"/>
  <c r="CW23" i="20"/>
  <c r="CV23" i="20"/>
  <c r="CU23" i="20"/>
  <c r="CT23" i="20"/>
  <c r="CS23" i="20"/>
  <c r="CR23" i="20"/>
  <c r="CQ23" i="20"/>
  <c r="CP23" i="20"/>
  <c r="CO23" i="20"/>
  <c r="CN23" i="20"/>
  <c r="CM23" i="20"/>
  <c r="CL23" i="20"/>
  <c r="CK23" i="20"/>
  <c r="CJ23" i="20"/>
  <c r="CI23" i="20"/>
  <c r="CH23" i="20"/>
  <c r="CG23" i="20"/>
  <c r="CF23" i="20"/>
  <c r="CE23" i="20"/>
  <c r="CD23" i="20"/>
  <c r="CC23" i="20"/>
  <c r="CB23" i="20"/>
  <c r="CA23" i="20"/>
  <c r="BZ23" i="20"/>
  <c r="BY23" i="20"/>
  <c r="BX23" i="20"/>
  <c r="BW23" i="20"/>
  <c r="BV23" i="20"/>
  <c r="BU23" i="20"/>
  <c r="BT23" i="20"/>
  <c r="BS23" i="20"/>
  <c r="BR23" i="20"/>
  <c r="BQ23" i="20"/>
  <c r="BP23" i="20"/>
  <c r="BO23" i="20"/>
  <c r="BN23" i="20"/>
  <c r="BM23" i="20"/>
  <c r="BL23" i="20"/>
  <c r="BK23" i="20"/>
  <c r="BJ23" i="20"/>
  <c r="BI23" i="20"/>
  <c r="BH23" i="20"/>
  <c r="BG23" i="20"/>
  <c r="BF23" i="20"/>
  <c r="BE23" i="20"/>
  <c r="BD23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T23" i="20"/>
  <c r="CD24" i="19"/>
  <c r="BC24" i="19"/>
  <c r="DZ23" i="19"/>
  <c r="DY23" i="19"/>
  <c r="DX23" i="19"/>
  <c r="DW23" i="19"/>
  <c r="DV23" i="19"/>
  <c r="DU23" i="19"/>
  <c r="DT23" i="19"/>
  <c r="DS23" i="19"/>
  <c r="DR23" i="19"/>
  <c r="DQ23" i="19"/>
  <c r="DP23" i="19"/>
  <c r="DO23" i="19"/>
  <c r="DN23" i="19"/>
  <c r="DM23" i="19"/>
  <c r="DL23" i="19"/>
  <c r="DK23" i="19"/>
  <c r="DJ23" i="19"/>
  <c r="DI23" i="19"/>
  <c r="DH23" i="19"/>
  <c r="DG23" i="19"/>
  <c r="DF23" i="19"/>
  <c r="DE23" i="19"/>
  <c r="DD23" i="19"/>
  <c r="DC23" i="19"/>
  <c r="DB23" i="19"/>
  <c r="DA23" i="19"/>
  <c r="CZ23" i="19"/>
  <c r="CY23" i="19"/>
  <c r="CX23" i="19"/>
  <c r="CW23" i="19"/>
  <c r="CV23" i="19"/>
  <c r="CU23" i="19"/>
  <c r="CT23" i="19"/>
  <c r="CS23" i="19"/>
  <c r="CR23" i="19"/>
  <c r="CQ23" i="19"/>
  <c r="CP23" i="19"/>
  <c r="CO23" i="19"/>
  <c r="CN23" i="19"/>
  <c r="CM23" i="19"/>
  <c r="CL23" i="19"/>
  <c r="CK23" i="19"/>
  <c r="CJ23" i="19"/>
  <c r="CI23" i="19"/>
  <c r="CH23" i="19"/>
  <c r="CG23" i="19"/>
  <c r="CF23" i="19"/>
  <c r="CE23" i="19"/>
  <c r="CD23" i="19"/>
  <c r="CC23" i="19"/>
  <c r="CB23" i="19"/>
  <c r="CA23" i="19"/>
  <c r="BZ23" i="19"/>
  <c r="BY23" i="19"/>
  <c r="BX23" i="19"/>
  <c r="BW23" i="19"/>
  <c r="BV23" i="19"/>
  <c r="BU23" i="19"/>
  <c r="BT23" i="19"/>
  <c r="BS23" i="19"/>
  <c r="BR23" i="19"/>
  <c r="BQ23" i="19"/>
  <c r="BP23" i="19"/>
  <c r="BO23" i="19"/>
  <c r="BN23" i="19"/>
  <c r="BM23" i="19"/>
  <c r="BL23" i="19"/>
  <c r="BK23" i="19"/>
  <c r="BJ23" i="19"/>
  <c r="BI23" i="19"/>
  <c r="BH23" i="19"/>
  <c r="BG23" i="19"/>
  <c r="BF23" i="19"/>
  <c r="BE23" i="19"/>
  <c r="BD23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T23" i="19"/>
  <c r="CD24" i="18"/>
  <c r="BC24" i="18"/>
  <c r="DZ23" i="18"/>
  <c r="DY23" i="18"/>
  <c r="DX23" i="18"/>
  <c r="DW23" i="18"/>
  <c r="DV23" i="18"/>
  <c r="DU23" i="18"/>
  <c r="DT23" i="18"/>
  <c r="DS23" i="18"/>
  <c r="DR23" i="18"/>
  <c r="DQ23" i="18"/>
  <c r="DP23" i="18"/>
  <c r="DO23" i="18"/>
  <c r="DN23" i="18"/>
  <c r="DM23" i="18"/>
  <c r="DL23" i="18"/>
  <c r="DK23" i="18"/>
  <c r="DJ23" i="18"/>
  <c r="DI23" i="18"/>
  <c r="DH23" i="18"/>
  <c r="DG23" i="18"/>
  <c r="DF23" i="18"/>
  <c r="DE23" i="18"/>
  <c r="DD23" i="18"/>
  <c r="DC23" i="18"/>
  <c r="DB23" i="18"/>
  <c r="DA23" i="18"/>
  <c r="CZ23" i="18"/>
  <c r="CY23" i="18"/>
  <c r="CX23" i="18"/>
  <c r="CW23" i="18"/>
  <c r="CV23" i="18"/>
  <c r="CU23" i="18"/>
  <c r="CT23" i="18"/>
  <c r="CS23" i="18"/>
  <c r="CR23" i="18"/>
  <c r="CQ23" i="18"/>
  <c r="CP23" i="18"/>
  <c r="CO23" i="18"/>
  <c r="CN23" i="18"/>
  <c r="CM23" i="18"/>
  <c r="CL23" i="18"/>
  <c r="CK23" i="18"/>
  <c r="CJ23" i="18"/>
  <c r="CI23" i="18"/>
  <c r="CH23" i="18"/>
  <c r="CG23" i="18"/>
  <c r="CF23" i="18"/>
  <c r="CE23" i="18"/>
  <c r="CD23" i="18"/>
  <c r="CC23" i="18"/>
  <c r="CB23" i="18"/>
  <c r="CA23" i="18"/>
  <c r="BZ23" i="18"/>
  <c r="BY23" i="18"/>
  <c r="BX23" i="18"/>
  <c r="BW23" i="18"/>
  <c r="BV23" i="18"/>
  <c r="BU23" i="18"/>
  <c r="BT23" i="18"/>
  <c r="BS23" i="18"/>
  <c r="BR23" i="18"/>
  <c r="BQ23" i="18"/>
  <c r="BP23" i="18"/>
  <c r="BO23" i="18"/>
  <c r="BN23" i="18"/>
  <c r="BM23" i="18"/>
  <c r="BL23" i="18"/>
  <c r="BK23" i="18"/>
  <c r="BJ23" i="18"/>
  <c r="BI23" i="18"/>
  <c r="BH23" i="18"/>
  <c r="BG23" i="18"/>
  <c r="BF23" i="18"/>
  <c r="BE23" i="18"/>
  <c r="BD23" i="18"/>
  <c r="BC23" i="18"/>
  <c r="BB23" i="18"/>
  <c r="BA23" i="18"/>
  <c r="AZ23" i="18"/>
  <c r="AY23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B23" i="18"/>
  <c r="AA23" i="18"/>
  <c r="Z23" i="18"/>
  <c r="Y23" i="18"/>
  <c r="X23" i="18"/>
  <c r="W23" i="18"/>
  <c r="V23" i="18"/>
  <c r="T23" i="18"/>
  <c r="CD24" i="17"/>
  <c r="BC24" i="17"/>
  <c r="DZ23" i="17"/>
  <c r="DY23" i="17"/>
  <c r="DX23" i="17"/>
  <c r="DW23" i="17"/>
  <c r="DV23" i="17"/>
  <c r="DU23" i="17"/>
  <c r="DT23" i="17"/>
  <c r="DS23" i="17"/>
  <c r="DR23" i="17"/>
  <c r="DQ23" i="17"/>
  <c r="DP23" i="17"/>
  <c r="DO23" i="17"/>
  <c r="DN23" i="17"/>
  <c r="DM23" i="17"/>
  <c r="DL23" i="17"/>
  <c r="DK23" i="17"/>
  <c r="DJ23" i="17"/>
  <c r="DI23" i="17"/>
  <c r="DH23" i="17"/>
  <c r="DG23" i="17"/>
  <c r="DF23" i="17"/>
  <c r="DE23" i="17"/>
  <c r="DD23" i="17"/>
  <c r="DC23" i="17"/>
  <c r="DB23" i="17"/>
  <c r="DA23" i="17"/>
  <c r="CZ23" i="17"/>
  <c r="CY23" i="17"/>
  <c r="CX23" i="17"/>
  <c r="CW23" i="17"/>
  <c r="CV23" i="17"/>
  <c r="CU23" i="17"/>
  <c r="CT23" i="17"/>
  <c r="CS23" i="17"/>
  <c r="CR23" i="17"/>
  <c r="CQ23" i="17"/>
  <c r="CP23" i="17"/>
  <c r="CO23" i="17"/>
  <c r="CN23" i="17"/>
  <c r="CM23" i="17"/>
  <c r="CL23" i="17"/>
  <c r="CK23" i="17"/>
  <c r="CJ23" i="17"/>
  <c r="CI23" i="17"/>
  <c r="CH23" i="17"/>
  <c r="CG23" i="17"/>
  <c r="CF23" i="17"/>
  <c r="CE23" i="17"/>
  <c r="CD23" i="17"/>
  <c r="CC23" i="17"/>
  <c r="CB23" i="17"/>
  <c r="CA23" i="17"/>
  <c r="BZ23" i="17"/>
  <c r="BY23" i="17"/>
  <c r="BX23" i="17"/>
  <c r="BW23" i="17"/>
  <c r="BV23" i="17"/>
  <c r="BU23" i="17"/>
  <c r="BT23" i="17"/>
  <c r="BS23" i="17"/>
  <c r="BR23" i="17"/>
  <c r="BQ23" i="17"/>
  <c r="BP23" i="17"/>
  <c r="BO23" i="17"/>
  <c r="BN23" i="17"/>
  <c r="BM23" i="17"/>
  <c r="BL23" i="17"/>
  <c r="BK23" i="17"/>
  <c r="BJ23" i="17"/>
  <c r="BI23" i="17"/>
  <c r="BH23" i="17"/>
  <c r="BG23" i="17"/>
  <c r="BF23" i="17"/>
  <c r="BE23" i="17"/>
  <c r="BD23" i="17"/>
  <c r="BC23" i="17"/>
  <c r="BB23" i="17"/>
  <c r="BA23" i="17"/>
  <c r="AZ23" i="17"/>
  <c r="AY23" i="17"/>
  <c r="AX23" i="17"/>
  <c r="AW23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T23" i="17"/>
  <c r="CD24" i="16"/>
  <c r="BC24" i="16"/>
  <c r="DZ23" i="16"/>
  <c r="DY23" i="16"/>
  <c r="DX23" i="16"/>
  <c r="DW23" i="16"/>
  <c r="DV23" i="16"/>
  <c r="DU23" i="16"/>
  <c r="DT23" i="16"/>
  <c r="DS23" i="16"/>
  <c r="DR23" i="16"/>
  <c r="DQ23" i="16"/>
  <c r="DP23" i="16"/>
  <c r="DO23" i="16"/>
  <c r="DN23" i="16"/>
  <c r="DM23" i="16"/>
  <c r="DL23" i="16"/>
  <c r="DK23" i="16"/>
  <c r="DJ23" i="16"/>
  <c r="DI23" i="16"/>
  <c r="DH23" i="16"/>
  <c r="DG23" i="16"/>
  <c r="DF23" i="16"/>
  <c r="DE23" i="16"/>
  <c r="DD23" i="16"/>
  <c r="DC23" i="16"/>
  <c r="DB23" i="16"/>
  <c r="DA23" i="16"/>
  <c r="CZ23" i="16"/>
  <c r="CY23" i="16"/>
  <c r="CX23" i="16"/>
  <c r="CW23" i="16"/>
  <c r="CV23" i="16"/>
  <c r="CU23" i="16"/>
  <c r="CT23" i="16"/>
  <c r="CS23" i="16"/>
  <c r="CR23" i="16"/>
  <c r="CQ23" i="16"/>
  <c r="CP23" i="16"/>
  <c r="CO23" i="16"/>
  <c r="CN23" i="16"/>
  <c r="CM23" i="16"/>
  <c r="CL23" i="16"/>
  <c r="CK23" i="16"/>
  <c r="CJ23" i="16"/>
  <c r="CI23" i="16"/>
  <c r="CH23" i="16"/>
  <c r="CG23" i="16"/>
  <c r="CF23" i="16"/>
  <c r="CE23" i="16"/>
  <c r="CD23" i="16"/>
  <c r="CC23" i="16"/>
  <c r="CB23" i="16"/>
  <c r="CA23" i="16"/>
  <c r="BZ23" i="16"/>
  <c r="BY23" i="16"/>
  <c r="BX23" i="16"/>
  <c r="BW23" i="16"/>
  <c r="BV23" i="16"/>
  <c r="BU23" i="16"/>
  <c r="BT23" i="16"/>
  <c r="BS23" i="16"/>
  <c r="BR23" i="16"/>
  <c r="BQ23" i="16"/>
  <c r="BP23" i="16"/>
  <c r="BO23" i="16"/>
  <c r="BN23" i="16"/>
  <c r="BM23" i="16"/>
  <c r="BL23" i="16"/>
  <c r="BK23" i="16"/>
  <c r="BJ23" i="16"/>
  <c r="BI23" i="16"/>
  <c r="BH23" i="16"/>
  <c r="BG23" i="16"/>
  <c r="BF23" i="16"/>
  <c r="BE23" i="16"/>
  <c r="BD23" i="16"/>
  <c r="BC23" i="16"/>
  <c r="BB23" i="16"/>
  <c r="BA23" i="16"/>
  <c r="AZ23" i="16"/>
  <c r="AY23" i="16"/>
  <c r="AX23" i="16"/>
  <c r="AW23" i="16"/>
  <c r="AV23" i="16"/>
  <c r="AU23" i="16"/>
  <c r="AT23" i="16"/>
  <c r="AS23" i="16"/>
  <c r="AR23" i="16"/>
  <c r="AQ23" i="16"/>
  <c r="AP23" i="16"/>
  <c r="AO23" i="16"/>
  <c r="AN23" i="16"/>
  <c r="AM23" i="16"/>
  <c r="AL23" i="16"/>
  <c r="AK23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W23" i="16"/>
  <c r="V23" i="16"/>
  <c r="T23" i="16"/>
  <c r="W5" i="16"/>
  <c r="I5" i="16"/>
  <c r="CD24" i="25"/>
  <c r="BC24" i="25"/>
  <c r="DZ23" i="25"/>
  <c r="DY23" i="25"/>
  <c r="DX23" i="25"/>
  <c r="DW23" i="25"/>
  <c r="DV23" i="25"/>
  <c r="DU23" i="25"/>
  <c r="DT23" i="25"/>
  <c r="DS23" i="25"/>
  <c r="DR23" i="25"/>
  <c r="DQ23" i="25"/>
  <c r="DP23" i="25"/>
  <c r="DO23" i="25"/>
  <c r="DN23" i="25"/>
  <c r="DM23" i="25"/>
  <c r="DL23" i="25"/>
  <c r="DK23" i="25"/>
  <c r="DJ23" i="25"/>
  <c r="DI23" i="25"/>
  <c r="DH23" i="25"/>
  <c r="DG23" i="25"/>
  <c r="DF23" i="25"/>
  <c r="DE23" i="25"/>
  <c r="DD23" i="25"/>
  <c r="DC23" i="25"/>
  <c r="DB23" i="25"/>
  <c r="DA23" i="25"/>
  <c r="CZ23" i="25"/>
  <c r="CY23" i="25"/>
  <c r="CX23" i="25"/>
  <c r="CW23" i="25"/>
  <c r="CV23" i="25"/>
  <c r="CU23" i="25"/>
  <c r="CT23" i="25"/>
  <c r="CS23" i="25"/>
  <c r="CR23" i="25"/>
  <c r="CQ23" i="25"/>
  <c r="CP23" i="25"/>
  <c r="CO23" i="25"/>
  <c r="CN23" i="25"/>
  <c r="CM23" i="25"/>
  <c r="CL23" i="25"/>
  <c r="CK23" i="25"/>
  <c r="CJ23" i="25"/>
  <c r="CI23" i="25"/>
  <c r="CH23" i="25"/>
  <c r="CG23" i="25"/>
  <c r="CF23" i="25"/>
  <c r="CE23" i="25"/>
  <c r="CD23" i="25"/>
  <c r="CC23" i="25"/>
  <c r="CB23" i="25"/>
  <c r="CA23" i="25"/>
  <c r="BZ23" i="25"/>
  <c r="BY23" i="25"/>
  <c r="BX23" i="25"/>
  <c r="BW23" i="25"/>
  <c r="BV23" i="25"/>
  <c r="BU23" i="25"/>
  <c r="BT23" i="25"/>
  <c r="BS23" i="25"/>
  <c r="BR23" i="25"/>
  <c r="BQ23" i="25"/>
  <c r="BP23" i="25"/>
  <c r="BO23" i="25"/>
  <c r="BN23" i="25"/>
  <c r="BM23" i="25"/>
  <c r="BL23" i="25"/>
  <c r="BK23" i="25"/>
  <c r="BJ23" i="25"/>
  <c r="BI23" i="25"/>
  <c r="BH23" i="25"/>
  <c r="BG23" i="25"/>
  <c r="BF23" i="25"/>
  <c r="BE23" i="25"/>
  <c r="BD23" i="25"/>
  <c r="BC23" i="25"/>
  <c r="BB23" i="25"/>
  <c r="BA23" i="25"/>
  <c r="AZ23" i="25"/>
  <c r="AY23" i="25"/>
  <c r="AX23" i="25"/>
  <c r="AW23" i="25"/>
  <c r="AV23" i="25"/>
  <c r="AU23" i="25"/>
  <c r="AT23" i="25"/>
  <c r="AS23" i="25"/>
  <c r="AR23" i="25"/>
  <c r="AQ23" i="25"/>
  <c r="AP23" i="25"/>
  <c r="AO23" i="25"/>
  <c r="AN23" i="25"/>
  <c r="AM23" i="25"/>
  <c r="AL23" i="25"/>
  <c r="AK23" i="25"/>
  <c r="AJ23" i="25"/>
  <c r="AI23" i="25"/>
  <c r="AH23" i="25"/>
  <c r="AG23" i="25"/>
  <c r="AF23" i="25"/>
  <c r="AE23" i="25"/>
  <c r="AD23" i="25"/>
  <c r="AC23" i="25"/>
  <c r="AB23" i="25"/>
  <c r="AA23" i="25"/>
  <c r="Z23" i="25"/>
  <c r="Y23" i="25"/>
  <c r="X23" i="25"/>
  <c r="W23" i="25"/>
  <c r="V23" i="25"/>
  <c r="T23" i="25"/>
  <c r="W5" i="25"/>
  <c r="I5" i="25"/>
  <c r="CD24" i="15"/>
  <c r="BC24" i="15"/>
  <c r="DZ23" i="15"/>
  <c r="DY23" i="15"/>
  <c r="DX23" i="15"/>
  <c r="DW23" i="15"/>
  <c r="DV23" i="15"/>
  <c r="DU23" i="15"/>
  <c r="DT23" i="15"/>
  <c r="DS23" i="15"/>
  <c r="DR23" i="15"/>
  <c r="DQ23" i="15"/>
  <c r="DP23" i="15"/>
  <c r="DO23" i="15"/>
  <c r="DN23" i="15"/>
  <c r="DM23" i="15"/>
  <c r="DL23" i="15"/>
  <c r="DK23" i="15"/>
  <c r="DJ23" i="15"/>
  <c r="DI23" i="15"/>
  <c r="DH23" i="15"/>
  <c r="DG23" i="15"/>
  <c r="DF23" i="15"/>
  <c r="DE23" i="15"/>
  <c r="DD23" i="15"/>
  <c r="DC23" i="15"/>
  <c r="DB23" i="15"/>
  <c r="DA23" i="15"/>
  <c r="CZ23" i="15"/>
  <c r="CY23" i="15"/>
  <c r="CX23" i="15"/>
  <c r="CW23" i="15"/>
  <c r="CV23" i="15"/>
  <c r="CU23" i="15"/>
  <c r="CT23" i="15"/>
  <c r="CS23" i="15"/>
  <c r="CR23" i="15"/>
  <c r="CQ23" i="15"/>
  <c r="CP23" i="15"/>
  <c r="CO23" i="15"/>
  <c r="CN23" i="15"/>
  <c r="CM23" i="15"/>
  <c r="CL23" i="15"/>
  <c r="CK23" i="15"/>
  <c r="CJ23" i="15"/>
  <c r="CI23" i="15"/>
  <c r="CH23" i="15"/>
  <c r="CG23" i="15"/>
  <c r="CF23" i="15"/>
  <c r="CE23" i="15"/>
  <c r="CD23" i="15"/>
  <c r="CC23" i="15"/>
  <c r="CB23" i="15"/>
  <c r="CA23" i="15"/>
  <c r="BZ23" i="15"/>
  <c r="BY23" i="15"/>
  <c r="BX23" i="15"/>
  <c r="BW23" i="15"/>
  <c r="BV23" i="15"/>
  <c r="BU23" i="15"/>
  <c r="BT23" i="15"/>
  <c r="BS23" i="15"/>
  <c r="BR23" i="15"/>
  <c r="BQ23" i="15"/>
  <c r="BP23" i="15"/>
  <c r="BO23" i="15"/>
  <c r="BN23" i="15"/>
  <c r="BM23" i="15"/>
  <c r="BL23" i="15"/>
  <c r="BK23" i="15"/>
  <c r="BJ23" i="15"/>
  <c r="BI23" i="15"/>
  <c r="BH23" i="15"/>
  <c r="BG23" i="15"/>
  <c r="BF23" i="15"/>
  <c r="BE23" i="15"/>
  <c r="BD23" i="15"/>
  <c r="BC23" i="15"/>
  <c r="BB23" i="15"/>
  <c r="BA23" i="15"/>
  <c r="AZ23" i="15"/>
  <c r="AY23" i="15"/>
  <c r="AX23" i="15"/>
  <c r="AW23" i="15"/>
  <c r="AV23" i="15"/>
  <c r="AU23" i="15"/>
  <c r="AT23" i="15"/>
  <c r="AS23" i="15"/>
  <c r="AR23" i="15"/>
  <c r="AQ23" i="15"/>
  <c r="AP23" i="15"/>
  <c r="AO23" i="15"/>
  <c r="AN23" i="15"/>
  <c r="AM23" i="15"/>
  <c r="AL23" i="15"/>
  <c r="AK23" i="15"/>
  <c r="AJ23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T23" i="15"/>
  <c r="W5" i="15"/>
  <c r="I5" i="15"/>
  <c r="CD24" i="14"/>
  <c r="BC24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T23" i="14"/>
  <c r="W5" i="14"/>
  <c r="I5" i="14"/>
  <c r="CD24" i="9"/>
  <c r="BC24" i="9"/>
  <c r="DZ23" i="9"/>
  <c r="DY23" i="9"/>
  <c r="DX23" i="9"/>
  <c r="DW23" i="9"/>
  <c r="DV23" i="9"/>
  <c r="DU23" i="9"/>
  <c r="DT23" i="9"/>
  <c r="DS23" i="9"/>
  <c r="DR23" i="9"/>
  <c r="DQ23" i="9"/>
  <c r="DP23" i="9"/>
  <c r="DO23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BJ23" i="9"/>
  <c r="BI23" i="9"/>
  <c r="BH23" i="9"/>
  <c r="BG23" i="9"/>
  <c r="BF23" i="9"/>
  <c r="BE23" i="9"/>
  <c r="BD23" i="9"/>
  <c r="BC23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T23" i="9"/>
  <c r="W5" i="9"/>
  <c r="I5" i="9"/>
  <c r="BC48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D48" i="4" s="1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V47" i="4"/>
  <c r="T47" i="4"/>
  <c r="W37" i="4"/>
  <c r="I37" i="4"/>
  <c r="W36" i="4"/>
  <c r="I36" i="4"/>
  <c r="W35" i="4"/>
  <c r="I35" i="4"/>
  <c r="DF34" i="4"/>
  <c r="BT34" i="4"/>
  <c r="W34" i="4"/>
  <c r="W47" i="4" s="1"/>
  <c r="T34" i="4"/>
  <c r="I34" i="4"/>
  <c r="CB33" i="4"/>
  <c r="W33" i="4"/>
  <c r="I33" i="4"/>
  <c r="CB32" i="4"/>
  <c r="W32" i="4"/>
  <c r="I32" i="4"/>
  <c r="CB31" i="4"/>
  <c r="W31" i="4"/>
  <c r="I31" i="4"/>
  <c r="W30" i="4"/>
  <c r="I30" i="4"/>
  <c r="W29" i="4"/>
  <c r="I29" i="4"/>
  <c r="W28" i="4"/>
  <c r="I28" i="4"/>
  <c r="W27" i="4"/>
  <c r="I27" i="4"/>
  <c r="W26" i="4"/>
  <c r="I26" i="4"/>
  <c r="W25" i="4"/>
  <c r="I25" i="4"/>
  <c r="W24" i="4"/>
  <c r="I24" i="4"/>
  <c r="W23" i="4"/>
  <c r="I23" i="4"/>
  <c r="W22" i="4"/>
  <c r="I22" i="4"/>
  <c r="W21" i="4"/>
  <c r="I21" i="4"/>
  <c r="W20" i="4"/>
  <c r="I20" i="4"/>
  <c r="W19" i="4"/>
  <c r="I19" i="4"/>
  <c r="W18" i="4"/>
  <c r="I18" i="4"/>
  <c r="W17" i="4"/>
  <c r="I17" i="4"/>
  <c r="W16" i="4"/>
  <c r="I16" i="4"/>
  <c r="W15" i="4"/>
  <c r="I15" i="4"/>
  <c r="W14" i="4"/>
  <c r="I14" i="4"/>
  <c r="W13" i="4"/>
  <c r="I13" i="4"/>
  <c r="CV12" i="4"/>
  <c r="BT12" i="4"/>
  <c r="W12" i="4"/>
  <c r="T12" i="4"/>
  <c r="I12" i="4"/>
  <c r="CB11" i="4"/>
  <c r="W11" i="4"/>
  <c r="I11" i="4"/>
  <c r="CB10" i="4"/>
  <c r="W10" i="4"/>
  <c r="I10" i="4"/>
  <c r="CB9" i="4"/>
  <c r="W9" i="4"/>
  <c r="I9" i="4"/>
  <c r="CB8" i="4"/>
  <c r="W8" i="4"/>
  <c r="I8" i="4"/>
  <c r="CB7" i="4"/>
  <c r="W7" i="4"/>
  <c r="I7" i="4"/>
  <c r="CB6" i="4"/>
  <c r="W6" i="4"/>
  <c r="I6" i="4"/>
  <c r="W5" i="4"/>
  <c r="I5" i="4"/>
  <c r="CD24" i="3"/>
  <c r="BC24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T23" i="3"/>
  <c r="CD60" i="8"/>
  <c r="BC60" i="8"/>
  <c r="DZ59" i="8"/>
  <c r="DY59" i="8"/>
  <c r="DX59" i="8"/>
  <c r="DW59" i="8"/>
  <c r="DV59" i="8"/>
  <c r="DU59" i="8"/>
  <c r="DT59" i="8"/>
  <c r="DS59" i="8"/>
  <c r="DR59" i="8"/>
  <c r="DQ59" i="8"/>
  <c r="DP59" i="8"/>
  <c r="DO59" i="8"/>
  <c r="DN59" i="8"/>
  <c r="DM59" i="8"/>
  <c r="DL59" i="8"/>
  <c r="DK59" i="8"/>
  <c r="DJ59" i="8"/>
  <c r="DI59" i="8"/>
  <c r="DH59" i="8"/>
  <c r="DG59" i="8"/>
  <c r="DF59" i="8"/>
  <c r="DE59" i="8"/>
  <c r="DD59" i="8"/>
  <c r="DC59" i="8"/>
  <c r="DB59" i="8"/>
  <c r="DA59" i="8"/>
  <c r="CZ59" i="8"/>
  <c r="CY59" i="8"/>
  <c r="CX59" i="8"/>
  <c r="CW59" i="8"/>
  <c r="CV59" i="8"/>
  <c r="CU59" i="8"/>
  <c r="CT59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E59" i="8"/>
  <c r="CD59" i="8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59" i="8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T59" i="8"/>
  <c r="W40" i="8"/>
  <c r="I40" i="8"/>
  <c r="W39" i="8"/>
  <c r="I39" i="8"/>
  <c r="W38" i="8"/>
  <c r="I38" i="8"/>
  <c r="W37" i="8"/>
  <c r="I37" i="8"/>
  <c r="W36" i="8"/>
  <c r="I36" i="8"/>
  <c r="W35" i="8"/>
  <c r="I35" i="8"/>
  <c r="W34" i="8"/>
  <c r="I34" i="8"/>
  <c r="W33" i="8"/>
  <c r="I33" i="8"/>
  <c r="W32" i="8"/>
  <c r="I32" i="8"/>
  <c r="W31" i="8"/>
  <c r="I31" i="8"/>
  <c r="W30" i="8"/>
  <c r="I30" i="8"/>
  <c r="W29" i="8"/>
  <c r="I29" i="8"/>
  <c r="W28" i="8"/>
  <c r="I28" i="8"/>
  <c r="W27" i="8"/>
  <c r="I27" i="8"/>
  <c r="W26" i="8"/>
  <c r="I26" i="8"/>
  <c r="W25" i="8"/>
  <c r="I25" i="8"/>
  <c r="W24" i="8"/>
  <c r="I24" i="8"/>
  <c r="W23" i="8"/>
  <c r="I23" i="8"/>
  <c r="W22" i="8"/>
  <c r="I22" i="8"/>
  <c r="W21" i="8"/>
  <c r="I21" i="8"/>
  <c r="W20" i="8"/>
  <c r="I20" i="8"/>
  <c r="W19" i="8"/>
  <c r="I19" i="8"/>
  <c r="W18" i="8"/>
  <c r="I18" i="8"/>
  <c r="W17" i="8"/>
  <c r="I17" i="8"/>
  <c r="W16" i="8"/>
  <c r="I16" i="8"/>
  <c r="W15" i="8"/>
  <c r="I15" i="8"/>
  <c r="W14" i="8"/>
  <c r="I14" i="8"/>
  <c r="W13" i="8"/>
  <c r="I13" i="8"/>
  <c r="W12" i="8"/>
  <c r="I12" i="8"/>
  <c r="W11" i="8"/>
  <c r="I11" i="8"/>
  <c r="W10" i="8"/>
  <c r="I10" i="8"/>
  <c r="W9" i="8"/>
  <c r="I9" i="8"/>
  <c r="W8" i="8"/>
  <c r="I8" i="8"/>
  <c r="W7" i="8"/>
  <c r="I7" i="8"/>
  <c r="W6" i="8"/>
  <c r="I6" i="8"/>
  <c r="W5" i="8"/>
  <c r="I5" i="8"/>
  <c r="T82" i="2"/>
  <c r="CD79" i="2"/>
  <c r="BC79" i="2"/>
  <c r="T79" i="2"/>
  <c r="DZ78" i="2"/>
  <c r="DY78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T78" i="2"/>
  <c r="CB70" i="2"/>
  <c r="W70" i="2"/>
  <c r="I70" i="2"/>
  <c r="CB69" i="2"/>
  <c r="W69" i="2"/>
  <c r="I69" i="2"/>
  <c r="CB68" i="2"/>
  <c r="W68" i="2"/>
  <c r="I68" i="2"/>
  <c r="CB67" i="2"/>
  <c r="W67" i="2"/>
  <c r="I67" i="2"/>
  <c r="W66" i="2"/>
  <c r="I66" i="2"/>
  <c r="W65" i="2"/>
  <c r="I65" i="2"/>
  <c r="CB64" i="2"/>
  <c r="W64" i="2"/>
  <c r="I64" i="2"/>
  <c r="CB63" i="2"/>
  <c r="W63" i="2"/>
  <c r="I63" i="2"/>
  <c r="CB62" i="2"/>
  <c r="W62" i="2"/>
  <c r="I62" i="2"/>
  <c r="CB61" i="2"/>
  <c r="W61" i="2"/>
  <c r="I61" i="2"/>
  <c r="CB60" i="2"/>
  <c r="W60" i="2"/>
  <c r="I60" i="2"/>
  <c r="CB59" i="2"/>
  <c r="W59" i="2"/>
  <c r="I59" i="2"/>
  <c r="CB58" i="2"/>
  <c r="W58" i="2"/>
  <c r="I58" i="2"/>
  <c r="CB57" i="2"/>
  <c r="W57" i="2"/>
  <c r="I57" i="2"/>
  <c r="CB56" i="2"/>
  <c r="W56" i="2"/>
  <c r="I56" i="2"/>
  <c r="CB55" i="2"/>
  <c r="W55" i="2"/>
  <c r="I55" i="2"/>
  <c r="CB54" i="2"/>
  <c r="W54" i="2"/>
  <c r="I54" i="2"/>
  <c r="CB53" i="2"/>
  <c r="W53" i="2"/>
  <c r="I53" i="2"/>
  <c r="CB52" i="2"/>
  <c r="W52" i="2"/>
  <c r="I52" i="2"/>
  <c r="CB51" i="2"/>
  <c r="W51" i="2"/>
  <c r="I51" i="2"/>
  <c r="CB50" i="2"/>
  <c r="W50" i="2"/>
  <c r="I50" i="2"/>
  <c r="CB49" i="2"/>
  <c r="W49" i="2"/>
  <c r="I49" i="2"/>
  <c r="CB48" i="2"/>
  <c r="W48" i="2"/>
  <c r="I48" i="2"/>
  <c r="CB47" i="2"/>
  <c r="W47" i="2"/>
  <c r="I47" i="2"/>
  <c r="CB46" i="2"/>
  <c r="W46" i="2"/>
  <c r="I46" i="2"/>
  <c r="CB45" i="2"/>
  <c r="W45" i="2"/>
  <c r="I45" i="2"/>
  <c r="CB44" i="2"/>
  <c r="W44" i="2"/>
  <c r="I44" i="2"/>
  <c r="CB43" i="2"/>
  <c r="W43" i="2"/>
  <c r="I43" i="2"/>
  <c r="CB42" i="2"/>
  <c r="W42" i="2"/>
  <c r="I42" i="2"/>
  <c r="CB41" i="2"/>
  <c r="W41" i="2"/>
  <c r="I41" i="2"/>
  <c r="CB40" i="2"/>
  <c r="W40" i="2"/>
  <c r="I40" i="2"/>
  <c r="CB39" i="2"/>
  <c r="W39" i="2"/>
  <c r="I39" i="2"/>
  <c r="CB38" i="2"/>
  <c r="W38" i="2"/>
  <c r="I38" i="2"/>
  <c r="CB37" i="2"/>
  <c r="W37" i="2"/>
  <c r="I37" i="2"/>
  <c r="CB36" i="2"/>
  <c r="W36" i="2"/>
  <c r="I36" i="2"/>
  <c r="CB35" i="2"/>
  <c r="CB78" i="2" s="1"/>
  <c r="W35" i="2"/>
  <c r="I35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BE184" i="1"/>
  <c r="X184" i="1"/>
  <c r="EB183" i="1"/>
  <c r="EA183" i="1"/>
  <c r="DZ183" i="1"/>
  <c r="DY183" i="1"/>
  <c r="DX183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H183" i="1"/>
  <c r="DG183" i="1"/>
  <c r="DF183" i="1"/>
  <c r="DE183" i="1"/>
  <c r="DD183" i="1"/>
  <c r="DC183" i="1"/>
  <c r="DB183" i="1"/>
  <c r="DA183" i="1"/>
  <c r="CZ183" i="1"/>
  <c r="CY183" i="1"/>
  <c r="CX183" i="1"/>
  <c r="CF184" i="1" s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X183" i="1"/>
  <c r="V183" i="1"/>
  <c r="V184" i="1" s="1"/>
  <c r="Z180" i="1"/>
  <c r="X180" i="1"/>
  <c r="X185" i="1" s="1"/>
  <c r="AA179" i="1"/>
  <c r="Y179" i="1"/>
  <c r="Y178" i="1"/>
  <c r="AA178" i="1" s="1"/>
  <c r="Y177" i="1"/>
  <c r="AA177" i="1" s="1"/>
  <c r="AA176" i="1"/>
  <c r="AA175" i="1"/>
  <c r="Y175" i="1"/>
  <c r="Y174" i="1"/>
  <c r="AA174" i="1" s="1"/>
  <c r="AA172" i="1"/>
  <c r="AA171" i="1"/>
  <c r="X171" i="1"/>
  <c r="AA170" i="1"/>
  <c r="AA169" i="1"/>
  <c r="X169" i="1"/>
  <c r="CD167" i="1"/>
  <c r="CD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Y150" i="1"/>
  <c r="K150" i="1"/>
  <c r="Y149" i="1"/>
  <c r="K149" i="1"/>
  <c r="Y148" i="1"/>
  <c r="K148" i="1"/>
  <c r="Y147" i="1"/>
  <c r="K147" i="1"/>
  <c r="Y146" i="1"/>
  <c r="K146" i="1"/>
  <c r="Y145" i="1"/>
  <c r="K145" i="1"/>
  <c r="Y144" i="1"/>
  <c r="K144" i="1"/>
  <c r="Y143" i="1"/>
  <c r="K143" i="1"/>
  <c r="Y142" i="1"/>
  <c r="K142" i="1"/>
  <c r="Y141" i="1"/>
  <c r="K141" i="1"/>
  <c r="Y140" i="1"/>
  <c r="K140" i="1"/>
  <c r="Y139" i="1"/>
  <c r="K139" i="1"/>
  <c r="Y138" i="1"/>
  <c r="K138" i="1"/>
  <c r="Y137" i="1"/>
  <c r="K137" i="1"/>
  <c r="Y136" i="1"/>
  <c r="K136" i="1"/>
  <c r="Y135" i="1"/>
  <c r="K135" i="1"/>
  <c r="Y134" i="1"/>
  <c r="K134" i="1"/>
  <c r="Y133" i="1"/>
  <c r="K133" i="1"/>
  <c r="Y132" i="1"/>
  <c r="K132" i="1"/>
  <c r="Y131" i="1"/>
  <c r="K131" i="1"/>
  <c r="Y130" i="1"/>
  <c r="K130" i="1"/>
  <c r="Y129" i="1"/>
  <c r="K129" i="1"/>
  <c r="Y128" i="1"/>
  <c r="K128" i="1"/>
  <c r="Y127" i="1"/>
  <c r="K127" i="1"/>
  <c r="Y126" i="1"/>
  <c r="K126" i="1"/>
  <c r="Y125" i="1"/>
  <c r="K125" i="1"/>
  <c r="Y124" i="1"/>
  <c r="K124" i="1"/>
  <c r="Y123" i="1"/>
  <c r="K123" i="1"/>
  <c r="Y122" i="1"/>
  <c r="K122" i="1"/>
  <c r="Y121" i="1"/>
  <c r="K121" i="1"/>
  <c r="Y120" i="1"/>
  <c r="K120" i="1"/>
  <c r="Y119" i="1"/>
  <c r="K119" i="1"/>
  <c r="Y118" i="1"/>
  <c r="K118" i="1"/>
  <c r="Y117" i="1"/>
  <c r="K117" i="1"/>
  <c r="Y116" i="1"/>
  <c r="K116" i="1"/>
  <c r="Y115" i="1"/>
  <c r="K115" i="1"/>
  <c r="Y114" i="1"/>
  <c r="K114" i="1"/>
  <c r="Y113" i="1"/>
  <c r="K113" i="1"/>
  <c r="Y112" i="1"/>
  <c r="K112" i="1"/>
  <c r="Y111" i="1"/>
  <c r="K111" i="1"/>
  <c r="Y110" i="1"/>
  <c r="K110" i="1"/>
  <c r="Y109" i="1"/>
  <c r="K109" i="1"/>
  <c r="Y108" i="1"/>
  <c r="K108" i="1"/>
  <c r="Y107" i="1"/>
  <c r="K107" i="1"/>
  <c r="Y106" i="1"/>
  <c r="K106" i="1"/>
  <c r="Y105" i="1"/>
  <c r="K105" i="1"/>
  <c r="DH104" i="1"/>
  <c r="BV104" i="1"/>
  <c r="Y104" i="1"/>
  <c r="Y173" i="1" s="1"/>
  <c r="V104" i="1"/>
  <c r="K104" i="1"/>
  <c r="CD103" i="1"/>
  <c r="Y103" i="1"/>
  <c r="K103" i="1"/>
  <c r="CD102" i="1"/>
  <c r="Y102" i="1"/>
  <c r="K102" i="1"/>
  <c r="CD101" i="1"/>
  <c r="Y101" i="1"/>
  <c r="K101" i="1"/>
  <c r="CD100" i="1"/>
  <c r="Y100" i="1"/>
  <c r="K100" i="1"/>
  <c r="CD99" i="1"/>
  <c r="Y99" i="1"/>
  <c r="K99" i="1"/>
  <c r="CD98" i="1"/>
  <c r="Y98" i="1"/>
  <c r="K98" i="1"/>
  <c r="CD97" i="1"/>
  <c r="Y97" i="1"/>
  <c r="K97" i="1"/>
  <c r="Y96" i="1"/>
  <c r="K96" i="1"/>
  <c r="Y95" i="1"/>
  <c r="K95" i="1"/>
  <c r="Y94" i="1"/>
  <c r="K94" i="1"/>
  <c r="Y93" i="1"/>
  <c r="K93" i="1"/>
  <c r="Y92" i="1"/>
  <c r="K92" i="1"/>
  <c r="Y91" i="1"/>
  <c r="K91" i="1"/>
  <c r="Y90" i="1"/>
  <c r="K90" i="1"/>
  <c r="Y89" i="1"/>
  <c r="K89" i="1"/>
  <c r="Y88" i="1"/>
  <c r="K88" i="1"/>
  <c r="Y87" i="1"/>
  <c r="K87" i="1"/>
  <c r="Y86" i="1"/>
  <c r="K86" i="1"/>
  <c r="Y85" i="1"/>
  <c r="K85" i="1"/>
  <c r="Y84" i="1"/>
  <c r="K84" i="1"/>
  <c r="Y83" i="1"/>
  <c r="K83" i="1"/>
  <c r="Y82" i="1"/>
  <c r="K82" i="1"/>
  <c r="Y81" i="1"/>
  <c r="K81" i="1"/>
  <c r="Y80" i="1"/>
  <c r="K80" i="1"/>
  <c r="Y79" i="1"/>
  <c r="K79" i="1"/>
  <c r="Y78" i="1"/>
  <c r="K78" i="1"/>
  <c r="CD77" i="1"/>
  <c r="Y77" i="1"/>
  <c r="K77" i="1"/>
  <c r="CD76" i="1"/>
  <c r="Y76" i="1"/>
  <c r="K76" i="1"/>
  <c r="CD75" i="1"/>
  <c r="Y75" i="1"/>
  <c r="K75" i="1"/>
  <c r="CD74" i="1"/>
  <c r="Y74" i="1"/>
  <c r="K74" i="1"/>
  <c r="CD73" i="1"/>
  <c r="Y73" i="1"/>
  <c r="K73" i="1"/>
  <c r="CD72" i="1"/>
  <c r="Y72" i="1"/>
  <c r="K72" i="1"/>
  <c r="Y71" i="1"/>
  <c r="K71" i="1"/>
  <c r="Y70" i="1"/>
  <c r="K70" i="1"/>
  <c r="CX69" i="1"/>
  <c r="BV69" i="1"/>
  <c r="Y69" i="1"/>
  <c r="Y183" i="1" s="1"/>
  <c r="Y184" i="1" s="1"/>
  <c r="V69" i="1"/>
  <c r="K69" i="1"/>
  <c r="CD68" i="1"/>
  <c r="Y68" i="1"/>
  <c r="K68" i="1"/>
  <c r="CD67" i="1"/>
  <c r="Y67" i="1"/>
  <c r="K67" i="1"/>
  <c r="CD66" i="1"/>
  <c r="Y66" i="1"/>
  <c r="K66" i="1"/>
  <c r="CD65" i="1"/>
  <c r="Y65" i="1"/>
  <c r="K65" i="1"/>
  <c r="CD64" i="1"/>
  <c r="Y64" i="1"/>
  <c r="K64" i="1"/>
  <c r="CD63" i="1"/>
  <c r="Y63" i="1"/>
  <c r="K63" i="1"/>
  <c r="CD62" i="1"/>
  <c r="Y62" i="1"/>
  <c r="K62" i="1"/>
  <c r="CD61" i="1"/>
  <c r="Y61" i="1"/>
  <c r="K61" i="1"/>
  <c r="CD60" i="1"/>
  <c r="Y60" i="1"/>
  <c r="K60" i="1"/>
  <c r="CD59" i="1"/>
  <c r="Y59" i="1"/>
  <c r="K59" i="1"/>
  <c r="CD58" i="1"/>
  <c r="Y58" i="1"/>
  <c r="K58" i="1"/>
  <c r="CD57" i="1"/>
  <c r="Y57" i="1"/>
  <c r="K57" i="1"/>
  <c r="CD56" i="1"/>
  <c r="Y56" i="1"/>
  <c r="K56" i="1"/>
  <c r="CD55" i="1"/>
  <c r="Y55" i="1"/>
  <c r="K55" i="1"/>
  <c r="CD54" i="1"/>
  <c r="Y54" i="1"/>
  <c r="K54" i="1"/>
  <c r="CD53" i="1"/>
  <c r="Y53" i="1"/>
  <c r="K53" i="1"/>
  <c r="CD52" i="1"/>
  <c r="Y52" i="1"/>
  <c r="K52" i="1"/>
  <c r="CD51" i="1"/>
  <c r="Y51" i="1"/>
  <c r="K51" i="1"/>
  <c r="CD50" i="1"/>
  <c r="Y50" i="1"/>
  <c r="K50" i="1"/>
  <c r="CD49" i="1"/>
  <c r="Y49" i="1"/>
  <c r="K49" i="1"/>
  <c r="CD48" i="1"/>
  <c r="Y48" i="1"/>
  <c r="K48" i="1"/>
  <c r="CD47" i="1"/>
  <c r="Y47" i="1"/>
  <c r="K47" i="1"/>
  <c r="CD46" i="1"/>
  <c r="Y46" i="1"/>
  <c r="K46" i="1"/>
  <c r="CD45" i="1"/>
  <c r="Y45" i="1"/>
  <c r="K45" i="1"/>
  <c r="CD44" i="1"/>
  <c r="Y44" i="1"/>
  <c r="K44" i="1"/>
  <c r="CD43" i="1"/>
  <c r="Y43" i="1"/>
  <c r="K43" i="1"/>
  <c r="CD42" i="1"/>
  <c r="Y42" i="1"/>
  <c r="K42" i="1"/>
  <c r="CD41" i="1"/>
  <c r="Y41" i="1"/>
  <c r="K41" i="1"/>
  <c r="CD40" i="1"/>
  <c r="Y40" i="1"/>
  <c r="K40" i="1"/>
  <c r="CD39" i="1"/>
  <c r="Y39" i="1"/>
  <c r="K39" i="1"/>
  <c r="CD38" i="1"/>
  <c r="Y38" i="1"/>
  <c r="K38" i="1"/>
  <c r="CD37" i="1"/>
  <c r="CD183" i="1" s="1"/>
  <c r="Y37" i="1"/>
  <c r="K37" i="1"/>
  <c r="CD36" i="1"/>
  <c r="Y36" i="1"/>
  <c r="K36" i="1"/>
  <c r="Y35" i="1"/>
  <c r="K35" i="1"/>
  <c r="Y34" i="1"/>
  <c r="K34" i="1"/>
  <c r="Y33" i="1"/>
  <c r="K33" i="1"/>
  <c r="Y32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8" i="7"/>
  <c r="D277" i="7"/>
  <c r="D276" i="7"/>
  <c r="D275" i="7"/>
  <c r="D273" i="7"/>
  <c r="D272" i="7"/>
  <c r="D271" i="7"/>
  <c r="D269" i="7"/>
  <c r="D268" i="7"/>
  <c r="D267" i="7"/>
  <c r="D265" i="7"/>
  <c r="D264" i="7"/>
  <c r="D263" i="7"/>
  <c r="D262" i="7"/>
  <c r="D261" i="7"/>
  <c r="D259" i="7"/>
  <c r="D258" i="7"/>
  <c r="D256" i="7"/>
  <c r="D255" i="7"/>
  <c r="D254" i="7"/>
  <c r="D253" i="7"/>
  <c r="D252" i="7"/>
  <c r="D250" i="7"/>
  <c r="D249" i="7"/>
  <c r="D248" i="7"/>
  <c r="D247" i="7"/>
  <c r="D246" i="7"/>
  <c r="D245" i="7"/>
  <c r="D244" i="7"/>
  <c r="D243" i="7"/>
  <c r="D242" i="7"/>
  <c r="D241" i="7"/>
  <c r="D239" i="7"/>
  <c r="D238" i="7"/>
  <c r="D236" i="7"/>
  <c r="D235" i="7"/>
  <c r="D232" i="7"/>
  <c r="D230" i="7"/>
  <c r="D229" i="7"/>
  <c r="D227" i="7"/>
  <c r="D226" i="7"/>
  <c r="D224" i="7"/>
  <c r="D223" i="7"/>
  <c r="D222" i="7"/>
  <c r="D220" i="7"/>
  <c r="D218" i="7"/>
  <c r="D216" i="7"/>
  <c r="D214" i="7"/>
  <c r="D212" i="7"/>
  <c r="D210" i="7"/>
  <c r="D208" i="7"/>
  <c r="D207" i="7"/>
  <c r="D205" i="7"/>
  <c r="D203" i="7"/>
  <c r="D201" i="7"/>
  <c r="D200" i="7"/>
  <c r="D199" i="7"/>
  <c r="D198" i="7"/>
  <c r="D196" i="7"/>
  <c r="D195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C47" i="31"/>
  <c r="C46" i="31"/>
  <c r="E45" i="31"/>
  <c r="D45" i="31"/>
  <c r="C45" i="31"/>
  <c r="B45" i="31"/>
  <c r="E44" i="31"/>
  <c r="E43" i="31"/>
  <c r="E42" i="31"/>
  <c r="D42" i="31"/>
  <c r="E41" i="31"/>
  <c r="D41" i="31"/>
  <c r="E40" i="31"/>
  <c r="E39" i="31"/>
  <c r="E38" i="31"/>
  <c r="E37" i="31"/>
  <c r="E36" i="31"/>
  <c r="E35" i="31"/>
  <c r="E34" i="31"/>
  <c r="E33" i="31"/>
  <c r="E30" i="31"/>
  <c r="F30" i="31" s="1"/>
  <c r="D30" i="31"/>
  <c r="B29" i="31"/>
  <c r="E27" i="31"/>
  <c r="D27" i="31"/>
  <c r="C27" i="31"/>
  <c r="E48" i="31" s="1"/>
  <c r="F48" i="31" s="1"/>
  <c r="B27" i="31"/>
  <c r="E26" i="31"/>
  <c r="E25" i="31"/>
  <c r="H24" i="31"/>
  <c r="E24" i="31"/>
  <c r="C24" i="31"/>
  <c r="E23" i="31"/>
  <c r="E22" i="31"/>
  <c r="E21" i="31"/>
  <c r="E20" i="31"/>
  <c r="E19" i="31"/>
  <c r="E18" i="31"/>
  <c r="E17" i="31"/>
  <c r="E16" i="31"/>
  <c r="C14" i="31"/>
  <c r="E13" i="31"/>
  <c r="D13" i="31"/>
  <c r="C13" i="31"/>
  <c r="B13" i="31"/>
  <c r="D379" i="33"/>
  <c r="D378" i="33"/>
  <c r="D377" i="33"/>
  <c r="D376" i="33"/>
  <c r="D375" i="33"/>
  <c r="D374" i="33"/>
  <c r="D373" i="33"/>
  <c r="D372" i="33"/>
  <c r="D371" i="33"/>
  <c r="D370" i="33"/>
  <c r="D369" i="33"/>
  <c r="D368" i="33"/>
  <c r="D367" i="33"/>
  <c r="D366" i="33"/>
  <c r="D365" i="33"/>
  <c r="D364" i="33"/>
  <c r="D363" i="33"/>
  <c r="D362" i="33"/>
  <c r="D361" i="33"/>
  <c r="D360" i="33"/>
  <c r="D359" i="33"/>
  <c r="D358" i="33"/>
  <c r="D357" i="33"/>
  <c r="D356" i="33"/>
  <c r="D355" i="33"/>
  <c r="D354" i="33"/>
  <c r="D353" i="33"/>
  <c r="D352" i="33"/>
  <c r="D351" i="33"/>
  <c r="D350" i="33"/>
  <c r="D349" i="33"/>
  <c r="D348" i="33"/>
  <c r="D347" i="33"/>
  <c r="D346" i="33"/>
  <c r="D345" i="33"/>
  <c r="D344" i="33"/>
  <c r="D343" i="33"/>
  <c r="D342" i="33"/>
  <c r="D341" i="33"/>
  <c r="D340" i="33"/>
  <c r="D339" i="33"/>
  <c r="D338" i="33"/>
  <c r="D337" i="33"/>
  <c r="D336" i="33"/>
  <c r="D335" i="33"/>
  <c r="D334" i="33"/>
  <c r="D333" i="33"/>
  <c r="D332" i="33"/>
  <c r="D331" i="33"/>
  <c r="D330" i="33"/>
  <c r="D329" i="33"/>
  <c r="D328" i="33"/>
  <c r="D327" i="33"/>
  <c r="D326" i="33"/>
  <c r="D325" i="33"/>
  <c r="D324" i="33"/>
  <c r="D323" i="33"/>
  <c r="D322" i="33"/>
  <c r="D321" i="33"/>
  <c r="D320" i="33"/>
  <c r="D319" i="33"/>
  <c r="D318" i="33"/>
  <c r="D317" i="33"/>
  <c r="D316" i="33"/>
  <c r="D315" i="33"/>
  <c r="D314" i="33"/>
  <c r="D313" i="33"/>
  <c r="D312" i="33"/>
  <c r="D311" i="33"/>
  <c r="D310" i="33"/>
  <c r="D309" i="33"/>
  <c r="D308" i="33"/>
  <c r="D307" i="33"/>
  <c r="D306" i="33"/>
  <c r="D305" i="33"/>
  <c r="D304" i="33"/>
  <c r="D303" i="33"/>
  <c r="D302" i="33"/>
  <c r="D301" i="33"/>
  <c r="D300" i="33"/>
  <c r="D299" i="33"/>
  <c r="D298" i="33"/>
  <c r="D297" i="33"/>
  <c r="D296" i="33"/>
  <c r="D295" i="33"/>
  <c r="D294" i="33"/>
  <c r="D293" i="33"/>
  <c r="D292" i="33"/>
  <c r="D291" i="33"/>
  <c r="D290" i="33"/>
  <c r="D289" i="33"/>
  <c r="D288" i="33"/>
  <c r="D287" i="33"/>
  <c r="D286" i="33"/>
  <c r="D285" i="33"/>
  <c r="D284" i="33"/>
  <c r="D283" i="33"/>
  <c r="D282" i="33"/>
  <c r="D281" i="33"/>
  <c r="D280" i="33"/>
  <c r="D279" i="33"/>
  <c r="D278" i="33"/>
  <c r="D277" i="33"/>
  <c r="D276" i="33"/>
  <c r="D275" i="33"/>
  <c r="D274" i="33"/>
  <c r="D273" i="33"/>
  <c r="D272" i="33"/>
  <c r="D271" i="33"/>
  <c r="D270" i="33"/>
  <c r="D269" i="33"/>
  <c r="D268" i="33"/>
  <c r="D267" i="33"/>
  <c r="D266" i="33"/>
  <c r="D265" i="33"/>
  <c r="D264" i="33"/>
  <c r="D263" i="33"/>
  <c r="D262" i="33"/>
  <c r="D261" i="33"/>
  <c r="D260" i="33"/>
  <c r="D259" i="33"/>
  <c r="D258" i="33"/>
  <c r="D257" i="33"/>
  <c r="D256" i="33"/>
  <c r="D255" i="33"/>
  <c r="D254" i="33"/>
  <c r="D253" i="33"/>
  <c r="D252" i="33"/>
  <c r="D251" i="33"/>
  <c r="D250" i="33"/>
  <c r="D249" i="33"/>
  <c r="D248" i="33"/>
  <c r="D247" i="33"/>
  <c r="D246" i="33"/>
  <c r="D245" i="33"/>
  <c r="D244" i="33"/>
  <c r="D243" i="33"/>
  <c r="D242" i="33"/>
  <c r="D241" i="33"/>
  <c r="D240" i="33"/>
  <c r="D239" i="33"/>
  <c r="D238" i="33"/>
  <c r="D237" i="33"/>
  <c r="D236" i="33"/>
  <c r="D235" i="33"/>
  <c r="D234" i="33"/>
  <c r="D233" i="33"/>
  <c r="D232" i="33"/>
  <c r="D231" i="33"/>
  <c r="D230" i="33"/>
  <c r="D229" i="33"/>
  <c r="D228" i="33"/>
  <c r="D227" i="33"/>
  <c r="D226" i="33"/>
  <c r="D225" i="33"/>
  <c r="D224" i="33"/>
  <c r="D223" i="33"/>
  <c r="D222" i="33"/>
  <c r="D221" i="33"/>
  <c r="D220" i="33"/>
  <c r="D219" i="33"/>
  <c r="D218" i="33"/>
  <c r="D217" i="33"/>
  <c r="D216" i="33"/>
  <c r="D215" i="33"/>
  <c r="D214" i="33"/>
  <c r="D213" i="33"/>
  <c r="D212" i="33"/>
  <c r="D211" i="33"/>
  <c r="D210" i="33"/>
  <c r="D209" i="33"/>
  <c r="D208" i="33"/>
  <c r="D207" i="33"/>
  <c r="D206" i="33"/>
  <c r="D205" i="33"/>
  <c r="D204" i="33"/>
  <c r="D203" i="33"/>
  <c r="D202" i="33"/>
  <c r="D201" i="33"/>
  <c r="D200" i="33"/>
  <c r="D199" i="33"/>
  <c r="D198" i="33"/>
  <c r="D197" i="33"/>
  <c r="D196" i="33"/>
  <c r="D195" i="33"/>
  <c r="D194" i="33"/>
  <c r="D193" i="33"/>
  <c r="D192" i="33"/>
  <c r="D191" i="33"/>
  <c r="D190" i="33"/>
  <c r="D189" i="33"/>
  <c r="D188" i="33"/>
  <c r="D187" i="33"/>
  <c r="D186" i="33"/>
  <c r="D185" i="33"/>
  <c r="D184" i="33"/>
  <c r="D183" i="33"/>
  <c r="D182" i="33"/>
  <c r="D181" i="33"/>
  <c r="D180" i="33"/>
  <c r="D179" i="33"/>
  <c r="D178" i="33"/>
  <c r="D177" i="33"/>
  <c r="D176" i="33"/>
  <c r="D175" i="33"/>
  <c r="D174" i="33"/>
  <c r="D173" i="33"/>
  <c r="D172" i="33"/>
  <c r="D171" i="33"/>
  <c r="D170" i="33"/>
  <c r="D169" i="33"/>
  <c r="D168" i="33"/>
  <c r="D167" i="33"/>
  <c r="D166" i="33"/>
  <c r="D165" i="33"/>
  <c r="D164" i="33"/>
  <c r="D163" i="33"/>
  <c r="D162" i="33"/>
  <c r="D161" i="33"/>
  <c r="D160" i="33"/>
  <c r="D159" i="33"/>
  <c r="D158" i="33"/>
  <c r="D157" i="33"/>
  <c r="D156" i="33"/>
  <c r="D155" i="33"/>
  <c r="D154" i="33"/>
  <c r="D153" i="33"/>
  <c r="D152" i="33"/>
  <c r="D151" i="33"/>
  <c r="D150" i="33"/>
  <c r="D149" i="33"/>
  <c r="D148" i="33"/>
  <c r="D147" i="33"/>
  <c r="D146" i="33"/>
  <c r="D145" i="33"/>
  <c r="D144" i="33"/>
  <c r="D143" i="33"/>
  <c r="D142" i="33"/>
  <c r="D141" i="33"/>
  <c r="D140" i="33"/>
  <c r="D139" i="33"/>
  <c r="D138" i="33"/>
  <c r="D137" i="33"/>
  <c r="D136" i="33"/>
  <c r="D135" i="33"/>
  <c r="D134" i="33"/>
  <c r="D133" i="33"/>
  <c r="D132" i="33"/>
  <c r="D131" i="33"/>
  <c r="D130" i="33"/>
  <c r="D129" i="33"/>
  <c r="D128" i="33"/>
  <c r="D127" i="33"/>
  <c r="D126" i="33"/>
  <c r="D125" i="33"/>
  <c r="D124" i="33"/>
  <c r="D123" i="33"/>
  <c r="D122" i="33"/>
  <c r="D121" i="33"/>
  <c r="D120" i="33"/>
  <c r="D119" i="33"/>
  <c r="D118" i="33"/>
  <c r="D117" i="33"/>
  <c r="D116" i="33"/>
  <c r="D115" i="33"/>
  <c r="D114" i="33"/>
  <c r="D113" i="33"/>
  <c r="D112" i="33"/>
  <c r="D111" i="33"/>
  <c r="D110" i="33"/>
  <c r="D109" i="33"/>
  <c r="D108" i="33"/>
  <c r="D107" i="33"/>
  <c r="D106" i="33"/>
  <c r="D105" i="33"/>
  <c r="D104" i="33"/>
  <c r="D103" i="33"/>
  <c r="D102" i="33"/>
  <c r="D101" i="33"/>
  <c r="D100" i="33"/>
  <c r="D99" i="33"/>
  <c r="D98" i="33"/>
  <c r="D97" i="33"/>
  <c r="D96" i="33"/>
  <c r="D95" i="33"/>
  <c r="D94" i="33"/>
  <c r="D93" i="33"/>
  <c r="D92" i="33"/>
  <c r="D91" i="33"/>
  <c r="D90" i="33"/>
  <c r="D89" i="33"/>
  <c r="D88" i="33"/>
  <c r="D87" i="33"/>
  <c r="D86" i="33"/>
  <c r="D85" i="33"/>
  <c r="D84" i="33"/>
  <c r="D83" i="33"/>
  <c r="D82" i="33"/>
  <c r="D81" i="33"/>
  <c r="D80" i="33"/>
  <c r="D79" i="33"/>
  <c r="D78" i="33"/>
  <c r="D77" i="33"/>
  <c r="D76" i="33"/>
  <c r="D75" i="33"/>
  <c r="D74" i="33"/>
  <c r="D73" i="33"/>
  <c r="D72" i="33"/>
  <c r="D71" i="33"/>
  <c r="D70" i="33"/>
  <c r="D69" i="33"/>
  <c r="D68" i="33"/>
  <c r="D67" i="33"/>
  <c r="D66" i="33"/>
  <c r="D65" i="33"/>
  <c r="D64" i="33"/>
  <c r="D63" i="33"/>
  <c r="D62" i="33"/>
  <c r="D61" i="33"/>
  <c r="D60" i="33"/>
  <c r="D59" i="33"/>
  <c r="D58" i="33"/>
  <c r="D57" i="33"/>
  <c r="D56" i="33"/>
  <c r="D55" i="33"/>
  <c r="D54" i="33"/>
  <c r="D53" i="33"/>
  <c r="D52" i="33"/>
  <c r="D51" i="33"/>
  <c r="D50" i="33"/>
  <c r="D49" i="33"/>
  <c r="D48" i="33"/>
  <c r="D47" i="33"/>
  <c r="D46" i="33"/>
  <c r="D45" i="33"/>
  <c r="D44" i="33"/>
  <c r="D43" i="33"/>
  <c r="D42" i="33"/>
  <c r="D41" i="33"/>
  <c r="D40" i="33"/>
  <c r="D39" i="33"/>
  <c r="D38" i="33"/>
  <c r="D37" i="33"/>
  <c r="D36" i="33"/>
  <c r="D35" i="33"/>
  <c r="D34" i="33"/>
  <c r="D33" i="33"/>
  <c r="D32" i="33"/>
  <c r="D31" i="33"/>
  <c r="D30" i="33"/>
  <c r="D29" i="33"/>
  <c r="D28" i="33"/>
  <c r="D27" i="33"/>
  <c r="D26" i="33"/>
  <c r="D25" i="33"/>
  <c r="D24" i="33"/>
  <c r="D23" i="33"/>
  <c r="D22" i="33"/>
  <c r="D21" i="33"/>
  <c r="D20" i="33"/>
  <c r="D19" i="33"/>
  <c r="D18" i="33"/>
  <c r="D17" i="33"/>
  <c r="D16" i="33"/>
  <c r="D15" i="33"/>
  <c r="D14" i="33"/>
  <c r="D13" i="33"/>
  <c r="D12" i="33"/>
  <c r="D11" i="33"/>
  <c r="D10" i="33"/>
  <c r="D9" i="33"/>
  <c r="D8" i="33"/>
  <c r="D7" i="33"/>
  <c r="D6" i="33"/>
  <c r="D5" i="33"/>
  <c r="D4" i="33"/>
  <c r="D3" i="33"/>
  <c r="D276" i="35"/>
  <c r="D275" i="35"/>
  <c r="D274" i="35"/>
  <c r="D273" i="35"/>
  <c r="D272" i="35"/>
  <c r="D271" i="35"/>
  <c r="D270" i="35"/>
  <c r="D269" i="35"/>
  <c r="D268" i="35"/>
  <c r="D267" i="35"/>
  <c r="D266" i="35"/>
  <c r="D265" i="35"/>
  <c r="D264" i="35"/>
  <c r="D263" i="35"/>
  <c r="D262" i="35"/>
  <c r="D261" i="35"/>
  <c r="D260" i="35"/>
  <c r="D259" i="35"/>
  <c r="D258" i="35"/>
  <c r="D257" i="35"/>
  <c r="D256" i="35"/>
  <c r="D255" i="35"/>
  <c r="D254" i="35"/>
  <c r="D253" i="35"/>
  <c r="D252" i="35"/>
  <c r="D251" i="35"/>
  <c r="D250" i="35"/>
  <c r="D249" i="35"/>
  <c r="D248" i="35"/>
  <c r="D247" i="35"/>
  <c r="D246" i="35"/>
  <c r="D245" i="35"/>
  <c r="D244" i="35"/>
  <c r="D243" i="35"/>
  <c r="D242" i="35"/>
  <c r="D241" i="35"/>
  <c r="D240" i="35"/>
  <c r="D239" i="35"/>
  <c r="D238" i="35"/>
  <c r="D237" i="35"/>
  <c r="D236" i="35"/>
  <c r="D235" i="35"/>
  <c r="D234" i="35"/>
  <c r="D233" i="35"/>
  <c r="D232" i="35"/>
  <c r="D231" i="35"/>
  <c r="D230" i="35"/>
  <c r="D229" i="35"/>
  <c r="D228" i="35"/>
  <c r="D227" i="35"/>
  <c r="D226" i="35"/>
  <c r="D225" i="35"/>
  <c r="D224" i="35"/>
  <c r="D223" i="35"/>
  <c r="D222" i="35"/>
  <c r="D221" i="35"/>
  <c r="D220" i="35"/>
  <c r="D219" i="35"/>
  <c r="D218" i="35"/>
  <c r="D217" i="35"/>
  <c r="D216" i="35"/>
  <c r="D215" i="35"/>
  <c r="D214" i="35"/>
  <c r="D213" i="35"/>
  <c r="D212" i="35"/>
  <c r="D211" i="35"/>
  <c r="D210" i="35"/>
  <c r="D209" i="35"/>
  <c r="D208" i="35"/>
  <c r="D207" i="35"/>
  <c r="D206" i="35"/>
  <c r="D205" i="35"/>
  <c r="D204" i="35"/>
  <c r="D203" i="35"/>
  <c r="D202" i="35"/>
  <c r="D201" i="35"/>
  <c r="D200" i="35"/>
  <c r="D199" i="35"/>
  <c r="D198" i="35"/>
  <c r="D197" i="35"/>
  <c r="D196" i="35"/>
  <c r="D195" i="35"/>
  <c r="D194" i="35"/>
  <c r="D193" i="35"/>
  <c r="D192" i="35"/>
  <c r="D191" i="35"/>
  <c r="D190" i="35"/>
  <c r="D189" i="35"/>
  <c r="D188" i="35"/>
  <c r="D187" i="35"/>
  <c r="D186" i="35"/>
  <c r="D185" i="35"/>
  <c r="D184" i="35"/>
  <c r="D183" i="35"/>
  <c r="D182" i="35"/>
  <c r="D181" i="35"/>
  <c r="D180" i="35"/>
  <c r="D179" i="35"/>
  <c r="D178" i="35"/>
  <c r="D177" i="35"/>
  <c r="D176" i="35"/>
  <c r="D175" i="35"/>
  <c r="D174" i="35"/>
  <c r="D173" i="35"/>
  <c r="D172" i="35"/>
  <c r="D171" i="35"/>
  <c r="F357" i="38"/>
  <c r="D357" i="38"/>
  <c r="F356" i="38"/>
  <c r="D356" i="38"/>
  <c r="F355" i="38"/>
  <c r="D355" i="38"/>
  <c r="F354" i="38"/>
  <c r="D354" i="38"/>
  <c r="F353" i="38"/>
  <c r="D353" i="38"/>
  <c r="F352" i="38"/>
  <c r="F351" i="38"/>
  <c r="F350" i="38"/>
  <c r="F349" i="38"/>
  <c r="D349" i="38"/>
  <c r="F348" i="38"/>
  <c r="D348" i="38"/>
  <c r="F347" i="38"/>
  <c r="D347" i="38"/>
  <c r="F346" i="38"/>
  <c r="D346" i="38"/>
  <c r="F345" i="38"/>
  <c r="F344" i="38"/>
  <c r="D344" i="38"/>
  <c r="F343" i="38"/>
  <c r="D343" i="38"/>
  <c r="F342" i="38"/>
  <c r="D342" i="38"/>
  <c r="F341" i="38"/>
  <c r="D341" i="38"/>
  <c r="F340" i="38"/>
  <c r="D340" i="38"/>
  <c r="F339" i="38"/>
  <c r="F338" i="38"/>
  <c r="D338" i="38"/>
  <c r="F337" i="38"/>
  <c r="D337" i="38"/>
  <c r="F336" i="38"/>
  <c r="D336" i="38"/>
  <c r="F335" i="38"/>
  <c r="D335" i="38"/>
  <c r="F334" i="38"/>
  <c r="D334" i="38"/>
  <c r="F333" i="38"/>
  <c r="D333" i="38"/>
  <c r="F332" i="38"/>
  <c r="D332" i="38"/>
  <c r="F331" i="38"/>
  <c r="D331" i="38"/>
  <c r="F330" i="38"/>
  <c r="D330" i="38"/>
  <c r="F329" i="38"/>
  <c r="D329" i="38"/>
  <c r="F328" i="38"/>
  <c r="D328" i="38"/>
  <c r="F327" i="38"/>
  <c r="D327" i="38"/>
  <c r="F326" i="38"/>
  <c r="D326" i="38"/>
  <c r="F325" i="38"/>
  <c r="F324" i="38"/>
  <c r="D324" i="38"/>
  <c r="F323" i="38"/>
  <c r="D323" i="38"/>
  <c r="F322" i="38"/>
  <c r="D322" i="38"/>
  <c r="F321" i="38"/>
  <c r="D321" i="38"/>
  <c r="F320" i="38"/>
  <c r="D320" i="38"/>
  <c r="F319" i="38"/>
  <c r="D319" i="38"/>
  <c r="F318" i="38"/>
  <c r="D318" i="38"/>
  <c r="F317" i="38"/>
  <c r="F316" i="38"/>
  <c r="F315" i="38"/>
  <c r="D315" i="38"/>
  <c r="F314" i="38"/>
  <c r="D314" i="38"/>
  <c r="F313" i="38"/>
  <c r="D313" i="38"/>
  <c r="F312" i="38"/>
  <c r="D312" i="38"/>
  <c r="F311" i="38"/>
  <c r="D311" i="38"/>
  <c r="F310" i="38"/>
  <c r="F309" i="38"/>
  <c r="F308" i="38"/>
  <c r="F307" i="38"/>
  <c r="D307" i="38"/>
  <c r="F306" i="38"/>
  <c r="D306" i="38"/>
  <c r="F305" i="38"/>
  <c r="D305" i="38"/>
  <c r="F304" i="38"/>
  <c r="D304" i="38"/>
  <c r="F303" i="38"/>
  <c r="F302" i="38"/>
  <c r="D302" i="38"/>
  <c r="F301" i="38"/>
  <c r="D301" i="38"/>
  <c r="F300" i="38"/>
  <c r="D300" i="38"/>
  <c r="F299" i="38"/>
  <c r="D299" i="38"/>
  <c r="F298" i="38"/>
  <c r="D298" i="38"/>
  <c r="F297" i="38"/>
  <c r="D297" i="38"/>
  <c r="F296" i="38"/>
  <c r="D296" i="38"/>
  <c r="F295" i="38"/>
  <c r="D295" i="38"/>
  <c r="F294" i="38"/>
  <c r="D294" i="38"/>
  <c r="F293" i="38"/>
  <c r="D293" i="38"/>
  <c r="F292" i="38"/>
  <c r="D292" i="38"/>
  <c r="F291" i="38"/>
  <c r="D291" i="38"/>
  <c r="F290" i="38"/>
  <c r="D290" i="38"/>
  <c r="F289" i="38"/>
  <c r="D289" i="38"/>
  <c r="F288" i="38"/>
  <c r="D288" i="38"/>
  <c r="F287" i="38"/>
  <c r="D287" i="38"/>
  <c r="F286" i="38"/>
  <c r="D286" i="38"/>
  <c r="F285" i="38"/>
  <c r="D285" i="38"/>
  <c r="F284" i="38"/>
  <c r="D284" i="38"/>
  <c r="F283" i="38"/>
  <c r="D283" i="38"/>
  <c r="F282" i="38"/>
  <c r="D282" i="38"/>
  <c r="F281" i="38"/>
  <c r="D281" i="38"/>
  <c r="F280" i="38"/>
  <c r="D280" i="38"/>
  <c r="F279" i="38"/>
  <c r="D279" i="38"/>
  <c r="F278" i="38"/>
  <c r="F277" i="38"/>
  <c r="F276" i="38"/>
  <c r="D276" i="38"/>
  <c r="F275" i="38"/>
  <c r="D275" i="38"/>
  <c r="F274" i="38"/>
  <c r="D274" i="38"/>
  <c r="F273" i="38"/>
  <c r="D273" i="38"/>
  <c r="F272" i="38"/>
  <c r="D272" i="38"/>
  <c r="F271" i="38"/>
  <c r="D271" i="38"/>
  <c r="F270" i="38"/>
  <c r="D270" i="38"/>
  <c r="F269" i="38"/>
  <c r="D269" i="38"/>
  <c r="F268" i="38"/>
  <c r="D268" i="38"/>
  <c r="F267" i="38"/>
  <c r="D267" i="38"/>
  <c r="F266" i="38"/>
  <c r="D266" i="38"/>
  <c r="F265" i="38"/>
  <c r="D265" i="38"/>
  <c r="F264" i="38"/>
  <c r="D264" i="38"/>
  <c r="F263" i="38"/>
  <c r="F262" i="38"/>
  <c r="F261" i="38"/>
  <c r="F260" i="38"/>
  <c r="D260" i="38"/>
  <c r="F259" i="38"/>
  <c r="F258" i="38"/>
  <c r="D258" i="38"/>
  <c r="F257" i="38"/>
  <c r="D257" i="38"/>
  <c r="F256" i="38"/>
  <c r="D256" i="38"/>
  <c r="F255" i="38"/>
  <c r="D255" i="38"/>
  <c r="F254" i="38"/>
  <c r="F253" i="38"/>
  <c r="F252" i="38"/>
  <c r="F251" i="38"/>
  <c r="F250" i="38"/>
  <c r="D250" i="38"/>
  <c r="F249" i="38"/>
  <c r="D249" i="38"/>
  <c r="F248" i="38"/>
  <c r="D248" i="38"/>
  <c r="F247" i="38"/>
  <c r="F246" i="38"/>
  <c r="F245" i="38"/>
  <c r="D245" i="38"/>
  <c r="F244" i="38"/>
  <c r="D244" i="38"/>
  <c r="F243" i="38"/>
  <c r="D243" i="38"/>
  <c r="F242" i="38"/>
  <c r="D242" i="38"/>
  <c r="F241" i="38"/>
  <c r="D241" i="38"/>
  <c r="F240" i="38"/>
  <c r="D240" i="38"/>
  <c r="F239" i="38"/>
  <c r="D239" i="38"/>
  <c r="F238" i="38"/>
  <c r="D238" i="38"/>
  <c r="F237" i="38"/>
  <c r="D237" i="38"/>
  <c r="F236" i="38"/>
  <c r="D236" i="38"/>
  <c r="F235" i="38"/>
  <c r="D235" i="38"/>
  <c r="F234" i="38"/>
  <c r="D234" i="38"/>
  <c r="F233" i="38"/>
  <c r="D233" i="38"/>
  <c r="F232" i="38"/>
  <c r="D232" i="38"/>
  <c r="F231" i="38"/>
  <c r="D231" i="38"/>
  <c r="F230" i="38"/>
  <c r="D230" i="38"/>
  <c r="F229" i="38"/>
  <c r="D229" i="38"/>
  <c r="F228" i="38"/>
  <c r="D228" i="38"/>
  <c r="F227" i="38"/>
  <c r="D227" i="38"/>
  <c r="F226" i="38"/>
  <c r="D226" i="38"/>
  <c r="F225" i="38"/>
  <c r="D225" i="38"/>
  <c r="F224" i="38"/>
  <c r="D224" i="38"/>
  <c r="F223" i="38"/>
  <c r="D223" i="38"/>
  <c r="F222" i="38"/>
  <c r="F221" i="38"/>
  <c r="D221" i="38"/>
  <c r="F220" i="38"/>
  <c r="D220" i="38"/>
  <c r="F219" i="38"/>
  <c r="D219" i="38"/>
  <c r="F218" i="38"/>
  <c r="D218" i="38"/>
  <c r="F217" i="38"/>
  <c r="D217" i="38"/>
  <c r="F216" i="38"/>
  <c r="D216" i="38"/>
  <c r="F215" i="38"/>
  <c r="D215" i="38"/>
  <c r="F214" i="38"/>
  <c r="D214" i="38"/>
  <c r="F213" i="38"/>
  <c r="D213" i="38"/>
  <c r="F212" i="38"/>
  <c r="D212" i="38"/>
  <c r="F211" i="38"/>
  <c r="D211" i="38"/>
  <c r="F210" i="38"/>
  <c r="D210" i="38"/>
  <c r="F209" i="38"/>
  <c r="D209" i="38"/>
  <c r="F208" i="38"/>
  <c r="D208" i="38"/>
  <c r="F207" i="38"/>
  <c r="D207" i="38"/>
  <c r="F206" i="38"/>
  <c r="D206" i="38"/>
  <c r="F205" i="38"/>
  <c r="D205" i="38"/>
  <c r="F204" i="38"/>
  <c r="D204" i="38"/>
  <c r="F203" i="38"/>
  <c r="D203" i="38"/>
  <c r="F202" i="38"/>
  <c r="D202" i="38"/>
  <c r="F201" i="38"/>
  <c r="D201" i="38"/>
  <c r="F200" i="38"/>
  <c r="D200" i="38"/>
  <c r="F199" i="38"/>
  <c r="D199" i="38"/>
  <c r="F198" i="38"/>
  <c r="F197" i="38"/>
  <c r="D197" i="38"/>
  <c r="F196" i="38"/>
  <c r="D196" i="38"/>
  <c r="F195" i="38"/>
  <c r="F194" i="38"/>
  <c r="D194" i="38"/>
  <c r="F193" i="38"/>
  <c r="D193" i="38"/>
  <c r="F192" i="38"/>
  <c r="D192" i="38"/>
  <c r="F191" i="38"/>
  <c r="D191" i="38"/>
  <c r="F190" i="38"/>
  <c r="D190" i="38"/>
  <c r="F189" i="38"/>
  <c r="D189" i="38"/>
  <c r="F188" i="38"/>
  <c r="D188" i="38"/>
  <c r="F187" i="38"/>
  <c r="D187" i="38"/>
  <c r="F186" i="38"/>
  <c r="D186" i="38"/>
  <c r="F185" i="38"/>
  <c r="D185" i="38"/>
  <c r="F184" i="38"/>
  <c r="D184" i="38"/>
  <c r="F183" i="38"/>
  <c r="F182" i="38"/>
  <c r="D182" i="38"/>
  <c r="F181" i="38"/>
  <c r="D181" i="38"/>
  <c r="F180" i="38"/>
  <c r="F179" i="38"/>
  <c r="F178" i="38"/>
  <c r="F177" i="38"/>
  <c r="F176" i="38"/>
  <c r="F175" i="38"/>
  <c r="D175" i="38"/>
  <c r="F174" i="38"/>
  <c r="D174" i="38"/>
  <c r="F173" i="38"/>
  <c r="F172" i="38"/>
  <c r="D172" i="38"/>
  <c r="F171" i="38"/>
  <c r="F170" i="38"/>
  <c r="F169" i="38"/>
  <c r="F168" i="38"/>
  <c r="F167" i="38"/>
  <c r="F166" i="38"/>
  <c r="F165" i="38"/>
  <c r="F164" i="38"/>
  <c r="F163" i="38"/>
  <c r="F162" i="38"/>
  <c r="D162" i="38"/>
  <c r="F161" i="38"/>
  <c r="F160" i="38"/>
  <c r="F159" i="38"/>
  <c r="D159" i="38"/>
  <c r="F158" i="38"/>
  <c r="F157" i="38"/>
  <c r="D157" i="38"/>
  <c r="F156" i="38"/>
  <c r="D156" i="38"/>
  <c r="F155" i="38"/>
  <c r="F154" i="38"/>
  <c r="D154" i="38"/>
  <c r="F153" i="38"/>
  <c r="F152" i="38"/>
  <c r="F151" i="38"/>
  <c r="D151" i="38"/>
  <c r="F150" i="38"/>
  <c r="D150" i="38"/>
  <c r="F149" i="38"/>
  <c r="D149" i="38"/>
  <c r="F148" i="38"/>
  <c r="D148" i="38"/>
  <c r="F147" i="38"/>
  <c r="D147" i="38"/>
  <c r="F146" i="38"/>
  <c r="F145" i="38"/>
  <c r="F144" i="38"/>
  <c r="F143" i="38"/>
  <c r="F142" i="38"/>
  <c r="F141" i="38"/>
  <c r="F140" i="38"/>
  <c r="F139" i="38"/>
  <c r="D139" i="38"/>
  <c r="F138" i="38"/>
  <c r="F137" i="38"/>
  <c r="F136" i="38"/>
  <c r="D136" i="38"/>
  <c r="F135" i="38"/>
  <c r="D135" i="38"/>
  <c r="F134" i="38"/>
  <c r="D134" i="38"/>
  <c r="F133" i="38"/>
  <c r="D133" i="38"/>
  <c r="F132" i="38"/>
  <c r="D132" i="38"/>
  <c r="F131" i="38"/>
  <c r="D131" i="38"/>
  <c r="F130" i="38"/>
  <c r="D130" i="38"/>
  <c r="F129" i="38"/>
  <c r="D129" i="38"/>
  <c r="F128" i="38"/>
  <c r="D128" i="38"/>
  <c r="F127" i="38"/>
  <c r="D127" i="38"/>
  <c r="F126" i="38"/>
  <c r="D126" i="38"/>
  <c r="F125" i="38"/>
  <c r="D125" i="38"/>
  <c r="F124" i="38"/>
  <c r="D124" i="38"/>
  <c r="F123" i="38"/>
  <c r="D123" i="38"/>
  <c r="F122" i="38"/>
  <c r="D122" i="38"/>
  <c r="F121" i="38"/>
  <c r="D121" i="38"/>
  <c r="F120" i="38"/>
  <c r="D120" i="38"/>
  <c r="F119" i="38"/>
  <c r="D119" i="38"/>
  <c r="F118" i="38"/>
  <c r="D118" i="38"/>
  <c r="F117" i="38"/>
  <c r="D117" i="38"/>
  <c r="F116" i="38"/>
  <c r="D116" i="38"/>
  <c r="F115" i="38"/>
  <c r="D115" i="38"/>
  <c r="F114" i="38"/>
  <c r="D114" i="38"/>
  <c r="F113" i="38"/>
  <c r="F112" i="38"/>
  <c r="F111" i="38"/>
  <c r="Q110" i="38"/>
  <c r="F110" i="38"/>
  <c r="D110" i="38"/>
  <c r="Q109" i="38"/>
  <c r="F109" i="38"/>
  <c r="Q108" i="38"/>
  <c r="F108" i="38"/>
  <c r="Q107" i="38"/>
  <c r="F107" i="38"/>
  <c r="Q106" i="38"/>
  <c r="F106" i="38"/>
  <c r="D106" i="38"/>
  <c r="Q105" i="38"/>
  <c r="F105" i="38"/>
  <c r="Q104" i="38"/>
  <c r="F104" i="38"/>
  <c r="Q103" i="38"/>
  <c r="F103" i="38"/>
  <c r="Q102" i="38"/>
  <c r="F102" i="38"/>
  <c r="Q101" i="38"/>
  <c r="F101" i="38"/>
  <c r="Q100" i="38"/>
  <c r="F100" i="38"/>
  <c r="D100" i="38"/>
  <c r="Q99" i="38"/>
  <c r="F99" i="38"/>
  <c r="Q98" i="38"/>
  <c r="F98" i="38"/>
  <c r="D98" i="38"/>
  <c r="Q97" i="38"/>
  <c r="F97" i="38"/>
  <c r="D97" i="38"/>
  <c r="Q96" i="38"/>
  <c r="F96" i="38"/>
  <c r="D96" i="38"/>
  <c r="Q95" i="38"/>
  <c r="F95" i="38"/>
  <c r="D95" i="38"/>
  <c r="Q94" i="38"/>
  <c r="F94" i="38"/>
  <c r="D94" i="38"/>
  <c r="Q93" i="38"/>
  <c r="F93" i="38"/>
  <c r="D93" i="38"/>
  <c r="Q92" i="38"/>
  <c r="F92" i="38"/>
  <c r="D92" i="38"/>
  <c r="Q91" i="38"/>
  <c r="F91" i="38"/>
  <c r="D91" i="38"/>
  <c r="Q90" i="38"/>
  <c r="F90" i="38"/>
  <c r="D90" i="38"/>
  <c r="Q89" i="38"/>
  <c r="F89" i="38"/>
  <c r="D89" i="38"/>
  <c r="Q88" i="38"/>
  <c r="F88" i="38"/>
  <c r="D88" i="38"/>
  <c r="Q87" i="38"/>
  <c r="F87" i="38"/>
  <c r="D87" i="38"/>
  <c r="Q86" i="38"/>
  <c r="F86" i="38"/>
  <c r="D86" i="38"/>
  <c r="Q85" i="38"/>
  <c r="F85" i="38"/>
  <c r="D85" i="38"/>
  <c r="Q84" i="38"/>
  <c r="F84" i="38"/>
  <c r="D84" i="38"/>
  <c r="Q83" i="38"/>
  <c r="F83" i="38"/>
  <c r="D83" i="38"/>
  <c r="Q82" i="38"/>
  <c r="F82" i="38"/>
  <c r="D82" i="38"/>
  <c r="Q81" i="38"/>
  <c r="F81" i="38"/>
  <c r="D81" i="38"/>
  <c r="Q80" i="38"/>
  <c r="F80" i="38"/>
  <c r="D80" i="38"/>
  <c r="Q79" i="38"/>
  <c r="F79" i="38"/>
  <c r="D79" i="38"/>
  <c r="Q78" i="38"/>
  <c r="F78" i="38"/>
  <c r="D78" i="38"/>
  <c r="Q77" i="38"/>
  <c r="F77" i="38"/>
  <c r="D77" i="38"/>
  <c r="Q76" i="38"/>
  <c r="F76" i="38"/>
  <c r="D76" i="38"/>
  <c r="Q75" i="38"/>
  <c r="F75" i="38"/>
  <c r="D75" i="38"/>
  <c r="Q74" i="38"/>
  <c r="F74" i="38"/>
  <c r="D74" i="38"/>
  <c r="Q73" i="38"/>
  <c r="F73" i="38"/>
  <c r="D73" i="38"/>
  <c r="Q72" i="38"/>
  <c r="F72" i="38"/>
  <c r="D72" i="38"/>
  <c r="Q71" i="38"/>
  <c r="F71" i="38"/>
  <c r="D71" i="38"/>
  <c r="Q70" i="38"/>
  <c r="F70" i="38"/>
  <c r="D70" i="38"/>
  <c r="Q69" i="38"/>
  <c r="F69" i="38"/>
  <c r="D69" i="38"/>
  <c r="Q68" i="38"/>
  <c r="F68" i="38"/>
  <c r="Q67" i="38"/>
  <c r="F67" i="38"/>
  <c r="Q66" i="38"/>
  <c r="F66" i="38"/>
  <c r="D66" i="38"/>
  <c r="Q65" i="38"/>
  <c r="F65" i="38"/>
  <c r="D65" i="38"/>
  <c r="Q64" i="38"/>
  <c r="F64" i="38"/>
  <c r="D64" i="38"/>
  <c r="Q63" i="38"/>
  <c r="F63" i="38"/>
  <c r="D63" i="38"/>
  <c r="Q62" i="38"/>
  <c r="F62" i="38"/>
  <c r="Q61" i="38"/>
  <c r="F61" i="38"/>
  <c r="D61" i="38"/>
  <c r="Q60" i="38"/>
  <c r="F60" i="38"/>
  <c r="D60" i="38"/>
  <c r="Q59" i="38"/>
  <c r="F59" i="38"/>
  <c r="D59" i="38"/>
  <c r="Q58" i="38"/>
  <c r="F58" i="38"/>
  <c r="D58" i="38"/>
  <c r="Q57" i="38"/>
  <c r="F57" i="38"/>
  <c r="D57" i="38"/>
  <c r="Q56" i="38"/>
  <c r="F56" i="38"/>
  <c r="D56" i="38"/>
  <c r="Q55" i="38"/>
  <c r="F55" i="38"/>
  <c r="D55" i="38"/>
  <c r="Q54" i="38"/>
  <c r="F54" i="38"/>
  <c r="D54" i="38"/>
  <c r="Q53" i="38"/>
  <c r="F53" i="38"/>
  <c r="D53" i="38"/>
  <c r="Q52" i="38"/>
  <c r="F52" i="38"/>
  <c r="D52" i="38"/>
  <c r="Q51" i="38"/>
  <c r="F51" i="38"/>
  <c r="D51" i="38"/>
  <c r="Q50" i="38"/>
  <c r="F50" i="38"/>
  <c r="D50" i="38"/>
  <c r="Q49" i="38"/>
  <c r="F49" i="38"/>
  <c r="D49" i="38"/>
  <c r="Q48" i="38"/>
  <c r="F48" i="38"/>
  <c r="D48" i="38"/>
  <c r="Q47" i="38"/>
  <c r="F47" i="38"/>
  <c r="D47" i="38"/>
  <c r="Q46" i="38"/>
  <c r="F46" i="38"/>
  <c r="D46" i="38"/>
  <c r="Q45" i="38"/>
  <c r="F45" i="38"/>
  <c r="D45" i="38"/>
  <c r="Q44" i="38"/>
  <c r="F44" i="38"/>
  <c r="Q43" i="38"/>
  <c r="F43" i="38"/>
  <c r="D43" i="38"/>
  <c r="Q42" i="38"/>
  <c r="F42" i="38"/>
  <c r="Q41" i="38"/>
  <c r="F41" i="38"/>
  <c r="D41" i="38"/>
  <c r="Q40" i="38"/>
  <c r="F40" i="38"/>
  <c r="Q39" i="38"/>
  <c r="F39" i="38"/>
  <c r="D39" i="38"/>
  <c r="Q38" i="38"/>
  <c r="F38" i="38"/>
  <c r="D38" i="38"/>
  <c r="Q37" i="38"/>
  <c r="F37" i="38"/>
  <c r="D37" i="38"/>
  <c r="Q36" i="38"/>
  <c r="F36" i="38"/>
  <c r="D36" i="38"/>
  <c r="Q35" i="38"/>
  <c r="F35" i="38"/>
  <c r="D35" i="38"/>
  <c r="Q34" i="38"/>
  <c r="F34" i="38"/>
  <c r="D34" i="38"/>
  <c r="Q33" i="38"/>
  <c r="F33" i="38"/>
  <c r="D33" i="38"/>
  <c r="Q32" i="38"/>
  <c r="F32" i="38"/>
  <c r="D32" i="38"/>
  <c r="Q31" i="38"/>
  <c r="F31" i="38"/>
  <c r="D31" i="38"/>
  <c r="Q30" i="38"/>
  <c r="F30" i="38"/>
  <c r="D30" i="38"/>
  <c r="Q29" i="38"/>
  <c r="F29" i="38"/>
  <c r="D29" i="38"/>
  <c r="Q28" i="38"/>
  <c r="F28" i="38"/>
  <c r="Q27" i="38"/>
  <c r="F27" i="38"/>
  <c r="D27" i="38"/>
  <c r="Q26" i="38"/>
  <c r="F26" i="38"/>
  <c r="D26" i="38"/>
  <c r="Q25" i="38"/>
  <c r="F25" i="38"/>
  <c r="D25" i="38"/>
  <c r="Q24" i="38"/>
  <c r="F24" i="38"/>
  <c r="D24" i="38"/>
  <c r="Q23" i="38"/>
  <c r="F23" i="38"/>
  <c r="D23" i="38"/>
  <c r="Q22" i="38"/>
  <c r="F22" i="38"/>
  <c r="D22" i="38"/>
  <c r="Q21" i="38"/>
  <c r="F21" i="38"/>
  <c r="D21" i="38"/>
  <c r="Q20" i="38"/>
  <c r="F20" i="38"/>
  <c r="D20" i="38"/>
  <c r="Q19" i="38"/>
  <c r="F19" i="38"/>
  <c r="D19" i="38"/>
  <c r="Q18" i="38"/>
  <c r="F18" i="38"/>
  <c r="D18" i="38"/>
  <c r="Q17" i="38"/>
  <c r="F17" i="38"/>
  <c r="D17" i="38"/>
  <c r="Q16" i="38"/>
  <c r="F16" i="38"/>
  <c r="D16" i="38"/>
  <c r="Q15" i="38"/>
  <c r="F15" i="38"/>
  <c r="D15" i="38"/>
  <c r="Q14" i="38"/>
  <c r="F14" i="38"/>
  <c r="D14" i="38"/>
  <c r="Q13" i="38"/>
  <c r="F13" i="38"/>
  <c r="D13" i="38"/>
  <c r="Q12" i="38"/>
  <c r="F12" i="38"/>
  <c r="D12" i="38"/>
  <c r="Q11" i="38"/>
  <c r="F11" i="38"/>
  <c r="Q10" i="38"/>
  <c r="F10" i="38"/>
  <c r="D10" i="38"/>
  <c r="Q9" i="38"/>
  <c r="F9" i="38"/>
  <c r="D9" i="38"/>
  <c r="Q8" i="38"/>
  <c r="F8" i="38"/>
  <c r="D8" i="38"/>
  <c r="Q7" i="38"/>
  <c r="F7" i="38"/>
  <c r="D7" i="38"/>
  <c r="Q6" i="38"/>
  <c r="F6" i="38"/>
  <c r="D6" i="38"/>
  <c r="Q5" i="38"/>
  <c r="F5" i="38"/>
  <c r="D5" i="38"/>
  <c r="Q4" i="38"/>
  <c r="F4" i="38"/>
  <c r="D4" i="38"/>
  <c r="Q3" i="38"/>
  <c r="F3" i="38"/>
  <c r="D3" i="38"/>
  <c r="R1694" i="27"/>
  <c r="L1694" i="27"/>
  <c r="K1694" i="27"/>
  <c r="J1694" i="27"/>
  <c r="R1693" i="27"/>
  <c r="L1693" i="27"/>
  <c r="K1693" i="27"/>
  <c r="J1693" i="27"/>
  <c r="R1692" i="27"/>
  <c r="L1692" i="27"/>
  <c r="K1692" i="27"/>
  <c r="J1692" i="27"/>
  <c r="R1691" i="27"/>
  <c r="L1691" i="27"/>
  <c r="K1691" i="27"/>
  <c r="J1691" i="27"/>
  <c r="R1690" i="27"/>
  <c r="L1690" i="27"/>
  <c r="K1690" i="27"/>
  <c r="J1690" i="27"/>
  <c r="R1689" i="27"/>
  <c r="L1689" i="27"/>
  <c r="K1689" i="27"/>
  <c r="J1689" i="27"/>
  <c r="R1688" i="27"/>
  <c r="L1688" i="27"/>
  <c r="K1688" i="27"/>
  <c r="J1688" i="27"/>
  <c r="R1687" i="27"/>
  <c r="L1687" i="27"/>
  <c r="K1687" i="27"/>
  <c r="J1687" i="27"/>
  <c r="R1686" i="27"/>
  <c r="L1686" i="27"/>
  <c r="K1686" i="27"/>
  <c r="J1686" i="27"/>
  <c r="R1685" i="27"/>
  <c r="L1685" i="27"/>
  <c r="K1685" i="27"/>
  <c r="J1685" i="27"/>
  <c r="R1684" i="27"/>
  <c r="L1684" i="27"/>
  <c r="K1684" i="27"/>
  <c r="J1684" i="27"/>
  <c r="R1683" i="27"/>
  <c r="L1683" i="27"/>
  <c r="K1683" i="27"/>
  <c r="J1683" i="27"/>
  <c r="R1682" i="27"/>
  <c r="L1682" i="27"/>
  <c r="K1682" i="27"/>
  <c r="J1682" i="27"/>
  <c r="R1681" i="27"/>
  <c r="L1681" i="27"/>
  <c r="K1681" i="27"/>
  <c r="J1681" i="27"/>
  <c r="R1680" i="27"/>
  <c r="L1680" i="27"/>
  <c r="K1680" i="27"/>
  <c r="J1680" i="27"/>
  <c r="R1679" i="27"/>
  <c r="L1679" i="27"/>
  <c r="K1679" i="27"/>
  <c r="J1679" i="27"/>
  <c r="R1678" i="27"/>
  <c r="L1678" i="27"/>
  <c r="K1678" i="27"/>
  <c r="J1678" i="27"/>
  <c r="R1677" i="27"/>
  <c r="L1677" i="27"/>
  <c r="K1677" i="27"/>
  <c r="J1677" i="27"/>
  <c r="R1676" i="27"/>
  <c r="L1676" i="27"/>
  <c r="K1676" i="27"/>
  <c r="J1676" i="27"/>
  <c r="R1675" i="27"/>
  <c r="L1675" i="27"/>
  <c r="K1675" i="27"/>
  <c r="J1675" i="27"/>
  <c r="R1674" i="27"/>
  <c r="L1674" i="27"/>
  <c r="K1674" i="27"/>
  <c r="J1674" i="27"/>
  <c r="R1673" i="27"/>
  <c r="L1673" i="27"/>
  <c r="K1673" i="27"/>
  <c r="J1673" i="27"/>
  <c r="R1672" i="27"/>
  <c r="L1672" i="27"/>
  <c r="K1672" i="27"/>
  <c r="J1672" i="27"/>
  <c r="R1671" i="27"/>
  <c r="L1671" i="27"/>
  <c r="K1671" i="27"/>
  <c r="J1671" i="27"/>
  <c r="R1670" i="27"/>
  <c r="L1670" i="27"/>
  <c r="K1670" i="27"/>
  <c r="J1670" i="27"/>
  <c r="R1669" i="27"/>
  <c r="L1669" i="27"/>
  <c r="K1669" i="27"/>
  <c r="J1669" i="27"/>
  <c r="R1668" i="27"/>
  <c r="L1668" i="27"/>
  <c r="K1668" i="27"/>
  <c r="J1668" i="27"/>
  <c r="R1667" i="27"/>
  <c r="L1667" i="27"/>
  <c r="K1667" i="27"/>
  <c r="J1667" i="27"/>
  <c r="R1666" i="27"/>
  <c r="L1666" i="27"/>
  <c r="K1666" i="27"/>
  <c r="J1666" i="27"/>
  <c r="R1665" i="27"/>
  <c r="L1665" i="27"/>
  <c r="K1665" i="27"/>
  <c r="J1665" i="27"/>
  <c r="R1664" i="27"/>
  <c r="L1664" i="27"/>
  <c r="K1664" i="27"/>
  <c r="J1664" i="27"/>
  <c r="R1663" i="27"/>
  <c r="L1663" i="27"/>
  <c r="K1663" i="27"/>
  <c r="J1663" i="27"/>
  <c r="R1662" i="27"/>
  <c r="L1662" i="27"/>
  <c r="K1662" i="27"/>
  <c r="J1662" i="27"/>
  <c r="R1661" i="27"/>
  <c r="L1661" i="27"/>
  <c r="K1661" i="27"/>
  <c r="J1661" i="27"/>
  <c r="R1660" i="27"/>
  <c r="L1660" i="27"/>
  <c r="K1660" i="27"/>
  <c r="J1660" i="27"/>
  <c r="R1659" i="27"/>
  <c r="L1659" i="27"/>
  <c r="K1659" i="27"/>
  <c r="J1659" i="27"/>
  <c r="R1658" i="27"/>
  <c r="L1658" i="27"/>
  <c r="K1658" i="27"/>
  <c r="J1658" i="27"/>
  <c r="R1657" i="27"/>
  <c r="L1657" i="27"/>
  <c r="K1657" i="27"/>
  <c r="J1657" i="27"/>
  <c r="R1656" i="27"/>
  <c r="L1656" i="27"/>
  <c r="K1656" i="27"/>
  <c r="J1656" i="27"/>
  <c r="R1655" i="27"/>
  <c r="L1655" i="27"/>
  <c r="K1655" i="27"/>
  <c r="J1655" i="27"/>
  <c r="R1654" i="27"/>
  <c r="L1654" i="27"/>
  <c r="K1654" i="27"/>
  <c r="J1654" i="27"/>
  <c r="R1653" i="27"/>
  <c r="L1653" i="27"/>
  <c r="K1653" i="27"/>
  <c r="J1653" i="27"/>
  <c r="R1652" i="27"/>
  <c r="L1652" i="27"/>
  <c r="K1652" i="27"/>
  <c r="J1652" i="27"/>
  <c r="R1651" i="27"/>
  <c r="L1651" i="27"/>
  <c r="K1651" i="27"/>
  <c r="J1651" i="27"/>
  <c r="R1650" i="27"/>
  <c r="L1650" i="27"/>
  <c r="K1650" i="27"/>
  <c r="J1650" i="27"/>
  <c r="R1649" i="27"/>
  <c r="L1649" i="27"/>
  <c r="K1649" i="27"/>
  <c r="J1649" i="27"/>
  <c r="R1648" i="27"/>
  <c r="L1648" i="27"/>
  <c r="K1648" i="27"/>
  <c r="J1648" i="27"/>
  <c r="R1647" i="27"/>
  <c r="L1647" i="27"/>
  <c r="K1647" i="27"/>
  <c r="J1647" i="27"/>
  <c r="R1646" i="27"/>
  <c r="L1646" i="27"/>
  <c r="K1646" i="27"/>
  <c r="J1646" i="27"/>
  <c r="R1645" i="27"/>
  <c r="L1645" i="27"/>
  <c r="K1645" i="27"/>
  <c r="J1645" i="27"/>
  <c r="R1644" i="27"/>
  <c r="L1644" i="27"/>
  <c r="K1644" i="27"/>
  <c r="J1644" i="27"/>
  <c r="R1643" i="27"/>
  <c r="L1643" i="27"/>
  <c r="K1643" i="27"/>
  <c r="J1643" i="27"/>
  <c r="R1642" i="27"/>
  <c r="L1642" i="27"/>
  <c r="K1642" i="27"/>
  <c r="J1642" i="27"/>
  <c r="R1641" i="27"/>
  <c r="L1641" i="27"/>
  <c r="K1641" i="27"/>
  <c r="J1641" i="27"/>
  <c r="R1640" i="27"/>
  <c r="L1640" i="27"/>
  <c r="K1640" i="27"/>
  <c r="J1640" i="27"/>
  <c r="R1639" i="27"/>
  <c r="L1639" i="27"/>
  <c r="K1639" i="27"/>
  <c r="J1639" i="27"/>
  <c r="R1638" i="27"/>
  <c r="L1638" i="27"/>
  <c r="K1638" i="27"/>
  <c r="J1638" i="27"/>
  <c r="R1637" i="27"/>
  <c r="L1637" i="27"/>
  <c r="K1637" i="27"/>
  <c r="J1637" i="27"/>
  <c r="R1636" i="27"/>
  <c r="L1636" i="27"/>
  <c r="K1636" i="27"/>
  <c r="J1636" i="27"/>
  <c r="R1635" i="27"/>
  <c r="L1635" i="27"/>
  <c r="K1635" i="27"/>
  <c r="J1635" i="27"/>
  <c r="R1634" i="27"/>
  <c r="L1634" i="27"/>
  <c r="K1634" i="27"/>
  <c r="J1634" i="27"/>
  <c r="R1633" i="27"/>
  <c r="L1633" i="27"/>
  <c r="K1633" i="27"/>
  <c r="J1633" i="27"/>
  <c r="Q1632" i="27"/>
  <c r="L1632" i="27"/>
  <c r="K1632" i="27"/>
  <c r="J1632" i="27"/>
  <c r="R1631" i="27"/>
  <c r="L1631" i="27"/>
  <c r="K1631" i="27"/>
  <c r="J1631" i="27"/>
  <c r="R1630" i="27"/>
  <c r="L1630" i="27"/>
  <c r="K1630" i="27"/>
  <c r="J1630" i="27"/>
  <c r="R1629" i="27"/>
  <c r="L1629" i="27"/>
  <c r="K1629" i="27"/>
  <c r="J1629" i="27"/>
  <c r="Q1628" i="27"/>
  <c r="L1628" i="27"/>
  <c r="K1628" i="27"/>
  <c r="J1628" i="27"/>
  <c r="R1627" i="27"/>
  <c r="L1627" i="27"/>
  <c r="K1627" i="27"/>
  <c r="J1627" i="27"/>
  <c r="R1626" i="27"/>
  <c r="L1626" i="27"/>
  <c r="K1626" i="27"/>
  <c r="J1626" i="27"/>
  <c r="R1625" i="27"/>
  <c r="L1625" i="27"/>
  <c r="K1625" i="27"/>
  <c r="J1625" i="27"/>
  <c r="R1624" i="27"/>
  <c r="Q1624" i="27"/>
  <c r="D350" i="38" s="1"/>
  <c r="L1624" i="27"/>
  <c r="K1624" i="27"/>
  <c r="J1624" i="27"/>
  <c r="R1623" i="27"/>
  <c r="L1623" i="27"/>
  <c r="K1623" i="27"/>
  <c r="J1623" i="27"/>
  <c r="R1622" i="27"/>
  <c r="L1622" i="27"/>
  <c r="K1622" i="27"/>
  <c r="J1622" i="27"/>
  <c r="R1621" i="27"/>
  <c r="L1621" i="27"/>
  <c r="K1621" i="27"/>
  <c r="J1621" i="27"/>
  <c r="R1620" i="27"/>
  <c r="L1620" i="27"/>
  <c r="K1620" i="27"/>
  <c r="J1620" i="27"/>
  <c r="R1619" i="27"/>
  <c r="L1619" i="27"/>
  <c r="K1619" i="27"/>
  <c r="J1619" i="27"/>
  <c r="R1618" i="27"/>
  <c r="L1618" i="27"/>
  <c r="K1618" i="27"/>
  <c r="J1618" i="27"/>
  <c r="R1617" i="27"/>
  <c r="L1617" i="27"/>
  <c r="K1617" i="27"/>
  <c r="J1617" i="27"/>
  <c r="R1616" i="27"/>
  <c r="L1616" i="27"/>
  <c r="K1616" i="27"/>
  <c r="J1616" i="27"/>
  <c r="R1615" i="27"/>
  <c r="L1615" i="27"/>
  <c r="K1615" i="27"/>
  <c r="J1615" i="27"/>
  <c r="R1614" i="27"/>
  <c r="L1614" i="27"/>
  <c r="K1614" i="27"/>
  <c r="J1614" i="27"/>
  <c r="R1613" i="27"/>
  <c r="L1613" i="27"/>
  <c r="K1613" i="27"/>
  <c r="J1613" i="27"/>
  <c r="R1612" i="27"/>
  <c r="L1612" i="27"/>
  <c r="K1612" i="27"/>
  <c r="J1612" i="27"/>
  <c r="R1611" i="27"/>
  <c r="L1611" i="27"/>
  <c r="K1611" i="27"/>
  <c r="J1611" i="27"/>
  <c r="R1610" i="27"/>
  <c r="L1610" i="27"/>
  <c r="K1610" i="27"/>
  <c r="J1610" i="27"/>
  <c r="R1609" i="27"/>
  <c r="L1609" i="27"/>
  <c r="K1609" i="27"/>
  <c r="J1609" i="27"/>
  <c r="R1608" i="27"/>
  <c r="L1608" i="27"/>
  <c r="K1608" i="27"/>
  <c r="J1608" i="27"/>
  <c r="R1607" i="27"/>
  <c r="L1607" i="27"/>
  <c r="K1607" i="27"/>
  <c r="J1607" i="27"/>
  <c r="R1606" i="27"/>
  <c r="L1606" i="27"/>
  <c r="K1606" i="27"/>
  <c r="J1606" i="27"/>
  <c r="R1605" i="27"/>
  <c r="L1605" i="27"/>
  <c r="K1605" i="27"/>
  <c r="J1605" i="27"/>
  <c r="R1604" i="27"/>
  <c r="L1604" i="27"/>
  <c r="K1604" i="27"/>
  <c r="J1604" i="27"/>
  <c r="R1603" i="27"/>
  <c r="L1603" i="27"/>
  <c r="K1603" i="27"/>
  <c r="J1603" i="27"/>
  <c r="R1602" i="27"/>
  <c r="L1602" i="27"/>
  <c r="K1602" i="27"/>
  <c r="J1602" i="27"/>
  <c r="R1601" i="27"/>
  <c r="L1601" i="27"/>
  <c r="K1601" i="27"/>
  <c r="J1601" i="27"/>
  <c r="R1600" i="27"/>
  <c r="L1600" i="27"/>
  <c r="K1600" i="27"/>
  <c r="J1600" i="27"/>
  <c r="R1599" i="27"/>
  <c r="L1599" i="27"/>
  <c r="K1599" i="27"/>
  <c r="J1599" i="27"/>
  <c r="R1598" i="27"/>
  <c r="L1598" i="27"/>
  <c r="K1598" i="27"/>
  <c r="J1598" i="27"/>
  <c r="R1597" i="27"/>
  <c r="L1597" i="27"/>
  <c r="K1597" i="27"/>
  <c r="J1597" i="27"/>
  <c r="R1596" i="27"/>
  <c r="L1596" i="27"/>
  <c r="K1596" i="27"/>
  <c r="J1596" i="27"/>
  <c r="R1595" i="27"/>
  <c r="L1595" i="27"/>
  <c r="K1595" i="27"/>
  <c r="J1595" i="27"/>
  <c r="R1594" i="27"/>
  <c r="L1594" i="27"/>
  <c r="K1594" i="27"/>
  <c r="J1594" i="27"/>
  <c r="R1593" i="27"/>
  <c r="L1593" i="27"/>
  <c r="K1593" i="27"/>
  <c r="J1593" i="27"/>
  <c r="R1592" i="27"/>
  <c r="L1592" i="27"/>
  <c r="K1592" i="27"/>
  <c r="J1592" i="27"/>
  <c r="R1591" i="27"/>
  <c r="L1591" i="27"/>
  <c r="K1591" i="27"/>
  <c r="J1591" i="27"/>
  <c r="R1590" i="27"/>
  <c r="L1590" i="27"/>
  <c r="K1590" i="27"/>
  <c r="J1590" i="27"/>
  <c r="R1589" i="27"/>
  <c r="L1589" i="27"/>
  <c r="K1589" i="27"/>
  <c r="J1589" i="27"/>
  <c r="R1588" i="27"/>
  <c r="L1588" i="27"/>
  <c r="K1588" i="27"/>
  <c r="J1588" i="27"/>
  <c r="Q1587" i="27"/>
  <c r="D345" i="38" s="1"/>
  <c r="L1587" i="27"/>
  <c r="K1587" i="27"/>
  <c r="J1587" i="27"/>
  <c r="R1586" i="27"/>
  <c r="L1586" i="27"/>
  <c r="K1586" i="27"/>
  <c r="J1586" i="27"/>
  <c r="R1585" i="27"/>
  <c r="L1585" i="27"/>
  <c r="K1585" i="27"/>
  <c r="J1585" i="27"/>
  <c r="R1584" i="27"/>
  <c r="L1584" i="27"/>
  <c r="K1584" i="27"/>
  <c r="J1584" i="27"/>
  <c r="R1583" i="27"/>
  <c r="L1583" i="27"/>
  <c r="K1583" i="27"/>
  <c r="J1583" i="27"/>
  <c r="R1582" i="27"/>
  <c r="L1582" i="27"/>
  <c r="K1582" i="27"/>
  <c r="J1582" i="27"/>
  <c r="R1581" i="27"/>
  <c r="L1581" i="27"/>
  <c r="K1581" i="27"/>
  <c r="J1581" i="27"/>
  <c r="R1580" i="27"/>
  <c r="L1580" i="27"/>
  <c r="K1580" i="27"/>
  <c r="J1580" i="27"/>
  <c r="R1579" i="27"/>
  <c r="L1579" i="27"/>
  <c r="K1579" i="27"/>
  <c r="J1579" i="27"/>
  <c r="R1578" i="27"/>
  <c r="L1578" i="27"/>
  <c r="K1578" i="27"/>
  <c r="J1578" i="27"/>
  <c r="R1577" i="27"/>
  <c r="L1577" i="27"/>
  <c r="K1577" i="27"/>
  <c r="J1577" i="27"/>
  <c r="R1576" i="27"/>
  <c r="L1576" i="27"/>
  <c r="K1576" i="27"/>
  <c r="J1576" i="27"/>
  <c r="R1575" i="27"/>
  <c r="L1575" i="27"/>
  <c r="K1575" i="27"/>
  <c r="J1575" i="27"/>
  <c r="R1574" i="27"/>
  <c r="L1574" i="27"/>
  <c r="K1574" i="27"/>
  <c r="J1574" i="27"/>
  <c r="R1573" i="27"/>
  <c r="L1573" i="27"/>
  <c r="K1573" i="27"/>
  <c r="J1573" i="27"/>
  <c r="R1572" i="27"/>
  <c r="L1572" i="27"/>
  <c r="K1572" i="27"/>
  <c r="J1572" i="27"/>
  <c r="R1571" i="27"/>
  <c r="L1571" i="27"/>
  <c r="K1571" i="27"/>
  <c r="J1571" i="27"/>
  <c r="R1570" i="27"/>
  <c r="L1570" i="27"/>
  <c r="K1570" i="27"/>
  <c r="J1570" i="27"/>
  <c r="R1569" i="27"/>
  <c r="L1569" i="27"/>
  <c r="K1569" i="27"/>
  <c r="J1569" i="27"/>
  <c r="R1568" i="27"/>
  <c r="L1568" i="27"/>
  <c r="K1568" i="27"/>
  <c r="J1568" i="27"/>
  <c r="R1567" i="27"/>
  <c r="L1567" i="27"/>
  <c r="K1567" i="27"/>
  <c r="J1567" i="27"/>
  <c r="R1566" i="27"/>
  <c r="L1566" i="27"/>
  <c r="K1566" i="27"/>
  <c r="J1566" i="27"/>
  <c r="R1565" i="27"/>
  <c r="L1565" i="27"/>
  <c r="K1565" i="27"/>
  <c r="J1565" i="27"/>
  <c r="R1564" i="27"/>
  <c r="L1564" i="27"/>
  <c r="K1564" i="27"/>
  <c r="J1564" i="27"/>
  <c r="R1563" i="27"/>
  <c r="L1563" i="27"/>
  <c r="K1563" i="27"/>
  <c r="J1563" i="27"/>
  <c r="R1562" i="27"/>
  <c r="L1562" i="27"/>
  <c r="K1562" i="27"/>
  <c r="J1562" i="27"/>
  <c r="R1561" i="27"/>
  <c r="L1561" i="27"/>
  <c r="K1561" i="27"/>
  <c r="J1561" i="27"/>
  <c r="R1560" i="27"/>
  <c r="Q1560" i="27"/>
  <c r="D339" i="38" s="1"/>
  <c r="L1560" i="27"/>
  <c r="K1560" i="27"/>
  <c r="J1560" i="27"/>
  <c r="R1559" i="27"/>
  <c r="L1559" i="27"/>
  <c r="K1559" i="27"/>
  <c r="J1559" i="27"/>
  <c r="R1558" i="27"/>
  <c r="L1558" i="27"/>
  <c r="K1558" i="27"/>
  <c r="J1558" i="27"/>
  <c r="R1557" i="27"/>
  <c r="L1557" i="27"/>
  <c r="K1557" i="27"/>
  <c r="J1557" i="27"/>
  <c r="R1556" i="27"/>
  <c r="L1556" i="27"/>
  <c r="K1556" i="27"/>
  <c r="J1556" i="27"/>
  <c r="R1555" i="27"/>
  <c r="L1555" i="27"/>
  <c r="K1555" i="27"/>
  <c r="J1555" i="27"/>
  <c r="R1554" i="27"/>
  <c r="L1554" i="27"/>
  <c r="K1554" i="27"/>
  <c r="J1554" i="27"/>
  <c r="R1553" i="27"/>
  <c r="L1553" i="27"/>
  <c r="K1553" i="27"/>
  <c r="J1553" i="27"/>
  <c r="R1552" i="27"/>
  <c r="L1552" i="27"/>
  <c r="K1552" i="27"/>
  <c r="J1552" i="27"/>
  <c r="R1551" i="27"/>
  <c r="L1551" i="27"/>
  <c r="K1551" i="27"/>
  <c r="J1551" i="27"/>
  <c r="R1550" i="27"/>
  <c r="L1550" i="27"/>
  <c r="K1550" i="27"/>
  <c r="J1550" i="27"/>
  <c r="R1549" i="27"/>
  <c r="L1549" i="27"/>
  <c r="K1549" i="27"/>
  <c r="J1549" i="27"/>
  <c r="R1548" i="27"/>
  <c r="L1548" i="27"/>
  <c r="K1548" i="27"/>
  <c r="J1548" i="27"/>
  <c r="R1547" i="27"/>
  <c r="L1547" i="27"/>
  <c r="K1547" i="27"/>
  <c r="J1547" i="27"/>
  <c r="Q1546" i="27"/>
  <c r="L1546" i="27"/>
  <c r="K1546" i="27"/>
  <c r="J1546" i="27"/>
  <c r="R1545" i="27"/>
  <c r="L1545" i="27"/>
  <c r="K1545" i="27"/>
  <c r="J1545" i="27"/>
  <c r="R1544" i="27"/>
  <c r="L1544" i="27"/>
  <c r="K1544" i="27"/>
  <c r="J1544" i="27"/>
  <c r="R1543" i="27"/>
  <c r="L1543" i="27"/>
  <c r="K1543" i="27"/>
  <c r="J1543" i="27"/>
  <c r="R1542" i="27"/>
  <c r="L1542" i="27"/>
  <c r="K1542" i="27"/>
  <c r="J1542" i="27"/>
  <c r="R1541" i="27"/>
  <c r="L1541" i="27"/>
  <c r="K1541" i="27"/>
  <c r="J1541" i="27"/>
  <c r="R1540" i="27"/>
  <c r="L1540" i="27"/>
  <c r="K1540" i="27"/>
  <c r="J1540" i="27"/>
  <c r="R1539" i="27"/>
  <c r="L1539" i="27"/>
  <c r="K1539" i="27"/>
  <c r="J1539" i="27"/>
  <c r="R1538" i="27"/>
  <c r="L1538" i="27"/>
  <c r="K1538" i="27"/>
  <c r="J1538" i="27"/>
  <c r="R1537" i="27"/>
  <c r="L1537" i="27"/>
  <c r="K1537" i="27"/>
  <c r="J1537" i="27"/>
  <c r="R1536" i="27"/>
  <c r="L1536" i="27"/>
  <c r="K1536" i="27"/>
  <c r="J1536" i="27"/>
  <c r="R1535" i="27"/>
  <c r="L1535" i="27"/>
  <c r="K1535" i="27"/>
  <c r="J1535" i="27"/>
  <c r="R1534" i="27"/>
  <c r="L1534" i="27"/>
  <c r="K1534" i="27"/>
  <c r="J1534" i="27"/>
  <c r="R1533" i="27"/>
  <c r="L1533" i="27"/>
  <c r="K1533" i="27"/>
  <c r="J1533" i="27"/>
  <c r="R1532" i="27"/>
  <c r="L1532" i="27"/>
  <c r="K1532" i="27"/>
  <c r="J1532" i="27"/>
  <c r="R1531" i="27"/>
  <c r="L1531" i="27"/>
  <c r="K1531" i="27"/>
  <c r="J1531" i="27"/>
  <c r="R1530" i="27"/>
  <c r="L1530" i="27"/>
  <c r="K1530" i="27"/>
  <c r="J1530" i="27"/>
  <c r="R1529" i="27"/>
  <c r="L1529" i="27"/>
  <c r="K1529" i="27"/>
  <c r="J1529" i="27"/>
  <c r="R1528" i="27"/>
  <c r="L1528" i="27"/>
  <c r="K1528" i="27"/>
  <c r="J1528" i="27"/>
  <c r="R1527" i="27"/>
  <c r="L1527" i="27"/>
  <c r="K1527" i="27"/>
  <c r="J1527" i="27"/>
  <c r="R1526" i="27"/>
  <c r="L1526" i="27"/>
  <c r="K1526" i="27"/>
  <c r="J1526" i="27"/>
  <c r="R1525" i="27"/>
  <c r="L1525" i="27"/>
  <c r="K1525" i="27"/>
  <c r="J1525" i="27"/>
  <c r="R1524" i="27"/>
  <c r="L1524" i="27"/>
  <c r="K1524" i="27"/>
  <c r="J1524" i="27"/>
  <c r="R1523" i="27"/>
  <c r="L1523" i="27"/>
  <c r="K1523" i="27"/>
  <c r="J1523" i="27"/>
  <c r="R1522" i="27"/>
  <c r="L1522" i="27"/>
  <c r="K1522" i="27"/>
  <c r="J1522" i="27"/>
  <c r="R1521" i="27"/>
  <c r="L1521" i="27"/>
  <c r="K1521" i="27"/>
  <c r="J1521" i="27"/>
  <c r="R1520" i="27"/>
  <c r="L1520" i="27"/>
  <c r="K1520" i="27"/>
  <c r="J1520" i="27"/>
  <c r="R1519" i="27"/>
  <c r="L1519" i="27"/>
  <c r="K1519" i="27"/>
  <c r="J1519" i="27"/>
  <c r="R1518" i="27"/>
  <c r="L1518" i="27"/>
  <c r="K1518" i="27"/>
  <c r="J1518" i="27"/>
  <c r="R1517" i="27"/>
  <c r="L1517" i="27"/>
  <c r="K1517" i="27"/>
  <c r="J1517" i="27"/>
  <c r="R1516" i="27"/>
  <c r="L1516" i="27"/>
  <c r="K1516" i="27"/>
  <c r="J1516" i="27"/>
  <c r="R1515" i="27"/>
  <c r="L1515" i="27"/>
  <c r="K1515" i="27"/>
  <c r="J1515" i="27"/>
  <c r="R1514" i="27"/>
  <c r="L1514" i="27"/>
  <c r="K1514" i="27"/>
  <c r="J1514" i="27"/>
  <c r="R1513" i="27"/>
  <c r="L1513" i="27"/>
  <c r="K1513" i="27"/>
  <c r="J1513" i="27"/>
  <c r="R1512" i="27"/>
  <c r="L1512" i="27"/>
  <c r="K1512" i="27"/>
  <c r="J1512" i="27"/>
  <c r="R1511" i="27"/>
  <c r="L1511" i="27"/>
  <c r="K1511" i="27"/>
  <c r="J1511" i="27"/>
  <c r="R1510" i="27"/>
  <c r="L1510" i="27"/>
  <c r="K1510" i="27"/>
  <c r="J1510" i="27"/>
  <c r="R1509" i="27"/>
  <c r="L1509" i="27"/>
  <c r="K1509" i="27"/>
  <c r="J1509" i="27"/>
  <c r="R1508" i="27"/>
  <c r="L1508" i="27"/>
  <c r="K1508" i="27"/>
  <c r="J1508" i="27"/>
  <c r="R1507" i="27"/>
  <c r="L1507" i="27"/>
  <c r="K1507" i="27"/>
  <c r="J1507" i="27"/>
  <c r="R1506" i="27"/>
  <c r="L1506" i="27"/>
  <c r="K1506" i="27"/>
  <c r="J1506" i="27"/>
  <c r="R1505" i="27"/>
  <c r="L1505" i="27"/>
  <c r="K1505" i="27"/>
  <c r="J1505" i="27"/>
  <c r="R1504" i="27"/>
  <c r="L1504" i="27"/>
  <c r="K1504" i="27"/>
  <c r="J1504" i="27"/>
  <c r="R1503" i="27"/>
  <c r="L1503" i="27"/>
  <c r="K1503" i="27"/>
  <c r="J1503" i="27"/>
  <c r="R1502" i="27"/>
  <c r="Q1502" i="27"/>
  <c r="D317" i="38" s="1"/>
  <c r="L1502" i="27"/>
  <c r="K1502" i="27"/>
  <c r="J1502" i="27"/>
  <c r="R1501" i="27"/>
  <c r="L1501" i="27"/>
  <c r="K1501" i="27"/>
  <c r="J1501" i="27"/>
  <c r="R1500" i="27"/>
  <c r="L1500" i="27"/>
  <c r="K1500" i="27"/>
  <c r="J1500" i="27"/>
  <c r="R1499" i="27"/>
  <c r="L1499" i="27"/>
  <c r="K1499" i="27"/>
  <c r="J1499" i="27"/>
  <c r="R1498" i="27"/>
  <c r="Q1498" i="27"/>
  <c r="D316" i="38" s="1"/>
  <c r="L1498" i="27"/>
  <c r="K1498" i="27"/>
  <c r="J1498" i="27"/>
  <c r="R1497" i="27"/>
  <c r="L1497" i="27"/>
  <c r="K1497" i="27"/>
  <c r="J1497" i="27"/>
  <c r="R1496" i="27"/>
  <c r="L1496" i="27"/>
  <c r="K1496" i="27"/>
  <c r="J1496" i="27"/>
  <c r="R1495" i="27"/>
  <c r="L1495" i="27"/>
  <c r="K1495" i="27"/>
  <c r="J1495" i="27"/>
  <c r="R1494" i="27"/>
  <c r="L1494" i="27"/>
  <c r="K1494" i="27"/>
  <c r="J1494" i="27"/>
  <c r="R1493" i="27"/>
  <c r="L1493" i="27"/>
  <c r="K1493" i="27"/>
  <c r="J1493" i="27"/>
  <c r="R1492" i="27"/>
  <c r="L1492" i="27"/>
  <c r="K1492" i="27"/>
  <c r="J1492" i="27"/>
  <c r="R1491" i="27"/>
  <c r="L1491" i="27"/>
  <c r="K1491" i="27"/>
  <c r="J1491" i="27"/>
  <c r="R1490" i="27"/>
  <c r="L1490" i="27"/>
  <c r="K1490" i="27"/>
  <c r="J1490" i="27"/>
  <c r="R1489" i="27"/>
  <c r="L1489" i="27"/>
  <c r="K1489" i="27"/>
  <c r="J1489" i="27"/>
  <c r="R1488" i="27"/>
  <c r="L1488" i="27"/>
  <c r="K1488" i="27"/>
  <c r="J1488" i="27"/>
  <c r="R1487" i="27"/>
  <c r="L1487" i="27"/>
  <c r="K1487" i="27"/>
  <c r="J1487" i="27"/>
  <c r="R1486" i="27"/>
  <c r="L1486" i="27"/>
  <c r="K1486" i="27"/>
  <c r="J1486" i="27"/>
  <c r="R1485" i="27"/>
  <c r="L1485" i="27"/>
  <c r="K1485" i="27"/>
  <c r="J1485" i="27"/>
  <c r="R1484" i="27"/>
  <c r="L1484" i="27"/>
  <c r="K1484" i="27"/>
  <c r="J1484" i="27"/>
  <c r="R1483" i="27"/>
  <c r="L1483" i="27"/>
  <c r="K1483" i="27"/>
  <c r="J1483" i="27"/>
  <c r="R1482" i="27"/>
  <c r="L1482" i="27"/>
  <c r="K1482" i="27"/>
  <c r="J1482" i="27"/>
  <c r="R1481" i="27"/>
  <c r="L1481" i="27"/>
  <c r="K1481" i="27"/>
  <c r="J1481" i="27"/>
  <c r="R1480" i="27"/>
  <c r="L1480" i="27"/>
  <c r="K1480" i="27"/>
  <c r="J1480" i="27"/>
  <c r="R1479" i="27"/>
  <c r="L1479" i="27"/>
  <c r="K1479" i="27"/>
  <c r="J1479" i="27"/>
  <c r="R1478" i="27"/>
  <c r="L1478" i="27"/>
  <c r="K1478" i="27"/>
  <c r="J1478" i="27"/>
  <c r="R1477" i="27"/>
  <c r="L1477" i="27"/>
  <c r="K1477" i="27"/>
  <c r="J1477" i="27"/>
  <c r="R1476" i="27"/>
  <c r="L1476" i="27"/>
  <c r="K1476" i="27"/>
  <c r="J1476" i="27"/>
  <c r="R1475" i="27"/>
  <c r="L1475" i="27"/>
  <c r="K1475" i="27"/>
  <c r="J1475" i="27"/>
  <c r="R1474" i="27"/>
  <c r="L1474" i="27"/>
  <c r="K1474" i="27"/>
  <c r="J1474" i="27"/>
  <c r="R1473" i="27"/>
  <c r="L1473" i="27"/>
  <c r="K1473" i="27"/>
  <c r="J1473" i="27"/>
  <c r="R1472" i="27"/>
  <c r="L1472" i="27"/>
  <c r="K1472" i="27"/>
  <c r="J1472" i="27"/>
  <c r="R1471" i="27"/>
  <c r="L1471" i="27"/>
  <c r="K1471" i="27"/>
  <c r="J1471" i="27"/>
  <c r="R1470" i="27"/>
  <c r="L1470" i="27"/>
  <c r="K1470" i="27"/>
  <c r="J1470" i="27"/>
  <c r="R1469" i="27"/>
  <c r="L1469" i="27"/>
  <c r="K1469" i="27"/>
  <c r="J1469" i="27"/>
  <c r="R1468" i="27"/>
  <c r="L1468" i="27"/>
  <c r="K1468" i="27"/>
  <c r="J1468" i="27"/>
  <c r="R1467" i="27"/>
  <c r="L1467" i="27"/>
  <c r="K1467" i="27"/>
  <c r="J1467" i="27"/>
  <c r="R1466" i="27"/>
  <c r="L1466" i="27"/>
  <c r="K1466" i="27"/>
  <c r="J1466" i="27"/>
  <c r="R1465" i="27"/>
  <c r="L1465" i="27"/>
  <c r="K1465" i="27"/>
  <c r="J1465" i="27"/>
  <c r="Q1464" i="27"/>
  <c r="D310" i="38" s="1"/>
  <c r="L1464" i="27"/>
  <c r="K1464" i="27"/>
  <c r="J1464" i="27"/>
  <c r="R1463" i="27"/>
  <c r="L1463" i="27"/>
  <c r="K1463" i="27"/>
  <c r="J1463" i="27"/>
  <c r="R1462" i="27"/>
  <c r="L1462" i="27"/>
  <c r="K1462" i="27"/>
  <c r="J1462" i="27"/>
  <c r="R1461" i="27"/>
  <c r="L1461" i="27"/>
  <c r="K1461" i="27"/>
  <c r="J1461" i="27"/>
  <c r="R1460" i="27"/>
  <c r="L1460" i="27"/>
  <c r="K1460" i="27"/>
  <c r="J1460" i="27"/>
  <c r="R1459" i="27"/>
  <c r="L1459" i="27"/>
  <c r="K1459" i="27"/>
  <c r="J1459" i="27"/>
  <c r="R1458" i="27"/>
  <c r="L1458" i="27"/>
  <c r="K1458" i="27"/>
  <c r="J1458" i="27"/>
  <c r="R1457" i="27"/>
  <c r="L1457" i="27"/>
  <c r="K1457" i="27"/>
  <c r="J1457" i="27"/>
  <c r="R1456" i="27"/>
  <c r="L1456" i="27"/>
  <c r="K1456" i="27"/>
  <c r="J1456" i="27"/>
  <c r="R1455" i="27"/>
  <c r="Q1455" i="27"/>
  <c r="D309" i="38" s="1"/>
  <c r="L1455" i="27"/>
  <c r="K1455" i="27"/>
  <c r="J1455" i="27"/>
  <c r="R1454" i="27"/>
  <c r="L1454" i="27"/>
  <c r="K1454" i="27"/>
  <c r="J1454" i="27"/>
  <c r="R1453" i="27"/>
  <c r="L1453" i="27"/>
  <c r="K1453" i="27"/>
  <c r="J1453" i="27"/>
  <c r="R1452" i="27"/>
  <c r="L1452" i="27"/>
  <c r="K1452" i="27"/>
  <c r="J1452" i="27"/>
  <c r="R1451" i="27"/>
  <c r="L1451" i="27"/>
  <c r="K1451" i="27"/>
  <c r="J1451" i="27"/>
  <c r="R1450" i="27"/>
  <c r="L1450" i="27"/>
  <c r="K1450" i="27"/>
  <c r="J1450" i="27"/>
  <c r="Q1446" i="27"/>
  <c r="R1446" i="27" s="1"/>
  <c r="L1446" i="27"/>
  <c r="K1446" i="27"/>
  <c r="J1446" i="27"/>
  <c r="R1445" i="27"/>
  <c r="Q1445" i="27"/>
  <c r="L1445" i="27"/>
  <c r="K1445" i="27"/>
  <c r="J1445" i="27"/>
  <c r="R1444" i="27"/>
  <c r="L1444" i="27"/>
  <c r="K1444" i="27"/>
  <c r="J1444" i="27"/>
  <c r="R1443" i="27"/>
  <c r="Q1443" i="27"/>
  <c r="D308" i="38" s="1"/>
  <c r="L1443" i="27"/>
  <c r="K1443" i="27"/>
  <c r="J1443" i="27"/>
  <c r="R1442" i="27"/>
  <c r="L1442" i="27"/>
  <c r="K1442" i="27"/>
  <c r="J1442" i="27"/>
  <c r="R1441" i="27"/>
  <c r="L1441" i="27"/>
  <c r="K1441" i="27"/>
  <c r="J1441" i="27"/>
  <c r="R1440" i="27"/>
  <c r="L1440" i="27"/>
  <c r="K1440" i="27"/>
  <c r="J1440" i="27"/>
  <c r="R1439" i="27"/>
  <c r="L1439" i="27"/>
  <c r="K1439" i="27"/>
  <c r="J1439" i="27"/>
  <c r="R1438" i="27"/>
  <c r="L1438" i="27"/>
  <c r="K1438" i="27"/>
  <c r="J1438" i="27"/>
  <c r="R1437" i="27"/>
  <c r="L1437" i="27"/>
  <c r="K1437" i="27"/>
  <c r="J1437" i="27"/>
  <c r="R1436" i="27"/>
  <c r="L1436" i="27"/>
  <c r="K1436" i="27"/>
  <c r="J1436" i="27"/>
  <c r="R1435" i="27"/>
  <c r="L1435" i="27"/>
  <c r="K1435" i="27"/>
  <c r="J1435" i="27"/>
  <c r="R1434" i="27"/>
  <c r="L1434" i="27"/>
  <c r="K1434" i="27"/>
  <c r="J1434" i="27"/>
  <c r="R1433" i="27"/>
  <c r="L1433" i="27"/>
  <c r="K1433" i="27"/>
  <c r="J1433" i="27"/>
  <c r="R1432" i="27"/>
  <c r="L1432" i="27"/>
  <c r="K1432" i="27"/>
  <c r="J1432" i="27"/>
  <c r="R1431" i="27"/>
  <c r="L1431" i="27"/>
  <c r="K1431" i="27"/>
  <c r="J1431" i="27"/>
  <c r="R1430" i="27"/>
  <c r="L1430" i="27"/>
  <c r="K1430" i="27"/>
  <c r="J1430" i="27"/>
  <c r="R1429" i="27"/>
  <c r="L1429" i="27"/>
  <c r="K1429" i="27"/>
  <c r="J1429" i="27"/>
  <c r="R1428" i="27"/>
  <c r="L1428" i="27"/>
  <c r="K1428" i="27"/>
  <c r="J1428" i="27"/>
  <c r="R1427" i="27"/>
  <c r="L1427" i="27"/>
  <c r="K1427" i="27"/>
  <c r="J1427" i="27"/>
  <c r="R1426" i="27"/>
  <c r="L1426" i="27"/>
  <c r="K1426" i="27"/>
  <c r="J1426" i="27"/>
  <c r="R1425" i="27"/>
  <c r="L1425" i="27"/>
  <c r="K1425" i="27"/>
  <c r="J1425" i="27"/>
  <c r="R1424" i="27"/>
  <c r="L1424" i="27"/>
  <c r="K1424" i="27"/>
  <c r="J1424" i="27"/>
  <c r="R1423" i="27"/>
  <c r="L1423" i="27"/>
  <c r="K1423" i="27"/>
  <c r="J1423" i="27"/>
  <c r="R1422" i="27"/>
  <c r="L1422" i="27"/>
  <c r="K1422" i="27"/>
  <c r="J1422" i="27"/>
  <c r="R1421" i="27"/>
  <c r="L1421" i="27"/>
  <c r="K1421" i="27"/>
  <c r="J1421" i="27"/>
  <c r="R1420" i="27"/>
  <c r="L1420" i="27"/>
  <c r="K1420" i="27"/>
  <c r="J1420" i="27"/>
  <c r="R1419" i="27"/>
  <c r="L1419" i="27"/>
  <c r="K1419" i="27"/>
  <c r="J1419" i="27"/>
  <c r="R1418" i="27"/>
  <c r="L1418" i="27"/>
  <c r="K1418" i="27"/>
  <c r="J1418" i="27"/>
  <c r="R1417" i="27"/>
  <c r="L1417" i="27"/>
  <c r="K1417" i="27"/>
  <c r="J1417" i="27"/>
  <c r="R1416" i="27"/>
  <c r="L1416" i="27"/>
  <c r="K1416" i="27"/>
  <c r="J1416" i="27"/>
  <c r="R1415" i="27"/>
  <c r="L1415" i="27"/>
  <c r="K1415" i="27"/>
  <c r="J1415" i="27"/>
  <c r="R1414" i="27"/>
  <c r="L1414" i="27"/>
  <c r="K1414" i="27"/>
  <c r="J1414" i="27"/>
  <c r="R1413" i="27"/>
  <c r="L1413" i="27"/>
  <c r="K1413" i="27"/>
  <c r="J1413" i="27"/>
  <c r="R1412" i="27"/>
  <c r="L1412" i="27"/>
  <c r="K1412" i="27"/>
  <c r="J1412" i="27"/>
  <c r="R1411" i="27"/>
  <c r="L1411" i="27"/>
  <c r="K1411" i="27"/>
  <c r="J1411" i="27"/>
  <c r="R1410" i="27"/>
  <c r="L1410" i="27"/>
  <c r="K1410" i="27"/>
  <c r="J1410" i="27"/>
  <c r="R1409" i="27"/>
  <c r="L1409" i="27"/>
  <c r="K1409" i="27"/>
  <c r="J1409" i="27"/>
  <c r="R1408" i="27"/>
  <c r="L1408" i="27"/>
  <c r="K1408" i="27"/>
  <c r="J1408" i="27"/>
  <c r="R1407" i="27"/>
  <c r="L1407" i="27"/>
  <c r="K1407" i="27"/>
  <c r="J1407" i="27"/>
  <c r="R1406" i="27"/>
  <c r="L1406" i="27"/>
  <c r="K1406" i="27"/>
  <c r="J1406" i="27"/>
  <c r="R1405" i="27"/>
  <c r="L1405" i="27"/>
  <c r="K1405" i="27"/>
  <c r="J1405" i="27"/>
  <c r="R1404" i="27"/>
  <c r="L1404" i="27"/>
  <c r="K1404" i="27"/>
  <c r="J1404" i="27"/>
  <c r="R1403" i="27"/>
  <c r="L1403" i="27"/>
  <c r="K1403" i="27"/>
  <c r="J1403" i="27"/>
  <c r="R1402" i="27"/>
  <c r="L1402" i="27"/>
  <c r="K1402" i="27"/>
  <c r="J1402" i="27"/>
  <c r="R1401" i="27"/>
  <c r="L1401" i="27"/>
  <c r="K1401" i="27"/>
  <c r="J1401" i="27"/>
  <c r="R1400" i="27"/>
  <c r="L1400" i="27"/>
  <c r="K1400" i="27"/>
  <c r="J1400" i="27"/>
  <c r="R1399" i="27"/>
  <c r="L1399" i="27"/>
  <c r="K1399" i="27"/>
  <c r="J1399" i="27"/>
  <c r="R1398" i="27"/>
  <c r="L1398" i="27"/>
  <c r="K1398" i="27"/>
  <c r="J1398" i="27"/>
  <c r="R1397" i="27"/>
  <c r="L1397" i="27"/>
  <c r="K1397" i="27"/>
  <c r="J1397" i="27"/>
  <c r="R1396" i="27"/>
  <c r="L1396" i="27"/>
  <c r="K1396" i="27"/>
  <c r="J1396" i="27"/>
  <c r="R1395" i="27"/>
  <c r="L1395" i="27"/>
  <c r="K1395" i="27"/>
  <c r="J1395" i="27"/>
  <c r="R1394" i="27"/>
  <c r="L1394" i="27"/>
  <c r="K1394" i="27"/>
  <c r="J1394" i="27"/>
  <c r="R1393" i="27"/>
  <c r="L1393" i="27"/>
  <c r="K1393" i="27"/>
  <c r="J1393" i="27"/>
  <c r="R1392" i="27"/>
  <c r="L1392" i="27"/>
  <c r="K1392" i="27"/>
  <c r="J1392" i="27"/>
  <c r="R1391" i="27"/>
  <c r="L1391" i="27"/>
  <c r="K1391" i="27"/>
  <c r="J1391" i="27"/>
  <c r="R1390" i="27"/>
  <c r="L1390" i="27"/>
  <c r="K1390" i="27"/>
  <c r="J1390" i="27"/>
  <c r="R1389" i="27"/>
  <c r="L1389" i="27"/>
  <c r="K1389" i="27"/>
  <c r="J1389" i="27"/>
  <c r="R1388" i="27"/>
  <c r="L1388" i="27"/>
  <c r="K1388" i="27"/>
  <c r="J1388" i="27"/>
  <c r="R1387" i="27"/>
  <c r="L1387" i="27"/>
  <c r="K1387" i="27"/>
  <c r="J1387" i="27"/>
  <c r="R1386" i="27"/>
  <c r="L1386" i="27"/>
  <c r="K1386" i="27"/>
  <c r="J1386" i="27"/>
  <c r="R1385" i="27"/>
  <c r="L1385" i="27"/>
  <c r="K1385" i="27"/>
  <c r="J1385" i="27"/>
  <c r="R1384" i="27"/>
  <c r="L1384" i="27"/>
  <c r="K1384" i="27"/>
  <c r="J1384" i="27"/>
  <c r="R1383" i="27"/>
  <c r="L1383" i="27"/>
  <c r="K1383" i="27"/>
  <c r="J1383" i="27"/>
  <c r="R1382" i="27"/>
  <c r="L1382" i="27"/>
  <c r="K1382" i="27"/>
  <c r="J1382" i="27"/>
  <c r="R1381" i="27"/>
  <c r="L1381" i="27"/>
  <c r="K1381" i="27"/>
  <c r="J1381" i="27"/>
  <c r="R1380" i="27"/>
  <c r="L1380" i="27"/>
  <c r="K1380" i="27"/>
  <c r="J1380" i="27"/>
  <c r="R1379" i="27"/>
  <c r="L1379" i="27"/>
  <c r="K1379" i="27"/>
  <c r="J1379" i="27"/>
  <c r="R1378" i="27"/>
  <c r="L1378" i="27"/>
  <c r="K1378" i="27"/>
  <c r="J1378" i="27"/>
  <c r="R1377" i="27"/>
  <c r="L1377" i="27"/>
  <c r="K1377" i="27"/>
  <c r="J1377" i="27"/>
  <c r="R1376" i="27"/>
  <c r="L1376" i="27"/>
  <c r="K1376" i="27"/>
  <c r="J1376" i="27"/>
  <c r="R1375" i="27"/>
  <c r="L1375" i="27"/>
  <c r="K1375" i="27"/>
  <c r="J1375" i="27"/>
  <c r="R1374" i="27"/>
  <c r="L1374" i="27"/>
  <c r="K1374" i="27"/>
  <c r="J1374" i="27"/>
  <c r="R1373" i="27"/>
  <c r="L1373" i="27"/>
  <c r="K1373" i="27"/>
  <c r="J1373" i="27"/>
  <c r="R1372" i="27"/>
  <c r="L1372" i="27"/>
  <c r="K1372" i="27"/>
  <c r="J1372" i="27"/>
  <c r="R1371" i="27"/>
  <c r="L1371" i="27"/>
  <c r="K1371" i="27"/>
  <c r="J1371" i="27"/>
  <c r="R1370" i="27"/>
  <c r="L1370" i="27"/>
  <c r="K1370" i="27"/>
  <c r="J1370" i="27"/>
  <c r="R1369" i="27"/>
  <c r="L1369" i="27"/>
  <c r="K1369" i="27"/>
  <c r="J1369" i="27"/>
  <c r="R1368" i="27"/>
  <c r="L1368" i="27"/>
  <c r="K1368" i="27"/>
  <c r="J1368" i="27"/>
  <c r="R1367" i="27"/>
  <c r="L1367" i="27"/>
  <c r="K1367" i="27"/>
  <c r="J1367" i="27"/>
  <c r="R1366" i="27"/>
  <c r="L1366" i="27"/>
  <c r="K1366" i="27"/>
  <c r="J1366" i="27"/>
  <c r="R1365" i="27"/>
  <c r="L1365" i="27"/>
  <c r="K1365" i="27"/>
  <c r="J1365" i="27"/>
  <c r="R1364" i="27"/>
  <c r="L1364" i="27"/>
  <c r="K1364" i="27"/>
  <c r="J1364" i="27"/>
  <c r="R1363" i="27"/>
  <c r="L1363" i="27"/>
  <c r="K1363" i="27"/>
  <c r="J1363" i="27"/>
  <c r="R1362" i="27"/>
  <c r="L1362" i="27"/>
  <c r="K1362" i="27"/>
  <c r="J1362" i="27"/>
  <c r="R1361" i="27"/>
  <c r="L1361" i="27"/>
  <c r="K1361" i="27"/>
  <c r="J1361" i="27"/>
  <c r="R1360" i="27"/>
  <c r="L1360" i="27"/>
  <c r="K1360" i="27"/>
  <c r="J1360" i="27"/>
  <c r="R1359" i="27"/>
  <c r="L1359" i="27"/>
  <c r="K1359" i="27"/>
  <c r="J1359" i="27"/>
  <c r="R1358" i="27"/>
  <c r="L1358" i="27"/>
  <c r="K1358" i="27"/>
  <c r="J1358" i="27"/>
  <c r="R1357" i="27"/>
  <c r="L1357" i="27"/>
  <c r="K1357" i="27"/>
  <c r="J1357" i="27"/>
  <c r="R1356" i="27"/>
  <c r="L1356" i="27"/>
  <c r="K1356" i="27"/>
  <c r="J1356" i="27"/>
  <c r="R1355" i="27"/>
  <c r="L1355" i="27"/>
  <c r="K1355" i="27"/>
  <c r="J1355" i="27"/>
  <c r="R1354" i="27"/>
  <c r="L1354" i="27"/>
  <c r="K1354" i="27"/>
  <c r="J1354" i="27"/>
  <c r="R1353" i="27"/>
  <c r="L1353" i="27"/>
  <c r="K1353" i="27"/>
  <c r="J1353" i="27"/>
  <c r="R1352" i="27"/>
  <c r="L1352" i="27"/>
  <c r="K1352" i="27"/>
  <c r="J1352" i="27"/>
  <c r="R1351" i="27"/>
  <c r="L1351" i="27"/>
  <c r="K1351" i="27"/>
  <c r="J1351" i="27"/>
  <c r="R1350" i="27"/>
  <c r="L1350" i="27"/>
  <c r="K1350" i="27"/>
  <c r="J1350" i="27"/>
  <c r="R1349" i="27"/>
  <c r="L1349" i="27"/>
  <c r="K1349" i="27"/>
  <c r="J1349" i="27"/>
  <c r="R1348" i="27"/>
  <c r="L1348" i="27"/>
  <c r="K1348" i="27"/>
  <c r="J1348" i="27"/>
  <c r="R1347" i="27"/>
  <c r="L1347" i="27"/>
  <c r="K1347" i="27"/>
  <c r="J1347" i="27"/>
  <c r="R1346" i="27"/>
  <c r="L1346" i="27"/>
  <c r="K1346" i="27"/>
  <c r="J1346" i="27"/>
  <c r="R1345" i="27"/>
  <c r="L1345" i="27"/>
  <c r="K1345" i="27"/>
  <c r="J1345" i="27"/>
  <c r="R1344" i="27"/>
  <c r="L1344" i="27"/>
  <c r="K1344" i="27"/>
  <c r="J1344" i="27"/>
  <c r="R1343" i="27"/>
  <c r="L1343" i="27"/>
  <c r="K1343" i="27"/>
  <c r="J1343" i="27"/>
  <c r="R1342" i="27"/>
  <c r="L1342" i="27"/>
  <c r="K1342" i="27"/>
  <c r="J1342" i="27"/>
  <c r="R1341" i="27"/>
  <c r="L1341" i="27"/>
  <c r="K1341" i="27"/>
  <c r="J1341" i="27"/>
  <c r="R1340" i="27"/>
  <c r="L1340" i="27"/>
  <c r="K1340" i="27"/>
  <c r="J1340" i="27"/>
  <c r="R1339" i="27"/>
  <c r="L1339" i="27"/>
  <c r="K1339" i="27"/>
  <c r="J1339" i="27"/>
  <c r="R1338" i="27"/>
  <c r="L1338" i="27"/>
  <c r="K1338" i="27"/>
  <c r="J1338" i="27"/>
  <c r="R1337" i="27"/>
  <c r="L1337" i="27"/>
  <c r="K1337" i="27"/>
  <c r="J1337" i="27"/>
  <c r="R1336" i="27"/>
  <c r="L1336" i="27"/>
  <c r="K1336" i="27"/>
  <c r="J1336" i="27"/>
  <c r="R1335" i="27"/>
  <c r="L1335" i="27"/>
  <c r="K1335" i="27"/>
  <c r="J1335" i="27"/>
  <c r="R1334" i="27"/>
  <c r="L1334" i="27"/>
  <c r="K1334" i="27"/>
  <c r="J1334" i="27"/>
  <c r="R1333" i="27"/>
  <c r="L1333" i="27"/>
  <c r="K1333" i="27"/>
  <c r="J1333" i="27"/>
  <c r="R1332" i="27"/>
  <c r="L1332" i="27"/>
  <c r="K1332" i="27"/>
  <c r="J1332" i="27"/>
  <c r="R1331" i="27"/>
  <c r="L1331" i="27"/>
  <c r="K1331" i="27"/>
  <c r="J1331" i="27"/>
  <c r="R1330" i="27"/>
  <c r="L1330" i="27"/>
  <c r="K1330" i="27"/>
  <c r="J1330" i="27"/>
  <c r="R1329" i="27"/>
  <c r="L1329" i="27"/>
  <c r="K1329" i="27"/>
  <c r="J1329" i="27"/>
  <c r="R1328" i="27"/>
  <c r="L1328" i="27"/>
  <c r="K1328" i="27"/>
  <c r="J1328" i="27"/>
  <c r="R1327" i="27"/>
  <c r="L1327" i="27"/>
  <c r="K1327" i="27"/>
  <c r="J1327" i="27"/>
  <c r="R1326" i="27"/>
  <c r="L1326" i="27"/>
  <c r="K1326" i="27"/>
  <c r="J1326" i="27"/>
  <c r="R1325" i="27"/>
  <c r="L1325" i="27"/>
  <c r="K1325" i="27"/>
  <c r="J1325" i="27"/>
  <c r="R1324" i="27"/>
  <c r="L1324" i="27"/>
  <c r="K1324" i="27"/>
  <c r="J1324" i="27"/>
  <c r="R1323" i="27"/>
  <c r="L1323" i="27"/>
  <c r="K1323" i="27"/>
  <c r="J1323" i="27"/>
  <c r="Q1322" i="27"/>
  <c r="L1322" i="27"/>
  <c r="K1322" i="27"/>
  <c r="J1322" i="27"/>
  <c r="R1321" i="27"/>
  <c r="L1321" i="27"/>
  <c r="K1321" i="27"/>
  <c r="J1321" i="27"/>
  <c r="R1320" i="27"/>
  <c r="L1320" i="27"/>
  <c r="K1320" i="27"/>
  <c r="J1320" i="27"/>
  <c r="R1319" i="27"/>
  <c r="L1319" i="27"/>
  <c r="K1319" i="27"/>
  <c r="J1319" i="27"/>
  <c r="R1318" i="27"/>
  <c r="L1318" i="27"/>
  <c r="K1318" i="27"/>
  <c r="J1318" i="27"/>
  <c r="R1317" i="27"/>
  <c r="L1317" i="27"/>
  <c r="K1317" i="27"/>
  <c r="J1317" i="27"/>
  <c r="R1316" i="27"/>
  <c r="L1316" i="27"/>
  <c r="K1316" i="27"/>
  <c r="J1316" i="27"/>
  <c r="R1315" i="27"/>
  <c r="L1315" i="27"/>
  <c r="K1315" i="27"/>
  <c r="J1315" i="27"/>
  <c r="R1314" i="27"/>
  <c r="L1314" i="27"/>
  <c r="K1314" i="27"/>
  <c r="J1314" i="27"/>
  <c r="R1313" i="27"/>
  <c r="L1313" i="27"/>
  <c r="K1313" i="27"/>
  <c r="J1313" i="27"/>
  <c r="R1312" i="27"/>
  <c r="L1312" i="27"/>
  <c r="K1312" i="27"/>
  <c r="J1312" i="27"/>
  <c r="R1311" i="27"/>
  <c r="L1311" i="27"/>
  <c r="K1311" i="27"/>
  <c r="J1311" i="27"/>
  <c r="R1310" i="27"/>
  <c r="L1310" i="27"/>
  <c r="K1310" i="27"/>
  <c r="J1310" i="27"/>
  <c r="R1309" i="27"/>
  <c r="L1309" i="27"/>
  <c r="K1309" i="27"/>
  <c r="J1309" i="27"/>
  <c r="R1308" i="27"/>
  <c r="L1308" i="27"/>
  <c r="K1308" i="27"/>
  <c r="J1308" i="27"/>
  <c r="R1307" i="27"/>
  <c r="L1307" i="27"/>
  <c r="K1307" i="27"/>
  <c r="J1307" i="27"/>
  <c r="R1306" i="27"/>
  <c r="L1306" i="27"/>
  <c r="K1306" i="27"/>
  <c r="J1306" i="27"/>
  <c r="R1305" i="27"/>
  <c r="L1305" i="27"/>
  <c r="K1305" i="27"/>
  <c r="J1305" i="27"/>
  <c r="R1304" i="27"/>
  <c r="L1304" i="27"/>
  <c r="K1304" i="27"/>
  <c r="J1304" i="27"/>
  <c r="R1303" i="27"/>
  <c r="L1303" i="27"/>
  <c r="K1303" i="27"/>
  <c r="J1303" i="27"/>
  <c r="R1302" i="27"/>
  <c r="L1302" i="27"/>
  <c r="K1302" i="27"/>
  <c r="J1302" i="27"/>
  <c r="R1301" i="27"/>
  <c r="L1301" i="27"/>
  <c r="K1301" i="27"/>
  <c r="J1301" i="27"/>
  <c r="R1300" i="27"/>
  <c r="L1300" i="27"/>
  <c r="K1300" i="27"/>
  <c r="J1300" i="27"/>
  <c r="R1299" i="27"/>
  <c r="L1299" i="27"/>
  <c r="K1299" i="27"/>
  <c r="J1299" i="27"/>
  <c r="R1298" i="27"/>
  <c r="L1298" i="27"/>
  <c r="K1298" i="27"/>
  <c r="J1298" i="27"/>
  <c r="R1297" i="27"/>
  <c r="L1297" i="27"/>
  <c r="K1297" i="27"/>
  <c r="J1297" i="27"/>
  <c r="R1296" i="27"/>
  <c r="L1296" i="27"/>
  <c r="K1296" i="27"/>
  <c r="J1296" i="27"/>
  <c r="R1295" i="27"/>
  <c r="L1295" i="27"/>
  <c r="K1295" i="27"/>
  <c r="J1295" i="27"/>
  <c r="R1294" i="27"/>
  <c r="L1294" i="27"/>
  <c r="K1294" i="27"/>
  <c r="J1294" i="27"/>
  <c r="R1293" i="27"/>
  <c r="L1293" i="27"/>
  <c r="K1293" i="27"/>
  <c r="J1293" i="27"/>
  <c r="R1292" i="27"/>
  <c r="L1292" i="27"/>
  <c r="K1292" i="27"/>
  <c r="J1292" i="27"/>
  <c r="R1291" i="27"/>
  <c r="L1291" i="27"/>
  <c r="K1291" i="27"/>
  <c r="J1291" i="27"/>
  <c r="R1290" i="27"/>
  <c r="L1290" i="27"/>
  <c r="K1290" i="27"/>
  <c r="J1290" i="27"/>
  <c r="R1289" i="27"/>
  <c r="L1289" i="27"/>
  <c r="K1289" i="27"/>
  <c r="J1289" i="27"/>
  <c r="R1288" i="27"/>
  <c r="L1288" i="27"/>
  <c r="K1288" i="27"/>
  <c r="J1288" i="27"/>
  <c r="R1287" i="27"/>
  <c r="L1287" i="27"/>
  <c r="K1287" i="27"/>
  <c r="J1287" i="27"/>
  <c r="R1286" i="27"/>
  <c r="L1286" i="27"/>
  <c r="K1286" i="27"/>
  <c r="J1286" i="27"/>
  <c r="R1285" i="27"/>
  <c r="L1285" i="27"/>
  <c r="K1285" i="27"/>
  <c r="J1285" i="27"/>
  <c r="R1284" i="27"/>
  <c r="L1284" i="27"/>
  <c r="K1284" i="27"/>
  <c r="J1284" i="27"/>
  <c r="R1283" i="27"/>
  <c r="L1283" i="27"/>
  <c r="K1283" i="27"/>
  <c r="J1283" i="27"/>
  <c r="R1282" i="27"/>
  <c r="L1282" i="27"/>
  <c r="K1282" i="27"/>
  <c r="J1282" i="27"/>
  <c r="R1281" i="27"/>
  <c r="L1281" i="27"/>
  <c r="K1281" i="27"/>
  <c r="J1281" i="27"/>
  <c r="R1280" i="27"/>
  <c r="L1280" i="27"/>
  <c r="K1280" i="27"/>
  <c r="J1280" i="27"/>
  <c r="L1279" i="27"/>
  <c r="K1279" i="27"/>
  <c r="J1279" i="27"/>
  <c r="R1278" i="27"/>
  <c r="L1278" i="27"/>
  <c r="K1278" i="27"/>
  <c r="J1278" i="27"/>
  <c r="R1277" i="27"/>
  <c r="L1277" i="27"/>
  <c r="K1277" i="27"/>
  <c r="J1277" i="27"/>
  <c r="R1276" i="27"/>
  <c r="L1276" i="27"/>
  <c r="K1276" i="27"/>
  <c r="J1276" i="27"/>
  <c r="R1275" i="27"/>
  <c r="L1275" i="27"/>
  <c r="K1275" i="27"/>
  <c r="J1275" i="27"/>
  <c r="R1274" i="27"/>
  <c r="Q1274" i="27"/>
  <c r="D278" i="38" s="1"/>
  <c r="L1274" i="27"/>
  <c r="K1274" i="27"/>
  <c r="J1274" i="27"/>
  <c r="R1273" i="27"/>
  <c r="L1273" i="27"/>
  <c r="K1273" i="27"/>
  <c r="J1273" i="27"/>
  <c r="Q1272" i="27"/>
  <c r="D277" i="38" s="1"/>
  <c r="L1272" i="27"/>
  <c r="K1272" i="27"/>
  <c r="J1272" i="27"/>
  <c r="R1271" i="27"/>
  <c r="L1271" i="27"/>
  <c r="K1271" i="27"/>
  <c r="J1271" i="27"/>
  <c r="R1270" i="27"/>
  <c r="L1270" i="27"/>
  <c r="K1270" i="27"/>
  <c r="J1270" i="27"/>
  <c r="R1269" i="27"/>
  <c r="L1269" i="27"/>
  <c r="K1269" i="27"/>
  <c r="J1269" i="27"/>
  <c r="R1268" i="27"/>
  <c r="L1268" i="27"/>
  <c r="K1268" i="27"/>
  <c r="J1268" i="27"/>
  <c r="R1267" i="27"/>
  <c r="L1267" i="27"/>
  <c r="K1267" i="27"/>
  <c r="J1267" i="27"/>
  <c r="R1266" i="27"/>
  <c r="L1266" i="27"/>
  <c r="K1266" i="27"/>
  <c r="J1266" i="27"/>
  <c r="L1265" i="27"/>
  <c r="K1265" i="27"/>
  <c r="J1265" i="27"/>
  <c r="L1264" i="27"/>
  <c r="K1264" i="27"/>
  <c r="J1264" i="27"/>
  <c r="R1263" i="27"/>
  <c r="L1263" i="27"/>
  <c r="K1263" i="27"/>
  <c r="J1263" i="27"/>
  <c r="L1262" i="27"/>
  <c r="K1262" i="27"/>
  <c r="J1262" i="27"/>
  <c r="R1261" i="27"/>
  <c r="L1261" i="27"/>
  <c r="K1261" i="27"/>
  <c r="J1261" i="27"/>
  <c r="R1260" i="27"/>
  <c r="L1260" i="27"/>
  <c r="K1260" i="27"/>
  <c r="J1260" i="27"/>
  <c r="R1259" i="27"/>
  <c r="L1259" i="27"/>
  <c r="K1259" i="27"/>
  <c r="J1259" i="27"/>
  <c r="R1258" i="27"/>
  <c r="L1258" i="27"/>
  <c r="K1258" i="27"/>
  <c r="J1258" i="27"/>
  <c r="R1257" i="27"/>
  <c r="L1257" i="27"/>
  <c r="K1257" i="27"/>
  <c r="J1257" i="27"/>
  <c r="R1256" i="27"/>
  <c r="L1256" i="27"/>
  <c r="K1256" i="27"/>
  <c r="J1256" i="27"/>
  <c r="R1255" i="27"/>
  <c r="L1255" i="27"/>
  <c r="K1255" i="27"/>
  <c r="J1255" i="27"/>
  <c r="R1254" i="27"/>
  <c r="L1254" i="27"/>
  <c r="K1254" i="27"/>
  <c r="J1254" i="27"/>
  <c r="R1253" i="27"/>
  <c r="L1253" i="27"/>
  <c r="K1253" i="27"/>
  <c r="J1253" i="27"/>
  <c r="R1252" i="27"/>
  <c r="Q1252" i="27"/>
  <c r="L1252" i="27"/>
  <c r="K1252" i="27"/>
  <c r="J1252" i="27"/>
  <c r="R1251" i="27"/>
  <c r="L1251" i="27"/>
  <c r="K1251" i="27"/>
  <c r="J1251" i="27"/>
  <c r="R1250" i="27"/>
  <c r="L1250" i="27"/>
  <c r="K1250" i="27"/>
  <c r="J1250" i="27"/>
  <c r="R1249" i="27"/>
  <c r="L1249" i="27"/>
  <c r="K1249" i="27"/>
  <c r="J1249" i="27"/>
  <c r="R1248" i="27"/>
  <c r="Q1248" i="27"/>
  <c r="R1265" i="27" s="1"/>
  <c r="L1248" i="27"/>
  <c r="K1248" i="27"/>
  <c r="J1248" i="27"/>
  <c r="R1247" i="27"/>
  <c r="Q1247" i="27"/>
  <c r="R1264" i="27" s="1"/>
  <c r="L1247" i="27"/>
  <c r="K1247" i="27"/>
  <c r="J1247" i="27"/>
  <c r="R1246" i="27"/>
  <c r="L1246" i="27"/>
  <c r="K1246" i="27"/>
  <c r="J1246" i="27"/>
  <c r="R1245" i="27"/>
  <c r="Q1245" i="27"/>
  <c r="L1245" i="27"/>
  <c r="K1245" i="27"/>
  <c r="J1245" i="27"/>
  <c r="R1244" i="27"/>
  <c r="L1244" i="27"/>
  <c r="K1244" i="27"/>
  <c r="J1244" i="27"/>
  <c r="R1243" i="27"/>
  <c r="L1243" i="27"/>
  <c r="K1243" i="27"/>
  <c r="J1243" i="27"/>
  <c r="R1242" i="27"/>
  <c r="L1242" i="27"/>
  <c r="K1242" i="27"/>
  <c r="J1242" i="27"/>
  <c r="R1241" i="27"/>
  <c r="Q1241" i="27"/>
  <c r="L1241" i="27"/>
  <c r="K1241" i="27"/>
  <c r="J1241" i="27"/>
  <c r="R1240" i="27"/>
  <c r="L1240" i="27"/>
  <c r="K1240" i="27"/>
  <c r="J1240" i="27"/>
  <c r="R1239" i="27"/>
  <c r="L1239" i="27"/>
  <c r="K1239" i="27"/>
  <c r="J1239" i="27"/>
  <c r="R1238" i="27"/>
  <c r="L1238" i="27"/>
  <c r="K1238" i="27"/>
  <c r="J1238" i="27"/>
  <c r="R1237" i="27"/>
  <c r="L1237" i="27"/>
  <c r="K1237" i="27"/>
  <c r="J1237" i="27"/>
  <c r="R1236" i="27"/>
  <c r="L1236" i="27"/>
  <c r="K1236" i="27"/>
  <c r="J1236" i="27"/>
  <c r="R1235" i="27"/>
  <c r="L1235" i="27"/>
  <c r="K1235" i="27"/>
  <c r="J1235" i="27"/>
  <c r="Q1234" i="27"/>
  <c r="R1234" i="27" s="1"/>
  <c r="L1234" i="27"/>
  <c r="K1234" i="27"/>
  <c r="J1234" i="27"/>
  <c r="R1233" i="27"/>
  <c r="Q1233" i="27"/>
  <c r="L1233" i="27"/>
  <c r="K1233" i="27"/>
  <c r="J1233" i="27"/>
  <c r="R1232" i="27"/>
  <c r="Q1232" i="27"/>
  <c r="L1232" i="27"/>
  <c r="K1232" i="27"/>
  <c r="J1232" i="27"/>
  <c r="R1231" i="27"/>
  <c r="Q1231" i="27"/>
  <c r="D259" i="38" s="1"/>
  <c r="L1231" i="27"/>
  <c r="K1231" i="27"/>
  <c r="J1231" i="27"/>
  <c r="R1230" i="27"/>
  <c r="L1230" i="27"/>
  <c r="K1230" i="27"/>
  <c r="J1230" i="27"/>
  <c r="R1229" i="27"/>
  <c r="L1229" i="27"/>
  <c r="K1229" i="27"/>
  <c r="J1229" i="27"/>
  <c r="R1228" i="27"/>
  <c r="L1228" i="27"/>
  <c r="K1228" i="27"/>
  <c r="J1228" i="27"/>
  <c r="R1227" i="27"/>
  <c r="L1227" i="27"/>
  <c r="K1227" i="27"/>
  <c r="J1227" i="27"/>
  <c r="R1226" i="27"/>
  <c r="L1226" i="27"/>
  <c r="K1226" i="27"/>
  <c r="J1226" i="27"/>
  <c r="Q1225" i="27"/>
  <c r="R1225" i="27" s="1"/>
  <c r="L1225" i="27"/>
  <c r="K1225" i="27"/>
  <c r="J1225" i="27"/>
  <c r="R1224" i="27"/>
  <c r="L1224" i="27"/>
  <c r="K1224" i="27"/>
  <c r="J1224" i="27"/>
  <c r="R1223" i="27"/>
  <c r="Q1223" i="27"/>
  <c r="D254" i="38" s="1"/>
  <c r="L1223" i="27"/>
  <c r="K1223" i="27"/>
  <c r="J1223" i="27"/>
  <c r="R1222" i="27"/>
  <c r="L1222" i="27"/>
  <c r="K1222" i="27"/>
  <c r="J1222" i="27"/>
  <c r="R1221" i="27"/>
  <c r="L1221" i="27"/>
  <c r="K1221" i="27"/>
  <c r="J1221" i="27"/>
  <c r="Q1220" i="27"/>
  <c r="R1220" i="27" s="1"/>
  <c r="L1220" i="27"/>
  <c r="K1220" i="27"/>
  <c r="J1220" i="27"/>
  <c r="R1219" i="27"/>
  <c r="Q1219" i="27"/>
  <c r="L1219" i="27"/>
  <c r="K1219" i="27"/>
  <c r="J1219" i="27"/>
  <c r="R1218" i="27"/>
  <c r="Q1218" i="27"/>
  <c r="L1218" i="27"/>
  <c r="K1218" i="27"/>
  <c r="J1218" i="27"/>
  <c r="Q1217" i="27"/>
  <c r="R1217" i="27" s="1"/>
  <c r="L1217" i="27"/>
  <c r="K1217" i="27"/>
  <c r="J1217" i="27"/>
  <c r="R1216" i="27"/>
  <c r="Q1216" i="27"/>
  <c r="L1216" i="27"/>
  <c r="K1216" i="27"/>
  <c r="J1216" i="27"/>
  <c r="Q1215" i="27"/>
  <c r="D253" i="38" s="1"/>
  <c r="L1215" i="27"/>
  <c r="K1215" i="27"/>
  <c r="J1215" i="27"/>
  <c r="Q1214" i="27"/>
  <c r="R1214" i="27" s="1"/>
  <c r="L1214" i="27"/>
  <c r="K1214" i="27"/>
  <c r="J1214" i="27"/>
  <c r="Q1213" i="27"/>
  <c r="R1213" i="27" s="1"/>
  <c r="L1213" i="27"/>
  <c r="K1213" i="27"/>
  <c r="J1213" i="27"/>
  <c r="R1212" i="27"/>
  <c r="Q1212" i="27"/>
  <c r="L1212" i="27"/>
  <c r="K1212" i="27"/>
  <c r="J1212" i="27"/>
  <c r="R1211" i="27"/>
  <c r="Q1211" i="27"/>
  <c r="L1211" i="27"/>
  <c r="K1211" i="27"/>
  <c r="J1211" i="27"/>
  <c r="R1210" i="27"/>
  <c r="Q1210" i="27"/>
  <c r="L1210" i="27"/>
  <c r="K1210" i="27"/>
  <c r="J1210" i="27"/>
  <c r="Q1209" i="27"/>
  <c r="R1209" i="27" s="1"/>
  <c r="L1209" i="27"/>
  <c r="K1209" i="27"/>
  <c r="J1209" i="27"/>
  <c r="R1208" i="27"/>
  <c r="Q1208" i="27"/>
  <c r="L1208" i="27"/>
  <c r="K1208" i="27"/>
  <c r="J1208" i="27"/>
  <c r="Q1207" i="27"/>
  <c r="R1207" i="27" s="1"/>
  <c r="L1207" i="27"/>
  <c r="K1207" i="27"/>
  <c r="J1207" i="27"/>
  <c r="Q1206" i="27"/>
  <c r="L1206" i="27"/>
  <c r="K1206" i="27"/>
  <c r="J1206" i="27"/>
  <c r="R1205" i="27"/>
  <c r="L1205" i="27"/>
  <c r="K1205" i="27"/>
  <c r="J1205" i="27"/>
  <c r="R1204" i="27"/>
  <c r="L1204" i="27"/>
  <c r="K1204" i="27"/>
  <c r="J1204" i="27"/>
  <c r="R1203" i="27"/>
  <c r="L1203" i="27"/>
  <c r="K1203" i="27"/>
  <c r="J1203" i="27"/>
  <c r="R1202" i="27"/>
  <c r="Q1202" i="27"/>
  <c r="D247" i="38" s="1"/>
  <c r="L1202" i="27"/>
  <c r="K1202" i="27"/>
  <c r="J1202" i="27"/>
  <c r="R1201" i="27"/>
  <c r="L1201" i="27"/>
  <c r="K1201" i="27"/>
  <c r="J1201" i="27"/>
  <c r="R1200" i="27"/>
  <c r="L1200" i="27"/>
  <c r="K1200" i="27"/>
  <c r="J1200" i="27"/>
  <c r="R1199" i="27"/>
  <c r="L1199" i="27"/>
  <c r="K1199" i="27"/>
  <c r="J1199" i="27"/>
  <c r="R1198" i="27"/>
  <c r="L1198" i="27"/>
  <c r="K1198" i="27"/>
  <c r="J1198" i="27"/>
  <c r="R1197" i="27"/>
  <c r="L1197" i="27"/>
  <c r="K1197" i="27"/>
  <c r="J1197" i="27"/>
  <c r="R1196" i="27"/>
  <c r="L1196" i="27"/>
  <c r="K1196" i="27"/>
  <c r="J1196" i="27"/>
  <c r="R1195" i="27"/>
  <c r="L1195" i="27"/>
  <c r="K1195" i="27"/>
  <c r="J1195" i="27"/>
  <c r="R1194" i="27"/>
  <c r="Q1194" i="27"/>
  <c r="L1194" i="27"/>
  <c r="K1194" i="27"/>
  <c r="J1194" i="27"/>
  <c r="R1193" i="27"/>
  <c r="L1193" i="27"/>
  <c r="K1193" i="27"/>
  <c r="J1193" i="27"/>
  <c r="Q1192" i="27"/>
  <c r="R1192" i="27" s="1"/>
  <c r="L1192" i="27"/>
  <c r="K1192" i="27"/>
  <c r="J1192" i="27"/>
  <c r="R1191" i="27"/>
  <c r="L1191" i="27"/>
  <c r="K1191" i="27"/>
  <c r="J1191" i="27"/>
  <c r="R1190" i="27"/>
  <c r="Q1190" i="27"/>
  <c r="L1190" i="27"/>
  <c r="K1190" i="27"/>
  <c r="J1190" i="27"/>
  <c r="R1189" i="27"/>
  <c r="L1189" i="27"/>
  <c r="K1189" i="27"/>
  <c r="J1189" i="27"/>
  <c r="R1188" i="27"/>
  <c r="Q1188" i="27"/>
  <c r="L1188" i="27"/>
  <c r="K1188" i="27"/>
  <c r="J1188" i="27"/>
  <c r="R1187" i="27"/>
  <c r="L1187" i="27"/>
  <c r="K1187" i="27"/>
  <c r="J1187" i="27"/>
  <c r="Q1186" i="27"/>
  <c r="R1186" i="27" s="1"/>
  <c r="L1186" i="27"/>
  <c r="K1186" i="27"/>
  <c r="J1186" i="27"/>
  <c r="R1185" i="27"/>
  <c r="L1185" i="27"/>
  <c r="K1185" i="27"/>
  <c r="J1185" i="27"/>
  <c r="Q1184" i="27"/>
  <c r="R1184" i="27" s="1"/>
  <c r="L1184" i="27"/>
  <c r="K1184" i="27"/>
  <c r="J1184" i="27"/>
  <c r="R1183" i="27"/>
  <c r="L1183" i="27"/>
  <c r="K1183" i="27"/>
  <c r="J1183" i="27"/>
  <c r="R1182" i="27"/>
  <c r="L1182" i="27"/>
  <c r="K1182" i="27"/>
  <c r="J1182" i="27"/>
  <c r="R1181" i="27"/>
  <c r="L1181" i="27"/>
  <c r="K1181" i="27"/>
  <c r="J1181" i="27"/>
  <c r="R1180" i="27"/>
  <c r="L1180" i="27"/>
  <c r="K1180" i="27"/>
  <c r="J1180" i="27"/>
  <c r="R1179" i="27"/>
  <c r="L1179" i="27"/>
  <c r="K1179" i="27"/>
  <c r="J1179" i="27"/>
  <c r="R1178" i="27"/>
  <c r="L1178" i="27"/>
  <c r="K1178" i="27"/>
  <c r="J1178" i="27"/>
  <c r="R1177" i="27"/>
  <c r="L1177" i="27"/>
  <c r="K1177" i="27"/>
  <c r="J1177" i="27"/>
  <c r="R1176" i="27"/>
  <c r="Q1176" i="27"/>
  <c r="L1176" i="27"/>
  <c r="K1176" i="27"/>
  <c r="J1176" i="27"/>
  <c r="R1175" i="27"/>
  <c r="L1175" i="27"/>
  <c r="K1175" i="27"/>
  <c r="J1175" i="27"/>
  <c r="Q1174" i="27"/>
  <c r="R1174" i="27" s="1"/>
  <c r="L1174" i="27"/>
  <c r="K1174" i="27"/>
  <c r="J1174" i="27"/>
  <c r="R1173" i="27"/>
  <c r="L1173" i="27"/>
  <c r="K1173" i="27"/>
  <c r="J1173" i="27"/>
  <c r="R1172" i="27"/>
  <c r="Q1172" i="27"/>
  <c r="L1172" i="27"/>
  <c r="K1172" i="27"/>
  <c r="J1172" i="27"/>
  <c r="R1171" i="27"/>
  <c r="L1171" i="27"/>
  <c r="K1171" i="27"/>
  <c r="J1171" i="27"/>
  <c r="Q1170" i="27"/>
  <c r="R1170" i="27" s="1"/>
  <c r="L1170" i="27"/>
  <c r="K1170" i="27"/>
  <c r="J1170" i="27"/>
  <c r="R1169" i="27"/>
  <c r="L1169" i="27"/>
  <c r="K1169" i="27"/>
  <c r="J1169" i="27"/>
  <c r="R1168" i="27"/>
  <c r="Q1168" i="27"/>
  <c r="L1168" i="27"/>
  <c r="K1168" i="27"/>
  <c r="J1168" i="27"/>
  <c r="R1167" i="27"/>
  <c r="L1167" i="27"/>
  <c r="K1167" i="27"/>
  <c r="J1167" i="27"/>
  <c r="R1166" i="27"/>
  <c r="Q1166" i="27"/>
  <c r="L1166" i="27"/>
  <c r="K1166" i="27"/>
  <c r="J1166" i="27"/>
  <c r="R1165" i="27"/>
  <c r="L1165" i="27"/>
  <c r="K1165" i="27"/>
  <c r="J1165" i="27"/>
  <c r="R1164" i="27"/>
  <c r="L1164" i="27"/>
  <c r="K1164" i="27"/>
  <c r="J1164" i="27"/>
  <c r="R1163" i="27"/>
  <c r="L1163" i="27"/>
  <c r="K1163" i="27"/>
  <c r="J1163" i="27"/>
  <c r="R1162" i="27"/>
  <c r="L1162" i="27"/>
  <c r="K1162" i="27"/>
  <c r="J1162" i="27"/>
  <c r="R1161" i="27"/>
  <c r="L1161" i="27"/>
  <c r="K1161" i="27"/>
  <c r="J1161" i="27"/>
  <c r="R1160" i="27"/>
  <c r="L1160" i="27"/>
  <c r="K1160" i="27"/>
  <c r="J1160" i="27"/>
  <c r="R1159" i="27"/>
  <c r="L1159" i="27"/>
  <c r="K1159" i="27"/>
  <c r="J1159" i="27"/>
  <c r="R1158" i="27"/>
  <c r="L1158" i="27"/>
  <c r="K1158" i="27"/>
  <c r="J1158" i="27"/>
  <c r="R1157" i="27"/>
  <c r="L1157" i="27"/>
  <c r="K1157" i="27"/>
  <c r="J1157" i="27"/>
  <c r="R1156" i="27"/>
  <c r="L1156" i="27"/>
  <c r="K1156" i="27"/>
  <c r="J1156" i="27"/>
  <c r="R1155" i="27"/>
  <c r="L1155" i="27"/>
  <c r="K1155" i="27"/>
  <c r="J1155" i="27"/>
  <c r="R1154" i="27"/>
  <c r="L1154" i="27"/>
  <c r="K1154" i="27"/>
  <c r="J1154" i="27"/>
  <c r="R1153" i="27"/>
  <c r="L1153" i="27"/>
  <c r="K1153" i="27"/>
  <c r="J1153" i="27"/>
  <c r="R1152" i="27"/>
  <c r="L1152" i="27"/>
  <c r="K1152" i="27"/>
  <c r="J1152" i="27"/>
  <c r="R1151" i="27"/>
  <c r="L1151" i="27"/>
  <c r="K1151" i="27"/>
  <c r="J1151" i="27"/>
  <c r="R1150" i="27"/>
  <c r="L1150" i="27"/>
  <c r="K1150" i="27"/>
  <c r="J1150" i="27"/>
  <c r="R1149" i="27"/>
  <c r="L1149" i="27"/>
  <c r="K1149" i="27"/>
  <c r="J1149" i="27"/>
  <c r="R1148" i="27"/>
  <c r="L1148" i="27"/>
  <c r="K1148" i="27"/>
  <c r="J1148" i="27"/>
  <c r="R1147" i="27"/>
  <c r="L1147" i="27"/>
  <c r="K1147" i="27"/>
  <c r="J1147" i="27"/>
  <c r="R1146" i="27"/>
  <c r="L1146" i="27"/>
  <c r="K1146" i="27"/>
  <c r="J1146" i="27"/>
  <c r="R1145" i="27"/>
  <c r="L1145" i="27"/>
  <c r="K1145" i="27"/>
  <c r="J1145" i="27"/>
  <c r="R1144" i="27"/>
  <c r="L1144" i="27"/>
  <c r="K1144" i="27"/>
  <c r="J1144" i="27"/>
  <c r="R1143" i="27"/>
  <c r="L1143" i="27"/>
  <c r="K1143" i="27"/>
  <c r="J1143" i="27"/>
  <c r="R1142" i="27"/>
  <c r="L1142" i="27"/>
  <c r="K1142" i="27"/>
  <c r="J1142" i="27"/>
  <c r="R1141" i="27"/>
  <c r="L1141" i="27"/>
  <c r="K1141" i="27"/>
  <c r="J1141" i="27"/>
  <c r="R1140" i="27"/>
  <c r="L1140" i="27"/>
  <c r="K1140" i="27"/>
  <c r="J1140" i="27"/>
  <c r="R1139" i="27"/>
  <c r="L1139" i="27"/>
  <c r="K1139" i="27"/>
  <c r="J1139" i="27"/>
  <c r="R1138" i="27"/>
  <c r="L1138" i="27"/>
  <c r="K1138" i="27"/>
  <c r="J1138" i="27"/>
  <c r="R1137" i="27"/>
  <c r="L1137" i="27"/>
  <c r="K1137" i="27"/>
  <c r="J1137" i="27"/>
  <c r="R1136" i="27"/>
  <c r="L1136" i="27"/>
  <c r="K1136" i="27"/>
  <c r="J1136" i="27"/>
  <c r="R1135" i="27"/>
  <c r="L1135" i="27"/>
  <c r="K1135" i="27"/>
  <c r="J1135" i="27"/>
  <c r="R1134" i="27"/>
  <c r="L1134" i="27"/>
  <c r="K1134" i="27"/>
  <c r="J1134" i="27"/>
  <c r="R1133" i="27"/>
  <c r="L1133" i="27"/>
  <c r="K1133" i="27"/>
  <c r="J1133" i="27"/>
  <c r="R1132" i="27"/>
  <c r="L1132" i="27"/>
  <c r="K1132" i="27"/>
  <c r="J1132" i="27"/>
  <c r="R1131" i="27"/>
  <c r="L1131" i="27"/>
  <c r="K1131" i="27"/>
  <c r="J1131" i="27"/>
  <c r="R1130" i="27"/>
  <c r="L1130" i="27"/>
  <c r="K1130" i="27"/>
  <c r="J1130" i="27"/>
  <c r="R1129" i="27"/>
  <c r="L1129" i="27"/>
  <c r="K1129" i="27"/>
  <c r="J1129" i="27"/>
  <c r="R1128" i="27"/>
  <c r="L1128" i="27"/>
  <c r="K1128" i="27"/>
  <c r="J1128" i="27"/>
  <c r="R1127" i="27"/>
  <c r="L1127" i="27"/>
  <c r="K1127" i="27"/>
  <c r="J1127" i="27"/>
  <c r="R1126" i="27"/>
  <c r="L1126" i="27"/>
  <c r="K1126" i="27"/>
  <c r="J1126" i="27"/>
  <c r="R1125" i="27"/>
  <c r="L1125" i="27"/>
  <c r="K1125" i="27"/>
  <c r="J1125" i="27"/>
  <c r="R1124" i="27"/>
  <c r="L1124" i="27"/>
  <c r="K1124" i="27"/>
  <c r="J1124" i="27"/>
  <c r="R1123" i="27"/>
  <c r="L1123" i="27"/>
  <c r="K1123" i="27"/>
  <c r="J1123" i="27"/>
  <c r="R1122" i="27"/>
  <c r="L1122" i="27"/>
  <c r="K1122" i="27"/>
  <c r="J1122" i="27"/>
  <c r="R1121" i="27"/>
  <c r="L1121" i="27"/>
  <c r="K1121" i="27"/>
  <c r="J1121" i="27"/>
  <c r="R1120" i="27"/>
  <c r="L1120" i="27"/>
  <c r="K1120" i="27"/>
  <c r="J1120" i="27"/>
  <c r="R1119" i="27"/>
  <c r="L1119" i="27"/>
  <c r="K1119" i="27"/>
  <c r="J1119" i="27"/>
  <c r="R1118" i="27"/>
  <c r="L1118" i="27"/>
  <c r="K1118" i="27"/>
  <c r="J1118" i="27"/>
  <c r="R1117" i="27"/>
  <c r="L1117" i="27"/>
  <c r="K1117" i="27"/>
  <c r="J1117" i="27"/>
  <c r="R1116" i="27"/>
  <c r="L1116" i="27"/>
  <c r="K1116" i="27"/>
  <c r="J1116" i="27"/>
  <c r="R1115" i="27"/>
  <c r="L1115" i="27"/>
  <c r="K1115" i="27"/>
  <c r="J1115" i="27"/>
  <c r="R1114" i="27"/>
  <c r="L1114" i="27"/>
  <c r="K1114" i="27"/>
  <c r="J1114" i="27"/>
  <c r="R1113" i="27"/>
  <c r="L1113" i="27"/>
  <c r="K1113" i="27"/>
  <c r="J1113" i="27"/>
  <c r="R1112" i="27"/>
  <c r="L1112" i="27"/>
  <c r="K1112" i="27"/>
  <c r="J1112" i="27"/>
  <c r="R1111" i="27"/>
  <c r="L1111" i="27"/>
  <c r="K1111" i="27"/>
  <c r="J1111" i="27"/>
  <c r="R1110" i="27"/>
  <c r="L1110" i="27"/>
  <c r="K1110" i="27"/>
  <c r="J1110" i="27"/>
  <c r="R1109" i="27"/>
  <c r="L1109" i="27"/>
  <c r="K1109" i="27"/>
  <c r="J1109" i="27"/>
  <c r="R1108" i="27"/>
  <c r="L1108" i="27"/>
  <c r="K1108" i="27"/>
  <c r="J1108" i="27"/>
  <c r="R1107" i="27"/>
  <c r="L1107" i="27"/>
  <c r="K1107" i="27"/>
  <c r="J1107" i="27"/>
  <c r="R1106" i="27"/>
  <c r="L1106" i="27"/>
  <c r="K1106" i="27"/>
  <c r="J1106" i="27"/>
  <c r="R1105" i="27"/>
  <c r="L1105" i="27"/>
  <c r="K1105" i="27"/>
  <c r="J1105" i="27"/>
  <c r="R1104" i="27"/>
  <c r="L1104" i="27"/>
  <c r="K1104" i="27"/>
  <c r="J1104" i="27"/>
  <c r="R1103" i="27"/>
  <c r="L1103" i="27"/>
  <c r="K1103" i="27"/>
  <c r="J1103" i="27"/>
  <c r="R1102" i="27"/>
  <c r="L1102" i="27"/>
  <c r="K1102" i="27"/>
  <c r="J1102" i="27"/>
  <c r="R1101" i="27"/>
  <c r="L1101" i="27"/>
  <c r="K1101" i="27"/>
  <c r="J1101" i="27"/>
  <c r="R1100" i="27"/>
  <c r="L1100" i="27"/>
  <c r="K1100" i="27"/>
  <c r="J1100" i="27"/>
  <c r="R1099" i="27"/>
  <c r="L1099" i="27"/>
  <c r="K1099" i="27"/>
  <c r="J1099" i="27"/>
  <c r="R1098" i="27"/>
  <c r="L1098" i="27"/>
  <c r="K1098" i="27"/>
  <c r="J1098" i="27"/>
  <c r="R1097" i="27"/>
  <c r="L1097" i="27"/>
  <c r="K1097" i="27"/>
  <c r="J1097" i="27"/>
  <c r="R1096" i="27"/>
  <c r="L1096" i="27"/>
  <c r="K1096" i="27"/>
  <c r="J1096" i="27"/>
  <c r="R1095" i="27"/>
  <c r="L1095" i="27"/>
  <c r="K1095" i="27"/>
  <c r="J1095" i="27"/>
  <c r="R1094" i="27"/>
  <c r="L1094" i="27"/>
  <c r="K1094" i="27"/>
  <c r="J1094" i="27"/>
  <c r="R1093" i="27"/>
  <c r="L1093" i="27"/>
  <c r="K1093" i="27"/>
  <c r="J1093" i="27"/>
  <c r="R1092" i="27"/>
  <c r="L1092" i="27"/>
  <c r="K1092" i="27"/>
  <c r="J1092" i="27"/>
  <c r="R1091" i="27"/>
  <c r="L1091" i="27"/>
  <c r="K1091" i="27"/>
  <c r="J1091" i="27"/>
  <c r="R1090" i="27"/>
  <c r="L1090" i="27"/>
  <c r="K1090" i="27"/>
  <c r="J1090" i="27"/>
  <c r="R1089" i="27"/>
  <c r="L1089" i="27"/>
  <c r="K1089" i="27"/>
  <c r="J1089" i="27"/>
  <c r="R1088" i="27"/>
  <c r="L1088" i="27"/>
  <c r="K1088" i="27"/>
  <c r="J1088" i="27"/>
  <c r="R1087" i="27"/>
  <c r="L1087" i="27"/>
  <c r="K1087" i="27"/>
  <c r="J1087" i="27"/>
  <c r="R1086" i="27"/>
  <c r="L1086" i="27"/>
  <c r="K1086" i="27"/>
  <c r="J1086" i="27"/>
  <c r="R1085" i="27"/>
  <c r="L1085" i="27"/>
  <c r="K1085" i="27"/>
  <c r="J1085" i="27"/>
  <c r="R1084" i="27"/>
  <c r="L1084" i="27"/>
  <c r="K1084" i="27"/>
  <c r="J1084" i="27"/>
  <c r="R1083" i="27"/>
  <c r="L1083" i="27"/>
  <c r="K1083" i="27"/>
  <c r="J1083" i="27"/>
  <c r="R1082" i="27"/>
  <c r="L1082" i="27"/>
  <c r="K1082" i="27"/>
  <c r="J1082" i="27"/>
  <c r="R1081" i="27"/>
  <c r="L1081" i="27"/>
  <c r="K1081" i="27"/>
  <c r="J1081" i="27"/>
  <c r="R1080" i="27"/>
  <c r="L1080" i="27"/>
  <c r="K1080" i="27"/>
  <c r="J1080" i="27"/>
  <c r="R1079" i="27"/>
  <c r="L1079" i="27"/>
  <c r="K1079" i="27"/>
  <c r="J1079" i="27"/>
  <c r="R1078" i="27"/>
  <c r="L1078" i="27"/>
  <c r="K1078" i="27"/>
  <c r="J1078" i="27"/>
  <c r="R1077" i="27"/>
  <c r="L1077" i="27"/>
  <c r="K1077" i="27"/>
  <c r="J1077" i="27"/>
  <c r="R1076" i="27"/>
  <c r="L1076" i="27"/>
  <c r="K1076" i="27"/>
  <c r="J1076" i="27"/>
  <c r="R1075" i="27"/>
  <c r="L1075" i="27"/>
  <c r="K1075" i="27"/>
  <c r="J1075" i="27"/>
  <c r="R1074" i="27"/>
  <c r="L1074" i="27"/>
  <c r="K1074" i="27"/>
  <c r="J1074" i="27"/>
  <c r="R1073" i="27"/>
  <c r="L1073" i="27"/>
  <c r="K1073" i="27"/>
  <c r="J1073" i="27"/>
  <c r="R1072" i="27"/>
  <c r="L1072" i="27"/>
  <c r="K1072" i="27"/>
  <c r="J1072" i="27"/>
  <c r="R1071" i="27"/>
  <c r="L1071" i="27"/>
  <c r="K1071" i="27"/>
  <c r="J1071" i="27"/>
  <c r="R1070" i="27"/>
  <c r="L1070" i="27"/>
  <c r="K1070" i="27"/>
  <c r="J1070" i="27"/>
  <c r="R1069" i="27"/>
  <c r="L1069" i="27"/>
  <c r="K1069" i="27"/>
  <c r="J1069" i="27"/>
  <c r="R1068" i="27"/>
  <c r="L1068" i="27"/>
  <c r="K1068" i="27"/>
  <c r="J1068" i="27"/>
  <c r="R1067" i="27"/>
  <c r="L1067" i="27"/>
  <c r="K1067" i="27"/>
  <c r="J1067" i="27"/>
  <c r="R1066" i="27"/>
  <c r="L1066" i="27"/>
  <c r="K1066" i="27"/>
  <c r="J1066" i="27"/>
  <c r="R1065" i="27"/>
  <c r="L1065" i="27"/>
  <c r="K1065" i="27"/>
  <c r="J1065" i="27"/>
  <c r="R1064" i="27"/>
  <c r="L1064" i="27"/>
  <c r="K1064" i="27"/>
  <c r="J1064" i="27"/>
  <c r="R1063" i="27"/>
  <c r="L1063" i="27"/>
  <c r="K1063" i="27"/>
  <c r="J1063" i="27"/>
  <c r="R1062" i="27"/>
  <c r="L1062" i="27"/>
  <c r="K1062" i="27"/>
  <c r="J1062" i="27"/>
  <c r="R1061" i="27"/>
  <c r="L1061" i="27"/>
  <c r="K1061" i="27"/>
  <c r="J1061" i="27"/>
  <c r="R1060" i="27"/>
  <c r="L1060" i="27"/>
  <c r="K1060" i="27"/>
  <c r="J1060" i="27"/>
  <c r="R1059" i="27"/>
  <c r="L1059" i="27"/>
  <c r="K1059" i="27"/>
  <c r="J1059" i="27"/>
  <c r="R1058" i="27"/>
  <c r="L1058" i="27"/>
  <c r="K1058" i="27"/>
  <c r="J1058" i="27"/>
  <c r="R1057" i="27"/>
  <c r="L1057" i="27"/>
  <c r="K1057" i="27"/>
  <c r="J1057" i="27"/>
  <c r="R1056" i="27"/>
  <c r="L1056" i="27"/>
  <c r="K1056" i="27"/>
  <c r="J1056" i="27"/>
  <c r="R1055" i="27"/>
  <c r="L1055" i="27"/>
  <c r="K1055" i="27"/>
  <c r="J1055" i="27"/>
  <c r="R1054" i="27"/>
  <c r="L1054" i="27"/>
  <c r="K1054" i="27"/>
  <c r="J1054" i="27"/>
  <c r="R1053" i="27"/>
  <c r="L1053" i="27"/>
  <c r="K1053" i="27"/>
  <c r="J1053" i="27"/>
  <c r="R1052" i="27"/>
  <c r="L1052" i="27"/>
  <c r="K1052" i="27"/>
  <c r="J1052" i="27"/>
  <c r="R1051" i="27"/>
  <c r="L1051" i="27"/>
  <c r="K1051" i="27"/>
  <c r="J1051" i="27"/>
  <c r="R1050" i="27"/>
  <c r="L1050" i="27"/>
  <c r="K1050" i="27"/>
  <c r="J1050" i="27"/>
  <c r="R1049" i="27"/>
  <c r="L1049" i="27"/>
  <c r="K1049" i="27"/>
  <c r="J1049" i="27"/>
  <c r="R1048" i="27"/>
  <c r="L1048" i="27"/>
  <c r="K1048" i="27"/>
  <c r="J1048" i="27"/>
  <c r="R1047" i="27"/>
  <c r="L1047" i="27"/>
  <c r="K1047" i="27"/>
  <c r="J1047" i="27"/>
  <c r="R1046" i="27"/>
  <c r="L1046" i="27"/>
  <c r="K1046" i="27"/>
  <c r="J1046" i="27"/>
  <c r="R1045" i="27"/>
  <c r="L1045" i="27"/>
  <c r="K1045" i="27"/>
  <c r="J1045" i="27"/>
  <c r="R1044" i="27"/>
  <c r="L1044" i="27"/>
  <c r="K1044" i="27"/>
  <c r="J1044" i="27"/>
  <c r="R1043" i="27"/>
  <c r="L1043" i="27"/>
  <c r="K1043" i="27"/>
  <c r="J1043" i="27"/>
  <c r="R1042" i="27"/>
  <c r="L1042" i="27"/>
  <c r="K1042" i="27"/>
  <c r="J1042" i="27"/>
  <c r="R1041" i="27"/>
  <c r="L1041" i="27"/>
  <c r="K1041" i="27"/>
  <c r="J1041" i="27"/>
  <c r="R1040" i="27"/>
  <c r="L1040" i="27"/>
  <c r="K1040" i="27"/>
  <c r="J1040" i="27"/>
  <c r="R1039" i="27"/>
  <c r="L1039" i="27"/>
  <c r="K1039" i="27"/>
  <c r="J1039" i="27"/>
  <c r="R1038" i="27"/>
  <c r="L1038" i="27"/>
  <c r="K1038" i="27"/>
  <c r="J1038" i="27"/>
  <c r="R1037" i="27"/>
  <c r="L1037" i="27"/>
  <c r="K1037" i="27"/>
  <c r="J1037" i="27"/>
  <c r="R1036" i="27"/>
  <c r="L1036" i="27"/>
  <c r="K1036" i="27"/>
  <c r="J1036" i="27"/>
  <c r="R1035" i="27"/>
  <c r="L1035" i="27"/>
  <c r="K1035" i="27"/>
  <c r="J1035" i="27"/>
  <c r="R1034" i="27"/>
  <c r="L1034" i="27"/>
  <c r="K1034" i="27"/>
  <c r="J1034" i="27"/>
  <c r="R1033" i="27"/>
  <c r="L1033" i="27"/>
  <c r="K1033" i="27"/>
  <c r="J1033" i="27"/>
  <c r="R1032" i="27"/>
  <c r="L1032" i="27"/>
  <c r="K1032" i="27"/>
  <c r="J1032" i="27"/>
  <c r="R1031" i="27"/>
  <c r="L1031" i="27"/>
  <c r="K1031" i="27"/>
  <c r="J1031" i="27"/>
  <c r="R1030" i="27"/>
  <c r="L1030" i="27"/>
  <c r="K1030" i="27"/>
  <c r="J1030" i="27"/>
  <c r="R1029" i="27"/>
  <c r="L1029" i="27"/>
  <c r="K1029" i="27"/>
  <c r="J1029" i="27"/>
  <c r="R1028" i="27"/>
  <c r="L1028" i="27"/>
  <c r="K1028" i="27"/>
  <c r="J1028" i="27"/>
  <c r="R1027" i="27"/>
  <c r="L1027" i="27"/>
  <c r="K1027" i="27"/>
  <c r="J1027" i="27"/>
  <c r="R1026" i="27"/>
  <c r="L1026" i="27"/>
  <c r="K1026" i="27"/>
  <c r="J1026" i="27"/>
  <c r="R1025" i="27"/>
  <c r="L1025" i="27"/>
  <c r="K1025" i="27"/>
  <c r="J1025" i="27"/>
  <c r="R1024" i="27"/>
  <c r="L1024" i="27"/>
  <c r="K1024" i="27"/>
  <c r="J1024" i="27"/>
  <c r="R1023" i="27"/>
  <c r="L1023" i="27"/>
  <c r="K1023" i="27"/>
  <c r="J1023" i="27"/>
  <c r="R1022" i="27"/>
  <c r="L1022" i="27"/>
  <c r="K1022" i="27"/>
  <c r="J1022" i="27"/>
  <c r="R1021" i="27"/>
  <c r="L1021" i="27"/>
  <c r="K1021" i="27"/>
  <c r="J1021" i="27"/>
  <c r="R1020" i="27"/>
  <c r="L1020" i="27"/>
  <c r="K1020" i="27"/>
  <c r="J1020" i="27"/>
  <c r="R1019" i="27"/>
  <c r="L1019" i="27"/>
  <c r="K1019" i="27"/>
  <c r="J1019" i="27"/>
  <c r="R1018" i="27"/>
  <c r="L1018" i="27"/>
  <c r="K1018" i="27"/>
  <c r="J1018" i="27"/>
  <c r="R1017" i="27"/>
  <c r="L1017" i="27"/>
  <c r="K1017" i="27"/>
  <c r="J1017" i="27"/>
  <c r="R1016" i="27"/>
  <c r="L1016" i="27"/>
  <c r="K1016" i="27"/>
  <c r="J1016" i="27"/>
  <c r="R1015" i="27"/>
  <c r="L1015" i="27"/>
  <c r="K1015" i="27"/>
  <c r="J1015" i="27"/>
  <c r="R1014" i="27"/>
  <c r="L1014" i="27"/>
  <c r="K1014" i="27"/>
  <c r="J1014" i="27"/>
  <c r="R1013" i="27"/>
  <c r="L1013" i="27"/>
  <c r="K1013" i="27"/>
  <c r="J1013" i="27"/>
  <c r="R1012" i="27"/>
  <c r="L1012" i="27"/>
  <c r="K1012" i="27"/>
  <c r="J1012" i="27"/>
  <c r="R1011" i="27"/>
  <c r="L1011" i="27"/>
  <c r="K1011" i="27"/>
  <c r="J1011" i="27"/>
  <c r="R1010" i="27"/>
  <c r="L1010" i="27"/>
  <c r="K1010" i="27"/>
  <c r="J1010" i="27"/>
  <c r="R1009" i="27"/>
  <c r="L1009" i="27"/>
  <c r="K1009" i="27"/>
  <c r="J1009" i="27"/>
  <c r="R1008" i="27"/>
  <c r="L1008" i="27"/>
  <c r="K1008" i="27"/>
  <c r="J1008" i="27"/>
  <c r="R1007" i="27"/>
  <c r="L1007" i="27"/>
  <c r="K1007" i="27"/>
  <c r="J1007" i="27"/>
  <c r="R1006" i="27"/>
  <c r="L1006" i="27"/>
  <c r="K1006" i="27"/>
  <c r="J1006" i="27"/>
  <c r="R1005" i="27"/>
  <c r="L1005" i="27"/>
  <c r="K1005" i="27"/>
  <c r="J1005" i="27"/>
  <c r="R1004" i="27"/>
  <c r="L1004" i="27"/>
  <c r="K1004" i="27"/>
  <c r="J1004" i="27"/>
  <c r="R1003" i="27"/>
  <c r="L1003" i="27"/>
  <c r="K1003" i="27"/>
  <c r="J1003" i="27"/>
  <c r="R1002" i="27"/>
  <c r="L1002" i="27"/>
  <c r="K1002" i="27"/>
  <c r="J1002" i="27"/>
  <c r="R1001" i="27"/>
  <c r="L1001" i="27"/>
  <c r="K1001" i="27"/>
  <c r="J1001" i="27"/>
  <c r="R1000" i="27"/>
  <c r="L1000" i="27"/>
  <c r="K1000" i="27"/>
  <c r="J1000" i="27"/>
  <c r="R999" i="27"/>
  <c r="L999" i="27"/>
  <c r="K999" i="27"/>
  <c r="J999" i="27"/>
  <c r="R998" i="27"/>
  <c r="L998" i="27"/>
  <c r="K998" i="27"/>
  <c r="J998" i="27"/>
  <c r="R997" i="27"/>
  <c r="L997" i="27"/>
  <c r="K997" i="27"/>
  <c r="J997" i="27"/>
  <c r="R996" i="27"/>
  <c r="L996" i="27"/>
  <c r="K996" i="27"/>
  <c r="J996" i="27"/>
  <c r="R995" i="27"/>
  <c r="L995" i="27"/>
  <c r="K995" i="27"/>
  <c r="J995" i="27"/>
  <c r="R994" i="27"/>
  <c r="L994" i="27"/>
  <c r="K994" i="27"/>
  <c r="J994" i="27"/>
  <c r="R993" i="27"/>
  <c r="L993" i="27"/>
  <c r="K993" i="27"/>
  <c r="J993" i="27"/>
  <c r="R992" i="27"/>
  <c r="L992" i="27"/>
  <c r="K992" i="27"/>
  <c r="J992" i="27"/>
  <c r="R991" i="27"/>
  <c r="L991" i="27"/>
  <c r="K991" i="27"/>
  <c r="J991" i="27"/>
  <c r="R990" i="27"/>
  <c r="L990" i="27"/>
  <c r="K990" i="27"/>
  <c r="J990" i="27"/>
  <c r="R989" i="27"/>
  <c r="L989" i="27"/>
  <c r="K989" i="27"/>
  <c r="J989" i="27"/>
  <c r="R988" i="27"/>
  <c r="L988" i="27"/>
  <c r="K988" i="27"/>
  <c r="J988" i="27"/>
  <c r="R987" i="27"/>
  <c r="L987" i="27"/>
  <c r="K987" i="27"/>
  <c r="J987" i="27"/>
  <c r="R986" i="27"/>
  <c r="L986" i="27"/>
  <c r="K986" i="27"/>
  <c r="J986" i="27"/>
  <c r="R985" i="27"/>
  <c r="L985" i="27"/>
  <c r="K985" i="27"/>
  <c r="J985" i="27"/>
  <c r="R984" i="27"/>
  <c r="L984" i="27"/>
  <c r="K984" i="27"/>
  <c r="J984" i="27"/>
  <c r="R983" i="27"/>
  <c r="L983" i="27"/>
  <c r="K983" i="27"/>
  <c r="J983" i="27"/>
  <c r="R982" i="27"/>
  <c r="L982" i="27"/>
  <c r="K982" i="27"/>
  <c r="J982" i="27"/>
  <c r="R981" i="27"/>
  <c r="L981" i="27"/>
  <c r="K981" i="27"/>
  <c r="J981" i="27"/>
  <c r="R980" i="27"/>
  <c r="L980" i="27"/>
  <c r="K980" i="27"/>
  <c r="J980" i="27"/>
  <c r="R979" i="27"/>
  <c r="L979" i="27"/>
  <c r="K979" i="27"/>
  <c r="J979" i="27"/>
  <c r="R978" i="27"/>
  <c r="L978" i="27"/>
  <c r="K978" i="27"/>
  <c r="J978" i="27"/>
  <c r="R977" i="27"/>
  <c r="L977" i="27"/>
  <c r="K977" i="27"/>
  <c r="J977" i="27"/>
  <c r="R976" i="27"/>
  <c r="L976" i="27"/>
  <c r="K976" i="27"/>
  <c r="J976" i="27"/>
  <c r="R975" i="27"/>
  <c r="L975" i="27"/>
  <c r="K975" i="27"/>
  <c r="J975" i="27"/>
  <c r="R974" i="27"/>
  <c r="L974" i="27"/>
  <c r="K974" i="27"/>
  <c r="J974" i="27"/>
  <c r="R973" i="27"/>
  <c r="L973" i="27"/>
  <c r="K973" i="27"/>
  <c r="J973" i="27"/>
  <c r="R972" i="27"/>
  <c r="L972" i="27"/>
  <c r="K972" i="27"/>
  <c r="J972" i="27"/>
  <c r="R971" i="27"/>
  <c r="L971" i="27"/>
  <c r="K971" i="27"/>
  <c r="J971" i="27"/>
  <c r="R970" i="27"/>
  <c r="L970" i="27"/>
  <c r="K970" i="27"/>
  <c r="J970" i="27"/>
  <c r="R969" i="27"/>
  <c r="L969" i="27"/>
  <c r="K969" i="27"/>
  <c r="J969" i="27"/>
  <c r="R968" i="27"/>
  <c r="L968" i="27"/>
  <c r="K968" i="27"/>
  <c r="J968" i="27"/>
  <c r="R967" i="27"/>
  <c r="L967" i="27"/>
  <c r="K967" i="27"/>
  <c r="J967" i="27"/>
  <c r="R966" i="27"/>
  <c r="L966" i="27"/>
  <c r="K966" i="27"/>
  <c r="J966" i="27"/>
  <c r="R965" i="27"/>
  <c r="L965" i="27"/>
  <c r="K965" i="27"/>
  <c r="J965" i="27"/>
  <c r="R964" i="27"/>
  <c r="L964" i="27"/>
  <c r="K964" i="27"/>
  <c r="J964" i="27"/>
  <c r="R963" i="27"/>
  <c r="L963" i="27"/>
  <c r="K963" i="27"/>
  <c r="J963" i="27"/>
  <c r="R962" i="27"/>
  <c r="L962" i="27"/>
  <c r="K962" i="27"/>
  <c r="J962" i="27"/>
  <c r="R961" i="27"/>
  <c r="L961" i="27"/>
  <c r="K961" i="27"/>
  <c r="J961" i="27"/>
  <c r="R960" i="27"/>
  <c r="L960" i="27"/>
  <c r="K960" i="27"/>
  <c r="J960" i="27"/>
  <c r="R959" i="27"/>
  <c r="L959" i="27"/>
  <c r="K959" i="27"/>
  <c r="J959" i="27"/>
  <c r="R958" i="27"/>
  <c r="L958" i="27"/>
  <c r="K958" i="27"/>
  <c r="J958" i="27"/>
  <c r="R957" i="27"/>
  <c r="L957" i="27"/>
  <c r="K957" i="27"/>
  <c r="J957" i="27"/>
  <c r="R956" i="27"/>
  <c r="L956" i="27"/>
  <c r="K956" i="27"/>
  <c r="J956" i="27"/>
  <c r="R955" i="27"/>
  <c r="L955" i="27"/>
  <c r="K955" i="27"/>
  <c r="J955" i="27"/>
  <c r="R954" i="27"/>
  <c r="L954" i="27"/>
  <c r="K954" i="27"/>
  <c r="J954" i="27"/>
  <c r="R953" i="27"/>
  <c r="L953" i="27"/>
  <c r="K953" i="27"/>
  <c r="J953" i="27"/>
  <c r="R952" i="27"/>
  <c r="L952" i="27"/>
  <c r="K952" i="27"/>
  <c r="J952" i="27"/>
  <c r="R951" i="27"/>
  <c r="L951" i="27"/>
  <c r="K951" i="27"/>
  <c r="J951" i="27"/>
  <c r="R950" i="27"/>
  <c r="L950" i="27"/>
  <c r="K950" i="27"/>
  <c r="J950" i="27"/>
  <c r="R949" i="27"/>
  <c r="L949" i="27"/>
  <c r="K949" i="27"/>
  <c r="J949" i="27"/>
  <c r="R948" i="27"/>
  <c r="L948" i="27"/>
  <c r="K948" i="27"/>
  <c r="J948" i="27"/>
  <c r="R947" i="27"/>
  <c r="L947" i="27"/>
  <c r="K947" i="27"/>
  <c r="J947" i="27"/>
  <c r="R946" i="27"/>
  <c r="L946" i="27"/>
  <c r="K946" i="27"/>
  <c r="J946" i="27"/>
  <c r="R945" i="27"/>
  <c r="L945" i="27"/>
  <c r="K945" i="27"/>
  <c r="J945" i="27"/>
  <c r="Q944" i="27"/>
  <c r="L944" i="27"/>
  <c r="K944" i="27"/>
  <c r="J944" i="27"/>
  <c r="R943" i="27"/>
  <c r="L943" i="27"/>
  <c r="K943" i="27"/>
  <c r="J943" i="27"/>
  <c r="R942" i="27"/>
  <c r="L942" i="27"/>
  <c r="K942" i="27"/>
  <c r="J942" i="27"/>
  <c r="R941" i="27"/>
  <c r="L941" i="27"/>
  <c r="K941" i="27"/>
  <c r="J941" i="27"/>
  <c r="R940" i="27"/>
  <c r="L940" i="27"/>
  <c r="K940" i="27"/>
  <c r="J940" i="27"/>
  <c r="R939" i="27"/>
  <c r="L939" i="27"/>
  <c r="K939" i="27"/>
  <c r="J939" i="27"/>
  <c r="R938" i="27"/>
  <c r="L938" i="27"/>
  <c r="K938" i="27"/>
  <c r="J938" i="27"/>
  <c r="R937" i="27"/>
  <c r="L937" i="27"/>
  <c r="K937" i="27"/>
  <c r="J937" i="27"/>
  <c r="R936" i="27"/>
  <c r="L936" i="27"/>
  <c r="K936" i="27"/>
  <c r="J936" i="27"/>
  <c r="R935" i="27"/>
  <c r="L935" i="27"/>
  <c r="K935" i="27"/>
  <c r="J935" i="27"/>
  <c r="R934" i="27"/>
  <c r="L934" i="27"/>
  <c r="K934" i="27"/>
  <c r="J934" i="27"/>
  <c r="R933" i="27"/>
  <c r="L933" i="27"/>
  <c r="K933" i="27"/>
  <c r="J933" i="27"/>
  <c r="R932" i="27"/>
  <c r="L932" i="27"/>
  <c r="K932" i="27"/>
  <c r="J932" i="27"/>
  <c r="R931" i="27"/>
  <c r="L931" i="27"/>
  <c r="K931" i="27"/>
  <c r="J931" i="27"/>
  <c r="R930" i="27"/>
  <c r="L930" i="27"/>
  <c r="K930" i="27"/>
  <c r="J930" i="27"/>
  <c r="R929" i="27"/>
  <c r="L929" i="27"/>
  <c r="K929" i="27"/>
  <c r="J929" i="27"/>
  <c r="R928" i="27"/>
  <c r="L928" i="27"/>
  <c r="K928" i="27"/>
  <c r="J928" i="27"/>
  <c r="R927" i="27"/>
  <c r="L927" i="27"/>
  <c r="K927" i="27"/>
  <c r="J927" i="27"/>
  <c r="R926" i="27"/>
  <c r="L926" i="27"/>
  <c r="K926" i="27"/>
  <c r="J926" i="27"/>
  <c r="R925" i="27"/>
  <c r="L925" i="27"/>
  <c r="K925" i="27"/>
  <c r="J925" i="27"/>
  <c r="R924" i="27"/>
  <c r="L924" i="27"/>
  <c r="K924" i="27"/>
  <c r="J924" i="27"/>
  <c r="R923" i="27"/>
  <c r="L923" i="27"/>
  <c r="K923" i="27"/>
  <c r="J923" i="27"/>
  <c r="R922" i="27"/>
  <c r="L922" i="27"/>
  <c r="K922" i="27"/>
  <c r="J922" i="27"/>
  <c r="R921" i="27"/>
  <c r="L921" i="27"/>
  <c r="K921" i="27"/>
  <c r="J921" i="27"/>
  <c r="R920" i="27"/>
  <c r="L920" i="27"/>
  <c r="K920" i="27"/>
  <c r="J920" i="27"/>
  <c r="R919" i="27"/>
  <c r="L919" i="27"/>
  <c r="K919" i="27"/>
  <c r="J919" i="27"/>
  <c r="R918" i="27"/>
  <c r="L918" i="27"/>
  <c r="K918" i="27"/>
  <c r="J918" i="27"/>
  <c r="R917" i="27"/>
  <c r="L917" i="27"/>
  <c r="K917" i="27"/>
  <c r="J917" i="27"/>
  <c r="Q916" i="27"/>
  <c r="L916" i="27"/>
  <c r="K916" i="27"/>
  <c r="J916" i="27"/>
  <c r="R915" i="27"/>
  <c r="L915" i="27"/>
  <c r="K915" i="27"/>
  <c r="J915" i="27"/>
  <c r="R914" i="27"/>
  <c r="L914" i="27"/>
  <c r="K914" i="27"/>
  <c r="J914" i="27"/>
  <c r="R913" i="27"/>
  <c r="L913" i="27"/>
  <c r="K913" i="27"/>
  <c r="J913" i="27"/>
  <c r="Q912" i="27"/>
  <c r="R912" i="27" s="1"/>
  <c r="L912" i="27"/>
  <c r="K912" i="27"/>
  <c r="J912" i="27"/>
  <c r="Q911" i="27"/>
  <c r="D195" i="38" s="1"/>
  <c r="L911" i="27"/>
  <c r="K911" i="27"/>
  <c r="J911" i="27"/>
  <c r="R910" i="27"/>
  <c r="L910" i="27"/>
  <c r="K910" i="27"/>
  <c r="J910" i="27"/>
  <c r="R909" i="27"/>
  <c r="L909" i="27"/>
  <c r="K909" i="27"/>
  <c r="J909" i="27"/>
  <c r="R908" i="27"/>
  <c r="L908" i="27"/>
  <c r="K908" i="27"/>
  <c r="J908" i="27"/>
  <c r="R907" i="27"/>
  <c r="L907" i="27"/>
  <c r="K907" i="27"/>
  <c r="J907" i="27"/>
  <c r="R906" i="27"/>
  <c r="L906" i="27"/>
  <c r="K906" i="27"/>
  <c r="J906" i="27"/>
  <c r="R905" i="27"/>
  <c r="L905" i="27"/>
  <c r="K905" i="27"/>
  <c r="J905" i="27"/>
  <c r="R904" i="27"/>
  <c r="L904" i="27"/>
  <c r="K904" i="27"/>
  <c r="J904" i="27"/>
  <c r="R903" i="27"/>
  <c r="L903" i="27"/>
  <c r="K903" i="27"/>
  <c r="J903" i="27"/>
  <c r="R902" i="27"/>
  <c r="L902" i="27"/>
  <c r="K902" i="27"/>
  <c r="J902" i="27"/>
  <c r="R901" i="27"/>
  <c r="L901" i="27"/>
  <c r="K901" i="27"/>
  <c r="J901" i="27"/>
  <c r="R900" i="27"/>
  <c r="L900" i="27"/>
  <c r="K900" i="27"/>
  <c r="J900" i="27"/>
  <c r="R899" i="27"/>
  <c r="L899" i="27"/>
  <c r="K899" i="27"/>
  <c r="J899" i="27"/>
  <c r="R898" i="27"/>
  <c r="L898" i="27"/>
  <c r="K898" i="27"/>
  <c r="J898" i="27"/>
  <c r="R897" i="27"/>
  <c r="L897" i="27"/>
  <c r="K897" i="27"/>
  <c r="J897" i="27"/>
  <c r="R896" i="27"/>
  <c r="L896" i="27"/>
  <c r="K896" i="27"/>
  <c r="J896" i="27"/>
  <c r="R895" i="27"/>
  <c r="L895" i="27"/>
  <c r="K895" i="27"/>
  <c r="J895" i="27"/>
  <c r="R894" i="27"/>
  <c r="L894" i="27"/>
  <c r="K894" i="27"/>
  <c r="J894" i="27"/>
  <c r="R893" i="27"/>
  <c r="L893" i="27"/>
  <c r="K893" i="27"/>
  <c r="J893" i="27"/>
  <c r="R892" i="27"/>
  <c r="L892" i="27"/>
  <c r="K892" i="27"/>
  <c r="J892" i="27"/>
  <c r="R891" i="27"/>
  <c r="L891" i="27"/>
  <c r="K891" i="27"/>
  <c r="J891" i="27"/>
  <c r="R890" i="27"/>
  <c r="L890" i="27"/>
  <c r="K890" i="27"/>
  <c r="J890" i="27"/>
  <c r="R889" i="27"/>
  <c r="L889" i="27"/>
  <c r="K889" i="27"/>
  <c r="J889" i="27"/>
  <c r="R888" i="27"/>
  <c r="L888" i="27"/>
  <c r="K888" i="27"/>
  <c r="J888" i="27"/>
  <c r="R887" i="27"/>
  <c r="L887" i="27"/>
  <c r="K887" i="27"/>
  <c r="J887" i="27"/>
  <c r="R886" i="27"/>
  <c r="L886" i="27"/>
  <c r="K886" i="27"/>
  <c r="J886" i="27"/>
  <c r="R885" i="27"/>
  <c r="L885" i="27"/>
  <c r="K885" i="27"/>
  <c r="J885" i="27"/>
  <c r="R884" i="27"/>
  <c r="L884" i="27"/>
  <c r="K884" i="27"/>
  <c r="J884" i="27"/>
  <c r="R883" i="27"/>
  <c r="L883" i="27"/>
  <c r="K883" i="27"/>
  <c r="J883" i="27"/>
  <c r="R882" i="27"/>
  <c r="L882" i="27"/>
  <c r="K882" i="27"/>
  <c r="J882" i="27"/>
  <c r="R881" i="27"/>
  <c r="L881" i="27"/>
  <c r="K881" i="27"/>
  <c r="J881" i="27"/>
  <c r="R880" i="27"/>
  <c r="L880" i="27"/>
  <c r="K880" i="27"/>
  <c r="J880" i="27"/>
  <c r="R879" i="27"/>
  <c r="L879" i="27"/>
  <c r="K879" i="27"/>
  <c r="J879" i="27"/>
  <c r="R878" i="27"/>
  <c r="L878" i="27"/>
  <c r="K878" i="27"/>
  <c r="J878" i="27"/>
  <c r="R877" i="27"/>
  <c r="L877" i="27"/>
  <c r="K877" i="27"/>
  <c r="J877" i="27"/>
  <c r="R876" i="27"/>
  <c r="L876" i="27"/>
  <c r="K876" i="27"/>
  <c r="J876" i="27"/>
  <c r="R875" i="27"/>
  <c r="L875" i="27"/>
  <c r="K875" i="27"/>
  <c r="J875" i="27"/>
  <c r="R874" i="27"/>
  <c r="L874" i="27"/>
  <c r="K874" i="27"/>
  <c r="J874" i="27"/>
  <c r="R873" i="27"/>
  <c r="Q873" i="27"/>
  <c r="D183" i="38" s="1"/>
  <c r="L873" i="27"/>
  <c r="K873" i="27"/>
  <c r="J873" i="27"/>
  <c r="R872" i="27"/>
  <c r="L872" i="27"/>
  <c r="K872" i="27"/>
  <c r="J872" i="27"/>
  <c r="R871" i="27"/>
  <c r="L871" i="27"/>
  <c r="K871" i="27"/>
  <c r="J871" i="27"/>
  <c r="R870" i="27"/>
  <c r="L870" i="27"/>
  <c r="K870" i="27"/>
  <c r="J870" i="27"/>
  <c r="R869" i="27"/>
  <c r="L869" i="27"/>
  <c r="K869" i="27"/>
  <c r="J869" i="27"/>
  <c r="R868" i="27"/>
  <c r="L868" i="27"/>
  <c r="K868" i="27"/>
  <c r="J868" i="27"/>
  <c r="R867" i="27"/>
  <c r="L867" i="27"/>
  <c r="K867" i="27"/>
  <c r="J867" i="27"/>
  <c r="R866" i="27"/>
  <c r="Q866" i="27"/>
  <c r="D180" i="38" s="1"/>
  <c r="L866" i="27"/>
  <c r="K866" i="27"/>
  <c r="J866" i="27"/>
  <c r="Q865" i="27"/>
  <c r="L865" i="27"/>
  <c r="K865" i="27"/>
  <c r="J865" i="27"/>
  <c r="R864" i="27"/>
  <c r="Q864" i="27"/>
  <c r="L864" i="27"/>
  <c r="K864" i="27"/>
  <c r="J864" i="27"/>
  <c r="R863" i="27"/>
  <c r="Q863" i="27"/>
  <c r="L863" i="27"/>
  <c r="K863" i="27"/>
  <c r="J863" i="27"/>
  <c r="R862" i="27"/>
  <c r="Q862" i="27"/>
  <c r="L862" i="27"/>
  <c r="K862" i="27"/>
  <c r="J862" i="27"/>
  <c r="R861" i="27"/>
  <c r="Q861" i="27"/>
  <c r="L861" i="27"/>
  <c r="K861" i="27"/>
  <c r="J861" i="27"/>
  <c r="Q860" i="27"/>
  <c r="R860" i="27" s="1"/>
  <c r="L860" i="27"/>
  <c r="K860" i="27"/>
  <c r="J860" i="27"/>
  <c r="R859" i="27"/>
  <c r="Q859" i="27"/>
  <c r="L859" i="27"/>
  <c r="K859" i="27"/>
  <c r="J859" i="27"/>
  <c r="R858" i="27"/>
  <c r="Q858" i="27"/>
  <c r="L858" i="27"/>
  <c r="K858" i="27"/>
  <c r="J858" i="27"/>
  <c r="Q857" i="27"/>
  <c r="R857" i="27" s="1"/>
  <c r="L857" i="27"/>
  <c r="K857" i="27"/>
  <c r="J857" i="27"/>
  <c r="R856" i="27"/>
  <c r="Q856" i="27"/>
  <c r="L856" i="27"/>
  <c r="K856" i="27"/>
  <c r="J856" i="27"/>
  <c r="R855" i="27"/>
  <c r="Q855" i="27"/>
  <c r="L855" i="27"/>
  <c r="K855" i="27"/>
  <c r="J855" i="27"/>
  <c r="Q854" i="27"/>
  <c r="R854" i="27" s="1"/>
  <c r="L854" i="27"/>
  <c r="K854" i="27"/>
  <c r="J854" i="27"/>
  <c r="Q853" i="27"/>
  <c r="L853" i="27"/>
  <c r="K853" i="27"/>
  <c r="J853" i="27"/>
  <c r="Q852" i="27"/>
  <c r="L852" i="27"/>
  <c r="K852" i="27"/>
  <c r="J852" i="27"/>
  <c r="R851" i="27"/>
  <c r="L851" i="27"/>
  <c r="K851" i="27"/>
  <c r="J851" i="27"/>
  <c r="R850" i="27"/>
  <c r="L850" i="27"/>
  <c r="K850" i="27"/>
  <c r="J850" i="27"/>
  <c r="R849" i="27"/>
  <c r="Q849" i="27"/>
  <c r="D173" i="38" s="1"/>
  <c r="L849" i="27"/>
  <c r="K849" i="27"/>
  <c r="J849" i="27"/>
  <c r="R848" i="27"/>
  <c r="L848" i="27"/>
  <c r="K848" i="27"/>
  <c r="J848" i="27"/>
  <c r="R847" i="27"/>
  <c r="L847" i="27"/>
  <c r="K847" i="27"/>
  <c r="J847" i="27"/>
  <c r="R846" i="27"/>
  <c r="L846" i="27"/>
  <c r="K846" i="27"/>
  <c r="J846" i="27"/>
  <c r="R845" i="27"/>
  <c r="L845" i="27"/>
  <c r="K845" i="27"/>
  <c r="J845" i="27"/>
  <c r="R844" i="27"/>
  <c r="L844" i="27"/>
  <c r="K844" i="27"/>
  <c r="J844" i="27"/>
  <c r="R843" i="27"/>
  <c r="L843" i="27"/>
  <c r="K843" i="27"/>
  <c r="J843" i="27"/>
  <c r="R842" i="27"/>
  <c r="L842" i="27"/>
  <c r="K842" i="27"/>
  <c r="J842" i="27"/>
  <c r="R841" i="27"/>
  <c r="Q841" i="27"/>
  <c r="D171" i="38" s="1"/>
  <c r="L841" i="27"/>
  <c r="K841" i="27"/>
  <c r="J841" i="27"/>
  <c r="Q840" i="27"/>
  <c r="D170" i="38" s="1"/>
  <c r="L840" i="27"/>
  <c r="K840" i="27"/>
  <c r="J840" i="27"/>
  <c r="Q839" i="27"/>
  <c r="L839" i="27"/>
  <c r="K839" i="27"/>
  <c r="J839" i="27"/>
  <c r="R838" i="27"/>
  <c r="Q838" i="27"/>
  <c r="L838" i="27"/>
  <c r="K838" i="27"/>
  <c r="J838" i="27"/>
  <c r="Q837" i="27"/>
  <c r="R837" i="27" s="1"/>
  <c r="L837" i="27"/>
  <c r="K837" i="27"/>
  <c r="J837" i="27"/>
  <c r="R836" i="27"/>
  <c r="Q836" i="27"/>
  <c r="L836" i="27"/>
  <c r="K836" i="27"/>
  <c r="J836" i="27"/>
  <c r="R835" i="27"/>
  <c r="Q835" i="27"/>
  <c r="L835" i="27"/>
  <c r="K835" i="27"/>
  <c r="J835" i="27"/>
  <c r="Q834" i="27"/>
  <c r="R834" i="27" s="1"/>
  <c r="L834" i="27"/>
  <c r="K834" i="27"/>
  <c r="J834" i="27"/>
  <c r="R833" i="27"/>
  <c r="Q833" i="27"/>
  <c r="L833" i="27"/>
  <c r="K833" i="27"/>
  <c r="J833" i="27"/>
  <c r="R832" i="27"/>
  <c r="Q832" i="27"/>
  <c r="L832" i="27"/>
  <c r="K832" i="27"/>
  <c r="J832" i="27"/>
  <c r="R831" i="27"/>
  <c r="Q831" i="27"/>
  <c r="L831" i="27"/>
  <c r="K831" i="27"/>
  <c r="J831" i="27"/>
  <c r="Q830" i="27"/>
  <c r="R830" i="27" s="1"/>
  <c r="L830" i="27"/>
  <c r="K830" i="27"/>
  <c r="J830" i="27"/>
  <c r="Q829" i="27"/>
  <c r="R829" i="27" s="1"/>
  <c r="L829" i="27"/>
  <c r="K829" i="27"/>
  <c r="J829" i="27"/>
  <c r="R828" i="27"/>
  <c r="Q828" i="27"/>
  <c r="L828" i="27"/>
  <c r="K828" i="27"/>
  <c r="J828" i="27"/>
  <c r="R827" i="27"/>
  <c r="Q827" i="27"/>
  <c r="L827" i="27"/>
  <c r="K827" i="27"/>
  <c r="J827" i="27"/>
  <c r="Q826" i="27"/>
  <c r="L826" i="27"/>
  <c r="K826" i="27"/>
  <c r="J826" i="27"/>
  <c r="R825" i="27"/>
  <c r="Q825" i="27"/>
  <c r="D165" i="38" s="1"/>
  <c r="L825" i="27"/>
  <c r="K825" i="27"/>
  <c r="J825" i="27"/>
  <c r="R824" i="27"/>
  <c r="Q824" i="27"/>
  <c r="D164" i="38" s="1"/>
  <c r="L824" i="27"/>
  <c r="K824" i="27"/>
  <c r="J824" i="27"/>
  <c r="Q823" i="27"/>
  <c r="D163" i="38" s="1"/>
  <c r="L823" i="27"/>
  <c r="K823" i="27"/>
  <c r="J823" i="27"/>
  <c r="R822" i="27"/>
  <c r="L822" i="27"/>
  <c r="K822" i="27"/>
  <c r="J822" i="27"/>
  <c r="R821" i="27"/>
  <c r="Q821" i="27"/>
  <c r="D161" i="38" s="1"/>
  <c r="L821" i="27"/>
  <c r="K821" i="27"/>
  <c r="J821" i="27"/>
  <c r="R820" i="27"/>
  <c r="Q820" i="27"/>
  <c r="D160" i="38" s="1"/>
  <c r="L820" i="27"/>
  <c r="K820" i="27"/>
  <c r="J820" i="27"/>
  <c r="R819" i="27"/>
  <c r="L819" i="27"/>
  <c r="K819" i="27"/>
  <c r="J819" i="27"/>
  <c r="R818" i="27"/>
  <c r="Q818" i="27"/>
  <c r="D158" i="38" s="1"/>
  <c r="L818" i="27"/>
  <c r="K818" i="27"/>
  <c r="J818" i="27"/>
  <c r="R817" i="27"/>
  <c r="L817" i="27"/>
  <c r="K817" i="27"/>
  <c r="J817" i="27"/>
  <c r="R816" i="27"/>
  <c r="L816" i="27"/>
  <c r="K816" i="27"/>
  <c r="J816" i="27"/>
  <c r="R815" i="27"/>
  <c r="L815" i="27"/>
  <c r="K815" i="27"/>
  <c r="J815" i="27"/>
  <c r="R814" i="27"/>
  <c r="L814" i="27"/>
  <c r="K814" i="27"/>
  <c r="J814" i="27"/>
  <c r="R813" i="27"/>
  <c r="L813" i="27"/>
  <c r="K813" i="27"/>
  <c r="J813" i="27"/>
  <c r="Q812" i="27"/>
  <c r="D155" i="38" s="1"/>
  <c r="L812" i="27"/>
  <c r="K812" i="27"/>
  <c r="J812" i="27"/>
  <c r="R811" i="27"/>
  <c r="L811" i="27"/>
  <c r="K811" i="27"/>
  <c r="J811" i="27"/>
  <c r="R810" i="27"/>
  <c r="L810" i="27"/>
  <c r="K810" i="27"/>
  <c r="J810" i="27"/>
  <c r="R809" i="27"/>
  <c r="Q809" i="27"/>
  <c r="D153" i="38" s="1"/>
  <c r="L809" i="27"/>
  <c r="K809" i="27"/>
  <c r="J809" i="27"/>
  <c r="R808" i="27"/>
  <c r="Q808" i="27"/>
  <c r="D152" i="38" s="1"/>
  <c r="L808" i="27"/>
  <c r="K808" i="27"/>
  <c r="J808" i="27"/>
  <c r="R807" i="27"/>
  <c r="L807" i="27"/>
  <c r="K807" i="27"/>
  <c r="J807" i="27"/>
  <c r="R806" i="27"/>
  <c r="L806" i="27"/>
  <c r="K806" i="27"/>
  <c r="J806" i="27"/>
  <c r="R805" i="27"/>
  <c r="L805" i="27"/>
  <c r="K805" i="27"/>
  <c r="J805" i="27"/>
  <c r="R804" i="27"/>
  <c r="L804" i="27"/>
  <c r="K804" i="27"/>
  <c r="J804" i="27"/>
  <c r="R803" i="27"/>
  <c r="L803" i="27"/>
  <c r="K803" i="27"/>
  <c r="J803" i="27"/>
  <c r="R802" i="27"/>
  <c r="Q802" i="27"/>
  <c r="L802" i="27"/>
  <c r="K802" i="27"/>
  <c r="J802" i="27"/>
  <c r="Q801" i="27"/>
  <c r="R801" i="27" s="1"/>
  <c r="L801" i="27"/>
  <c r="K801" i="27"/>
  <c r="J801" i="27"/>
  <c r="R800" i="27"/>
  <c r="Q800" i="27"/>
  <c r="L800" i="27"/>
  <c r="K800" i="27"/>
  <c r="J800" i="27"/>
  <c r="R799" i="27"/>
  <c r="Q799" i="27"/>
  <c r="L799" i="27"/>
  <c r="K799" i="27"/>
  <c r="J799" i="27"/>
  <c r="R798" i="27"/>
  <c r="Q798" i="27"/>
  <c r="L798" i="27"/>
  <c r="K798" i="27"/>
  <c r="J798" i="27"/>
  <c r="Q797" i="27"/>
  <c r="R797" i="27" s="1"/>
  <c r="L797" i="27"/>
  <c r="K797" i="27"/>
  <c r="J797" i="27"/>
  <c r="R796" i="27"/>
  <c r="Q796" i="27"/>
  <c r="L796" i="27"/>
  <c r="K796" i="27"/>
  <c r="J796" i="27"/>
  <c r="Q795" i="27"/>
  <c r="L795" i="27"/>
  <c r="K795" i="27"/>
  <c r="J795" i="27"/>
  <c r="R794" i="27"/>
  <c r="Q794" i="27"/>
  <c r="L794" i="27"/>
  <c r="K794" i="27"/>
  <c r="J794" i="27"/>
  <c r="R793" i="27"/>
  <c r="Q793" i="27"/>
  <c r="L793" i="27"/>
  <c r="K793" i="27"/>
  <c r="J793" i="27"/>
  <c r="R792" i="27"/>
  <c r="Q792" i="27"/>
  <c r="L792" i="27"/>
  <c r="K792" i="27"/>
  <c r="J792" i="27"/>
  <c r="Q791" i="27"/>
  <c r="L791" i="27"/>
  <c r="K791" i="27"/>
  <c r="J791" i="27"/>
  <c r="R790" i="27"/>
  <c r="Q790" i="27"/>
  <c r="L790" i="27"/>
  <c r="K790" i="27"/>
  <c r="J790" i="27"/>
  <c r="Q789" i="27"/>
  <c r="R789" i="27" s="1"/>
  <c r="L789" i="27"/>
  <c r="K789" i="27"/>
  <c r="J789" i="27"/>
  <c r="R788" i="27"/>
  <c r="Q788" i="27"/>
  <c r="L788" i="27"/>
  <c r="K788" i="27"/>
  <c r="J788" i="27"/>
  <c r="Q787" i="27"/>
  <c r="L787" i="27"/>
  <c r="K787" i="27"/>
  <c r="J787" i="27"/>
  <c r="R786" i="27"/>
  <c r="Q786" i="27"/>
  <c r="L786" i="27"/>
  <c r="K786" i="27"/>
  <c r="J786" i="27"/>
  <c r="R785" i="27"/>
  <c r="Q785" i="27"/>
  <c r="L785" i="27"/>
  <c r="K785" i="27"/>
  <c r="J785" i="27"/>
  <c r="R784" i="27"/>
  <c r="Q784" i="27"/>
  <c r="L784" i="27"/>
  <c r="K784" i="27"/>
  <c r="J784" i="27"/>
  <c r="R783" i="27"/>
  <c r="Q783" i="27"/>
  <c r="L783" i="27"/>
  <c r="K783" i="27"/>
  <c r="J783" i="27"/>
  <c r="R782" i="27"/>
  <c r="Q782" i="27"/>
  <c r="D141" i="38" s="1"/>
  <c r="L782" i="27"/>
  <c r="K782" i="27"/>
  <c r="J782" i="27"/>
  <c r="Q781" i="27"/>
  <c r="R781" i="27" s="1"/>
  <c r="L781" i="27"/>
  <c r="K781" i="27"/>
  <c r="J781" i="27"/>
  <c r="R780" i="27"/>
  <c r="Q780" i="27"/>
  <c r="L780" i="27"/>
  <c r="K780" i="27"/>
  <c r="J780" i="27"/>
  <c r="Q779" i="27"/>
  <c r="R779" i="27" s="1"/>
  <c r="L779" i="27"/>
  <c r="K779" i="27"/>
  <c r="J779" i="27"/>
  <c r="R778" i="27"/>
  <c r="Q778" i="27"/>
  <c r="L778" i="27"/>
  <c r="K778" i="27"/>
  <c r="J778" i="27"/>
  <c r="Q777" i="27"/>
  <c r="L777" i="27"/>
  <c r="K777" i="27"/>
  <c r="J777" i="27"/>
  <c r="R776" i="27"/>
  <c r="L776" i="27"/>
  <c r="K776" i="27"/>
  <c r="J776" i="27"/>
  <c r="R775" i="27"/>
  <c r="L775" i="27"/>
  <c r="K775" i="27"/>
  <c r="J775" i="27"/>
  <c r="R774" i="27"/>
  <c r="L774" i="27"/>
  <c r="K774" i="27"/>
  <c r="J774" i="27"/>
  <c r="R773" i="27"/>
  <c r="L773" i="27"/>
  <c r="K773" i="27"/>
  <c r="J773" i="27"/>
  <c r="R772" i="27"/>
  <c r="L772" i="27"/>
  <c r="K772" i="27"/>
  <c r="J772" i="27"/>
  <c r="R771" i="27"/>
  <c r="Q771" i="27"/>
  <c r="L771" i="27"/>
  <c r="K771" i="27"/>
  <c r="J771" i="27"/>
  <c r="Q770" i="27"/>
  <c r="R770" i="27" s="1"/>
  <c r="L770" i="27"/>
  <c r="K770" i="27"/>
  <c r="J770" i="27"/>
  <c r="R769" i="27"/>
  <c r="Q769" i="27"/>
  <c r="L769" i="27"/>
  <c r="K769" i="27"/>
  <c r="J769" i="27"/>
  <c r="Q768" i="27"/>
  <c r="R768" i="27" s="1"/>
  <c r="L768" i="27"/>
  <c r="K768" i="27"/>
  <c r="J768" i="27"/>
  <c r="R767" i="27"/>
  <c r="Q767" i="27"/>
  <c r="L767" i="27"/>
  <c r="K767" i="27"/>
  <c r="J767" i="27"/>
  <c r="R766" i="27"/>
  <c r="Q766" i="27"/>
  <c r="L766" i="27"/>
  <c r="K766" i="27"/>
  <c r="J766" i="27"/>
  <c r="Q765" i="27"/>
  <c r="R765" i="27" s="1"/>
  <c r="L765" i="27"/>
  <c r="K765" i="27"/>
  <c r="J765" i="27"/>
  <c r="R764" i="27"/>
  <c r="Q764" i="27"/>
  <c r="L764" i="27"/>
  <c r="K764" i="27"/>
  <c r="J764" i="27"/>
  <c r="Q763" i="27"/>
  <c r="R763" i="27" s="1"/>
  <c r="L763" i="27"/>
  <c r="K763" i="27"/>
  <c r="J763" i="27"/>
  <c r="Q762" i="27"/>
  <c r="L762" i="27"/>
  <c r="K762" i="27"/>
  <c r="J762" i="27"/>
  <c r="R761" i="27"/>
  <c r="L761" i="27"/>
  <c r="K761" i="27"/>
  <c r="J761" i="27"/>
  <c r="R760" i="27"/>
  <c r="L760" i="27"/>
  <c r="K760" i="27"/>
  <c r="J760" i="27"/>
  <c r="R759" i="27"/>
  <c r="L759" i="27"/>
  <c r="K759" i="27"/>
  <c r="J759" i="27"/>
  <c r="R758" i="27"/>
  <c r="L758" i="27"/>
  <c r="K758" i="27"/>
  <c r="J758" i="27"/>
  <c r="R757" i="27"/>
  <c r="L757" i="27"/>
  <c r="K757" i="27"/>
  <c r="J757" i="27"/>
  <c r="R756" i="27"/>
  <c r="L756" i="27"/>
  <c r="K756" i="27"/>
  <c r="J756" i="27"/>
  <c r="R755" i="27"/>
  <c r="L755" i="27"/>
  <c r="K755" i="27"/>
  <c r="J755" i="27"/>
  <c r="R754" i="27"/>
  <c r="L754" i="27"/>
  <c r="K754" i="27"/>
  <c r="J754" i="27"/>
  <c r="R753" i="27"/>
  <c r="L753" i="27"/>
  <c r="K753" i="27"/>
  <c r="J753" i="27"/>
  <c r="R752" i="27"/>
  <c r="L752" i="27"/>
  <c r="K752" i="27"/>
  <c r="J752" i="27"/>
  <c r="R751" i="27"/>
  <c r="L751" i="27"/>
  <c r="K751" i="27"/>
  <c r="J751" i="27"/>
  <c r="R750" i="27"/>
  <c r="L750" i="27"/>
  <c r="K750" i="27"/>
  <c r="J750" i="27"/>
  <c r="R749" i="27"/>
  <c r="L749" i="27"/>
  <c r="K749" i="27"/>
  <c r="J749" i="27"/>
  <c r="R748" i="27"/>
  <c r="L748" i="27"/>
  <c r="K748" i="27"/>
  <c r="J748" i="27"/>
  <c r="R747" i="27"/>
  <c r="L747" i="27"/>
  <c r="K747" i="27"/>
  <c r="J747" i="27"/>
  <c r="R746" i="27"/>
  <c r="L746" i="27"/>
  <c r="K746" i="27"/>
  <c r="J746" i="27"/>
  <c r="R745" i="27"/>
  <c r="L745" i="27"/>
  <c r="K745" i="27"/>
  <c r="J745" i="27"/>
  <c r="R744" i="27"/>
  <c r="L744" i="27"/>
  <c r="K744" i="27"/>
  <c r="J744" i="27"/>
  <c r="R743" i="27"/>
  <c r="L743" i="27"/>
  <c r="K743" i="27"/>
  <c r="J743" i="27"/>
  <c r="R742" i="27"/>
  <c r="L742" i="27"/>
  <c r="K742" i="27"/>
  <c r="J742" i="27"/>
  <c r="R741" i="27"/>
  <c r="L741" i="27"/>
  <c r="K741" i="27"/>
  <c r="J741" i="27"/>
  <c r="R740" i="27"/>
  <c r="L740" i="27"/>
  <c r="K740" i="27"/>
  <c r="J740" i="27"/>
  <c r="R739" i="27"/>
  <c r="L739" i="27"/>
  <c r="K739" i="27"/>
  <c r="J739" i="27"/>
  <c r="R738" i="27"/>
  <c r="L738" i="27"/>
  <c r="K738" i="27"/>
  <c r="J738" i="27"/>
  <c r="R737" i="27"/>
  <c r="L737" i="27"/>
  <c r="K737" i="27"/>
  <c r="J737" i="27"/>
  <c r="R736" i="27"/>
  <c r="L736" i="27"/>
  <c r="K736" i="27"/>
  <c r="J736" i="27"/>
  <c r="R735" i="27"/>
  <c r="L735" i="27"/>
  <c r="K735" i="27"/>
  <c r="J735" i="27"/>
  <c r="R734" i="27"/>
  <c r="L734" i="27"/>
  <c r="K734" i="27"/>
  <c r="J734" i="27"/>
  <c r="R733" i="27"/>
  <c r="L733" i="27"/>
  <c r="K733" i="27"/>
  <c r="J733" i="27"/>
  <c r="R732" i="27"/>
  <c r="L732" i="27"/>
  <c r="K732" i="27"/>
  <c r="J732" i="27"/>
  <c r="R731" i="27"/>
  <c r="L731" i="27"/>
  <c r="K731" i="27"/>
  <c r="J731" i="27"/>
  <c r="R730" i="27"/>
  <c r="L730" i="27"/>
  <c r="K730" i="27"/>
  <c r="J730" i="27"/>
  <c r="R729" i="27"/>
  <c r="L729" i="27"/>
  <c r="K729" i="27"/>
  <c r="J729" i="27"/>
  <c r="R728" i="27"/>
  <c r="L728" i="27"/>
  <c r="K728" i="27"/>
  <c r="J728" i="27"/>
  <c r="R727" i="27"/>
  <c r="L727" i="27"/>
  <c r="K727" i="27"/>
  <c r="J727" i="27"/>
  <c r="R726" i="27"/>
  <c r="L726" i="27"/>
  <c r="K726" i="27"/>
  <c r="J726" i="27"/>
  <c r="R725" i="27"/>
  <c r="L725" i="27"/>
  <c r="K725" i="27"/>
  <c r="J725" i="27"/>
  <c r="R724" i="27"/>
  <c r="L724" i="27"/>
  <c r="K724" i="27"/>
  <c r="J724" i="27"/>
  <c r="R723" i="27"/>
  <c r="L723" i="27"/>
  <c r="K723" i="27"/>
  <c r="J723" i="27"/>
  <c r="R722" i="27"/>
  <c r="L722" i="27"/>
  <c r="K722" i="27"/>
  <c r="J722" i="27"/>
  <c r="R721" i="27"/>
  <c r="L721" i="27"/>
  <c r="K721" i="27"/>
  <c r="J721" i="27"/>
  <c r="R720" i="27"/>
  <c r="L720" i="27"/>
  <c r="K720" i="27"/>
  <c r="J720" i="27"/>
  <c r="R719" i="27"/>
  <c r="L719" i="27"/>
  <c r="K719" i="27"/>
  <c r="J719" i="27"/>
  <c r="R718" i="27"/>
  <c r="L718" i="27"/>
  <c r="K718" i="27"/>
  <c r="J718" i="27"/>
  <c r="R717" i="27"/>
  <c r="L717" i="27"/>
  <c r="K717" i="27"/>
  <c r="J717" i="27"/>
  <c r="R716" i="27"/>
  <c r="L716" i="27"/>
  <c r="K716" i="27"/>
  <c r="J716" i="27"/>
  <c r="R715" i="27"/>
  <c r="L715" i="27"/>
  <c r="K715" i="27"/>
  <c r="J715" i="27"/>
  <c r="R714" i="27"/>
  <c r="L714" i="27"/>
  <c r="K714" i="27"/>
  <c r="J714" i="27"/>
  <c r="R713" i="27"/>
  <c r="L713" i="27"/>
  <c r="K713" i="27"/>
  <c r="J713" i="27"/>
  <c r="R712" i="27"/>
  <c r="L712" i="27"/>
  <c r="K712" i="27"/>
  <c r="J712" i="27"/>
  <c r="R711" i="27"/>
  <c r="L711" i="27"/>
  <c r="K711" i="27"/>
  <c r="J711" i="27"/>
  <c r="R710" i="27"/>
  <c r="L710" i="27"/>
  <c r="K710" i="27"/>
  <c r="J710" i="27"/>
  <c r="R709" i="27"/>
  <c r="L709" i="27"/>
  <c r="K709" i="27"/>
  <c r="J709" i="27"/>
  <c r="R708" i="27"/>
  <c r="L708" i="27"/>
  <c r="K708" i="27"/>
  <c r="J708" i="27"/>
  <c r="R707" i="27"/>
  <c r="L707" i="27"/>
  <c r="K707" i="27"/>
  <c r="J707" i="27"/>
  <c r="R706" i="27"/>
  <c r="L706" i="27"/>
  <c r="K706" i="27"/>
  <c r="J706" i="27"/>
  <c r="R705" i="27"/>
  <c r="L705" i="27"/>
  <c r="K705" i="27"/>
  <c r="J705" i="27"/>
  <c r="R704" i="27"/>
  <c r="L704" i="27"/>
  <c r="K704" i="27"/>
  <c r="J704" i="27"/>
  <c r="R703" i="27"/>
  <c r="L703" i="27"/>
  <c r="K703" i="27"/>
  <c r="J703" i="27"/>
  <c r="R702" i="27"/>
  <c r="L702" i="27"/>
  <c r="K702" i="27"/>
  <c r="J702" i="27"/>
  <c r="R701" i="27"/>
  <c r="L701" i="27"/>
  <c r="K701" i="27"/>
  <c r="J701" i="27"/>
  <c r="R700" i="27"/>
  <c r="L700" i="27"/>
  <c r="K700" i="27"/>
  <c r="J700" i="27"/>
  <c r="R699" i="27"/>
  <c r="L699" i="27"/>
  <c r="K699" i="27"/>
  <c r="J699" i="27"/>
  <c r="R698" i="27"/>
  <c r="L698" i="27"/>
  <c r="K698" i="27"/>
  <c r="J698" i="27"/>
  <c r="R697" i="27"/>
  <c r="L697" i="27"/>
  <c r="K697" i="27"/>
  <c r="J697" i="27"/>
  <c r="R696" i="27"/>
  <c r="L696" i="27"/>
  <c r="K696" i="27"/>
  <c r="J696" i="27"/>
  <c r="R695" i="27"/>
  <c r="L695" i="27"/>
  <c r="K695" i="27"/>
  <c r="J695" i="27"/>
  <c r="R694" i="27"/>
  <c r="L694" i="27"/>
  <c r="K694" i="27"/>
  <c r="J694" i="27"/>
  <c r="R693" i="27"/>
  <c r="L693" i="27"/>
  <c r="K693" i="27"/>
  <c r="J693" i="27"/>
  <c r="R692" i="27"/>
  <c r="L692" i="27"/>
  <c r="K692" i="27"/>
  <c r="J692" i="27"/>
  <c r="R691" i="27"/>
  <c r="L691" i="27"/>
  <c r="K691" i="27"/>
  <c r="J691" i="27"/>
  <c r="R690" i="27"/>
  <c r="L690" i="27"/>
  <c r="K690" i="27"/>
  <c r="J690" i="27"/>
  <c r="R689" i="27"/>
  <c r="L689" i="27"/>
  <c r="K689" i="27"/>
  <c r="J689" i="27"/>
  <c r="R688" i="27"/>
  <c r="L688" i="27"/>
  <c r="K688" i="27"/>
  <c r="J688" i="27"/>
  <c r="R687" i="27"/>
  <c r="L687" i="27"/>
  <c r="K687" i="27"/>
  <c r="J687" i="27"/>
  <c r="R686" i="27"/>
  <c r="L686" i="27"/>
  <c r="K686" i="27"/>
  <c r="J686" i="27"/>
  <c r="R685" i="27"/>
  <c r="L685" i="27"/>
  <c r="K685" i="27"/>
  <c r="J685" i="27"/>
  <c r="R684" i="27"/>
  <c r="L684" i="27"/>
  <c r="K684" i="27"/>
  <c r="J684" i="27"/>
  <c r="R683" i="27"/>
  <c r="L683" i="27"/>
  <c r="K683" i="27"/>
  <c r="J683" i="27"/>
  <c r="R682" i="27"/>
  <c r="L682" i="27"/>
  <c r="K682" i="27"/>
  <c r="J682" i="27"/>
  <c r="R681" i="27"/>
  <c r="L681" i="27"/>
  <c r="K681" i="27"/>
  <c r="J681" i="27"/>
  <c r="R680" i="27"/>
  <c r="L680" i="27"/>
  <c r="K680" i="27"/>
  <c r="J680" i="27"/>
  <c r="R679" i="27"/>
  <c r="L679" i="27"/>
  <c r="K679" i="27"/>
  <c r="J679" i="27"/>
  <c r="R678" i="27"/>
  <c r="L678" i="27"/>
  <c r="K678" i="27"/>
  <c r="J678" i="27"/>
  <c r="R677" i="27"/>
  <c r="L677" i="27"/>
  <c r="K677" i="27"/>
  <c r="J677" i="27"/>
  <c r="R676" i="27"/>
  <c r="L676" i="27"/>
  <c r="K676" i="27"/>
  <c r="J676" i="27"/>
  <c r="R675" i="27"/>
  <c r="L675" i="27"/>
  <c r="K675" i="27"/>
  <c r="J675" i="27"/>
  <c r="R674" i="27"/>
  <c r="L674" i="27"/>
  <c r="K674" i="27"/>
  <c r="J674" i="27"/>
  <c r="R673" i="27"/>
  <c r="L673" i="27"/>
  <c r="K673" i="27"/>
  <c r="J673" i="27"/>
  <c r="R672" i="27"/>
  <c r="L672" i="27"/>
  <c r="K672" i="27"/>
  <c r="J672" i="27"/>
  <c r="R671" i="27"/>
  <c r="L671" i="27"/>
  <c r="K671" i="27"/>
  <c r="J671" i="27"/>
  <c r="R670" i="27"/>
  <c r="L670" i="27"/>
  <c r="K670" i="27"/>
  <c r="J670" i="27"/>
  <c r="R669" i="27"/>
  <c r="L669" i="27"/>
  <c r="K669" i="27"/>
  <c r="J669" i="27"/>
  <c r="R668" i="27"/>
  <c r="L668" i="27"/>
  <c r="K668" i="27"/>
  <c r="J668" i="27"/>
  <c r="R667" i="27"/>
  <c r="L667" i="27"/>
  <c r="K667" i="27"/>
  <c r="J667" i="27"/>
  <c r="R666" i="27"/>
  <c r="L666" i="27"/>
  <c r="K666" i="27"/>
  <c r="J666" i="27"/>
  <c r="R665" i="27"/>
  <c r="L665" i="27"/>
  <c r="K665" i="27"/>
  <c r="J665" i="27"/>
  <c r="R664" i="27"/>
  <c r="L664" i="27"/>
  <c r="K664" i="27"/>
  <c r="J664" i="27"/>
  <c r="R663" i="27"/>
  <c r="L663" i="27"/>
  <c r="K663" i="27"/>
  <c r="J663" i="27"/>
  <c r="R662" i="27"/>
  <c r="L662" i="27"/>
  <c r="K662" i="27"/>
  <c r="J662" i="27"/>
  <c r="R661" i="27"/>
  <c r="L661" i="27"/>
  <c r="K661" i="27"/>
  <c r="J661" i="27"/>
  <c r="R660" i="27"/>
  <c r="L660" i="27"/>
  <c r="K660" i="27"/>
  <c r="J660" i="27"/>
  <c r="R659" i="27"/>
  <c r="L659" i="27"/>
  <c r="K659" i="27"/>
  <c r="J659" i="27"/>
  <c r="R658" i="27"/>
  <c r="L658" i="27"/>
  <c r="K658" i="27"/>
  <c r="J658" i="27"/>
  <c r="R657" i="27"/>
  <c r="L657" i="27"/>
  <c r="K657" i="27"/>
  <c r="J657" i="27"/>
  <c r="R656" i="27"/>
  <c r="L656" i="27"/>
  <c r="K656" i="27"/>
  <c r="J656" i="27"/>
  <c r="R655" i="27"/>
  <c r="L655" i="27"/>
  <c r="K655" i="27"/>
  <c r="J655" i="27"/>
  <c r="R654" i="27"/>
  <c r="L654" i="27"/>
  <c r="K654" i="27"/>
  <c r="J654" i="27"/>
  <c r="R653" i="27"/>
  <c r="L653" i="27"/>
  <c r="K653" i="27"/>
  <c r="J653" i="27"/>
  <c r="R652" i="27"/>
  <c r="L652" i="27"/>
  <c r="K652" i="27"/>
  <c r="J652" i="27"/>
  <c r="R651" i="27"/>
  <c r="L651" i="27"/>
  <c r="K651" i="27"/>
  <c r="J651" i="27"/>
  <c r="R650" i="27"/>
  <c r="L650" i="27"/>
  <c r="K650" i="27"/>
  <c r="J650" i="27"/>
  <c r="R649" i="27"/>
  <c r="L649" i="27"/>
  <c r="K649" i="27"/>
  <c r="J649" i="27"/>
  <c r="R648" i="27"/>
  <c r="L648" i="27"/>
  <c r="K648" i="27"/>
  <c r="J648" i="27"/>
  <c r="R647" i="27"/>
  <c r="L647" i="27"/>
  <c r="K647" i="27"/>
  <c r="J647" i="27"/>
  <c r="R646" i="27"/>
  <c r="L646" i="27"/>
  <c r="K646" i="27"/>
  <c r="J646" i="27"/>
  <c r="R645" i="27"/>
  <c r="L645" i="27"/>
  <c r="K645" i="27"/>
  <c r="J645" i="27"/>
  <c r="R644" i="27"/>
  <c r="L644" i="27"/>
  <c r="K644" i="27"/>
  <c r="J644" i="27"/>
  <c r="R643" i="27"/>
  <c r="L643" i="27"/>
  <c r="K643" i="27"/>
  <c r="J643" i="27"/>
  <c r="R642" i="27"/>
  <c r="L642" i="27"/>
  <c r="K642" i="27"/>
  <c r="J642" i="27"/>
  <c r="R641" i="27"/>
  <c r="L641" i="27"/>
  <c r="K641" i="27"/>
  <c r="J641" i="27"/>
  <c r="R640" i="27"/>
  <c r="L640" i="27"/>
  <c r="K640" i="27"/>
  <c r="J640" i="27"/>
  <c r="R639" i="27"/>
  <c r="L639" i="27"/>
  <c r="K639" i="27"/>
  <c r="J639" i="27"/>
  <c r="R638" i="27"/>
  <c r="L638" i="27"/>
  <c r="K638" i="27"/>
  <c r="J638" i="27"/>
  <c r="R637" i="27"/>
  <c r="L637" i="27"/>
  <c r="K637" i="27"/>
  <c r="J637" i="27"/>
  <c r="R636" i="27"/>
  <c r="L636" i="27"/>
  <c r="K636" i="27"/>
  <c r="J636" i="27"/>
  <c r="R635" i="27"/>
  <c r="L635" i="27"/>
  <c r="K635" i="27"/>
  <c r="J635" i="27"/>
  <c r="R634" i="27"/>
  <c r="L634" i="27"/>
  <c r="K634" i="27"/>
  <c r="J634" i="27"/>
  <c r="R633" i="27"/>
  <c r="L633" i="27"/>
  <c r="K633" i="27"/>
  <c r="J633" i="27"/>
  <c r="R632" i="27"/>
  <c r="L632" i="27"/>
  <c r="K632" i="27"/>
  <c r="J632" i="27"/>
  <c r="R631" i="27"/>
  <c r="L631" i="27"/>
  <c r="K631" i="27"/>
  <c r="J631" i="27"/>
  <c r="R630" i="27"/>
  <c r="L630" i="27"/>
  <c r="K630" i="27"/>
  <c r="J630" i="27"/>
  <c r="R629" i="27"/>
  <c r="L629" i="27"/>
  <c r="K629" i="27"/>
  <c r="J629" i="27"/>
  <c r="R628" i="27"/>
  <c r="L628" i="27"/>
  <c r="K628" i="27"/>
  <c r="J628" i="27"/>
  <c r="R627" i="27"/>
  <c r="L627" i="27"/>
  <c r="K627" i="27"/>
  <c r="J627" i="27"/>
  <c r="R626" i="27"/>
  <c r="L626" i="27"/>
  <c r="K626" i="27"/>
  <c r="J626" i="27"/>
  <c r="R625" i="27"/>
  <c r="L625" i="27"/>
  <c r="K625" i="27"/>
  <c r="J625" i="27"/>
  <c r="R624" i="27"/>
  <c r="L624" i="27"/>
  <c r="K624" i="27"/>
  <c r="J624" i="27"/>
  <c r="R623" i="27"/>
  <c r="L623" i="27"/>
  <c r="K623" i="27"/>
  <c r="J623" i="27"/>
  <c r="R622" i="27"/>
  <c r="L622" i="27"/>
  <c r="K622" i="27"/>
  <c r="J622" i="27"/>
  <c r="R621" i="27"/>
  <c r="L621" i="27"/>
  <c r="K621" i="27"/>
  <c r="J621" i="27"/>
  <c r="R620" i="27"/>
  <c r="L620" i="27"/>
  <c r="K620" i="27"/>
  <c r="J620" i="27"/>
  <c r="R619" i="27"/>
  <c r="L619" i="27"/>
  <c r="K619" i="27"/>
  <c r="J619" i="27"/>
  <c r="R618" i="27"/>
  <c r="L618" i="27"/>
  <c r="K618" i="27"/>
  <c r="J618" i="27"/>
  <c r="R617" i="27"/>
  <c r="L617" i="27"/>
  <c r="K617" i="27"/>
  <c r="J617" i="27"/>
  <c r="R616" i="27"/>
  <c r="L616" i="27"/>
  <c r="K616" i="27"/>
  <c r="J616" i="27"/>
  <c r="R615" i="27"/>
  <c r="L615" i="27"/>
  <c r="K615" i="27"/>
  <c r="J615" i="27"/>
  <c r="R614" i="27"/>
  <c r="L614" i="27"/>
  <c r="K614" i="27"/>
  <c r="J614" i="27"/>
  <c r="R613" i="27"/>
  <c r="L613" i="27"/>
  <c r="K613" i="27"/>
  <c r="J613" i="27"/>
  <c r="R612" i="27"/>
  <c r="L612" i="27"/>
  <c r="K612" i="27"/>
  <c r="J612" i="27"/>
  <c r="R611" i="27"/>
  <c r="L611" i="27"/>
  <c r="K611" i="27"/>
  <c r="J611" i="27"/>
  <c r="R610" i="27"/>
  <c r="L610" i="27"/>
  <c r="K610" i="27"/>
  <c r="J610" i="27"/>
  <c r="R609" i="27"/>
  <c r="L609" i="27"/>
  <c r="K609" i="27"/>
  <c r="J609" i="27"/>
  <c r="R608" i="27"/>
  <c r="L608" i="27"/>
  <c r="K608" i="27"/>
  <c r="J608" i="27"/>
  <c r="R607" i="27"/>
  <c r="L607" i="27"/>
  <c r="K607" i="27"/>
  <c r="J607" i="27"/>
  <c r="R606" i="27"/>
  <c r="L606" i="27"/>
  <c r="K606" i="27"/>
  <c r="J606" i="27"/>
  <c r="R605" i="27"/>
  <c r="L605" i="27"/>
  <c r="K605" i="27"/>
  <c r="J605" i="27"/>
  <c r="R604" i="27"/>
  <c r="L604" i="27"/>
  <c r="K604" i="27"/>
  <c r="J604" i="27"/>
  <c r="R603" i="27"/>
  <c r="L603" i="27"/>
  <c r="K603" i="27"/>
  <c r="J603" i="27"/>
  <c r="R602" i="27"/>
  <c r="L602" i="27"/>
  <c r="K602" i="27"/>
  <c r="J602" i="27"/>
  <c r="R601" i="27"/>
  <c r="L601" i="27"/>
  <c r="K601" i="27"/>
  <c r="J601" i="27"/>
  <c r="R600" i="27"/>
  <c r="L600" i="27"/>
  <c r="K600" i="27"/>
  <c r="J600" i="27"/>
  <c r="R599" i="27"/>
  <c r="L599" i="27"/>
  <c r="K599" i="27"/>
  <c r="J599" i="27"/>
  <c r="R598" i="27"/>
  <c r="L598" i="27"/>
  <c r="K598" i="27"/>
  <c r="J598" i="27"/>
  <c r="R597" i="27"/>
  <c r="L597" i="27"/>
  <c r="K597" i="27"/>
  <c r="J597" i="27"/>
  <c r="Q596" i="27"/>
  <c r="R596" i="27" s="1"/>
  <c r="L596" i="27"/>
  <c r="K596" i="27"/>
  <c r="J596" i="27"/>
  <c r="R595" i="27"/>
  <c r="Q595" i="27"/>
  <c r="L595" i="27"/>
  <c r="K595" i="27"/>
  <c r="J595" i="27"/>
  <c r="R594" i="27"/>
  <c r="Q594" i="27"/>
  <c r="L594" i="27"/>
  <c r="K594" i="27"/>
  <c r="J594" i="27"/>
  <c r="Q593" i="27"/>
  <c r="R593" i="27" s="1"/>
  <c r="L593" i="27"/>
  <c r="K593" i="27"/>
  <c r="J593" i="27"/>
  <c r="Q592" i="27"/>
  <c r="L592" i="27"/>
  <c r="K592" i="27"/>
  <c r="J592" i="27"/>
  <c r="R591" i="27"/>
  <c r="Q591" i="27"/>
  <c r="L591" i="27"/>
  <c r="K591" i="27"/>
  <c r="J591" i="27"/>
  <c r="Q590" i="27"/>
  <c r="R590" i="27" s="1"/>
  <c r="L590" i="27"/>
  <c r="K590" i="27"/>
  <c r="J590" i="27"/>
  <c r="Q589" i="27"/>
  <c r="R589" i="27" s="1"/>
  <c r="L589" i="27"/>
  <c r="K589" i="27"/>
  <c r="J589" i="27"/>
  <c r="R588" i="27"/>
  <c r="Q588" i="27"/>
  <c r="L588" i="27"/>
  <c r="K588" i="27"/>
  <c r="J588" i="27"/>
  <c r="R587" i="27"/>
  <c r="Q587" i="27"/>
  <c r="L587" i="27"/>
  <c r="K587" i="27"/>
  <c r="J587" i="27"/>
  <c r="Q586" i="27"/>
  <c r="R586" i="27" s="1"/>
  <c r="L586" i="27"/>
  <c r="K586" i="27"/>
  <c r="J586" i="27"/>
  <c r="R585" i="27"/>
  <c r="Q585" i="27"/>
  <c r="L585" i="27"/>
  <c r="K585" i="27"/>
  <c r="J585" i="27"/>
  <c r="Q584" i="27"/>
  <c r="R584" i="27" s="1"/>
  <c r="L584" i="27"/>
  <c r="K584" i="27"/>
  <c r="J584" i="27"/>
  <c r="R583" i="27"/>
  <c r="Q583" i="27"/>
  <c r="L583" i="27"/>
  <c r="K583" i="27"/>
  <c r="J583" i="27"/>
  <c r="R582" i="27"/>
  <c r="Q582" i="27"/>
  <c r="L582" i="27"/>
  <c r="K582" i="27"/>
  <c r="J582" i="27"/>
  <c r="Q581" i="27"/>
  <c r="R581" i="27" s="1"/>
  <c r="L581" i="27"/>
  <c r="K581" i="27"/>
  <c r="J581" i="27"/>
  <c r="R580" i="27"/>
  <c r="Q580" i="27"/>
  <c r="D111" i="38" s="1"/>
  <c r="L580" i="27"/>
  <c r="K580" i="27"/>
  <c r="J580" i="27"/>
  <c r="R579" i="27"/>
  <c r="L579" i="27"/>
  <c r="K579" i="27"/>
  <c r="J579" i="27"/>
  <c r="R578" i="27"/>
  <c r="L578" i="27"/>
  <c r="K578" i="27"/>
  <c r="J578" i="27"/>
  <c r="R577" i="27"/>
  <c r="L577" i="27"/>
  <c r="K577" i="27"/>
  <c r="J577" i="27"/>
  <c r="R576" i="27"/>
  <c r="L576" i="27"/>
  <c r="K576" i="27"/>
  <c r="J576" i="27"/>
  <c r="R575" i="27"/>
  <c r="L575" i="27"/>
  <c r="K575" i="27"/>
  <c r="J575" i="27"/>
  <c r="R574" i="27"/>
  <c r="L574" i="27"/>
  <c r="K574" i="27"/>
  <c r="J574" i="27"/>
  <c r="R573" i="27"/>
  <c r="Q573" i="27"/>
  <c r="L573" i="27"/>
  <c r="K573" i="27"/>
  <c r="J573" i="27"/>
  <c r="R572" i="27"/>
  <c r="Q572" i="27"/>
  <c r="L572" i="27"/>
  <c r="K572" i="27"/>
  <c r="J572" i="27"/>
  <c r="Q571" i="27"/>
  <c r="R571" i="27" s="1"/>
  <c r="L571" i="27"/>
  <c r="K571" i="27"/>
  <c r="J571" i="27"/>
  <c r="R570" i="27"/>
  <c r="Q570" i="27"/>
  <c r="L570" i="27"/>
  <c r="K570" i="27"/>
  <c r="J570" i="27"/>
  <c r="Q569" i="27"/>
  <c r="R569" i="27" s="1"/>
  <c r="L569" i="27"/>
  <c r="K569" i="27"/>
  <c r="J569" i="27"/>
  <c r="Q568" i="27"/>
  <c r="L568" i="27"/>
  <c r="K568" i="27"/>
  <c r="J568" i="27"/>
  <c r="R567" i="27"/>
  <c r="Q567" i="27"/>
  <c r="L567" i="27"/>
  <c r="K567" i="27"/>
  <c r="J567" i="27"/>
  <c r="Q566" i="27"/>
  <c r="R566" i="27" s="1"/>
  <c r="L566" i="27"/>
  <c r="K566" i="27"/>
  <c r="J566" i="27"/>
  <c r="R565" i="27"/>
  <c r="Q565" i="27"/>
  <c r="L565" i="27"/>
  <c r="K565" i="27"/>
  <c r="J565" i="27"/>
  <c r="Q564" i="27"/>
  <c r="L564" i="27"/>
  <c r="K564" i="27"/>
  <c r="J564" i="27"/>
  <c r="R563" i="27"/>
  <c r="Q563" i="27"/>
  <c r="L563" i="27"/>
  <c r="K563" i="27"/>
  <c r="J563" i="27"/>
  <c r="R562" i="27"/>
  <c r="Q562" i="27"/>
  <c r="L562" i="27"/>
  <c r="K562" i="27"/>
  <c r="J562" i="27"/>
  <c r="Q561" i="27"/>
  <c r="R561" i="27" s="1"/>
  <c r="L561" i="27"/>
  <c r="K561" i="27"/>
  <c r="J561" i="27"/>
  <c r="R560" i="27"/>
  <c r="Q560" i="27"/>
  <c r="L560" i="27"/>
  <c r="K560" i="27"/>
  <c r="J560" i="27"/>
  <c r="R559" i="27"/>
  <c r="L559" i="27"/>
  <c r="K559" i="27"/>
  <c r="J559" i="27"/>
  <c r="R558" i="27"/>
  <c r="L558" i="27"/>
  <c r="K558" i="27"/>
  <c r="J558" i="27"/>
  <c r="R557" i="27"/>
  <c r="L557" i="27"/>
  <c r="K557" i="27"/>
  <c r="J557" i="27"/>
  <c r="R556" i="27"/>
  <c r="L556" i="27"/>
  <c r="K556" i="27"/>
  <c r="J556" i="27"/>
  <c r="Q555" i="27"/>
  <c r="R555" i="27" s="1"/>
  <c r="L555" i="27"/>
  <c r="K555" i="27"/>
  <c r="J555" i="27"/>
  <c r="Q554" i="27"/>
  <c r="R554" i="27" s="1"/>
  <c r="L554" i="27"/>
  <c r="K554" i="27"/>
  <c r="J554" i="27"/>
  <c r="R553" i="27"/>
  <c r="Q553" i="27"/>
  <c r="L553" i="27"/>
  <c r="K553" i="27"/>
  <c r="J553" i="27"/>
  <c r="Q552" i="27"/>
  <c r="D105" i="38" s="1"/>
  <c r="L552" i="27"/>
  <c r="K552" i="27"/>
  <c r="J552" i="27"/>
  <c r="R551" i="27"/>
  <c r="Q551" i="27"/>
  <c r="L551" i="27"/>
  <c r="K551" i="27"/>
  <c r="J551" i="27"/>
  <c r="R550" i="27"/>
  <c r="Q550" i="27"/>
  <c r="L550" i="27"/>
  <c r="K550" i="27"/>
  <c r="J550" i="27"/>
  <c r="Q549" i="27"/>
  <c r="R549" i="27" s="1"/>
  <c r="L549" i="27"/>
  <c r="K549" i="27"/>
  <c r="J549" i="27"/>
  <c r="Q548" i="27"/>
  <c r="L548" i="27"/>
  <c r="K548" i="27"/>
  <c r="J548" i="27"/>
  <c r="R547" i="27"/>
  <c r="Q547" i="27"/>
  <c r="L547" i="27"/>
  <c r="K547" i="27"/>
  <c r="J547" i="27"/>
  <c r="Q546" i="27"/>
  <c r="R546" i="27" s="1"/>
  <c r="L546" i="27"/>
  <c r="K546" i="27"/>
  <c r="J546" i="27"/>
  <c r="R545" i="27"/>
  <c r="Q545" i="27"/>
  <c r="L545" i="27"/>
  <c r="K545" i="27"/>
  <c r="J545" i="27"/>
  <c r="Q544" i="27"/>
  <c r="L544" i="27"/>
  <c r="K544" i="27"/>
  <c r="J544" i="27"/>
  <c r="Q543" i="27"/>
  <c r="R543" i="27" s="1"/>
  <c r="L543" i="27"/>
  <c r="K543" i="27"/>
  <c r="J543" i="27"/>
  <c r="R542" i="27"/>
  <c r="Q542" i="27"/>
  <c r="L542" i="27"/>
  <c r="K542" i="27"/>
  <c r="J542" i="27"/>
  <c r="Q541" i="27"/>
  <c r="R541" i="27" s="1"/>
  <c r="L541" i="27"/>
  <c r="K541" i="27"/>
  <c r="J541" i="27"/>
  <c r="R540" i="27"/>
  <c r="Q540" i="27"/>
  <c r="L540" i="27"/>
  <c r="K540" i="27"/>
  <c r="J540" i="27"/>
  <c r="R539" i="27"/>
  <c r="Q539" i="27"/>
  <c r="L539" i="27"/>
  <c r="K539" i="27"/>
  <c r="J539" i="27"/>
  <c r="Q538" i="27"/>
  <c r="R538" i="27" s="1"/>
  <c r="L538" i="27"/>
  <c r="K538" i="27"/>
  <c r="J538" i="27"/>
  <c r="R537" i="27"/>
  <c r="Q537" i="27"/>
  <c r="L537" i="27"/>
  <c r="K537" i="27"/>
  <c r="J537" i="27"/>
  <c r="Q536" i="27"/>
  <c r="L536" i="27"/>
  <c r="K536" i="27"/>
  <c r="J536" i="27"/>
  <c r="R535" i="27"/>
  <c r="L535" i="27"/>
  <c r="K535" i="27"/>
  <c r="J535" i="27"/>
  <c r="R534" i="27"/>
  <c r="L534" i="27"/>
  <c r="K534" i="27"/>
  <c r="J534" i="27"/>
  <c r="R533" i="27"/>
  <c r="L533" i="27"/>
  <c r="K533" i="27"/>
  <c r="J533" i="27"/>
  <c r="R532" i="27"/>
  <c r="L532" i="27"/>
  <c r="K532" i="27"/>
  <c r="J532" i="27"/>
  <c r="Q531" i="27"/>
  <c r="R531" i="27" s="1"/>
  <c r="L531" i="27"/>
  <c r="K531" i="27"/>
  <c r="J531" i="27"/>
  <c r="R530" i="27"/>
  <c r="Q530" i="27"/>
  <c r="L530" i="27"/>
  <c r="K530" i="27"/>
  <c r="J530" i="27"/>
  <c r="R529" i="27"/>
  <c r="Q529" i="27"/>
  <c r="L529" i="27"/>
  <c r="K529" i="27"/>
  <c r="J529" i="27"/>
  <c r="R528" i="27"/>
  <c r="Q528" i="27"/>
  <c r="D99" i="38" s="1"/>
  <c r="L528" i="27"/>
  <c r="K528" i="27"/>
  <c r="J528" i="27"/>
  <c r="R527" i="27"/>
  <c r="L527" i="27"/>
  <c r="K527" i="27"/>
  <c r="J527" i="27"/>
  <c r="R526" i="27"/>
  <c r="L526" i="27"/>
  <c r="K526" i="27"/>
  <c r="J526" i="27"/>
  <c r="R525" i="27"/>
  <c r="L525" i="27"/>
  <c r="K525" i="27"/>
  <c r="J525" i="27"/>
  <c r="R524" i="27"/>
  <c r="L524" i="27"/>
  <c r="K524" i="27"/>
  <c r="J524" i="27"/>
  <c r="R523" i="27"/>
  <c r="L523" i="27"/>
  <c r="K523" i="27"/>
  <c r="J523" i="27"/>
  <c r="R522" i="27"/>
  <c r="L522" i="27"/>
  <c r="K522" i="27"/>
  <c r="J522" i="27"/>
  <c r="R521" i="27"/>
  <c r="L521" i="27"/>
  <c r="K521" i="27"/>
  <c r="J521" i="27"/>
  <c r="R520" i="27"/>
  <c r="L520" i="27"/>
  <c r="K520" i="27"/>
  <c r="J520" i="27"/>
  <c r="R519" i="27"/>
  <c r="L519" i="27"/>
  <c r="K519" i="27"/>
  <c r="J519" i="27"/>
  <c r="R518" i="27"/>
  <c r="L518" i="27"/>
  <c r="K518" i="27"/>
  <c r="J518" i="27"/>
  <c r="R517" i="27"/>
  <c r="L517" i="27"/>
  <c r="K517" i="27"/>
  <c r="J517" i="27"/>
  <c r="R516" i="27"/>
  <c r="L516" i="27"/>
  <c r="K516" i="27"/>
  <c r="J516" i="27"/>
  <c r="R515" i="27"/>
  <c r="L515" i="27"/>
  <c r="K515" i="27"/>
  <c r="J515" i="27"/>
  <c r="R514" i="27"/>
  <c r="L514" i="27"/>
  <c r="K514" i="27"/>
  <c r="J514" i="27"/>
  <c r="R513" i="27"/>
  <c r="L513" i="27"/>
  <c r="K513" i="27"/>
  <c r="J513" i="27"/>
  <c r="R512" i="27"/>
  <c r="L512" i="27"/>
  <c r="K512" i="27"/>
  <c r="J512" i="27"/>
  <c r="R511" i="27"/>
  <c r="L511" i="27"/>
  <c r="K511" i="27"/>
  <c r="J511" i="27"/>
  <c r="R510" i="27"/>
  <c r="L510" i="27"/>
  <c r="K510" i="27"/>
  <c r="J510" i="27"/>
  <c r="R509" i="27"/>
  <c r="L509" i="27"/>
  <c r="K509" i="27"/>
  <c r="J509" i="27"/>
  <c r="R508" i="27"/>
  <c r="L508" i="27"/>
  <c r="K508" i="27"/>
  <c r="J508" i="27"/>
  <c r="R507" i="27"/>
  <c r="L507" i="27"/>
  <c r="K507" i="27"/>
  <c r="J507" i="27"/>
  <c r="R506" i="27"/>
  <c r="L506" i="27"/>
  <c r="K506" i="27"/>
  <c r="J506" i="27"/>
  <c r="R505" i="27"/>
  <c r="L505" i="27"/>
  <c r="K505" i="27"/>
  <c r="J505" i="27"/>
  <c r="R504" i="27"/>
  <c r="L504" i="27"/>
  <c r="K504" i="27"/>
  <c r="J504" i="27"/>
  <c r="R503" i="27"/>
  <c r="L503" i="27"/>
  <c r="K503" i="27"/>
  <c r="J503" i="27"/>
  <c r="R502" i="27"/>
  <c r="L502" i="27"/>
  <c r="K502" i="27"/>
  <c r="J502" i="27"/>
  <c r="R501" i="27"/>
  <c r="L501" i="27"/>
  <c r="K501" i="27"/>
  <c r="J501" i="27"/>
  <c r="R500" i="27"/>
  <c r="L500" i="27"/>
  <c r="K500" i="27"/>
  <c r="J500" i="27"/>
  <c r="R499" i="27"/>
  <c r="L499" i="27"/>
  <c r="K499" i="27"/>
  <c r="J499" i="27"/>
  <c r="R498" i="27"/>
  <c r="L498" i="27"/>
  <c r="K498" i="27"/>
  <c r="J498" i="27"/>
  <c r="R497" i="27"/>
  <c r="L497" i="27"/>
  <c r="K497" i="27"/>
  <c r="J497" i="27"/>
  <c r="R496" i="27"/>
  <c r="L496" i="27"/>
  <c r="K496" i="27"/>
  <c r="J496" i="27"/>
  <c r="R495" i="27"/>
  <c r="L495" i="27"/>
  <c r="K495" i="27"/>
  <c r="J495" i="27"/>
  <c r="R494" i="27"/>
  <c r="L494" i="27"/>
  <c r="K494" i="27"/>
  <c r="J494" i="27"/>
  <c r="R493" i="27"/>
  <c r="L493" i="27"/>
  <c r="K493" i="27"/>
  <c r="J493" i="27"/>
  <c r="R492" i="27"/>
  <c r="L492" i="27"/>
  <c r="K492" i="27"/>
  <c r="J492" i="27"/>
  <c r="R491" i="27"/>
  <c r="L491" i="27"/>
  <c r="K491" i="27"/>
  <c r="J491" i="27"/>
  <c r="R490" i="27"/>
  <c r="L490" i="27"/>
  <c r="K490" i="27"/>
  <c r="J490" i="27"/>
  <c r="R489" i="27"/>
  <c r="L489" i="27"/>
  <c r="K489" i="27"/>
  <c r="J489" i="27"/>
  <c r="R488" i="27"/>
  <c r="L488" i="27"/>
  <c r="K488" i="27"/>
  <c r="J488" i="27"/>
  <c r="R487" i="27"/>
  <c r="L487" i="27"/>
  <c r="K487" i="27"/>
  <c r="J487" i="27"/>
  <c r="R486" i="27"/>
  <c r="L486" i="27"/>
  <c r="K486" i="27"/>
  <c r="J486" i="27"/>
  <c r="R485" i="27"/>
  <c r="L485" i="27"/>
  <c r="K485" i="27"/>
  <c r="J485" i="27"/>
  <c r="R484" i="27"/>
  <c r="L484" i="27"/>
  <c r="K484" i="27"/>
  <c r="J484" i="27"/>
  <c r="R483" i="27"/>
  <c r="L483" i="27"/>
  <c r="K483" i="27"/>
  <c r="J483" i="27"/>
  <c r="R482" i="27"/>
  <c r="L482" i="27"/>
  <c r="K482" i="27"/>
  <c r="J482" i="27"/>
  <c r="R481" i="27"/>
  <c r="L481" i="27"/>
  <c r="K481" i="27"/>
  <c r="J481" i="27"/>
  <c r="R480" i="27"/>
  <c r="L480" i="27"/>
  <c r="K480" i="27"/>
  <c r="J480" i="27"/>
  <c r="R479" i="27"/>
  <c r="L479" i="27"/>
  <c r="K479" i="27"/>
  <c r="J479" i="27"/>
  <c r="R478" i="27"/>
  <c r="L478" i="27"/>
  <c r="K478" i="27"/>
  <c r="J478" i="27"/>
  <c r="R477" i="27"/>
  <c r="L477" i="27"/>
  <c r="K477" i="27"/>
  <c r="J477" i="27"/>
  <c r="R476" i="27"/>
  <c r="L476" i="27"/>
  <c r="K476" i="27"/>
  <c r="J476" i="27"/>
  <c r="R475" i="27"/>
  <c r="L475" i="27"/>
  <c r="K475" i="27"/>
  <c r="J475" i="27"/>
  <c r="R474" i="27"/>
  <c r="L474" i="27"/>
  <c r="K474" i="27"/>
  <c r="J474" i="27"/>
  <c r="R473" i="27"/>
  <c r="L473" i="27"/>
  <c r="K473" i="27"/>
  <c r="J473" i="27"/>
  <c r="R472" i="27"/>
  <c r="L472" i="27"/>
  <c r="K472" i="27"/>
  <c r="J472" i="27"/>
  <c r="R471" i="27"/>
  <c r="L471" i="27"/>
  <c r="K471" i="27"/>
  <c r="J471" i="27"/>
  <c r="R470" i="27"/>
  <c r="L470" i="27"/>
  <c r="K470" i="27"/>
  <c r="J470" i="27"/>
  <c r="R469" i="27"/>
  <c r="L469" i="27"/>
  <c r="K469" i="27"/>
  <c r="J469" i="27"/>
  <c r="R468" i="27"/>
  <c r="L468" i="27"/>
  <c r="K468" i="27"/>
  <c r="J468" i="27"/>
  <c r="R467" i="27"/>
  <c r="L467" i="27"/>
  <c r="K467" i="27"/>
  <c r="J467" i="27"/>
  <c r="R466" i="27"/>
  <c r="L466" i="27"/>
  <c r="K466" i="27"/>
  <c r="J466" i="27"/>
  <c r="R465" i="27"/>
  <c r="L465" i="27"/>
  <c r="K465" i="27"/>
  <c r="J465" i="27"/>
  <c r="R464" i="27"/>
  <c r="L464" i="27"/>
  <c r="K464" i="27"/>
  <c r="J464" i="27"/>
  <c r="R463" i="27"/>
  <c r="L463" i="27"/>
  <c r="K463" i="27"/>
  <c r="J463" i="27"/>
  <c r="R462" i="27"/>
  <c r="L462" i="27"/>
  <c r="K462" i="27"/>
  <c r="J462" i="27"/>
  <c r="R461" i="27"/>
  <c r="L461" i="27"/>
  <c r="K461" i="27"/>
  <c r="J461" i="27"/>
  <c r="R460" i="27"/>
  <c r="L460" i="27"/>
  <c r="K460" i="27"/>
  <c r="J460" i="27"/>
  <c r="R459" i="27"/>
  <c r="L459" i="27"/>
  <c r="K459" i="27"/>
  <c r="J459" i="27"/>
  <c r="R458" i="27"/>
  <c r="L458" i="27"/>
  <c r="K458" i="27"/>
  <c r="J458" i="27"/>
  <c r="R457" i="27"/>
  <c r="L457" i="27"/>
  <c r="K457" i="27"/>
  <c r="J457" i="27"/>
  <c r="R456" i="27"/>
  <c r="L456" i="27"/>
  <c r="K456" i="27"/>
  <c r="J456" i="27"/>
  <c r="R455" i="27"/>
  <c r="L455" i="27"/>
  <c r="K455" i="27"/>
  <c r="J455" i="27"/>
  <c r="R454" i="27"/>
  <c r="L454" i="27"/>
  <c r="K454" i="27"/>
  <c r="J454" i="27"/>
  <c r="R453" i="27"/>
  <c r="L453" i="27"/>
  <c r="K453" i="27"/>
  <c r="J453" i="27"/>
  <c r="R452" i="27"/>
  <c r="L452" i="27"/>
  <c r="K452" i="27"/>
  <c r="J452" i="27"/>
  <c r="R451" i="27"/>
  <c r="L451" i="27"/>
  <c r="K451" i="27"/>
  <c r="J451" i="27"/>
  <c r="R450" i="27"/>
  <c r="L450" i="27"/>
  <c r="K450" i="27"/>
  <c r="J450" i="27"/>
  <c r="R449" i="27"/>
  <c r="L449" i="27"/>
  <c r="K449" i="27"/>
  <c r="J449" i="27"/>
  <c r="R448" i="27"/>
  <c r="L448" i="27"/>
  <c r="K448" i="27"/>
  <c r="J448" i="27"/>
  <c r="R447" i="27"/>
  <c r="L447" i="27"/>
  <c r="K447" i="27"/>
  <c r="J447" i="27"/>
  <c r="R446" i="27"/>
  <c r="L446" i="27"/>
  <c r="K446" i="27"/>
  <c r="J446" i="27"/>
  <c r="R445" i="27"/>
  <c r="L445" i="27"/>
  <c r="K445" i="27"/>
  <c r="J445" i="27"/>
  <c r="R444" i="27"/>
  <c r="L444" i="27"/>
  <c r="K444" i="27"/>
  <c r="J444" i="27"/>
  <c r="R443" i="27"/>
  <c r="L443" i="27"/>
  <c r="K443" i="27"/>
  <c r="J443" i="27"/>
  <c r="R442" i="27"/>
  <c r="L442" i="27"/>
  <c r="K442" i="27"/>
  <c r="J442" i="27"/>
  <c r="R441" i="27"/>
  <c r="L441" i="27"/>
  <c r="K441" i="27"/>
  <c r="J441" i="27"/>
  <c r="R440" i="27"/>
  <c r="L440" i="27"/>
  <c r="K440" i="27"/>
  <c r="J440" i="27"/>
  <c r="R439" i="27"/>
  <c r="L439" i="27"/>
  <c r="K439" i="27"/>
  <c r="J439" i="27"/>
  <c r="R438" i="27"/>
  <c r="L438" i="27"/>
  <c r="K438" i="27"/>
  <c r="J438" i="27"/>
  <c r="R437" i="27"/>
  <c r="L437" i="27"/>
  <c r="K437" i="27"/>
  <c r="J437" i="27"/>
  <c r="R436" i="27"/>
  <c r="L436" i="27"/>
  <c r="K436" i="27"/>
  <c r="J436" i="27"/>
  <c r="R435" i="27"/>
  <c r="L435" i="27"/>
  <c r="K435" i="27"/>
  <c r="J435" i="27"/>
  <c r="R434" i="27"/>
  <c r="L434" i="27"/>
  <c r="K434" i="27"/>
  <c r="J434" i="27"/>
  <c r="R433" i="27"/>
  <c r="L433" i="27"/>
  <c r="K433" i="27"/>
  <c r="J433" i="27"/>
  <c r="R432" i="27"/>
  <c r="L432" i="27"/>
  <c r="K432" i="27"/>
  <c r="J432" i="27"/>
  <c r="R431" i="27"/>
  <c r="L431" i="27"/>
  <c r="K431" i="27"/>
  <c r="J431" i="27"/>
  <c r="R430" i="27"/>
  <c r="L430" i="27"/>
  <c r="K430" i="27"/>
  <c r="J430" i="27"/>
  <c r="R429" i="27"/>
  <c r="L429" i="27"/>
  <c r="K429" i="27"/>
  <c r="J429" i="27"/>
  <c r="R428" i="27"/>
  <c r="L428" i="27"/>
  <c r="K428" i="27"/>
  <c r="J428" i="27"/>
  <c r="R427" i="27"/>
  <c r="L427" i="27"/>
  <c r="K427" i="27"/>
  <c r="J427" i="27"/>
  <c r="R426" i="27"/>
  <c r="L426" i="27"/>
  <c r="K426" i="27"/>
  <c r="J426" i="27"/>
  <c r="R425" i="27"/>
  <c r="L425" i="27"/>
  <c r="K425" i="27"/>
  <c r="J425" i="27"/>
  <c r="R424" i="27"/>
  <c r="L424" i="27"/>
  <c r="K424" i="27"/>
  <c r="J424" i="27"/>
  <c r="R423" i="27"/>
  <c r="L423" i="27"/>
  <c r="K423" i="27"/>
  <c r="J423" i="27"/>
  <c r="R422" i="27"/>
  <c r="L422" i="27"/>
  <c r="K422" i="27"/>
  <c r="J422" i="27"/>
  <c r="R421" i="27"/>
  <c r="L421" i="27"/>
  <c r="K421" i="27"/>
  <c r="J421" i="27"/>
  <c r="R420" i="27"/>
  <c r="L420" i="27"/>
  <c r="K420" i="27"/>
  <c r="J420" i="27"/>
  <c r="R419" i="27"/>
  <c r="L419" i="27"/>
  <c r="K419" i="27"/>
  <c r="J419" i="27"/>
  <c r="R418" i="27"/>
  <c r="L418" i="27"/>
  <c r="K418" i="27"/>
  <c r="J418" i="27"/>
  <c r="R417" i="27"/>
  <c r="L417" i="27"/>
  <c r="K417" i="27"/>
  <c r="J417" i="27"/>
  <c r="R416" i="27"/>
  <c r="L416" i="27"/>
  <c r="K416" i="27"/>
  <c r="J416" i="27"/>
  <c r="R415" i="27"/>
  <c r="L415" i="27"/>
  <c r="K415" i="27"/>
  <c r="J415" i="27"/>
  <c r="R414" i="27"/>
  <c r="L414" i="27"/>
  <c r="K414" i="27"/>
  <c r="J414" i="27"/>
  <c r="R413" i="27"/>
  <c r="L413" i="27"/>
  <c r="K413" i="27"/>
  <c r="J413" i="27"/>
  <c r="R412" i="27"/>
  <c r="L412" i="27"/>
  <c r="K412" i="27"/>
  <c r="J412" i="27"/>
  <c r="R411" i="27"/>
  <c r="L411" i="27"/>
  <c r="K411" i="27"/>
  <c r="J411" i="27"/>
  <c r="R410" i="27"/>
  <c r="L410" i="27"/>
  <c r="K410" i="27"/>
  <c r="J410" i="27"/>
  <c r="R409" i="27"/>
  <c r="L409" i="27"/>
  <c r="K409" i="27"/>
  <c r="J409" i="27"/>
  <c r="R408" i="27"/>
  <c r="L408" i="27"/>
  <c r="K408" i="27"/>
  <c r="J408" i="27"/>
  <c r="R407" i="27"/>
  <c r="L407" i="27"/>
  <c r="K407" i="27"/>
  <c r="J407" i="27"/>
  <c r="R406" i="27"/>
  <c r="L406" i="27"/>
  <c r="K406" i="27"/>
  <c r="J406" i="27"/>
  <c r="R405" i="27"/>
  <c r="L405" i="27"/>
  <c r="K405" i="27"/>
  <c r="J405" i="27"/>
  <c r="R404" i="27"/>
  <c r="L404" i="27"/>
  <c r="K404" i="27"/>
  <c r="J404" i="27"/>
  <c r="R403" i="27"/>
  <c r="L403" i="27"/>
  <c r="K403" i="27"/>
  <c r="J403" i="27"/>
  <c r="R402" i="27"/>
  <c r="L402" i="27"/>
  <c r="K402" i="27"/>
  <c r="J402" i="27"/>
  <c r="R401" i="27"/>
  <c r="L401" i="27"/>
  <c r="K401" i="27"/>
  <c r="J401" i="27"/>
  <c r="R400" i="27"/>
  <c r="L400" i="27"/>
  <c r="K400" i="27"/>
  <c r="J400" i="27"/>
  <c r="R399" i="27"/>
  <c r="L399" i="27"/>
  <c r="K399" i="27"/>
  <c r="J399" i="27"/>
  <c r="R398" i="27"/>
  <c r="L398" i="27"/>
  <c r="K398" i="27"/>
  <c r="J398" i="27"/>
  <c r="R397" i="27"/>
  <c r="L397" i="27"/>
  <c r="K397" i="27"/>
  <c r="J397" i="27"/>
  <c r="R396" i="27"/>
  <c r="L396" i="27"/>
  <c r="K396" i="27"/>
  <c r="J396" i="27"/>
  <c r="R395" i="27"/>
  <c r="L395" i="27"/>
  <c r="K395" i="27"/>
  <c r="J395" i="27"/>
  <c r="R394" i="27"/>
  <c r="L394" i="27"/>
  <c r="K394" i="27"/>
  <c r="J394" i="27"/>
  <c r="R393" i="27"/>
  <c r="L393" i="27"/>
  <c r="K393" i="27"/>
  <c r="J393" i="27"/>
  <c r="R392" i="27"/>
  <c r="L392" i="27"/>
  <c r="K392" i="27"/>
  <c r="J392" i="27"/>
  <c r="R391" i="27"/>
  <c r="L391" i="27"/>
  <c r="K391" i="27"/>
  <c r="J391" i="27"/>
  <c r="R390" i="27"/>
  <c r="L390" i="27"/>
  <c r="K390" i="27"/>
  <c r="J390" i="27"/>
  <c r="R389" i="27"/>
  <c r="L389" i="27"/>
  <c r="K389" i="27"/>
  <c r="J389" i="27"/>
  <c r="R388" i="27"/>
  <c r="L388" i="27"/>
  <c r="K388" i="27"/>
  <c r="J388" i="27"/>
  <c r="R387" i="27"/>
  <c r="Q387" i="27"/>
  <c r="D68" i="38" s="1"/>
  <c r="L387" i="27"/>
  <c r="K387" i="27"/>
  <c r="J387" i="27"/>
  <c r="R386" i="27"/>
  <c r="L386" i="27"/>
  <c r="K386" i="27"/>
  <c r="J386" i="27"/>
  <c r="R385" i="27"/>
  <c r="L385" i="27"/>
  <c r="K385" i="27"/>
  <c r="J385" i="27"/>
  <c r="R384" i="27"/>
  <c r="L384" i="27"/>
  <c r="K384" i="27"/>
  <c r="J384" i="27"/>
  <c r="R383" i="27"/>
  <c r="Q383" i="27"/>
  <c r="L383" i="27"/>
  <c r="K383" i="27"/>
  <c r="J383" i="27"/>
  <c r="R382" i="27"/>
  <c r="L382" i="27"/>
  <c r="K382" i="27"/>
  <c r="J382" i="27"/>
  <c r="Q381" i="27"/>
  <c r="R381" i="27" s="1"/>
  <c r="L381" i="27"/>
  <c r="K381" i="27"/>
  <c r="J381" i="27"/>
  <c r="R380" i="27"/>
  <c r="Q380" i="27"/>
  <c r="L380" i="27"/>
  <c r="K380" i="27"/>
  <c r="J380" i="27"/>
  <c r="R379" i="27"/>
  <c r="L379" i="27"/>
  <c r="K379" i="27"/>
  <c r="J379" i="27"/>
  <c r="R378" i="27"/>
  <c r="L378" i="27"/>
  <c r="K378" i="27"/>
  <c r="J378" i="27"/>
  <c r="R377" i="27"/>
  <c r="L377" i="27"/>
  <c r="K377" i="27"/>
  <c r="J377" i="27"/>
  <c r="R376" i="27"/>
  <c r="L376" i="27"/>
  <c r="K376" i="27"/>
  <c r="J376" i="27"/>
  <c r="R375" i="27"/>
  <c r="L375" i="27"/>
  <c r="K375" i="27"/>
  <c r="J375" i="27"/>
  <c r="R374" i="27"/>
  <c r="L374" i="27"/>
  <c r="K374" i="27"/>
  <c r="J374" i="27"/>
  <c r="R373" i="27"/>
  <c r="L373" i="27"/>
  <c r="K373" i="27"/>
  <c r="J373" i="27"/>
  <c r="R372" i="27"/>
  <c r="L372" i="27"/>
  <c r="K372" i="27"/>
  <c r="J372" i="27"/>
  <c r="R371" i="27"/>
  <c r="L371" i="27"/>
  <c r="K371" i="27"/>
  <c r="J371" i="27"/>
  <c r="R370" i="27"/>
  <c r="L370" i="27"/>
  <c r="K370" i="27"/>
  <c r="J370" i="27"/>
  <c r="R369" i="27"/>
  <c r="L369" i="27"/>
  <c r="K369" i="27"/>
  <c r="J369" i="27"/>
  <c r="R368" i="27"/>
  <c r="L368" i="27"/>
  <c r="K368" i="27"/>
  <c r="J368" i="27"/>
  <c r="R367" i="27"/>
  <c r="L367" i="27"/>
  <c r="K367" i="27"/>
  <c r="J367" i="27"/>
  <c r="R366" i="27"/>
  <c r="L366" i="27"/>
  <c r="K366" i="27"/>
  <c r="J366" i="27"/>
  <c r="R365" i="27"/>
  <c r="L365" i="27"/>
  <c r="K365" i="27"/>
  <c r="J365" i="27"/>
  <c r="R364" i="27"/>
  <c r="L364" i="27"/>
  <c r="K364" i="27"/>
  <c r="J364" i="27"/>
  <c r="R363" i="27"/>
  <c r="L363" i="27"/>
  <c r="K363" i="27"/>
  <c r="J363" i="27"/>
  <c r="R362" i="27"/>
  <c r="L362" i="27"/>
  <c r="K362" i="27"/>
  <c r="J362" i="27"/>
  <c r="R361" i="27"/>
  <c r="L361" i="27"/>
  <c r="K361" i="27"/>
  <c r="J361" i="27"/>
  <c r="R360" i="27"/>
  <c r="L360" i="27"/>
  <c r="K360" i="27"/>
  <c r="J360" i="27"/>
  <c r="R359" i="27"/>
  <c r="L359" i="27"/>
  <c r="K359" i="27"/>
  <c r="J359" i="27"/>
  <c r="R358" i="27"/>
  <c r="L358" i="27"/>
  <c r="K358" i="27"/>
  <c r="J358" i="27"/>
  <c r="R357" i="27"/>
  <c r="L357" i="27"/>
  <c r="K357" i="27"/>
  <c r="J357" i="27"/>
  <c r="R356" i="27"/>
  <c r="L356" i="27"/>
  <c r="K356" i="27"/>
  <c r="J356" i="27"/>
  <c r="R355" i="27"/>
  <c r="L355" i="27"/>
  <c r="K355" i="27"/>
  <c r="J355" i="27"/>
  <c r="R354" i="27"/>
  <c r="L354" i="27"/>
  <c r="K354" i="27"/>
  <c r="J354" i="27"/>
  <c r="R353" i="27"/>
  <c r="L353" i="27"/>
  <c r="K353" i="27"/>
  <c r="J353" i="27"/>
  <c r="R352" i="27"/>
  <c r="L352" i="27"/>
  <c r="K352" i="27"/>
  <c r="J352" i="27"/>
  <c r="R351" i="27"/>
  <c r="L351" i="27"/>
  <c r="K351" i="27"/>
  <c r="J351" i="27"/>
  <c r="R350" i="27"/>
  <c r="L350" i="27"/>
  <c r="K350" i="27"/>
  <c r="J350" i="27"/>
  <c r="R349" i="27"/>
  <c r="L349" i="27"/>
  <c r="K349" i="27"/>
  <c r="J349" i="27"/>
  <c r="R348" i="27"/>
  <c r="L348" i="27"/>
  <c r="K348" i="27"/>
  <c r="J348" i="27"/>
  <c r="R347" i="27"/>
  <c r="L347" i="27"/>
  <c r="K347" i="27"/>
  <c r="J347" i="27"/>
  <c r="R346" i="27"/>
  <c r="L346" i="27"/>
  <c r="K346" i="27"/>
  <c r="J346" i="27"/>
  <c r="R345" i="27"/>
  <c r="L345" i="27"/>
  <c r="K345" i="27"/>
  <c r="J345" i="27"/>
  <c r="R344" i="27"/>
  <c r="L344" i="27"/>
  <c r="K344" i="27"/>
  <c r="J344" i="27"/>
  <c r="R343" i="27"/>
  <c r="L343" i="27"/>
  <c r="K343" i="27"/>
  <c r="J343" i="27"/>
  <c r="R342" i="27"/>
  <c r="L342" i="27"/>
  <c r="K342" i="27"/>
  <c r="J342" i="27"/>
  <c r="R341" i="27"/>
  <c r="L341" i="27"/>
  <c r="K341" i="27"/>
  <c r="J341" i="27"/>
  <c r="R340" i="27"/>
  <c r="L340" i="27"/>
  <c r="K340" i="27"/>
  <c r="J340" i="27"/>
  <c r="R339" i="27"/>
  <c r="L339" i="27"/>
  <c r="K339" i="27"/>
  <c r="J339" i="27"/>
  <c r="R338" i="27"/>
  <c r="L338" i="27"/>
  <c r="K338" i="27"/>
  <c r="J338" i="27"/>
  <c r="R337" i="27"/>
  <c r="L337" i="27"/>
  <c r="K337" i="27"/>
  <c r="J337" i="27"/>
  <c r="R336" i="27"/>
  <c r="L336" i="27"/>
  <c r="K336" i="27"/>
  <c r="J336" i="27"/>
  <c r="R335" i="27"/>
  <c r="L335" i="27"/>
  <c r="K335" i="27"/>
  <c r="J335" i="27"/>
  <c r="R334" i="27"/>
  <c r="L334" i="27"/>
  <c r="K334" i="27"/>
  <c r="J334" i="27"/>
  <c r="R333" i="27"/>
  <c r="L333" i="27"/>
  <c r="K333" i="27"/>
  <c r="J333" i="27"/>
  <c r="R332" i="27"/>
  <c r="L332" i="27"/>
  <c r="K332" i="27"/>
  <c r="J332" i="27"/>
  <c r="R331" i="27"/>
  <c r="L331" i="27"/>
  <c r="K331" i="27"/>
  <c r="J331" i="27"/>
  <c r="R330" i="27"/>
  <c r="L330" i="27"/>
  <c r="K330" i="27"/>
  <c r="J330" i="27"/>
  <c r="R329" i="27"/>
  <c r="L329" i="27"/>
  <c r="K329" i="27"/>
  <c r="J329" i="27"/>
  <c r="R328" i="27"/>
  <c r="L328" i="27"/>
  <c r="K328" i="27"/>
  <c r="J328" i="27"/>
  <c r="R327" i="27"/>
  <c r="L327" i="27"/>
  <c r="K327" i="27"/>
  <c r="J327" i="27"/>
  <c r="R326" i="27"/>
  <c r="L326" i="27"/>
  <c r="K326" i="27"/>
  <c r="J326" i="27"/>
  <c r="R325" i="27"/>
  <c r="L325" i="27"/>
  <c r="K325" i="27"/>
  <c r="J325" i="27"/>
  <c r="R324" i="27"/>
  <c r="L324" i="27"/>
  <c r="K324" i="27"/>
  <c r="J324" i="27"/>
  <c r="R323" i="27"/>
  <c r="L323" i="27"/>
  <c r="K323" i="27"/>
  <c r="J323" i="27"/>
  <c r="R322" i="27"/>
  <c r="L322" i="27"/>
  <c r="K322" i="27"/>
  <c r="J322" i="27"/>
  <c r="R321" i="27"/>
  <c r="L321" i="27"/>
  <c r="K321" i="27"/>
  <c r="J321" i="27"/>
  <c r="R320" i="27"/>
  <c r="L320" i="27"/>
  <c r="K320" i="27"/>
  <c r="J320" i="27"/>
  <c r="R319" i="27"/>
  <c r="L319" i="27"/>
  <c r="K319" i="27"/>
  <c r="J319" i="27"/>
  <c r="R318" i="27"/>
  <c r="L318" i="27"/>
  <c r="K318" i="27"/>
  <c r="J318" i="27"/>
  <c r="R317" i="27"/>
  <c r="L317" i="27"/>
  <c r="K317" i="27"/>
  <c r="J317" i="27"/>
  <c r="R316" i="27"/>
  <c r="L316" i="27"/>
  <c r="K316" i="27"/>
  <c r="J316" i="27"/>
  <c r="R315" i="27"/>
  <c r="L315" i="27"/>
  <c r="K315" i="27"/>
  <c r="J315" i="27"/>
  <c r="R314" i="27"/>
  <c r="L314" i="27"/>
  <c r="K314" i="27"/>
  <c r="J314" i="27"/>
  <c r="R313" i="27"/>
  <c r="L313" i="27"/>
  <c r="K313" i="27"/>
  <c r="J313" i="27"/>
  <c r="R312" i="27"/>
  <c r="L312" i="27"/>
  <c r="K312" i="27"/>
  <c r="J312" i="27"/>
  <c r="R311" i="27"/>
  <c r="L311" i="27"/>
  <c r="K311" i="27"/>
  <c r="J311" i="27"/>
  <c r="R310" i="27"/>
  <c r="L310" i="27"/>
  <c r="K310" i="27"/>
  <c r="J310" i="27"/>
  <c r="R309" i="27"/>
  <c r="L309" i="27"/>
  <c r="K309" i="27"/>
  <c r="J309" i="27"/>
  <c r="R308" i="27"/>
  <c r="L308" i="27"/>
  <c r="K308" i="27"/>
  <c r="J308" i="27"/>
  <c r="R307" i="27"/>
  <c r="L307" i="27"/>
  <c r="K307" i="27"/>
  <c r="J307" i="27"/>
  <c r="R306" i="27"/>
  <c r="L306" i="27"/>
  <c r="K306" i="27"/>
  <c r="J306" i="27"/>
  <c r="R305" i="27"/>
  <c r="L305" i="27"/>
  <c r="K305" i="27"/>
  <c r="J305" i="27"/>
  <c r="R304" i="27"/>
  <c r="L304" i="27"/>
  <c r="K304" i="27"/>
  <c r="J304" i="27"/>
  <c r="R303" i="27"/>
  <c r="L303" i="27"/>
  <c r="K303" i="27"/>
  <c r="J303" i="27"/>
  <c r="R302" i="27"/>
  <c r="L302" i="27"/>
  <c r="K302" i="27"/>
  <c r="J302" i="27"/>
  <c r="R301" i="27"/>
  <c r="L301" i="27"/>
  <c r="K301" i="27"/>
  <c r="J301" i="27"/>
  <c r="R300" i="27"/>
  <c r="L300" i="27"/>
  <c r="K300" i="27"/>
  <c r="J300" i="27"/>
  <c r="R299" i="27"/>
  <c r="L299" i="27"/>
  <c r="K299" i="27"/>
  <c r="J299" i="27"/>
  <c r="R298" i="27"/>
  <c r="L298" i="27"/>
  <c r="K298" i="27"/>
  <c r="J298" i="27"/>
  <c r="R297" i="27"/>
  <c r="L297" i="27"/>
  <c r="K297" i="27"/>
  <c r="J297" i="27"/>
  <c r="R296" i="27"/>
  <c r="L296" i="27"/>
  <c r="K296" i="27"/>
  <c r="J296" i="27"/>
  <c r="R295" i="27"/>
  <c r="L295" i="27"/>
  <c r="K295" i="27"/>
  <c r="J295" i="27"/>
  <c r="R294" i="27"/>
  <c r="L294" i="27"/>
  <c r="K294" i="27"/>
  <c r="J294" i="27"/>
  <c r="R293" i="27"/>
  <c r="L293" i="27"/>
  <c r="K293" i="27"/>
  <c r="J293" i="27"/>
  <c r="R292" i="27"/>
  <c r="L292" i="27"/>
  <c r="K292" i="27"/>
  <c r="J292" i="27"/>
  <c r="R291" i="27"/>
  <c r="L291" i="27"/>
  <c r="K291" i="27"/>
  <c r="J291" i="27"/>
  <c r="R290" i="27"/>
  <c r="L290" i="27"/>
  <c r="K290" i="27"/>
  <c r="J290" i="27"/>
  <c r="R289" i="27"/>
  <c r="L289" i="27"/>
  <c r="K289" i="27"/>
  <c r="J289" i="27"/>
  <c r="R288" i="27"/>
  <c r="L288" i="27"/>
  <c r="K288" i="27"/>
  <c r="J288" i="27"/>
  <c r="R287" i="27"/>
  <c r="L287" i="27"/>
  <c r="K287" i="27"/>
  <c r="J287" i="27"/>
  <c r="R286" i="27"/>
  <c r="L286" i="27"/>
  <c r="K286" i="27"/>
  <c r="J286" i="27"/>
  <c r="R285" i="27"/>
  <c r="L285" i="27"/>
  <c r="K285" i="27"/>
  <c r="J285" i="27"/>
  <c r="R284" i="27"/>
  <c r="L284" i="27"/>
  <c r="K284" i="27"/>
  <c r="J284" i="27"/>
  <c r="R283" i="27"/>
  <c r="L283" i="27"/>
  <c r="K283" i="27"/>
  <c r="J283" i="27"/>
  <c r="R282" i="27"/>
  <c r="L282" i="27"/>
  <c r="K282" i="27"/>
  <c r="J282" i="27"/>
  <c r="R281" i="27"/>
  <c r="L281" i="27"/>
  <c r="K281" i="27"/>
  <c r="J281" i="27"/>
  <c r="R280" i="27"/>
  <c r="L280" i="27"/>
  <c r="K280" i="27"/>
  <c r="J280" i="27"/>
  <c r="R279" i="27"/>
  <c r="L279" i="27"/>
  <c r="K279" i="27"/>
  <c r="J279" i="27"/>
  <c r="R278" i="27"/>
  <c r="L278" i="27"/>
  <c r="K278" i="27"/>
  <c r="J278" i="27"/>
  <c r="R277" i="27"/>
  <c r="L277" i="27"/>
  <c r="K277" i="27"/>
  <c r="J277" i="27"/>
  <c r="R276" i="27"/>
  <c r="L276" i="27"/>
  <c r="K276" i="27"/>
  <c r="J276" i="27"/>
  <c r="R275" i="27"/>
  <c r="L275" i="27"/>
  <c r="K275" i="27"/>
  <c r="J275" i="27"/>
  <c r="R274" i="27"/>
  <c r="L274" i="27"/>
  <c r="K274" i="27"/>
  <c r="J274" i="27"/>
  <c r="R273" i="27"/>
  <c r="L273" i="27"/>
  <c r="K273" i="27"/>
  <c r="J273" i="27"/>
  <c r="R272" i="27"/>
  <c r="L272" i="27"/>
  <c r="K272" i="27"/>
  <c r="J272" i="27"/>
  <c r="R271" i="27"/>
  <c r="L271" i="27"/>
  <c r="K271" i="27"/>
  <c r="J271" i="27"/>
  <c r="R270" i="27"/>
  <c r="L270" i="27"/>
  <c r="K270" i="27"/>
  <c r="J270" i="27"/>
  <c r="R269" i="27"/>
  <c r="L269" i="27"/>
  <c r="K269" i="27"/>
  <c r="J269" i="27"/>
  <c r="R268" i="27"/>
  <c r="L268" i="27"/>
  <c r="K268" i="27"/>
  <c r="J268" i="27"/>
  <c r="R267" i="27"/>
  <c r="L267" i="27"/>
  <c r="K267" i="27"/>
  <c r="J267" i="27"/>
  <c r="R266" i="27"/>
  <c r="L266" i="27"/>
  <c r="K266" i="27"/>
  <c r="J266" i="27"/>
  <c r="R265" i="27"/>
  <c r="L265" i="27"/>
  <c r="K265" i="27"/>
  <c r="J265" i="27"/>
  <c r="R264" i="27"/>
  <c r="L264" i="27"/>
  <c r="K264" i="27"/>
  <c r="J264" i="27"/>
  <c r="R263" i="27"/>
  <c r="L263" i="27"/>
  <c r="K263" i="27"/>
  <c r="J263" i="27"/>
  <c r="R262" i="27"/>
  <c r="L262" i="27"/>
  <c r="K262" i="27"/>
  <c r="J262" i="27"/>
  <c r="R261" i="27"/>
  <c r="L261" i="27"/>
  <c r="K261" i="27"/>
  <c r="J261" i="27"/>
  <c r="R260" i="27"/>
  <c r="L260" i="27"/>
  <c r="K260" i="27"/>
  <c r="J260" i="27"/>
  <c r="Q259" i="27"/>
  <c r="L259" i="27"/>
  <c r="K259" i="27"/>
  <c r="J259" i="27"/>
  <c r="R258" i="27"/>
  <c r="L258" i="27"/>
  <c r="K258" i="27"/>
  <c r="J258" i="27"/>
  <c r="R257" i="27"/>
  <c r="L257" i="27"/>
  <c r="K257" i="27"/>
  <c r="J257" i="27"/>
  <c r="R256" i="27"/>
  <c r="L256" i="27"/>
  <c r="K256" i="27"/>
  <c r="J256" i="27"/>
  <c r="R255" i="27"/>
  <c r="L255" i="27"/>
  <c r="K255" i="27"/>
  <c r="J255" i="27"/>
  <c r="R254" i="27"/>
  <c r="L254" i="27"/>
  <c r="K254" i="27"/>
  <c r="J254" i="27"/>
  <c r="R253" i="27"/>
  <c r="L253" i="27"/>
  <c r="K253" i="27"/>
  <c r="J253" i="27"/>
  <c r="R252" i="27"/>
  <c r="L252" i="27"/>
  <c r="K252" i="27"/>
  <c r="J252" i="27"/>
  <c r="R251" i="27"/>
  <c r="L251" i="27"/>
  <c r="K251" i="27"/>
  <c r="J251" i="27"/>
  <c r="R250" i="27"/>
  <c r="L250" i="27"/>
  <c r="K250" i="27"/>
  <c r="J250" i="27"/>
  <c r="R249" i="27"/>
  <c r="L249" i="27"/>
  <c r="K249" i="27"/>
  <c r="J249" i="27"/>
  <c r="R248" i="27"/>
  <c r="L248" i="27"/>
  <c r="K248" i="27"/>
  <c r="J248" i="27"/>
  <c r="R247" i="27"/>
  <c r="L247" i="27"/>
  <c r="K247" i="27"/>
  <c r="J247" i="27"/>
  <c r="R246" i="27"/>
  <c r="L246" i="27"/>
  <c r="K246" i="27"/>
  <c r="J246" i="27"/>
  <c r="R245" i="27"/>
  <c r="L245" i="27"/>
  <c r="K245" i="27"/>
  <c r="J245" i="27"/>
  <c r="R244" i="27"/>
  <c r="L244" i="27"/>
  <c r="K244" i="27"/>
  <c r="J244" i="27"/>
  <c r="R243" i="27"/>
  <c r="L243" i="27"/>
  <c r="K243" i="27"/>
  <c r="J243" i="27"/>
  <c r="R242" i="27"/>
  <c r="L242" i="27"/>
  <c r="K242" i="27"/>
  <c r="J242" i="27"/>
  <c r="R241" i="27"/>
  <c r="L241" i="27"/>
  <c r="K241" i="27"/>
  <c r="J241" i="27"/>
  <c r="R240" i="27"/>
  <c r="L240" i="27"/>
  <c r="K240" i="27"/>
  <c r="J240" i="27"/>
  <c r="R239" i="27"/>
  <c r="L239" i="27"/>
  <c r="K239" i="27"/>
  <c r="J239" i="27"/>
  <c r="R238" i="27"/>
  <c r="L238" i="27"/>
  <c r="K238" i="27"/>
  <c r="J238" i="27"/>
  <c r="R237" i="27"/>
  <c r="L237" i="27"/>
  <c r="K237" i="27"/>
  <c r="J237" i="27"/>
  <c r="R236" i="27"/>
  <c r="L236" i="27"/>
  <c r="K236" i="27"/>
  <c r="J236" i="27"/>
  <c r="R235" i="27"/>
  <c r="L235" i="27"/>
  <c r="K235" i="27"/>
  <c r="J235" i="27"/>
  <c r="R234" i="27"/>
  <c r="L234" i="27"/>
  <c r="K234" i="27"/>
  <c r="J234" i="27"/>
  <c r="R233" i="27"/>
  <c r="L233" i="27"/>
  <c r="K233" i="27"/>
  <c r="J233" i="27"/>
  <c r="R232" i="27"/>
  <c r="L232" i="27"/>
  <c r="K232" i="27"/>
  <c r="J232" i="27"/>
  <c r="R231" i="27"/>
  <c r="L231" i="27"/>
  <c r="K231" i="27"/>
  <c r="J231" i="27"/>
  <c r="R230" i="27"/>
  <c r="L230" i="27"/>
  <c r="K230" i="27"/>
  <c r="J230" i="27"/>
  <c r="R229" i="27"/>
  <c r="L229" i="27"/>
  <c r="K229" i="27"/>
  <c r="J229" i="27"/>
  <c r="R228" i="27"/>
  <c r="L228" i="27"/>
  <c r="K228" i="27"/>
  <c r="J228" i="27"/>
  <c r="R227" i="27"/>
  <c r="L227" i="27"/>
  <c r="K227" i="27"/>
  <c r="J227" i="27"/>
  <c r="R226" i="27"/>
  <c r="L226" i="27"/>
  <c r="K226" i="27"/>
  <c r="J226" i="27"/>
  <c r="R225" i="27"/>
  <c r="L225" i="27"/>
  <c r="K225" i="27"/>
  <c r="J225" i="27"/>
  <c r="R224" i="27"/>
  <c r="L224" i="27"/>
  <c r="K224" i="27"/>
  <c r="J224" i="27"/>
  <c r="R223" i="27"/>
  <c r="L223" i="27"/>
  <c r="K223" i="27"/>
  <c r="J223" i="27"/>
  <c r="R222" i="27"/>
  <c r="L222" i="27"/>
  <c r="K222" i="27"/>
  <c r="J222" i="27"/>
  <c r="R221" i="27"/>
  <c r="L221" i="27"/>
  <c r="K221" i="27"/>
  <c r="J221" i="27"/>
  <c r="R220" i="27"/>
  <c r="L220" i="27"/>
  <c r="K220" i="27"/>
  <c r="J220" i="27"/>
  <c r="R219" i="27"/>
  <c r="L219" i="27"/>
  <c r="K219" i="27"/>
  <c r="J219" i="27"/>
  <c r="R218" i="27"/>
  <c r="L218" i="27"/>
  <c r="K218" i="27"/>
  <c r="J218" i="27"/>
  <c r="R217" i="27"/>
  <c r="L217" i="27"/>
  <c r="K217" i="27"/>
  <c r="J217" i="27"/>
  <c r="R216" i="27"/>
  <c r="L216" i="27"/>
  <c r="K216" i="27"/>
  <c r="J216" i="27"/>
  <c r="R215" i="27"/>
  <c r="L215" i="27"/>
  <c r="K215" i="27"/>
  <c r="J215" i="27"/>
  <c r="R214" i="27"/>
  <c r="L214" i="27"/>
  <c r="K214" i="27"/>
  <c r="J214" i="27"/>
  <c r="R213" i="27"/>
  <c r="L213" i="27"/>
  <c r="K213" i="27"/>
  <c r="J213" i="27"/>
  <c r="R212" i="27"/>
  <c r="L212" i="27"/>
  <c r="K212" i="27"/>
  <c r="J212" i="27"/>
  <c r="R211" i="27"/>
  <c r="L211" i="27"/>
  <c r="K211" i="27"/>
  <c r="J211" i="27"/>
  <c r="R210" i="27"/>
  <c r="L210" i="27"/>
  <c r="K210" i="27"/>
  <c r="J210" i="27"/>
  <c r="R209" i="27"/>
  <c r="L209" i="27"/>
  <c r="K209" i="27"/>
  <c r="J209" i="27"/>
  <c r="R208" i="27"/>
  <c r="L208" i="27"/>
  <c r="K208" i="27"/>
  <c r="J208" i="27"/>
  <c r="R207" i="27"/>
  <c r="L207" i="27"/>
  <c r="K207" i="27"/>
  <c r="J207" i="27"/>
  <c r="R206" i="27"/>
  <c r="L206" i="27"/>
  <c r="K206" i="27"/>
  <c r="J206" i="27"/>
  <c r="R205" i="27"/>
  <c r="L205" i="27"/>
  <c r="K205" i="27"/>
  <c r="J205" i="27"/>
  <c r="R204" i="27"/>
  <c r="L204" i="27"/>
  <c r="K204" i="27"/>
  <c r="J204" i="27"/>
  <c r="R203" i="27"/>
  <c r="Q203" i="27"/>
  <c r="D44" i="38" s="1"/>
  <c r="L203" i="27"/>
  <c r="K203" i="27"/>
  <c r="J203" i="27"/>
  <c r="R202" i="27"/>
  <c r="L202" i="27"/>
  <c r="K202" i="27"/>
  <c r="J202" i="27"/>
  <c r="Q201" i="27"/>
  <c r="D42" i="38" s="1"/>
  <c r="L201" i="27"/>
  <c r="K201" i="27"/>
  <c r="J201" i="27"/>
  <c r="R200" i="27"/>
  <c r="L200" i="27"/>
  <c r="K200" i="27"/>
  <c r="J200" i="27"/>
  <c r="R199" i="27"/>
  <c r="L199" i="27"/>
  <c r="K199" i="27"/>
  <c r="J199" i="27"/>
  <c r="R198" i="27"/>
  <c r="L198" i="27"/>
  <c r="K198" i="27"/>
  <c r="J198" i="27"/>
  <c r="R197" i="27"/>
  <c r="L197" i="27"/>
  <c r="K197" i="27"/>
  <c r="J197" i="27"/>
  <c r="Q196" i="27"/>
  <c r="R196" i="27" s="1"/>
  <c r="L196" i="27"/>
  <c r="K196" i="27"/>
  <c r="J196" i="27"/>
  <c r="R195" i="27"/>
  <c r="Q195" i="27"/>
  <c r="L195" i="27"/>
  <c r="K195" i="27"/>
  <c r="J195" i="27"/>
  <c r="Q194" i="27"/>
  <c r="R194" i="27" s="1"/>
  <c r="L194" i="27"/>
  <c r="K194" i="27"/>
  <c r="J194" i="27"/>
  <c r="R193" i="27"/>
  <c r="Q193" i="27"/>
  <c r="L193" i="27"/>
  <c r="K193" i="27"/>
  <c r="J193" i="27"/>
  <c r="R192" i="27"/>
  <c r="L192" i="27"/>
  <c r="K192" i="27"/>
  <c r="J192" i="27"/>
  <c r="R191" i="27"/>
  <c r="L191" i="27"/>
  <c r="K191" i="27"/>
  <c r="J191" i="27"/>
  <c r="AF190" i="27"/>
  <c r="Q190" i="27"/>
  <c r="R190" i="27" s="1"/>
  <c r="L190" i="27"/>
  <c r="K190" i="27"/>
  <c r="J190" i="27"/>
  <c r="AF189" i="27"/>
  <c r="R189" i="27"/>
  <c r="Q189" i="27"/>
  <c r="D40" i="38" s="1"/>
  <c r="L189" i="27"/>
  <c r="K189" i="27"/>
  <c r="J189" i="27"/>
  <c r="AF188" i="27"/>
  <c r="R188" i="27"/>
  <c r="L188" i="27"/>
  <c r="K188" i="27"/>
  <c r="J188" i="27"/>
  <c r="AF187" i="27"/>
  <c r="R187" i="27"/>
  <c r="L187" i="27"/>
  <c r="K187" i="27"/>
  <c r="J187" i="27"/>
  <c r="AF186" i="27"/>
  <c r="R186" i="27"/>
  <c r="L186" i="27"/>
  <c r="K186" i="27"/>
  <c r="J186" i="27"/>
  <c r="AF185" i="27"/>
  <c r="R185" i="27"/>
  <c r="L185" i="27"/>
  <c r="K185" i="27"/>
  <c r="J185" i="27"/>
  <c r="AF184" i="27"/>
  <c r="R184" i="27"/>
  <c r="L184" i="27"/>
  <c r="K184" i="27"/>
  <c r="J184" i="27"/>
  <c r="AF183" i="27"/>
  <c r="R183" i="27"/>
  <c r="L183" i="27"/>
  <c r="K183" i="27"/>
  <c r="J183" i="27"/>
  <c r="AF182" i="27"/>
  <c r="R182" i="27"/>
  <c r="L182" i="27"/>
  <c r="K182" i="27"/>
  <c r="J182" i="27"/>
  <c r="AF181" i="27"/>
  <c r="R181" i="27"/>
  <c r="L181" i="27"/>
  <c r="K181" i="27"/>
  <c r="J181" i="27"/>
  <c r="AF180" i="27"/>
  <c r="R180" i="27"/>
  <c r="L180" i="27"/>
  <c r="K180" i="27"/>
  <c r="J180" i="27"/>
  <c r="AF179" i="27"/>
  <c r="R179" i="27"/>
  <c r="L179" i="27"/>
  <c r="K179" i="27"/>
  <c r="J179" i="27"/>
  <c r="AF178" i="27"/>
  <c r="R178" i="27"/>
  <c r="L178" i="27"/>
  <c r="K178" i="27"/>
  <c r="J178" i="27"/>
  <c r="AF177" i="27"/>
  <c r="R177" i="27"/>
  <c r="L177" i="27"/>
  <c r="K177" i="27"/>
  <c r="J177" i="27"/>
  <c r="AF176" i="27"/>
  <c r="R176" i="27"/>
  <c r="L176" i="27"/>
  <c r="K176" i="27"/>
  <c r="J176" i="27"/>
  <c r="AF175" i="27"/>
  <c r="R175" i="27"/>
  <c r="L175" i="27"/>
  <c r="K175" i="27"/>
  <c r="J175" i="27"/>
  <c r="AF174" i="27"/>
  <c r="R174" i="27"/>
  <c r="L174" i="27"/>
  <c r="K174" i="27"/>
  <c r="J174" i="27"/>
  <c r="AF173" i="27"/>
  <c r="R173" i="27"/>
  <c r="L173" i="27"/>
  <c r="K173" i="27"/>
  <c r="J173" i="27"/>
  <c r="AF172" i="27"/>
  <c r="R172" i="27"/>
  <c r="L172" i="27"/>
  <c r="K172" i="27"/>
  <c r="J172" i="27"/>
  <c r="AF171" i="27"/>
  <c r="R171" i="27"/>
  <c r="L171" i="27"/>
  <c r="K171" i="27"/>
  <c r="J171" i="27"/>
  <c r="AF170" i="27"/>
  <c r="R170" i="27"/>
  <c r="L170" i="27"/>
  <c r="K170" i="27"/>
  <c r="J170" i="27"/>
  <c r="AF169" i="27"/>
  <c r="R169" i="27"/>
  <c r="L169" i="27"/>
  <c r="K169" i="27"/>
  <c r="J169" i="27"/>
  <c r="AF168" i="27"/>
  <c r="R168" i="27"/>
  <c r="L168" i="27"/>
  <c r="K168" i="27"/>
  <c r="J168" i="27"/>
  <c r="AF167" i="27"/>
  <c r="R167" i="27"/>
  <c r="L167" i="27"/>
  <c r="K167" i="27"/>
  <c r="J167" i="27"/>
  <c r="AF166" i="27"/>
  <c r="R166" i="27"/>
  <c r="L166" i="27"/>
  <c r="K166" i="27"/>
  <c r="J166" i="27"/>
  <c r="AF165" i="27"/>
  <c r="R165" i="27"/>
  <c r="L165" i="27"/>
  <c r="K165" i="27"/>
  <c r="J165" i="27"/>
  <c r="AF164" i="27"/>
  <c r="R164" i="27"/>
  <c r="L164" i="27"/>
  <c r="K164" i="27"/>
  <c r="J164" i="27"/>
  <c r="AF163" i="27"/>
  <c r="R163" i="27"/>
  <c r="L163" i="27"/>
  <c r="K163" i="27"/>
  <c r="J163" i="27"/>
  <c r="AF162" i="27"/>
  <c r="R162" i="27"/>
  <c r="L162" i="27"/>
  <c r="K162" i="27"/>
  <c r="J162" i="27"/>
  <c r="AF161" i="27"/>
  <c r="R161" i="27"/>
  <c r="L161" i="27"/>
  <c r="K161" i="27"/>
  <c r="J161" i="27"/>
  <c r="AF160" i="27"/>
  <c r="R160" i="27"/>
  <c r="L160" i="27"/>
  <c r="K160" i="27"/>
  <c r="J160" i="27"/>
  <c r="AF159" i="27"/>
  <c r="R159" i="27"/>
  <c r="L159" i="27"/>
  <c r="K159" i="27"/>
  <c r="J159" i="27"/>
  <c r="AF158" i="27"/>
  <c r="R158" i="27"/>
  <c r="L158" i="27"/>
  <c r="K158" i="27"/>
  <c r="J158" i="27"/>
  <c r="AF157" i="27"/>
  <c r="R157" i="27"/>
  <c r="L157" i="27"/>
  <c r="K157" i="27"/>
  <c r="J157" i="27"/>
  <c r="AF156" i="27"/>
  <c r="R156" i="27"/>
  <c r="L156" i="27"/>
  <c r="K156" i="27"/>
  <c r="J156" i="27"/>
  <c r="AF155" i="27"/>
  <c r="R155" i="27"/>
  <c r="L155" i="27"/>
  <c r="K155" i="27"/>
  <c r="J155" i="27"/>
  <c r="AF154" i="27"/>
  <c r="R154" i="27"/>
  <c r="L154" i="27"/>
  <c r="K154" i="27"/>
  <c r="J154" i="27"/>
  <c r="AF153" i="27"/>
  <c r="R153" i="27"/>
  <c r="L153" i="27"/>
  <c r="K153" i="27"/>
  <c r="J153" i="27"/>
  <c r="AF152" i="27"/>
  <c r="R152" i="27"/>
  <c r="L152" i="27"/>
  <c r="K152" i="27"/>
  <c r="J152" i="27"/>
  <c r="AF151" i="27"/>
  <c r="R151" i="27"/>
  <c r="L151" i="27"/>
  <c r="K151" i="27"/>
  <c r="J151" i="27"/>
  <c r="AF150" i="27"/>
  <c r="R150" i="27"/>
  <c r="L150" i="27"/>
  <c r="K150" i="27"/>
  <c r="J150" i="27"/>
  <c r="AF149" i="27"/>
  <c r="R149" i="27"/>
  <c r="L149" i="27"/>
  <c r="K149" i="27"/>
  <c r="J149" i="27"/>
  <c r="AF148" i="27"/>
  <c r="R148" i="27"/>
  <c r="L148" i="27"/>
  <c r="K148" i="27"/>
  <c r="J148" i="27"/>
  <c r="AF147" i="27"/>
  <c r="R147" i="27"/>
  <c r="L147" i="27"/>
  <c r="K147" i="27"/>
  <c r="J147" i="27"/>
  <c r="AF146" i="27"/>
  <c r="R146" i="27"/>
  <c r="L146" i="27"/>
  <c r="K146" i="27"/>
  <c r="J146" i="27"/>
  <c r="AF145" i="27"/>
  <c r="R145" i="27"/>
  <c r="L145" i="27"/>
  <c r="K145" i="27"/>
  <c r="J145" i="27"/>
  <c r="AF144" i="27"/>
  <c r="R144" i="27"/>
  <c r="L144" i="27"/>
  <c r="K144" i="27"/>
  <c r="J144" i="27"/>
  <c r="AF143" i="27"/>
  <c r="R143" i="27"/>
  <c r="L143" i="27"/>
  <c r="K143" i="27"/>
  <c r="J143" i="27"/>
  <c r="AF142" i="27"/>
  <c r="Q142" i="27"/>
  <c r="L142" i="27"/>
  <c r="K142" i="27"/>
  <c r="J142" i="27"/>
  <c r="AF141" i="27"/>
  <c r="R141" i="27"/>
  <c r="L141" i="27"/>
  <c r="K141" i="27"/>
  <c r="J141" i="27"/>
  <c r="AF140" i="27"/>
  <c r="R140" i="27"/>
  <c r="L140" i="27"/>
  <c r="K140" i="27"/>
  <c r="J140" i="27"/>
  <c r="AF139" i="27"/>
  <c r="R139" i="27"/>
  <c r="L139" i="27"/>
  <c r="K139" i="27"/>
  <c r="J139" i="27"/>
  <c r="AF138" i="27"/>
  <c r="R138" i="27"/>
  <c r="L138" i="27"/>
  <c r="K138" i="27"/>
  <c r="J138" i="27"/>
  <c r="AF137" i="27"/>
  <c r="R137" i="27"/>
  <c r="L137" i="27"/>
  <c r="K137" i="27"/>
  <c r="J137" i="27"/>
  <c r="AF136" i="27"/>
  <c r="R136" i="27"/>
  <c r="L136" i="27"/>
  <c r="K136" i="27"/>
  <c r="J136" i="27"/>
  <c r="AF135" i="27"/>
  <c r="R135" i="27"/>
  <c r="L135" i="27"/>
  <c r="K135" i="27"/>
  <c r="J135" i="27"/>
  <c r="AF134" i="27"/>
  <c r="R134" i="27"/>
  <c r="L134" i="27"/>
  <c r="K134" i="27"/>
  <c r="J134" i="27"/>
  <c r="AF133" i="27"/>
  <c r="R133" i="27"/>
  <c r="L133" i="27"/>
  <c r="K133" i="27"/>
  <c r="J133" i="27"/>
  <c r="AF132" i="27"/>
  <c r="R132" i="27"/>
  <c r="L132" i="27"/>
  <c r="K132" i="27"/>
  <c r="J132" i="27"/>
  <c r="AF131" i="27"/>
  <c r="R131" i="27"/>
  <c r="L131" i="27"/>
  <c r="K131" i="27"/>
  <c r="J131" i="27"/>
  <c r="AF130" i="27"/>
  <c r="R130" i="27"/>
  <c r="L130" i="27"/>
  <c r="K130" i="27"/>
  <c r="J130" i="27"/>
  <c r="AF129" i="27"/>
  <c r="R129" i="27"/>
  <c r="L129" i="27"/>
  <c r="K129" i="27"/>
  <c r="J129" i="27"/>
  <c r="AF128" i="27"/>
  <c r="R128" i="27"/>
  <c r="L128" i="27"/>
  <c r="K128" i="27"/>
  <c r="J128" i="27"/>
  <c r="AF127" i="27"/>
  <c r="R127" i="27"/>
  <c r="L127" i="27"/>
  <c r="K127" i="27"/>
  <c r="J127" i="27"/>
  <c r="AF126" i="27"/>
  <c r="R126" i="27"/>
  <c r="L126" i="27"/>
  <c r="K126" i="27"/>
  <c r="J126" i="27"/>
  <c r="AF125" i="27"/>
  <c r="R125" i="27"/>
  <c r="L125" i="27"/>
  <c r="K125" i="27"/>
  <c r="J125" i="27"/>
  <c r="AF124" i="27"/>
  <c r="R124" i="27"/>
  <c r="L124" i="27"/>
  <c r="K124" i="27"/>
  <c r="J124" i="27"/>
  <c r="AF123" i="27"/>
  <c r="R123" i="27"/>
  <c r="L123" i="27"/>
  <c r="K123" i="27"/>
  <c r="J123" i="27"/>
  <c r="AF122" i="27"/>
  <c r="R122" i="27"/>
  <c r="L122" i="27"/>
  <c r="K122" i="27"/>
  <c r="J122" i="27"/>
  <c r="AF121" i="27"/>
  <c r="R121" i="27"/>
  <c r="L121" i="27"/>
  <c r="K121" i="27"/>
  <c r="J121" i="27"/>
  <c r="AF120" i="27"/>
  <c r="R120" i="27"/>
  <c r="L120" i="27"/>
  <c r="K120" i="27"/>
  <c r="J120" i="27"/>
  <c r="AF119" i="27"/>
  <c r="R119" i="27"/>
  <c r="L119" i="27"/>
  <c r="K119" i="27"/>
  <c r="J119" i="27"/>
  <c r="AF118" i="27"/>
  <c r="R118" i="27"/>
  <c r="L118" i="27"/>
  <c r="K118" i="27"/>
  <c r="J118" i="27"/>
  <c r="AF117" i="27"/>
  <c r="R117" i="27"/>
  <c r="L117" i="27"/>
  <c r="K117" i="27"/>
  <c r="J117" i="27"/>
  <c r="AF116" i="27"/>
  <c r="R116" i="27"/>
  <c r="L116" i="27"/>
  <c r="K116" i="27"/>
  <c r="J116" i="27"/>
  <c r="AF115" i="27"/>
  <c r="R115" i="27"/>
  <c r="L115" i="27"/>
  <c r="K115" i="27"/>
  <c r="J115" i="27"/>
  <c r="AF114" i="27"/>
  <c r="R114" i="27"/>
  <c r="L114" i="27"/>
  <c r="K114" i="27"/>
  <c r="J114" i="27"/>
  <c r="AF113" i="27"/>
  <c r="R113" i="27"/>
  <c r="L113" i="27"/>
  <c r="K113" i="27"/>
  <c r="J113" i="27"/>
  <c r="AF112" i="27"/>
  <c r="R112" i="27"/>
  <c r="L112" i="27"/>
  <c r="K112" i="27"/>
  <c r="J112" i="27"/>
  <c r="AF111" i="27"/>
  <c r="R111" i="27"/>
  <c r="L111" i="27"/>
  <c r="K111" i="27"/>
  <c r="J111" i="27"/>
  <c r="AF110" i="27"/>
  <c r="R110" i="27"/>
  <c r="L110" i="27"/>
  <c r="K110" i="27"/>
  <c r="J110" i="27"/>
  <c r="AF109" i="27"/>
  <c r="R109" i="27"/>
  <c r="L109" i="27"/>
  <c r="K109" i="27"/>
  <c r="J109" i="27"/>
  <c r="AF108" i="27"/>
  <c r="R108" i="27"/>
  <c r="L108" i="27"/>
  <c r="K108" i="27"/>
  <c r="J108" i="27"/>
  <c r="AF107" i="27"/>
  <c r="R107" i="27"/>
  <c r="Q107" i="27"/>
  <c r="D11" i="38" s="1"/>
  <c r="L107" i="27"/>
  <c r="K107" i="27"/>
  <c r="J107" i="27"/>
  <c r="AF106" i="27"/>
  <c r="R106" i="27"/>
  <c r="L106" i="27"/>
  <c r="K106" i="27"/>
  <c r="J106" i="27"/>
  <c r="AF105" i="27"/>
  <c r="R105" i="27"/>
  <c r="L105" i="27"/>
  <c r="K105" i="27"/>
  <c r="J105" i="27"/>
  <c r="AF104" i="27"/>
  <c r="R104" i="27"/>
  <c r="L104" i="27"/>
  <c r="K104" i="27"/>
  <c r="J104" i="27"/>
  <c r="AF103" i="27"/>
  <c r="R103" i="27"/>
  <c r="L103" i="27"/>
  <c r="K103" i="27"/>
  <c r="J103" i="27"/>
  <c r="AF102" i="27"/>
  <c r="R102" i="27"/>
  <c r="L102" i="27"/>
  <c r="K102" i="27"/>
  <c r="J102" i="27"/>
  <c r="AF101" i="27"/>
  <c r="R101" i="27"/>
  <c r="L101" i="27"/>
  <c r="K101" i="27"/>
  <c r="J101" i="27"/>
  <c r="AF100" i="27"/>
  <c r="R100" i="27"/>
  <c r="L100" i="27"/>
  <c r="K100" i="27"/>
  <c r="J100" i="27"/>
  <c r="AF99" i="27"/>
  <c r="R99" i="27"/>
  <c r="L99" i="27"/>
  <c r="K99" i="27"/>
  <c r="J99" i="27"/>
  <c r="AF98" i="27"/>
  <c r="R98" i="27"/>
  <c r="L98" i="27"/>
  <c r="K98" i="27"/>
  <c r="J98" i="27"/>
  <c r="AF97" i="27"/>
  <c r="R97" i="27"/>
  <c r="L97" i="27"/>
  <c r="K97" i="27"/>
  <c r="J97" i="27"/>
  <c r="AF96" i="27"/>
  <c r="R96" i="27"/>
  <c r="L96" i="27"/>
  <c r="K96" i="27"/>
  <c r="J96" i="27"/>
  <c r="AF95" i="27"/>
  <c r="R95" i="27"/>
  <c r="L95" i="27"/>
  <c r="K95" i="27"/>
  <c r="J95" i="27"/>
  <c r="AF94" i="27"/>
  <c r="R94" i="27"/>
  <c r="L94" i="27"/>
  <c r="K94" i="27"/>
  <c r="J94" i="27"/>
  <c r="AF93" i="27"/>
  <c r="R93" i="27"/>
  <c r="L93" i="27"/>
  <c r="K93" i="27"/>
  <c r="J93" i="27"/>
  <c r="AF92" i="27"/>
  <c r="R92" i="27"/>
  <c r="L92" i="27"/>
  <c r="K92" i="27"/>
  <c r="J92" i="27"/>
  <c r="AF91" i="27"/>
  <c r="R91" i="27"/>
  <c r="L91" i="27"/>
  <c r="K91" i="27"/>
  <c r="J91" i="27"/>
  <c r="AF90" i="27"/>
  <c r="R90" i="27"/>
  <c r="L90" i="27"/>
  <c r="K90" i="27"/>
  <c r="J90" i="27"/>
  <c r="AF89" i="27"/>
  <c r="R89" i="27"/>
  <c r="L89" i="27"/>
  <c r="K89" i="27"/>
  <c r="J89" i="27"/>
  <c r="AF88" i="27"/>
  <c r="R88" i="27"/>
  <c r="L88" i="27"/>
  <c r="K88" i="27"/>
  <c r="J88" i="27"/>
  <c r="AF87" i="27"/>
  <c r="R87" i="27"/>
  <c r="L87" i="27"/>
  <c r="K87" i="27"/>
  <c r="J87" i="27"/>
  <c r="AF86" i="27"/>
  <c r="R86" i="27"/>
  <c r="L86" i="27"/>
  <c r="K86" i="27"/>
  <c r="J86" i="27"/>
  <c r="AF85" i="27"/>
  <c r="R85" i="27"/>
  <c r="L85" i="27"/>
  <c r="K85" i="27"/>
  <c r="J85" i="27"/>
  <c r="AF84" i="27"/>
  <c r="R84" i="27"/>
  <c r="L84" i="27"/>
  <c r="K84" i="27"/>
  <c r="J84" i="27"/>
  <c r="AF83" i="27"/>
  <c r="R83" i="27"/>
  <c r="L83" i="27"/>
  <c r="K83" i="27"/>
  <c r="J83" i="27"/>
  <c r="AF82" i="27"/>
  <c r="R82" i="27"/>
  <c r="L82" i="27"/>
  <c r="K82" i="27"/>
  <c r="J82" i="27"/>
  <c r="AF81" i="27"/>
  <c r="R81" i="27"/>
  <c r="L81" i="27"/>
  <c r="K81" i="27"/>
  <c r="J81" i="27"/>
  <c r="AF80" i="27"/>
  <c r="R80" i="27"/>
  <c r="L80" i="27"/>
  <c r="K80" i="27"/>
  <c r="J80" i="27"/>
  <c r="AF79" i="27"/>
  <c r="R79" i="27"/>
  <c r="L79" i="27"/>
  <c r="K79" i="27"/>
  <c r="J79" i="27"/>
  <c r="AF78" i="27"/>
  <c r="R78" i="27"/>
  <c r="L78" i="27"/>
  <c r="K78" i="27"/>
  <c r="J78" i="27"/>
  <c r="AF77" i="27"/>
  <c r="R77" i="27"/>
  <c r="L77" i="27"/>
  <c r="K77" i="27"/>
  <c r="J77" i="27"/>
  <c r="AF76" i="27"/>
  <c r="R76" i="27"/>
  <c r="L76" i="27"/>
  <c r="K76" i="27"/>
  <c r="J76" i="27"/>
  <c r="AF75" i="27"/>
  <c r="R75" i="27"/>
  <c r="L75" i="27"/>
  <c r="K75" i="27"/>
  <c r="J75" i="27"/>
  <c r="AF74" i="27"/>
  <c r="R74" i="27"/>
  <c r="L74" i="27"/>
  <c r="K74" i="27"/>
  <c r="J74" i="27"/>
  <c r="AF73" i="27"/>
  <c r="R73" i="27"/>
  <c r="L73" i="27"/>
  <c r="K73" i="27"/>
  <c r="J73" i="27"/>
  <c r="AF72" i="27"/>
  <c r="R72" i="27"/>
  <c r="L72" i="27"/>
  <c r="K72" i="27"/>
  <c r="J72" i="27"/>
  <c r="AF71" i="27"/>
  <c r="R71" i="27"/>
  <c r="L71" i="27"/>
  <c r="K71" i="27"/>
  <c r="J71" i="27"/>
  <c r="AF70" i="27"/>
  <c r="R70" i="27"/>
  <c r="L70" i="27"/>
  <c r="K70" i="27"/>
  <c r="J70" i="27"/>
  <c r="AF69" i="27"/>
  <c r="R69" i="27"/>
  <c r="L69" i="27"/>
  <c r="K69" i="27"/>
  <c r="J69" i="27"/>
  <c r="AF68" i="27"/>
  <c r="R68" i="27"/>
  <c r="L68" i="27"/>
  <c r="K68" i="27"/>
  <c r="J68" i="27"/>
  <c r="AF67" i="27"/>
  <c r="R67" i="27"/>
  <c r="L67" i="27"/>
  <c r="K67" i="27"/>
  <c r="J67" i="27"/>
  <c r="AF66" i="27"/>
  <c r="R66" i="27"/>
  <c r="L66" i="27"/>
  <c r="K66" i="27"/>
  <c r="J66" i="27"/>
  <c r="AF65" i="27"/>
  <c r="R65" i="27"/>
  <c r="L65" i="27"/>
  <c r="K65" i="27"/>
  <c r="J65" i="27"/>
  <c r="AF64" i="27"/>
  <c r="R64" i="27"/>
  <c r="L64" i="27"/>
  <c r="K64" i="27"/>
  <c r="J64" i="27"/>
  <c r="AF63" i="27"/>
  <c r="R63" i="27"/>
  <c r="L63" i="27"/>
  <c r="K63" i="27"/>
  <c r="J63" i="27"/>
  <c r="AF62" i="27"/>
  <c r="R62" i="27"/>
  <c r="L62" i="27"/>
  <c r="K62" i="27"/>
  <c r="J62" i="27"/>
  <c r="AF61" i="27"/>
  <c r="R61" i="27"/>
  <c r="L61" i="27"/>
  <c r="K61" i="27"/>
  <c r="J61" i="27"/>
  <c r="AF60" i="27"/>
  <c r="R60" i="27"/>
  <c r="L60" i="27"/>
  <c r="K60" i="27"/>
  <c r="J60" i="27"/>
  <c r="AF59" i="27"/>
  <c r="R59" i="27"/>
  <c r="L59" i="27"/>
  <c r="K59" i="27"/>
  <c r="J59" i="27"/>
  <c r="AF58" i="27"/>
  <c r="R58" i="27"/>
  <c r="L58" i="27"/>
  <c r="K58" i="27"/>
  <c r="J58" i="27"/>
  <c r="AF57" i="27"/>
  <c r="R57" i="27"/>
  <c r="L57" i="27"/>
  <c r="K57" i="27"/>
  <c r="J57" i="27"/>
  <c r="AF56" i="27"/>
  <c r="R56" i="27"/>
  <c r="L56" i="27"/>
  <c r="K56" i="27"/>
  <c r="J56" i="27"/>
  <c r="AF55" i="27"/>
  <c r="R55" i="27"/>
  <c r="L55" i="27"/>
  <c r="K55" i="27"/>
  <c r="J55" i="27"/>
  <c r="AF54" i="27"/>
  <c r="R54" i="27"/>
  <c r="L54" i="27"/>
  <c r="K54" i="27"/>
  <c r="J54" i="27"/>
  <c r="AF53" i="27"/>
  <c r="R53" i="27"/>
  <c r="L53" i="27"/>
  <c r="K53" i="27"/>
  <c r="J53" i="27"/>
  <c r="AF52" i="27"/>
  <c r="R52" i="27"/>
  <c r="L52" i="27"/>
  <c r="K52" i="27"/>
  <c r="J52" i="27"/>
  <c r="AF51" i="27"/>
  <c r="R51" i="27"/>
  <c r="L51" i="27"/>
  <c r="K51" i="27"/>
  <c r="J51" i="27"/>
  <c r="AF50" i="27"/>
  <c r="R50" i="27"/>
  <c r="L50" i="27"/>
  <c r="K50" i="27"/>
  <c r="J50" i="27"/>
  <c r="AF49" i="27"/>
  <c r="R49" i="27"/>
  <c r="L49" i="27"/>
  <c r="K49" i="27"/>
  <c r="J49" i="27"/>
  <c r="AF48" i="27"/>
  <c r="R48" i="27"/>
  <c r="L48" i="27"/>
  <c r="K48" i="27"/>
  <c r="J48" i="27"/>
  <c r="AF47" i="27"/>
  <c r="R47" i="27"/>
  <c r="L47" i="27"/>
  <c r="K47" i="27"/>
  <c r="J47" i="27"/>
  <c r="AF46" i="27"/>
  <c r="R46" i="27"/>
  <c r="L46" i="27"/>
  <c r="K46" i="27"/>
  <c r="J46" i="27"/>
  <c r="R45" i="27"/>
  <c r="L45" i="27"/>
  <c r="K45" i="27"/>
  <c r="J45" i="27"/>
  <c r="P3" i="27"/>
  <c r="T2" i="27"/>
  <c r="D607" i="41"/>
  <c r="C607" i="41"/>
  <c r="B607" i="41"/>
  <c r="D606" i="41"/>
  <c r="C606" i="41"/>
  <c r="B606" i="41"/>
  <c r="D605" i="41"/>
  <c r="C605" i="41"/>
  <c r="B605" i="41"/>
  <c r="E604" i="41"/>
  <c r="D604" i="41"/>
  <c r="F604" i="41" s="1"/>
  <c r="C604" i="41"/>
  <c r="B604" i="41"/>
  <c r="I603" i="41"/>
  <c r="H603" i="41"/>
  <c r="E603" i="41"/>
  <c r="F603" i="41" s="1"/>
  <c r="D603" i="41"/>
  <c r="C603" i="41"/>
  <c r="B603" i="41"/>
  <c r="D602" i="41"/>
  <c r="C602" i="41"/>
  <c r="B602" i="41"/>
  <c r="D601" i="41"/>
  <c r="C601" i="41"/>
  <c r="B601" i="41"/>
  <c r="D600" i="41"/>
  <c r="C600" i="41"/>
  <c r="B600" i="41"/>
  <c r="D599" i="41"/>
  <c r="C599" i="41"/>
  <c r="B599" i="41"/>
  <c r="D598" i="41"/>
  <c r="C598" i="41"/>
  <c r="B598" i="41"/>
  <c r="D597" i="41"/>
  <c r="C597" i="41"/>
  <c r="B597" i="41"/>
  <c r="F596" i="41"/>
  <c r="E596" i="41"/>
  <c r="D596" i="41"/>
  <c r="C596" i="41"/>
  <c r="B596" i="41"/>
  <c r="D595" i="41"/>
  <c r="C595" i="41"/>
  <c r="B595" i="41"/>
  <c r="D594" i="41"/>
  <c r="C594" i="41"/>
  <c r="B594" i="41"/>
  <c r="D593" i="41"/>
  <c r="C593" i="41"/>
  <c r="B593" i="41"/>
  <c r="D592" i="41"/>
  <c r="C592" i="41"/>
  <c r="B592" i="41"/>
  <c r="D591" i="41"/>
  <c r="C591" i="41"/>
  <c r="B591" i="41"/>
  <c r="I590" i="41"/>
  <c r="H590" i="41"/>
  <c r="F590" i="41"/>
  <c r="E590" i="41"/>
  <c r="D590" i="41"/>
  <c r="C590" i="41"/>
  <c r="B590" i="41"/>
  <c r="D589" i="41"/>
  <c r="C589" i="41"/>
  <c r="B589" i="41"/>
  <c r="D588" i="41"/>
  <c r="C588" i="41"/>
  <c r="B588" i="41"/>
  <c r="D587" i="41"/>
  <c r="C587" i="41"/>
  <c r="B587" i="41"/>
  <c r="D586" i="41"/>
  <c r="C586" i="41"/>
  <c r="B586" i="41"/>
  <c r="D585" i="41"/>
  <c r="C585" i="41"/>
  <c r="B585" i="41"/>
  <c r="I584" i="41"/>
  <c r="H584" i="41"/>
  <c r="F584" i="41"/>
  <c r="E584" i="41"/>
  <c r="D584" i="41"/>
  <c r="C584" i="41"/>
  <c r="B584" i="41"/>
  <c r="I583" i="41"/>
  <c r="H583" i="41"/>
  <c r="E583" i="41"/>
  <c r="D583" i="41"/>
  <c r="F583" i="41" s="1"/>
  <c r="C583" i="41"/>
  <c r="B583" i="41"/>
  <c r="I582" i="41"/>
  <c r="H582" i="41"/>
  <c r="E582" i="41"/>
  <c r="D582" i="41"/>
  <c r="F582" i="41" s="1"/>
  <c r="C582" i="41"/>
  <c r="B582" i="41"/>
  <c r="D581" i="41"/>
  <c r="C581" i="41"/>
  <c r="B581" i="41"/>
  <c r="F580" i="41"/>
  <c r="E580" i="41"/>
  <c r="D580" i="41"/>
  <c r="C580" i="41"/>
  <c r="B580" i="41"/>
  <c r="I579" i="41"/>
  <c r="H579" i="41"/>
  <c r="E579" i="41"/>
  <c r="D579" i="41"/>
  <c r="C579" i="41"/>
  <c r="B579" i="41"/>
  <c r="D578" i="41"/>
  <c r="C578" i="41"/>
  <c r="B578" i="41"/>
  <c r="D577" i="41"/>
  <c r="C577" i="41"/>
  <c r="B577" i="41"/>
  <c r="D576" i="41"/>
  <c r="C576" i="41"/>
  <c r="B576" i="41"/>
  <c r="D575" i="41"/>
  <c r="C575" i="41"/>
  <c r="B575" i="41"/>
  <c r="D574" i="41"/>
  <c r="C574" i="41"/>
  <c r="B574" i="41"/>
  <c r="D573" i="41"/>
  <c r="C573" i="41"/>
  <c r="B573" i="41"/>
  <c r="D572" i="41"/>
  <c r="C572" i="41"/>
  <c r="B572" i="41"/>
  <c r="D571" i="41"/>
  <c r="C571" i="41"/>
  <c r="B571" i="41"/>
  <c r="I570" i="41"/>
  <c r="H570" i="41"/>
  <c r="E570" i="41"/>
  <c r="D570" i="41"/>
  <c r="F570" i="41" s="1"/>
  <c r="C570" i="41"/>
  <c r="B570" i="41"/>
  <c r="D569" i="41"/>
  <c r="C569" i="41"/>
  <c r="B569" i="41"/>
  <c r="D568" i="41"/>
  <c r="C568" i="41"/>
  <c r="B568" i="41"/>
  <c r="D567" i="41"/>
  <c r="C567" i="41"/>
  <c r="B567" i="41"/>
  <c r="D566" i="41"/>
  <c r="C566" i="41"/>
  <c r="B566" i="41"/>
  <c r="D565" i="41"/>
  <c r="C565" i="41"/>
  <c r="B565" i="41"/>
  <c r="D564" i="41"/>
  <c r="C564" i="41"/>
  <c r="B564" i="41"/>
  <c r="D563" i="41"/>
  <c r="C563" i="41"/>
  <c r="B563" i="41"/>
  <c r="E562" i="41"/>
  <c r="D562" i="41"/>
  <c r="F562" i="41" s="1"/>
  <c r="C562" i="41"/>
  <c r="B562" i="41"/>
  <c r="I561" i="41"/>
  <c r="H561" i="41"/>
  <c r="E561" i="41"/>
  <c r="F561" i="41" s="1"/>
  <c r="D561" i="41"/>
  <c r="C561" i="41"/>
  <c r="B561" i="41"/>
  <c r="I560" i="41"/>
  <c r="H560" i="41"/>
  <c r="F560" i="41"/>
  <c r="E560" i="41"/>
  <c r="D560" i="41"/>
  <c r="C560" i="41"/>
  <c r="B560" i="41"/>
  <c r="I559" i="41"/>
  <c r="H559" i="41"/>
  <c r="E559" i="41"/>
  <c r="D559" i="41"/>
  <c r="F559" i="41" s="1"/>
  <c r="C559" i="41"/>
  <c r="B559" i="41"/>
  <c r="D558" i="41"/>
  <c r="C558" i="41"/>
  <c r="B558" i="41"/>
  <c r="D557" i="41"/>
  <c r="C557" i="41"/>
  <c r="B557" i="41"/>
  <c r="D556" i="41"/>
  <c r="C556" i="41"/>
  <c r="B556" i="41"/>
  <c r="D555" i="41"/>
  <c r="C555" i="41"/>
  <c r="B555" i="41"/>
  <c r="D554" i="41"/>
  <c r="C554" i="41"/>
  <c r="B554" i="41"/>
  <c r="I553" i="41"/>
  <c r="H553" i="41"/>
  <c r="E553" i="41"/>
  <c r="F553" i="41" s="1"/>
  <c r="D553" i="41"/>
  <c r="C553" i="41"/>
  <c r="B553" i="41"/>
  <c r="D552" i="41"/>
  <c r="C552" i="41"/>
  <c r="B552" i="41"/>
  <c r="D551" i="41"/>
  <c r="C551" i="41"/>
  <c r="B551" i="41"/>
  <c r="D550" i="41"/>
  <c r="C550" i="41"/>
  <c r="B550" i="41"/>
  <c r="D549" i="41"/>
  <c r="C549" i="41"/>
  <c r="B549" i="41"/>
  <c r="D548" i="41"/>
  <c r="C548" i="41"/>
  <c r="B548" i="41"/>
  <c r="D547" i="41"/>
  <c r="C547" i="41"/>
  <c r="B547" i="41"/>
  <c r="D546" i="41"/>
  <c r="C546" i="41"/>
  <c r="B546" i="41"/>
  <c r="D545" i="41"/>
  <c r="C545" i="41"/>
  <c r="B545" i="41"/>
  <c r="D544" i="41"/>
  <c r="C544" i="41"/>
  <c r="B544" i="41"/>
  <c r="D543" i="41"/>
  <c r="C543" i="41"/>
  <c r="B543" i="41"/>
  <c r="D542" i="41"/>
  <c r="C542" i="41"/>
  <c r="B542" i="41"/>
  <c r="D541" i="41"/>
  <c r="C541" i="41"/>
  <c r="B541" i="41"/>
  <c r="D540" i="41"/>
  <c r="C540" i="41"/>
  <c r="B540" i="41"/>
  <c r="D539" i="41"/>
  <c r="C539" i="41"/>
  <c r="B539" i="41"/>
  <c r="D538" i="41"/>
  <c r="C538" i="41"/>
  <c r="B538" i="41"/>
  <c r="D537" i="41"/>
  <c r="C537" i="41"/>
  <c r="B537" i="41"/>
  <c r="D536" i="41"/>
  <c r="C536" i="41"/>
  <c r="B536" i="41"/>
  <c r="I535" i="41"/>
  <c r="H535" i="41"/>
  <c r="E535" i="41"/>
  <c r="D535" i="41"/>
  <c r="C535" i="41"/>
  <c r="B535" i="41"/>
  <c r="I534" i="41"/>
  <c r="H534" i="41"/>
  <c r="E534" i="41"/>
  <c r="D534" i="41"/>
  <c r="F534" i="41" s="1"/>
  <c r="C534" i="41"/>
  <c r="B534" i="41"/>
  <c r="I533" i="41"/>
  <c r="H533" i="41"/>
  <c r="E533" i="41"/>
  <c r="F533" i="41" s="1"/>
  <c r="D533" i="41"/>
  <c r="C533" i="41"/>
  <c r="B533" i="41"/>
  <c r="I532" i="41"/>
  <c r="H532" i="41"/>
  <c r="F532" i="41"/>
  <c r="E532" i="41"/>
  <c r="D532" i="41"/>
  <c r="C532" i="41"/>
  <c r="B532" i="41"/>
  <c r="D531" i="41"/>
  <c r="C531" i="41"/>
  <c r="B531" i="41"/>
  <c r="I530" i="41"/>
  <c r="H530" i="41"/>
  <c r="F530" i="41"/>
  <c r="E530" i="41"/>
  <c r="D530" i="41"/>
  <c r="C530" i="41"/>
  <c r="B530" i="41"/>
  <c r="I529" i="41"/>
  <c r="H529" i="41"/>
  <c r="E529" i="41"/>
  <c r="D529" i="41"/>
  <c r="C529" i="41"/>
  <c r="B529" i="41"/>
  <c r="D528" i="41"/>
  <c r="C528" i="41"/>
  <c r="B528" i="41"/>
  <c r="D527" i="41"/>
  <c r="C527" i="41"/>
  <c r="B527" i="41"/>
  <c r="D526" i="41"/>
  <c r="C526" i="41"/>
  <c r="B526" i="41"/>
  <c r="I525" i="41"/>
  <c r="H525" i="41"/>
  <c r="E525" i="41"/>
  <c r="F525" i="41" s="1"/>
  <c r="D525" i="41"/>
  <c r="C525" i="41"/>
  <c r="B525" i="41"/>
  <c r="D524" i="41"/>
  <c r="C524" i="41"/>
  <c r="B524" i="41"/>
  <c r="D523" i="41"/>
  <c r="C523" i="41"/>
  <c r="B523" i="41"/>
  <c r="F522" i="41"/>
  <c r="E522" i="41"/>
  <c r="D522" i="41"/>
  <c r="C522" i="41"/>
  <c r="B522" i="41"/>
  <c r="F521" i="41"/>
  <c r="E521" i="41"/>
  <c r="D521" i="41"/>
  <c r="C521" i="41"/>
  <c r="B521" i="41"/>
  <c r="E520" i="41"/>
  <c r="D520" i="41"/>
  <c r="F520" i="41" s="1"/>
  <c r="C520" i="41"/>
  <c r="B520" i="41"/>
  <c r="E519" i="41"/>
  <c r="D519" i="41"/>
  <c r="F519" i="41" s="1"/>
  <c r="C519" i="41"/>
  <c r="B519" i="41"/>
  <c r="E518" i="41"/>
  <c r="F518" i="41" s="1"/>
  <c r="D518" i="41"/>
  <c r="C518" i="41"/>
  <c r="B518" i="41"/>
  <c r="E517" i="41"/>
  <c r="F517" i="41" s="1"/>
  <c r="D517" i="41"/>
  <c r="C517" i="41"/>
  <c r="B517" i="41"/>
  <c r="E516" i="41"/>
  <c r="D516" i="41"/>
  <c r="F516" i="41" s="1"/>
  <c r="C516" i="41"/>
  <c r="B516" i="41"/>
  <c r="E515" i="41"/>
  <c r="D515" i="41"/>
  <c r="F515" i="41" s="1"/>
  <c r="C515" i="41"/>
  <c r="B515" i="41"/>
  <c r="F514" i="41"/>
  <c r="E514" i="41"/>
  <c r="D514" i="41"/>
  <c r="C514" i="41"/>
  <c r="B514" i="41"/>
  <c r="F513" i="41"/>
  <c r="E513" i="41"/>
  <c r="D513" i="41"/>
  <c r="C513" i="41"/>
  <c r="B513" i="41"/>
  <c r="E512" i="41"/>
  <c r="D512" i="41"/>
  <c r="F512" i="41" s="1"/>
  <c r="C512" i="41"/>
  <c r="B512" i="41"/>
  <c r="D511" i="41"/>
  <c r="C511" i="41"/>
  <c r="B511" i="41"/>
  <c r="D510" i="41"/>
  <c r="C510" i="41"/>
  <c r="B510" i="41"/>
  <c r="E509" i="41"/>
  <c r="F509" i="41" s="1"/>
  <c r="D509" i="41"/>
  <c r="C509" i="41"/>
  <c r="B509" i="41"/>
  <c r="E508" i="41"/>
  <c r="D508" i="41"/>
  <c r="F508" i="41" s="1"/>
  <c r="C508" i="41"/>
  <c r="B508" i="41"/>
  <c r="E507" i="41"/>
  <c r="D507" i="41"/>
  <c r="C507" i="41"/>
  <c r="B507" i="41"/>
  <c r="F506" i="41"/>
  <c r="E506" i="41"/>
  <c r="D506" i="41"/>
  <c r="C506" i="41"/>
  <c r="B506" i="41"/>
  <c r="F505" i="41"/>
  <c r="E505" i="41"/>
  <c r="D505" i="41"/>
  <c r="C505" i="41"/>
  <c r="B505" i="41"/>
  <c r="E504" i="41"/>
  <c r="D504" i="41"/>
  <c r="F504" i="41" s="1"/>
  <c r="C504" i="41"/>
  <c r="B504" i="41"/>
  <c r="E503" i="41"/>
  <c r="D503" i="41"/>
  <c r="F503" i="41" s="1"/>
  <c r="C503" i="41"/>
  <c r="B503" i="41"/>
  <c r="D502" i="41"/>
  <c r="C502" i="41"/>
  <c r="B502" i="41"/>
  <c r="D501" i="41"/>
  <c r="C501" i="41"/>
  <c r="B501" i="41"/>
  <c r="D500" i="41"/>
  <c r="C500" i="41"/>
  <c r="B500" i="41"/>
  <c r="D499" i="41"/>
  <c r="C499" i="41"/>
  <c r="B499" i="41"/>
  <c r="D498" i="41"/>
  <c r="C498" i="41"/>
  <c r="B498" i="41"/>
  <c r="D497" i="41"/>
  <c r="C497" i="41"/>
  <c r="B497" i="41"/>
  <c r="I496" i="41"/>
  <c r="H496" i="41"/>
  <c r="E496" i="41"/>
  <c r="F496" i="41" s="1"/>
  <c r="D496" i="41"/>
  <c r="C496" i="41"/>
  <c r="B496" i="41"/>
  <c r="I495" i="41"/>
  <c r="H495" i="41"/>
  <c r="E495" i="41"/>
  <c r="D495" i="41"/>
  <c r="C495" i="41"/>
  <c r="B495" i="41"/>
  <c r="I494" i="41"/>
  <c r="H494" i="41"/>
  <c r="E494" i="41"/>
  <c r="D494" i="41"/>
  <c r="F494" i="41" s="1"/>
  <c r="C494" i="41"/>
  <c r="B494" i="41"/>
  <c r="I493" i="41"/>
  <c r="H493" i="41"/>
  <c r="E493" i="41"/>
  <c r="F493" i="41" s="1"/>
  <c r="D493" i="41"/>
  <c r="C493" i="41"/>
  <c r="B493" i="41"/>
  <c r="D492" i="41"/>
  <c r="C492" i="41"/>
  <c r="B492" i="41"/>
  <c r="D491" i="41"/>
  <c r="C491" i="41"/>
  <c r="B491" i="41"/>
  <c r="D490" i="41"/>
  <c r="C490" i="41"/>
  <c r="B490" i="41"/>
  <c r="D489" i="41"/>
  <c r="C489" i="41"/>
  <c r="B489" i="41"/>
  <c r="D488" i="41"/>
  <c r="C488" i="41"/>
  <c r="B488" i="41"/>
  <c r="D487" i="41"/>
  <c r="C487" i="41"/>
  <c r="B487" i="41"/>
  <c r="D486" i="41"/>
  <c r="C486" i="41"/>
  <c r="B486" i="41"/>
  <c r="D485" i="41"/>
  <c r="C485" i="41"/>
  <c r="B485" i="41"/>
  <c r="D484" i="41"/>
  <c r="C484" i="41"/>
  <c r="B484" i="41"/>
  <c r="D483" i="41"/>
  <c r="C483" i="41"/>
  <c r="B483" i="41"/>
  <c r="D482" i="41"/>
  <c r="C482" i="41"/>
  <c r="B482" i="41"/>
  <c r="D481" i="41"/>
  <c r="C481" i="41"/>
  <c r="B481" i="41"/>
  <c r="I480" i="41"/>
  <c r="H480" i="41"/>
  <c r="E480" i="41"/>
  <c r="F480" i="41" s="1"/>
  <c r="D480" i="41"/>
  <c r="C480" i="41"/>
  <c r="B480" i="41"/>
  <c r="I479" i="41"/>
  <c r="H479" i="41"/>
  <c r="E479" i="41"/>
  <c r="D479" i="41"/>
  <c r="C479" i="41"/>
  <c r="B479" i="41"/>
  <c r="D478" i="41"/>
  <c r="C478" i="41"/>
  <c r="B478" i="41"/>
  <c r="I477" i="41"/>
  <c r="H477" i="41"/>
  <c r="E477" i="41"/>
  <c r="D477" i="41"/>
  <c r="F477" i="41" s="1"/>
  <c r="C477" i="41"/>
  <c r="B477" i="41"/>
  <c r="I476" i="41"/>
  <c r="H476" i="41"/>
  <c r="E476" i="41"/>
  <c r="D476" i="41"/>
  <c r="F476" i="41" s="1"/>
  <c r="C476" i="41"/>
  <c r="B476" i="41"/>
  <c r="I475" i="41"/>
  <c r="H475" i="41"/>
  <c r="F475" i="41"/>
  <c r="E475" i="41"/>
  <c r="D475" i="41"/>
  <c r="C475" i="41"/>
  <c r="B475" i="41"/>
  <c r="D474" i="41"/>
  <c r="C474" i="41"/>
  <c r="B474" i="41"/>
  <c r="D473" i="41"/>
  <c r="C473" i="41"/>
  <c r="B473" i="41"/>
  <c r="D472" i="41"/>
  <c r="C472" i="41"/>
  <c r="B472" i="41"/>
  <c r="D471" i="41"/>
  <c r="C471" i="41"/>
  <c r="B471" i="41"/>
  <c r="D470" i="41"/>
  <c r="C470" i="41"/>
  <c r="B470" i="41"/>
  <c r="D469" i="41"/>
  <c r="C469" i="41"/>
  <c r="B469" i="41"/>
  <c r="D468" i="41"/>
  <c r="C468" i="41"/>
  <c r="B468" i="41"/>
  <c r="I467" i="41"/>
  <c r="H467" i="41"/>
  <c r="E467" i="41"/>
  <c r="D467" i="41"/>
  <c r="F467" i="41" s="1"/>
  <c r="C467" i="41"/>
  <c r="B467" i="41"/>
  <c r="D466" i="41"/>
  <c r="C466" i="41"/>
  <c r="B466" i="41"/>
  <c r="D465" i="41"/>
  <c r="C465" i="41"/>
  <c r="B465" i="41"/>
  <c r="I464" i="41"/>
  <c r="H464" i="41"/>
  <c r="F464" i="41"/>
  <c r="E464" i="41"/>
  <c r="D464" i="41"/>
  <c r="C464" i="41"/>
  <c r="B464" i="41"/>
  <c r="F463" i="41"/>
  <c r="E463" i="41"/>
  <c r="D463" i="41"/>
  <c r="C463" i="41"/>
  <c r="B463" i="41"/>
  <c r="I462" i="41"/>
  <c r="H462" i="41"/>
  <c r="E462" i="41"/>
  <c r="F462" i="41" s="1"/>
  <c r="D462" i="41"/>
  <c r="C462" i="41"/>
  <c r="B462" i="41"/>
  <c r="E461" i="41"/>
  <c r="F461" i="41" s="1"/>
  <c r="D461" i="41"/>
  <c r="C461" i="41"/>
  <c r="B461" i="41"/>
  <c r="D460" i="41"/>
  <c r="C460" i="41"/>
  <c r="B460" i="41"/>
  <c r="E459" i="41"/>
  <c r="D459" i="41"/>
  <c r="F459" i="41" s="1"/>
  <c r="C459" i="41"/>
  <c r="B459" i="41"/>
  <c r="F458" i="41"/>
  <c r="E458" i="41"/>
  <c r="D458" i="41"/>
  <c r="C458" i="41"/>
  <c r="B458" i="41"/>
  <c r="I457" i="41"/>
  <c r="H457" i="41"/>
  <c r="E457" i="41"/>
  <c r="D457" i="41"/>
  <c r="F457" i="41" s="1"/>
  <c r="C457" i="41"/>
  <c r="B457" i="41"/>
  <c r="E456" i="41"/>
  <c r="F456" i="41" s="1"/>
  <c r="D456" i="41"/>
  <c r="C456" i="41"/>
  <c r="B456" i="41"/>
  <c r="I455" i="41"/>
  <c r="H455" i="41"/>
  <c r="E455" i="41"/>
  <c r="D455" i="41"/>
  <c r="C455" i="41"/>
  <c r="B455" i="41"/>
  <c r="I454" i="41"/>
  <c r="H454" i="41"/>
  <c r="E454" i="41"/>
  <c r="D454" i="41"/>
  <c r="F454" i="41" s="1"/>
  <c r="C454" i="41"/>
  <c r="B454" i="41"/>
  <c r="I453" i="41"/>
  <c r="H453" i="41"/>
  <c r="E453" i="41"/>
  <c r="F453" i="41" s="1"/>
  <c r="D453" i="41"/>
  <c r="C453" i="41"/>
  <c r="B453" i="41"/>
  <c r="I452" i="41"/>
  <c r="H452" i="41"/>
  <c r="F452" i="41"/>
  <c r="E452" i="41"/>
  <c r="D452" i="41"/>
  <c r="C452" i="41"/>
  <c r="B452" i="41"/>
  <c r="I451" i="41"/>
  <c r="H451" i="41"/>
  <c r="E451" i="41"/>
  <c r="D451" i="41"/>
  <c r="F451" i="41" s="1"/>
  <c r="C451" i="41"/>
  <c r="B451" i="41"/>
  <c r="E450" i="41"/>
  <c r="F450" i="41" s="1"/>
  <c r="D450" i="41"/>
  <c r="C450" i="41"/>
  <c r="B450" i="41"/>
  <c r="E449" i="41"/>
  <c r="F449" i="41" s="1"/>
  <c r="D449" i="41"/>
  <c r="C449" i="41"/>
  <c r="B449" i="41"/>
  <c r="E448" i="41"/>
  <c r="D448" i="41"/>
  <c r="F448" i="41" s="1"/>
  <c r="C448" i="41"/>
  <c r="B448" i="41"/>
  <c r="E447" i="41"/>
  <c r="D447" i="41"/>
  <c r="F447" i="41" s="1"/>
  <c r="C447" i="41"/>
  <c r="B447" i="41"/>
  <c r="F446" i="41"/>
  <c r="E446" i="41"/>
  <c r="D446" i="41"/>
  <c r="C446" i="41"/>
  <c r="B446" i="41"/>
  <c r="F445" i="41"/>
  <c r="E445" i="41"/>
  <c r="D445" i="41"/>
  <c r="C445" i="41"/>
  <c r="B445" i="41"/>
  <c r="E444" i="41"/>
  <c r="D444" i="41"/>
  <c r="F444" i="41" s="1"/>
  <c r="C444" i="41"/>
  <c r="B444" i="41"/>
  <c r="E443" i="41"/>
  <c r="D443" i="41"/>
  <c r="F443" i="41" s="1"/>
  <c r="C443" i="41"/>
  <c r="B443" i="41"/>
  <c r="F442" i="41"/>
  <c r="E442" i="41"/>
  <c r="D442" i="41"/>
  <c r="C442" i="41"/>
  <c r="B442" i="41"/>
  <c r="E441" i="41"/>
  <c r="F441" i="41" s="1"/>
  <c r="D441" i="41"/>
  <c r="C441" i="41"/>
  <c r="B441" i="41"/>
  <c r="E440" i="41"/>
  <c r="D440" i="41"/>
  <c r="F440" i="41" s="1"/>
  <c r="C440" i="41"/>
  <c r="B440" i="41"/>
  <c r="E439" i="41"/>
  <c r="D439" i="41"/>
  <c r="C439" i="41"/>
  <c r="B439" i="41"/>
  <c r="F438" i="41"/>
  <c r="E438" i="41"/>
  <c r="D438" i="41"/>
  <c r="C438" i="41"/>
  <c r="B438" i="41"/>
  <c r="F437" i="41"/>
  <c r="E437" i="41"/>
  <c r="D437" i="41"/>
  <c r="C437" i="41"/>
  <c r="B437" i="41"/>
  <c r="E436" i="41"/>
  <c r="D436" i="41"/>
  <c r="F436" i="41" s="1"/>
  <c r="C436" i="41"/>
  <c r="B436" i="41"/>
  <c r="E435" i="41"/>
  <c r="D435" i="41"/>
  <c r="F435" i="41" s="1"/>
  <c r="C435" i="41"/>
  <c r="B435" i="41"/>
  <c r="F434" i="41"/>
  <c r="E434" i="41"/>
  <c r="D434" i="41"/>
  <c r="C434" i="41"/>
  <c r="B434" i="41"/>
  <c r="E433" i="41"/>
  <c r="F433" i="41" s="1"/>
  <c r="D433" i="41"/>
  <c r="C433" i="41"/>
  <c r="B433" i="41"/>
  <c r="E432" i="41"/>
  <c r="D432" i="41"/>
  <c r="F432" i="41" s="1"/>
  <c r="C432" i="41"/>
  <c r="B432" i="41"/>
  <c r="E431" i="41"/>
  <c r="D431" i="41"/>
  <c r="C431" i="41"/>
  <c r="B431" i="41"/>
  <c r="F430" i="41"/>
  <c r="E430" i="41"/>
  <c r="D430" i="41"/>
  <c r="C430" i="41"/>
  <c r="B430" i="41"/>
  <c r="D429" i="41"/>
  <c r="C429" i="41"/>
  <c r="B429" i="41"/>
  <c r="D428" i="41"/>
  <c r="C428" i="41"/>
  <c r="B428" i="41"/>
  <c r="D427" i="41"/>
  <c r="C427" i="41"/>
  <c r="B427" i="41"/>
  <c r="D426" i="41"/>
  <c r="C426" i="41"/>
  <c r="B426" i="41"/>
  <c r="E425" i="41"/>
  <c r="F425" i="41" s="1"/>
  <c r="D425" i="41"/>
  <c r="C425" i="41"/>
  <c r="B425" i="41"/>
  <c r="E424" i="41"/>
  <c r="D424" i="41"/>
  <c r="F424" i="41" s="1"/>
  <c r="C424" i="41"/>
  <c r="B424" i="41"/>
  <c r="E423" i="41"/>
  <c r="D423" i="41"/>
  <c r="C423" i="41"/>
  <c r="B423" i="41"/>
  <c r="F422" i="41"/>
  <c r="E422" i="41"/>
  <c r="D422" i="41"/>
  <c r="C422" i="41"/>
  <c r="B422" i="41"/>
  <c r="F421" i="41"/>
  <c r="E421" i="41"/>
  <c r="D421" i="41"/>
  <c r="C421" i="41"/>
  <c r="B421" i="41"/>
  <c r="E420" i="41"/>
  <c r="D420" i="41"/>
  <c r="F420" i="41" s="1"/>
  <c r="C420" i="41"/>
  <c r="B420" i="41"/>
  <c r="E419" i="41"/>
  <c r="D419" i="41"/>
  <c r="F419" i="41" s="1"/>
  <c r="C419" i="41"/>
  <c r="B419" i="41"/>
  <c r="E418" i="41"/>
  <c r="F418" i="41" s="1"/>
  <c r="D418" i="41"/>
  <c r="C418" i="41"/>
  <c r="B418" i="41"/>
  <c r="E417" i="41"/>
  <c r="F417" i="41" s="1"/>
  <c r="D417" i="41"/>
  <c r="C417" i="41"/>
  <c r="B417" i="41"/>
  <c r="E416" i="41"/>
  <c r="D416" i="41"/>
  <c r="F416" i="41" s="1"/>
  <c r="C416" i="41"/>
  <c r="B416" i="41"/>
  <c r="E415" i="41"/>
  <c r="D415" i="41"/>
  <c r="C415" i="41"/>
  <c r="B415" i="41"/>
  <c r="F414" i="41"/>
  <c r="E414" i="41"/>
  <c r="D414" i="41"/>
  <c r="C414" i="41"/>
  <c r="B414" i="41"/>
  <c r="F413" i="41"/>
  <c r="E413" i="41"/>
  <c r="D413" i="41"/>
  <c r="C413" i="41"/>
  <c r="B413" i="41"/>
  <c r="E412" i="41"/>
  <c r="D412" i="41"/>
  <c r="F412" i="41" s="1"/>
  <c r="C412" i="41"/>
  <c r="B412" i="41"/>
  <c r="I411" i="41"/>
  <c r="H411" i="41"/>
  <c r="D411" i="41"/>
  <c r="C411" i="41"/>
  <c r="B411" i="41"/>
  <c r="D410" i="41"/>
  <c r="C410" i="41"/>
  <c r="B410" i="41"/>
  <c r="D409" i="41"/>
  <c r="C409" i="41"/>
  <c r="B409" i="41"/>
  <c r="D408" i="41"/>
  <c r="C408" i="41"/>
  <c r="B408" i="41"/>
  <c r="D407" i="41"/>
  <c r="C407" i="41"/>
  <c r="B407" i="41"/>
  <c r="D406" i="41"/>
  <c r="C406" i="41"/>
  <c r="B406" i="41"/>
  <c r="D405" i="41"/>
  <c r="C405" i="41"/>
  <c r="B405" i="41"/>
  <c r="D404" i="41"/>
  <c r="C404" i="41"/>
  <c r="B404" i="41"/>
  <c r="D403" i="41"/>
  <c r="C403" i="41"/>
  <c r="B403" i="41"/>
  <c r="D402" i="41"/>
  <c r="C402" i="41"/>
  <c r="B402" i="41"/>
  <c r="D401" i="41"/>
  <c r="C401" i="41"/>
  <c r="B401" i="41"/>
  <c r="D400" i="41"/>
  <c r="C400" i="41"/>
  <c r="B400" i="41"/>
  <c r="D399" i="41"/>
  <c r="C399" i="41"/>
  <c r="B399" i="41"/>
  <c r="D398" i="41"/>
  <c r="C398" i="41"/>
  <c r="B398" i="41"/>
  <c r="D397" i="41"/>
  <c r="C397" i="41"/>
  <c r="B397" i="41"/>
  <c r="D396" i="41"/>
  <c r="C396" i="41"/>
  <c r="B396" i="41"/>
  <c r="D395" i="41"/>
  <c r="C395" i="41"/>
  <c r="B395" i="41"/>
  <c r="D394" i="41"/>
  <c r="C394" i="41"/>
  <c r="B394" i="41"/>
  <c r="D393" i="41"/>
  <c r="C393" i="41"/>
  <c r="B393" i="41"/>
  <c r="D392" i="41"/>
  <c r="C392" i="41"/>
  <c r="B392" i="41"/>
  <c r="D391" i="41"/>
  <c r="C391" i="41"/>
  <c r="B391" i="41"/>
  <c r="D390" i="41"/>
  <c r="C390" i="41"/>
  <c r="B390" i="41"/>
  <c r="D389" i="41"/>
  <c r="C389" i="41"/>
  <c r="B389" i="41"/>
  <c r="D388" i="41"/>
  <c r="C388" i="41"/>
  <c r="B388" i="41"/>
  <c r="D387" i="41"/>
  <c r="C387" i="41"/>
  <c r="B387" i="41"/>
  <c r="D386" i="41"/>
  <c r="C386" i="41"/>
  <c r="B386" i="41"/>
  <c r="D385" i="41"/>
  <c r="C385" i="41"/>
  <c r="B385" i="41"/>
  <c r="D384" i="41"/>
  <c r="C384" i="41"/>
  <c r="B384" i="41"/>
  <c r="D383" i="41"/>
  <c r="C383" i="41"/>
  <c r="B383" i="41"/>
  <c r="D382" i="41"/>
  <c r="C382" i="41"/>
  <c r="B382" i="41"/>
  <c r="D381" i="41"/>
  <c r="C381" i="41"/>
  <c r="B381" i="41"/>
  <c r="D380" i="41"/>
  <c r="C380" i="41"/>
  <c r="B380" i="41"/>
  <c r="D379" i="41"/>
  <c r="C379" i="41"/>
  <c r="B379" i="41"/>
  <c r="D378" i="41"/>
  <c r="C378" i="41"/>
  <c r="B378" i="41"/>
  <c r="D377" i="41"/>
  <c r="C377" i="41"/>
  <c r="B377" i="41"/>
  <c r="D376" i="41"/>
  <c r="C376" i="41"/>
  <c r="B376" i="41"/>
  <c r="D375" i="41"/>
  <c r="C375" i="41"/>
  <c r="B375" i="41"/>
  <c r="D374" i="41"/>
  <c r="C374" i="41"/>
  <c r="B374" i="41"/>
  <c r="D373" i="41"/>
  <c r="C373" i="41"/>
  <c r="B373" i="41"/>
  <c r="D372" i="41"/>
  <c r="C372" i="41"/>
  <c r="B372" i="41"/>
  <c r="D371" i="41"/>
  <c r="C371" i="41"/>
  <c r="B371" i="41"/>
  <c r="D370" i="41"/>
  <c r="C370" i="41"/>
  <c r="B370" i="41"/>
  <c r="D369" i="41"/>
  <c r="C369" i="41"/>
  <c r="B369" i="41"/>
  <c r="D368" i="41"/>
  <c r="C368" i="41"/>
  <c r="B368" i="41"/>
  <c r="F367" i="41"/>
  <c r="E367" i="41"/>
  <c r="D367" i="41"/>
  <c r="C367" i="41"/>
  <c r="B367" i="41"/>
  <c r="D366" i="41"/>
  <c r="C366" i="41"/>
  <c r="B366" i="41"/>
  <c r="E365" i="41"/>
  <c r="D365" i="41"/>
  <c r="F365" i="41" s="1"/>
  <c r="C365" i="41"/>
  <c r="B365" i="41"/>
  <c r="D364" i="41"/>
  <c r="C364" i="41"/>
  <c r="B364" i="41"/>
  <c r="D363" i="41"/>
  <c r="C363" i="41"/>
  <c r="B363" i="41"/>
  <c r="D362" i="41"/>
  <c r="C362" i="41"/>
  <c r="B362" i="41"/>
  <c r="D361" i="41"/>
  <c r="C361" i="41"/>
  <c r="B361" i="41"/>
  <c r="D360" i="41"/>
  <c r="C360" i="41"/>
  <c r="B360" i="41"/>
  <c r="D359" i="41"/>
  <c r="C359" i="41"/>
  <c r="B359" i="41"/>
  <c r="D358" i="41"/>
  <c r="C358" i="41"/>
  <c r="B358" i="41"/>
  <c r="D357" i="41"/>
  <c r="C357" i="41"/>
  <c r="B357" i="41"/>
  <c r="D356" i="41"/>
  <c r="C356" i="41"/>
  <c r="B356" i="41"/>
  <c r="D355" i="41"/>
  <c r="C355" i="41"/>
  <c r="B355" i="41"/>
  <c r="D354" i="41"/>
  <c r="C354" i="41"/>
  <c r="B354" i="41"/>
  <c r="D353" i="41"/>
  <c r="C353" i="41"/>
  <c r="B353" i="41"/>
  <c r="D352" i="41"/>
  <c r="C352" i="41"/>
  <c r="B352" i="41"/>
  <c r="D351" i="41"/>
  <c r="C351" i="41"/>
  <c r="B351" i="41"/>
  <c r="D350" i="41"/>
  <c r="C350" i="41"/>
  <c r="B350" i="41"/>
  <c r="D349" i="41"/>
  <c r="C349" i="41"/>
  <c r="B349" i="41"/>
  <c r="D348" i="41"/>
  <c r="C348" i="41"/>
  <c r="B348" i="41"/>
  <c r="D347" i="41"/>
  <c r="C347" i="41"/>
  <c r="B347" i="41"/>
  <c r="D346" i="41"/>
  <c r="C346" i="41"/>
  <c r="B346" i="41"/>
  <c r="D345" i="41"/>
  <c r="C345" i="41"/>
  <c r="B345" i="41"/>
  <c r="D344" i="41"/>
  <c r="C344" i="41"/>
  <c r="B344" i="41"/>
  <c r="D343" i="41"/>
  <c r="C343" i="41"/>
  <c r="B343" i="41"/>
  <c r="D342" i="41"/>
  <c r="C342" i="41"/>
  <c r="B342" i="41"/>
  <c r="D341" i="41"/>
  <c r="C341" i="41"/>
  <c r="B341" i="41"/>
  <c r="D340" i="41"/>
  <c r="C340" i="41"/>
  <c r="B340" i="41"/>
  <c r="D339" i="41"/>
  <c r="C339" i="41"/>
  <c r="B339" i="41"/>
  <c r="D338" i="41"/>
  <c r="C338" i="41"/>
  <c r="B338" i="41"/>
  <c r="D337" i="41"/>
  <c r="C337" i="41"/>
  <c r="B337" i="41"/>
  <c r="D336" i="41"/>
  <c r="C336" i="41"/>
  <c r="B336" i="41"/>
  <c r="F335" i="41"/>
  <c r="E335" i="41"/>
  <c r="D335" i="41"/>
  <c r="C335" i="41"/>
  <c r="B335" i="41"/>
  <c r="D334" i="41"/>
  <c r="C334" i="41"/>
  <c r="B334" i="41"/>
  <c r="E333" i="41"/>
  <c r="D333" i="41"/>
  <c r="F333" i="41" s="1"/>
  <c r="C333" i="41"/>
  <c r="B333" i="41"/>
  <c r="E332" i="41"/>
  <c r="F332" i="41" s="1"/>
  <c r="D332" i="41"/>
  <c r="C332" i="41"/>
  <c r="B332" i="41"/>
  <c r="E331" i="41"/>
  <c r="F331" i="41" s="1"/>
  <c r="D331" i="41"/>
  <c r="C331" i="41"/>
  <c r="B331" i="41"/>
  <c r="E330" i="41"/>
  <c r="D330" i="41"/>
  <c r="F330" i="41" s="1"/>
  <c r="C330" i="41"/>
  <c r="B330" i="41"/>
  <c r="D329" i="41"/>
  <c r="C329" i="41"/>
  <c r="B329" i="41"/>
  <c r="D328" i="41"/>
  <c r="C328" i="41"/>
  <c r="B328" i="41"/>
  <c r="D327" i="41"/>
  <c r="C327" i="41"/>
  <c r="B327" i="41"/>
  <c r="D326" i="41"/>
  <c r="C326" i="41"/>
  <c r="B326" i="41"/>
  <c r="D325" i="41"/>
  <c r="C325" i="41"/>
  <c r="B325" i="41"/>
  <c r="D324" i="41"/>
  <c r="C324" i="41"/>
  <c r="B324" i="41"/>
  <c r="D323" i="41"/>
  <c r="C323" i="41"/>
  <c r="B323" i="41"/>
  <c r="D322" i="41"/>
  <c r="C322" i="41"/>
  <c r="B322" i="41"/>
  <c r="D321" i="41"/>
  <c r="C321" i="41"/>
  <c r="B321" i="41"/>
  <c r="D320" i="41"/>
  <c r="C320" i="41"/>
  <c r="B320" i="41"/>
  <c r="D319" i="41"/>
  <c r="C319" i="41"/>
  <c r="B319" i="41"/>
  <c r="E318" i="41"/>
  <c r="D318" i="41"/>
  <c r="F318" i="41" s="1"/>
  <c r="C318" i="41"/>
  <c r="B318" i="41"/>
  <c r="E317" i="41"/>
  <c r="D317" i="41"/>
  <c r="F317" i="41" s="1"/>
  <c r="C317" i="41"/>
  <c r="B317" i="41"/>
  <c r="E316" i="41"/>
  <c r="F316" i="41" s="1"/>
  <c r="D316" i="41"/>
  <c r="C316" i="41"/>
  <c r="B316" i="41"/>
  <c r="E315" i="41"/>
  <c r="F315" i="41" s="1"/>
  <c r="D315" i="41"/>
  <c r="C315" i="41"/>
  <c r="B315" i="41"/>
  <c r="E314" i="41"/>
  <c r="D314" i="41"/>
  <c r="F314" i="41" s="1"/>
  <c r="C314" i="41"/>
  <c r="B314" i="41"/>
  <c r="E313" i="41"/>
  <c r="D313" i="41"/>
  <c r="F313" i="41" s="1"/>
  <c r="C313" i="41"/>
  <c r="B313" i="41"/>
  <c r="F312" i="41"/>
  <c r="E312" i="41"/>
  <c r="D312" i="41"/>
  <c r="C312" i="41"/>
  <c r="B312" i="41"/>
  <c r="F311" i="41"/>
  <c r="E311" i="41"/>
  <c r="D311" i="41"/>
  <c r="C311" i="41"/>
  <c r="B311" i="41"/>
  <c r="E310" i="41"/>
  <c r="D310" i="41"/>
  <c r="F310" i="41" s="1"/>
  <c r="C310" i="41"/>
  <c r="B310" i="41"/>
  <c r="E309" i="41"/>
  <c r="D309" i="41"/>
  <c r="F309" i="41" s="1"/>
  <c r="C309" i="41"/>
  <c r="B309" i="41"/>
  <c r="F308" i="41"/>
  <c r="E308" i="41"/>
  <c r="D308" i="41"/>
  <c r="C308" i="41"/>
  <c r="B308" i="41"/>
  <c r="E307" i="41"/>
  <c r="F307" i="41" s="1"/>
  <c r="D307" i="41"/>
  <c r="C307" i="41"/>
  <c r="B307" i="41"/>
  <c r="E306" i="41"/>
  <c r="D306" i="41"/>
  <c r="F306" i="41" s="1"/>
  <c r="C306" i="41"/>
  <c r="B306" i="41"/>
  <c r="E305" i="41"/>
  <c r="D305" i="41"/>
  <c r="F305" i="41" s="1"/>
  <c r="C305" i="41"/>
  <c r="B305" i="41"/>
  <c r="F304" i="41"/>
  <c r="E304" i="41"/>
  <c r="D304" i="41"/>
  <c r="C304" i="41"/>
  <c r="B304" i="41"/>
  <c r="D303" i="41"/>
  <c r="C303" i="41"/>
  <c r="B303" i="41"/>
  <c r="E302" i="41"/>
  <c r="D302" i="41"/>
  <c r="F302" i="41" s="1"/>
  <c r="C302" i="41"/>
  <c r="B302" i="41"/>
  <c r="E301" i="41"/>
  <c r="D301" i="41"/>
  <c r="F301" i="41" s="1"/>
  <c r="C301" i="41"/>
  <c r="B301" i="41"/>
  <c r="E300" i="41"/>
  <c r="F300" i="41" s="1"/>
  <c r="D300" i="41"/>
  <c r="C300" i="41"/>
  <c r="B300" i="41"/>
  <c r="E299" i="41"/>
  <c r="F299" i="41" s="1"/>
  <c r="D299" i="41"/>
  <c r="C299" i="41"/>
  <c r="B299" i="41"/>
  <c r="E298" i="41"/>
  <c r="D298" i="41"/>
  <c r="F298" i="41" s="1"/>
  <c r="C298" i="41"/>
  <c r="B298" i="41"/>
  <c r="E297" i="41"/>
  <c r="D297" i="41"/>
  <c r="C297" i="41"/>
  <c r="B297" i="41"/>
  <c r="F296" i="41"/>
  <c r="E296" i="41"/>
  <c r="D296" i="41"/>
  <c r="C296" i="41"/>
  <c r="B296" i="41"/>
  <c r="F295" i="41"/>
  <c r="E295" i="41"/>
  <c r="D295" i="41"/>
  <c r="C295" i="41"/>
  <c r="B295" i="41"/>
  <c r="E294" i="41"/>
  <c r="D294" i="41"/>
  <c r="F294" i="41" s="1"/>
  <c r="C294" i="41"/>
  <c r="B294" i="41"/>
  <c r="E293" i="41"/>
  <c r="D293" i="41"/>
  <c r="F293" i="41" s="1"/>
  <c r="C293" i="41"/>
  <c r="B293" i="41"/>
  <c r="D292" i="41"/>
  <c r="C292" i="41"/>
  <c r="B292" i="41"/>
  <c r="D291" i="41"/>
  <c r="C291" i="41"/>
  <c r="B291" i="41"/>
  <c r="E290" i="41"/>
  <c r="D290" i="41"/>
  <c r="F290" i="41" s="1"/>
  <c r="C290" i="41"/>
  <c r="B290" i="41"/>
  <c r="D289" i="41"/>
  <c r="C289" i="41"/>
  <c r="B289" i="41"/>
  <c r="D288" i="41"/>
  <c r="C288" i="41"/>
  <c r="B288" i="41"/>
  <c r="D287" i="41"/>
  <c r="C287" i="41"/>
  <c r="B287" i="41"/>
  <c r="D286" i="41"/>
  <c r="C286" i="41"/>
  <c r="B286" i="41"/>
  <c r="D285" i="41"/>
  <c r="C285" i="41"/>
  <c r="B285" i="41"/>
  <c r="D284" i="41"/>
  <c r="C284" i="41"/>
  <c r="B284" i="41"/>
  <c r="D283" i="41"/>
  <c r="C283" i="41"/>
  <c r="B283" i="41"/>
  <c r="E282" i="41"/>
  <c r="D282" i="41"/>
  <c r="F282" i="41" s="1"/>
  <c r="C282" i="41"/>
  <c r="B282" i="41"/>
  <c r="E281" i="41"/>
  <c r="D281" i="41"/>
  <c r="C281" i="41"/>
  <c r="B281" i="41"/>
  <c r="F280" i="41"/>
  <c r="E280" i="41"/>
  <c r="D280" i="41"/>
  <c r="C280" i="41"/>
  <c r="B280" i="41"/>
  <c r="F279" i="41"/>
  <c r="E279" i="41"/>
  <c r="D279" i="41"/>
  <c r="C279" i="41"/>
  <c r="B279" i="41"/>
  <c r="E278" i="41"/>
  <c r="D278" i="41"/>
  <c r="F278" i="41" s="1"/>
  <c r="C278" i="41"/>
  <c r="B278" i="41"/>
  <c r="E277" i="41"/>
  <c r="D277" i="41"/>
  <c r="F277" i="41" s="1"/>
  <c r="C277" i="41"/>
  <c r="B277" i="41"/>
  <c r="F276" i="41"/>
  <c r="E276" i="41"/>
  <c r="D276" i="41"/>
  <c r="C276" i="41"/>
  <c r="B276" i="41"/>
  <c r="E275" i="41"/>
  <c r="F275" i="41" s="1"/>
  <c r="D275" i="41"/>
  <c r="C275" i="41"/>
  <c r="B275" i="41"/>
  <c r="E274" i="41"/>
  <c r="D274" i="41"/>
  <c r="F274" i="41" s="1"/>
  <c r="C274" i="41"/>
  <c r="B274" i="41"/>
  <c r="E273" i="41"/>
  <c r="D273" i="41"/>
  <c r="C273" i="41"/>
  <c r="B273" i="41"/>
  <c r="F272" i="41"/>
  <c r="E272" i="41"/>
  <c r="D272" i="41"/>
  <c r="C272" i="41"/>
  <c r="B272" i="41"/>
  <c r="F271" i="41"/>
  <c r="E271" i="41"/>
  <c r="D271" i="41"/>
  <c r="C271" i="41"/>
  <c r="B271" i="41"/>
  <c r="E270" i="41"/>
  <c r="D270" i="41"/>
  <c r="F270" i="41" s="1"/>
  <c r="C270" i="41"/>
  <c r="B270" i="41"/>
  <c r="E269" i="41"/>
  <c r="D269" i="41"/>
  <c r="F269" i="41" s="1"/>
  <c r="C269" i="41"/>
  <c r="B269" i="41"/>
  <c r="E268" i="41"/>
  <c r="F268" i="41" s="1"/>
  <c r="D268" i="41"/>
  <c r="C268" i="41"/>
  <c r="B268" i="41"/>
  <c r="E267" i="41"/>
  <c r="F267" i="41" s="1"/>
  <c r="D267" i="41"/>
  <c r="C267" i="41"/>
  <c r="B267" i="41"/>
  <c r="E266" i="41"/>
  <c r="D266" i="41"/>
  <c r="F266" i="41" s="1"/>
  <c r="C266" i="41"/>
  <c r="B266" i="41"/>
  <c r="E265" i="41"/>
  <c r="D265" i="41"/>
  <c r="C265" i="41"/>
  <c r="B265" i="41"/>
  <c r="F264" i="41"/>
  <c r="E264" i="41"/>
  <c r="D264" i="41"/>
  <c r="C264" i="41"/>
  <c r="B264" i="41"/>
  <c r="F263" i="41"/>
  <c r="E263" i="41"/>
  <c r="D263" i="41"/>
  <c r="C263" i="41"/>
  <c r="B263" i="41"/>
  <c r="E262" i="41"/>
  <c r="D262" i="41"/>
  <c r="F262" i="41" s="1"/>
  <c r="C262" i="41"/>
  <c r="B262" i="41"/>
  <c r="E261" i="41"/>
  <c r="D261" i="41"/>
  <c r="C261" i="41"/>
  <c r="B261" i="41"/>
  <c r="E260" i="41"/>
  <c r="F260" i="41" s="1"/>
  <c r="D260" i="41"/>
  <c r="C260" i="41"/>
  <c r="B260" i="41"/>
  <c r="E259" i="41"/>
  <c r="F259" i="41" s="1"/>
  <c r="D259" i="41"/>
  <c r="C259" i="41"/>
  <c r="B259" i="41"/>
  <c r="D258" i="41"/>
  <c r="C258" i="41"/>
  <c r="B258" i="41"/>
  <c r="D257" i="41"/>
  <c r="C257" i="41"/>
  <c r="B257" i="41"/>
  <c r="D256" i="41"/>
  <c r="C256" i="41"/>
  <c r="B256" i="41"/>
  <c r="D255" i="41"/>
  <c r="C255" i="41"/>
  <c r="B255" i="41"/>
  <c r="D254" i="41"/>
  <c r="C254" i="41"/>
  <c r="B254" i="41"/>
  <c r="D253" i="41"/>
  <c r="C253" i="41"/>
  <c r="B253" i="41"/>
  <c r="D252" i="41"/>
  <c r="C252" i="41"/>
  <c r="B252" i="41"/>
  <c r="I251" i="41"/>
  <c r="H251" i="41"/>
  <c r="E251" i="41"/>
  <c r="D251" i="41"/>
  <c r="F251" i="41" s="1"/>
  <c r="C251" i="41"/>
  <c r="B251" i="41"/>
  <c r="D250" i="41"/>
  <c r="C250" i="41"/>
  <c r="B250" i="41"/>
  <c r="D249" i="41"/>
  <c r="C249" i="41"/>
  <c r="B249" i="41"/>
  <c r="I248" i="41"/>
  <c r="H248" i="41"/>
  <c r="F248" i="41"/>
  <c r="E248" i="41"/>
  <c r="D248" i="41"/>
  <c r="C248" i="41"/>
  <c r="B248" i="41"/>
  <c r="I247" i="41"/>
  <c r="H247" i="41"/>
  <c r="E247" i="41"/>
  <c r="D247" i="41"/>
  <c r="C247" i="41"/>
  <c r="B247" i="41"/>
  <c r="I246" i="41"/>
  <c r="H246" i="41"/>
  <c r="E246" i="41"/>
  <c r="D246" i="41"/>
  <c r="F246" i="41" s="1"/>
  <c r="C246" i="41"/>
  <c r="B246" i="41"/>
  <c r="D245" i="41"/>
  <c r="C245" i="41"/>
  <c r="B245" i="41"/>
  <c r="D244" i="41"/>
  <c r="C244" i="41"/>
  <c r="B244" i="41"/>
  <c r="D243" i="41"/>
  <c r="C243" i="41"/>
  <c r="B243" i="41"/>
  <c r="D242" i="41"/>
  <c r="C242" i="41"/>
  <c r="B242" i="41"/>
  <c r="D241" i="41"/>
  <c r="C241" i="41"/>
  <c r="B241" i="41"/>
  <c r="D240" i="41"/>
  <c r="C240" i="41"/>
  <c r="B240" i="41"/>
  <c r="D239" i="41"/>
  <c r="C239" i="41"/>
  <c r="B239" i="41"/>
  <c r="D238" i="41"/>
  <c r="C238" i="41"/>
  <c r="B238" i="41"/>
  <c r="D237" i="41"/>
  <c r="C237" i="41"/>
  <c r="B237" i="41"/>
  <c r="D236" i="41"/>
  <c r="C236" i="41"/>
  <c r="B236" i="41"/>
  <c r="D235" i="41"/>
  <c r="C235" i="41"/>
  <c r="B235" i="41"/>
  <c r="D234" i="41"/>
  <c r="C234" i="41"/>
  <c r="B234" i="41"/>
  <c r="D233" i="41"/>
  <c r="C233" i="41"/>
  <c r="B233" i="41"/>
  <c r="D232" i="41"/>
  <c r="C232" i="41"/>
  <c r="B232" i="41"/>
  <c r="D231" i="41"/>
  <c r="C231" i="41"/>
  <c r="B231" i="41"/>
  <c r="D230" i="41"/>
  <c r="C230" i="41"/>
  <c r="B230" i="41"/>
  <c r="D229" i="41"/>
  <c r="C229" i="41"/>
  <c r="B229" i="41"/>
  <c r="F228" i="41"/>
  <c r="E228" i="41"/>
  <c r="D228" i="41"/>
  <c r="C228" i="41"/>
  <c r="B228" i="41"/>
  <c r="D227" i="41"/>
  <c r="C227" i="41"/>
  <c r="B227" i="41"/>
  <c r="D226" i="41"/>
  <c r="C226" i="41"/>
  <c r="B226" i="41"/>
  <c r="D225" i="41"/>
  <c r="C225" i="41"/>
  <c r="B225" i="41"/>
  <c r="D224" i="41"/>
  <c r="C224" i="41"/>
  <c r="B224" i="41"/>
  <c r="D223" i="41"/>
  <c r="C223" i="41"/>
  <c r="B223" i="41"/>
  <c r="D222" i="41"/>
  <c r="C222" i="41"/>
  <c r="B222" i="41"/>
  <c r="I221" i="41"/>
  <c r="H221" i="41"/>
  <c r="E221" i="41"/>
  <c r="F221" i="41" s="1"/>
  <c r="D221" i="41"/>
  <c r="C221" i="41"/>
  <c r="B221" i="41"/>
  <c r="D220" i="41"/>
  <c r="C220" i="41"/>
  <c r="B220" i="41"/>
  <c r="D219" i="41"/>
  <c r="C219" i="41"/>
  <c r="B219" i="41"/>
  <c r="D218" i="41"/>
  <c r="C218" i="41"/>
  <c r="B218" i="41"/>
  <c r="D217" i="41"/>
  <c r="C217" i="41"/>
  <c r="B217" i="41"/>
  <c r="D216" i="41"/>
  <c r="C216" i="41"/>
  <c r="B216" i="41"/>
  <c r="D215" i="41"/>
  <c r="C215" i="41"/>
  <c r="B215" i="41"/>
  <c r="D214" i="41"/>
  <c r="C214" i="41"/>
  <c r="B214" i="41"/>
  <c r="D213" i="41"/>
  <c r="C213" i="41"/>
  <c r="B213" i="41"/>
  <c r="D212" i="41"/>
  <c r="C212" i="41"/>
  <c r="B212" i="41"/>
  <c r="D211" i="41"/>
  <c r="C211" i="41"/>
  <c r="B211" i="41"/>
  <c r="D210" i="41"/>
  <c r="C210" i="41"/>
  <c r="B210" i="41"/>
  <c r="D209" i="41"/>
  <c r="C209" i="41"/>
  <c r="B209" i="41"/>
  <c r="D208" i="41"/>
  <c r="C208" i="41"/>
  <c r="B208" i="41"/>
  <c r="D207" i="41"/>
  <c r="C207" i="41"/>
  <c r="B207" i="41"/>
  <c r="D206" i="41"/>
  <c r="C206" i="41"/>
  <c r="B206" i="41"/>
  <c r="D205" i="41"/>
  <c r="C205" i="41"/>
  <c r="B205" i="41"/>
  <c r="D204" i="41"/>
  <c r="C204" i="41"/>
  <c r="B204" i="41"/>
  <c r="D203" i="41"/>
  <c r="C203" i="41"/>
  <c r="B203" i="41"/>
  <c r="D202" i="41"/>
  <c r="C202" i="41"/>
  <c r="B202" i="41"/>
  <c r="D201" i="41"/>
  <c r="C201" i="41"/>
  <c r="B201" i="41"/>
  <c r="D200" i="41"/>
  <c r="C200" i="41"/>
  <c r="B200" i="41"/>
  <c r="D199" i="41"/>
  <c r="C199" i="41"/>
  <c r="B199" i="41"/>
  <c r="D198" i="41"/>
  <c r="C198" i="41"/>
  <c r="B198" i="41"/>
  <c r="D197" i="41"/>
  <c r="C197" i="41"/>
  <c r="B197" i="41"/>
  <c r="D196" i="41"/>
  <c r="C196" i="41"/>
  <c r="B196" i="41"/>
  <c r="D195" i="41"/>
  <c r="C195" i="41"/>
  <c r="B195" i="41"/>
  <c r="I194" i="41"/>
  <c r="H194" i="41"/>
  <c r="E194" i="41"/>
  <c r="D194" i="41"/>
  <c r="F194" i="41" s="1"/>
  <c r="C194" i="41"/>
  <c r="B194" i="41"/>
  <c r="I193" i="41"/>
  <c r="H193" i="41"/>
  <c r="F193" i="41"/>
  <c r="E193" i="41"/>
  <c r="D193" i="41"/>
  <c r="C193" i="41"/>
  <c r="B193" i="41"/>
  <c r="I192" i="41"/>
  <c r="H192" i="41"/>
  <c r="F192" i="41"/>
  <c r="E192" i="41"/>
  <c r="D192" i="41"/>
  <c r="C192" i="41"/>
  <c r="B192" i="41"/>
  <c r="D191" i="41"/>
  <c r="C191" i="41"/>
  <c r="B191" i="41"/>
  <c r="D190" i="41"/>
  <c r="C190" i="41"/>
  <c r="B190" i="41"/>
  <c r="D189" i="41"/>
  <c r="C189" i="41"/>
  <c r="B189" i="41"/>
  <c r="D188" i="41"/>
  <c r="C188" i="41"/>
  <c r="B188" i="41"/>
  <c r="D187" i="41"/>
  <c r="C187" i="41"/>
  <c r="B187" i="41"/>
  <c r="D186" i="41"/>
  <c r="C186" i="41"/>
  <c r="B186" i="41"/>
  <c r="E185" i="41"/>
  <c r="D185" i="41"/>
  <c r="F185" i="41" s="1"/>
  <c r="C185" i="41"/>
  <c r="B185" i="41"/>
  <c r="E184" i="41"/>
  <c r="D184" i="41"/>
  <c r="F184" i="41" s="1"/>
  <c r="C184" i="41"/>
  <c r="B184" i="41"/>
  <c r="F183" i="41"/>
  <c r="E183" i="41"/>
  <c r="D183" i="41"/>
  <c r="C183" i="41"/>
  <c r="B183" i="41"/>
  <c r="D182" i="41"/>
  <c r="C182" i="41"/>
  <c r="B182" i="41"/>
  <c r="D181" i="41"/>
  <c r="C181" i="41"/>
  <c r="B181" i="41"/>
  <c r="D180" i="41"/>
  <c r="C180" i="41"/>
  <c r="B180" i="41"/>
  <c r="I179" i="41"/>
  <c r="H179" i="41"/>
  <c r="E179" i="41"/>
  <c r="D179" i="41"/>
  <c r="F179" i="41" s="1"/>
  <c r="C179" i="41"/>
  <c r="B179" i="41"/>
  <c r="I178" i="41"/>
  <c r="H178" i="41"/>
  <c r="E178" i="41"/>
  <c r="D178" i="41"/>
  <c r="F178" i="41" s="1"/>
  <c r="C178" i="41"/>
  <c r="B178" i="41"/>
  <c r="I177" i="41"/>
  <c r="H177" i="41"/>
  <c r="F177" i="41"/>
  <c r="E177" i="41"/>
  <c r="D177" i="41"/>
  <c r="C177" i="41"/>
  <c r="B177" i="41"/>
  <c r="I176" i="41"/>
  <c r="H176" i="41"/>
  <c r="F176" i="41"/>
  <c r="E176" i="41"/>
  <c r="D176" i="41"/>
  <c r="C176" i="41"/>
  <c r="B176" i="41"/>
  <c r="I175" i="41"/>
  <c r="H175" i="41"/>
  <c r="E175" i="41"/>
  <c r="D175" i="41"/>
  <c r="F175" i="41" s="1"/>
  <c r="C175" i="41"/>
  <c r="B175" i="41"/>
  <c r="D174" i="41"/>
  <c r="C174" i="41"/>
  <c r="B174" i="41"/>
  <c r="D173" i="41"/>
  <c r="C173" i="41"/>
  <c r="B173" i="41"/>
  <c r="D172" i="41"/>
  <c r="C172" i="41"/>
  <c r="B172" i="41"/>
  <c r="D171" i="41"/>
  <c r="C171" i="41"/>
  <c r="B171" i="41"/>
  <c r="D170" i="41"/>
  <c r="C170" i="41"/>
  <c r="B170" i="41"/>
  <c r="I169" i="41"/>
  <c r="H169" i="41"/>
  <c r="E169" i="41"/>
  <c r="D169" i="41"/>
  <c r="F169" i="41" s="1"/>
  <c r="C169" i="41"/>
  <c r="B169" i="41"/>
  <c r="D168" i="41"/>
  <c r="C168" i="41"/>
  <c r="B168" i="41"/>
  <c r="D167" i="41"/>
  <c r="C167" i="41"/>
  <c r="B167" i="41"/>
  <c r="E166" i="41"/>
  <c r="D166" i="41"/>
  <c r="F166" i="41" s="1"/>
  <c r="C166" i="41"/>
  <c r="B166" i="41"/>
  <c r="I165" i="41"/>
  <c r="H165" i="41"/>
  <c r="F165" i="41"/>
  <c r="E165" i="41"/>
  <c r="D165" i="41"/>
  <c r="C165" i="41"/>
  <c r="B165" i="41"/>
  <c r="I164" i="41"/>
  <c r="H164" i="41"/>
  <c r="E164" i="41"/>
  <c r="F164" i="41" s="1"/>
  <c r="D164" i="41"/>
  <c r="C164" i="41"/>
  <c r="B164" i="41"/>
  <c r="I163" i="41"/>
  <c r="H163" i="41"/>
  <c r="E163" i="41"/>
  <c r="D163" i="41"/>
  <c r="C163" i="41"/>
  <c r="B163" i="41"/>
  <c r="D162" i="41"/>
  <c r="C162" i="41"/>
  <c r="B162" i="41"/>
  <c r="D161" i="41"/>
  <c r="C161" i="41"/>
  <c r="B161" i="41"/>
  <c r="D160" i="41"/>
  <c r="C160" i="41"/>
  <c r="B160" i="41"/>
  <c r="D159" i="41"/>
  <c r="C159" i="41"/>
  <c r="B159" i="41"/>
  <c r="D158" i="41"/>
  <c r="C158" i="41"/>
  <c r="B158" i="41"/>
  <c r="D157" i="41"/>
  <c r="C157" i="41"/>
  <c r="B157" i="41"/>
  <c r="D156" i="41"/>
  <c r="C156" i="41"/>
  <c r="B156" i="41"/>
  <c r="D155" i="41"/>
  <c r="C155" i="41"/>
  <c r="B155" i="41"/>
  <c r="D154" i="41"/>
  <c r="C154" i="41"/>
  <c r="B154" i="41"/>
  <c r="D153" i="41"/>
  <c r="C153" i="41"/>
  <c r="B153" i="41"/>
  <c r="D152" i="41"/>
  <c r="C152" i="41"/>
  <c r="B152" i="41"/>
  <c r="D151" i="41"/>
  <c r="C151" i="41"/>
  <c r="B151" i="41"/>
  <c r="D150" i="41"/>
  <c r="C150" i="41"/>
  <c r="B150" i="41"/>
  <c r="D149" i="41"/>
  <c r="C149" i="41"/>
  <c r="B149" i="41"/>
  <c r="D148" i="41"/>
  <c r="C148" i="41"/>
  <c r="B148" i="41"/>
  <c r="D147" i="41"/>
  <c r="C147" i="41"/>
  <c r="B147" i="41"/>
  <c r="D146" i="41"/>
  <c r="C146" i="41"/>
  <c r="B146" i="41"/>
  <c r="D145" i="41"/>
  <c r="C145" i="41"/>
  <c r="B145" i="41"/>
  <c r="E144" i="41"/>
  <c r="D144" i="41"/>
  <c r="F144" i="41" s="1"/>
  <c r="C144" i="41"/>
  <c r="B144" i="41"/>
  <c r="D143" i="41"/>
  <c r="C143" i="41"/>
  <c r="B143" i="41"/>
  <c r="E142" i="41"/>
  <c r="F142" i="41" s="1"/>
  <c r="D142" i="41"/>
  <c r="C142" i="41"/>
  <c r="B142" i="41"/>
  <c r="E141" i="41"/>
  <c r="F141" i="41" s="1"/>
  <c r="D141" i="41"/>
  <c r="C141" i="41"/>
  <c r="B141" i="41"/>
  <c r="E140" i="41"/>
  <c r="D140" i="41"/>
  <c r="F140" i="41" s="1"/>
  <c r="C140" i="41"/>
  <c r="B140" i="41"/>
  <c r="E139" i="41"/>
  <c r="D139" i="41"/>
  <c r="C139" i="41"/>
  <c r="B139" i="41"/>
  <c r="F138" i="41"/>
  <c r="E138" i="41"/>
  <c r="D138" i="41"/>
  <c r="C138" i="41"/>
  <c r="B138" i="41"/>
  <c r="F137" i="41"/>
  <c r="E137" i="41"/>
  <c r="D137" i="41"/>
  <c r="C137" i="41"/>
  <c r="B137" i="41"/>
  <c r="I136" i="41"/>
  <c r="H136" i="41"/>
  <c r="F136" i="41"/>
  <c r="E136" i="41"/>
  <c r="D136" i="41"/>
  <c r="C136" i="41"/>
  <c r="B136" i="41"/>
  <c r="F135" i="41"/>
  <c r="E135" i="41"/>
  <c r="D135" i="41"/>
  <c r="C135" i="41"/>
  <c r="B135" i="41"/>
  <c r="E134" i="41"/>
  <c r="D134" i="41"/>
  <c r="F134" i="41" s="1"/>
  <c r="C134" i="41"/>
  <c r="B134" i="41"/>
  <c r="E133" i="41"/>
  <c r="D133" i="41"/>
  <c r="F133" i="41" s="1"/>
  <c r="C133" i="41"/>
  <c r="B133" i="41"/>
  <c r="E132" i="41"/>
  <c r="D132" i="41"/>
  <c r="F132" i="41" s="1"/>
  <c r="C132" i="41"/>
  <c r="B132" i="41"/>
  <c r="I131" i="41"/>
  <c r="H131" i="41"/>
  <c r="E131" i="41"/>
  <c r="D131" i="41"/>
  <c r="C131" i="41"/>
  <c r="B131" i="41"/>
  <c r="E130" i="41"/>
  <c r="F130" i="41" s="1"/>
  <c r="D130" i="41"/>
  <c r="C130" i="41"/>
  <c r="B130" i="41"/>
  <c r="E129" i="41"/>
  <c r="F129" i="41" s="1"/>
  <c r="D129" i="41"/>
  <c r="C129" i="41"/>
  <c r="B129" i="41"/>
  <c r="E128" i="41"/>
  <c r="D128" i="41"/>
  <c r="F128" i="41" s="1"/>
  <c r="C128" i="41"/>
  <c r="B128" i="41"/>
  <c r="I127" i="41"/>
  <c r="H127" i="41"/>
  <c r="F127" i="41"/>
  <c r="E127" i="41"/>
  <c r="D127" i="41"/>
  <c r="C127" i="41"/>
  <c r="B127" i="41"/>
  <c r="I126" i="41"/>
  <c r="H126" i="41"/>
  <c r="F126" i="41"/>
  <c r="E126" i="41"/>
  <c r="D126" i="41"/>
  <c r="C126" i="41"/>
  <c r="B126" i="41"/>
  <c r="I125" i="41"/>
  <c r="H125" i="41"/>
  <c r="E125" i="41"/>
  <c r="D125" i="41"/>
  <c r="C125" i="41"/>
  <c r="B125" i="41"/>
  <c r="I124" i="41"/>
  <c r="H124" i="41"/>
  <c r="E124" i="41"/>
  <c r="D124" i="41"/>
  <c r="F124" i="41" s="1"/>
  <c r="C124" i="41"/>
  <c r="B124" i="41"/>
  <c r="I123" i="41"/>
  <c r="H123" i="41"/>
  <c r="F123" i="41"/>
  <c r="E123" i="41"/>
  <c r="D123" i="41"/>
  <c r="C123" i="41"/>
  <c r="B123" i="41"/>
  <c r="I122" i="41"/>
  <c r="H122" i="41"/>
  <c r="E122" i="41"/>
  <c r="F122" i="41" s="1"/>
  <c r="D122" i="41"/>
  <c r="C122" i="41"/>
  <c r="B122" i="41"/>
  <c r="I121" i="41"/>
  <c r="H121" i="41"/>
  <c r="E121" i="41"/>
  <c r="D121" i="41"/>
  <c r="F121" i="41" s="1"/>
  <c r="C121" i="41"/>
  <c r="B121" i="41"/>
  <c r="I120" i="41"/>
  <c r="H120" i="41"/>
  <c r="F120" i="41"/>
  <c r="E120" i="41"/>
  <c r="D120" i="41"/>
  <c r="C120" i="41"/>
  <c r="B120" i="41"/>
  <c r="I119" i="41"/>
  <c r="H119" i="41"/>
  <c r="F119" i="41"/>
  <c r="E119" i="41"/>
  <c r="D119" i="41"/>
  <c r="C119" i="41"/>
  <c r="B119" i="41"/>
  <c r="I118" i="41"/>
  <c r="H118" i="41"/>
  <c r="E118" i="41"/>
  <c r="D118" i="41"/>
  <c r="F118" i="41" s="1"/>
  <c r="C118" i="41"/>
  <c r="B118" i="41"/>
  <c r="I117" i="41"/>
  <c r="H117" i="41"/>
  <c r="D117" i="41"/>
  <c r="C117" i="41"/>
  <c r="B117" i="41"/>
  <c r="I116" i="41"/>
  <c r="H116" i="41"/>
  <c r="F116" i="41"/>
  <c r="E116" i="41"/>
  <c r="D116" i="41"/>
  <c r="C116" i="41"/>
  <c r="B116" i="41"/>
  <c r="E115" i="41"/>
  <c r="D115" i="41"/>
  <c r="C115" i="41"/>
  <c r="B115" i="41"/>
  <c r="F114" i="41"/>
  <c r="E114" i="41"/>
  <c r="D114" i="41"/>
  <c r="C114" i="41"/>
  <c r="B114" i="41"/>
  <c r="E113" i="41"/>
  <c r="F113" i="41" s="1"/>
  <c r="D113" i="41"/>
  <c r="C113" i="41"/>
  <c r="B113" i="41"/>
  <c r="D112" i="41"/>
  <c r="C112" i="41"/>
  <c r="B112" i="41"/>
  <c r="D111" i="41"/>
  <c r="C111" i="41"/>
  <c r="B111" i="41"/>
  <c r="D110" i="41"/>
  <c r="C110" i="41"/>
  <c r="B110" i="41"/>
  <c r="D109" i="41"/>
  <c r="C109" i="41"/>
  <c r="B109" i="41"/>
  <c r="D108" i="41"/>
  <c r="C108" i="41"/>
  <c r="B108" i="41"/>
  <c r="D107" i="41"/>
  <c r="C107" i="41"/>
  <c r="B107" i="41"/>
  <c r="F106" i="41"/>
  <c r="E106" i="41"/>
  <c r="D106" i="41"/>
  <c r="C106" i="41"/>
  <c r="B106" i="41"/>
  <c r="F105" i="41"/>
  <c r="E105" i="41"/>
  <c r="D105" i="41"/>
  <c r="C105" i="41"/>
  <c r="B105" i="41"/>
  <c r="E104" i="41"/>
  <c r="D104" i="41"/>
  <c r="F104" i="41" s="1"/>
  <c r="C104" i="41"/>
  <c r="B104" i="41"/>
  <c r="E103" i="41"/>
  <c r="D103" i="41"/>
  <c r="C103" i="41"/>
  <c r="B103" i="41"/>
  <c r="E102" i="41"/>
  <c r="F102" i="41" s="1"/>
  <c r="D102" i="41"/>
  <c r="C102" i="41"/>
  <c r="B102" i="41"/>
  <c r="F101" i="41"/>
  <c r="E101" i="41"/>
  <c r="D101" i="41"/>
  <c r="C101" i="41"/>
  <c r="B101" i="41"/>
  <c r="E100" i="41"/>
  <c r="D100" i="41"/>
  <c r="F100" i="41" s="1"/>
  <c r="C100" i="41"/>
  <c r="B100" i="41"/>
  <c r="E99" i="41"/>
  <c r="D99" i="41"/>
  <c r="F99" i="41" s="1"/>
  <c r="C99" i="41"/>
  <c r="B99" i="41"/>
  <c r="E98" i="41"/>
  <c r="D98" i="41"/>
  <c r="F98" i="41" s="1"/>
  <c r="C98" i="41"/>
  <c r="B98" i="41"/>
  <c r="E97" i="41"/>
  <c r="F97" i="41" s="1"/>
  <c r="D97" i="41"/>
  <c r="C97" i="41"/>
  <c r="B97" i="41"/>
  <c r="F96" i="41"/>
  <c r="E96" i="41"/>
  <c r="D96" i="41"/>
  <c r="C96" i="41"/>
  <c r="B96" i="41"/>
  <c r="D95" i="41"/>
  <c r="C95" i="41"/>
  <c r="B95" i="41"/>
  <c r="D94" i="41"/>
  <c r="C94" i="41"/>
  <c r="B94" i="41"/>
  <c r="D93" i="41"/>
  <c r="C93" i="41"/>
  <c r="B93" i="41"/>
  <c r="D92" i="41"/>
  <c r="C92" i="41"/>
  <c r="B92" i="41"/>
  <c r="E91" i="41"/>
  <c r="D91" i="41"/>
  <c r="C91" i="41"/>
  <c r="B91" i="41"/>
  <c r="D90" i="41"/>
  <c r="C90" i="41"/>
  <c r="B90" i="41"/>
  <c r="D89" i="41"/>
  <c r="C89" i="41"/>
  <c r="B89" i="41"/>
  <c r="D88" i="41"/>
  <c r="C88" i="41"/>
  <c r="B88" i="41"/>
  <c r="E87" i="41"/>
  <c r="D87" i="41"/>
  <c r="C87" i="41"/>
  <c r="B87" i="41"/>
  <c r="E86" i="41"/>
  <c r="D86" i="41"/>
  <c r="F86" i="41" s="1"/>
  <c r="C86" i="41"/>
  <c r="B86" i="41"/>
  <c r="E85" i="41"/>
  <c r="F85" i="41" s="1"/>
  <c r="D85" i="41"/>
  <c r="C85" i="41"/>
  <c r="B85" i="41"/>
  <c r="F84" i="41"/>
  <c r="E84" i="41"/>
  <c r="D84" i="41"/>
  <c r="C84" i="41"/>
  <c r="B84" i="41"/>
  <c r="E83" i="41"/>
  <c r="D83" i="41"/>
  <c r="C83" i="41"/>
  <c r="B83" i="41"/>
  <c r="F82" i="41"/>
  <c r="E82" i="41"/>
  <c r="D82" i="41"/>
  <c r="C82" i="41"/>
  <c r="B82" i="41"/>
  <c r="E81" i="41"/>
  <c r="F81" i="41" s="1"/>
  <c r="D81" i="41"/>
  <c r="C81" i="41"/>
  <c r="B81" i="41"/>
  <c r="E80" i="41"/>
  <c r="D80" i="41"/>
  <c r="F80" i="41" s="1"/>
  <c r="C80" i="41"/>
  <c r="B80" i="41"/>
  <c r="E79" i="41"/>
  <c r="D79" i="41"/>
  <c r="C79" i="41"/>
  <c r="B79" i="41"/>
  <c r="I78" i="41"/>
  <c r="H78" i="41"/>
  <c r="E78" i="41"/>
  <c r="D78" i="41"/>
  <c r="F78" i="41" s="1"/>
  <c r="C78" i="41"/>
  <c r="B78" i="41"/>
  <c r="I77" i="41"/>
  <c r="H77" i="41"/>
  <c r="F77" i="41"/>
  <c r="E77" i="41"/>
  <c r="D77" i="41"/>
  <c r="C77" i="41"/>
  <c r="B77" i="41"/>
  <c r="I76" i="41"/>
  <c r="H76" i="41"/>
  <c r="E76" i="41"/>
  <c r="F76" i="41" s="1"/>
  <c r="D76" i="41"/>
  <c r="C76" i="41"/>
  <c r="B76" i="41"/>
  <c r="I75" i="41"/>
  <c r="H75" i="41"/>
  <c r="E75" i="41"/>
  <c r="D75" i="41"/>
  <c r="F75" i="41" s="1"/>
  <c r="C75" i="41"/>
  <c r="B75" i="41"/>
  <c r="E74" i="41"/>
  <c r="D74" i="41"/>
  <c r="F74" i="41" s="1"/>
  <c r="C74" i="41"/>
  <c r="B74" i="41"/>
  <c r="E73" i="41"/>
  <c r="F73" i="41" s="1"/>
  <c r="D73" i="41"/>
  <c r="C73" i="41"/>
  <c r="B73" i="41"/>
  <c r="D72" i="41"/>
  <c r="C72" i="41"/>
  <c r="B72" i="41"/>
  <c r="I71" i="41"/>
  <c r="H71" i="41"/>
  <c r="D71" i="41"/>
  <c r="C71" i="41"/>
  <c r="B71" i="41"/>
  <c r="I70" i="41"/>
  <c r="H70" i="41"/>
  <c r="E70" i="41"/>
  <c r="D70" i="41"/>
  <c r="F70" i="41" s="1"/>
  <c r="C70" i="41"/>
  <c r="B70" i="41"/>
  <c r="E69" i="41"/>
  <c r="F69" i="41" s="1"/>
  <c r="D69" i="41"/>
  <c r="C69" i="41"/>
  <c r="B69" i="41"/>
  <c r="I68" i="41"/>
  <c r="H68" i="41"/>
  <c r="E68" i="41"/>
  <c r="D68" i="41"/>
  <c r="F68" i="41" s="1"/>
  <c r="C68" i="41"/>
  <c r="B68" i="41"/>
  <c r="D67" i="41"/>
  <c r="C67" i="41"/>
  <c r="B67" i="41"/>
  <c r="D66" i="41"/>
  <c r="C66" i="41"/>
  <c r="B66" i="41"/>
  <c r="I65" i="41"/>
  <c r="H65" i="41"/>
  <c r="E65" i="41"/>
  <c r="F65" i="41" s="1"/>
  <c r="D65" i="41"/>
  <c r="C65" i="41"/>
  <c r="B65" i="41"/>
  <c r="I64" i="41"/>
  <c r="H64" i="41"/>
  <c r="F64" i="41"/>
  <c r="E64" i="41"/>
  <c r="D64" i="41"/>
  <c r="C64" i="41"/>
  <c r="B64" i="41"/>
  <c r="I63" i="41"/>
  <c r="H63" i="41"/>
  <c r="D63" i="41"/>
  <c r="C63" i="41"/>
  <c r="B63" i="41"/>
  <c r="F62" i="41"/>
  <c r="E62" i="41"/>
  <c r="D62" i="41"/>
  <c r="C62" i="41"/>
  <c r="B62" i="41"/>
  <c r="E61" i="41"/>
  <c r="F61" i="41" s="1"/>
  <c r="D61" i="41"/>
  <c r="C61" i="41"/>
  <c r="B61" i="41"/>
  <c r="E60" i="41"/>
  <c r="D60" i="41"/>
  <c r="F60" i="41" s="1"/>
  <c r="C60" i="41"/>
  <c r="B60" i="41"/>
  <c r="E59" i="41"/>
  <c r="D59" i="41"/>
  <c r="F59" i="41" s="1"/>
  <c r="C59" i="41"/>
  <c r="B59" i="41"/>
  <c r="F58" i="41"/>
  <c r="E58" i="41"/>
  <c r="D58" i="41"/>
  <c r="C58" i="41"/>
  <c r="B58" i="41"/>
  <c r="F57" i="41"/>
  <c r="E57" i="41"/>
  <c r="D57" i="41"/>
  <c r="C57" i="41"/>
  <c r="B57" i="41"/>
  <c r="D56" i="41"/>
  <c r="C56" i="41"/>
  <c r="B56" i="41"/>
  <c r="D55" i="41"/>
  <c r="C55" i="41"/>
  <c r="B55" i="41"/>
  <c r="D54" i="41"/>
  <c r="C54" i="41"/>
  <c r="B54" i="41"/>
  <c r="D53" i="41"/>
  <c r="C53" i="41"/>
  <c r="B53" i="41"/>
  <c r="D52" i="41"/>
  <c r="C52" i="41"/>
  <c r="B52" i="41"/>
  <c r="D51" i="41"/>
  <c r="C51" i="41"/>
  <c r="B51" i="41"/>
  <c r="E50" i="41"/>
  <c r="D50" i="41"/>
  <c r="F50" i="41" s="1"/>
  <c r="C50" i="41"/>
  <c r="B50" i="41"/>
  <c r="E49" i="41"/>
  <c r="D49" i="41"/>
  <c r="F49" i="41" s="1"/>
  <c r="C49" i="41"/>
  <c r="B49" i="41"/>
  <c r="F48" i="41"/>
  <c r="E48" i="41"/>
  <c r="D48" i="41"/>
  <c r="C48" i="41"/>
  <c r="B48" i="41"/>
  <c r="I47" i="41"/>
  <c r="H47" i="41"/>
  <c r="E47" i="41"/>
  <c r="D47" i="41"/>
  <c r="F47" i="41" s="1"/>
  <c r="C47" i="41"/>
  <c r="B47" i="41"/>
  <c r="E46" i="41"/>
  <c r="F46" i="41" s="1"/>
  <c r="D46" i="41"/>
  <c r="C46" i="41"/>
  <c r="B46" i="41"/>
  <c r="F45" i="41"/>
  <c r="E45" i="41"/>
  <c r="D45" i="41"/>
  <c r="C45" i="41"/>
  <c r="B45" i="41"/>
  <c r="E44" i="41"/>
  <c r="D44" i="41"/>
  <c r="F44" i="41" s="1"/>
  <c r="C44" i="41"/>
  <c r="B44" i="41"/>
  <c r="E43" i="41"/>
  <c r="D43" i="41"/>
  <c r="F43" i="41" s="1"/>
  <c r="C43" i="41"/>
  <c r="B43" i="41"/>
  <c r="F42" i="41"/>
  <c r="E42" i="41"/>
  <c r="D42" i="41"/>
  <c r="C42" i="41"/>
  <c r="B42" i="41"/>
  <c r="I41" i="41"/>
  <c r="H41" i="41"/>
  <c r="E41" i="41"/>
  <c r="D41" i="41"/>
  <c r="F41" i="41" s="1"/>
  <c r="C41" i="41"/>
  <c r="B41" i="41"/>
  <c r="I40" i="41"/>
  <c r="H40" i="41"/>
  <c r="E40" i="41"/>
  <c r="D40" i="41"/>
  <c r="F40" i="41" s="1"/>
  <c r="C40" i="41"/>
  <c r="B40" i="41"/>
  <c r="I39" i="41"/>
  <c r="H39" i="41"/>
  <c r="F39" i="41"/>
  <c r="E39" i="41"/>
  <c r="D39" i="41"/>
  <c r="C39" i="41"/>
  <c r="B39" i="41"/>
  <c r="I38" i="41"/>
  <c r="H38" i="41"/>
  <c r="E38" i="41"/>
  <c r="F38" i="41" s="1"/>
  <c r="D38" i="41"/>
  <c r="C38" i="41"/>
  <c r="B38" i="41"/>
  <c r="I37" i="41"/>
  <c r="H37" i="41"/>
  <c r="E37" i="41"/>
  <c r="D37" i="41"/>
  <c r="F37" i="41" s="1"/>
  <c r="C37" i="41"/>
  <c r="B37" i="41"/>
  <c r="I36" i="41"/>
  <c r="H36" i="41"/>
  <c r="E36" i="41"/>
  <c r="D36" i="41"/>
  <c r="F36" i="41" s="1"/>
  <c r="C36" i="41"/>
  <c r="B36" i="41"/>
  <c r="I35" i="41"/>
  <c r="H35" i="41"/>
  <c r="F35" i="41"/>
  <c r="E35" i="41"/>
  <c r="D35" i="41"/>
  <c r="C35" i="41"/>
  <c r="B35" i="41"/>
  <c r="I34" i="41"/>
  <c r="H34" i="41"/>
  <c r="F34" i="41"/>
  <c r="E34" i="41"/>
  <c r="D34" i="41"/>
  <c r="C34" i="41"/>
  <c r="B34" i="41"/>
  <c r="I33" i="41"/>
  <c r="H33" i="41"/>
  <c r="E33" i="41"/>
  <c r="D33" i="41"/>
  <c r="F33" i="41" s="1"/>
  <c r="C33" i="41"/>
  <c r="B33" i="41"/>
  <c r="D32" i="41"/>
  <c r="C32" i="41"/>
  <c r="B32" i="41"/>
  <c r="D31" i="41"/>
  <c r="C31" i="41"/>
  <c r="B31" i="41"/>
  <c r="D30" i="41"/>
  <c r="C30" i="41"/>
  <c r="B30" i="41"/>
  <c r="D29" i="41"/>
  <c r="C29" i="41"/>
  <c r="B29" i="41"/>
  <c r="I28" i="41"/>
  <c r="H28" i="41"/>
  <c r="E28" i="41"/>
  <c r="D28" i="41"/>
  <c r="F28" i="41" s="1"/>
  <c r="C28" i="41"/>
  <c r="B28" i="41"/>
  <c r="I27" i="41"/>
  <c r="H27" i="41"/>
  <c r="F27" i="41"/>
  <c r="E27" i="41"/>
  <c r="D27" i="41"/>
  <c r="C27" i="41"/>
  <c r="B27" i="41"/>
  <c r="E26" i="41"/>
  <c r="D26" i="41"/>
  <c r="F26" i="41" s="1"/>
  <c r="C26" i="41"/>
  <c r="B26" i="41"/>
  <c r="I25" i="41"/>
  <c r="H25" i="41"/>
  <c r="F25" i="41"/>
  <c r="E25" i="41"/>
  <c r="D25" i="41"/>
  <c r="C25" i="41"/>
  <c r="B25" i="41"/>
  <c r="I24" i="41"/>
  <c r="H24" i="41"/>
  <c r="E24" i="41"/>
  <c r="D24" i="41"/>
  <c r="F24" i="41" s="1"/>
  <c r="C24" i="41"/>
  <c r="B24" i="41"/>
  <c r="I23" i="41"/>
  <c r="H23" i="41"/>
  <c r="E23" i="41"/>
  <c r="D23" i="41"/>
  <c r="F23" i="41" s="1"/>
  <c r="C23" i="41"/>
  <c r="B23" i="41"/>
  <c r="I22" i="41"/>
  <c r="H22" i="41"/>
  <c r="E22" i="41"/>
  <c r="D22" i="41"/>
  <c r="F22" i="41" s="1"/>
  <c r="C22" i="41"/>
  <c r="B22" i="41"/>
  <c r="I21" i="41"/>
  <c r="H21" i="41"/>
  <c r="F21" i="41"/>
  <c r="E21" i="41"/>
  <c r="D21" i="41"/>
  <c r="C21" i="41"/>
  <c r="B21" i="41"/>
  <c r="I20" i="41"/>
  <c r="H20" i="41"/>
  <c r="F20" i="41"/>
  <c r="E20" i="41"/>
  <c r="D20" i="41"/>
  <c r="C20" i="41"/>
  <c r="B20" i="41"/>
  <c r="I19" i="41"/>
  <c r="H19" i="41"/>
  <c r="E19" i="41"/>
  <c r="D19" i="41"/>
  <c r="F19" i="41" s="1"/>
  <c r="C19" i="41"/>
  <c r="B19" i="41"/>
  <c r="I18" i="41"/>
  <c r="H18" i="41"/>
  <c r="E18" i="41"/>
  <c r="D18" i="41"/>
  <c r="F18" i="41" s="1"/>
  <c r="C18" i="41"/>
  <c r="B18" i="41"/>
  <c r="I17" i="41"/>
  <c r="H17" i="41"/>
  <c r="F17" i="41"/>
  <c r="E17" i="41"/>
  <c r="D17" i="41"/>
  <c r="C17" i="41"/>
  <c r="B17" i="41"/>
  <c r="I16" i="41"/>
  <c r="H16" i="41"/>
  <c r="E16" i="41"/>
  <c r="D16" i="41"/>
  <c r="F16" i="41" s="1"/>
  <c r="C16" i="41"/>
  <c r="B16" i="41"/>
  <c r="D15" i="41"/>
  <c r="C15" i="41"/>
  <c r="B15" i="41"/>
  <c r="E14" i="41"/>
  <c r="D14" i="41"/>
  <c r="F14" i="41" s="1"/>
  <c r="C14" i="41"/>
  <c r="B14" i="41"/>
  <c r="D13" i="41"/>
  <c r="C13" i="41"/>
  <c r="B13" i="41"/>
  <c r="D12" i="41"/>
  <c r="C12" i="41"/>
  <c r="B12" i="41"/>
  <c r="D11" i="41"/>
  <c r="C11" i="41"/>
  <c r="B11" i="41"/>
  <c r="D10" i="41"/>
  <c r="C10" i="41"/>
  <c r="B10" i="41"/>
  <c r="E9" i="41"/>
  <c r="D9" i="41"/>
  <c r="F9" i="41" s="1"/>
  <c r="C9" i="41"/>
  <c r="B9" i="41"/>
  <c r="D8" i="41"/>
  <c r="C8" i="41"/>
  <c r="B8" i="41"/>
  <c r="F7" i="41"/>
  <c r="E7" i="41"/>
  <c r="D7" i="41"/>
  <c r="C7" i="41"/>
  <c r="B7" i="41"/>
  <c r="E6" i="41"/>
  <c r="D6" i="41"/>
  <c r="F6" i="41" s="1"/>
  <c r="C6" i="41"/>
  <c r="B6" i="41"/>
  <c r="D5" i="41"/>
  <c r="C5" i="41"/>
  <c r="B5" i="41"/>
  <c r="D4" i="41"/>
  <c r="C4" i="41"/>
  <c r="B4" i="41"/>
  <c r="D2" i="41"/>
  <c r="C358" i="40"/>
  <c r="C357" i="40"/>
  <c r="C356" i="40"/>
  <c r="C355" i="40"/>
  <c r="C354" i="40"/>
  <c r="C353" i="40"/>
  <c r="C352" i="40"/>
  <c r="C351" i="40"/>
  <c r="C350" i="40"/>
  <c r="C349" i="40"/>
  <c r="C348" i="40"/>
  <c r="C347" i="40"/>
  <c r="C346" i="40"/>
  <c r="C345" i="40"/>
  <c r="C344" i="40"/>
  <c r="C343" i="40"/>
  <c r="C342" i="40"/>
  <c r="C341" i="40"/>
  <c r="C340" i="40"/>
  <c r="C339" i="40"/>
  <c r="C338" i="40"/>
  <c r="C337" i="40"/>
  <c r="C336" i="40"/>
  <c r="C335" i="40"/>
  <c r="C334" i="40"/>
  <c r="C333" i="40"/>
  <c r="C332" i="40"/>
  <c r="C331" i="40"/>
  <c r="C330" i="40"/>
  <c r="C329" i="40"/>
  <c r="C328" i="40"/>
  <c r="C327" i="40"/>
  <c r="C326" i="40"/>
  <c r="C325" i="40"/>
  <c r="C324" i="40"/>
  <c r="C323" i="40"/>
  <c r="C322" i="40"/>
  <c r="C321" i="40"/>
  <c r="C320" i="40"/>
  <c r="C319" i="40"/>
  <c r="C318" i="40"/>
  <c r="C317" i="40"/>
  <c r="C316" i="40"/>
  <c r="C315" i="40"/>
  <c r="C314" i="40"/>
  <c r="C313" i="40"/>
  <c r="C312" i="40"/>
  <c r="C311" i="40"/>
  <c r="C310" i="40"/>
  <c r="C309" i="40"/>
  <c r="C308" i="40"/>
  <c r="C307" i="40"/>
  <c r="C306" i="40"/>
  <c r="E306" i="40" s="1"/>
  <c r="C305" i="40"/>
  <c r="C304" i="40"/>
  <c r="C303" i="40"/>
  <c r="C302" i="40"/>
  <c r="C301" i="40"/>
  <c r="C300" i="40"/>
  <c r="C299" i="40"/>
  <c r="C298" i="40"/>
  <c r="C297" i="40"/>
  <c r="C296" i="40"/>
  <c r="C295" i="40"/>
  <c r="C294" i="40"/>
  <c r="C293" i="40"/>
  <c r="C292" i="40"/>
  <c r="C291" i="40"/>
  <c r="C290" i="40"/>
  <c r="C289" i="40"/>
  <c r="C288" i="40"/>
  <c r="C287" i="40"/>
  <c r="C286" i="40"/>
  <c r="C285" i="40"/>
  <c r="C284" i="40"/>
  <c r="C283" i="40"/>
  <c r="C282" i="40"/>
  <c r="C281" i="40"/>
  <c r="C280" i="40"/>
  <c r="C279" i="40"/>
  <c r="C278" i="40"/>
  <c r="C277" i="40"/>
  <c r="C276" i="40"/>
  <c r="C275" i="40"/>
  <c r="C274" i="40"/>
  <c r="C273" i="40"/>
  <c r="C272" i="40"/>
  <c r="C271" i="40"/>
  <c r="C270" i="40"/>
  <c r="C269" i="40"/>
  <c r="C268" i="40"/>
  <c r="C267" i="40"/>
  <c r="C266" i="40"/>
  <c r="C265" i="40"/>
  <c r="C264" i="40"/>
  <c r="C263" i="40"/>
  <c r="C262" i="40"/>
  <c r="C261" i="40"/>
  <c r="C260" i="40"/>
  <c r="C259" i="40"/>
  <c r="C258" i="40"/>
  <c r="C257" i="40"/>
  <c r="C256" i="40"/>
  <c r="C255" i="40"/>
  <c r="C254" i="40"/>
  <c r="C253" i="40"/>
  <c r="C252" i="40"/>
  <c r="C251" i="40"/>
  <c r="C250" i="40"/>
  <c r="C249" i="40"/>
  <c r="C248" i="40"/>
  <c r="C247" i="40"/>
  <c r="C246" i="40"/>
  <c r="C245" i="40"/>
  <c r="C244" i="40"/>
  <c r="C243" i="40"/>
  <c r="C242" i="40"/>
  <c r="C241" i="40"/>
  <c r="C240" i="40"/>
  <c r="C239" i="40"/>
  <c r="C238" i="40"/>
  <c r="C237" i="40"/>
  <c r="C236" i="40"/>
  <c r="C235" i="40"/>
  <c r="C234" i="40"/>
  <c r="C233" i="40"/>
  <c r="C232" i="40"/>
  <c r="C231" i="40"/>
  <c r="C230" i="40"/>
  <c r="C229" i="40"/>
  <c r="C228" i="40"/>
  <c r="C227" i="40"/>
  <c r="C226" i="40"/>
  <c r="C225" i="40"/>
  <c r="C224" i="40"/>
  <c r="C223" i="40"/>
  <c r="C222" i="40"/>
  <c r="C221" i="40"/>
  <c r="C220" i="40"/>
  <c r="C219" i="40"/>
  <c r="C218" i="40"/>
  <c r="C217" i="40"/>
  <c r="C216" i="40"/>
  <c r="C215" i="40"/>
  <c r="C214" i="40"/>
  <c r="C213" i="40"/>
  <c r="C212" i="40"/>
  <c r="C211" i="40"/>
  <c r="C210" i="40"/>
  <c r="C209" i="40"/>
  <c r="C208" i="40"/>
  <c r="C207" i="40"/>
  <c r="C206" i="40"/>
  <c r="C205" i="40"/>
  <c r="C204" i="40"/>
  <c r="C203" i="40"/>
  <c r="C202" i="40"/>
  <c r="C201" i="40"/>
  <c r="C200" i="40"/>
  <c r="C199" i="40"/>
  <c r="C198" i="40"/>
  <c r="C197" i="40"/>
  <c r="C196" i="40"/>
  <c r="C195" i="40"/>
  <c r="C194" i="40"/>
  <c r="C193" i="40"/>
  <c r="C192" i="40"/>
  <c r="C191" i="40"/>
  <c r="C190" i="40"/>
  <c r="C189" i="40"/>
  <c r="C188" i="40"/>
  <c r="C187" i="40"/>
  <c r="C186" i="40"/>
  <c r="C185" i="40"/>
  <c r="C184" i="40"/>
  <c r="C183" i="40"/>
  <c r="C182" i="40"/>
  <c r="C181" i="40"/>
  <c r="C180" i="40"/>
  <c r="C179" i="40"/>
  <c r="C178" i="40"/>
  <c r="C177" i="40"/>
  <c r="C176" i="40"/>
  <c r="C175" i="40"/>
  <c r="C174" i="40"/>
  <c r="C173" i="40"/>
  <c r="C172" i="40"/>
  <c r="C171" i="40"/>
  <c r="C170" i="40"/>
  <c r="C169" i="40"/>
  <c r="C168" i="40"/>
  <c r="C167" i="40"/>
  <c r="C166" i="40"/>
  <c r="C165" i="40"/>
  <c r="C164" i="40"/>
  <c r="C163" i="40"/>
  <c r="C162" i="40"/>
  <c r="C161" i="40"/>
  <c r="C160" i="40"/>
  <c r="C159" i="40"/>
  <c r="C158" i="40"/>
  <c r="C157" i="40"/>
  <c r="C156" i="40"/>
  <c r="C155" i="40"/>
  <c r="C154" i="40"/>
  <c r="C153" i="40"/>
  <c r="C152" i="40"/>
  <c r="C151" i="40"/>
  <c r="C150" i="40"/>
  <c r="C149" i="40"/>
  <c r="C148" i="40"/>
  <c r="C147" i="40"/>
  <c r="C146" i="40"/>
  <c r="C145" i="40"/>
  <c r="C144" i="40"/>
  <c r="C143" i="40"/>
  <c r="C142" i="40"/>
  <c r="C141" i="40"/>
  <c r="C140" i="40"/>
  <c r="C139" i="40"/>
  <c r="C138" i="40"/>
  <c r="C137" i="40"/>
  <c r="C136" i="40"/>
  <c r="C135" i="40"/>
  <c r="C134" i="40"/>
  <c r="C133" i="40"/>
  <c r="C132" i="40"/>
  <c r="C131" i="40"/>
  <c r="C130" i="40"/>
  <c r="C129" i="40"/>
  <c r="C128" i="40"/>
  <c r="C127" i="40"/>
  <c r="C126" i="40"/>
  <c r="C125" i="40"/>
  <c r="C124" i="40"/>
  <c r="C123" i="40"/>
  <c r="C122" i="40"/>
  <c r="C121" i="40"/>
  <c r="C120" i="40"/>
  <c r="C119" i="40"/>
  <c r="C118" i="40"/>
  <c r="C117" i="40"/>
  <c r="C116" i="40"/>
  <c r="C115" i="40"/>
  <c r="C114" i="40"/>
  <c r="C113" i="40"/>
  <c r="C112" i="40"/>
  <c r="C111" i="40"/>
  <c r="C110" i="40"/>
  <c r="C109" i="40"/>
  <c r="C108" i="40"/>
  <c r="C107" i="40"/>
  <c r="C106" i="40"/>
  <c r="C105" i="40"/>
  <c r="C104" i="40"/>
  <c r="C103" i="40"/>
  <c r="C102" i="40"/>
  <c r="C101" i="40"/>
  <c r="C100" i="40"/>
  <c r="C99" i="40"/>
  <c r="C98" i="40"/>
  <c r="C97" i="40"/>
  <c r="C96" i="40"/>
  <c r="C95" i="40"/>
  <c r="C94" i="40"/>
  <c r="C93" i="40"/>
  <c r="C92" i="40"/>
  <c r="C91" i="40"/>
  <c r="C90" i="40"/>
  <c r="C89" i="40"/>
  <c r="C88" i="40"/>
  <c r="C87" i="40"/>
  <c r="C86" i="40"/>
  <c r="C85" i="40"/>
  <c r="C84" i="40"/>
  <c r="C83" i="40"/>
  <c r="C82" i="40"/>
  <c r="C81" i="40"/>
  <c r="C80" i="40"/>
  <c r="C79" i="40"/>
  <c r="C78" i="40"/>
  <c r="C77" i="40"/>
  <c r="C76" i="40"/>
  <c r="C75" i="40"/>
  <c r="C74" i="40"/>
  <c r="C73" i="40"/>
  <c r="C72" i="40"/>
  <c r="C71" i="40"/>
  <c r="C70" i="40"/>
  <c r="C69" i="40"/>
  <c r="C68" i="40"/>
  <c r="C67" i="40"/>
  <c r="C66" i="40"/>
  <c r="C65" i="40"/>
  <c r="C64" i="40"/>
  <c r="C63" i="40"/>
  <c r="C62" i="40"/>
  <c r="C61" i="40"/>
  <c r="C60" i="40"/>
  <c r="C59" i="40"/>
  <c r="C58" i="40"/>
  <c r="C57" i="40"/>
  <c r="C56" i="40"/>
  <c r="C55" i="40"/>
  <c r="C54" i="40"/>
  <c r="C53" i="40"/>
  <c r="C52" i="40"/>
  <c r="C51" i="40"/>
  <c r="C50" i="40"/>
  <c r="C49" i="40"/>
  <c r="C48" i="40"/>
  <c r="C47" i="40"/>
  <c r="C46" i="40"/>
  <c r="C45" i="40"/>
  <c r="C44" i="40"/>
  <c r="C43" i="40"/>
  <c r="C42" i="40"/>
  <c r="C41" i="40"/>
  <c r="C40" i="40"/>
  <c r="C39" i="40"/>
  <c r="C38" i="40"/>
  <c r="C37" i="40"/>
  <c r="C36" i="40"/>
  <c r="C35" i="40"/>
  <c r="C34" i="40"/>
  <c r="C33" i="40"/>
  <c r="C32" i="40"/>
  <c r="C31" i="40"/>
  <c r="C30" i="40"/>
  <c r="C29" i="40"/>
  <c r="C28" i="40"/>
  <c r="C27" i="40"/>
  <c r="C26" i="40"/>
  <c r="C25" i="40"/>
  <c r="C24" i="40"/>
  <c r="C23" i="40"/>
  <c r="C22" i="40"/>
  <c r="C21" i="40"/>
  <c r="C20" i="40"/>
  <c r="C19" i="40"/>
  <c r="C18" i="40"/>
  <c r="C17" i="40"/>
  <c r="C16" i="40"/>
  <c r="C15" i="40"/>
  <c r="C14" i="40"/>
  <c r="C13" i="40"/>
  <c r="C12" i="40"/>
  <c r="C11" i="40"/>
  <c r="C10" i="40"/>
  <c r="C9" i="40"/>
  <c r="C8" i="40"/>
  <c r="C7" i="40"/>
  <c r="C6" i="40"/>
  <c r="C2" i="40" s="1"/>
  <c r="C5" i="40"/>
  <c r="C4" i="40"/>
  <c r="G1923" i="39"/>
  <c r="G1922" i="39"/>
  <c r="G1921" i="39"/>
  <c r="G1920" i="39"/>
  <c r="G1919" i="39"/>
  <c r="G1918" i="39"/>
  <c r="G1917" i="39"/>
  <c r="G1916" i="39"/>
  <c r="G1915" i="39"/>
  <c r="G1914" i="39"/>
  <c r="G1913" i="39"/>
  <c r="G1912" i="39"/>
  <c r="G1911" i="39"/>
  <c r="G1910" i="39"/>
  <c r="G1909" i="39"/>
  <c r="G1908" i="39"/>
  <c r="G1907" i="39"/>
  <c r="G1906" i="39"/>
  <c r="G1905" i="39"/>
  <c r="G1904" i="39"/>
  <c r="G1903" i="39"/>
  <c r="G1902" i="39"/>
  <c r="G1901" i="39"/>
  <c r="G1900" i="39"/>
  <c r="G1899" i="39"/>
  <c r="G1898" i="39"/>
  <c r="G1897" i="39"/>
  <c r="G1896" i="39"/>
  <c r="G1895" i="39"/>
  <c r="G1894" i="39"/>
  <c r="G1893" i="39"/>
  <c r="G1892" i="39"/>
  <c r="G1891" i="39"/>
  <c r="G1890" i="39"/>
  <c r="G1889" i="39"/>
  <c r="G1888" i="39"/>
  <c r="G1887" i="39"/>
  <c r="G1886" i="39"/>
  <c r="G1885" i="39"/>
  <c r="G1884" i="39"/>
  <c r="G1883" i="39"/>
  <c r="G1882" i="39"/>
  <c r="G1881" i="39"/>
  <c r="G1880" i="39"/>
  <c r="G1879" i="39"/>
  <c r="G1878" i="39"/>
  <c r="G1877" i="39"/>
  <c r="G1876" i="39"/>
  <c r="G1875" i="39"/>
  <c r="G1874" i="39"/>
  <c r="G1873" i="39"/>
  <c r="G1872" i="39"/>
  <c r="G1871" i="39"/>
  <c r="G1870" i="39"/>
  <c r="G1869" i="39"/>
  <c r="G1868" i="39"/>
  <c r="G1867" i="39"/>
  <c r="G1866" i="39"/>
  <c r="G1865" i="39"/>
  <c r="G1864" i="39"/>
  <c r="G1863" i="39"/>
  <c r="G1862" i="39"/>
  <c r="G1861" i="39"/>
  <c r="G1860" i="39"/>
  <c r="G1859" i="39"/>
  <c r="G1858" i="39"/>
  <c r="G1857" i="39"/>
  <c r="G1856" i="39"/>
  <c r="G1855" i="39"/>
  <c r="G1854" i="39"/>
  <c r="G1853" i="39"/>
  <c r="G1852" i="39"/>
  <c r="G1851" i="39"/>
  <c r="G1850" i="39"/>
  <c r="G1849" i="39"/>
  <c r="G1848" i="39"/>
  <c r="G1847" i="39"/>
  <c r="G1846" i="39"/>
  <c r="G1845" i="39"/>
  <c r="G1844" i="39"/>
  <c r="G1843" i="39"/>
  <c r="G1842" i="39"/>
  <c r="G1841" i="39"/>
  <c r="G1840" i="39"/>
  <c r="G1839" i="39"/>
  <c r="G1838" i="39"/>
  <c r="G1837" i="39"/>
  <c r="G1836" i="39"/>
  <c r="G1835" i="39"/>
  <c r="G1834" i="39"/>
  <c r="G1833" i="39"/>
  <c r="G1832" i="39"/>
  <c r="G1831" i="39"/>
  <c r="G1830" i="39"/>
  <c r="G1829" i="39"/>
  <c r="G1828" i="39"/>
  <c r="G1827" i="39"/>
  <c r="G1826" i="39"/>
  <c r="G1825" i="39"/>
  <c r="G1824" i="39"/>
  <c r="G1823" i="39"/>
  <c r="G1822" i="39"/>
  <c r="G1821" i="39"/>
  <c r="G1820" i="39"/>
  <c r="G1819" i="39"/>
  <c r="G1818" i="39"/>
  <c r="G1817" i="39"/>
  <c r="G1816" i="39"/>
  <c r="G1815" i="39"/>
  <c r="G1814" i="39"/>
  <c r="G1813" i="39"/>
  <c r="G1812" i="39"/>
  <c r="G1811" i="39"/>
  <c r="G1810" i="39"/>
  <c r="G1809" i="39"/>
  <c r="G1808" i="39"/>
  <c r="G1807" i="39"/>
  <c r="G1806" i="39"/>
  <c r="G1805" i="39"/>
  <c r="G1804" i="39"/>
  <c r="G1803" i="39"/>
  <c r="G1802" i="39"/>
  <c r="G1801" i="39"/>
  <c r="G1800" i="39"/>
  <c r="G1799" i="39"/>
  <c r="G1798" i="39"/>
  <c r="G1797" i="39"/>
  <c r="G1796" i="39"/>
  <c r="G1795" i="39"/>
  <c r="G1794" i="39"/>
  <c r="G1793" i="39"/>
  <c r="G1792" i="39"/>
  <c r="G1791" i="39"/>
  <c r="G1790" i="39"/>
  <c r="G1789" i="39"/>
  <c r="G1788" i="39"/>
  <c r="G1787" i="39"/>
  <c r="G1786" i="39"/>
  <c r="G1785" i="39"/>
  <c r="G1784" i="39"/>
  <c r="G1783" i="39"/>
  <c r="G1782" i="39"/>
  <c r="G1781" i="39"/>
  <c r="G1780" i="39"/>
  <c r="G1779" i="39"/>
  <c r="G1778" i="39"/>
  <c r="G1777" i="39"/>
  <c r="G1776" i="39"/>
  <c r="G1775" i="39"/>
  <c r="G1774" i="39"/>
  <c r="G1773" i="39"/>
  <c r="G1772" i="39"/>
  <c r="G1771" i="39"/>
  <c r="G1770" i="39"/>
  <c r="G1769" i="39"/>
  <c r="G1768" i="39"/>
  <c r="G1767" i="39"/>
  <c r="G1766" i="39"/>
  <c r="G1765" i="39"/>
  <c r="G1764" i="39"/>
  <c r="G1763" i="39"/>
  <c r="G1762" i="39"/>
  <c r="G1761" i="39"/>
  <c r="G1760" i="39"/>
  <c r="G1759" i="39"/>
  <c r="G1758" i="39"/>
  <c r="G1757" i="39"/>
  <c r="G1756" i="39"/>
  <c r="G1755" i="39"/>
  <c r="G1754" i="39"/>
  <c r="G1753" i="39"/>
  <c r="G1752" i="39"/>
  <c r="G1751" i="39"/>
  <c r="G1750" i="39"/>
  <c r="G1749" i="39"/>
  <c r="G1748" i="39"/>
  <c r="G1747" i="39"/>
  <c r="G1746" i="39"/>
  <c r="G1745" i="39"/>
  <c r="G1744" i="39"/>
  <c r="G1743" i="39"/>
  <c r="G1742" i="39"/>
  <c r="G1741" i="39"/>
  <c r="G1740" i="39"/>
  <c r="G1739" i="39"/>
  <c r="G1738" i="39"/>
  <c r="G1737" i="39"/>
  <c r="G1736" i="39"/>
  <c r="G1735" i="39"/>
  <c r="G1734" i="39"/>
  <c r="G1733" i="39"/>
  <c r="G1732" i="39"/>
  <c r="G1731" i="39"/>
  <c r="G1730" i="39"/>
  <c r="G1729" i="39"/>
  <c r="G1728" i="39"/>
  <c r="G1727" i="39"/>
  <c r="G1726" i="39"/>
  <c r="G1725" i="39"/>
  <c r="G1724" i="39"/>
  <c r="G1723" i="39"/>
  <c r="G1722" i="39"/>
  <c r="G1721" i="39"/>
  <c r="G1720" i="39"/>
  <c r="G1719" i="39"/>
  <c r="G1718" i="39"/>
  <c r="G1717" i="39"/>
  <c r="G1716" i="39"/>
  <c r="G1715" i="39"/>
  <c r="G1714" i="39"/>
  <c r="G1713" i="39"/>
  <c r="G1712" i="39"/>
  <c r="G1711" i="39"/>
  <c r="G1710" i="39"/>
  <c r="G1709" i="39"/>
  <c r="G1708" i="39"/>
  <c r="G1707" i="39"/>
  <c r="G1706" i="39"/>
  <c r="G1705" i="39"/>
  <c r="G1704" i="39"/>
  <c r="G1703" i="39"/>
  <c r="G1702" i="39"/>
  <c r="G1701" i="39"/>
  <c r="G1700" i="39"/>
  <c r="G1699" i="39"/>
  <c r="G1698" i="39"/>
  <c r="G1697" i="39"/>
  <c r="G1696" i="39"/>
  <c r="G1695" i="39"/>
  <c r="G1694" i="39"/>
  <c r="G1693" i="39"/>
  <c r="G1692" i="39"/>
  <c r="G1691" i="39"/>
  <c r="G1690" i="39"/>
  <c r="G1689" i="39"/>
  <c r="G1688" i="39"/>
  <c r="G1687" i="39"/>
  <c r="G1686" i="39"/>
  <c r="G1685" i="39"/>
  <c r="G1684" i="39"/>
  <c r="G1683" i="39"/>
  <c r="G1682" i="39"/>
  <c r="G1681" i="39"/>
  <c r="G1680" i="39"/>
  <c r="G1679" i="39"/>
  <c r="G1678" i="39"/>
  <c r="G1677" i="39"/>
  <c r="G1676" i="39"/>
  <c r="G1675" i="39"/>
  <c r="G1674" i="39"/>
  <c r="G1673" i="39"/>
  <c r="G1672" i="39"/>
  <c r="G1671" i="39"/>
  <c r="G1670" i="39"/>
  <c r="G1669" i="39"/>
  <c r="G1668" i="39"/>
  <c r="G1667" i="39"/>
  <c r="G1666" i="39"/>
  <c r="G1665" i="39"/>
  <c r="G1664" i="39"/>
  <c r="G1663" i="39"/>
  <c r="G1662" i="39"/>
  <c r="G1661" i="39"/>
  <c r="G1660" i="39"/>
  <c r="G1659" i="39"/>
  <c r="G1658" i="39"/>
  <c r="G1657" i="39"/>
  <c r="G1656" i="39"/>
  <c r="G1655" i="39"/>
  <c r="G1654" i="39"/>
  <c r="G1653" i="39"/>
  <c r="G1652" i="39"/>
  <c r="G1651" i="39"/>
  <c r="G1650" i="39"/>
  <c r="G1649" i="39"/>
  <c r="G1648" i="39"/>
  <c r="G1647" i="39"/>
  <c r="G1646" i="39"/>
  <c r="G1645" i="39"/>
  <c r="G1644" i="39"/>
  <c r="G1643" i="39"/>
  <c r="G1642" i="39"/>
  <c r="G1641" i="39"/>
  <c r="G1640" i="39"/>
  <c r="G1639" i="39"/>
  <c r="G1638" i="39"/>
  <c r="G1637" i="39"/>
  <c r="G1636" i="39"/>
  <c r="G1635" i="39"/>
  <c r="G1634" i="39"/>
  <c r="G1633" i="39"/>
  <c r="G1632" i="39"/>
  <c r="G1631" i="39"/>
  <c r="G1630" i="39"/>
  <c r="G1629" i="39"/>
  <c r="G1628" i="39"/>
  <c r="G1627" i="39"/>
  <c r="G1626" i="39"/>
  <c r="G1625" i="39"/>
  <c r="G1624" i="39"/>
  <c r="G1623" i="39"/>
  <c r="G1622" i="39"/>
  <c r="G1621" i="39"/>
  <c r="G1620" i="39"/>
  <c r="G1619" i="39"/>
  <c r="G1618" i="39"/>
  <c r="G1617" i="39"/>
  <c r="G1616" i="39"/>
  <c r="G1615" i="39"/>
  <c r="G1614" i="39"/>
  <c r="G1613" i="39"/>
  <c r="G1612" i="39"/>
  <c r="G1611" i="39"/>
  <c r="G1610" i="39"/>
  <c r="G1609" i="39"/>
  <c r="G1608" i="39"/>
  <c r="G1607" i="39"/>
  <c r="G1606" i="39"/>
  <c r="G1605" i="39"/>
  <c r="G1604" i="39"/>
  <c r="G1603" i="39"/>
  <c r="G1602" i="39"/>
  <c r="G1601" i="39"/>
  <c r="G1600" i="39"/>
  <c r="G1599" i="39"/>
  <c r="G1598" i="39"/>
  <c r="G1597" i="39"/>
  <c r="G1596" i="39"/>
  <c r="G1595" i="39"/>
  <c r="G1594" i="39"/>
  <c r="G1593" i="39"/>
  <c r="G1592" i="39"/>
  <c r="G1591" i="39"/>
  <c r="G1590" i="39"/>
  <c r="G1589" i="39"/>
  <c r="G1588" i="39"/>
  <c r="G1587" i="39"/>
  <c r="G1586" i="39"/>
  <c r="G1585" i="39"/>
  <c r="G1584" i="39"/>
  <c r="G1583" i="39"/>
  <c r="G1582" i="39"/>
  <c r="G1581" i="39"/>
  <c r="G1580" i="39"/>
  <c r="G1579" i="39"/>
  <c r="G1578" i="39"/>
  <c r="G1577" i="39"/>
  <c r="G1576" i="39"/>
  <c r="G1575" i="39"/>
  <c r="G1574" i="39"/>
  <c r="G1573" i="39"/>
  <c r="G1572" i="39"/>
  <c r="G1571" i="39"/>
  <c r="G1570" i="39"/>
  <c r="G1569" i="39"/>
  <c r="G1924" i="39" s="1"/>
  <c r="S1556" i="39"/>
  <c r="M1556" i="39"/>
  <c r="L1556" i="39"/>
  <c r="K1556" i="39"/>
  <c r="S1555" i="39"/>
  <c r="M1555" i="39"/>
  <c r="L1555" i="39"/>
  <c r="K1555" i="39"/>
  <c r="S1554" i="39"/>
  <c r="M1554" i="39"/>
  <c r="L1554" i="39"/>
  <c r="K1554" i="39"/>
  <c r="S1553" i="39"/>
  <c r="M1553" i="39"/>
  <c r="L1553" i="39"/>
  <c r="K1553" i="39"/>
  <c r="L1552" i="39"/>
  <c r="K1552" i="39"/>
  <c r="L1551" i="39"/>
  <c r="K1551" i="39"/>
  <c r="L1550" i="39"/>
  <c r="K1550" i="39"/>
  <c r="L1549" i="39"/>
  <c r="K1549" i="39"/>
  <c r="S1548" i="39"/>
  <c r="M1548" i="39"/>
  <c r="L1548" i="39"/>
  <c r="K1548" i="39"/>
  <c r="L1547" i="39"/>
  <c r="K1547" i="39"/>
  <c r="L1546" i="39"/>
  <c r="K1546" i="39"/>
  <c r="L1545" i="39"/>
  <c r="K1545" i="39"/>
  <c r="S1544" i="39"/>
  <c r="M1544" i="39" s="1"/>
  <c r="L1544" i="39"/>
  <c r="K1544" i="39"/>
  <c r="L1543" i="39"/>
  <c r="K1543" i="39"/>
  <c r="L1542" i="39"/>
  <c r="K1542" i="39"/>
  <c r="L1541" i="39"/>
  <c r="K1541" i="39"/>
  <c r="S1540" i="39"/>
  <c r="M1540" i="39"/>
  <c r="L1540" i="39"/>
  <c r="K1540" i="39"/>
  <c r="L1539" i="39"/>
  <c r="K1539" i="39"/>
  <c r="L1538" i="39"/>
  <c r="K1538" i="39"/>
  <c r="L1537" i="39"/>
  <c r="K1537" i="39"/>
  <c r="S1536" i="39"/>
  <c r="M1536" i="39" s="1"/>
  <c r="L1536" i="39"/>
  <c r="K1536" i="39"/>
  <c r="L1535" i="39"/>
  <c r="K1535" i="39"/>
  <c r="L1534" i="39"/>
  <c r="K1534" i="39"/>
  <c r="L1533" i="39"/>
  <c r="K1533" i="39"/>
  <c r="S1532" i="39"/>
  <c r="M1532" i="39"/>
  <c r="L1532" i="39"/>
  <c r="K1532" i="39"/>
  <c r="L1531" i="39"/>
  <c r="K1531" i="39"/>
  <c r="L1530" i="39"/>
  <c r="K1530" i="39"/>
  <c r="L1529" i="39"/>
  <c r="K1529" i="39"/>
  <c r="L1528" i="39"/>
  <c r="K1528" i="39"/>
  <c r="S1527" i="39"/>
  <c r="M1527" i="39"/>
  <c r="L1527" i="39"/>
  <c r="K1527" i="39"/>
  <c r="L1526" i="39"/>
  <c r="K1526" i="39"/>
  <c r="L1525" i="39"/>
  <c r="K1525" i="39"/>
  <c r="L1524" i="39"/>
  <c r="K1524" i="39"/>
  <c r="L1523" i="39"/>
  <c r="K1523" i="39"/>
  <c r="L1522" i="39"/>
  <c r="K1522" i="39"/>
  <c r="L1521" i="39"/>
  <c r="K1521" i="39"/>
  <c r="L1520" i="39"/>
  <c r="K1520" i="39"/>
  <c r="L1519" i="39"/>
  <c r="K1519" i="39"/>
  <c r="S1518" i="39"/>
  <c r="M1518" i="39"/>
  <c r="L1518" i="39"/>
  <c r="K1518" i="39"/>
  <c r="L1517" i="39"/>
  <c r="K1517" i="39"/>
  <c r="L1516" i="39"/>
  <c r="K1516" i="39"/>
  <c r="L1515" i="39"/>
  <c r="K1515" i="39"/>
  <c r="L1514" i="39"/>
  <c r="K1514" i="39"/>
  <c r="L1513" i="39"/>
  <c r="K1513" i="39"/>
  <c r="L1512" i="39"/>
  <c r="K1512" i="39"/>
  <c r="L1511" i="39"/>
  <c r="K1511" i="39"/>
  <c r="L1510" i="39"/>
  <c r="K1510" i="39"/>
  <c r="S1509" i="39"/>
  <c r="M1509" i="39"/>
  <c r="L1509" i="39"/>
  <c r="K1509" i="39"/>
  <c r="L1508" i="39"/>
  <c r="K1508" i="39"/>
  <c r="L1507" i="39"/>
  <c r="K1507" i="39"/>
  <c r="L1506" i="39"/>
  <c r="K1506" i="39"/>
  <c r="L1505" i="39"/>
  <c r="K1505" i="39"/>
  <c r="L1504" i="39"/>
  <c r="K1504" i="39"/>
  <c r="L1503" i="39"/>
  <c r="K1503" i="39"/>
  <c r="L1502" i="39"/>
  <c r="K1502" i="39"/>
  <c r="L1501" i="39"/>
  <c r="K1501" i="39"/>
  <c r="S1500" i="39"/>
  <c r="M1500" i="39"/>
  <c r="L1500" i="39"/>
  <c r="K1500" i="39"/>
  <c r="L1499" i="39"/>
  <c r="K1499" i="39"/>
  <c r="L1498" i="39"/>
  <c r="K1498" i="39"/>
  <c r="L1497" i="39"/>
  <c r="K1497" i="39"/>
  <c r="L1496" i="39"/>
  <c r="K1496" i="39"/>
  <c r="S1495" i="39"/>
  <c r="M1495" i="39"/>
  <c r="L1495" i="39"/>
  <c r="K1495" i="39"/>
  <c r="L1494" i="39"/>
  <c r="K1494" i="39"/>
  <c r="L1493" i="39"/>
  <c r="K1493" i="39"/>
  <c r="L1492" i="39"/>
  <c r="K1492" i="39"/>
  <c r="L1491" i="39"/>
  <c r="K1491" i="39"/>
  <c r="S1490" i="39"/>
  <c r="M1490" i="39"/>
  <c r="L1490" i="39"/>
  <c r="K1490" i="39"/>
  <c r="L1489" i="39"/>
  <c r="K1489" i="39"/>
  <c r="L1488" i="39"/>
  <c r="K1488" i="39"/>
  <c r="L1487" i="39"/>
  <c r="K1487" i="39"/>
  <c r="L1486" i="39"/>
  <c r="K1486" i="39"/>
  <c r="L1485" i="39"/>
  <c r="K1485" i="39"/>
  <c r="L1484" i="39"/>
  <c r="K1484" i="39"/>
  <c r="S1483" i="39"/>
  <c r="M1483" i="39"/>
  <c r="L1483" i="39"/>
  <c r="K1483" i="39"/>
  <c r="L1482" i="39"/>
  <c r="K1482" i="39"/>
  <c r="L1481" i="39"/>
  <c r="K1481" i="39"/>
  <c r="L1480" i="39"/>
  <c r="K1480" i="39"/>
  <c r="L1479" i="39"/>
  <c r="K1479" i="39"/>
  <c r="L1478" i="39"/>
  <c r="K1478" i="39"/>
  <c r="L1477" i="39"/>
  <c r="K1477" i="39"/>
  <c r="S1476" i="39"/>
  <c r="M1476" i="39"/>
  <c r="L1476" i="39"/>
  <c r="K1476" i="39"/>
  <c r="L1475" i="39"/>
  <c r="K1475" i="39"/>
  <c r="S1474" i="39"/>
  <c r="M1474" i="39" s="1"/>
  <c r="L1474" i="39"/>
  <c r="K1474" i="39"/>
  <c r="S1473" i="39"/>
  <c r="M1473" i="39"/>
  <c r="L1473" i="39"/>
  <c r="K1473" i="39"/>
  <c r="L1472" i="39"/>
  <c r="K1472" i="39"/>
  <c r="S1471" i="39"/>
  <c r="M1471" i="39"/>
  <c r="L1471" i="39"/>
  <c r="K1471" i="39"/>
  <c r="S1470" i="39"/>
  <c r="M1470" i="39"/>
  <c r="L1470" i="39"/>
  <c r="K1470" i="39"/>
  <c r="S1469" i="39"/>
  <c r="M1469" i="39"/>
  <c r="L1469" i="39"/>
  <c r="K1469" i="39"/>
  <c r="S1468" i="39"/>
  <c r="M1468" i="39"/>
  <c r="L1468" i="39"/>
  <c r="K1468" i="39"/>
  <c r="S1467" i="39"/>
  <c r="M1467" i="39"/>
  <c r="L1467" i="39"/>
  <c r="K1467" i="39"/>
  <c r="S1466" i="39"/>
  <c r="M1466" i="39"/>
  <c r="L1466" i="39"/>
  <c r="K1466" i="39"/>
  <c r="S1465" i="39"/>
  <c r="M1465" i="39"/>
  <c r="L1465" i="39"/>
  <c r="K1465" i="39"/>
  <c r="S1464" i="39"/>
  <c r="M1464" i="39"/>
  <c r="L1464" i="39"/>
  <c r="K1464" i="39"/>
  <c r="S1463" i="39"/>
  <c r="M1463" i="39"/>
  <c r="L1463" i="39"/>
  <c r="K1463" i="39"/>
  <c r="S1462" i="39"/>
  <c r="M1462" i="39"/>
  <c r="L1462" i="39"/>
  <c r="K1462" i="39"/>
  <c r="S1461" i="39"/>
  <c r="M1461" i="39"/>
  <c r="L1461" i="39"/>
  <c r="K1461" i="39"/>
  <c r="S1460" i="39"/>
  <c r="M1460" i="39"/>
  <c r="L1460" i="39"/>
  <c r="K1460" i="39"/>
  <c r="S1459" i="39"/>
  <c r="M1459" i="39"/>
  <c r="L1459" i="39"/>
  <c r="K1459" i="39"/>
  <c r="S1458" i="39"/>
  <c r="M1458" i="39"/>
  <c r="L1458" i="39"/>
  <c r="K1458" i="39"/>
  <c r="S1457" i="39"/>
  <c r="M1457" i="39"/>
  <c r="L1457" i="39"/>
  <c r="K1457" i="39"/>
  <c r="S1456" i="39"/>
  <c r="M1456" i="39"/>
  <c r="L1456" i="39"/>
  <c r="K1456" i="39"/>
  <c r="L1455" i="39"/>
  <c r="K1455" i="39"/>
  <c r="L1454" i="39"/>
  <c r="K1454" i="39"/>
  <c r="L1453" i="39"/>
  <c r="K1453" i="39"/>
  <c r="L1452" i="39"/>
  <c r="K1452" i="39"/>
  <c r="L1451" i="39"/>
  <c r="K1451" i="39"/>
  <c r="L1450" i="39"/>
  <c r="K1450" i="39"/>
  <c r="L1449" i="39"/>
  <c r="K1449" i="39"/>
  <c r="S1448" i="39"/>
  <c r="M1448" i="39" s="1"/>
  <c r="L1448" i="39"/>
  <c r="K1448" i="39"/>
  <c r="L1447" i="39"/>
  <c r="K1447" i="39"/>
  <c r="L1446" i="39"/>
  <c r="K1446" i="39"/>
  <c r="L1445" i="39"/>
  <c r="K1445" i="39"/>
  <c r="L1444" i="39"/>
  <c r="K1444" i="39"/>
  <c r="L1443" i="39"/>
  <c r="K1443" i="39"/>
  <c r="L1442" i="39"/>
  <c r="K1442" i="39"/>
  <c r="L1441" i="39"/>
  <c r="K1441" i="39"/>
  <c r="S1440" i="39"/>
  <c r="M1440" i="39"/>
  <c r="L1440" i="39"/>
  <c r="K1440" i="39"/>
  <c r="L1439" i="39"/>
  <c r="K1439" i="39"/>
  <c r="L1438" i="39"/>
  <c r="K1438" i="39"/>
  <c r="L1437" i="39"/>
  <c r="K1437" i="39"/>
  <c r="L1436" i="39"/>
  <c r="K1436" i="39"/>
  <c r="L1435" i="39"/>
  <c r="K1435" i="39"/>
  <c r="L1434" i="39"/>
  <c r="K1434" i="39"/>
  <c r="L1433" i="39"/>
  <c r="K1433" i="39"/>
  <c r="S1432" i="39"/>
  <c r="M1432" i="39"/>
  <c r="L1432" i="39"/>
  <c r="K1432" i="39"/>
  <c r="L1431" i="39"/>
  <c r="K1431" i="39"/>
  <c r="L1430" i="39"/>
  <c r="K1430" i="39"/>
  <c r="L1429" i="39"/>
  <c r="K1429" i="39"/>
  <c r="L1428" i="39"/>
  <c r="K1428" i="39"/>
  <c r="L1427" i="39"/>
  <c r="K1427" i="39"/>
  <c r="L1426" i="39"/>
  <c r="K1426" i="39"/>
  <c r="L1425" i="39"/>
  <c r="K1425" i="39"/>
  <c r="S1424" i="39"/>
  <c r="M1424" i="39"/>
  <c r="L1424" i="39"/>
  <c r="K1424" i="39"/>
  <c r="L1423" i="39"/>
  <c r="K1423" i="39"/>
  <c r="L1422" i="39"/>
  <c r="K1422" i="39"/>
  <c r="L1421" i="39"/>
  <c r="K1421" i="39"/>
  <c r="L1420" i="39"/>
  <c r="K1420" i="39"/>
  <c r="L1419" i="39"/>
  <c r="K1419" i="39"/>
  <c r="L1418" i="39"/>
  <c r="K1418" i="39"/>
  <c r="L1417" i="39"/>
  <c r="K1417" i="39"/>
  <c r="S1416" i="39"/>
  <c r="M1416" i="39"/>
  <c r="L1416" i="39"/>
  <c r="K1416" i="39"/>
  <c r="S1415" i="39"/>
  <c r="M1415" i="39"/>
  <c r="L1415" i="39"/>
  <c r="K1415" i="39"/>
  <c r="L1414" i="39"/>
  <c r="K1414" i="39"/>
  <c r="L1413" i="39"/>
  <c r="K1413" i="39"/>
  <c r="L1412" i="39"/>
  <c r="K1412" i="39"/>
  <c r="S1411" i="39"/>
  <c r="M1411" i="39"/>
  <c r="L1411" i="39"/>
  <c r="K1411" i="39"/>
  <c r="L1410" i="39"/>
  <c r="K1410" i="39"/>
  <c r="S1409" i="39"/>
  <c r="M1409" i="39"/>
  <c r="L1409" i="39"/>
  <c r="K1409" i="39"/>
  <c r="L1408" i="39"/>
  <c r="K1408" i="39"/>
  <c r="L1407" i="39"/>
  <c r="K1407" i="39"/>
  <c r="L1406" i="39"/>
  <c r="K1406" i="39"/>
  <c r="L1405" i="39"/>
  <c r="K1405" i="39"/>
  <c r="S1404" i="39"/>
  <c r="M1404" i="39"/>
  <c r="L1404" i="39"/>
  <c r="K1404" i="39"/>
  <c r="L1403" i="39"/>
  <c r="K1403" i="39"/>
  <c r="L1402" i="39"/>
  <c r="K1402" i="39"/>
  <c r="L1401" i="39"/>
  <c r="K1401" i="39"/>
  <c r="L1400" i="39"/>
  <c r="K1400" i="39"/>
  <c r="S1399" i="39"/>
  <c r="M1399" i="39"/>
  <c r="L1399" i="39"/>
  <c r="K1399" i="39"/>
  <c r="L1398" i="39"/>
  <c r="K1398" i="39"/>
  <c r="L1397" i="39"/>
  <c r="K1397" i="39"/>
  <c r="L1396" i="39"/>
  <c r="K1396" i="39"/>
  <c r="L1395" i="39"/>
  <c r="K1395" i="39"/>
  <c r="S1394" i="39"/>
  <c r="M1394" i="39"/>
  <c r="L1394" i="39"/>
  <c r="K1394" i="39"/>
  <c r="L1393" i="39"/>
  <c r="K1393" i="39"/>
  <c r="L1392" i="39"/>
  <c r="K1392" i="39"/>
  <c r="L1391" i="39"/>
  <c r="K1391" i="39"/>
  <c r="L1390" i="39"/>
  <c r="K1390" i="39"/>
  <c r="L1389" i="39"/>
  <c r="K1389" i="39"/>
  <c r="S1388" i="39"/>
  <c r="M1388" i="39"/>
  <c r="L1388" i="39"/>
  <c r="K1388" i="39"/>
  <c r="L1387" i="39"/>
  <c r="K1387" i="39"/>
  <c r="L1386" i="39"/>
  <c r="K1386" i="39"/>
  <c r="L1385" i="39"/>
  <c r="K1385" i="39"/>
  <c r="L1384" i="39"/>
  <c r="K1384" i="39"/>
  <c r="L1383" i="39"/>
  <c r="K1383" i="39"/>
  <c r="L1382" i="39"/>
  <c r="K1382" i="39"/>
  <c r="L1381" i="39"/>
  <c r="K1381" i="39"/>
  <c r="L1380" i="39"/>
  <c r="K1380" i="39"/>
  <c r="S1379" i="39"/>
  <c r="M1379" i="39"/>
  <c r="L1379" i="39"/>
  <c r="K1379" i="39"/>
  <c r="L1378" i="39"/>
  <c r="K1378" i="39"/>
  <c r="L1377" i="39"/>
  <c r="K1377" i="39"/>
  <c r="L1376" i="39"/>
  <c r="K1376" i="39"/>
  <c r="L1375" i="39"/>
  <c r="K1375" i="39"/>
  <c r="L1374" i="39"/>
  <c r="K1374" i="39"/>
  <c r="L1373" i="39"/>
  <c r="K1373" i="39"/>
  <c r="L1372" i="39"/>
  <c r="K1372" i="39"/>
  <c r="L1371" i="39"/>
  <c r="K1371" i="39"/>
  <c r="S1370" i="39"/>
  <c r="M1370" i="39"/>
  <c r="L1370" i="39"/>
  <c r="K1370" i="39"/>
  <c r="L1369" i="39"/>
  <c r="K1369" i="39"/>
  <c r="L1368" i="39"/>
  <c r="K1368" i="39"/>
  <c r="L1367" i="39"/>
  <c r="K1367" i="39"/>
  <c r="L1366" i="39"/>
  <c r="K1366" i="39"/>
  <c r="L1365" i="39"/>
  <c r="K1365" i="39"/>
  <c r="L1364" i="39"/>
  <c r="K1364" i="39"/>
  <c r="L1363" i="39"/>
  <c r="K1363" i="39"/>
  <c r="L1362" i="39"/>
  <c r="K1362" i="39"/>
  <c r="S1361" i="39"/>
  <c r="M1361" i="39"/>
  <c r="L1361" i="39"/>
  <c r="K1361" i="39"/>
  <c r="L1360" i="39"/>
  <c r="K1360" i="39"/>
  <c r="L1359" i="39"/>
  <c r="K1359" i="39"/>
  <c r="L1358" i="39"/>
  <c r="K1358" i="39"/>
  <c r="S1357" i="39"/>
  <c r="M1357" i="39"/>
  <c r="L1357" i="39"/>
  <c r="K1357" i="39"/>
  <c r="L1356" i="39"/>
  <c r="K1356" i="39"/>
  <c r="L1355" i="39"/>
  <c r="K1355" i="39"/>
  <c r="L1354" i="39"/>
  <c r="K1354" i="39"/>
  <c r="L1353" i="39"/>
  <c r="K1353" i="39"/>
  <c r="L1352" i="39"/>
  <c r="K1352" i="39"/>
  <c r="L1351" i="39"/>
  <c r="K1351" i="39"/>
  <c r="L1350" i="39"/>
  <c r="K1350" i="39"/>
  <c r="L1349" i="39"/>
  <c r="K1349" i="39"/>
  <c r="L1348" i="39"/>
  <c r="K1348" i="39"/>
  <c r="L1347" i="39"/>
  <c r="K1347" i="39"/>
  <c r="L1346" i="39"/>
  <c r="K1346" i="39"/>
  <c r="L1345" i="39"/>
  <c r="K1345" i="39"/>
  <c r="L1344" i="39"/>
  <c r="K1344" i="39"/>
  <c r="L1343" i="39"/>
  <c r="K1343" i="39"/>
  <c r="L1342" i="39"/>
  <c r="K1342" i="39"/>
  <c r="L1341" i="39"/>
  <c r="K1341" i="39"/>
  <c r="L1340" i="39"/>
  <c r="K1340" i="39"/>
  <c r="L1339" i="39"/>
  <c r="K1339" i="39"/>
  <c r="L1338" i="39"/>
  <c r="K1338" i="39"/>
  <c r="L1337" i="39"/>
  <c r="K1337" i="39"/>
  <c r="L1336" i="39"/>
  <c r="K1336" i="39"/>
  <c r="L1335" i="39"/>
  <c r="K1335" i="39"/>
  <c r="L1334" i="39"/>
  <c r="K1334" i="39"/>
  <c r="L1333" i="39"/>
  <c r="K1333" i="39"/>
  <c r="L1332" i="39"/>
  <c r="K1332" i="39"/>
  <c r="S1331" i="39"/>
  <c r="M1331" i="39"/>
  <c r="L1331" i="39"/>
  <c r="K1331" i="39"/>
  <c r="L1330" i="39"/>
  <c r="K1330" i="39"/>
  <c r="L1329" i="39"/>
  <c r="K1329" i="39"/>
  <c r="L1328" i="39"/>
  <c r="K1328" i="39"/>
  <c r="L1327" i="39"/>
  <c r="K1327" i="39"/>
  <c r="L1326" i="39"/>
  <c r="K1326" i="39"/>
  <c r="L1325" i="39"/>
  <c r="K1325" i="39"/>
  <c r="L1324" i="39"/>
  <c r="K1324" i="39"/>
  <c r="L1323" i="39"/>
  <c r="K1323" i="39"/>
  <c r="L1322" i="39"/>
  <c r="K1322" i="39"/>
  <c r="L1321" i="39"/>
  <c r="K1321" i="39"/>
  <c r="L1320" i="39"/>
  <c r="K1320" i="39"/>
  <c r="L1319" i="39"/>
  <c r="K1319" i="39"/>
  <c r="L1318" i="39"/>
  <c r="K1318" i="39"/>
  <c r="L1317" i="39"/>
  <c r="K1317" i="39"/>
  <c r="L1316" i="39"/>
  <c r="K1316" i="39"/>
  <c r="L1315" i="39"/>
  <c r="K1315" i="39"/>
  <c r="L1314" i="39"/>
  <c r="K1314" i="39"/>
  <c r="L1313" i="39"/>
  <c r="K1313" i="39"/>
  <c r="L1312" i="39"/>
  <c r="K1312" i="39"/>
  <c r="L1311" i="39"/>
  <c r="K1311" i="39"/>
  <c r="L1310" i="39"/>
  <c r="K1310" i="39"/>
  <c r="L1309" i="39"/>
  <c r="K1309" i="39"/>
  <c r="L1308" i="39"/>
  <c r="K1308" i="39"/>
  <c r="L1307" i="39"/>
  <c r="K1307" i="39"/>
  <c r="L1306" i="39"/>
  <c r="K1306" i="39"/>
  <c r="L1305" i="39"/>
  <c r="K1305" i="39"/>
  <c r="S1304" i="39"/>
  <c r="M1304" i="39"/>
  <c r="L1304" i="39"/>
  <c r="K1304" i="39"/>
  <c r="L1303" i="39"/>
  <c r="K1303" i="39"/>
  <c r="L1302" i="39"/>
  <c r="K1302" i="39"/>
  <c r="L1301" i="39"/>
  <c r="K1301" i="39"/>
  <c r="L1300" i="39"/>
  <c r="K1300" i="39"/>
  <c r="L1299" i="39"/>
  <c r="K1299" i="39"/>
  <c r="L1298" i="39"/>
  <c r="K1298" i="39"/>
  <c r="L1297" i="39"/>
  <c r="K1297" i="39"/>
  <c r="L1296" i="39"/>
  <c r="K1296" i="39"/>
  <c r="L1295" i="39"/>
  <c r="K1295" i="39"/>
  <c r="L1294" i="39"/>
  <c r="K1294" i="39"/>
  <c r="L1293" i="39"/>
  <c r="K1293" i="39"/>
  <c r="L1292" i="39"/>
  <c r="K1292" i="39"/>
  <c r="L1291" i="39"/>
  <c r="K1291" i="39"/>
  <c r="L1290" i="39"/>
  <c r="K1290" i="39"/>
  <c r="L1289" i="39"/>
  <c r="K1289" i="39"/>
  <c r="L1288" i="39"/>
  <c r="K1288" i="39"/>
  <c r="L1287" i="39"/>
  <c r="K1287" i="39"/>
  <c r="L1286" i="39"/>
  <c r="K1286" i="39"/>
  <c r="L1285" i="39"/>
  <c r="K1285" i="39"/>
  <c r="L1284" i="39"/>
  <c r="K1284" i="39"/>
  <c r="L1283" i="39"/>
  <c r="K1283" i="39"/>
  <c r="L1282" i="39"/>
  <c r="K1282" i="39"/>
  <c r="L1281" i="39"/>
  <c r="K1281" i="39"/>
  <c r="L1280" i="39"/>
  <c r="K1280" i="39"/>
  <c r="L1279" i="39"/>
  <c r="K1279" i="39"/>
  <c r="L1278" i="39"/>
  <c r="K1278" i="39"/>
  <c r="S1277" i="39"/>
  <c r="M1277" i="39"/>
  <c r="L1277" i="39"/>
  <c r="K1277" i="39"/>
  <c r="L1276" i="39"/>
  <c r="K1276" i="39"/>
  <c r="L1275" i="39"/>
  <c r="K1275" i="39"/>
  <c r="L1274" i="39"/>
  <c r="K1274" i="39"/>
  <c r="L1273" i="39"/>
  <c r="K1273" i="39"/>
  <c r="L1272" i="39"/>
  <c r="K1272" i="39"/>
  <c r="L1271" i="39"/>
  <c r="K1271" i="39"/>
  <c r="L1270" i="39"/>
  <c r="K1270" i="39"/>
  <c r="L1269" i="39"/>
  <c r="K1269" i="39"/>
  <c r="L1268" i="39"/>
  <c r="K1268" i="39"/>
  <c r="L1267" i="39"/>
  <c r="K1267" i="39"/>
  <c r="L1266" i="39"/>
  <c r="K1266" i="39"/>
  <c r="L1265" i="39"/>
  <c r="K1265" i="39"/>
  <c r="L1264" i="39"/>
  <c r="K1264" i="39"/>
  <c r="L1263" i="39"/>
  <c r="K1263" i="39"/>
  <c r="L1262" i="39"/>
  <c r="K1262" i="39"/>
  <c r="L1261" i="39"/>
  <c r="K1261" i="39"/>
  <c r="L1260" i="39"/>
  <c r="K1260" i="39"/>
  <c r="L1259" i="39"/>
  <c r="K1259" i="39"/>
  <c r="L1258" i="39"/>
  <c r="K1258" i="39"/>
  <c r="L1257" i="39"/>
  <c r="K1257" i="39"/>
  <c r="L1256" i="39"/>
  <c r="K1256" i="39"/>
  <c r="L1255" i="39"/>
  <c r="K1255" i="39"/>
  <c r="L1254" i="39"/>
  <c r="K1254" i="39"/>
  <c r="L1253" i="39"/>
  <c r="K1253" i="39"/>
  <c r="S1252" i="39"/>
  <c r="M1252" i="39"/>
  <c r="L1252" i="39"/>
  <c r="K1252" i="39"/>
  <c r="L1251" i="39"/>
  <c r="K1251" i="39"/>
  <c r="L1250" i="39"/>
  <c r="K1250" i="39"/>
  <c r="L1249" i="39"/>
  <c r="K1249" i="39"/>
  <c r="L1248" i="39"/>
  <c r="K1248" i="39"/>
  <c r="L1247" i="39"/>
  <c r="K1247" i="39"/>
  <c r="L1246" i="39"/>
  <c r="K1246" i="39"/>
  <c r="L1245" i="39"/>
  <c r="K1245" i="39"/>
  <c r="L1244" i="39"/>
  <c r="K1244" i="39"/>
  <c r="L1243" i="39"/>
  <c r="K1243" i="39"/>
  <c r="L1242" i="39"/>
  <c r="K1242" i="39"/>
  <c r="L1241" i="39"/>
  <c r="K1241" i="39"/>
  <c r="L1240" i="39"/>
  <c r="K1240" i="39"/>
  <c r="L1239" i="39"/>
  <c r="K1239" i="39"/>
  <c r="L1238" i="39"/>
  <c r="K1238" i="39"/>
  <c r="L1237" i="39"/>
  <c r="K1237" i="39"/>
  <c r="L1236" i="39"/>
  <c r="K1236" i="39"/>
  <c r="L1235" i="39"/>
  <c r="K1235" i="39"/>
  <c r="L1234" i="39"/>
  <c r="K1234" i="39"/>
  <c r="L1233" i="39"/>
  <c r="K1233" i="39"/>
  <c r="L1232" i="39"/>
  <c r="K1232" i="39"/>
  <c r="L1231" i="39"/>
  <c r="K1231" i="39"/>
  <c r="L1230" i="39"/>
  <c r="K1230" i="39"/>
  <c r="L1229" i="39"/>
  <c r="K1229" i="39"/>
  <c r="L1228" i="39"/>
  <c r="K1228" i="39"/>
  <c r="L1227" i="39"/>
  <c r="K1227" i="39"/>
  <c r="S1226" i="39"/>
  <c r="M1226" i="39"/>
  <c r="L1226" i="39"/>
  <c r="K1226" i="39"/>
  <c r="L1225" i="39"/>
  <c r="K1225" i="39"/>
  <c r="L1224" i="39"/>
  <c r="K1224" i="39"/>
  <c r="L1223" i="39"/>
  <c r="K1223" i="39"/>
  <c r="L1222" i="39"/>
  <c r="K1222" i="39"/>
  <c r="S1221" i="39"/>
  <c r="M1221" i="39"/>
  <c r="L1221" i="39"/>
  <c r="K1221" i="39"/>
  <c r="L1220" i="39"/>
  <c r="K1220" i="39"/>
  <c r="S1219" i="39"/>
  <c r="M1219" i="39"/>
  <c r="L1219" i="39"/>
  <c r="K1219" i="39"/>
  <c r="S1218" i="39"/>
  <c r="M1218" i="39"/>
  <c r="L1218" i="39"/>
  <c r="K1218" i="39"/>
  <c r="S1217" i="39"/>
  <c r="M1217" i="39"/>
  <c r="L1217" i="39"/>
  <c r="K1217" i="39"/>
  <c r="S1216" i="39"/>
  <c r="M1216" i="39"/>
  <c r="L1216" i="39"/>
  <c r="K1216" i="39"/>
  <c r="L1215" i="39"/>
  <c r="K1215" i="39"/>
  <c r="S1214" i="39"/>
  <c r="M1214" i="39"/>
  <c r="L1214" i="39"/>
  <c r="K1214" i="39"/>
  <c r="S1213" i="39"/>
  <c r="M1213" i="39"/>
  <c r="L1213" i="39"/>
  <c r="K1213" i="39"/>
  <c r="S1212" i="39"/>
  <c r="M1212" i="39"/>
  <c r="L1212" i="39"/>
  <c r="K1212" i="39"/>
  <c r="S1211" i="39"/>
  <c r="M1211" i="39"/>
  <c r="L1211" i="39"/>
  <c r="K1211" i="39"/>
  <c r="S1210" i="39"/>
  <c r="M1210" i="39"/>
  <c r="L1210" i="39"/>
  <c r="K1210" i="39"/>
  <c r="S1209" i="39"/>
  <c r="M1209" i="39"/>
  <c r="L1209" i="39"/>
  <c r="K1209" i="39"/>
  <c r="S1208" i="39"/>
  <c r="M1208" i="39"/>
  <c r="L1208" i="39"/>
  <c r="K1208" i="39"/>
  <c r="S1207" i="39"/>
  <c r="M1207" i="39"/>
  <c r="L1207" i="39"/>
  <c r="K1207" i="39"/>
  <c r="S1206" i="39"/>
  <c r="M1206" i="39"/>
  <c r="L1206" i="39"/>
  <c r="K1206" i="39"/>
  <c r="S1205" i="39"/>
  <c r="M1205" i="39"/>
  <c r="L1205" i="39"/>
  <c r="K1205" i="39"/>
  <c r="S1204" i="39"/>
  <c r="M1204" i="39"/>
  <c r="L1204" i="39"/>
  <c r="K1204" i="39"/>
  <c r="S1203" i="39"/>
  <c r="M1203" i="39"/>
  <c r="L1203" i="39"/>
  <c r="K1203" i="39"/>
  <c r="S1202" i="39"/>
  <c r="M1202" i="39"/>
  <c r="L1202" i="39"/>
  <c r="K1202" i="39"/>
  <c r="L1201" i="39"/>
  <c r="K1201" i="39"/>
  <c r="S1200" i="39"/>
  <c r="M1200" i="39"/>
  <c r="L1200" i="39"/>
  <c r="K1200" i="39"/>
  <c r="S1199" i="39"/>
  <c r="M1199" i="39"/>
  <c r="L1199" i="39"/>
  <c r="K1199" i="39"/>
  <c r="S1198" i="39"/>
  <c r="M1198" i="39"/>
  <c r="L1198" i="39"/>
  <c r="K1198" i="39"/>
  <c r="S1197" i="39"/>
  <c r="M1197" i="39"/>
  <c r="L1197" i="39"/>
  <c r="K1197" i="39"/>
  <c r="S1196" i="39"/>
  <c r="M1196" i="39"/>
  <c r="L1196" i="39"/>
  <c r="K1196" i="39"/>
  <c r="L1195" i="39"/>
  <c r="K1195" i="39"/>
  <c r="L1194" i="39"/>
  <c r="K1194" i="39"/>
  <c r="L1193" i="39"/>
  <c r="K1193" i="39"/>
  <c r="S1192" i="39"/>
  <c r="M1192" i="39"/>
  <c r="L1192" i="39"/>
  <c r="K1192" i="39"/>
  <c r="L1191" i="39"/>
  <c r="K1191" i="39"/>
  <c r="S1190" i="39"/>
  <c r="M1190" i="39"/>
  <c r="L1190" i="39"/>
  <c r="K1190" i="39"/>
  <c r="L1189" i="39"/>
  <c r="K1189" i="39"/>
  <c r="L1188" i="39"/>
  <c r="K1188" i="39"/>
  <c r="L1187" i="39"/>
  <c r="K1187" i="39"/>
  <c r="S1186" i="39"/>
  <c r="M1186" i="39"/>
  <c r="L1186" i="39"/>
  <c r="K1186" i="39"/>
  <c r="S1185" i="39"/>
  <c r="M1185" i="39"/>
  <c r="L1185" i="39"/>
  <c r="K1185" i="39"/>
  <c r="S1184" i="39"/>
  <c r="M1184" i="39"/>
  <c r="L1184" i="39"/>
  <c r="K1184" i="39"/>
  <c r="S1183" i="39"/>
  <c r="M1183" i="39"/>
  <c r="L1183" i="39"/>
  <c r="K1183" i="39"/>
  <c r="S1182" i="39"/>
  <c r="M1182" i="39"/>
  <c r="L1182" i="39"/>
  <c r="K1182" i="39"/>
  <c r="S1181" i="39"/>
  <c r="M1181" i="39"/>
  <c r="L1181" i="39"/>
  <c r="K1181" i="39"/>
  <c r="S1180" i="39"/>
  <c r="M1180" i="39"/>
  <c r="L1180" i="39"/>
  <c r="K1180" i="39"/>
  <c r="S1179" i="39"/>
  <c r="M1179" i="39"/>
  <c r="L1179" i="39"/>
  <c r="K1179" i="39"/>
  <c r="S1178" i="39"/>
  <c r="M1178" i="39"/>
  <c r="L1178" i="39"/>
  <c r="K1178" i="39"/>
  <c r="S1177" i="39"/>
  <c r="M1177" i="39"/>
  <c r="L1177" i="39"/>
  <c r="K1177" i="39"/>
  <c r="S1176" i="39"/>
  <c r="M1176" i="39"/>
  <c r="L1176" i="39"/>
  <c r="K1176" i="39"/>
  <c r="S1175" i="39"/>
  <c r="M1175" i="39"/>
  <c r="L1175" i="39"/>
  <c r="K1175" i="39"/>
  <c r="S1174" i="39"/>
  <c r="M1174" i="39"/>
  <c r="L1174" i="39"/>
  <c r="K1174" i="39"/>
  <c r="L1173" i="39"/>
  <c r="K1173" i="39"/>
  <c r="L1172" i="39"/>
  <c r="K1172" i="39"/>
  <c r="L1171" i="39"/>
  <c r="K1171" i="39"/>
  <c r="S1170" i="39"/>
  <c r="M1170" i="39"/>
  <c r="L1170" i="39"/>
  <c r="K1170" i="39"/>
  <c r="L1169" i="39"/>
  <c r="K1169" i="39"/>
  <c r="L1168" i="39"/>
  <c r="K1168" i="39"/>
  <c r="L1167" i="39"/>
  <c r="K1167" i="39"/>
  <c r="L1166" i="39"/>
  <c r="K1166" i="39"/>
  <c r="S1165" i="39"/>
  <c r="M1165" i="39"/>
  <c r="L1165" i="39"/>
  <c r="K1165" i="39"/>
  <c r="L1164" i="39"/>
  <c r="K1164" i="39"/>
  <c r="L1163" i="39"/>
  <c r="K1163" i="39"/>
  <c r="L1162" i="39"/>
  <c r="K1162" i="39"/>
  <c r="S1161" i="39"/>
  <c r="M1161" i="39"/>
  <c r="L1161" i="39"/>
  <c r="K1161" i="39"/>
  <c r="L1160" i="39"/>
  <c r="K1160" i="39"/>
  <c r="L1159" i="39"/>
  <c r="K1159" i="39"/>
  <c r="L1158" i="39"/>
  <c r="K1158" i="39"/>
  <c r="S1157" i="39"/>
  <c r="M1157" i="39"/>
  <c r="L1157" i="39"/>
  <c r="K1157" i="39"/>
  <c r="L1156" i="39"/>
  <c r="K1156" i="39"/>
  <c r="L1155" i="39"/>
  <c r="K1155" i="39"/>
  <c r="L1154" i="39"/>
  <c r="K1154" i="39"/>
  <c r="L1153" i="39"/>
  <c r="K1153" i="39"/>
  <c r="L1152" i="39"/>
  <c r="K1152" i="39"/>
  <c r="S1151" i="39"/>
  <c r="M1151" i="39"/>
  <c r="L1151" i="39"/>
  <c r="K1151" i="39"/>
  <c r="L1150" i="39"/>
  <c r="K1150" i="39"/>
  <c r="L1149" i="39"/>
  <c r="K1149" i="39"/>
  <c r="L1148" i="39"/>
  <c r="K1148" i="39"/>
  <c r="L1147" i="39"/>
  <c r="K1147" i="39"/>
  <c r="S1146" i="39"/>
  <c r="M1146" i="39"/>
  <c r="L1146" i="39"/>
  <c r="K1146" i="39"/>
  <c r="S1145" i="39"/>
  <c r="M1145" i="39"/>
  <c r="L1145" i="39"/>
  <c r="K1145" i="39"/>
  <c r="S1144" i="39"/>
  <c r="M1144" i="39"/>
  <c r="L1144" i="39"/>
  <c r="K1144" i="39"/>
  <c r="S1143" i="39"/>
  <c r="M1143" i="39"/>
  <c r="L1143" i="39"/>
  <c r="K1143" i="39"/>
  <c r="S1142" i="39"/>
  <c r="M1142" i="39"/>
  <c r="L1142" i="39"/>
  <c r="K1142" i="39"/>
  <c r="L1141" i="39"/>
  <c r="K1141" i="39"/>
  <c r="L1140" i="39"/>
  <c r="K1140" i="39"/>
  <c r="L1139" i="39"/>
  <c r="K1139" i="39"/>
  <c r="L1138" i="39"/>
  <c r="K1138" i="39"/>
  <c r="S1137" i="39"/>
  <c r="M1137" i="39"/>
  <c r="L1137" i="39"/>
  <c r="K1137" i="39"/>
  <c r="L1136" i="39"/>
  <c r="K1136" i="39"/>
  <c r="L1135" i="39"/>
  <c r="K1135" i="39"/>
  <c r="L1134" i="39"/>
  <c r="K1134" i="39"/>
  <c r="L1133" i="39"/>
  <c r="K1133" i="39"/>
  <c r="L1132" i="39"/>
  <c r="K1132" i="39"/>
  <c r="S1131" i="39"/>
  <c r="M1131" i="39"/>
  <c r="L1131" i="39"/>
  <c r="K1131" i="39"/>
  <c r="L1130" i="39"/>
  <c r="K1130" i="39"/>
  <c r="L1129" i="39"/>
  <c r="K1129" i="39"/>
  <c r="L1128" i="39"/>
  <c r="K1128" i="39"/>
  <c r="L1127" i="39"/>
  <c r="K1127" i="39"/>
  <c r="S1126" i="39"/>
  <c r="M1126" i="39"/>
  <c r="L1126" i="39"/>
  <c r="K1126" i="39"/>
  <c r="L1125" i="39"/>
  <c r="K1125" i="39"/>
  <c r="L1124" i="39"/>
  <c r="K1124" i="39"/>
  <c r="L1123" i="39"/>
  <c r="K1123" i="39"/>
  <c r="S1122" i="39"/>
  <c r="M1122" i="39"/>
  <c r="L1122" i="39"/>
  <c r="K1122" i="39"/>
  <c r="S1121" i="39"/>
  <c r="M1121" i="39"/>
  <c r="L1121" i="39"/>
  <c r="K1121" i="39"/>
  <c r="S1120" i="39"/>
  <c r="M1120" i="39"/>
  <c r="L1120" i="39"/>
  <c r="K1120" i="39"/>
  <c r="S1119" i="39"/>
  <c r="M1119" i="39"/>
  <c r="L1119" i="39"/>
  <c r="K1119" i="39"/>
  <c r="S1118" i="39"/>
  <c r="M1118" i="39"/>
  <c r="L1118" i="39"/>
  <c r="K1118" i="39"/>
  <c r="L1117" i="39"/>
  <c r="K1117" i="39"/>
  <c r="L1116" i="39"/>
  <c r="K1116" i="39"/>
  <c r="L1115" i="39"/>
  <c r="K1115" i="39"/>
  <c r="L1114" i="39"/>
  <c r="K1114" i="39"/>
  <c r="L1113" i="39"/>
  <c r="K1113" i="39"/>
  <c r="L1112" i="39"/>
  <c r="K1112" i="39"/>
  <c r="L1111" i="39"/>
  <c r="K1111" i="39"/>
  <c r="L1110" i="39"/>
  <c r="K1110" i="39"/>
  <c r="L1109" i="39"/>
  <c r="K1109" i="39"/>
  <c r="L1108" i="39"/>
  <c r="K1108" i="39"/>
  <c r="L1107" i="39"/>
  <c r="K1107" i="39"/>
  <c r="L1106" i="39"/>
  <c r="K1106" i="39"/>
  <c r="L1105" i="39"/>
  <c r="K1105" i="39"/>
  <c r="L1104" i="39"/>
  <c r="K1104" i="39"/>
  <c r="L1103" i="39"/>
  <c r="K1103" i="39"/>
  <c r="L1102" i="39"/>
  <c r="K1102" i="39"/>
  <c r="L1101" i="39"/>
  <c r="K1101" i="39"/>
  <c r="L1100" i="39"/>
  <c r="K1100" i="39"/>
  <c r="L1099" i="39"/>
  <c r="K1099" i="39"/>
  <c r="L1098" i="39"/>
  <c r="K1098" i="39"/>
  <c r="L1097" i="39"/>
  <c r="K1097" i="39"/>
  <c r="L1096" i="39"/>
  <c r="K1096" i="39"/>
  <c r="L1095" i="39"/>
  <c r="K1095" i="39"/>
  <c r="L1094" i="39"/>
  <c r="K1094" i="39"/>
  <c r="L1093" i="39"/>
  <c r="K1093" i="39"/>
  <c r="L1092" i="39"/>
  <c r="K1092" i="39"/>
  <c r="L1091" i="39"/>
  <c r="K1091" i="39"/>
  <c r="L1090" i="39"/>
  <c r="K1090" i="39"/>
  <c r="L1089" i="39"/>
  <c r="K1089" i="39"/>
  <c r="L1088" i="39"/>
  <c r="K1088" i="39"/>
  <c r="L1087" i="39"/>
  <c r="K1087" i="39"/>
  <c r="L1086" i="39"/>
  <c r="K1086" i="39"/>
  <c r="L1085" i="39"/>
  <c r="K1085" i="39"/>
  <c r="L1084" i="39"/>
  <c r="K1084" i="39"/>
  <c r="L1083" i="39"/>
  <c r="K1083" i="39"/>
  <c r="S1082" i="39"/>
  <c r="M1082" i="39"/>
  <c r="L1082" i="39"/>
  <c r="K1082" i="39"/>
  <c r="L1081" i="39"/>
  <c r="K1081" i="39"/>
  <c r="L1080" i="39"/>
  <c r="K1080" i="39"/>
  <c r="L1079" i="39"/>
  <c r="K1079" i="39"/>
  <c r="L1078" i="39"/>
  <c r="K1078" i="39"/>
  <c r="L1077" i="39"/>
  <c r="K1077" i="39"/>
  <c r="S1076" i="39"/>
  <c r="M1076" i="39"/>
  <c r="L1076" i="39"/>
  <c r="K1076" i="39"/>
  <c r="L1075" i="39"/>
  <c r="K1075" i="39"/>
  <c r="L1074" i="39"/>
  <c r="K1074" i="39"/>
  <c r="L1073" i="39"/>
  <c r="K1073" i="39"/>
  <c r="L1072" i="39"/>
  <c r="K1072" i="39"/>
  <c r="L1071" i="39"/>
  <c r="K1071" i="39"/>
  <c r="S1070" i="39"/>
  <c r="M1070" i="39"/>
  <c r="L1070" i="39"/>
  <c r="K1070" i="39"/>
  <c r="S1069" i="39"/>
  <c r="M1069" i="39"/>
  <c r="L1069" i="39"/>
  <c r="K1069" i="39"/>
  <c r="S1068" i="39"/>
  <c r="M1068" i="39"/>
  <c r="L1068" i="39"/>
  <c r="K1068" i="39"/>
  <c r="S1067" i="39"/>
  <c r="M1067" i="39"/>
  <c r="L1067" i="39"/>
  <c r="K1067" i="39"/>
  <c r="L1066" i="39"/>
  <c r="K1066" i="39"/>
  <c r="L1065" i="39"/>
  <c r="K1065" i="39"/>
  <c r="L1064" i="39"/>
  <c r="K1064" i="39"/>
  <c r="L1063" i="39"/>
  <c r="K1063" i="39"/>
  <c r="L1062" i="39"/>
  <c r="K1062" i="39"/>
  <c r="S1061" i="39"/>
  <c r="M1061" i="39"/>
  <c r="L1061" i="39"/>
  <c r="K1061" i="39"/>
  <c r="L1060" i="39"/>
  <c r="K1060" i="39"/>
  <c r="L1059" i="39"/>
  <c r="K1059" i="39"/>
  <c r="L1058" i="39"/>
  <c r="K1058" i="39"/>
  <c r="L1057" i="39"/>
  <c r="K1057" i="39"/>
  <c r="L1056" i="39"/>
  <c r="K1056" i="39"/>
  <c r="S1055" i="39"/>
  <c r="M1055" i="39"/>
  <c r="L1055" i="39"/>
  <c r="K1055" i="39"/>
  <c r="L1054" i="39"/>
  <c r="K1054" i="39"/>
  <c r="L1053" i="39"/>
  <c r="K1053" i="39"/>
  <c r="L1052" i="39"/>
  <c r="K1052" i="39"/>
  <c r="L1051" i="39"/>
  <c r="K1051" i="39"/>
  <c r="L1050" i="39"/>
  <c r="K1050" i="39"/>
  <c r="L1049" i="39"/>
  <c r="K1049" i="39"/>
  <c r="L1048" i="39"/>
  <c r="K1048" i="39"/>
  <c r="L1047" i="39"/>
  <c r="K1047" i="39"/>
  <c r="L1046" i="39"/>
  <c r="K1046" i="39"/>
  <c r="L1045" i="39"/>
  <c r="K1045" i="39"/>
  <c r="L1044" i="39"/>
  <c r="K1044" i="39"/>
  <c r="L1043" i="39"/>
  <c r="K1043" i="39"/>
  <c r="L1042" i="39"/>
  <c r="K1042" i="39"/>
  <c r="L1041" i="39"/>
  <c r="K1041" i="39"/>
  <c r="L1040" i="39"/>
  <c r="K1040" i="39"/>
  <c r="L1039" i="39"/>
  <c r="K1039" i="39"/>
  <c r="L1038" i="39"/>
  <c r="K1038" i="39"/>
  <c r="L1037" i="39"/>
  <c r="K1037" i="39"/>
  <c r="L1036" i="39"/>
  <c r="K1036" i="39"/>
  <c r="L1035" i="39"/>
  <c r="K1035" i="39"/>
  <c r="L1034" i="39"/>
  <c r="K1034" i="39"/>
  <c r="L1033" i="39"/>
  <c r="K1033" i="39"/>
  <c r="L1032" i="39"/>
  <c r="K1032" i="39"/>
  <c r="S1031" i="39"/>
  <c r="M1031" i="39"/>
  <c r="L1031" i="39"/>
  <c r="K1031" i="39"/>
  <c r="L1030" i="39"/>
  <c r="K1030" i="39"/>
  <c r="L1029" i="39"/>
  <c r="K1029" i="39"/>
  <c r="L1028" i="39"/>
  <c r="K1028" i="39"/>
  <c r="L1027" i="39"/>
  <c r="K1027" i="39"/>
  <c r="L1026" i="39"/>
  <c r="K1026" i="39"/>
  <c r="L1025" i="39"/>
  <c r="K1025" i="39"/>
  <c r="L1024" i="39"/>
  <c r="K1024" i="39"/>
  <c r="L1023" i="39"/>
  <c r="K1023" i="39"/>
  <c r="L1022" i="39"/>
  <c r="K1022" i="39"/>
  <c r="L1021" i="39"/>
  <c r="K1021" i="39"/>
  <c r="L1020" i="39"/>
  <c r="K1020" i="39"/>
  <c r="L1019" i="39"/>
  <c r="K1019" i="39"/>
  <c r="L1018" i="39"/>
  <c r="K1018" i="39"/>
  <c r="L1017" i="39"/>
  <c r="K1017" i="39"/>
  <c r="L1016" i="39"/>
  <c r="K1016" i="39"/>
  <c r="L1015" i="39"/>
  <c r="K1015" i="39"/>
  <c r="L1014" i="39"/>
  <c r="K1014" i="39"/>
  <c r="L1013" i="39"/>
  <c r="K1013" i="39"/>
  <c r="L1012" i="39"/>
  <c r="K1012" i="39"/>
  <c r="L1011" i="39"/>
  <c r="K1011" i="39"/>
  <c r="L1010" i="39"/>
  <c r="K1010" i="39"/>
  <c r="L1009" i="39"/>
  <c r="K1009" i="39"/>
  <c r="L1008" i="39"/>
  <c r="K1008" i="39"/>
  <c r="L1007" i="39"/>
  <c r="K1007" i="39"/>
  <c r="L1006" i="39"/>
  <c r="K1006" i="39"/>
  <c r="L1005" i="39"/>
  <c r="K1005" i="39"/>
  <c r="L1004" i="39"/>
  <c r="K1004" i="39"/>
  <c r="L1003" i="39"/>
  <c r="K1003" i="39"/>
  <c r="L1002" i="39"/>
  <c r="K1002" i="39"/>
  <c r="S1001" i="39"/>
  <c r="M1001" i="39"/>
  <c r="L1001" i="39"/>
  <c r="K1001" i="39"/>
  <c r="L1000" i="39"/>
  <c r="K1000" i="39"/>
  <c r="L999" i="39"/>
  <c r="K999" i="39"/>
  <c r="L998" i="39"/>
  <c r="K998" i="39"/>
  <c r="L997" i="39"/>
  <c r="K997" i="39"/>
  <c r="L996" i="39"/>
  <c r="K996" i="39"/>
  <c r="S995" i="39"/>
  <c r="M995" i="39"/>
  <c r="L995" i="39"/>
  <c r="K995" i="39"/>
  <c r="L994" i="39"/>
  <c r="K994" i="39"/>
  <c r="L993" i="39"/>
  <c r="K993" i="39"/>
  <c r="L992" i="39"/>
  <c r="K992" i="39"/>
  <c r="L991" i="39"/>
  <c r="K991" i="39"/>
  <c r="L990" i="39"/>
  <c r="K990" i="39"/>
  <c r="S989" i="39"/>
  <c r="M989" i="39"/>
  <c r="L989" i="39"/>
  <c r="K989" i="39"/>
  <c r="L988" i="39"/>
  <c r="K988" i="39"/>
  <c r="L987" i="39"/>
  <c r="K987" i="39"/>
  <c r="L986" i="39"/>
  <c r="K986" i="39"/>
  <c r="L985" i="39"/>
  <c r="K985" i="39"/>
  <c r="L984" i="39"/>
  <c r="K984" i="39"/>
  <c r="S983" i="39"/>
  <c r="M983" i="39"/>
  <c r="L983" i="39"/>
  <c r="K983" i="39"/>
  <c r="L982" i="39"/>
  <c r="K982" i="39"/>
  <c r="L981" i="39"/>
  <c r="K981" i="39"/>
  <c r="L980" i="39"/>
  <c r="K980" i="39"/>
  <c r="L979" i="39"/>
  <c r="K979" i="39"/>
  <c r="L978" i="39"/>
  <c r="K978" i="39"/>
  <c r="S977" i="39"/>
  <c r="M977" i="39"/>
  <c r="L977" i="39"/>
  <c r="K977" i="39"/>
  <c r="L976" i="39"/>
  <c r="K976" i="39"/>
  <c r="L975" i="39"/>
  <c r="K975" i="39"/>
  <c r="L974" i="39"/>
  <c r="K974" i="39"/>
  <c r="L973" i="39"/>
  <c r="K973" i="39"/>
  <c r="L972" i="39"/>
  <c r="K972" i="39"/>
  <c r="S971" i="39"/>
  <c r="M971" i="39"/>
  <c r="L971" i="39"/>
  <c r="K971" i="39"/>
  <c r="L970" i="39"/>
  <c r="K970" i="39"/>
  <c r="L969" i="39"/>
  <c r="K969" i="39"/>
  <c r="L968" i="39"/>
  <c r="K968" i="39"/>
  <c r="L967" i="39"/>
  <c r="K967" i="39"/>
  <c r="L966" i="39"/>
  <c r="K966" i="39"/>
  <c r="S965" i="39"/>
  <c r="M965" i="39"/>
  <c r="L965" i="39"/>
  <c r="K965" i="39"/>
  <c r="L964" i="39"/>
  <c r="K964" i="39"/>
  <c r="L963" i="39"/>
  <c r="K963" i="39"/>
  <c r="L962" i="39"/>
  <c r="K962" i="39"/>
  <c r="L961" i="39"/>
  <c r="K961" i="39"/>
  <c r="L960" i="39"/>
  <c r="K960" i="39"/>
  <c r="S959" i="39"/>
  <c r="M959" i="39"/>
  <c r="L959" i="39"/>
  <c r="K959" i="39"/>
  <c r="L958" i="39"/>
  <c r="K958" i="39"/>
  <c r="L957" i="39"/>
  <c r="K957" i="39"/>
  <c r="L956" i="39"/>
  <c r="K956" i="39"/>
  <c r="L955" i="39"/>
  <c r="K955" i="39"/>
  <c r="L954" i="39"/>
  <c r="K954" i="39"/>
  <c r="S953" i="39"/>
  <c r="M953" i="39"/>
  <c r="L953" i="39"/>
  <c r="K953" i="39"/>
  <c r="L952" i="39"/>
  <c r="K952" i="39"/>
  <c r="L951" i="39"/>
  <c r="K951" i="39"/>
  <c r="L950" i="39"/>
  <c r="K950" i="39"/>
  <c r="L949" i="39"/>
  <c r="K949" i="39"/>
  <c r="L948" i="39"/>
  <c r="K948" i="39"/>
  <c r="S947" i="39"/>
  <c r="M947" i="39"/>
  <c r="L947" i="39"/>
  <c r="K947" i="39"/>
  <c r="L946" i="39"/>
  <c r="K946" i="39"/>
  <c r="L945" i="39"/>
  <c r="K945" i="39"/>
  <c r="L944" i="39"/>
  <c r="K944" i="39"/>
  <c r="L943" i="39"/>
  <c r="K943" i="39"/>
  <c r="L942" i="39"/>
  <c r="K942" i="39"/>
  <c r="S941" i="39"/>
  <c r="M941" i="39"/>
  <c r="L941" i="39"/>
  <c r="K941" i="39"/>
  <c r="L940" i="39"/>
  <c r="K940" i="39"/>
  <c r="L939" i="39"/>
  <c r="K939" i="39"/>
  <c r="L938" i="39"/>
  <c r="K938" i="39"/>
  <c r="L937" i="39"/>
  <c r="K937" i="39"/>
  <c r="L936" i="39"/>
  <c r="K936" i="39"/>
  <c r="L935" i="39"/>
  <c r="K935" i="39"/>
  <c r="L934" i="39"/>
  <c r="K934" i="39"/>
  <c r="L933" i="39"/>
  <c r="K933" i="39"/>
  <c r="L932" i="39"/>
  <c r="K932" i="39"/>
  <c r="L931" i="39"/>
  <c r="K931" i="39"/>
  <c r="L930" i="39"/>
  <c r="K930" i="39"/>
  <c r="L929" i="39"/>
  <c r="K929" i="39"/>
  <c r="L928" i="39"/>
  <c r="K928" i="39"/>
  <c r="L927" i="39"/>
  <c r="K927" i="39"/>
  <c r="L926" i="39"/>
  <c r="K926" i="39"/>
  <c r="L925" i="39"/>
  <c r="K925" i="39"/>
  <c r="L924" i="39"/>
  <c r="K924" i="39"/>
  <c r="L923" i="39"/>
  <c r="K923" i="39"/>
  <c r="L922" i="39"/>
  <c r="K922" i="39"/>
  <c r="L921" i="39"/>
  <c r="K921" i="39"/>
  <c r="L920" i="39"/>
  <c r="K920" i="39"/>
  <c r="L919" i="39"/>
  <c r="K919" i="39"/>
  <c r="L918" i="39"/>
  <c r="K918" i="39"/>
  <c r="S917" i="39"/>
  <c r="M917" i="39"/>
  <c r="L917" i="39"/>
  <c r="K917" i="39"/>
  <c r="L916" i="39"/>
  <c r="K916" i="39"/>
  <c r="L915" i="39"/>
  <c r="K915" i="39"/>
  <c r="L914" i="39"/>
  <c r="K914" i="39"/>
  <c r="L913" i="39"/>
  <c r="K913" i="39"/>
  <c r="L912" i="39"/>
  <c r="K912" i="39"/>
  <c r="L911" i="39"/>
  <c r="K911" i="39"/>
  <c r="L910" i="39"/>
  <c r="K910" i="39"/>
  <c r="L909" i="39"/>
  <c r="K909" i="39"/>
  <c r="L908" i="39"/>
  <c r="K908" i="39"/>
  <c r="L907" i="39"/>
  <c r="K907" i="39"/>
  <c r="L906" i="39"/>
  <c r="K906" i="39"/>
  <c r="L905" i="39"/>
  <c r="K905" i="39"/>
  <c r="L904" i="39"/>
  <c r="K904" i="39"/>
  <c r="L903" i="39"/>
  <c r="K903" i="39"/>
  <c r="L902" i="39"/>
  <c r="K902" i="39"/>
  <c r="L901" i="39"/>
  <c r="K901" i="39"/>
  <c r="L900" i="39"/>
  <c r="K900" i="39"/>
  <c r="L899" i="39"/>
  <c r="K899" i="39"/>
  <c r="L898" i="39"/>
  <c r="K898" i="39"/>
  <c r="L897" i="39"/>
  <c r="K897" i="39"/>
  <c r="L896" i="39"/>
  <c r="K896" i="39"/>
  <c r="L895" i="39"/>
  <c r="K895" i="39"/>
  <c r="L894" i="39"/>
  <c r="K894" i="39"/>
  <c r="L893" i="39"/>
  <c r="K893" i="39"/>
  <c r="L892" i="39"/>
  <c r="K892" i="39"/>
  <c r="L891" i="39"/>
  <c r="K891" i="39"/>
  <c r="L890" i="39"/>
  <c r="K890" i="39"/>
  <c r="L889" i="39"/>
  <c r="K889" i="39"/>
  <c r="L888" i="39"/>
  <c r="K888" i="39"/>
  <c r="S887" i="39"/>
  <c r="M887" i="39"/>
  <c r="L887" i="39"/>
  <c r="K887" i="39"/>
  <c r="L886" i="39"/>
  <c r="K886" i="39"/>
  <c r="L885" i="39"/>
  <c r="K885" i="39"/>
  <c r="L884" i="39"/>
  <c r="K884" i="39"/>
  <c r="L883" i="39"/>
  <c r="K883" i="39"/>
  <c r="L882" i="39"/>
  <c r="K882" i="39"/>
  <c r="L881" i="39"/>
  <c r="K881" i="39"/>
  <c r="L880" i="39"/>
  <c r="K880" i="39"/>
  <c r="L879" i="39"/>
  <c r="K879" i="39"/>
  <c r="L878" i="39"/>
  <c r="K878" i="39"/>
  <c r="L877" i="39"/>
  <c r="K877" i="39"/>
  <c r="L876" i="39"/>
  <c r="K876" i="39"/>
  <c r="L875" i="39"/>
  <c r="K875" i="39"/>
  <c r="L874" i="39"/>
  <c r="K874" i="39"/>
  <c r="L873" i="39"/>
  <c r="K873" i="39"/>
  <c r="L872" i="39"/>
  <c r="K872" i="39"/>
  <c r="L871" i="39"/>
  <c r="K871" i="39"/>
  <c r="L870" i="39"/>
  <c r="K870" i="39"/>
  <c r="L869" i="39"/>
  <c r="K869" i="39"/>
  <c r="L868" i="39"/>
  <c r="K868" i="39"/>
  <c r="L867" i="39"/>
  <c r="K867" i="39"/>
  <c r="L866" i="39"/>
  <c r="K866" i="39"/>
  <c r="L865" i="39"/>
  <c r="K865" i="39"/>
  <c r="L864" i="39"/>
  <c r="K864" i="39"/>
  <c r="S863" i="39"/>
  <c r="M863" i="39"/>
  <c r="L863" i="39"/>
  <c r="K863" i="39"/>
  <c r="S862" i="39"/>
  <c r="M862" i="39"/>
  <c r="L862" i="39"/>
  <c r="K862" i="39"/>
  <c r="L861" i="39"/>
  <c r="K861" i="39"/>
  <c r="S860" i="39"/>
  <c r="M860" i="39"/>
  <c r="L860" i="39"/>
  <c r="K860" i="39"/>
  <c r="S859" i="39"/>
  <c r="M859" i="39"/>
  <c r="L859" i="39"/>
  <c r="K859" i="39"/>
  <c r="S858" i="39"/>
  <c r="M858" i="39"/>
  <c r="L858" i="39"/>
  <c r="K858" i="39"/>
  <c r="S857" i="39"/>
  <c r="M857" i="39"/>
  <c r="L857" i="39"/>
  <c r="K857" i="39"/>
  <c r="L856" i="39"/>
  <c r="K856" i="39"/>
  <c r="L855" i="39"/>
  <c r="K855" i="39"/>
  <c r="L854" i="39"/>
  <c r="K854" i="39"/>
  <c r="S853" i="39"/>
  <c r="M853" i="39"/>
  <c r="L853" i="39"/>
  <c r="K853" i="39"/>
  <c r="S852" i="39"/>
  <c r="M852" i="39"/>
  <c r="L852" i="39"/>
  <c r="K852" i="39"/>
  <c r="S851" i="39"/>
  <c r="M851" i="39"/>
  <c r="L851" i="39"/>
  <c r="K851" i="39"/>
  <c r="S850" i="39"/>
  <c r="M850" i="39"/>
  <c r="L850" i="39"/>
  <c r="K850" i="39"/>
  <c r="S849" i="39"/>
  <c r="M849" i="39"/>
  <c r="L849" i="39"/>
  <c r="K849" i="39"/>
  <c r="S848" i="39"/>
  <c r="M848" i="39"/>
  <c r="L848" i="39"/>
  <c r="K848" i="39"/>
  <c r="S847" i="39"/>
  <c r="M847" i="39"/>
  <c r="L847" i="39"/>
  <c r="K847" i="39"/>
  <c r="S846" i="39"/>
  <c r="M846" i="39"/>
  <c r="L846" i="39"/>
  <c r="K846" i="39"/>
  <c r="S845" i="39"/>
  <c r="M845" i="39"/>
  <c r="L845" i="39"/>
  <c r="K845" i="39"/>
  <c r="S844" i="39"/>
  <c r="M844" i="39"/>
  <c r="L844" i="39"/>
  <c r="K844" i="39"/>
  <c r="S843" i="39"/>
  <c r="M843" i="39"/>
  <c r="L843" i="39"/>
  <c r="K843" i="39"/>
  <c r="S842" i="39"/>
  <c r="M842" i="39"/>
  <c r="L842" i="39"/>
  <c r="K842" i="39"/>
  <c r="S841" i="39"/>
  <c r="M841" i="39"/>
  <c r="L841" i="39"/>
  <c r="K841" i="39"/>
  <c r="S840" i="39"/>
  <c r="M840" i="39"/>
  <c r="L840" i="39"/>
  <c r="K840" i="39"/>
  <c r="S839" i="39"/>
  <c r="M839" i="39"/>
  <c r="L839" i="39"/>
  <c r="K839" i="39"/>
  <c r="S838" i="39"/>
  <c r="M838" i="39"/>
  <c r="L838" i="39"/>
  <c r="K838" i="39"/>
  <c r="S837" i="39"/>
  <c r="M837" i="39"/>
  <c r="L837" i="39"/>
  <c r="K837" i="39"/>
  <c r="S836" i="39"/>
  <c r="M836" i="39"/>
  <c r="L836" i="39"/>
  <c r="K836" i="39"/>
  <c r="S835" i="39"/>
  <c r="M835" i="39"/>
  <c r="L835" i="39"/>
  <c r="K835" i="39"/>
  <c r="S834" i="39"/>
  <c r="M834" i="39"/>
  <c r="L834" i="39"/>
  <c r="K834" i="39"/>
  <c r="L833" i="39"/>
  <c r="K833" i="39"/>
  <c r="S832" i="39"/>
  <c r="M832" i="39"/>
  <c r="L832" i="39"/>
  <c r="K832" i="39"/>
  <c r="S831" i="39"/>
  <c r="M831" i="39"/>
  <c r="L831" i="39"/>
  <c r="K831" i="39"/>
  <c r="S830" i="39"/>
  <c r="M830" i="39"/>
  <c r="L830" i="39"/>
  <c r="K830" i="39"/>
  <c r="L829" i="39"/>
  <c r="K829" i="39"/>
  <c r="S828" i="39"/>
  <c r="M828" i="39"/>
  <c r="L828" i="39"/>
  <c r="K828" i="39"/>
  <c r="S827" i="39"/>
  <c r="M827" i="39"/>
  <c r="L827" i="39"/>
  <c r="K827" i="39"/>
  <c r="S826" i="39"/>
  <c r="M826" i="39"/>
  <c r="L826" i="39"/>
  <c r="K826" i="39"/>
  <c r="S825" i="39"/>
  <c r="M825" i="39"/>
  <c r="L825" i="39"/>
  <c r="K825" i="39"/>
  <c r="S824" i="39"/>
  <c r="M824" i="39"/>
  <c r="L824" i="39"/>
  <c r="K824" i="39"/>
  <c r="S823" i="39"/>
  <c r="M823" i="39"/>
  <c r="L823" i="39"/>
  <c r="K823" i="39"/>
  <c r="S822" i="39"/>
  <c r="M822" i="39"/>
  <c r="L822" i="39"/>
  <c r="K822" i="39"/>
  <c r="S821" i="39"/>
  <c r="M821" i="39"/>
  <c r="L821" i="39"/>
  <c r="K821" i="39"/>
  <c r="L820" i="39"/>
  <c r="K820" i="39"/>
  <c r="L819" i="39"/>
  <c r="K819" i="39"/>
  <c r="L818" i="39"/>
  <c r="K818" i="39"/>
  <c r="L817" i="39"/>
  <c r="K817" i="39"/>
  <c r="L816" i="39"/>
  <c r="K816" i="39"/>
  <c r="L815" i="39"/>
  <c r="K815" i="39"/>
  <c r="L814" i="39"/>
  <c r="K814" i="39"/>
  <c r="S813" i="39"/>
  <c r="M813" i="39"/>
  <c r="L813" i="39"/>
  <c r="K813" i="39"/>
  <c r="S812" i="39"/>
  <c r="M812" i="39"/>
  <c r="L812" i="39"/>
  <c r="K812" i="39"/>
  <c r="L811" i="39"/>
  <c r="K811" i="39"/>
  <c r="S810" i="39"/>
  <c r="M810" i="39"/>
  <c r="L810" i="39"/>
  <c r="K810" i="39"/>
  <c r="S809" i="39"/>
  <c r="M809" i="39"/>
  <c r="L809" i="39"/>
  <c r="K809" i="39"/>
  <c r="L808" i="39"/>
  <c r="K808" i="39"/>
  <c r="L807" i="39"/>
  <c r="K807" i="39"/>
  <c r="S806" i="39"/>
  <c r="M806" i="39"/>
  <c r="L806" i="39"/>
  <c r="K806" i="39"/>
  <c r="S805" i="39"/>
  <c r="M805" i="39"/>
  <c r="L805" i="39"/>
  <c r="K805" i="39"/>
  <c r="L804" i="39"/>
  <c r="K804" i="39"/>
  <c r="L803" i="39"/>
  <c r="K803" i="39"/>
  <c r="L802" i="39"/>
  <c r="K802" i="39"/>
  <c r="S801" i="39"/>
  <c r="M801" i="39"/>
  <c r="L801" i="39"/>
  <c r="K801" i="39"/>
  <c r="S800" i="39"/>
  <c r="M800" i="39"/>
  <c r="L800" i="39"/>
  <c r="K800" i="39"/>
  <c r="S799" i="39"/>
  <c r="M799" i="39"/>
  <c r="L799" i="39"/>
  <c r="K799" i="39"/>
  <c r="L798" i="39"/>
  <c r="K798" i="39"/>
  <c r="L797" i="39"/>
  <c r="K797" i="39"/>
  <c r="L796" i="39"/>
  <c r="K796" i="39"/>
  <c r="L795" i="39"/>
  <c r="K795" i="39"/>
  <c r="L794" i="39"/>
  <c r="K794" i="39"/>
  <c r="S793" i="39"/>
  <c r="M793" i="39"/>
  <c r="L793" i="39"/>
  <c r="K793" i="39"/>
  <c r="L792" i="39"/>
  <c r="K792" i="39"/>
  <c r="L791" i="39"/>
  <c r="K791" i="39"/>
  <c r="L790" i="39"/>
  <c r="K790" i="39"/>
  <c r="L789" i="39"/>
  <c r="K789" i="39"/>
  <c r="L788" i="39"/>
  <c r="K788" i="39"/>
  <c r="S787" i="39"/>
  <c r="M787" i="39"/>
  <c r="L787" i="39"/>
  <c r="K787" i="39"/>
  <c r="S786" i="39"/>
  <c r="M786" i="39"/>
  <c r="L786" i="39"/>
  <c r="K786" i="39"/>
  <c r="S785" i="39"/>
  <c r="M785" i="39"/>
  <c r="L785" i="39"/>
  <c r="K785" i="39"/>
  <c r="S784" i="39"/>
  <c r="M784" i="39"/>
  <c r="L784" i="39"/>
  <c r="K784" i="39"/>
  <c r="L783" i="39"/>
  <c r="K783" i="39"/>
  <c r="S782" i="39"/>
  <c r="M782" i="39"/>
  <c r="L782" i="39"/>
  <c r="K782" i="39"/>
  <c r="L781" i="39"/>
  <c r="K781" i="39"/>
  <c r="L780" i="39"/>
  <c r="K780" i="39"/>
  <c r="L779" i="39"/>
  <c r="K779" i="39"/>
  <c r="L778" i="39"/>
  <c r="K778" i="39"/>
  <c r="L777" i="39"/>
  <c r="K777" i="39"/>
  <c r="S776" i="39"/>
  <c r="M776" i="39"/>
  <c r="L776" i="39"/>
  <c r="K776" i="39"/>
  <c r="S775" i="39"/>
  <c r="M775" i="39"/>
  <c r="L775" i="39"/>
  <c r="K775" i="39"/>
  <c r="S774" i="39"/>
  <c r="M774" i="39"/>
  <c r="L774" i="39"/>
  <c r="K774" i="39"/>
  <c r="S773" i="39"/>
  <c r="M773" i="39"/>
  <c r="L773" i="39"/>
  <c r="K773" i="39"/>
  <c r="L772" i="39"/>
  <c r="K772" i="39"/>
  <c r="L771" i="39"/>
  <c r="K771" i="39"/>
  <c r="L770" i="39"/>
  <c r="K770" i="39"/>
  <c r="L769" i="39"/>
  <c r="K769" i="39"/>
  <c r="L768" i="39"/>
  <c r="K768" i="39"/>
  <c r="S767" i="39"/>
  <c r="M767" i="39"/>
  <c r="L767" i="39"/>
  <c r="K767" i="39"/>
  <c r="L766" i="39"/>
  <c r="K766" i="39"/>
  <c r="L765" i="39"/>
  <c r="K765" i="39"/>
  <c r="L764" i="39"/>
  <c r="K764" i="39"/>
  <c r="L763" i="39"/>
  <c r="K763" i="39"/>
  <c r="L762" i="39"/>
  <c r="K762" i="39"/>
  <c r="S761" i="39"/>
  <c r="M761" i="39"/>
  <c r="L761" i="39"/>
  <c r="K761" i="39"/>
  <c r="S760" i="39"/>
  <c r="M760" i="39"/>
  <c r="L760" i="39"/>
  <c r="K760" i="39"/>
  <c r="S759" i="39"/>
  <c r="M759" i="39"/>
  <c r="L759" i="39"/>
  <c r="K759" i="39"/>
  <c r="S758" i="39"/>
  <c r="M758" i="39"/>
  <c r="L758" i="39"/>
  <c r="K758" i="39"/>
  <c r="S757" i="39"/>
  <c r="M757" i="39"/>
  <c r="L757" i="39"/>
  <c r="K757" i="39"/>
  <c r="S756" i="39"/>
  <c r="M756" i="39"/>
  <c r="L756" i="39"/>
  <c r="K756" i="39"/>
  <c r="S755" i="39"/>
  <c r="M755" i="39"/>
  <c r="L755" i="39"/>
  <c r="K755" i="39"/>
  <c r="S754" i="39"/>
  <c r="M754" i="39"/>
  <c r="L754" i="39"/>
  <c r="K754" i="39"/>
  <c r="S753" i="39"/>
  <c r="M753" i="39"/>
  <c r="L753" i="39"/>
  <c r="K753" i="39"/>
  <c r="L752" i="39"/>
  <c r="K752" i="39"/>
  <c r="L751" i="39"/>
  <c r="K751" i="39"/>
  <c r="S750" i="39"/>
  <c r="M750" i="39"/>
  <c r="L750" i="39"/>
  <c r="K750" i="39"/>
  <c r="L749" i="39"/>
  <c r="K749" i="39"/>
  <c r="S748" i="39"/>
  <c r="M748" i="39"/>
  <c r="L748" i="39"/>
  <c r="K748" i="39"/>
  <c r="S747" i="39"/>
  <c r="M747" i="39"/>
  <c r="L747" i="39"/>
  <c r="K747" i="39"/>
  <c r="L746" i="39"/>
  <c r="K746" i="39"/>
  <c r="S745" i="39"/>
  <c r="M745" i="39"/>
  <c r="L745" i="39"/>
  <c r="K745" i="39"/>
  <c r="S744" i="39"/>
  <c r="M744" i="39"/>
  <c r="L744" i="39"/>
  <c r="K744" i="39"/>
  <c r="S743" i="39"/>
  <c r="M743" i="39"/>
  <c r="L743" i="39"/>
  <c r="K743" i="39"/>
  <c r="S742" i="39"/>
  <c r="M742" i="39"/>
  <c r="L742" i="39"/>
  <c r="K742" i="39"/>
  <c r="S741" i="39"/>
  <c r="M741" i="39"/>
  <c r="L741" i="39"/>
  <c r="K741" i="39"/>
  <c r="S740" i="39"/>
  <c r="M740" i="39"/>
  <c r="L740" i="39"/>
  <c r="K740" i="39"/>
  <c r="S739" i="39"/>
  <c r="M739" i="39"/>
  <c r="L739" i="39"/>
  <c r="K739" i="39"/>
  <c r="S738" i="39"/>
  <c r="M738" i="39"/>
  <c r="L738" i="39"/>
  <c r="K738" i="39"/>
  <c r="S737" i="39"/>
  <c r="M737" i="39"/>
  <c r="L737" i="39"/>
  <c r="K737" i="39"/>
  <c r="L736" i="39"/>
  <c r="K736" i="39"/>
  <c r="L735" i="39"/>
  <c r="K735" i="39"/>
  <c r="L734" i="39"/>
  <c r="K734" i="39"/>
  <c r="S733" i="39"/>
  <c r="M733" i="39"/>
  <c r="L733" i="39"/>
  <c r="K733" i="39"/>
  <c r="L732" i="39"/>
  <c r="K732" i="39"/>
  <c r="L731" i="39"/>
  <c r="K731" i="39"/>
  <c r="L730" i="39"/>
  <c r="K730" i="39"/>
  <c r="S729" i="39"/>
  <c r="M729" i="39"/>
  <c r="L729" i="39"/>
  <c r="K729" i="39"/>
  <c r="L728" i="39"/>
  <c r="K728" i="39"/>
  <c r="L727" i="39"/>
  <c r="K727" i="39"/>
  <c r="L726" i="39"/>
  <c r="K726" i="39"/>
  <c r="S725" i="39"/>
  <c r="M725" i="39"/>
  <c r="L725" i="39"/>
  <c r="K725" i="39"/>
  <c r="L724" i="39"/>
  <c r="K724" i="39"/>
  <c r="L723" i="39"/>
  <c r="K723" i="39"/>
  <c r="L722" i="39"/>
  <c r="K722" i="39"/>
  <c r="S721" i="39"/>
  <c r="M721" i="39"/>
  <c r="L721" i="39"/>
  <c r="K721" i="39"/>
  <c r="L720" i="39"/>
  <c r="K720" i="39"/>
  <c r="L719" i="39"/>
  <c r="K719" i="39"/>
  <c r="L718" i="39"/>
  <c r="K718" i="39"/>
  <c r="S717" i="39"/>
  <c r="M717" i="39"/>
  <c r="L717" i="39"/>
  <c r="K717" i="39"/>
  <c r="S716" i="39"/>
  <c r="M716" i="39"/>
  <c r="L716" i="39"/>
  <c r="K716" i="39"/>
  <c r="L715" i="39"/>
  <c r="K715" i="39"/>
  <c r="L714" i="39"/>
  <c r="K714" i="39"/>
  <c r="L713" i="39"/>
  <c r="K713" i="39"/>
  <c r="L712" i="39"/>
  <c r="K712" i="39"/>
  <c r="S711" i="39"/>
  <c r="M711" i="39"/>
  <c r="L711" i="39"/>
  <c r="K711" i="39"/>
  <c r="L710" i="39"/>
  <c r="K710" i="39"/>
  <c r="L709" i="39"/>
  <c r="K709" i="39"/>
  <c r="L708" i="39"/>
  <c r="K708" i="39"/>
  <c r="L707" i="39"/>
  <c r="K707" i="39"/>
  <c r="S706" i="39"/>
  <c r="M706" i="39"/>
  <c r="L706" i="39"/>
  <c r="K706" i="39"/>
  <c r="L705" i="39"/>
  <c r="K705" i="39"/>
  <c r="L704" i="39"/>
  <c r="K704" i="39"/>
  <c r="L703" i="39"/>
  <c r="K703" i="39"/>
  <c r="L702" i="39"/>
  <c r="K702" i="39"/>
  <c r="S701" i="39"/>
  <c r="M701" i="39"/>
  <c r="L701" i="39"/>
  <c r="K701" i="39"/>
  <c r="L700" i="39"/>
  <c r="K700" i="39"/>
  <c r="L699" i="39"/>
  <c r="K699" i="39"/>
  <c r="L698" i="39"/>
  <c r="K698" i="39"/>
  <c r="L697" i="39"/>
  <c r="K697" i="39"/>
  <c r="S696" i="39"/>
  <c r="M696" i="39"/>
  <c r="L696" i="39"/>
  <c r="K696" i="39"/>
  <c r="L695" i="39"/>
  <c r="K695" i="39"/>
  <c r="L694" i="39"/>
  <c r="K694" i="39"/>
  <c r="L693" i="39"/>
  <c r="K693" i="39"/>
  <c r="L692" i="39"/>
  <c r="K692" i="39"/>
  <c r="S691" i="39"/>
  <c r="M691" i="39"/>
  <c r="L691" i="39"/>
  <c r="K691" i="39"/>
  <c r="S690" i="39"/>
  <c r="M690" i="39"/>
  <c r="L690" i="39"/>
  <c r="K690" i="39"/>
  <c r="S689" i="39"/>
  <c r="M689" i="39"/>
  <c r="L689" i="39"/>
  <c r="K689" i="39"/>
  <c r="S688" i="39"/>
  <c r="M688" i="39"/>
  <c r="L688" i="39"/>
  <c r="K688" i="39"/>
  <c r="S687" i="39"/>
  <c r="M687" i="39"/>
  <c r="L687" i="39"/>
  <c r="K687" i="39"/>
  <c r="S686" i="39"/>
  <c r="M686" i="39"/>
  <c r="L686" i="39"/>
  <c r="K686" i="39"/>
  <c r="S685" i="39"/>
  <c r="M685" i="39"/>
  <c r="L685" i="39"/>
  <c r="K685" i="39"/>
  <c r="S684" i="39"/>
  <c r="M684" i="39"/>
  <c r="L684" i="39"/>
  <c r="K684" i="39"/>
  <c r="L683" i="39"/>
  <c r="K683" i="39"/>
  <c r="S682" i="39"/>
  <c r="M682" i="39"/>
  <c r="L682" i="39"/>
  <c r="K682" i="39"/>
  <c r="L681" i="39"/>
  <c r="K681" i="39"/>
  <c r="L680" i="39"/>
  <c r="K680" i="39"/>
  <c r="L679" i="39"/>
  <c r="K679" i="39"/>
  <c r="L678" i="39"/>
  <c r="K678" i="39"/>
  <c r="L677" i="39"/>
  <c r="K677" i="39"/>
  <c r="S676" i="39"/>
  <c r="M676" i="39"/>
  <c r="L676" i="39"/>
  <c r="K676" i="39"/>
  <c r="L675" i="39"/>
  <c r="K675" i="39"/>
  <c r="L674" i="39"/>
  <c r="K674" i="39"/>
  <c r="L673" i="39"/>
  <c r="K673" i="39"/>
  <c r="L672" i="39"/>
  <c r="K672" i="39"/>
  <c r="L671" i="39"/>
  <c r="K671" i="39"/>
  <c r="S670" i="39"/>
  <c r="M670" i="39"/>
  <c r="L670" i="39"/>
  <c r="K670" i="39"/>
  <c r="L669" i="39"/>
  <c r="K669" i="39"/>
  <c r="L668" i="39"/>
  <c r="K668" i="39"/>
  <c r="L667" i="39"/>
  <c r="K667" i="39"/>
  <c r="L666" i="39"/>
  <c r="K666" i="39"/>
  <c r="L665" i="39"/>
  <c r="K665" i="39"/>
  <c r="S664" i="39"/>
  <c r="M664" i="39"/>
  <c r="L664" i="39"/>
  <c r="K664" i="39"/>
  <c r="L663" i="39"/>
  <c r="K663" i="39"/>
  <c r="L662" i="39"/>
  <c r="K662" i="39"/>
  <c r="L661" i="39"/>
  <c r="K661" i="39"/>
  <c r="L660" i="39"/>
  <c r="K660" i="39"/>
  <c r="L659" i="39"/>
  <c r="K659" i="39"/>
  <c r="S658" i="39"/>
  <c r="M658" i="39"/>
  <c r="L658" i="39"/>
  <c r="K658" i="39"/>
  <c r="L657" i="39"/>
  <c r="K657" i="39"/>
  <c r="L656" i="39"/>
  <c r="K656" i="39"/>
  <c r="L655" i="39"/>
  <c r="K655" i="39"/>
  <c r="L654" i="39"/>
  <c r="K654" i="39"/>
  <c r="L653" i="39"/>
  <c r="K653" i="39"/>
  <c r="S652" i="39"/>
  <c r="M652" i="39"/>
  <c r="L652" i="39"/>
  <c r="K652" i="39"/>
  <c r="L651" i="39"/>
  <c r="K651" i="39"/>
  <c r="L650" i="39"/>
  <c r="K650" i="39"/>
  <c r="L649" i="39"/>
  <c r="K649" i="39"/>
  <c r="L648" i="39"/>
  <c r="K648" i="39"/>
  <c r="L647" i="39"/>
  <c r="K647" i="39"/>
  <c r="S646" i="39"/>
  <c r="M646" i="39"/>
  <c r="L646" i="39"/>
  <c r="K646" i="39"/>
  <c r="L645" i="39"/>
  <c r="K645" i="39"/>
  <c r="L644" i="39"/>
  <c r="K644" i="39"/>
  <c r="L643" i="39"/>
  <c r="K643" i="39"/>
  <c r="L642" i="39"/>
  <c r="K642" i="39"/>
  <c r="L641" i="39"/>
  <c r="K641" i="39"/>
  <c r="S640" i="39"/>
  <c r="M640" i="39"/>
  <c r="L640" i="39"/>
  <c r="K640" i="39"/>
  <c r="L639" i="39"/>
  <c r="K639" i="39"/>
  <c r="L638" i="39"/>
  <c r="K638" i="39"/>
  <c r="L637" i="39"/>
  <c r="K637" i="39"/>
  <c r="L636" i="39"/>
  <c r="K636" i="39"/>
  <c r="L635" i="39"/>
  <c r="K635" i="39"/>
  <c r="L634" i="39"/>
  <c r="K634" i="39"/>
  <c r="L633" i="39"/>
  <c r="K633" i="39"/>
  <c r="L632" i="39"/>
  <c r="K632" i="39"/>
  <c r="L631" i="39"/>
  <c r="K631" i="39"/>
  <c r="L630" i="39"/>
  <c r="K630" i="39"/>
  <c r="L629" i="39"/>
  <c r="K629" i="39"/>
  <c r="L628" i="39"/>
  <c r="K628" i="39"/>
  <c r="L627" i="39"/>
  <c r="K627" i="39"/>
  <c r="L626" i="39"/>
  <c r="K626" i="39"/>
  <c r="L625" i="39"/>
  <c r="K625" i="39"/>
  <c r="L624" i="39"/>
  <c r="K624" i="39"/>
  <c r="L623" i="39"/>
  <c r="K623" i="39"/>
  <c r="L622" i="39"/>
  <c r="K622" i="39"/>
  <c r="L621" i="39"/>
  <c r="K621" i="39"/>
  <c r="L620" i="39"/>
  <c r="K620" i="39"/>
  <c r="L619" i="39"/>
  <c r="K619" i="39"/>
  <c r="L618" i="39"/>
  <c r="K618" i="39"/>
  <c r="L617" i="39"/>
  <c r="K617" i="39"/>
  <c r="S616" i="39"/>
  <c r="M616" i="39"/>
  <c r="L616" i="39"/>
  <c r="K616" i="39"/>
  <c r="L615" i="39"/>
  <c r="K615" i="39"/>
  <c r="L614" i="39"/>
  <c r="K614" i="39"/>
  <c r="L613" i="39"/>
  <c r="K613" i="39"/>
  <c r="L612" i="39"/>
  <c r="K612" i="39"/>
  <c r="L611" i="39"/>
  <c r="K611" i="39"/>
  <c r="S610" i="39"/>
  <c r="M610" i="39"/>
  <c r="L610" i="39"/>
  <c r="K610" i="39"/>
  <c r="L609" i="39"/>
  <c r="K609" i="39"/>
  <c r="L608" i="39"/>
  <c r="K608" i="39"/>
  <c r="L607" i="39"/>
  <c r="K607" i="39"/>
  <c r="L606" i="39"/>
  <c r="K606" i="39"/>
  <c r="L605" i="39"/>
  <c r="K605" i="39"/>
  <c r="S604" i="39"/>
  <c r="M604" i="39"/>
  <c r="L604" i="39"/>
  <c r="K604" i="39"/>
  <c r="L603" i="39"/>
  <c r="K603" i="39"/>
  <c r="L602" i="39"/>
  <c r="K602" i="39"/>
  <c r="L601" i="39"/>
  <c r="K601" i="39"/>
  <c r="L600" i="39"/>
  <c r="K600" i="39"/>
  <c r="L599" i="39"/>
  <c r="K599" i="39"/>
  <c r="L598" i="39"/>
  <c r="K598" i="39"/>
  <c r="L597" i="39"/>
  <c r="K597" i="39"/>
  <c r="L596" i="39"/>
  <c r="K596" i="39"/>
  <c r="L595" i="39"/>
  <c r="K595" i="39"/>
  <c r="L594" i="39"/>
  <c r="K594" i="39"/>
  <c r="L593" i="39"/>
  <c r="K593" i="39"/>
  <c r="L592" i="39"/>
  <c r="K592" i="39"/>
  <c r="L591" i="39"/>
  <c r="K591" i="39"/>
  <c r="L590" i="39"/>
  <c r="K590" i="39"/>
  <c r="L589" i="39"/>
  <c r="K589" i="39"/>
  <c r="L588" i="39"/>
  <c r="K588" i="39"/>
  <c r="L587" i="39"/>
  <c r="K587" i="39"/>
  <c r="L586" i="39"/>
  <c r="K586" i="39"/>
  <c r="L585" i="39"/>
  <c r="K585" i="39"/>
  <c r="L584" i="39"/>
  <c r="K584" i="39"/>
  <c r="L583" i="39"/>
  <c r="K583" i="39"/>
  <c r="L582" i="39"/>
  <c r="K582" i="39"/>
  <c r="L581" i="39"/>
  <c r="K581" i="39"/>
  <c r="L580" i="39"/>
  <c r="K580" i="39"/>
  <c r="L579" i="39"/>
  <c r="K579" i="39"/>
  <c r="L578" i="39"/>
  <c r="K578" i="39"/>
  <c r="L577" i="39"/>
  <c r="K577" i="39"/>
  <c r="L576" i="39"/>
  <c r="K576" i="39"/>
  <c r="L575" i="39"/>
  <c r="K575" i="39"/>
  <c r="S574" i="39"/>
  <c r="M574" i="39"/>
  <c r="L574" i="39"/>
  <c r="K574" i="39"/>
  <c r="L573" i="39"/>
  <c r="K573" i="39"/>
  <c r="L572" i="39"/>
  <c r="K572" i="39"/>
  <c r="L571" i="39"/>
  <c r="K571" i="39"/>
  <c r="L570" i="39"/>
  <c r="K570" i="39"/>
  <c r="L569" i="39"/>
  <c r="K569" i="39"/>
  <c r="S568" i="39"/>
  <c r="M568" i="39"/>
  <c r="L568" i="39"/>
  <c r="K568" i="39"/>
  <c r="L567" i="39"/>
  <c r="K567" i="39"/>
  <c r="L566" i="39"/>
  <c r="K566" i="39"/>
  <c r="L565" i="39"/>
  <c r="K565" i="39"/>
  <c r="L564" i="39"/>
  <c r="K564" i="39"/>
  <c r="L563" i="39"/>
  <c r="K563" i="39"/>
  <c r="L562" i="39"/>
  <c r="K562" i="39"/>
  <c r="L561" i="39"/>
  <c r="K561" i="39"/>
  <c r="L560" i="39"/>
  <c r="K560" i="39"/>
  <c r="L559" i="39"/>
  <c r="K559" i="39"/>
  <c r="L558" i="39"/>
  <c r="K558" i="39"/>
  <c r="L557" i="39"/>
  <c r="K557" i="39"/>
  <c r="L556" i="39"/>
  <c r="K556" i="39"/>
  <c r="L555" i="39"/>
  <c r="K555" i="39"/>
  <c r="L554" i="39"/>
  <c r="K554" i="39"/>
  <c r="L553" i="39"/>
  <c r="K553" i="39"/>
  <c r="L552" i="39"/>
  <c r="K552" i="39"/>
  <c r="L551" i="39"/>
  <c r="K551" i="39"/>
  <c r="L550" i="39"/>
  <c r="K550" i="39"/>
  <c r="L549" i="39"/>
  <c r="K549" i="39"/>
  <c r="L548" i="39"/>
  <c r="K548" i="39"/>
  <c r="L547" i="39"/>
  <c r="K547" i="39"/>
  <c r="L546" i="39"/>
  <c r="K546" i="39"/>
  <c r="L545" i="39"/>
  <c r="K545" i="39"/>
  <c r="L544" i="39"/>
  <c r="K544" i="39"/>
  <c r="L543" i="39"/>
  <c r="K543" i="39"/>
  <c r="L542" i="39"/>
  <c r="K542" i="39"/>
  <c r="L541" i="39"/>
  <c r="K541" i="39"/>
  <c r="L540" i="39"/>
  <c r="K540" i="39"/>
  <c r="L539" i="39"/>
  <c r="K539" i="39"/>
  <c r="L538" i="39"/>
  <c r="K538" i="39"/>
  <c r="L537" i="39"/>
  <c r="K537" i="39"/>
  <c r="L536" i="39"/>
  <c r="K536" i="39"/>
  <c r="L535" i="39"/>
  <c r="K535" i="39"/>
  <c r="L534" i="39"/>
  <c r="K534" i="39"/>
  <c r="L533" i="39"/>
  <c r="K533" i="39"/>
  <c r="S532" i="39"/>
  <c r="M532" i="39"/>
  <c r="L532" i="39"/>
  <c r="K532" i="39"/>
  <c r="S531" i="39"/>
  <c r="M531" i="39"/>
  <c r="L531" i="39"/>
  <c r="K531" i="39"/>
  <c r="L530" i="39"/>
  <c r="K530" i="39"/>
  <c r="L529" i="39"/>
  <c r="K529" i="39"/>
  <c r="L528" i="39"/>
  <c r="K528" i="39"/>
  <c r="L527" i="39"/>
  <c r="K527" i="39"/>
  <c r="S526" i="39"/>
  <c r="M526" i="39"/>
  <c r="L526" i="39"/>
  <c r="K526" i="39"/>
  <c r="L525" i="39"/>
  <c r="K525" i="39"/>
  <c r="L524" i="39"/>
  <c r="K524" i="39"/>
  <c r="L523" i="39"/>
  <c r="K523" i="39"/>
  <c r="L522" i="39"/>
  <c r="K522" i="39"/>
  <c r="S521" i="39"/>
  <c r="M521" i="39"/>
  <c r="L521" i="39"/>
  <c r="K521" i="39"/>
  <c r="L520" i="39"/>
  <c r="K520" i="39"/>
  <c r="L519" i="39"/>
  <c r="K519" i="39"/>
  <c r="L518" i="39"/>
  <c r="K518" i="39"/>
  <c r="L517" i="39"/>
  <c r="K517" i="39"/>
  <c r="L516" i="39"/>
  <c r="K516" i="39"/>
  <c r="L515" i="39"/>
  <c r="K515" i="39"/>
  <c r="S514" i="39"/>
  <c r="M514" i="39"/>
  <c r="L514" i="39"/>
  <c r="K514" i="39"/>
  <c r="L513" i="39"/>
  <c r="K513" i="39"/>
  <c r="L512" i="39"/>
  <c r="K512" i="39"/>
  <c r="L511" i="39"/>
  <c r="K511" i="39"/>
  <c r="L510" i="39"/>
  <c r="K510" i="39"/>
  <c r="L509" i="39"/>
  <c r="K509" i="39"/>
  <c r="S508" i="39"/>
  <c r="M508" i="39"/>
  <c r="L508" i="39"/>
  <c r="K508" i="39"/>
  <c r="L507" i="39"/>
  <c r="K507" i="39"/>
  <c r="L506" i="39"/>
  <c r="K506" i="39"/>
  <c r="L505" i="39"/>
  <c r="K505" i="39"/>
  <c r="L504" i="39"/>
  <c r="K504" i="39"/>
  <c r="L503" i="39"/>
  <c r="K503" i="39"/>
  <c r="S502" i="39"/>
  <c r="M502" i="39"/>
  <c r="L502" i="39"/>
  <c r="K502" i="39"/>
  <c r="L501" i="39"/>
  <c r="K501" i="39"/>
  <c r="L500" i="39"/>
  <c r="K500" i="39"/>
  <c r="L499" i="39"/>
  <c r="K499" i="39"/>
  <c r="S498" i="39"/>
  <c r="M498" i="39"/>
  <c r="L498" i="39"/>
  <c r="K498" i="39"/>
  <c r="L497" i="39"/>
  <c r="K497" i="39"/>
  <c r="L496" i="39"/>
  <c r="K496" i="39"/>
  <c r="L495" i="39"/>
  <c r="K495" i="39"/>
  <c r="S494" i="39"/>
  <c r="M494" i="39"/>
  <c r="L494" i="39"/>
  <c r="K494" i="39"/>
  <c r="L493" i="39"/>
  <c r="K493" i="39"/>
  <c r="L492" i="39"/>
  <c r="K492" i="39"/>
  <c r="L491" i="39"/>
  <c r="K491" i="39"/>
  <c r="S490" i="39"/>
  <c r="M490" i="39"/>
  <c r="L490" i="39"/>
  <c r="K490" i="39"/>
  <c r="L489" i="39"/>
  <c r="K489" i="39"/>
  <c r="L488" i="39"/>
  <c r="K488" i="39"/>
  <c r="L487" i="39"/>
  <c r="K487" i="39"/>
  <c r="S486" i="39"/>
  <c r="M486" i="39"/>
  <c r="L486" i="39"/>
  <c r="K486" i="39"/>
  <c r="L485" i="39"/>
  <c r="K485" i="39"/>
  <c r="L484" i="39"/>
  <c r="K484" i="39"/>
  <c r="L483" i="39"/>
  <c r="K483" i="39"/>
  <c r="S482" i="39"/>
  <c r="M482" i="39"/>
  <c r="L482" i="39"/>
  <c r="K482" i="39"/>
  <c r="L481" i="39"/>
  <c r="K481" i="39"/>
  <c r="L480" i="39"/>
  <c r="K480" i="39"/>
  <c r="L479" i="39"/>
  <c r="K479" i="39"/>
  <c r="S478" i="39"/>
  <c r="M478" i="39"/>
  <c r="L478" i="39"/>
  <c r="K478" i="39"/>
  <c r="L477" i="39"/>
  <c r="K477" i="39"/>
  <c r="L476" i="39"/>
  <c r="K476" i="39"/>
  <c r="L475" i="39"/>
  <c r="K475" i="39"/>
  <c r="S474" i="39"/>
  <c r="M474" i="39"/>
  <c r="L474" i="39"/>
  <c r="K474" i="39"/>
  <c r="L473" i="39"/>
  <c r="K473" i="39"/>
  <c r="L472" i="39"/>
  <c r="K472" i="39"/>
  <c r="L471" i="39"/>
  <c r="K471" i="39"/>
  <c r="S470" i="39"/>
  <c r="M470" i="39"/>
  <c r="L470" i="39"/>
  <c r="K470" i="39"/>
  <c r="L469" i="39"/>
  <c r="K469" i="39"/>
  <c r="L468" i="39"/>
  <c r="K468" i="39"/>
  <c r="L467" i="39"/>
  <c r="K467" i="39"/>
  <c r="S466" i="39"/>
  <c r="M466" i="39"/>
  <c r="L466" i="39"/>
  <c r="K466" i="39"/>
  <c r="L465" i="39"/>
  <c r="K465" i="39"/>
  <c r="L464" i="39"/>
  <c r="K464" i="39"/>
  <c r="L463" i="39"/>
  <c r="K463" i="39"/>
  <c r="S462" i="39"/>
  <c r="M462" i="39"/>
  <c r="L462" i="39"/>
  <c r="K462" i="39"/>
  <c r="S461" i="39"/>
  <c r="M461" i="39"/>
  <c r="L461" i="39"/>
  <c r="K461" i="39"/>
  <c r="S460" i="39"/>
  <c r="M460" i="39"/>
  <c r="L460" i="39"/>
  <c r="K460" i="39"/>
  <c r="S459" i="39"/>
  <c r="M459" i="39"/>
  <c r="L459" i="39"/>
  <c r="K459" i="39"/>
  <c r="S458" i="39"/>
  <c r="M458" i="39"/>
  <c r="L458" i="39"/>
  <c r="K458" i="39"/>
  <c r="L457" i="39"/>
  <c r="K457" i="39"/>
  <c r="L456" i="39"/>
  <c r="K456" i="39"/>
  <c r="L455" i="39"/>
  <c r="K455" i="39"/>
  <c r="L454" i="39"/>
  <c r="K454" i="39"/>
  <c r="L453" i="39"/>
  <c r="K453" i="39"/>
  <c r="S452" i="39"/>
  <c r="M452" i="39"/>
  <c r="L452" i="39"/>
  <c r="K452" i="39"/>
  <c r="L451" i="39"/>
  <c r="K451" i="39"/>
  <c r="L450" i="39"/>
  <c r="K450" i="39"/>
  <c r="L449" i="39"/>
  <c r="K449" i="39"/>
  <c r="L448" i="39"/>
  <c r="K448" i="39"/>
  <c r="L447" i="39"/>
  <c r="K447" i="39"/>
  <c r="S446" i="39"/>
  <c r="M446" i="39"/>
  <c r="L446" i="39"/>
  <c r="K446" i="39"/>
  <c r="L445" i="39"/>
  <c r="K445" i="39"/>
  <c r="L444" i="39"/>
  <c r="K444" i="39"/>
  <c r="S443" i="39"/>
  <c r="M443" i="39"/>
  <c r="L443" i="39"/>
  <c r="K443" i="39"/>
  <c r="L442" i="39"/>
  <c r="K442" i="39"/>
  <c r="S441" i="39"/>
  <c r="M441" i="39"/>
  <c r="L441" i="39"/>
  <c r="K441" i="39"/>
  <c r="L440" i="39"/>
  <c r="K440" i="39"/>
  <c r="S439" i="39"/>
  <c r="M439" i="39"/>
  <c r="L439" i="39"/>
  <c r="K439" i="39"/>
  <c r="L438" i="39"/>
  <c r="K438" i="39"/>
  <c r="S437" i="39"/>
  <c r="M437" i="39"/>
  <c r="L437" i="39"/>
  <c r="K437" i="39"/>
  <c r="L436" i="39"/>
  <c r="K436" i="39"/>
  <c r="L435" i="39"/>
  <c r="K435" i="39"/>
  <c r="L434" i="39"/>
  <c r="K434" i="39"/>
  <c r="L433" i="39"/>
  <c r="K433" i="39"/>
  <c r="L432" i="39"/>
  <c r="K432" i="39"/>
  <c r="L431" i="39"/>
  <c r="K431" i="39"/>
  <c r="L430" i="39"/>
  <c r="K430" i="39"/>
  <c r="L429" i="39"/>
  <c r="K429" i="39"/>
  <c r="L428" i="39"/>
  <c r="K428" i="39"/>
  <c r="L427" i="39"/>
  <c r="K427" i="39"/>
  <c r="L426" i="39"/>
  <c r="K426" i="39"/>
  <c r="L425" i="39"/>
  <c r="K425" i="39"/>
  <c r="L424" i="39"/>
  <c r="K424" i="39"/>
  <c r="L423" i="39"/>
  <c r="K423" i="39"/>
  <c r="L422" i="39"/>
  <c r="K422" i="39"/>
  <c r="L421" i="39"/>
  <c r="K421" i="39"/>
  <c r="L420" i="39"/>
  <c r="K420" i="39"/>
  <c r="L419" i="39"/>
  <c r="K419" i="39"/>
  <c r="L418" i="39"/>
  <c r="K418" i="39"/>
  <c r="L417" i="39"/>
  <c r="K417" i="39"/>
  <c r="L416" i="39"/>
  <c r="K416" i="39"/>
  <c r="L415" i="39"/>
  <c r="K415" i="39"/>
  <c r="L414" i="39"/>
  <c r="K414" i="39"/>
  <c r="S413" i="39"/>
  <c r="M413" i="39"/>
  <c r="L413" i="39"/>
  <c r="K413" i="39"/>
  <c r="L412" i="39"/>
  <c r="K412" i="39"/>
  <c r="L411" i="39"/>
  <c r="K411" i="39"/>
  <c r="L410" i="39"/>
  <c r="K410" i="39"/>
  <c r="L409" i="39"/>
  <c r="K409" i="39"/>
  <c r="L408" i="39"/>
  <c r="K408" i="39"/>
  <c r="L407" i="39"/>
  <c r="K407" i="39"/>
  <c r="L406" i="39"/>
  <c r="K406" i="39"/>
  <c r="L405" i="39"/>
  <c r="K405" i="39"/>
  <c r="L404" i="39"/>
  <c r="K404" i="39"/>
  <c r="L403" i="39"/>
  <c r="K403" i="39"/>
  <c r="L402" i="39"/>
  <c r="K402" i="39"/>
  <c r="L401" i="39"/>
  <c r="K401" i="39"/>
  <c r="L400" i="39"/>
  <c r="K400" i="39"/>
  <c r="L399" i="39"/>
  <c r="K399" i="39"/>
  <c r="L398" i="39"/>
  <c r="K398" i="39"/>
  <c r="L397" i="39"/>
  <c r="K397" i="39"/>
  <c r="L396" i="39"/>
  <c r="K396" i="39"/>
  <c r="L395" i="39"/>
  <c r="K395" i="39"/>
  <c r="L394" i="39"/>
  <c r="K394" i="39"/>
  <c r="L393" i="39"/>
  <c r="K393" i="39"/>
  <c r="L392" i="39"/>
  <c r="K392" i="39"/>
  <c r="L391" i="39"/>
  <c r="K391" i="39"/>
  <c r="L390" i="39"/>
  <c r="K390" i="39"/>
  <c r="S389" i="39"/>
  <c r="M389" i="39"/>
  <c r="L389" i="39"/>
  <c r="K389" i="39"/>
  <c r="L388" i="39"/>
  <c r="K388" i="39"/>
  <c r="L387" i="39"/>
  <c r="K387" i="39"/>
  <c r="L386" i="39"/>
  <c r="K386" i="39"/>
  <c r="L385" i="39"/>
  <c r="K385" i="39"/>
  <c r="L384" i="39"/>
  <c r="K384" i="39"/>
  <c r="L383" i="39"/>
  <c r="K383" i="39"/>
  <c r="L382" i="39"/>
  <c r="K382" i="39"/>
  <c r="L381" i="39"/>
  <c r="K381" i="39"/>
  <c r="L380" i="39"/>
  <c r="K380" i="39"/>
  <c r="L379" i="39"/>
  <c r="K379" i="39"/>
  <c r="L378" i="39"/>
  <c r="K378" i="39"/>
  <c r="L377" i="39"/>
  <c r="K377" i="39"/>
  <c r="L376" i="39"/>
  <c r="K376" i="39"/>
  <c r="L375" i="39"/>
  <c r="K375" i="39"/>
  <c r="L374" i="39"/>
  <c r="K374" i="39"/>
  <c r="L373" i="39"/>
  <c r="K373" i="39"/>
  <c r="L372" i="39"/>
  <c r="K372" i="39"/>
  <c r="L371" i="39"/>
  <c r="K371" i="39"/>
  <c r="L370" i="39"/>
  <c r="K370" i="39"/>
  <c r="L369" i="39"/>
  <c r="K369" i="39"/>
  <c r="L368" i="39"/>
  <c r="K368" i="39"/>
  <c r="L367" i="39"/>
  <c r="K367" i="39"/>
  <c r="L366" i="39"/>
  <c r="K366" i="39"/>
  <c r="L365" i="39"/>
  <c r="K365" i="39"/>
  <c r="L364" i="39"/>
  <c r="K364" i="39"/>
  <c r="L363" i="39"/>
  <c r="K363" i="39"/>
  <c r="L362" i="39"/>
  <c r="K362" i="39"/>
  <c r="L361" i="39"/>
  <c r="K361" i="39"/>
  <c r="L360" i="39"/>
  <c r="K360" i="39"/>
  <c r="S359" i="39"/>
  <c r="M359" i="39"/>
  <c r="L359" i="39"/>
  <c r="K359" i="39"/>
  <c r="S358" i="39"/>
  <c r="M358" i="39"/>
  <c r="L358" i="39"/>
  <c r="K358" i="39"/>
  <c r="S357" i="39"/>
  <c r="M357" i="39"/>
  <c r="L357" i="39"/>
  <c r="K357" i="39"/>
  <c r="S356" i="39"/>
  <c r="M356" i="39"/>
  <c r="L356" i="39"/>
  <c r="K356" i="39"/>
  <c r="S355" i="39"/>
  <c r="M355" i="39"/>
  <c r="L355" i="39"/>
  <c r="K355" i="39"/>
  <c r="L354" i="39"/>
  <c r="K354" i="39"/>
  <c r="L353" i="39"/>
  <c r="K353" i="39"/>
  <c r="S352" i="39"/>
  <c r="M352" i="39"/>
  <c r="L352" i="39"/>
  <c r="K352" i="39"/>
  <c r="L351" i="39"/>
  <c r="K351" i="39"/>
  <c r="L350" i="39"/>
  <c r="K350" i="39"/>
  <c r="S349" i="39"/>
  <c r="M349" i="39"/>
  <c r="L349" i="39"/>
  <c r="K349" i="39"/>
  <c r="L348" i="39"/>
  <c r="K348" i="39"/>
  <c r="L347" i="39"/>
  <c r="K347" i="39"/>
  <c r="S346" i="39"/>
  <c r="M346" i="39"/>
  <c r="L346" i="39"/>
  <c r="K346" i="39"/>
  <c r="L345" i="39"/>
  <c r="K345" i="39"/>
  <c r="L344" i="39"/>
  <c r="K344" i="39"/>
  <c r="S343" i="39"/>
  <c r="M343" i="39"/>
  <c r="L343" i="39"/>
  <c r="K343" i="39"/>
  <c r="L342" i="39"/>
  <c r="K342" i="39"/>
  <c r="L341" i="39"/>
  <c r="K341" i="39"/>
  <c r="S340" i="39"/>
  <c r="M340" i="39"/>
  <c r="L340" i="39"/>
  <c r="K340" i="39"/>
  <c r="L339" i="39"/>
  <c r="K339" i="39"/>
  <c r="L338" i="39"/>
  <c r="K338" i="39"/>
  <c r="S337" i="39"/>
  <c r="M337" i="39"/>
  <c r="L337" i="39"/>
  <c r="K337" i="39"/>
  <c r="L336" i="39"/>
  <c r="K336" i="39"/>
  <c r="S335" i="39"/>
  <c r="M335" i="39"/>
  <c r="L335" i="39"/>
  <c r="K335" i="39"/>
  <c r="L334" i="39"/>
  <c r="K334" i="39"/>
  <c r="S333" i="39"/>
  <c r="M333" i="39"/>
  <c r="L333" i="39"/>
  <c r="K333" i="39"/>
  <c r="L332" i="39"/>
  <c r="K332" i="39"/>
  <c r="S331" i="39"/>
  <c r="M331" i="39"/>
  <c r="L331" i="39"/>
  <c r="K331" i="39"/>
  <c r="S330" i="39"/>
  <c r="M330" i="39"/>
  <c r="L330" i="39"/>
  <c r="K330" i="39"/>
  <c r="L329" i="39"/>
  <c r="K329" i="39"/>
  <c r="S328" i="39"/>
  <c r="M328" i="39"/>
  <c r="L328" i="39"/>
  <c r="K328" i="39"/>
  <c r="L327" i="39"/>
  <c r="K327" i="39"/>
  <c r="L326" i="39"/>
  <c r="K326" i="39"/>
  <c r="S325" i="39"/>
  <c r="M325" i="39"/>
  <c r="L325" i="39"/>
  <c r="K325" i="39"/>
  <c r="L324" i="39"/>
  <c r="K324" i="39"/>
  <c r="S323" i="39"/>
  <c r="M323" i="39"/>
  <c r="L323" i="39"/>
  <c r="K323" i="39"/>
  <c r="L322" i="39"/>
  <c r="K322" i="39"/>
  <c r="L321" i="39"/>
  <c r="K321" i="39"/>
  <c r="S320" i="39"/>
  <c r="M320" i="39"/>
  <c r="L320" i="39"/>
  <c r="K320" i="39"/>
  <c r="L319" i="39"/>
  <c r="K319" i="39"/>
  <c r="L318" i="39"/>
  <c r="K318" i="39"/>
  <c r="L317" i="39"/>
  <c r="K317" i="39"/>
  <c r="S316" i="39"/>
  <c r="M316" i="39"/>
  <c r="L316" i="39"/>
  <c r="K316" i="39"/>
  <c r="L315" i="39"/>
  <c r="K315" i="39"/>
  <c r="L314" i="39"/>
  <c r="K314" i="39"/>
  <c r="L313" i="39"/>
  <c r="K313" i="39"/>
  <c r="L312" i="39"/>
  <c r="K312" i="39"/>
  <c r="L311" i="39"/>
  <c r="K311" i="39"/>
  <c r="L310" i="39"/>
  <c r="K310" i="39"/>
  <c r="L309" i="39"/>
  <c r="K309" i="39"/>
  <c r="L308" i="39"/>
  <c r="K308" i="39"/>
  <c r="L307" i="39"/>
  <c r="K307" i="39"/>
  <c r="L306" i="39"/>
  <c r="K306" i="39"/>
  <c r="L305" i="39"/>
  <c r="K305" i="39"/>
  <c r="L304" i="39"/>
  <c r="K304" i="39"/>
  <c r="L303" i="39"/>
  <c r="K303" i="39"/>
  <c r="L302" i="39"/>
  <c r="K302" i="39"/>
  <c r="L301" i="39"/>
  <c r="K301" i="39"/>
  <c r="L300" i="39"/>
  <c r="K300" i="39"/>
  <c r="L299" i="39"/>
  <c r="K299" i="39"/>
  <c r="L298" i="39"/>
  <c r="K298" i="39"/>
  <c r="L297" i="39"/>
  <c r="K297" i="39"/>
  <c r="L296" i="39"/>
  <c r="K296" i="39"/>
  <c r="L295" i="39"/>
  <c r="K295" i="39"/>
  <c r="L294" i="39"/>
  <c r="K294" i="39"/>
  <c r="L293" i="39"/>
  <c r="K293" i="39"/>
  <c r="L292" i="39"/>
  <c r="K292" i="39"/>
  <c r="L291" i="39"/>
  <c r="K291" i="39"/>
  <c r="S290" i="39"/>
  <c r="M290" i="39"/>
  <c r="L290" i="39"/>
  <c r="K290" i="39"/>
  <c r="L289" i="39"/>
  <c r="K289" i="39"/>
  <c r="L288" i="39"/>
  <c r="K288" i="39"/>
  <c r="L287" i="39"/>
  <c r="K287" i="39"/>
  <c r="L286" i="39"/>
  <c r="K286" i="39"/>
  <c r="L285" i="39"/>
  <c r="K285" i="39"/>
  <c r="L284" i="39"/>
  <c r="K284" i="39"/>
  <c r="L283" i="39"/>
  <c r="K283" i="39"/>
  <c r="L282" i="39"/>
  <c r="K282" i="39"/>
  <c r="L281" i="39"/>
  <c r="K281" i="39"/>
  <c r="L280" i="39"/>
  <c r="K280" i="39"/>
  <c r="L279" i="39"/>
  <c r="K279" i="39"/>
  <c r="L278" i="39"/>
  <c r="K278" i="39"/>
  <c r="L277" i="39"/>
  <c r="K277" i="39"/>
  <c r="L276" i="39"/>
  <c r="K276" i="39"/>
  <c r="L275" i="39"/>
  <c r="K275" i="39"/>
  <c r="L274" i="39"/>
  <c r="K274" i="39"/>
  <c r="L273" i="39"/>
  <c r="K273" i="39"/>
  <c r="L272" i="39"/>
  <c r="K272" i="39"/>
  <c r="L271" i="39"/>
  <c r="K271" i="39"/>
  <c r="L270" i="39"/>
  <c r="K270" i="39"/>
  <c r="L269" i="39"/>
  <c r="K269" i="39"/>
  <c r="L268" i="39"/>
  <c r="K268" i="39"/>
  <c r="L267" i="39"/>
  <c r="K267" i="39"/>
  <c r="L266" i="39"/>
  <c r="K266" i="39"/>
  <c r="L265" i="39"/>
  <c r="K265" i="39"/>
  <c r="L264" i="39"/>
  <c r="K264" i="39"/>
  <c r="S263" i="39"/>
  <c r="M263" i="39"/>
  <c r="L263" i="39"/>
  <c r="K263" i="39"/>
  <c r="L262" i="39"/>
  <c r="K262" i="39"/>
  <c r="L261" i="39"/>
  <c r="K261" i="39"/>
  <c r="L260" i="39"/>
  <c r="K260" i="39"/>
  <c r="L259" i="39"/>
  <c r="K259" i="39"/>
  <c r="L258" i="39"/>
  <c r="K258" i="39"/>
  <c r="L257" i="39"/>
  <c r="K257" i="39"/>
  <c r="L256" i="39"/>
  <c r="K256" i="39"/>
  <c r="L255" i="39"/>
  <c r="K255" i="39"/>
  <c r="L254" i="39"/>
  <c r="K254" i="39"/>
  <c r="L253" i="39"/>
  <c r="K253" i="39"/>
  <c r="L252" i="39"/>
  <c r="K252" i="39"/>
  <c r="L251" i="39"/>
  <c r="K251" i="39"/>
  <c r="L250" i="39"/>
  <c r="K250" i="39"/>
  <c r="L249" i="39"/>
  <c r="K249" i="39"/>
  <c r="L248" i="39"/>
  <c r="K248" i="39"/>
  <c r="L247" i="39"/>
  <c r="K247" i="39"/>
  <c r="L246" i="39"/>
  <c r="K246" i="39"/>
  <c r="L245" i="39"/>
  <c r="K245" i="39"/>
  <c r="L244" i="39"/>
  <c r="K244" i="39"/>
  <c r="L243" i="39"/>
  <c r="K243" i="39"/>
  <c r="L242" i="39"/>
  <c r="K242" i="39"/>
  <c r="L241" i="39"/>
  <c r="K241" i="39"/>
  <c r="L240" i="39"/>
  <c r="K240" i="39"/>
  <c r="L239" i="39"/>
  <c r="K239" i="39"/>
  <c r="L238" i="39"/>
  <c r="K238" i="39"/>
  <c r="L237" i="39"/>
  <c r="K237" i="39"/>
  <c r="S236" i="39"/>
  <c r="M236" i="39"/>
  <c r="L236" i="39"/>
  <c r="K236" i="39"/>
  <c r="L235" i="39"/>
  <c r="K235" i="39"/>
  <c r="L234" i="39"/>
  <c r="K234" i="39"/>
  <c r="L233" i="39"/>
  <c r="K233" i="39"/>
  <c r="L232" i="39"/>
  <c r="K232" i="39"/>
  <c r="L231" i="39"/>
  <c r="K231" i="39"/>
  <c r="L230" i="39"/>
  <c r="K230" i="39"/>
  <c r="L229" i="39"/>
  <c r="K229" i="39"/>
  <c r="L228" i="39"/>
  <c r="K228" i="39"/>
  <c r="L227" i="39"/>
  <c r="K227" i="39"/>
  <c r="L226" i="39"/>
  <c r="K226" i="39"/>
  <c r="L225" i="39"/>
  <c r="K225" i="39"/>
  <c r="L224" i="39"/>
  <c r="K224" i="39"/>
  <c r="L223" i="39"/>
  <c r="K223" i="39"/>
  <c r="L222" i="39"/>
  <c r="K222" i="39"/>
  <c r="L221" i="39"/>
  <c r="K221" i="39"/>
  <c r="L220" i="39"/>
  <c r="K220" i="39"/>
  <c r="L219" i="39"/>
  <c r="K219" i="39"/>
  <c r="L218" i="39"/>
  <c r="K218" i="39"/>
  <c r="L217" i="39"/>
  <c r="K217" i="39"/>
  <c r="L216" i="39"/>
  <c r="K216" i="39"/>
  <c r="L215" i="39"/>
  <c r="K215" i="39"/>
  <c r="L214" i="39"/>
  <c r="K214" i="39"/>
  <c r="L213" i="39"/>
  <c r="K213" i="39"/>
  <c r="L212" i="39"/>
  <c r="K212" i="39"/>
  <c r="S211" i="39"/>
  <c r="M211" i="39"/>
  <c r="L211" i="39"/>
  <c r="K211" i="39"/>
  <c r="L210" i="39"/>
  <c r="K210" i="39"/>
  <c r="L209" i="39"/>
  <c r="K209" i="39"/>
  <c r="L208" i="39"/>
  <c r="K208" i="39"/>
  <c r="L207" i="39"/>
  <c r="K207" i="39"/>
  <c r="L206" i="39"/>
  <c r="K206" i="39"/>
  <c r="L205" i="39"/>
  <c r="K205" i="39"/>
  <c r="L204" i="39"/>
  <c r="K204" i="39"/>
  <c r="L203" i="39"/>
  <c r="K203" i="39"/>
  <c r="L202" i="39"/>
  <c r="K202" i="39"/>
  <c r="L201" i="39"/>
  <c r="K201" i="39"/>
  <c r="L200" i="39"/>
  <c r="K200" i="39"/>
  <c r="L199" i="39"/>
  <c r="K199" i="39"/>
  <c r="L198" i="39"/>
  <c r="K198" i="39"/>
  <c r="L197" i="39"/>
  <c r="K197" i="39"/>
  <c r="L196" i="39"/>
  <c r="K196" i="39"/>
  <c r="L195" i="39"/>
  <c r="K195" i="39"/>
  <c r="L194" i="39"/>
  <c r="K194" i="39"/>
  <c r="L193" i="39"/>
  <c r="K193" i="39"/>
  <c r="L192" i="39"/>
  <c r="K192" i="39"/>
  <c r="L191" i="39"/>
  <c r="K191" i="39"/>
  <c r="L190" i="39"/>
  <c r="K190" i="39"/>
  <c r="L189" i="39"/>
  <c r="K189" i="39"/>
  <c r="L188" i="39"/>
  <c r="K188" i="39"/>
  <c r="L187" i="39"/>
  <c r="K187" i="39"/>
  <c r="L186" i="39"/>
  <c r="K186" i="39"/>
  <c r="S185" i="39"/>
  <c r="M185" i="39"/>
  <c r="L185" i="39"/>
  <c r="K185" i="39"/>
  <c r="S184" i="39"/>
  <c r="M184" i="39"/>
  <c r="L184" i="39"/>
  <c r="K184" i="39"/>
  <c r="L183" i="39"/>
  <c r="K183" i="39"/>
  <c r="L182" i="39"/>
  <c r="K182" i="39"/>
  <c r="S181" i="39"/>
  <c r="M181" i="39"/>
  <c r="L181" i="39"/>
  <c r="K181" i="39"/>
  <c r="L180" i="39"/>
  <c r="K180" i="39"/>
  <c r="L179" i="39"/>
  <c r="K179" i="39"/>
  <c r="L178" i="39"/>
  <c r="K178" i="39"/>
  <c r="S177" i="39"/>
  <c r="M177" i="39"/>
  <c r="L177" i="39"/>
  <c r="K177" i="39"/>
  <c r="L176" i="39"/>
  <c r="K176" i="39"/>
  <c r="L175" i="39"/>
  <c r="K175" i="39"/>
  <c r="L174" i="39"/>
  <c r="K174" i="39"/>
  <c r="S173" i="39"/>
  <c r="M173" i="39"/>
  <c r="L173" i="39"/>
  <c r="K173" i="39"/>
  <c r="L172" i="39"/>
  <c r="K172" i="39"/>
  <c r="L171" i="39"/>
  <c r="K171" i="39"/>
  <c r="L170" i="39"/>
  <c r="K170" i="39"/>
  <c r="S169" i="39"/>
  <c r="M169" i="39"/>
  <c r="L169" i="39"/>
  <c r="K169" i="39"/>
  <c r="L168" i="39"/>
  <c r="K168" i="39"/>
  <c r="L167" i="39"/>
  <c r="K167" i="39"/>
  <c r="L166" i="39"/>
  <c r="K166" i="39"/>
  <c r="S165" i="39"/>
  <c r="M165" i="39"/>
  <c r="L165" i="39"/>
  <c r="K165" i="39"/>
  <c r="L164" i="39"/>
  <c r="K164" i="39"/>
  <c r="L163" i="39"/>
  <c r="K163" i="39"/>
  <c r="L162" i="39"/>
  <c r="K162" i="39"/>
  <c r="S161" i="39"/>
  <c r="M161" i="39"/>
  <c r="L161" i="39"/>
  <c r="K161" i="39"/>
  <c r="L160" i="39"/>
  <c r="K160" i="39"/>
  <c r="L159" i="39"/>
  <c r="K159" i="39"/>
  <c r="S158" i="39"/>
  <c r="M158" i="39"/>
  <c r="L158" i="39"/>
  <c r="K158" i="39"/>
  <c r="L157" i="39"/>
  <c r="K157" i="39"/>
  <c r="L156" i="39"/>
  <c r="K156" i="39"/>
  <c r="S155" i="39"/>
  <c r="M155" i="39"/>
  <c r="L155" i="39"/>
  <c r="K155" i="39"/>
  <c r="L154" i="39"/>
  <c r="K154" i="39"/>
  <c r="L153" i="39"/>
  <c r="K153" i="39"/>
  <c r="S152" i="39"/>
  <c r="M152" i="39"/>
  <c r="L152" i="39"/>
  <c r="K152" i="39"/>
  <c r="L151" i="39"/>
  <c r="K151" i="39"/>
  <c r="L150" i="39"/>
  <c r="K150" i="39"/>
  <c r="S149" i="39"/>
  <c r="M149" i="39"/>
  <c r="L149" i="39"/>
  <c r="K149" i="39"/>
  <c r="L148" i="39"/>
  <c r="K148" i="39"/>
  <c r="L147" i="39"/>
  <c r="K147" i="39"/>
  <c r="S146" i="39"/>
  <c r="M146" i="39"/>
  <c r="L146" i="39"/>
  <c r="K146" i="39"/>
  <c r="S145" i="39"/>
  <c r="M145" i="39"/>
  <c r="L145" i="39"/>
  <c r="K145" i="39"/>
  <c r="S144" i="39"/>
  <c r="M144" i="39"/>
  <c r="L144" i="39"/>
  <c r="K144" i="39"/>
  <c r="S143" i="39"/>
  <c r="M143" i="39"/>
  <c r="L143" i="39"/>
  <c r="K143" i="39"/>
  <c r="L142" i="39"/>
  <c r="K142" i="39"/>
  <c r="S141" i="39"/>
  <c r="M141" i="39"/>
  <c r="L141" i="39"/>
  <c r="K141" i="39"/>
  <c r="S140" i="39"/>
  <c r="M140" i="39"/>
  <c r="L140" i="39"/>
  <c r="K140" i="39"/>
  <c r="S139" i="39"/>
  <c r="M139" i="39"/>
  <c r="L139" i="39"/>
  <c r="K139" i="39"/>
  <c r="S138" i="39"/>
  <c r="M138" i="39"/>
  <c r="L138" i="39"/>
  <c r="K138" i="39"/>
  <c r="L137" i="39"/>
  <c r="K137" i="39"/>
  <c r="S136" i="39"/>
  <c r="M136" i="39"/>
  <c r="L136" i="39"/>
  <c r="K136" i="39"/>
  <c r="S135" i="39"/>
  <c r="M135" i="39"/>
  <c r="L135" i="39"/>
  <c r="K135" i="39"/>
  <c r="L134" i="39"/>
  <c r="K134" i="39"/>
  <c r="L133" i="39"/>
  <c r="K133" i="39"/>
  <c r="L132" i="39"/>
  <c r="K132" i="39"/>
  <c r="L131" i="39"/>
  <c r="K131" i="39"/>
  <c r="L130" i="39"/>
  <c r="K130" i="39"/>
  <c r="L129" i="39"/>
  <c r="K129" i="39"/>
  <c r="L128" i="39"/>
  <c r="K128" i="39"/>
  <c r="L127" i="39"/>
  <c r="K127" i="39"/>
  <c r="L126" i="39"/>
  <c r="K126" i="39"/>
  <c r="S125" i="39"/>
  <c r="M125" i="39"/>
  <c r="L125" i="39"/>
  <c r="K125" i="39"/>
  <c r="L124" i="39"/>
  <c r="K124" i="39"/>
  <c r="L123" i="39"/>
  <c r="K123" i="39"/>
  <c r="L122" i="39"/>
  <c r="K122" i="39"/>
  <c r="L121" i="39"/>
  <c r="K121" i="39"/>
  <c r="L120" i="39"/>
  <c r="K120" i="39"/>
  <c r="S119" i="39"/>
  <c r="M119" i="39"/>
  <c r="L119" i="39"/>
  <c r="K119" i="39"/>
  <c r="L118" i="39"/>
  <c r="K118" i="39"/>
  <c r="L117" i="39"/>
  <c r="K117" i="39"/>
  <c r="L116" i="39"/>
  <c r="K116" i="39"/>
  <c r="L115" i="39"/>
  <c r="K115" i="39"/>
  <c r="L114" i="39"/>
  <c r="K114" i="39"/>
  <c r="S113" i="39"/>
  <c r="M113" i="39"/>
  <c r="L113" i="39"/>
  <c r="K113" i="39"/>
  <c r="L112" i="39"/>
  <c r="K112" i="39"/>
  <c r="L111" i="39"/>
  <c r="K111" i="39"/>
  <c r="L110" i="39"/>
  <c r="K110" i="39"/>
  <c r="L109" i="39"/>
  <c r="K109" i="39"/>
  <c r="L108" i="39"/>
  <c r="K108" i="39"/>
  <c r="S107" i="39"/>
  <c r="M107" i="39"/>
  <c r="L107" i="39"/>
  <c r="K107" i="39"/>
  <c r="L106" i="39"/>
  <c r="K106" i="39"/>
  <c r="L105" i="39"/>
  <c r="K105" i="39"/>
  <c r="L104" i="39"/>
  <c r="K104" i="39"/>
  <c r="L103" i="39"/>
  <c r="K103" i="39"/>
  <c r="L102" i="39"/>
  <c r="K102" i="39"/>
  <c r="S101" i="39"/>
  <c r="M101" i="39"/>
  <c r="L101" i="39"/>
  <c r="K101" i="39"/>
  <c r="L100" i="39"/>
  <c r="K100" i="39"/>
  <c r="L99" i="39"/>
  <c r="K99" i="39"/>
  <c r="L98" i="39"/>
  <c r="K98" i="39"/>
  <c r="L97" i="39"/>
  <c r="K97" i="39"/>
  <c r="L96" i="39"/>
  <c r="K96" i="39"/>
  <c r="S95" i="39"/>
  <c r="M95" i="39"/>
  <c r="L95" i="39"/>
  <c r="K95" i="39"/>
  <c r="L94" i="39"/>
  <c r="K94" i="39"/>
  <c r="L93" i="39"/>
  <c r="K93" i="39"/>
  <c r="L92" i="39"/>
  <c r="K92" i="39"/>
  <c r="L91" i="39"/>
  <c r="K91" i="39"/>
  <c r="L90" i="39"/>
  <c r="K90" i="39"/>
  <c r="S89" i="39"/>
  <c r="M89" i="39"/>
  <c r="L89" i="39"/>
  <c r="K89" i="39"/>
  <c r="S88" i="39"/>
  <c r="M88" i="39"/>
  <c r="L88" i="39"/>
  <c r="K88" i="39"/>
  <c r="L87" i="39"/>
  <c r="K87" i="39"/>
  <c r="L86" i="39"/>
  <c r="K86" i="39"/>
  <c r="S85" i="39"/>
  <c r="M85" i="39"/>
  <c r="L85" i="39"/>
  <c r="K85" i="39"/>
  <c r="L84" i="39"/>
  <c r="K84" i="39"/>
  <c r="L83" i="39"/>
  <c r="K83" i="39"/>
  <c r="S82" i="39"/>
  <c r="M82" i="39"/>
  <c r="L82" i="39"/>
  <c r="K82" i="39"/>
  <c r="S81" i="39"/>
  <c r="M81" i="39"/>
  <c r="L81" i="39"/>
  <c r="K81" i="39"/>
  <c r="S80" i="39"/>
  <c r="M80" i="39"/>
  <c r="L80" i="39"/>
  <c r="K80" i="39"/>
  <c r="L79" i="39"/>
  <c r="K79" i="39"/>
  <c r="L78" i="39"/>
  <c r="K78" i="39"/>
  <c r="S77" i="39"/>
  <c r="M77" i="39"/>
  <c r="L77" i="39"/>
  <c r="K77" i="39"/>
  <c r="S76" i="39"/>
  <c r="M76" i="39"/>
  <c r="L76" i="39"/>
  <c r="K76" i="39"/>
  <c r="S75" i="39"/>
  <c r="M75" i="39"/>
  <c r="L75" i="39"/>
  <c r="K75" i="39"/>
  <c r="L74" i="39"/>
  <c r="K74" i="39"/>
  <c r="L73" i="39"/>
  <c r="K73" i="39"/>
  <c r="L72" i="39"/>
  <c r="K72" i="39"/>
  <c r="L71" i="39"/>
  <c r="K71" i="39"/>
  <c r="L70" i="39"/>
  <c r="K70" i="39"/>
  <c r="S69" i="39"/>
  <c r="M69" i="39"/>
  <c r="L69" i="39"/>
  <c r="K69" i="39"/>
  <c r="S68" i="39"/>
  <c r="M68" i="39"/>
  <c r="L68" i="39"/>
  <c r="K68" i="39"/>
  <c r="S67" i="39"/>
  <c r="M67" i="39"/>
  <c r="L67" i="39"/>
  <c r="K67" i="39"/>
  <c r="S66" i="39"/>
  <c r="M66" i="39"/>
  <c r="L66" i="39"/>
  <c r="K66" i="39"/>
  <c r="S65" i="39"/>
  <c r="M65" i="39"/>
  <c r="L65" i="39"/>
  <c r="K65" i="39"/>
  <c r="S64" i="39"/>
  <c r="M64" i="39"/>
  <c r="L64" i="39"/>
  <c r="K64" i="39"/>
  <c r="S63" i="39"/>
  <c r="M63" i="39"/>
  <c r="L63" i="39"/>
  <c r="K63" i="39"/>
  <c r="S62" i="39"/>
  <c r="M62" i="39"/>
  <c r="L62" i="39"/>
  <c r="K62" i="39"/>
  <c r="L61" i="39"/>
  <c r="K61" i="39"/>
  <c r="L60" i="39"/>
  <c r="K60" i="39"/>
  <c r="L59" i="39"/>
  <c r="K59" i="39"/>
  <c r="S58" i="39"/>
  <c r="M58" i="39"/>
  <c r="L58" i="39"/>
  <c r="K58" i="39"/>
  <c r="S57" i="39"/>
  <c r="M57" i="39"/>
  <c r="L57" i="39"/>
  <c r="K57" i="39"/>
  <c r="S56" i="39"/>
  <c r="M56" i="39"/>
  <c r="L56" i="39"/>
  <c r="K56" i="39"/>
  <c r="L55" i="39"/>
  <c r="K55" i="39"/>
  <c r="L54" i="39"/>
  <c r="K54" i="39"/>
  <c r="L53" i="39"/>
  <c r="K53" i="39"/>
  <c r="L52" i="39"/>
  <c r="K52" i="39"/>
  <c r="L51" i="39"/>
  <c r="K51" i="39"/>
  <c r="S50" i="39"/>
  <c r="M50" i="39"/>
  <c r="L50" i="39"/>
  <c r="K50" i="39"/>
  <c r="S49" i="39"/>
  <c r="M49" i="39"/>
  <c r="L49" i="39"/>
  <c r="K49" i="39"/>
  <c r="S48" i="39"/>
  <c r="M48" i="39"/>
  <c r="L48" i="39"/>
  <c r="K48" i="39"/>
  <c r="S47" i="39"/>
  <c r="M47" i="39"/>
  <c r="L47" i="39"/>
  <c r="K47" i="39"/>
  <c r="L46" i="39"/>
  <c r="K46" i="39"/>
  <c r="L45" i="39"/>
  <c r="K45" i="39"/>
  <c r="L44" i="39"/>
  <c r="K44" i="39"/>
  <c r="L43" i="39"/>
  <c r="K43" i="39"/>
  <c r="L42" i="39"/>
  <c r="K42" i="39"/>
  <c r="S41" i="39"/>
  <c r="M41" i="39"/>
  <c r="L41" i="39"/>
  <c r="K41" i="39"/>
  <c r="L40" i="39"/>
  <c r="K40" i="39"/>
  <c r="L39" i="39"/>
  <c r="K39" i="39"/>
  <c r="L38" i="39"/>
  <c r="K38" i="39"/>
  <c r="L37" i="39"/>
  <c r="K37" i="39"/>
  <c r="L36" i="39"/>
  <c r="K36" i="39"/>
  <c r="S35" i="39"/>
  <c r="M35" i="39"/>
  <c r="L35" i="39"/>
  <c r="K35" i="39"/>
  <c r="L34" i="39"/>
  <c r="K34" i="39"/>
  <c r="L33" i="39"/>
  <c r="K33" i="39"/>
  <c r="L32" i="39"/>
  <c r="K32" i="39"/>
  <c r="L31" i="39"/>
  <c r="K31" i="39"/>
  <c r="L30" i="39"/>
  <c r="K30" i="39"/>
  <c r="S29" i="39"/>
  <c r="M29" i="39"/>
  <c r="L29" i="39"/>
  <c r="K29" i="39"/>
  <c r="L28" i="39"/>
  <c r="K28" i="39"/>
  <c r="L27" i="39"/>
  <c r="K27" i="39"/>
  <c r="L26" i="39"/>
  <c r="K26" i="39"/>
  <c r="L25" i="39"/>
  <c r="K25" i="39"/>
  <c r="L24" i="39"/>
  <c r="K24" i="39"/>
  <c r="S23" i="39"/>
  <c r="M23" i="39"/>
  <c r="L23" i="39"/>
  <c r="K23" i="39"/>
  <c r="L22" i="39"/>
  <c r="K22" i="39"/>
  <c r="L21" i="39"/>
  <c r="K21" i="39"/>
  <c r="L20" i="39"/>
  <c r="K20" i="39"/>
  <c r="L19" i="39"/>
  <c r="K19" i="39"/>
  <c r="L18" i="39"/>
  <c r="K18" i="39"/>
  <c r="S17" i="39"/>
  <c r="M17" i="39"/>
  <c r="L17" i="39"/>
  <c r="K17" i="39"/>
  <c r="L16" i="39"/>
  <c r="K16" i="39"/>
  <c r="L15" i="39"/>
  <c r="K15" i="39"/>
  <c r="L14" i="39"/>
  <c r="K14" i="39"/>
  <c r="L13" i="39"/>
  <c r="K13" i="39"/>
  <c r="L12" i="39"/>
  <c r="K12" i="39"/>
  <c r="S11" i="39"/>
  <c r="M11" i="39"/>
  <c r="L11" i="39"/>
  <c r="K11" i="39"/>
  <c r="S10" i="39"/>
  <c r="M10" i="39"/>
  <c r="M1" i="39" s="1"/>
  <c r="L10" i="39"/>
  <c r="K10" i="39"/>
  <c r="L9" i="39"/>
  <c r="K9" i="39"/>
  <c r="L8" i="39"/>
  <c r="K8" i="39"/>
  <c r="L7" i="39"/>
  <c r="K7" i="39"/>
  <c r="L6" i="39"/>
  <c r="K6" i="39"/>
  <c r="L5" i="39"/>
  <c r="K5" i="39"/>
  <c r="L4" i="39"/>
  <c r="K4" i="39"/>
  <c r="L3" i="39"/>
  <c r="K3" i="39"/>
  <c r="A56" i="26"/>
  <c r="A55" i="26"/>
  <c r="A54" i="26"/>
  <c r="A53" i="26"/>
  <c r="A52" i="26"/>
  <c r="A51" i="26"/>
  <c r="A50" i="26"/>
  <c r="A49" i="26"/>
  <c r="A48" i="26"/>
  <c r="K47" i="26"/>
  <c r="L47" i="26" s="1"/>
  <c r="A47" i="26"/>
  <c r="A46" i="26"/>
  <c r="A45" i="26"/>
  <c r="A44" i="26"/>
  <c r="K43" i="26"/>
  <c r="L43" i="26" s="1"/>
  <c r="A43" i="26"/>
  <c r="K42" i="26"/>
  <c r="L42" i="26" s="1"/>
  <c r="A42" i="26"/>
  <c r="K41" i="26"/>
  <c r="L41" i="26" s="1"/>
  <c r="A41" i="26"/>
  <c r="L40" i="26"/>
  <c r="A40" i="26"/>
  <c r="K40" i="26" s="1"/>
  <c r="L39" i="26"/>
  <c r="K39" i="26"/>
  <c r="A39" i="26"/>
  <c r="A38" i="26"/>
  <c r="K38" i="26" s="1"/>
  <c r="L38" i="26" s="1"/>
  <c r="A37" i="26"/>
  <c r="K37" i="26" s="1"/>
  <c r="L37" i="26" s="1"/>
  <c r="A36" i="26"/>
  <c r="K36" i="26" s="1"/>
  <c r="L36" i="26" s="1"/>
  <c r="K35" i="26"/>
  <c r="L35" i="26" s="1"/>
  <c r="A35" i="26"/>
  <c r="K34" i="26"/>
  <c r="L34" i="26" s="1"/>
  <c r="A34" i="26"/>
  <c r="K33" i="26"/>
  <c r="L33" i="26" s="1"/>
  <c r="A33" i="26"/>
  <c r="L32" i="26"/>
  <c r="A32" i="26"/>
  <c r="K32" i="26" s="1"/>
  <c r="L31" i="26"/>
  <c r="K31" i="26"/>
  <c r="A31" i="26"/>
  <c r="A30" i="26"/>
  <c r="K30" i="26" s="1"/>
  <c r="L30" i="26" s="1"/>
  <c r="A29" i="26"/>
  <c r="K29" i="26" s="1"/>
  <c r="L29" i="26" s="1"/>
  <c r="A28" i="26"/>
  <c r="K28" i="26" s="1"/>
  <c r="L28" i="26" s="1"/>
  <c r="K27" i="26"/>
  <c r="L27" i="26" s="1"/>
  <c r="A27" i="26"/>
  <c r="K26" i="26"/>
  <c r="L26" i="26" s="1"/>
  <c r="A26" i="26"/>
  <c r="K25" i="26"/>
  <c r="L25" i="26" s="1"/>
  <c r="A25" i="26"/>
  <c r="L24" i="26"/>
  <c r="A24" i="26"/>
  <c r="K24" i="26" s="1"/>
  <c r="L23" i="26"/>
  <c r="K23" i="26"/>
  <c r="A23" i="26"/>
  <c r="A22" i="26"/>
  <c r="K22" i="26" s="1"/>
  <c r="L22" i="26" s="1"/>
  <c r="A21" i="26"/>
  <c r="K21" i="26" s="1"/>
  <c r="L21" i="26" s="1"/>
  <c r="A20" i="26"/>
  <c r="K20" i="26" s="1"/>
  <c r="L20" i="26" s="1"/>
  <c r="K19" i="26"/>
  <c r="L19" i="26" s="1"/>
  <c r="A19" i="26"/>
  <c r="K18" i="26"/>
  <c r="L18" i="26" s="1"/>
  <c r="A18" i="26"/>
  <c r="K17" i="26"/>
  <c r="L17" i="26" s="1"/>
  <c r="A17" i="26"/>
  <c r="L16" i="26"/>
  <c r="A16" i="26"/>
  <c r="K16" i="26" s="1"/>
  <c r="L15" i="26"/>
  <c r="K15" i="26"/>
  <c r="A15" i="26"/>
  <c r="A14" i="26"/>
  <c r="K14" i="26" s="1"/>
  <c r="L14" i="26" s="1"/>
  <c r="A13" i="26"/>
  <c r="K13" i="26" s="1"/>
  <c r="L13" i="26" s="1"/>
  <c r="A12" i="26"/>
  <c r="K12" i="26" s="1"/>
  <c r="L12" i="26" s="1"/>
  <c r="K11" i="26"/>
  <c r="L11" i="26" s="1"/>
  <c r="A11" i="26"/>
  <c r="K10" i="26"/>
  <c r="L10" i="26" s="1"/>
  <c r="A10" i="26"/>
  <c r="K9" i="26"/>
  <c r="L9" i="26" s="1"/>
  <c r="A9" i="26"/>
  <c r="L8" i="26"/>
  <c r="A8" i="26"/>
  <c r="K8" i="26" s="1"/>
  <c r="L7" i="26"/>
  <c r="K7" i="26"/>
  <c r="A7" i="26"/>
  <c r="A6" i="26"/>
  <c r="K6" i="26" s="1"/>
  <c r="L6" i="26" s="1"/>
  <c r="A5" i="26"/>
  <c r="K5" i="26" s="1"/>
  <c r="L5" i="26" s="1"/>
  <c r="A4" i="26"/>
  <c r="L607" i="42"/>
  <c r="C607" i="42" s="1"/>
  <c r="D607" i="42" s="1"/>
  <c r="H607" i="42"/>
  <c r="G607" i="42"/>
  <c r="F607" i="42"/>
  <c r="B607" i="42"/>
  <c r="L606" i="42"/>
  <c r="H606" i="42"/>
  <c r="G606" i="42"/>
  <c r="F606" i="42"/>
  <c r="C606" i="42"/>
  <c r="D606" i="42" s="1"/>
  <c r="B606" i="42"/>
  <c r="L605" i="42"/>
  <c r="C605" i="42" s="1"/>
  <c r="H605" i="42"/>
  <c r="G605" i="42"/>
  <c r="F605" i="42"/>
  <c r="D605" i="42"/>
  <c r="B605" i="42"/>
  <c r="M604" i="42"/>
  <c r="N604" i="42" s="1"/>
  <c r="H604" i="42"/>
  <c r="G604" i="42"/>
  <c r="F604" i="42"/>
  <c r="D604" i="42"/>
  <c r="C604" i="42"/>
  <c r="B604" i="42"/>
  <c r="Q603" i="42"/>
  <c r="P603" i="42"/>
  <c r="M603" i="42"/>
  <c r="N603" i="42" s="1"/>
  <c r="H603" i="42"/>
  <c r="G603" i="42"/>
  <c r="F603" i="42"/>
  <c r="C603" i="42"/>
  <c r="D603" i="42" s="1"/>
  <c r="B603" i="42"/>
  <c r="L602" i="42"/>
  <c r="H602" i="42"/>
  <c r="G602" i="42"/>
  <c r="F602" i="42"/>
  <c r="C602" i="42"/>
  <c r="D602" i="42" s="1"/>
  <c r="B602" i="42"/>
  <c r="L601" i="42"/>
  <c r="C601" i="42" s="1"/>
  <c r="H601" i="42"/>
  <c r="G601" i="42"/>
  <c r="F601" i="42"/>
  <c r="D601" i="42"/>
  <c r="B601" i="42"/>
  <c r="L600" i="42"/>
  <c r="H600" i="42"/>
  <c r="G600" i="42"/>
  <c r="F600" i="42"/>
  <c r="C600" i="42"/>
  <c r="D600" i="42" s="1"/>
  <c r="B600" i="42"/>
  <c r="L599" i="42"/>
  <c r="C599" i="42" s="1"/>
  <c r="D599" i="42" s="1"/>
  <c r="H599" i="42"/>
  <c r="G599" i="42"/>
  <c r="F599" i="42"/>
  <c r="B599" i="42"/>
  <c r="L598" i="42"/>
  <c r="H598" i="42"/>
  <c r="G598" i="42"/>
  <c r="F598" i="42"/>
  <c r="C598" i="42"/>
  <c r="D598" i="42" s="1"/>
  <c r="B598" i="42"/>
  <c r="L597" i="42"/>
  <c r="C597" i="42" s="1"/>
  <c r="H597" i="42"/>
  <c r="G597" i="42"/>
  <c r="F597" i="42"/>
  <c r="D597" i="42"/>
  <c r="B597" i="42"/>
  <c r="N596" i="42"/>
  <c r="M596" i="42"/>
  <c r="H596" i="42"/>
  <c r="G596" i="42"/>
  <c r="F596" i="42"/>
  <c r="D596" i="42"/>
  <c r="C596" i="42"/>
  <c r="B596" i="42"/>
  <c r="L595" i="42"/>
  <c r="H595" i="42"/>
  <c r="G595" i="42"/>
  <c r="F595" i="42"/>
  <c r="C595" i="42"/>
  <c r="D595" i="42" s="1"/>
  <c r="B595" i="42"/>
  <c r="L594" i="42"/>
  <c r="H594" i="42"/>
  <c r="G594" i="42"/>
  <c r="F594" i="42"/>
  <c r="C594" i="42"/>
  <c r="D594" i="42" s="1"/>
  <c r="B594" i="42"/>
  <c r="L593" i="42"/>
  <c r="H593" i="42"/>
  <c r="G593" i="42"/>
  <c r="F593" i="42"/>
  <c r="C593" i="42"/>
  <c r="D593" i="42" s="1"/>
  <c r="B593" i="42"/>
  <c r="L592" i="42"/>
  <c r="C592" i="42" s="1"/>
  <c r="D592" i="42" s="1"/>
  <c r="H592" i="42"/>
  <c r="G592" i="42"/>
  <c r="F592" i="42"/>
  <c r="B592" i="42"/>
  <c r="L591" i="42"/>
  <c r="H591" i="42"/>
  <c r="G591" i="42"/>
  <c r="F591" i="42"/>
  <c r="C591" i="42"/>
  <c r="D591" i="42" s="1"/>
  <c r="B591" i="42"/>
  <c r="Q590" i="42"/>
  <c r="P590" i="42"/>
  <c r="M590" i="42"/>
  <c r="H590" i="42"/>
  <c r="N590" i="42" s="1"/>
  <c r="G590" i="42"/>
  <c r="F590" i="42"/>
  <c r="C590" i="42"/>
  <c r="D590" i="42" s="1"/>
  <c r="B590" i="42"/>
  <c r="L589" i="42"/>
  <c r="C589" i="42" s="1"/>
  <c r="D589" i="42" s="1"/>
  <c r="H589" i="42"/>
  <c r="G589" i="42"/>
  <c r="F589" i="42"/>
  <c r="B589" i="42"/>
  <c r="L588" i="42"/>
  <c r="H588" i="42"/>
  <c r="G588" i="42"/>
  <c r="F588" i="42"/>
  <c r="C588" i="42"/>
  <c r="D588" i="42" s="1"/>
  <c r="B588" i="42"/>
  <c r="L587" i="42"/>
  <c r="C587" i="42" s="1"/>
  <c r="D587" i="42" s="1"/>
  <c r="H587" i="42"/>
  <c r="G587" i="42"/>
  <c r="F587" i="42"/>
  <c r="B587" i="42"/>
  <c r="L586" i="42"/>
  <c r="H586" i="42"/>
  <c r="G586" i="42"/>
  <c r="F586" i="42"/>
  <c r="D586" i="42"/>
  <c r="C586" i="42"/>
  <c r="B586" i="42"/>
  <c r="L585" i="42"/>
  <c r="C585" i="42" s="1"/>
  <c r="D585" i="42" s="1"/>
  <c r="H585" i="42"/>
  <c r="G585" i="42"/>
  <c r="F585" i="42"/>
  <c r="B585" i="42"/>
  <c r="Q584" i="42"/>
  <c r="P584" i="42"/>
  <c r="M584" i="42"/>
  <c r="H584" i="42"/>
  <c r="G584" i="42"/>
  <c r="F584" i="42"/>
  <c r="D584" i="42"/>
  <c r="C584" i="42"/>
  <c r="B584" i="42"/>
  <c r="Q583" i="42"/>
  <c r="P583" i="42"/>
  <c r="M583" i="42"/>
  <c r="N583" i="42" s="1"/>
  <c r="H583" i="42"/>
  <c r="G583" i="42"/>
  <c r="F583" i="42"/>
  <c r="D583" i="42"/>
  <c r="C583" i="42"/>
  <c r="B583" i="42"/>
  <c r="Q582" i="42"/>
  <c r="P582" i="42"/>
  <c r="M582" i="42"/>
  <c r="N582" i="42" s="1"/>
  <c r="H582" i="42"/>
  <c r="G582" i="42"/>
  <c r="F582" i="42"/>
  <c r="C582" i="42"/>
  <c r="D582" i="42" s="1"/>
  <c r="B582" i="42"/>
  <c r="L581" i="42"/>
  <c r="H581" i="42"/>
  <c r="G581" i="42"/>
  <c r="F581" i="42"/>
  <c r="C581" i="42"/>
  <c r="D581" i="42" s="1"/>
  <c r="B581" i="42"/>
  <c r="M580" i="42"/>
  <c r="H580" i="42"/>
  <c r="N580" i="42" s="1"/>
  <c r="G580" i="42"/>
  <c r="F580" i="42"/>
  <c r="C580" i="42"/>
  <c r="D580" i="42" s="1"/>
  <c r="B580" i="42"/>
  <c r="Q579" i="42"/>
  <c r="P579" i="42"/>
  <c r="M579" i="42"/>
  <c r="H579" i="42"/>
  <c r="N579" i="42" s="1"/>
  <c r="G579" i="42"/>
  <c r="F579" i="42"/>
  <c r="C579" i="42"/>
  <c r="D579" i="42" s="1"/>
  <c r="B579" i="42"/>
  <c r="L578" i="42"/>
  <c r="C578" i="42" s="1"/>
  <c r="H578" i="42"/>
  <c r="G578" i="42"/>
  <c r="F578" i="42"/>
  <c r="D578" i="42"/>
  <c r="B578" i="42"/>
  <c r="L577" i="42"/>
  <c r="C577" i="42" s="1"/>
  <c r="D577" i="42" s="1"/>
  <c r="H577" i="42"/>
  <c r="G577" i="42"/>
  <c r="F577" i="42"/>
  <c r="B577" i="42"/>
  <c r="L576" i="42"/>
  <c r="C576" i="42" s="1"/>
  <c r="D576" i="42" s="1"/>
  <c r="H576" i="42"/>
  <c r="G576" i="42"/>
  <c r="F576" i="42"/>
  <c r="B576" i="42"/>
  <c r="L575" i="42"/>
  <c r="H575" i="42"/>
  <c r="G575" i="42"/>
  <c r="F575" i="42"/>
  <c r="C575" i="42"/>
  <c r="D575" i="42" s="1"/>
  <c r="B575" i="42"/>
  <c r="L574" i="42"/>
  <c r="C574" i="42" s="1"/>
  <c r="H574" i="42"/>
  <c r="G574" i="42"/>
  <c r="F574" i="42"/>
  <c r="D574" i="42"/>
  <c r="B574" i="42"/>
  <c r="L573" i="42"/>
  <c r="H573" i="42"/>
  <c r="G573" i="42"/>
  <c r="F573" i="42"/>
  <c r="D573" i="42"/>
  <c r="C573" i="42"/>
  <c r="B573" i="42"/>
  <c r="L572" i="42"/>
  <c r="C572" i="42" s="1"/>
  <c r="D572" i="42" s="1"/>
  <c r="H572" i="42"/>
  <c r="G572" i="42"/>
  <c r="F572" i="42"/>
  <c r="B572" i="42"/>
  <c r="L571" i="42"/>
  <c r="H571" i="42"/>
  <c r="G571" i="42"/>
  <c r="F571" i="42"/>
  <c r="C571" i="42"/>
  <c r="D571" i="42" s="1"/>
  <c r="B571" i="42"/>
  <c r="Q570" i="42"/>
  <c r="P570" i="42"/>
  <c r="M570" i="42"/>
  <c r="N570" i="42" s="1"/>
  <c r="H570" i="42"/>
  <c r="G570" i="42"/>
  <c r="F570" i="42"/>
  <c r="C570" i="42"/>
  <c r="D570" i="42" s="1"/>
  <c r="B570" i="42"/>
  <c r="L569" i="42"/>
  <c r="C569" i="42" s="1"/>
  <c r="D569" i="42" s="1"/>
  <c r="H569" i="42"/>
  <c r="G569" i="42"/>
  <c r="F569" i="42"/>
  <c r="B569" i="42"/>
  <c r="L568" i="42"/>
  <c r="H568" i="42"/>
  <c r="G568" i="42"/>
  <c r="F568" i="42"/>
  <c r="C568" i="42"/>
  <c r="D568" i="42" s="1"/>
  <c r="B568" i="42"/>
  <c r="L567" i="42"/>
  <c r="H567" i="42"/>
  <c r="G567" i="42"/>
  <c r="F567" i="42"/>
  <c r="C567" i="42"/>
  <c r="D567" i="42" s="1"/>
  <c r="B567" i="42"/>
  <c r="L566" i="42"/>
  <c r="H566" i="42"/>
  <c r="G566" i="42"/>
  <c r="F566" i="42"/>
  <c r="C566" i="42"/>
  <c r="D566" i="42" s="1"/>
  <c r="B566" i="42"/>
  <c r="L565" i="42"/>
  <c r="C565" i="42" s="1"/>
  <c r="D565" i="42" s="1"/>
  <c r="H565" i="42"/>
  <c r="G565" i="42"/>
  <c r="F565" i="42"/>
  <c r="B565" i="42"/>
  <c r="L564" i="42"/>
  <c r="H564" i="42"/>
  <c r="G564" i="42"/>
  <c r="F564" i="42"/>
  <c r="C564" i="42"/>
  <c r="D564" i="42" s="1"/>
  <c r="B564" i="42"/>
  <c r="L563" i="42"/>
  <c r="C563" i="42" s="1"/>
  <c r="H563" i="42"/>
  <c r="G563" i="42"/>
  <c r="F563" i="42"/>
  <c r="D563" i="42"/>
  <c r="B563" i="42"/>
  <c r="M562" i="42"/>
  <c r="H562" i="42"/>
  <c r="N562" i="42" s="1"/>
  <c r="G562" i="42"/>
  <c r="F562" i="42"/>
  <c r="D562" i="42"/>
  <c r="C562" i="42"/>
  <c r="B562" i="42"/>
  <c r="Q561" i="42"/>
  <c r="P561" i="42"/>
  <c r="N561" i="42"/>
  <c r="M561" i="42"/>
  <c r="H561" i="42"/>
  <c r="G561" i="42"/>
  <c r="F561" i="42"/>
  <c r="D561" i="42"/>
  <c r="C561" i="42"/>
  <c r="B561" i="42"/>
  <c r="Q560" i="42"/>
  <c r="P560" i="42"/>
  <c r="M560" i="42"/>
  <c r="N560" i="42" s="1"/>
  <c r="H560" i="42"/>
  <c r="G560" i="42"/>
  <c r="F560" i="42"/>
  <c r="D560" i="42"/>
  <c r="C560" i="42"/>
  <c r="B560" i="42"/>
  <c r="Q559" i="42"/>
  <c r="P559" i="42"/>
  <c r="M559" i="42"/>
  <c r="N559" i="42" s="1"/>
  <c r="H559" i="42"/>
  <c r="G559" i="42"/>
  <c r="F559" i="42"/>
  <c r="D559" i="42"/>
  <c r="C559" i="42"/>
  <c r="B559" i="42"/>
  <c r="L558" i="42"/>
  <c r="H558" i="42"/>
  <c r="G558" i="42"/>
  <c r="F558" i="42"/>
  <c r="C558" i="42"/>
  <c r="D558" i="42" s="1"/>
  <c r="B558" i="42"/>
  <c r="L557" i="42"/>
  <c r="C557" i="42" s="1"/>
  <c r="D557" i="42" s="1"/>
  <c r="H557" i="42"/>
  <c r="G557" i="42"/>
  <c r="F557" i="42"/>
  <c r="B557" i="42"/>
  <c r="L556" i="42"/>
  <c r="H556" i="42"/>
  <c r="G556" i="42"/>
  <c r="F556" i="42"/>
  <c r="C556" i="42"/>
  <c r="D556" i="42" s="1"/>
  <c r="B556" i="42"/>
  <c r="L555" i="42"/>
  <c r="C555" i="42" s="1"/>
  <c r="H555" i="42"/>
  <c r="G555" i="42"/>
  <c r="F555" i="42"/>
  <c r="D555" i="42"/>
  <c r="B555" i="42"/>
  <c r="L554" i="42"/>
  <c r="H554" i="42"/>
  <c r="G554" i="42"/>
  <c r="F554" i="42"/>
  <c r="C554" i="42"/>
  <c r="D554" i="42" s="1"/>
  <c r="B554" i="42"/>
  <c r="Q553" i="42"/>
  <c r="P553" i="42"/>
  <c r="M553" i="42"/>
  <c r="H553" i="42"/>
  <c r="N553" i="42" s="1"/>
  <c r="G553" i="42"/>
  <c r="F553" i="42"/>
  <c r="D553" i="42"/>
  <c r="C553" i="42"/>
  <c r="B553" i="42"/>
  <c r="L552" i="42"/>
  <c r="C552" i="42" s="1"/>
  <c r="H552" i="42"/>
  <c r="G552" i="42"/>
  <c r="F552" i="42"/>
  <c r="D552" i="42"/>
  <c r="B552" i="42"/>
  <c r="L551" i="42"/>
  <c r="H551" i="42"/>
  <c r="G551" i="42"/>
  <c r="F551" i="42"/>
  <c r="C551" i="42"/>
  <c r="D551" i="42" s="1"/>
  <c r="B551" i="42"/>
  <c r="L550" i="42"/>
  <c r="C550" i="42" s="1"/>
  <c r="D550" i="42" s="1"/>
  <c r="H550" i="42"/>
  <c r="G550" i="42"/>
  <c r="F550" i="42"/>
  <c r="B550" i="42"/>
  <c r="L549" i="42"/>
  <c r="H549" i="42"/>
  <c r="G549" i="42"/>
  <c r="F549" i="42"/>
  <c r="C549" i="42"/>
  <c r="D549" i="42" s="1"/>
  <c r="B549" i="42"/>
  <c r="L548" i="42"/>
  <c r="C548" i="42" s="1"/>
  <c r="H548" i="42"/>
  <c r="G548" i="42"/>
  <c r="F548" i="42"/>
  <c r="D548" i="42"/>
  <c r="B548" i="42"/>
  <c r="L547" i="42"/>
  <c r="H547" i="42"/>
  <c r="G547" i="42"/>
  <c r="F547" i="42"/>
  <c r="C547" i="42"/>
  <c r="D547" i="42" s="1"/>
  <c r="B547" i="42"/>
  <c r="L546" i="42"/>
  <c r="C546" i="42" s="1"/>
  <c r="H546" i="42"/>
  <c r="G546" i="42"/>
  <c r="F546" i="42"/>
  <c r="D546" i="42"/>
  <c r="B546" i="42"/>
  <c r="L545" i="42"/>
  <c r="H545" i="42"/>
  <c r="G545" i="42"/>
  <c r="F545" i="42"/>
  <c r="D545" i="42"/>
  <c r="C545" i="42"/>
  <c r="B545" i="42"/>
  <c r="L544" i="42"/>
  <c r="C544" i="42" s="1"/>
  <c r="D544" i="42" s="1"/>
  <c r="H544" i="42"/>
  <c r="G544" i="42"/>
  <c r="F544" i="42"/>
  <c r="B544" i="42"/>
  <c r="L543" i="42"/>
  <c r="H543" i="42"/>
  <c r="G543" i="42"/>
  <c r="F543" i="42"/>
  <c r="C543" i="42"/>
  <c r="D543" i="42" s="1"/>
  <c r="B543" i="42"/>
  <c r="L542" i="42"/>
  <c r="C542" i="42" s="1"/>
  <c r="H542" i="42"/>
  <c r="G542" i="42"/>
  <c r="F542" i="42"/>
  <c r="D542" i="42"/>
  <c r="B542" i="42"/>
  <c r="L541" i="42"/>
  <c r="C541" i="42" s="1"/>
  <c r="D541" i="42" s="1"/>
  <c r="H541" i="42"/>
  <c r="G541" i="42"/>
  <c r="F541" i="42"/>
  <c r="B541" i="42"/>
  <c r="L540" i="42"/>
  <c r="C540" i="42" s="1"/>
  <c r="D540" i="42" s="1"/>
  <c r="H540" i="42"/>
  <c r="G540" i="42"/>
  <c r="F540" i="42"/>
  <c r="B540" i="42"/>
  <c r="L539" i="42"/>
  <c r="H539" i="42"/>
  <c r="G539" i="42"/>
  <c r="F539" i="42"/>
  <c r="C539" i="42"/>
  <c r="D539" i="42" s="1"/>
  <c r="B539" i="42"/>
  <c r="L538" i="42"/>
  <c r="C538" i="42" s="1"/>
  <c r="D538" i="42" s="1"/>
  <c r="H538" i="42"/>
  <c r="G538" i="42"/>
  <c r="F538" i="42"/>
  <c r="B538" i="42"/>
  <c r="L537" i="42"/>
  <c r="H537" i="42"/>
  <c r="G537" i="42"/>
  <c r="F537" i="42"/>
  <c r="D537" i="42"/>
  <c r="C537" i="42"/>
  <c r="B537" i="42"/>
  <c r="L536" i="42"/>
  <c r="C536" i="42" s="1"/>
  <c r="H536" i="42"/>
  <c r="G536" i="42"/>
  <c r="F536" i="42"/>
  <c r="D536" i="42"/>
  <c r="B536" i="42"/>
  <c r="Q535" i="42"/>
  <c r="P535" i="42"/>
  <c r="M535" i="42"/>
  <c r="H535" i="42"/>
  <c r="G535" i="42"/>
  <c r="F535" i="42"/>
  <c r="D535" i="42"/>
  <c r="C535" i="42"/>
  <c r="B535" i="42"/>
  <c r="Q534" i="42"/>
  <c r="P534" i="42"/>
  <c r="M534" i="42"/>
  <c r="N534" i="42" s="1"/>
  <c r="H534" i="42"/>
  <c r="G534" i="42"/>
  <c r="F534" i="42"/>
  <c r="D534" i="42"/>
  <c r="C534" i="42"/>
  <c r="B534" i="42"/>
  <c r="Q533" i="42"/>
  <c r="P533" i="42"/>
  <c r="M533" i="42"/>
  <c r="N533" i="42" s="1"/>
  <c r="H533" i="42"/>
  <c r="G533" i="42"/>
  <c r="F533" i="42"/>
  <c r="C533" i="42"/>
  <c r="D533" i="42" s="1"/>
  <c r="B533" i="42"/>
  <c r="Q532" i="42"/>
  <c r="P532" i="42"/>
  <c r="M532" i="42"/>
  <c r="N532" i="42" s="1"/>
  <c r="H532" i="42"/>
  <c r="G532" i="42"/>
  <c r="F532" i="42"/>
  <c r="D532" i="42"/>
  <c r="C532" i="42"/>
  <c r="B532" i="42"/>
  <c r="L531" i="42"/>
  <c r="H531" i="42"/>
  <c r="G531" i="42"/>
  <c r="F531" i="42"/>
  <c r="C531" i="42"/>
  <c r="D531" i="42" s="1"/>
  <c r="B531" i="42"/>
  <c r="Q530" i="42"/>
  <c r="P530" i="42"/>
  <c r="M530" i="42"/>
  <c r="H530" i="42"/>
  <c r="N530" i="42" s="1"/>
  <c r="G530" i="42"/>
  <c r="F530" i="42"/>
  <c r="C530" i="42"/>
  <c r="D530" i="42" s="1"/>
  <c r="B530" i="42"/>
  <c r="Q529" i="42"/>
  <c r="P529" i="42"/>
  <c r="N529" i="42"/>
  <c r="M529" i="42"/>
  <c r="H529" i="42"/>
  <c r="G529" i="42"/>
  <c r="F529" i="42"/>
  <c r="C529" i="42"/>
  <c r="D529" i="42" s="1"/>
  <c r="B529" i="42"/>
  <c r="L528" i="42"/>
  <c r="H528" i="42"/>
  <c r="G528" i="42"/>
  <c r="F528" i="42"/>
  <c r="C528" i="42"/>
  <c r="D528" i="42" s="1"/>
  <c r="B528" i="42"/>
  <c r="L527" i="42"/>
  <c r="H527" i="42"/>
  <c r="G527" i="42"/>
  <c r="F527" i="42"/>
  <c r="C527" i="42"/>
  <c r="D527" i="42" s="1"/>
  <c r="B527" i="42"/>
  <c r="L526" i="42"/>
  <c r="C526" i="42" s="1"/>
  <c r="H526" i="42"/>
  <c r="G526" i="42"/>
  <c r="F526" i="42"/>
  <c r="D526" i="42"/>
  <c r="B526" i="42"/>
  <c r="Q525" i="42"/>
  <c r="P525" i="42"/>
  <c r="M525" i="42"/>
  <c r="L525" i="42"/>
  <c r="H525" i="42"/>
  <c r="G525" i="42"/>
  <c r="F525" i="42"/>
  <c r="C525" i="42"/>
  <c r="D525" i="42" s="1"/>
  <c r="B525" i="42"/>
  <c r="L524" i="42"/>
  <c r="C524" i="42" s="1"/>
  <c r="H524" i="42"/>
  <c r="G524" i="42"/>
  <c r="F524" i="42"/>
  <c r="D524" i="42"/>
  <c r="B524" i="42"/>
  <c r="L523" i="42"/>
  <c r="H523" i="42"/>
  <c r="G523" i="42"/>
  <c r="F523" i="42"/>
  <c r="C523" i="42"/>
  <c r="D523" i="42" s="1"/>
  <c r="B523" i="42"/>
  <c r="N522" i="42"/>
  <c r="M522" i="42"/>
  <c r="H522" i="42"/>
  <c r="G522" i="42"/>
  <c r="F522" i="42"/>
  <c r="C522" i="42"/>
  <c r="D522" i="42" s="1"/>
  <c r="B522" i="42"/>
  <c r="M521" i="42"/>
  <c r="H521" i="42"/>
  <c r="N521" i="42" s="1"/>
  <c r="G521" i="42"/>
  <c r="F521" i="42"/>
  <c r="C521" i="42"/>
  <c r="D521" i="42" s="1"/>
  <c r="B521" i="42"/>
  <c r="M520" i="42"/>
  <c r="H520" i="42"/>
  <c r="N520" i="42" s="1"/>
  <c r="G520" i="42"/>
  <c r="F520" i="42"/>
  <c r="C520" i="42"/>
  <c r="D520" i="42" s="1"/>
  <c r="B520" i="42"/>
  <c r="N519" i="42"/>
  <c r="M519" i="42"/>
  <c r="H519" i="42"/>
  <c r="G519" i="42"/>
  <c r="F519" i="42"/>
  <c r="C519" i="42"/>
  <c r="D519" i="42" s="1"/>
  <c r="B519" i="42"/>
  <c r="M518" i="42"/>
  <c r="H518" i="42"/>
  <c r="N518" i="42" s="1"/>
  <c r="G518" i="42"/>
  <c r="F518" i="42"/>
  <c r="C518" i="42"/>
  <c r="D518" i="42" s="1"/>
  <c r="B518" i="42"/>
  <c r="M517" i="42"/>
  <c r="H517" i="42"/>
  <c r="N517" i="42" s="1"/>
  <c r="G517" i="42"/>
  <c r="F517" i="42"/>
  <c r="C517" i="42"/>
  <c r="D517" i="42" s="1"/>
  <c r="B517" i="42"/>
  <c r="N516" i="42"/>
  <c r="M516" i="42"/>
  <c r="H516" i="42"/>
  <c r="G516" i="42"/>
  <c r="F516" i="42"/>
  <c r="C516" i="42"/>
  <c r="D516" i="42" s="1"/>
  <c r="B516" i="42"/>
  <c r="N515" i="42"/>
  <c r="M515" i="42"/>
  <c r="H515" i="42"/>
  <c r="G515" i="42"/>
  <c r="F515" i="42"/>
  <c r="C515" i="42"/>
  <c r="D515" i="42" s="1"/>
  <c r="B515" i="42"/>
  <c r="N514" i="42"/>
  <c r="M514" i="42"/>
  <c r="H514" i="42"/>
  <c r="G514" i="42"/>
  <c r="F514" i="42"/>
  <c r="C514" i="42"/>
  <c r="D514" i="42" s="1"/>
  <c r="B514" i="42"/>
  <c r="M513" i="42"/>
  <c r="H513" i="42"/>
  <c r="N513" i="42" s="1"/>
  <c r="G513" i="42"/>
  <c r="F513" i="42"/>
  <c r="C513" i="42"/>
  <c r="D513" i="42" s="1"/>
  <c r="B513" i="42"/>
  <c r="M512" i="42"/>
  <c r="H512" i="42"/>
  <c r="N512" i="42" s="1"/>
  <c r="G512" i="42"/>
  <c r="F512" i="42"/>
  <c r="C512" i="42"/>
  <c r="D512" i="42" s="1"/>
  <c r="B512" i="42"/>
  <c r="L511" i="42"/>
  <c r="C511" i="42" s="1"/>
  <c r="H511" i="42"/>
  <c r="G511" i="42"/>
  <c r="F511" i="42"/>
  <c r="D511" i="42"/>
  <c r="B511" i="42"/>
  <c r="L510" i="42"/>
  <c r="H510" i="42"/>
  <c r="G510" i="42"/>
  <c r="F510" i="42"/>
  <c r="D510" i="42"/>
  <c r="C510" i="42"/>
  <c r="B510" i="42"/>
  <c r="N509" i="42"/>
  <c r="M509" i="42"/>
  <c r="H509" i="42"/>
  <c r="G509" i="42"/>
  <c r="F509" i="42"/>
  <c r="D509" i="42"/>
  <c r="C509" i="42"/>
  <c r="B509" i="42"/>
  <c r="N508" i="42"/>
  <c r="M508" i="42"/>
  <c r="H508" i="42"/>
  <c r="G508" i="42"/>
  <c r="F508" i="42"/>
  <c r="D508" i="42"/>
  <c r="C508" i="42"/>
  <c r="B508" i="42"/>
  <c r="N507" i="42"/>
  <c r="M507" i="42"/>
  <c r="H507" i="42"/>
  <c r="G507" i="42"/>
  <c r="F507" i="42"/>
  <c r="D507" i="42"/>
  <c r="C507" i="42"/>
  <c r="B507" i="42"/>
  <c r="N506" i="42"/>
  <c r="M506" i="42"/>
  <c r="H506" i="42"/>
  <c r="G506" i="42"/>
  <c r="F506" i="42"/>
  <c r="D506" i="42"/>
  <c r="C506" i="42"/>
  <c r="B506" i="42"/>
  <c r="N505" i="42"/>
  <c r="M505" i="42"/>
  <c r="H505" i="42"/>
  <c r="G505" i="42"/>
  <c r="F505" i="42"/>
  <c r="D505" i="42"/>
  <c r="C505" i="42"/>
  <c r="B505" i="42"/>
  <c r="N504" i="42"/>
  <c r="M504" i="42"/>
  <c r="H504" i="42"/>
  <c r="G504" i="42"/>
  <c r="F504" i="42"/>
  <c r="D504" i="42"/>
  <c r="C504" i="42"/>
  <c r="B504" i="42"/>
  <c r="N503" i="42"/>
  <c r="M503" i="42"/>
  <c r="H503" i="42"/>
  <c r="G503" i="42"/>
  <c r="F503" i="42"/>
  <c r="D503" i="42"/>
  <c r="C503" i="42"/>
  <c r="B503" i="42"/>
  <c r="L502" i="42"/>
  <c r="C502" i="42" s="1"/>
  <c r="D502" i="42" s="1"/>
  <c r="H502" i="42"/>
  <c r="G502" i="42"/>
  <c r="F502" i="42"/>
  <c r="B502" i="42"/>
  <c r="L501" i="42"/>
  <c r="H501" i="42"/>
  <c r="G501" i="42"/>
  <c r="F501" i="42"/>
  <c r="C501" i="42"/>
  <c r="D501" i="42" s="1"/>
  <c r="B501" i="42"/>
  <c r="L500" i="42"/>
  <c r="C500" i="42" s="1"/>
  <c r="D500" i="42" s="1"/>
  <c r="H500" i="42"/>
  <c r="G500" i="42"/>
  <c r="F500" i="42"/>
  <c r="B500" i="42"/>
  <c r="L499" i="42"/>
  <c r="H499" i="42"/>
  <c r="G499" i="42"/>
  <c r="F499" i="42"/>
  <c r="C499" i="42"/>
  <c r="D499" i="42" s="1"/>
  <c r="B499" i="42"/>
  <c r="L498" i="42"/>
  <c r="C498" i="42" s="1"/>
  <c r="H498" i="42"/>
  <c r="G498" i="42"/>
  <c r="F498" i="42"/>
  <c r="D498" i="42"/>
  <c r="B498" i="42"/>
  <c r="L497" i="42"/>
  <c r="H497" i="42"/>
  <c r="G497" i="42"/>
  <c r="F497" i="42"/>
  <c r="C497" i="42"/>
  <c r="D497" i="42" s="1"/>
  <c r="B497" i="42"/>
  <c r="Q496" i="42"/>
  <c r="P496" i="42"/>
  <c r="M496" i="42"/>
  <c r="H496" i="42"/>
  <c r="N496" i="42" s="1"/>
  <c r="G496" i="42"/>
  <c r="F496" i="42"/>
  <c r="D496" i="42"/>
  <c r="C496" i="42"/>
  <c r="B496" i="42"/>
  <c r="Q495" i="42"/>
  <c r="P495" i="42"/>
  <c r="N495" i="42"/>
  <c r="M495" i="42"/>
  <c r="H495" i="42"/>
  <c r="G495" i="42"/>
  <c r="F495" i="42"/>
  <c r="C495" i="42"/>
  <c r="D495" i="42" s="1"/>
  <c r="B495" i="42"/>
  <c r="Q494" i="42"/>
  <c r="P494" i="42"/>
  <c r="M494" i="42"/>
  <c r="H494" i="42"/>
  <c r="N494" i="42" s="1"/>
  <c r="G494" i="42"/>
  <c r="F494" i="42"/>
  <c r="C494" i="42"/>
  <c r="D494" i="42" s="1"/>
  <c r="B494" i="42"/>
  <c r="Q493" i="42"/>
  <c r="P493" i="42"/>
  <c r="M493" i="42"/>
  <c r="H493" i="42"/>
  <c r="N493" i="42" s="1"/>
  <c r="G493" i="42"/>
  <c r="F493" i="42"/>
  <c r="C493" i="42"/>
  <c r="D493" i="42" s="1"/>
  <c r="B493" i="42"/>
  <c r="L492" i="42"/>
  <c r="C492" i="42" s="1"/>
  <c r="H492" i="42"/>
  <c r="G492" i="42"/>
  <c r="F492" i="42"/>
  <c r="D492" i="42"/>
  <c r="B492" i="42"/>
  <c r="L491" i="42"/>
  <c r="H491" i="42"/>
  <c r="G491" i="42"/>
  <c r="F491" i="42"/>
  <c r="C491" i="42"/>
  <c r="D491" i="42" s="1"/>
  <c r="B491" i="42"/>
  <c r="L490" i="42"/>
  <c r="H490" i="42"/>
  <c r="G490" i="42"/>
  <c r="F490" i="42"/>
  <c r="C490" i="42"/>
  <c r="D490" i="42" s="1"/>
  <c r="B490" i="42"/>
  <c r="L489" i="42"/>
  <c r="H489" i="42"/>
  <c r="G489" i="42"/>
  <c r="F489" i="42"/>
  <c r="C489" i="42"/>
  <c r="D489" i="42" s="1"/>
  <c r="B489" i="42"/>
  <c r="L488" i="42"/>
  <c r="C488" i="42" s="1"/>
  <c r="H488" i="42"/>
  <c r="G488" i="42"/>
  <c r="F488" i="42"/>
  <c r="D488" i="42"/>
  <c r="B488" i="42"/>
  <c r="L487" i="42"/>
  <c r="H487" i="42"/>
  <c r="G487" i="42"/>
  <c r="F487" i="42"/>
  <c r="C487" i="42"/>
  <c r="D487" i="42" s="1"/>
  <c r="B487" i="42"/>
  <c r="L486" i="42"/>
  <c r="C486" i="42" s="1"/>
  <c r="D486" i="42" s="1"/>
  <c r="H486" i="42"/>
  <c r="G486" i="42"/>
  <c r="F486" i="42"/>
  <c r="B486" i="42"/>
  <c r="L485" i="42"/>
  <c r="H485" i="42"/>
  <c r="G485" i="42"/>
  <c r="F485" i="42"/>
  <c r="C485" i="42"/>
  <c r="D485" i="42" s="1"/>
  <c r="B485" i="42"/>
  <c r="L484" i="42"/>
  <c r="C484" i="42" s="1"/>
  <c r="H484" i="42"/>
  <c r="G484" i="42"/>
  <c r="F484" i="42"/>
  <c r="D484" i="42"/>
  <c r="B484" i="42"/>
  <c r="L483" i="42"/>
  <c r="H483" i="42"/>
  <c r="G483" i="42"/>
  <c r="F483" i="42"/>
  <c r="C483" i="42"/>
  <c r="D483" i="42" s="1"/>
  <c r="B483" i="42"/>
  <c r="L482" i="42"/>
  <c r="H482" i="42"/>
  <c r="G482" i="42"/>
  <c r="F482" i="42"/>
  <c r="C482" i="42"/>
  <c r="D482" i="42" s="1"/>
  <c r="B482" i="42"/>
  <c r="L481" i="42"/>
  <c r="H481" i="42"/>
  <c r="G481" i="42"/>
  <c r="F481" i="42"/>
  <c r="C481" i="42"/>
  <c r="D481" i="42" s="1"/>
  <c r="B481" i="42"/>
  <c r="Q480" i="42"/>
  <c r="P480" i="42"/>
  <c r="N480" i="42"/>
  <c r="M480" i="42"/>
  <c r="H480" i="42"/>
  <c r="G480" i="42"/>
  <c r="F480" i="42"/>
  <c r="C480" i="42"/>
  <c r="D480" i="42" s="1"/>
  <c r="B480" i="42"/>
  <c r="Q479" i="42"/>
  <c r="P479" i="42"/>
  <c r="M479" i="42"/>
  <c r="H479" i="42"/>
  <c r="N479" i="42" s="1"/>
  <c r="G479" i="42"/>
  <c r="F479" i="42"/>
  <c r="C479" i="42"/>
  <c r="D479" i="42" s="1"/>
  <c r="B479" i="42"/>
  <c r="L478" i="42"/>
  <c r="C478" i="42" s="1"/>
  <c r="D478" i="42" s="1"/>
  <c r="H478" i="42"/>
  <c r="G478" i="42"/>
  <c r="F478" i="42"/>
  <c r="B478" i="42"/>
  <c r="Q477" i="42"/>
  <c r="P477" i="42"/>
  <c r="M477" i="42"/>
  <c r="N477" i="42" s="1"/>
  <c r="H477" i="42"/>
  <c r="G477" i="42"/>
  <c r="F477" i="42"/>
  <c r="C477" i="42"/>
  <c r="D477" i="42" s="1"/>
  <c r="B477" i="42"/>
  <c r="Q476" i="42"/>
  <c r="P476" i="42"/>
  <c r="M476" i="42"/>
  <c r="H476" i="42"/>
  <c r="G476" i="42"/>
  <c r="F476" i="42"/>
  <c r="D476" i="42"/>
  <c r="C476" i="42"/>
  <c r="B476" i="42"/>
  <c r="Q475" i="42"/>
  <c r="P475" i="42"/>
  <c r="M475" i="42"/>
  <c r="N475" i="42" s="1"/>
  <c r="H475" i="42"/>
  <c r="G475" i="42"/>
  <c r="F475" i="42"/>
  <c r="D475" i="42"/>
  <c r="C475" i="42"/>
  <c r="B475" i="42"/>
  <c r="L474" i="42"/>
  <c r="H474" i="42"/>
  <c r="G474" i="42"/>
  <c r="F474" i="42"/>
  <c r="C474" i="42"/>
  <c r="D474" i="42" s="1"/>
  <c r="B474" i="42"/>
  <c r="L473" i="42"/>
  <c r="H473" i="42"/>
  <c r="G473" i="42"/>
  <c r="F473" i="42"/>
  <c r="C473" i="42"/>
  <c r="D473" i="42" s="1"/>
  <c r="B473" i="42"/>
  <c r="L472" i="42"/>
  <c r="H472" i="42"/>
  <c r="G472" i="42"/>
  <c r="F472" i="42"/>
  <c r="D472" i="42"/>
  <c r="C472" i="42"/>
  <c r="B472" i="42"/>
  <c r="L471" i="42"/>
  <c r="C471" i="42" s="1"/>
  <c r="H471" i="42"/>
  <c r="G471" i="42"/>
  <c r="F471" i="42"/>
  <c r="D471" i="42"/>
  <c r="B471" i="42"/>
  <c r="L470" i="42"/>
  <c r="H470" i="42"/>
  <c r="G470" i="42"/>
  <c r="F470" i="42"/>
  <c r="D470" i="42"/>
  <c r="C470" i="42"/>
  <c r="B470" i="42"/>
  <c r="L469" i="42"/>
  <c r="C469" i="42" s="1"/>
  <c r="H469" i="42"/>
  <c r="G469" i="42"/>
  <c r="F469" i="42"/>
  <c r="D469" i="42"/>
  <c r="B469" i="42"/>
  <c r="L468" i="42"/>
  <c r="H468" i="42"/>
  <c r="G468" i="42"/>
  <c r="F468" i="42"/>
  <c r="C468" i="42"/>
  <c r="D468" i="42" s="1"/>
  <c r="B468" i="42"/>
  <c r="Q467" i="42"/>
  <c r="P467" i="42"/>
  <c r="M467" i="42"/>
  <c r="N467" i="42" s="1"/>
  <c r="H467" i="42"/>
  <c r="G467" i="42"/>
  <c r="F467" i="42"/>
  <c r="C467" i="42"/>
  <c r="D467" i="42" s="1"/>
  <c r="B467" i="42"/>
  <c r="L466" i="42"/>
  <c r="C466" i="42" s="1"/>
  <c r="H466" i="42"/>
  <c r="G466" i="42"/>
  <c r="F466" i="42"/>
  <c r="D466" i="42"/>
  <c r="B466" i="42"/>
  <c r="L465" i="42"/>
  <c r="H465" i="42"/>
  <c r="G465" i="42"/>
  <c r="F465" i="42"/>
  <c r="C465" i="42"/>
  <c r="D465" i="42" s="1"/>
  <c r="B465" i="42"/>
  <c r="Q464" i="42"/>
  <c r="P464" i="42"/>
  <c r="M464" i="42"/>
  <c r="H464" i="42"/>
  <c r="N464" i="42" s="1"/>
  <c r="G464" i="42"/>
  <c r="F464" i="42"/>
  <c r="C464" i="42"/>
  <c r="D464" i="42" s="1"/>
  <c r="B464" i="42"/>
  <c r="N463" i="42"/>
  <c r="M463" i="42"/>
  <c r="H463" i="42"/>
  <c r="G463" i="42"/>
  <c r="F463" i="42"/>
  <c r="C463" i="42"/>
  <c r="D463" i="42" s="1"/>
  <c r="B463" i="42"/>
  <c r="Q462" i="42"/>
  <c r="P462" i="42"/>
  <c r="M462" i="42"/>
  <c r="H462" i="42"/>
  <c r="N462" i="42" s="1"/>
  <c r="G462" i="42"/>
  <c r="F462" i="42"/>
  <c r="C462" i="42"/>
  <c r="D462" i="42" s="1"/>
  <c r="B462" i="42"/>
  <c r="M461" i="42"/>
  <c r="N461" i="42" s="1"/>
  <c r="H461" i="42"/>
  <c r="G461" i="42"/>
  <c r="F461" i="42"/>
  <c r="C461" i="42"/>
  <c r="D461" i="42" s="1"/>
  <c r="B461" i="42"/>
  <c r="L460" i="42"/>
  <c r="C460" i="42" s="1"/>
  <c r="H460" i="42"/>
  <c r="G460" i="42"/>
  <c r="F460" i="42"/>
  <c r="D460" i="42"/>
  <c r="B460" i="42"/>
  <c r="M459" i="42"/>
  <c r="H459" i="42"/>
  <c r="N459" i="42" s="1"/>
  <c r="G459" i="42"/>
  <c r="F459" i="42"/>
  <c r="D459" i="42"/>
  <c r="C459" i="42"/>
  <c r="B459" i="42"/>
  <c r="M458" i="42"/>
  <c r="H458" i="42"/>
  <c r="N458" i="42" s="1"/>
  <c r="G458" i="42"/>
  <c r="F458" i="42"/>
  <c r="D458" i="42"/>
  <c r="C458" i="42"/>
  <c r="B458" i="42"/>
  <c r="Q457" i="42"/>
  <c r="P457" i="42"/>
  <c r="N457" i="42"/>
  <c r="M457" i="42"/>
  <c r="H457" i="42"/>
  <c r="G457" i="42"/>
  <c r="F457" i="42"/>
  <c r="C457" i="42"/>
  <c r="D457" i="42" s="1"/>
  <c r="B457" i="42"/>
  <c r="N456" i="42"/>
  <c r="M456" i="42"/>
  <c r="H456" i="42"/>
  <c r="G456" i="42"/>
  <c r="F456" i="42"/>
  <c r="C456" i="42"/>
  <c r="D456" i="42" s="1"/>
  <c r="B456" i="42"/>
  <c r="Q455" i="42"/>
  <c r="P455" i="42"/>
  <c r="M455" i="42"/>
  <c r="N455" i="42" s="1"/>
  <c r="H455" i="42"/>
  <c r="G455" i="42"/>
  <c r="F455" i="42"/>
  <c r="D455" i="42"/>
  <c r="C455" i="42"/>
  <c r="B455" i="42"/>
  <c r="Q454" i="42"/>
  <c r="P454" i="42"/>
  <c r="M454" i="42"/>
  <c r="H454" i="42"/>
  <c r="N454" i="42" s="1"/>
  <c r="G454" i="42"/>
  <c r="F454" i="42"/>
  <c r="D454" i="42"/>
  <c r="C454" i="42"/>
  <c r="B454" i="42"/>
  <c r="Q453" i="42"/>
  <c r="P453" i="42"/>
  <c r="M453" i="42"/>
  <c r="H453" i="42"/>
  <c r="N453" i="42" s="1"/>
  <c r="G453" i="42"/>
  <c r="F453" i="42"/>
  <c r="D453" i="42"/>
  <c r="C453" i="42"/>
  <c r="B453" i="42"/>
  <c r="Q452" i="42"/>
  <c r="P452" i="42"/>
  <c r="N452" i="42"/>
  <c r="M452" i="42"/>
  <c r="H452" i="42"/>
  <c r="G452" i="42"/>
  <c r="F452" i="42"/>
  <c r="C452" i="42"/>
  <c r="D452" i="42" s="1"/>
  <c r="B452" i="42"/>
  <c r="Q451" i="42"/>
  <c r="P451" i="42"/>
  <c r="M451" i="42"/>
  <c r="N451" i="42" s="1"/>
  <c r="H451" i="42"/>
  <c r="G451" i="42"/>
  <c r="F451" i="42"/>
  <c r="D451" i="42"/>
  <c r="C451" i="42"/>
  <c r="B451" i="42"/>
  <c r="M450" i="42"/>
  <c r="N450" i="42" s="1"/>
  <c r="H450" i="42"/>
  <c r="G450" i="42"/>
  <c r="F450" i="42"/>
  <c r="C450" i="42"/>
  <c r="D450" i="42" s="1"/>
  <c r="B450" i="42"/>
  <c r="M449" i="42"/>
  <c r="N449" i="42" s="1"/>
  <c r="H449" i="42"/>
  <c r="G449" i="42"/>
  <c r="F449" i="42"/>
  <c r="D449" i="42"/>
  <c r="C449" i="42"/>
  <c r="B449" i="42"/>
  <c r="M448" i="42"/>
  <c r="N448" i="42" s="1"/>
  <c r="H448" i="42"/>
  <c r="G448" i="42"/>
  <c r="F448" i="42"/>
  <c r="C448" i="42"/>
  <c r="D448" i="42" s="1"/>
  <c r="B448" i="42"/>
  <c r="M447" i="42"/>
  <c r="N447" i="42" s="1"/>
  <c r="H447" i="42"/>
  <c r="G447" i="42"/>
  <c r="F447" i="42"/>
  <c r="D447" i="42"/>
  <c r="C447" i="42"/>
  <c r="B447" i="42"/>
  <c r="M446" i="42"/>
  <c r="N446" i="42" s="1"/>
  <c r="H446" i="42"/>
  <c r="G446" i="42"/>
  <c r="F446" i="42"/>
  <c r="C446" i="42"/>
  <c r="D446" i="42" s="1"/>
  <c r="B446" i="42"/>
  <c r="M445" i="42"/>
  <c r="N445" i="42" s="1"/>
  <c r="H445" i="42"/>
  <c r="G445" i="42"/>
  <c r="F445" i="42"/>
  <c r="D445" i="42"/>
  <c r="C445" i="42"/>
  <c r="B445" i="42"/>
  <c r="M444" i="42"/>
  <c r="N444" i="42" s="1"/>
  <c r="H444" i="42"/>
  <c r="G444" i="42"/>
  <c r="F444" i="42"/>
  <c r="C444" i="42"/>
  <c r="D444" i="42" s="1"/>
  <c r="B444" i="42"/>
  <c r="M443" i="42"/>
  <c r="N443" i="42" s="1"/>
  <c r="H443" i="42"/>
  <c r="G443" i="42"/>
  <c r="F443" i="42"/>
  <c r="D443" i="42"/>
  <c r="C443" i="42"/>
  <c r="B443" i="42"/>
  <c r="M442" i="42"/>
  <c r="N442" i="42" s="1"/>
  <c r="H442" i="42"/>
  <c r="G442" i="42"/>
  <c r="F442" i="42"/>
  <c r="C442" i="42"/>
  <c r="D442" i="42" s="1"/>
  <c r="B442" i="42"/>
  <c r="M441" i="42"/>
  <c r="N441" i="42" s="1"/>
  <c r="H441" i="42"/>
  <c r="G441" i="42"/>
  <c r="F441" i="42"/>
  <c r="D441" i="42"/>
  <c r="C441" i="42"/>
  <c r="B441" i="42"/>
  <c r="M440" i="42"/>
  <c r="N440" i="42" s="1"/>
  <c r="H440" i="42"/>
  <c r="G440" i="42"/>
  <c r="F440" i="42"/>
  <c r="C440" i="42"/>
  <c r="D440" i="42" s="1"/>
  <c r="B440" i="42"/>
  <c r="M439" i="42"/>
  <c r="N439" i="42" s="1"/>
  <c r="H439" i="42"/>
  <c r="G439" i="42"/>
  <c r="F439" i="42"/>
  <c r="D439" i="42"/>
  <c r="C439" i="42"/>
  <c r="B439" i="42"/>
  <c r="M438" i="42"/>
  <c r="N438" i="42" s="1"/>
  <c r="H438" i="42"/>
  <c r="G438" i="42"/>
  <c r="F438" i="42"/>
  <c r="C438" i="42"/>
  <c r="D438" i="42" s="1"/>
  <c r="B438" i="42"/>
  <c r="M437" i="42"/>
  <c r="N437" i="42" s="1"/>
  <c r="H437" i="42"/>
  <c r="G437" i="42"/>
  <c r="F437" i="42"/>
  <c r="D437" i="42"/>
  <c r="C437" i="42"/>
  <c r="B437" i="42"/>
  <c r="M436" i="42"/>
  <c r="N436" i="42" s="1"/>
  <c r="H436" i="42"/>
  <c r="G436" i="42"/>
  <c r="F436" i="42"/>
  <c r="C436" i="42"/>
  <c r="D436" i="42" s="1"/>
  <c r="B436" i="42"/>
  <c r="M435" i="42"/>
  <c r="N435" i="42" s="1"/>
  <c r="H435" i="42"/>
  <c r="G435" i="42"/>
  <c r="F435" i="42"/>
  <c r="D435" i="42"/>
  <c r="C435" i="42"/>
  <c r="B435" i="42"/>
  <c r="M434" i="42"/>
  <c r="N434" i="42" s="1"/>
  <c r="H434" i="42"/>
  <c r="G434" i="42"/>
  <c r="F434" i="42"/>
  <c r="C434" i="42"/>
  <c r="D434" i="42" s="1"/>
  <c r="B434" i="42"/>
  <c r="M433" i="42"/>
  <c r="N433" i="42" s="1"/>
  <c r="H433" i="42"/>
  <c r="G433" i="42"/>
  <c r="F433" i="42"/>
  <c r="D433" i="42"/>
  <c r="C433" i="42"/>
  <c r="B433" i="42"/>
  <c r="M432" i="42"/>
  <c r="N432" i="42" s="1"/>
  <c r="H432" i="42"/>
  <c r="G432" i="42"/>
  <c r="F432" i="42"/>
  <c r="C432" i="42"/>
  <c r="D432" i="42" s="1"/>
  <c r="B432" i="42"/>
  <c r="M431" i="42"/>
  <c r="N431" i="42" s="1"/>
  <c r="H431" i="42"/>
  <c r="G431" i="42"/>
  <c r="F431" i="42"/>
  <c r="D431" i="42"/>
  <c r="C431" i="42"/>
  <c r="B431" i="42"/>
  <c r="M430" i="42"/>
  <c r="N430" i="42" s="1"/>
  <c r="H430" i="42"/>
  <c r="G430" i="42"/>
  <c r="F430" i="42"/>
  <c r="C430" i="42"/>
  <c r="D430" i="42" s="1"/>
  <c r="B430" i="42"/>
  <c r="L429" i="42"/>
  <c r="H429" i="42"/>
  <c r="G429" i="42"/>
  <c r="F429" i="42"/>
  <c r="C429" i="42"/>
  <c r="D429" i="42" s="1"/>
  <c r="B429" i="42"/>
  <c r="L428" i="42"/>
  <c r="C428" i="42" s="1"/>
  <c r="H428" i="42"/>
  <c r="G428" i="42"/>
  <c r="F428" i="42"/>
  <c r="D428" i="42"/>
  <c r="B428" i="42"/>
  <c r="L427" i="42"/>
  <c r="C427" i="42" s="1"/>
  <c r="D427" i="42" s="1"/>
  <c r="H427" i="42"/>
  <c r="G427" i="42"/>
  <c r="F427" i="42"/>
  <c r="B427" i="42"/>
  <c r="L426" i="42"/>
  <c r="C426" i="42" s="1"/>
  <c r="D426" i="42" s="1"/>
  <c r="H426" i="42"/>
  <c r="G426" i="42"/>
  <c r="F426" i="42"/>
  <c r="B426" i="42"/>
  <c r="M425" i="42"/>
  <c r="H425" i="42"/>
  <c r="N425" i="42" s="1"/>
  <c r="G425" i="42"/>
  <c r="F425" i="42"/>
  <c r="D425" i="42"/>
  <c r="C425" i="42"/>
  <c r="B425" i="42"/>
  <c r="M424" i="42"/>
  <c r="H424" i="42"/>
  <c r="N424" i="42" s="1"/>
  <c r="G424" i="42"/>
  <c r="F424" i="42"/>
  <c r="D424" i="42"/>
  <c r="C424" i="42"/>
  <c r="B424" i="42"/>
  <c r="M423" i="42"/>
  <c r="H423" i="42"/>
  <c r="N423" i="42" s="1"/>
  <c r="G423" i="42"/>
  <c r="F423" i="42"/>
  <c r="D423" i="42"/>
  <c r="C423" i="42"/>
  <c r="B423" i="42"/>
  <c r="M422" i="42"/>
  <c r="H422" i="42"/>
  <c r="N422" i="42" s="1"/>
  <c r="G422" i="42"/>
  <c r="F422" i="42"/>
  <c r="D422" i="42"/>
  <c r="C422" i="42"/>
  <c r="B422" i="42"/>
  <c r="M421" i="42"/>
  <c r="H421" i="42"/>
  <c r="N421" i="42" s="1"/>
  <c r="G421" i="42"/>
  <c r="F421" i="42"/>
  <c r="D421" i="42"/>
  <c r="C421" i="42"/>
  <c r="B421" i="42"/>
  <c r="M420" i="42"/>
  <c r="H420" i="42"/>
  <c r="N420" i="42" s="1"/>
  <c r="G420" i="42"/>
  <c r="F420" i="42"/>
  <c r="D420" i="42"/>
  <c r="C420" i="42"/>
  <c r="B420" i="42"/>
  <c r="M419" i="42"/>
  <c r="H419" i="42"/>
  <c r="N419" i="42" s="1"/>
  <c r="G419" i="42"/>
  <c r="F419" i="42"/>
  <c r="D419" i="42"/>
  <c r="C419" i="42"/>
  <c r="B419" i="42"/>
  <c r="M418" i="42"/>
  <c r="H418" i="42"/>
  <c r="N418" i="42" s="1"/>
  <c r="G418" i="42"/>
  <c r="F418" i="42"/>
  <c r="D418" i="42"/>
  <c r="C418" i="42"/>
  <c r="B418" i="42"/>
  <c r="M417" i="42"/>
  <c r="H417" i="42"/>
  <c r="N417" i="42" s="1"/>
  <c r="G417" i="42"/>
  <c r="F417" i="42"/>
  <c r="D417" i="42"/>
  <c r="C417" i="42"/>
  <c r="B417" i="42"/>
  <c r="M416" i="42"/>
  <c r="H416" i="42"/>
  <c r="N416" i="42" s="1"/>
  <c r="G416" i="42"/>
  <c r="F416" i="42"/>
  <c r="D416" i="42"/>
  <c r="C416" i="42"/>
  <c r="B416" i="42"/>
  <c r="M415" i="42"/>
  <c r="H415" i="42"/>
  <c r="N415" i="42" s="1"/>
  <c r="G415" i="42"/>
  <c r="F415" i="42"/>
  <c r="D415" i="42"/>
  <c r="C415" i="42"/>
  <c r="B415" i="42"/>
  <c r="M414" i="42"/>
  <c r="H414" i="42"/>
  <c r="N414" i="42" s="1"/>
  <c r="G414" i="42"/>
  <c r="F414" i="42"/>
  <c r="D414" i="42"/>
  <c r="C414" i="42"/>
  <c r="B414" i="42"/>
  <c r="M413" i="42"/>
  <c r="H413" i="42"/>
  <c r="N413" i="42" s="1"/>
  <c r="G413" i="42"/>
  <c r="F413" i="42"/>
  <c r="D413" i="42"/>
  <c r="C413" i="42"/>
  <c r="B413" i="42"/>
  <c r="M412" i="42"/>
  <c r="H412" i="42"/>
  <c r="N412" i="42" s="1"/>
  <c r="G412" i="42"/>
  <c r="F412" i="42"/>
  <c r="D412" i="42"/>
  <c r="C412" i="42"/>
  <c r="B412" i="42"/>
  <c r="Q411" i="42"/>
  <c r="P411" i="42"/>
  <c r="L411" i="42"/>
  <c r="H411" i="42"/>
  <c r="G411" i="42"/>
  <c r="F411" i="42"/>
  <c r="D411" i="42"/>
  <c r="C411" i="42"/>
  <c r="B411" i="42"/>
  <c r="L410" i="42"/>
  <c r="C410" i="42" s="1"/>
  <c r="D410" i="42" s="1"/>
  <c r="H410" i="42"/>
  <c r="G410" i="42"/>
  <c r="F410" i="42"/>
  <c r="B410" i="42"/>
  <c r="L409" i="42"/>
  <c r="H409" i="42"/>
  <c r="G409" i="42"/>
  <c r="F409" i="42"/>
  <c r="D409" i="42"/>
  <c r="C409" i="42"/>
  <c r="B409" i="42"/>
  <c r="L408" i="42"/>
  <c r="C408" i="42" s="1"/>
  <c r="H408" i="42"/>
  <c r="G408" i="42"/>
  <c r="F408" i="42"/>
  <c r="D408" i="42"/>
  <c r="B408" i="42"/>
  <c r="L407" i="42"/>
  <c r="H407" i="42"/>
  <c r="G407" i="42"/>
  <c r="F407" i="42"/>
  <c r="C407" i="42"/>
  <c r="D407" i="42" s="1"/>
  <c r="B407" i="42"/>
  <c r="L406" i="42"/>
  <c r="C406" i="42" s="1"/>
  <c r="H406" i="42"/>
  <c r="G406" i="42"/>
  <c r="F406" i="42"/>
  <c r="D406" i="42"/>
  <c r="B406" i="42"/>
  <c r="L405" i="42"/>
  <c r="H405" i="42"/>
  <c r="G405" i="42"/>
  <c r="F405" i="42"/>
  <c r="C405" i="42"/>
  <c r="D405" i="42" s="1"/>
  <c r="B405" i="42"/>
  <c r="L404" i="42"/>
  <c r="H404" i="42"/>
  <c r="G404" i="42"/>
  <c r="F404" i="42"/>
  <c r="C404" i="42"/>
  <c r="D404" i="42" s="1"/>
  <c r="B404" i="42"/>
  <c r="L403" i="42"/>
  <c r="H403" i="42"/>
  <c r="G403" i="42"/>
  <c r="F403" i="42"/>
  <c r="D403" i="42"/>
  <c r="C403" i="42"/>
  <c r="B403" i="42"/>
  <c r="L402" i="42"/>
  <c r="C402" i="42" s="1"/>
  <c r="H402" i="42"/>
  <c r="G402" i="42"/>
  <c r="F402" i="42"/>
  <c r="D402" i="42"/>
  <c r="B402" i="42"/>
  <c r="L401" i="42"/>
  <c r="H401" i="42"/>
  <c r="G401" i="42"/>
  <c r="F401" i="42"/>
  <c r="D401" i="42"/>
  <c r="C401" i="42"/>
  <c r="B401" i="42"/>
  <c r="L400" i="42"/>
  <c r="C400" i="42" s="1"/>
  <c r="H400" i="42"/>
  <c r="G400" i="42"/>
  <c r="F400" i="42"/>
  <c r="D400" i="42"/>
  <c r="B400" i="42"/>
  <c r="L399" i="42"/>
  <c r="H399" i="42"/>
  <c r="G399" i="42"/>
  <c r="F399" i="42"/>
  <c r="C399" i="42"/>
  <c r="D399" i="42" s="1"/>
  <c r="B399" i="42"/>
  <c r="L398" i="42"/>
  <c r="C398" i="42" s="1"/>
  <c r="H398" i="42"/>
  <c r="G398" i="42"/>
  <c r="F398" i="42"/>
  <c r="D398" i="42"/>
  <c r="B398" i="42"/>
  <c r="L397" i="42"/>
  <c r="H397" i="42"/>
  <c r="G397" i="42"/>
  <c r="F397" i="42"/>
  <c r="C397" i="42"/>
  <c r="D397" i="42" s="1"/>
  <c r="B397" i="42"/>
  <c r="L396" i="42"/>
  <c r="H396" i="42"/>
  <c r="G396" i="42"/>
  <c r="F396" i="42"/>
  <c r="C396" i="42"/>
  <c r="D396" i="42" s="1"/>
  <c r="B396" i="42"/>
  <c r="L395" i="42"/>
  <c r="H395" i="42"/>
  <c r="G395" i="42"/>
  <c r="F395" i="42"/>
  <c r="D395" i="42"/>
  <c r="C395" i="42"/>
  <c r="B395" i="42"/>
  <c r="L394" i="42"/>
  <c r="C394" i="42" s="1"/>
  <c r="D394" i="42" s="1"/>
  <c r="H394" i="42"/>
  <c r="G394" i="42"/>
  <c r="F394" i="42"/>
  <c r="B394" i="42"/>
  <c r="L393" i="42"/>
  <c r="H393" i="42"/>
  <c r="G393" i="42"/>
  <c r="F393" i="42"/>
  <c r="D393" i="42"/>
  <c r="C393" i="42"/>
  <c r="B393" i="42"/>
  <c r="L392" i="42"/>
  <c r="C392" i="42" s="1"/>
  <c r="D392" i="42" s="1"/>
  <c r="H392" i="42"/>
  <c r="G392" i="42"/>
  <c r="F392" i="42"/>
  <c r="B392" i="42"/>
  <c r="L391" i="42"/>
  <c r="H391" i="42"/>
  <c r="G391" i="42"/>
  <c r="F391" i="42"/>
  <c r="C391" i="42"/>
  <c r="D391" i="42" s="1"/>
  <c r="B391" i="42"/>
  <c r="L390" i="42"/>
  <c r="C390" i="42" s="1"/>
  <c r="H390" i="42"/>
  <c r="G390" i="42"/>
  <c r="F390" i="42"/>
  <c r="D390" i="42"/>
  <c r="B390" i="42"/>
  <c r="L389" i="42"/>
  <c r="H389" i="42"/>
  <c r="G389" i="42"/>
  <c r="F389" i="42"/>
  <c r="C389" i="42"/>
  <c r="D389" i="42" s="1"/>
  <c r="B389" i="42"/>
  <c r="L388" i="42"/>
  <c r="H388" i="42"/>
  <c r="G388" i="42"/>
  <c r="F388" i="42"/>
  <c r="C388" i="42"/>
  <c r="D388" i="42" s="1"/>
  <c r="B388" i="42"/>
  <c r="L387" i="42"/>
  <c r="H387" i="42"/>
  <c r="G387" i="42"/>
  <c r="F387" i="42"/>
  <c r="D387" i="42"/>
  <c r="C387" i="42"/>
  <c r="B387" i="42"/>
  <c r="L386" i="42"/>
  <c r="C386" i="42" s="1"/>
  <c r="H386" i="42"/>
  <c r="G386" i="42"/>
  <c r="F386" i="42"/>
  <c r="D386" i="42"/>
  <c r="B386" i="42"/>
  <c r="L385" i="42"/>
  <c r="H385" i="42"/>
  <c r="G385" i="42"/>
  <c r="F385" i="42"/>
  <c r="D385" i="42"/>
  <c r="C385" i="42"/>
  <c r="B385" i="42"/>
  <c r="L384" i="42"/>
  <c r="C384" i="42" s="1"/>
  <c r="H384" i="42"/>
  <c r="G384" i="42"/>
  <c r="F384" i="42"/>
  <c r="D384" i="42"/>
  <c r="B384" i="42"/>
  <c r="L383" i="42"/>
  <c r="H383" i="42"/>
  <c r="G383" i="42"/>
  <c r="F383" i="42"/>
  <c r="C383" i="42"/>
  <c r="D383" i="42" s="1"/>
  <c r="B383" i="42"/>
  <c r="L382" i="42"/>
  <c r="C382" i="42" s="1"/>
  <c r="H382" i="42"/>
  <c r="G382" i="42"/>
  <c r="F382" i="42"/>
  <c r="D382" i="42"/>
  <c r="B382" i="42"/>
  <c r="L381" i="42"/>
  <c r="H381" i="42"/>
  <c r="G381" i="42"/>
  <c r="F381" i="42"/>
  <c r="C381" i="42"/>
  <c r="D381" i="42" s="1"/>
  <c r="B381" i="42"/>
  <c r="L380" i="42"/>
  <c r="H380" i="42"/>
  <c r="G380" i="42"/>
  <c r="F380" i="42"/>
  <c r="C380" i="42"/>
  <c r="D380" i="42" s="1"/>
  <c r="B380" i="42"/>
  <c r="L379" i="42"/>
  <c r="H379" i="42"/>
  <c r="G379" i="42"/>
  <c r="F379" i="42"/>
  <c r="D379" i="42"/>
  <c r="C379" i="42"/>
  <c r="B379" i="42"/>
  <c r="L378" i="42"/>
  <c r="C378" i="42" s="1"/>
  <c r="H378" i="42"/>
  <c r="G378" i="42"/>
  <c r="F378" i="42"/>
  <c r="D378" i="42"/>
  <c r="B378" i="42"/>
  <c r="L377" i="42"/>
  <c r="H377" i="42"/>
  <c r="G377" i="42"/>
  <c r="F377" i="42"/>
  <c r="D377" i="42"/>
  <c r="C377" i="42"/>
  <c r="B377" i="42"/>
  <c r="L376" i="42"/>
  <c r="C376" i="42" s="1"/>
  <c r="D376" i="42" s="1"/>
  <c r="H376" i="42"/>
  <c r="G376" i="42"/>
  <c r="F376" i="42"/>
  <c r="B376" i="42"/>
  <c r="L375" i="42"/>
  <c r="H375" i="42"/>
  <c r="G375" i="42"/>
  <c r="F375" i="42"/>
  <c r="C375" i="42"/>
  <c r="D375" i="42" s="1"/>
  <c r="B375" i="42"/>
  <c r="L374" i="42"/>
  <c r="C374" i="42" s="1"/>
  <c r="H374" i="42"/>
  <c r="G374" i="42"/>
  <c r="F374" i="42"/>
  <c r="D374" i="42"/>
  <c r="B374" i="42"/>
  <c r="L373" i="42"/>
  <c r="H373" i="42"/>
  <c r="G373" i="42"/>
  <c r="F373" i="42"/>
  <c r="C373" i="42"/>
  <c r="D373" i="42" s="1"/>
  <c r="B373" i="42"/>
  <c r="L372" i="42"/>
  <c r="H372" i="42"/>
  <c r="G372" i="42"/>
  <c r="F372" i="42"/>
  <c r="C372" i="42"/>
  <c r="D372" i="42" s="1"/>
  <c r="B372" i="42"/>
  <c r="L371" i="42"/>
  <c r="H371" i="42"/>
  <c r="G371" i="42"/>
  <c r="F371" i="42"/>
  <c r="D371" i="42"/>
  <c r="C371" i="42"/>
  <c r="B371" i="42"/>
  <c r="L370" i="42"/>
  <c r="C370" i="42" s="1"/>
  <c r="D370" i="42" s="1"/>
  <c r="H370" i="42"/>
  <c r="G370" i="42"/>
  <c r="F370" i="42"/>
  <c r="B370" i="42"/>
  <c r="L369" i="42"/>
  <c r="H369" i="42"/>
  <c r="G369" i="42"/>
  <c r="F369" i="42"/>
  <c r="D369" i="42"/>
  <c r="C369" i="42"/>
  <c r="B369" i="42"/>
  <c r="L368" i="42"/>
  <c r="C368" i="42" s="1"/>
  <c r="D368" i="42" s="1"/>
  <c r="H368" i="42"/>
  <c r="G368" i="42"/>
  <c r="F368" i="42"/>
  <c r="B368" i="42"/>
  <c r="M367" i="42"/>
  <c r="H367" i="42"/>
  <c r="G367" i="42"/>
  <c r="F367" i="42"/>
  <c r="D367" i="42"/>
  <c r="C367" i="42"/>
  <c r="B367" i="42"/>
  <c r="L366" i="42"/>
  <c r="H366" i="42"/>
  <c r="G366" i="42"/>
  <c r="F366" i="42"/>
  <c r="C366" i="42"/>
  <c r="D366" i="42" s="1"/>
  <c r="B366" i="42"/>
  <c r="N365" i="42"/>
  <c r="M365" i="42"/>
  <c r="H365" i="42"/>
  <c r="G365" i="42"/>
  <c r="F365" i="42"/>
  <c r="C365" i="42"/>
  <c r="D365" i="42" s="1"/>
  <c r="B365" i="42"/>
  <c r="L364" i="42"/>
  <c r="C364" i="42" s="1"/>
  <c r="D364" i="42" s="1"/>
  <c r="H364" i="42"/>
  <c r="G364" i="42"/>
  <c r="F364" i="42"/>
  <c r="B364" i="42"/>
  <c r="L363" i="42"/>
  <c r="C363" i="42" s="1"/>
  <c r="D363" i="42" s="1"/>
  <c r="H363" i="42"/>
  <c r="G363" i="42"/>
  <c r="F363" i="42"/>
  <c r="B363" i="42"/>
  <c r="L362" i="42"/>
  <c r="H362" i="42"/>
  <c r="G362" i="42"/>
  <c r="F362" i="42"/>
  <c r="C362" i="42"/>
  <c r="D362" i="42" s="1"/>
  <c r="B362" i="42"/>
  <c r="L361" i="42"/>
  <c r="H361" i="42"/>
  <c r="G361" i="42"/>
  <c r="F361" i="42"/>
  <c r="D361" i="42"/>
  <c r="C361" i="42"/>
  <c r="B361" i="42"/>
  <c r="L360" i="42"/>
  <c r="C360" i="42" s="1"/>
  <c r="H360" i="42"/>
  <c r="G360" i="42"/>
  <c r="F360" i="42"/>
  <c r="D360" i="42"/>
  <c r="B360" i="42"/>
  <c r="L359" i="42"/>
  <c r="H359" i="42"/>
  <c r="G359" i="42"/>
  <c r="F359" i="42"/>
  <c r="D359" i="42"/>
  <c r="C359" i="42"/>
  <c r="B359" i="42"/>
  <c r="L358" i="42"/>
  <c r="C358" i="42" s="1"/>
  <c r="H358" i="42"/>
  <c r="G358" i="42"/>
  <c r="F358" i="42"/>
  <c r="D358" i="42"/>
  <c r="B358" i="42"/>
  <c r="L357" i="42"/>
  <c r="C357" i="42" s="1"/>
  <c r="D357" i="42" s="1"/>
  <c r="H357" i="42"/>
  <c r="G357" i="42"/>
  <c r="F357" i="42"/>
  <c r="B357" i="42"/>
  <c r="L356" i="42"/>
  <c r="C356" i="42" s="1"/>
  <c r="D356" i="42" s="1"/>
  <c r="H356" i="42"/>
  <c r="G356" i="42"/>
  <c r="F356" i="42"/>
  <c r="B356" i="42"/>
  <c r="L355" i="42"/>
  <c r="C355" i="42" s="1"/>
  <c r="D355" i="42" s="1"/>
  <c r="H355" i="42"/>
  <c r="G355" i="42"/>
  <c r="F355" i="42"/>
  <c r="B355" i="42"/>
  <c r="L354" i="42"/>
  <c r="H354" i="42"/>
  <c r="G354" i="42"/>
  <c r="F354" i="42"/>
  <c r="C354" i="42"/>
  <c r="D354" i="42" s="1"/>
  <c r="B354" i="42"/>
  <c r="L353" i="42"/>
  <c r="H353" i="42"/>
  <c r="G353" i="42"/>
  <c r="F353" i="42"/>
  <c r="D353" i="42"/>
  <c r="C353" i="42"/>
  <c r="B353" i="42"/>
  <c r="L352" i="42"/>
  <c r="C352" i="42" s="1"/>
  <c r="D352" i="42" s="1"/>
  <c r="H352" i="42"/>
  <c r="G352" i="42"/>
  <c r="F352" i="42"/>
  <c r="B352" i="42"/>
  <c r="L351" i="42"/>
  <c r="H351" i="42"/>
  <c r="G351" i="42"/>
  <c r="F351" i="42"/>
  <c r="D351" i="42"/>
  <c r="C351" i="42"/>
  <c r="B351" i="42"/>
  <c r="L350" i="42"/>
  <c r="C350" i="42" s="1"/>
  <c r="D350" i="42" s="1"/>
  <c r="H350" i="42"/>
  <c r="G350" i="42"/>
  <c r="F350" i="42"/>
  <c r="B350" i="42"/>
  <c r="L349" i="42"/>
  <c r="C349" i="42" s="1"/>
  <c r="D349" i="42" s="1"/>
  <c r="H349" i="42"/>
  <c r="G349" i="42"/>
  <c r="F349" i="42"/>
  <c r="B349" i="42"/>
  <c r="L348" i="42"/>
  <c r="C348" i="42" s="1"/>
  <c r="D348" i="42" s="1"/>
  <c r="H348" i="42"/>
  <c r="G348" i="42"/>
  <c r="F348" i="42"/>
  <c r="B348" i="42"/>
  <c r="L347" i="42"/>
  <c r="C347" i="42" s="1"/>
  <c r="D347" i="42" s="1"/>
  <c r="H347" i="42"/>
  <c r="G347" i="42"/>
  <c r="F347" i="42"/>
  <c r="B347" i="42"/>
  <c r="L346" i="42"/>
  <c r="H346" i="42"/>
  <c r="G346" i="42"/>
  <c r="F346" i="42"/>
  <c r="C346" i="42"/>
  <c r="D346" i="42" s="1"/>
  <c r="B346" i="42"/>
  <c r="L345" i="42"/>
  <c r="H345" i="42"/>
  <c r="G345" i="42"/>
  <c r="F345" i="42"/>
  <c r="D345" i="42"/>
  <c r="C345" i="42"/>
  <c r="B345" i="42"/>
  <c r="L344" i="42"/>
  <c r="C344" i="42" s="1"/>
  <c r="H344" i="42"/>
  <c r="G344" i="42"/>
  <c r="F344" i="42"/>
  <c r="D344" i="42"/>
  <c r="B344" i="42"/>
  <c r="L343" i="42"/>
  <c r="H343" i="42"/>
  <c r="G343" i="42"/>
  <c r="F343" i="42"/>
  <c r="D343" i="42"/>
  <c r="C343" i="42"/>
  <c r="B343" i="42"/>
  <c r="L342" i="42"/>
  <c r="C342" i="42" s="1"/>
  <c r="H342" i="42"/>
  <c r="G342" i="42"/>
  <c r="F342" i="42"/>
  <c r="D342" i="42"/>
  <c r="B342" i="42"/>
  <c r="L341" i="42"/>
  <c r="C341" i="42" s="1"/>
  <c r="D341" i="42" s="1"/>
  <c r="H341" i="42"/>
  <c r="G341" i="42"/>
  <c r="F341" i="42"/>
  <c r="B341" i="42"/>
  <c r="L340" i="42"/>
  <c r="C340" i="42" s="1"/>
  <c r="D340" i="42" s="1"/>
  <c r="H340" i="42"/>
  <c r="G340" i="42"/>
  <c r="F340" i="42"/>
  <c r="B340" i="42"/>
  <c r="L339" i="42"/>
  <c r="C339" i="42" s="1"/>
  <c r="D339" i="42" s="1"/>
  <c r="H339" i="42"/>
  <c r="G339" i="42"/>
  <c r="F339" i="42"/>
  <c r="B339" i="42"/>
  <c r="L338" i="42"/>
  <c r="H338" i="42"/>
  <c r="G338" i="42"/>
  <c r="F338" i="42"/>
  <c r="C338" i="42"/>
  <c r="D338" i="42" s="1"/>
  <c r="B338" i="42"/>
  <c r="L337" i="42"/>
  <c r="H337" i="42"/>
  <c r="G337" i="42"/>
  <c r="F337" i="42"/>
  <c r="D337" i="42"/>
  <c r="C337" i="42"/>
  <c r="B337" i="42"/>
  <c r="L336" i="42"/>
  <c r="C336" i="42" s="1"/>
  <c r="D336" i="42" s="1"/>
  <c r="H336" i="42"/>
  <c r="G336" i="42"/>
  <c r="F336" i="42"/>
  <c r="B336" i="42"/>
  <c r="M335" i="42"/>
  <c r="N335" i="42" s="1"/>
  <c r="H335" i="42"/>
  <c r="G335" i="42"/>
  <c r="F335" i="42"/>
  <c r="C335" i="42"/>
  <c r="D335" i="42" s="1"/>
  <c r="B335" i="42"/>
  <c r="L334" i="42"/>
  <c r="H334" i="42"/>
  <c r="G334" i="42"/>
  <c r="F334" i="42"/>
  <c r="C334" i="42"/>
  <c r="D334" i="42" s="1"/>
  <c r="B334" i="42"/>
  <c r="M333" i="42"/>
  <c r="H333" i="42"/>
  <c r="N333" i="42" s="1"/>
  <c r="G333" i="42"/>
  <c r="F333" i="42"/>
  <c r="C333" i="42"/>
  <c r="D333" i="42" s="1"/>
  <c r="B333" i="42"/>
  <c r="N332" i="42"/>
  <c r="M332" i="42"/>
  <c r="H332" i="42"/>
  <c r="G332" i="42"/>
  <c r="F332" i="42"/>
  <c r="C332" i="42"/>
  <c r="D332" i="42" s="1"/>
  <c r="B332" i="42"/>
  <c r="N331" i="42"/>
  <c r="M331" i="42"/>
  <c r="H331" i="42"/>
  <c r="G331" i="42"/>
  <c r="F331" i="42"/>
  <c r="C331" i="42"/>
  <c r="D331" i="42" s="1"/>
  <c r="B331" i="42"/>
  <c r="M330" i="42"/>
  <c r="H330" i="42"/>
  <c r="N330" i="42" s="1"/>
  <c r="G330" i="42"/>
  <c r="F330" i="42"/>
  <c r="C330" i="42"/>
  <c r="D330" i="42" s="1"/>
  <c r="B330" i="42"/>
  <c r="L329" i="42"/>
  <c r="C329" i="42" s="1"/>
  <c r="D329" i="42" s="1"/>
  <c r="H329" i="42"/>
  <c r="G329" i="42"/>
  <c r="F329" i="42"/>
  <c r="B329" i="42"/>
  <c r="L328" i="42"/>
  <c r="C328" i="42" s="1"/>
  <c r="D328" i="42" s="1"/>
  <c r="H328" i="42"/>
  <c r="G328" i="42"/>
  <c r="F328" i="42"/>
  <c r="B328" i="42"/>
  <c r="L327" i="42"/>
  <c r="C327" i="42" s="1"/>
  <c r="H327" i="42"/>
  <c r="G327" i="42"/>
  <c r="F327" i="42"/>
  <c r="D327" i="42"/>
  <c r="B327" i="42"/>
  <c r="L326" i="42"/>
  <c r="H326" i="42"/>
  <c r="G326" i="42"/>
  <c r="F326" i="42"/>
  <c r="C326" i="42"/>
  <c r="D326" i="42" s="1"/>
  <c r="B326" i="42"/>
  <c r="L325" i="42"/>
  <c r="C325" i="42" s="1"/>
  <c r="D325" i="42" s="1"/>
  <c r="H325" i="42"/>
  <c r="G325" i="42"/>
  <c r="F325" i="42"/>
  <c r="B325" i="42"/>
  <c r="L324" i="42"/>
  <c r="H324" i="42"/>
  <c r="G324" i="42"/>
  <c r="F324" i="42"/>
  <c r="C324" i="42"/>
  <c r="D324" i="42" s="1"/>
  <c r="B324" i="42"/>
  <c r="L323" i="42"/>
  <c r="H323" i="42"/>
  <c r="G323" i="42"/>
  <c r="F323" i="42"/>
  <c r="C323" i="42"/>
  <c r="D323" i="42" s="1"/>
  <c r="B323" i="42"/>
  <c r="L322" i="42"/>
  <c r="H322" i="42"/>
  <c r="G322" i="42"/>
  <c r="F322" i="42"/>
  <c r="C322" i="42"/>
  <c r="D322" i="42" s="1"/>
  <c r="B322" i="42"/>
  <c r="L321" i="42"/>
  <c r="C321" i="42" s="1"/>
  <c r="D321" i="42" s="1"/>
  <c r="H321" i="42"/>
  <c r="G321" i="42"/>
  <c r="F321" i="42"/>
  <c r="B321" i="42"/>
  <c r="L320" i="42"/>
  <c r="H320" i="42"/>
  <c r="G320" i="42"/>
  <c r="F320" i="42"/>
  <c r="C320" i="42"/>
  <c r="D320" i="42" s="1"/>
  <c r="B320" i="42"/>
  <c r="L319" i="42"/>
  <c r="C319" i="42" s="1"/>
  <c r="D319" i="42" s="1"/>
  <c r="H319" i="42"/>
  <c r="G319" i="42"/>
  <c r="F319" i="42"/>
  <c r="B319" i="42"/>
  <c r="M318" i="42"/>
  <c r="H318" i="42"/>
  <c r="N318" i="42" s="1"/>
  <c r="G318" i="42"/>
  <c r="F318" i="42"/>
  <c r="D318" i="42"/>
  <c r="C318" i="42"/>
  <c r="B318" i="42"/>
  <c r="M317" i="42"/>
  <c r="H317" i="42"/>
  <c r="N317" i="42" s="1"/>
  <c r="G317" i="42"/>
  <c r="F317" i="42"/>
  <c r="D317" i="42"/>
  <c r="C317" i="42"/>
  <c r="B317" i="42"/>
  <c r="M316" i="42"/>
  <c r="H316" i="42"/>
  <c r="N316" i="42" s="1"/>
  <c r="G316" i="42"/>
  <c r="F316" i="42"/>
  <c r="D316" i="42"/>
  <c r="C316" i="42"/>
  <c r="B316" i="42"/>
  <c r="M315" i="42"/>
  <c r="H315" i="42"/>
  <c r="N315" i="42" s="1"/>
  <c r="G315" i="42"/>
  <c r="F315" i="42"/>
  <c r="D315" i="42"/>
  <c r="C315" i="42"/>
  <c r="B315" i="42"/>
  <c r="M314" i="42"/>
  <c r="H314" i="42"/>
  <c r="N314" i="42" s="1"/>
  <c r="G314" i="42"/>
  <c r="F314" i="42"/>
  <c r="D314" i="42"/>
  <c r="C314" i="42"/>
  <c r="B314" i="42"/>
  <c r="M313" i="42"/>
  <c r="H313" i="42"/>
  <c r="N313" i="42" s="1"/>
  <c r="G313" i="42"/>
  <c r="F313" i="42"/>
  <c r="D313" i="42"/>
  <c r="C313" i="42"/>
  <c r="B313" i="42"/>
  <c r="M312" i="42"/>
  <c r="H312" i="42"/>
  <c r="N312" i="42" s="1"/>
  <c r="G312" i="42"/>
  <c r="F312" i="42"/>
  <c r="D312" i="42"/>
  <c r="C312" i="42"/>
  <c r="B312" i="42"/>
  <c r="M311" i="42"/>
  <c r="H311" i="42"/>
  <c r="N311" i="42" s="1"/>
  <c r="G311" i="42"/>
  <c r="F311" i="42"/>
  <c r="D311" i="42"/>
  <c r="C311" i="42"/>
  <c r="B311" i="42"/>
  <c r="M310" i="42"/>
  <c r="H310" i="42"/>
  <c r="N310" i="42" s="1"/>
  <c r="G310" i="42"/>
  <c r="F310" i="42"/>
  <c r="D310" i="42"/>
  <c r="C310" i="42"/>
  <c r="B310" i="42"/>
  <c r="M309" i="42"/>
  <c r="H309" i="42"/>
  <c r="N309" i="42" s="1"/>
  <c r="G309" i="42"/>
  <c r="F309" i="42"/>
  <c r="D309" i="42"/>
  <c r="C309" i="42"/>
  <c r="B309" i="42"/>
  <c r="M308" i="42"/>
  <c r="H308" i="42"/>
  <c r="N308" i="42" s="1"/>
  <c r="G308" i="42"/>
  <c r="F308" i="42"/>
  <c r="D308" i="42"/>
  <c r="C308" i="42"/>
  <c r="B308" i="42"/>
  <c r="M307" i="42"/>
  <c r="H307" i="42"/>
  <c r="N307" i="42" s="1"/>
  <c r="G307" i="42"/>
  <c r="F307" i="42"/>
  <c r="D307" i="42"/>
  <c r="C307" i="42"/>
  <c r="B307" i="42"/>
  <c r="M306" i="42"/>
  <c r="H306" i="42"/>
  <c r="N306" i="42" s="1"/>
  <c r="G306" i="42"/>
  <c r="F306" i="42"/>
  <c r="D306" i="42"/>
  <c r="C306" i="42"/>
  <c r="B306" i="42"/>
  <c r="M305" i="42"/>
  <c r="H305" i="42"/>
  <c r="N305" i="42" s="1"/>
  <c r="G305" i="42"/>
  <c r="F305" i="42"/>
  <c r="D305" i="42"/>
  <c r="C305" i="42"/>
  <c r="B305" i="42"/>
  <c r="M304" i="42"/>
  <c r="H304" i="42"/>
  <c r="N304" i="42" s="1"/>
  <c r="G304" i="42"/>
  <c r="F304" i="42"/>
  <c r="D304" i="42"/>
  <c r="C304" i="42"/>
  <c r="B304" i="42"/>
  <c r="L303" i="42"/>
  <c r="C303" i="42" s="1"/>
  <c r="D303" i="42" s="1"/>
  <c r="H303" i="42"/>
  <c r="G303" i="42"/>
  <c r="F303" i="42"/>
  <c r="B303" i="42"/>
  <c r="N302" i="42"/>
  <c r="M302" i="42"/>
  <c r="H302" i="42"/>
  <c r="G302" i="42"/>
  <c r="F302" i="42"/>
  <c r="C302" i="42"/>
  <c r="D302" i="42" s="1"/>
  <c r="B302" i="42"/>
  <c r="M301" i="42"/>
  <c r="H301" i="42"/>
  <c r="N301" i="42" s="1"/>
  <c r="G301" i="42"/>
  <c r="F301" i="42"/>
  <c r="C301" i="42"/>
  <c r="D301" i="42" s="1"/>
  <c r="B301" i="42"/>
  <c r="M300" i="42"/>
  <c r="H300" i="42"/>
  <c r="N300" i="42" s="1"/>
  <c r="G300" i="42"/>
  <c r="F300" i="42"/>
  <c r="C300" i="42"/>
  <c r="D300" i="42" s="1"/>
  <c r="B300" i="42"/>
  <c r="M299" i="42"/>
  <c r="N299" i="42" s="1"/>
  <c r="H299" i="42"/>
  <c r="G299" i="42"/>
  <c r="F299" i="42"/>
  <c r="C299" i="42"/>
  <c r="D299" i="42" s="1"/>
  <c r="B299" i="42"/>
  <c r="N298" i="42"/>
  <c r="M298" i="42"/>
  <c r="H298" i="42"/>
  <c r="G298" i="42"/>
  <c r="F298" i="42"/>
  <c r="C298" i="42"/>
  <c r="D298" i="42" s="1"/>
  <c r="B298" i="42"/>
  <c r="M297" i="42"/>
  <c r="H297" i="42"/>
  <c r="N297" i="42" s="1"/>
  <c r="G297" i="42"/>
  <c r="F297" i="42"/>
  <c r="C297" i="42"/>
  <c r="D297" i="42" s="1"/>
  <c r="B297" i="42"/>
  <c r="N296" i="42"/>
  <c r="M296" i="42"/>
  <c r="H296" i="42"/>
  <c r="G296" i="42"/>
  <c r="F296" i="42"/>
  <c r="C296" i="42"/>
  <c r="D296" i="42" s="1"/>
  <c r="B296" i="42"/>
  <c r="N295" i="42"/>
  <c r="M295" i="42"/>
  <c r="H295" i="42"/>
  <c r="G295" i="42"/>
  <c r="F295" i="42"/>
  <c r="C295" i="42"/>
  <c r="D295" i="42" s="1"/>
  <c r="B295" i="42"/>
  <c r="M294" i="42"/>
  <c r="H294" i="42"/>
  <c r="N294" i="42" s="1"/>
  <c r="G294" i="42"/>
  <c r="F294" i="42"/>
  <c r="C294" i="42"/>
  <c r="D294" i="42" s="1"/>
  <c r="B294" i="42"/>
  <c r="M293" i="42"/>
  <c r="H293" i="42"/>
  <c r="G293" i="42"/>
  <c r="F293" i="42"/>
  <c r="C293" i="42"/>
  <c r="D293" i="42" s="1"/>
  <c r="B293" i="42"/>
  <c r="L292" i="42"/>
  <c r="C292" i="42" s="1"/>
  <c r="H292" i="42"/>
  <c r="G292" i="42"/>
  <c r="F292" i="42"/>
  <c r="D292" i="42"/>
  <c r="B292" i="42"/>
  <c r="L291" i="42"/>
  <c r="H291" i="42"/>
  <c r="G291" i="42"/>
  <c r="F291" i="42"/>
  <c r="C291" i="42"/>
  <c r="D291" i="42" s="1"/>
  <c r="B291" i="42"/>
  <c r="M290" i="42"/>
  <c r="H290" i="42"/>
  <c r="N290" i="42" s="1"/>
  <c r="G290" i="42"/>
  <c r="F290" i="42"/>
  <c r="C290" i="42"/>
  <c r="D290" i="42" s="1"/>
  <c r="B290" i="42"/>
  <c r="L289" i="42"/>
  <c r="C289" i="42" s="1"/>
  <c r="H289" i="42"/>
  <c r="G289" i="42"/>
  <c r="F289" i="42"/>
  <c r="D289" i="42"/>
  <c r="B289" i="42"/>
  <c r="L288" i="42"/>
  <c r="H288" i="42"/>
  <c r="G288" i="42"/>
  <c r="F288" i="42"/>
  <c r="C288" i="42"/>
  <c r="D288" i="42" s="1"/>
  <c r="B288" i="42"/>
  <c r="L287" i="42"/>
  <c r="H287" i="42"/>
  <c r="G287" i="42"/>
  <c r="F287" i="42"/>
  <c r="C287" i="42"/>
  <c r="D287" i="42" s="1"/>
  <c r="B287" i="42"/>
  <c r="L286" i="42"/>
  <c r="H286" i="42"/>
  <c r="G286" i="42"/>
  <c r="F286" i="42"/>
  <c r="C286" i="42"/>
  <c r="D286" i="42" s="1"/>
  <c r="B286" i="42"/>
  <c r="L285" i="42"/>
  <c r="C285" i="42" s="1"/>
  <c r="H285" i="42"/>
  <c r="G285" i="42"/>
  <c r="F285" i="42"/>
  <c r="D285" i="42"/>
  <c r="B285" i="42"/>
  <c r="L284" i="42"/>
  <c r="C284" i="42" s="1"/>
  <c r="D284" i="42" s="1"/>
  <c r="H284" i="42"/>
  <c r="G284" i="42"/>
  <c r="F284" i="42"/>
  <c r="B284" i="42"/>
  <c r="L283" i="42"/>
  <c r="C283" i="42" s="1"/>
  <c r="D283" i="42" s="1"/>
  <c r="H283" i="42"/>
  <c r="G283" i="42"/>
  <c r="F283" i="42"/>
  <c r="B283" i="42"/>
  <c r="M282" i="42"/>
  <c r="H282" i="42"/>
  <c r="N282" i="42" s="1"/>
  <c r="G282" i="42"/>
  <c r="F282" i="42"/>
  <c r="C282" i="42"/>
  <c r="D282" i="42" s="1"/>
  <c r="B282" i="42"/>
  <c r="M281" i="42"/>
  <c r="H281" i="42"/>
  <c r="G281" i="42"/>
  <c r="F281" i="42"/>
  <c r="D281" i="42"/>
  <c r="C281" i="42"/>
  <c r="B281" i="42"/>
  <c r="M280" i="42"/>
  <c r="H280" i="42"/>
  <c r="N280" i="42" s="1"/>
  <c r="G280" i="42"/>
  <c r="F280" i="42"/>
  <c r="C280" i="42"/>
  <c r="D280" i="42" s="1"/>
  <c r="B280" i="42"/>
  <c r="M279" i="42"/>
  <c r="H279" i="42"/>
  <c r="G279" i="42"/>
  <c r="F279" i="42"/>
  <c r="D279" i="42"/>
  <c r="C279" i="42"/>
  <c r="B279" i="42"/>
  <c r="M278" i="42"/>
  <c r="H278" i="42"/>
  <c r="N278" i="42" s="1"/>
  <c r="G278" i="42"/>
  <c r="F278" i="42"/>
  <c r="C278" i="42"/>
  <c r="D278" i="42" s="1"/>
  <c r="B278" i="42"/>
  <c r="M277" i="42"/>
  <c r="H277" i="42"/>
  <c r="G277" i="42"/>
  <c r="F277" i="42"/>
  <c r="D277" i="42"/>
  <c r="C277" i="42"/>
  <c r="B277" i="42"/>
  <c r="M276" i="42"/>
  <c r="H276" i="42"/>
  <c r="N276" i="42" s="1"/>
  <c r="G276" i="42"/>
  <c r="F276" i="42"/>
  <c r="C276" i="42"/>
  <c r="D276" i="42" s="1"/>
  <c r="B276" i="42"/>
  <c r="M275" i="42"/>
  <c r="H275" i="42"/>
  <c r="G275" i="42"/>
  <c r="F275" i="42"/>
  <c r="D275" i="42"/>
  <c r="C275" i="42"/>
  <c r="B275" i="42"/>
  <c r="M274" i="42"/>
  <c r="H274" i="42"/>
  <c r="N274" i="42" s="1"/>
  <c r="G274" i="42"/>
  <c r="F274" i="42"/>
  <c r="C274" i="42"/>
  <c r="D274" i="42" s="1"/>
  <c r="B274" i="42"/>
  <c r="M273" i="42"/>
  <c r="H273" i="42"/>
  <c r="G273" i="42"/>
  <c r="F273" i="42"/>
  <c r="D273" i="42"/>
  <c r="C273" i="42"/>
  <c r="B273" i="42"/>
  <c r="M272" i="42"/>
  <c r="H272" i="42"/>
  <c r="N272" i="42" s="1"/>
  <c r="G272" i="42"/>
  <c r="F272" i="42"/>
  <c r="C272" i="42"/>
  <c r="D272" i="42" s="1"/>
  <c r="B272" i="42"/>
  <c r="M271" i="42"/>
  <c r="H271" i="42"/>
  <c r="G271" i="42"/>
  <c r="F271" i="42"/>
  <c r="D271" i="42"/>
  <c r="C271" i="42"/>
  <c r="B271" i="42"/>
  <c r="M270" i="42"/>
  <c r="H270" i="42"/>
  <c r="N270" i="42" s="1"/>
  <c r="G270" i="42"/>
  <c r="F270" i="42"/>
  <c r="C270" i="42"/>
  <c r="D270" i="42" s="1"/>
  <c r="B270" i="42"/>
  <c r="M269" i="42"/>
  <c r="H269" i="42"/>
  <c r="G269" i="42"/>
  <c r="F269" i="42"/>
  <c r="D269" i="42"/>
  <c r="C269" i="42"/>
  <c r="B269" i="42"/>
  <c r="M268" i="42"/>
  <c r="H268" i="42"/>
  <c r="N268" i="42" s="1"/>
  <c r="G268" i="42"/>
  <c r="F268" i="42"/>
  <c r="C268" i="42"/>
  <c r="D268" i="42" s="1"/>
  <c r="B268" i="42"/>
  <c r="M267" i="42"/>
  <c r="H267" i="42"/>
  <c r="G267" i="42"/>
  <c r="F267" i="42"/>
  <c r="D267" i="42"/>
  <c r="C267" i="42"/>
  <c r="B267" i="42"/>
  <c r="M266" i="42"/>
  <c r="H266" i="42"/>
  <c r="N266" i="42" s="1"/>
  <c r="G266" i="42"/>
  <c r="F266" i="42"/>
  <c r="C266" i="42"/>
  <c r="D266" i="42" s="1"/>
  <c r="B266" i="42"/>
  <c r="M265" i="42"/>
  <c r="H265" i="42"/>
  <c r="G265" i="42"/>
  <c r="F265" i="42"/>
  <c r="D265" i="42"/>
  <c r="C265" i="42"/>
  <c r="B265" i="42"/>
  <c r="M264" i="42"/>
  <c r="H264" i="42"/>
  <c r="N264" i="42" s="1"/>
  <c r="G264" i="42"/>
  <c r="F264" i="42"/>
  <c r="C264" i="42"/>
  <c r="D264" i="42" s="1"/>
  <c r="B264" i="42"/>
  <c r="M263" i="42"/>
  <c r="H263" i="42"/>
  <c r="G263" i="42"/>
  <c r="F263" i="42"/>
  <c r="D263" i="42"/>
  <c r="C263" i="42"/>
  <c r="B263" i="42"/>
  <c r="M262" i="42"/>
  <c r="H262" i="42"/>
  <c r="N262" i="42" s="1"/>
  <c r="G262" i="42"/>
  <c r="F262" i="42"/>
  <c r="C262" i="42"/>
  <c r="D262" i="42" s="1"/>
  <c r="B262" i="42"/>
  <c r="M261" i="42"/>
  <c r="H261" i="42"/>
  <c r="G261" i="42"/>
  <c r="F261" i="42"/>
  <c r="D261" i="42"/>
  <c r="C261" i="42"/>
  <c r="B261" i="42"/>
  <c r="M260" i="42"/>
  <c r="H260" i="42"/>
  <c r="N260" i="42" s="1"/>
  <c r="G260" i="42"/>
  <c r="F260" i="42"/>
  <c r="C260" i="42"/>
  <c r="D260" i="42" s="1"/>
  <c r="B260" i="42"/>
  <c r="M259" i="42"/>
  <c r="H259" i="42"/>
  <c r="G259" i="42"/>
  <c r="F259" i="42"/>
  <c r="D259" i="42"/>
  <c r="C259" i="42"/>
  <c r="B259" i="42"/>
  <c r="L258" i="42"/>
  <c r="H258" i="42"/>
  <c r="G258" i="42"/>
  <c r="F258" i="42"/>
  <c r="D258" i="42"/>
  <c r="C258" i="42"/>
  <c r="B258" i="42"/>
  <c r="L257" i="42"/>
  <c r="C257" i="42" s="1"/>
  <c r="H257" i="42"/>
  <c r="G257" i="42"/>
  <c r="F257" i="42"/>
  <c r="D257" i="42"/>
  <c r="B257" i="42"/>
  <c r="L256" i="42"/>
  <c r="H256" i="42"/>
  <c r="G256" i="42"/>
  <c r="F256" i="42"/>
  <c r="C256" i="42"/>
  <c r="D256" i="42" s="1"/>
  <c r="B256" i="42"/>
  <c r="L255" i="42"/>
  <c r="H255" i="42"/>
  <c r="G255" i="42"/>
  <c r="F255" i="42"/>
  <c r="C255" i="42"/>
  <c r="D255" i="42" s="1"/>
  <c r="B255" i="42"/>
  <c r="L254" i="42"/>
  <c r="H254" i="42"/>
  <c r="G254" i="42"/>
  <c r="F254" i="42"/>
  <c r="C254" i="42"/>
  <c r="D254" i="42" s="1"/>
  <c r="B254" i="42"/>
  <c r="L253" i="42"/>
  <c r="C253" i="42" s="1"/>
  <c r="D253" i="42" s="1"/>
  <c r="H253" i="42"/>
  <c r="G253" i="42"/>
  <c r="F253" i="42"/>
  <c r="B253" i="42"/>
  <c r="L252" i="42"/>
  <c r="C252" i="42" s="1"/>
  <c r="D252" i="42" s="1"/>
  <c r="H252" i="42"/>
  <c r="G252" i="42"/>
  <c r="F252" i="42"/>
  <c r="B252" i="42"/>
  <c r="Q251" i="42"/>
  <c r="P251" i="42"/>
  <c r="M251" i="42"/>
  <c r="N251" i="42" s="1"/>
  <c r="H251" i="42"/>
  <c r="G251" i="42"/>
  <c r="F251" i="42"/>
  <c r="C251" i="42"/>
  <c r="D251" i="42" s="1"/>
  <c r="B251" i="42"/>
  <c r="L250" i="42"/>
  <c r="C250" i="42" s="1"/>
  <c r="D250" i="42" s="1"/>
  <c r="H250" i="42"/>
  <c r="G250" i="42"/>
  <c r="F250" i="42"/>
  <c r="B250" i="42"/>
  <c r="L249" i="42"/>
  <c r="H249" i="42"/>
  <c r="G249" i="42"/>
  <c r="F249" i="42"/>
  <c r="C249" i="42"/>
  <c r="D249" i="42" s="1"/>
  <c r="B249" i="42"/>
  <c r="Q248" i="42"/>
  <c r="P248" i="42"/>
  <c r="N248" i="42"/>
  <c r="M248" i="42"/>
  <c r="H248" i="42"/>
  <c r="G248" i="42"/>
  <c r="F248" i="42"/>
  <c r="C248" i="42"/>
  <c r="D248" i="42" s="1"/>
  <c r="B248" i="42"/>
  <c r="Q247" i="42"/>
  <c r="P247" i="42"/>
  <c r="N247" i="42"/>
  <c r="M247" i="42"/>
  <c r="H247" i="42"/>
  <c r="G247" i="42"/>
  <c r="F247" i="42"/>
  <c r="C247" i="42"/>
  <c r="D247" i="42" s="1"/>
  <c r="B247" i="42"/>
  <c r="Q246" i="42"/>
  <c r="P246" i="42"/>
  <c r="M246" i="42"/>
  <c r="H246" i="42"/>
  <c r="N246" i="42" s="1"/>
  <c r="G246" i="42"/>
  <c r="F246" i="42"/>
  <c r="D246" i="42"/>
  <c r="C246" i="42"/>
  <c r="B246" i="42"/>
  <c r="L245" i="42"/>
  <c r="H245" i="42"/>
  <c r="G245" i="42"/>
  <c r="F245" i="42"/>
  <c r="C245" i="42"/>
  <c r="D245" i="42" s="1"/>
  <c r="B245" i="42"/>
  <c r="L244" i="42"/>
  <c r="H244" i="42"/>
  <c r="G244" i="42"/>
  <c r="F244" i="42"/>
  <c r="D244" i="42"/>
  <c r="C244" i="42"/>
  <c r="B244" i="42"/>
  <c r="L243" i="42"/>
  <c r="C243" i="42" s="1"/>
  <c r="H243" i="42"/>
  <c r="G243" i="42"/>
  <c r="F243" i="42"/>
  <c r="D243" i="42"/>
  <c r="B243" i="42"/>
  <c r="L242" i="42"/>
  <c r="C242" i="42" s="1"/>
  <c r="D242" i="42" s="1"/>
  <c r="H242" i="42"/>
  <c r="G242" i="42"/>
  <c r="F242" i="42"/>
  <c r="B242" i="42"/>
  <c r="L241" i="42"/>
  <c r="C241" i="42" s="1"/>
  <c r="D241" i="42" s="1"/>
  <c r="H241" i="42"/>
  <c r="G241" i="42"/>
  <c r="F241" i="42"/>
  <c r="B241" i="42"/>
  <c r="L240" i="42"/>
  <c r="C240" i="42" s="1"/>
  <c r="D240" i="42" s="1"/>
  <c r="H240" i="42"/>
  <c r="G240" i="42"/>
  <c r="F240" i="42"/>
  <c r="B240" i="42"/>
  <c r="L239" i="42"/>
  <c r="H239" i="42"/>
  <c r="G239" i="42"/>
  <c r="F239" i="42"/>
  <c r="C239" i="42"/>
  <c r="D239" i="42" s="1"/>
  <c r="B239" i="42"/>
  <c r="L238" i="42"/>
  <c r="H238" i="42"/>
  <c r="G238" i="42"/>
  <c r="F238" i="42"/>
  <c r="C238" i="42"/>
  <c r="D238" i="42" s="1"/>
  <c r="B238" i="42"/>
  <c r="L237" i="42"/>
  <c r="H237" i="42"/>
  <c r="G237" i="42"/>
  <c r="F237" i="42"/>
  <c r="C237" i="42"/>
  <c r="D237" i="42" s="1"/>
  <c r="B237" i="42"/>
  <c r="L236" i="42"/>
  <c r="H236" i="42"/>
  <c r="G236" i="42"/>
  <c r="F236" i="42"/>
  <c r="D236" i="42"/>
  <c r="C236" i="42"/>
  <c r="B236" i="42"/>
  <c r="L235" i="42"/>
  <c r="C235" i="42" s="1"/>
  <c r="H235" i="42"/>
  <c r="G235" i="42"/>
  <c r="F235" i="42"/>
  <c r="D235" i="42"/>
  <c r="B235" i="42"/>
  <c r="L234" i="42"/>
  <c r="C234" i="42" s="1"/>
  <c r="H234" i="42"/>
  <c r="G234" i="42"/>
  <c r="F234" i="42"/>
  <c r="D234" i="42"/>
  <c r="B234" i="42"/>
  <c r="L233" i="42"/>
  <c r="C233" i="42" s="1"/>
  <c r="H233" i="42"/>
  <c r="G233" i="42"/>
  <c r="F233" i="42"/>
  <c r="D233" i="42"/>
  <c r="B233" i="42"/>
  <c r="L232" i="42"/>
  <c r="H232" i="42"/>
  <c r="G232" i="42"/>
  <c r="F232" i="42"/>
  <c r="C232" i="42"/>
  <c r="D232" i="42" s="1"/>
  <c r="B232" i="42"/>
  <c r="L231" i="42"/>
  <c r="H231" i="42"/>
  <c r="G231" i="42"/>
  <c r="F231" i="42"/>
  <c r="C231" i="42"/>
  <c r="D231" i="42" s="1"/>
  <c r="B231" i="42"/>
  <c r="L230" i="42"/>
  <c r="C230" i="42" s="1"/>
  <c r="D230" i="42" s="1"/>
  <c r="H230" i="42"/>
  <c r="G230" i="42"/>
  <c r="F230" i="42"/>
  <c r="B230" i="42"/>
  <c r="L229" i="42"/>
  <c r="C229" i="42" s="1"/>
  <c r="D229" i="42" s="1"/>
  <c r="H229" i="42"/>
  <c r="G229" i="42"/>
  <c r="F229" i="42"/>
  <c r="B229" i="42"/>
  <c r="M228" i="42"/>
  <c r="N228" i="42" s="1"/>
  <c r="H228" i="42"/>
  <c r="G228" i="42"/>
  <c r="F228" i="42"/>
  <c r="C228" i="42"/>
  <c r="D228" i="42" s="1"/>
  <c r="B228" i="42"/>
  <c r="L227" i="42"/>
  <c r="H227" i="42"/>
  <c r="G227" i="42"/>
  <c r="F227" i="42"/>
  <c r="D227" i="42"/>
  <c r="C227" i="42"/>
  <c r="B227" i="42"/>
  <c r="L226" i="42"/>
  <c r="C226" i="42" s="1"/>
  <c r="H226" i="42"/>
  <c r="G226" i="42"/>
  <c r="F226" i="42"/>
  <c r="D226" i="42"/>
  <c r="B226" i="42"/>
  <c r="L225" i="42"/>
  <c r="C225" i="42" s="1"/>
  <c r="D225" i="42" s="1"/>
  <c r="H225" i="42"/>
  <c r="G225" i="42"/>
  <c r="F225" i="42"/>
  <c r="B225" i="42"/>
  <c r="L224" i="42"/>
  <c r="C224" i="42" s="1"/>
  <c r="D224" i="42" s="1"/>
  <c r="H224" i="42"/>
  <c r="G224" i="42"/>
  <c r="F224" i="42"/>
  <c r="B224" i="42"/>
  <c r="L223" i="42"/>
  <c r="C223" i="42" s="1"/>
  <c r="D223" i="42" s="1"/>
  <c r="H223" i="42"/>
  <c r="G223" i="42"/>
  <c r="F223" i="42"/>
  <c r="B223" i="42"/>
  <c r="L222" i="42"/>
  <c r="H222" i="42"/>
  <c r="G222" i="42"/>
  <c r="F222" i="42"/>
  <c r="C222" i="42"/>
  <c r="D222" i="42" s="1"/>
  <c r="B222" i="42"/>
  <c r="Q221" i="42"/>
  <c r="P221" i="42"/>
  <c r="N221" i="42"/>
  <c r="M221" i="42"/>
  <c r="H221" i="42"/>
  <c r="G221" i="42"/>
  <c r="F221" i="42"/>
  <c r="D221" i="42"/>
  <c r="C221" i="42"/>
  <c r="B221" i="42"/>
  <c r="L220" i="42"/>
  <c r="H220" i="42"/>
  <c r="G220" i="42"/>
  <c r="F220" i="42"/>
  <c r="D220" i="42"/>
  <c r="C220" i="42"/>
  <c r="B220" i="42"/>
  <c r="L219" i="42"/>
  <c r="C219" i="42" s="1"/>
  <c r="H219" i="42"/>
  <c r="G219" i="42"/>
  <c r="F219" i="42"/>
  <c r="D219" i="42"/>
  <c r="B219" i="42"/>
  <c r="L218" i="42"/>
  <c r="C218" i="42" s="1"/>
  <c r="H218" i="42"/>
  <c r="G218" i="42"/>
  <c r="F218" i="42"/>
  <c r="D218" i="42"/>
  <c r="B218" i="42"/>
  <c r="L217" i="42"/>
  <c r="C217" i="42" s="1"/>
  <c r="H217" i="42"/>
  <c r="G217" i="42"/>
  <c r="F217" i="42"/>
  <c r="D217" i="42"/>
  <c r="B217" i="42"/>
  <c r="L216" i="42"/>
  <c r="H216" i="42"/>
  <c r="G216" i="42"/>
  <c r="F216" i="42"/>
  <c r="C216" i="42"/>
  <c r="D216" i="42" s="1"/>
  <c r="B216" i="42"/>
  <c r="L215" i="42"/>
  <c r="H215" i="42"/>
  <c r="G215" i="42"/>
  <c r="F215" i="42"/>
  <c r="C215" i="42"/>
  <c r="D215" i="42" s="1"/>
  <c r="B215" i="42"/>
  <c r="L214" i="42"/>
  <c r="C214" i="42" s="1"/>
  <c r="D214" i="42" s="1"/>
  <c r="H214" i="42"/>
  <c r="G214" i="42"/>
  <c r="F214" i="42"/>
  <c r="B214" i="42"/>
  <c r="L213" i="42"/>
  <c r="H213" i="42"/>
  <c r="G213" i="42"/>
  <c r="F213" i="42"/>
  <c r="C213" i="42"/>
  <c r="D213" i="42" s="1"/>
  <c r="B213" i="42"/>
  <c r="L212" i="42"/>
  <c r="H212" i="42"/>
  <c r="G212" i="42"/>
  <c r="F212" i="42"/>
  <c r="D212" i="42"/>
  <c r="C212" i="42"/>
  <c r="B212" i="42"/>
  <c r="L211" i="42"/>
  <c r="C211" i="42" s="1"/>
  <c r="H211" i="42"/>
  <c r="G211" i="42"/>
  <c r="F211" i="42"/>
  <c r="D211" i="42"/>
  <c r="B211" i="42"/>
  <c r="L210" i="42"/>
  <c r="C210" i="42" s="1"/>
  <c r="H210" i="42"/>
  <c r="G210" i="42"/>
  <c r="F210" i="42"/>
  <c r="D210" i="42"/>
  <c r="B210" i="42"/>
  <c r="L209" i="42"/>
  <c r="C209" i="42" s="1"/>
  <c r="D209" i="42" s="1"/>
  <c r="H209" i="42"/>
  <c r="G209" i="42"/>
  <c r="F209" i="42"/>
  <c r="B209" i="42"/>
  <c r="L208" i="42"/>
  <c r="C208" i="42" s="1"/>
  <c r="D208" i="42" s="1"/>
  <c r="H208" i="42"/>
  <c r="G208" i="42"/>
  <c r="F208" i="42"/>
  <c r="B208" i="42"/>
  <c r="L207" i="42"/>
  <c r="H207" i="42"/>
  <c r="G207" i="42"/>
  <c r="F207" i="42"/>
  <c r="C207" i="42"/>
  <c r="D207" i="42" s="1"/>
  <c r="B207" i="42"/>
  <c r="L206" i="42"/>
  <c r="C206" i="42" s="1"/>
  <c r="D206" i="42" s="1"/>
  <c r="H206" i="42"/>
  <c r="G206" i="42"/>
  <c r="F206" i="42"/>
  <c r="B206" i="42"/>
  <c r="L205" i="42"/>
  <c r="H205" i="42"/>
  <c r="G205" i="42"/>
  <c r="F205" i="42"/>
  <c r="D205" i="42"/>
  <c r="C205" i="42"/>
  <c r="B205" i="42"/>
  <c r="L204" i="42"/>
  <c r="H204" i="42"/>
  <c r="G204" i="42"/>
  <c r="F204" i="42"/>
  <c r="D204" i="42"/>
  <c r="C204" i="42"/>
  <c r="B204" i="42"/>
  <c r="L203" i="42"/>
  <c r="C203" i="42" s="1"/>
  <c r="D203" i="42" s="1"/>
  <c r="H203" i="42"/>
  <c r="G203" i="42"/>
  <c r="F203" i="42"/>
  <c r="B203" i="42"/>
  <c r="L202" i="42"/>
  <c r="C202" i="42" s="1"/>
  <c r="D202" i="42" s="1"/>
  <c r="H202" i="42"/>
  <c r="G202" i="42"/>
  <c r="F202" i="42"/>
  <c r="B202" i="42"/>
  <c r="L201" i="42"/>
  <c r="C201" i="42" s="1"/>
  <c r="H201" i="42"/>
  <c r="G201" i="42"/>
  <c r="F201" i="42"/>
  <c r="D201" i="42"/>
  <c r="B201" i="42"/>
  <c r="L200" i="42"/>
  <c r="H200" i="42"/>
  <c r="G200" i="42"/>
  <c r="F200" i="42"/>
  <c r="C200" i="42"/>
  <c r="D200" i="42" s="1"/>
  <c r="B200" i="42"/>
  <c r="L199" i="42"/>
  <c r="H199" i="42"/>
  <c r="G199" i="42"/>
  <c r="F199" i="42"/>
  <c r="C199" i="42"/>
  <c r="D199" i="42" s="1"/>
  <c r="B199" i="42"/>
  <c r="L198" i="42"/>
  <c r="C198" i="42" s="1"/>
  <c r="H198" i="42"/>
  <c r="G198" i="42"/>
  <c r="F198" i="42"/>
  <c r="D198" i="42"/>
  <c r="B198" i="42"/>
  <c r="L197" i="42"/>
  <c r="C197" i="42" s="1"/>
  <c r="D197" i="42" s="1"/>
  <c r="H197" i="42"/>
  <c r="G197" i="42"/>
  <c r="F197" i="42"/>
  <c r="B197" i="42"/>
  <c r="L196" i="42"/>
  <c r="H196" i="42"/>
  <c r="G196" i="42"/>
  <c r="F196" i="42"/>
  <c r="D196" i="42"/>
  <c r="C196" i="42"/>
  <c r="B196" i="42"/>
  <c r="L195" i="42"/>
  <c r="C195" i="42" s="1"/>
  <c r="D195" i="42" s="1"/>
  <c r="H195" i="42"/>
  <c r="G195" i="42"/>
  <c r="F195" i="42"/>
  <c r="B195" i="42"/>
  <c r="Q194" i="42"/>
  <c r="P194" i="42"/>
  <c r="M194" i="42"/>
  <c r="H194" i="42"/>
  <c r="G194" i="42"/>
  <c r="F194" i="42"/>
  <c r="D194" i="42"/>
  <c r="C194" i="42"/>
  <c r="B194" i="42"/>
  <c r="Q193" i="42"/>
  <c r="P193" i="42"/>
  <c r="M193" i="42"/>
  <c r="N193" i="42" s="1"/>
  <c r="H193" i="42"/>
  <c r="G193" i="42"/>
  <c r="F193" i="42"/>
  <c r="D193" i="42"/>
  <c r="C193" i="42"/>
  <c r="B193" i="42"/>
  <c r="Q192" i="42"/>
  <c r="P192" i="42"/>
  <c r="M192" i="42"/>
  <c r="N192" i="42" s="1"/>
  <c r="H192" i="42"/>
  <c r="G192" i="42"/>
  <c r="F192" i="42"/>
  <c r="D192" i="42"/>
  <c r="C192" i="42"/>
  <c r="B192" i="42"/>
  <c r="L191" i="42"/>
  <c r="H191" i="42"/>
  <c r="G191" i="42"/>
  <c r="F191" i="42"/>
  <c r="C191" i="42"/>
  <c r="D191" i="42" s="1"/>
  <c r="B191" i="42"/>
  <c r="L190" i="42"/>
  <c r="H190" i="42"/>
  <c r="G190" i="42"/>
  <c r="F190" i="42"/>
  <c r="C190" i="42"/>
  <c r="D190" i="42" s="1"/>
  <c r="B190" i="42"/>
  <c r="L189" i="42"/>
  <c r="C189" i="42" s="1"/>
  <c r="D189" i="42" s="1"/>
  <c r="H189" i="42"/>
  <c r="G189" i="42"/>
  <c r="F189" i="42"/>
  <c r="B189" i="42"/>
  <c r="L188" i="42"/>
  <c r="C188" i="42" s="1"/>
  <c r="D188" i="42" s="1"/>
  <c r="H188" i="42"/>
  <c r="G188" i="42"/>
  <c r="F188" i="42"/>
  <c r="B188" i="42"/>
  <c r="L187" i="42"/>
  <c r="C187" i="42" s="1"/>
  <c r="D187" i="42" s="1"/>
  <c r="H187" i="42"/>
  <c r="G187" i="42"/>
  <c r="F187" i="42"/>
  <c r="B187" i="42"/>
  <c r="L186" i="42"/>
  <c r="C186" i="42" s="1"/>
  <c r="D186" i="42" s="1"/>
  <c r="H186" i="42"/>
  <c r="G186" i="42"/>
  <c r="F186" i="42"/>
  <c r="B186" i="42"/>
  <c r="N185" i="42"/>
  <c r="M185" i="42"/>
  <c r="H185" i="42"/>
  <c r="G185" i="42"/>
  <c r="F185" i="42"/>
  <c r="D185" i="42"/>
  <c r="C185" i="42"/>
  <c r="B185" i="42"/>
  <c r="N184" i="42"/>
  <c r="M184" i="42"/>
  <c r="H184" i="42"/>
  <c r="G184" i="42"/>
  <c r="F184" i="42"/>
  <c r="D184" i="42"/>
  <c r="C184" i="42"/>
  <c r="B184" i="42"/>
  <c r="N183" i="42"/>
  <c r="M183" i="42"/>
  <c r="H183" i="42"/>
  <c r="G183" i="42"/>
  <c r="F183" i="42"/>
  <c r="D183" i="42"/>
  <c r="C183" i="42"/>
  <c r="B183" i="42"/>
  <c r="L182" i="42"/>
  <c r="H182" i="42"/>
  <c r="G182" i="42"/>
  <c r="F182" i="42"/>
  <c r="C182" i="42"/>
  <c r="D182" i="42" s="1"/>
  <c r="B182" i="42"/>
  <c r="L181" i="42"/>
  <c r="H181" i="42"/>
  <c r="G181" i="42"/>
  <c r="F181" i="42"/>
  <c r="C181" i="42"/>
  <c r="D181" i="42" s="1"/>
  <c r="B181" i="42"/>
  <c r="L180" i="42"/>
  <c r="H180" i="42"/>
  <c r="G180" i="42"/>
  <c r="F180" i="42"/>
  <c r="C180" i="42"/>
  <c r="D180" i="42" s="1"/>
  <c r="B180" i="42"/>
  <c r="Q179" i="42"/>
  <c r="P179" i="42"/>
  <c r="M179" i="42"/>
  <c r="H179" i="42"/>
  <c r="N179" i="42" s="1"/>
  <c r="G179" i="42"/>
  <c r="F179" i="42"/>
  <c r="C179" i="42"/>
  <c r="D179" i="42" s="1"/>
  <c r="B179" i="42"/>
  <c r="Q178" i="42"/>
  <c r="P178" i="42"/>
  <c r="M178" i="42"/>
  <c r="N178" i="42" s="1"/>
  <c r="H178" i="42"/>
  <c r="G178" i="42"/>
  <c r="F178" i="42"/>
  <c r="C178" i="42"/>
  <c r="D178" i="42" s="1"/>
  <c r="B178" i="42"/>
  <c r="Q177" i="42"/>
  <c r="P177" i="42"/>
  <c r="N177" i="42"/>
  <c r="M177" i="42"/>
  <c r="H177" i="42"/>
  <c r="G177" i="42"/>
  <c r="F177" i="42"/>
  <c r="D177" i="42"/>
  <c r="C177" i="42"/>
  <c r="B177" i="42"/>
  <c r="Q176" i="42"/>
  <c r="P176" i="42"/>
  <c r="M176" i="42"/>
  <c r="H176" i="42"/>
  <c r="N176" i="42" s="1"/>
  <c r="G176" i="42"/>
  <c r="F176" i="42"/>
  <c r="D176" i="42"/>
  <c r="C176" i="42"/>
  <c r="B176" i="42"/>
  <c r="Q175" i="42"/>
  <c r="P175" i="42"/>
  <c r="M175" i="42"/>
  <c r="N175" i="42" s="1"/>
  <c r="H175" i="42"/>
  <c r="G175" i="42"/>
  <c r="F175" i="42"/>
  <c r="D175" i="42"/>
  <c r="C175" i="42"/>
  <c r="B175" i="42"/>
  <c r="L174" i="42"/>
  <c r="C174" i="42" s="1"/>
  <c r="H174" i="42"/>
  <c r="G174" i="42"/>
  <c r="F174" i="42"/>
  <c r="D174" i="42"/>
  <c r="B174" i="42"/>
  <c r="L173" i="42"/>
  <c r="H173" i="42"/>
  <c r="G173" i="42"/>
  <c r="F173" i="42"/>
  <c r="C173" i="42"/>
  <c r="D173" i="42" s="1"/>
  <c r="B173" i="42"/>
  <c r="L172" i="42"/>
  <c r="H172" i="42"/>
  <c r="G172" i="42"/>
  <c r="F172" i="42"/>
  <c r="C172" i="42"/>
  <c r="D172" i="42" s="1"/>
  <c r="B172" i="42"/>
  <c r="L171" i="42"/>
  <c r="C171" i="42" s="1"/>
  <c r="D171" i="42" s="1"/>
  <c r="H171" i="42"/>
  <c r="G171" i="42"/>
  <c r="F171" i="42"/>
  <c r="B171" i="42"/>
  <c r="L170" i="42"/>
  <c r="H170" i="42"/>
  <c r="G170" i="42"/>
  <c r="F170" i="42"/>
  <c r="C170" i="42"/>
  <c r="D170" i="42" s="1"/>
  <c r="B170" i="42"/>
  <c r="Q169" i="42"/>
  <c r="P169" i="42"/>
  <c r="M169" i="42"/>
  <c r="H169" i="42"/>
  <c r="G169" i="42"/>
  <c r="F169" i="42"/>
  <c r="D169" i="42"/>
  <c r="C169" i="42"/>
  <c r="B169" i="42"/>
  <c r="L168" i="42"/>
  <c r="C168" i="42" s="1"/>
  <c r="H168" i="42"/>
  <c r="G168" i="42"/>
  <c r="F168" i="42"/>
  <c r="D168" i="42"/>
  <c r="B168" i="42"/>
  <c r="L167" i="42"/>
  <c r="C167" i="42" s="1"/>
  <c r="D167" i="42" s="1"/>
  <c r="H167" i="42"/>
  <c r="G167" i="42"/>
  <c r="F167" i="42"/>
  <c r="B167" i="42"/>
  <c r="N166" i="42"/>
  <c r="M166" i="42"/>
  <c r="H166" i="42"/>
  <c r="G166" i="42"/>
  <c r="F166" i="42"/>
  <c r="D166" i="42"/>
  <c r="C166" i="42"/>
  <c r="B166" i="42"/>
  <c r="Q165" i="42"/>
  <c r="P165" i="42"/>
  <c r="M165" i="42"/>
  <c r="H165" i="42"/>
  <c r="G165" i="42"/>
  <c r="F165" i="42"/>
  <c r="D165" i="42"/>
  <c r="C165" i="42"/>
  <c r="B165" i="42"/>
  <c r="Q164" i="42"/>
  <c r="P164" i="42"/>
  <c r="M164" i="42"/>
  <c r="N164" i="42" s="1"/>
  <c r="H164" i="42"/>
  <c r="G164" i="42"/>
  <c r="F164" i="42"/>
  <c r="D164" i="42"/>
  <c r="C164" i="42"/>
  <c r="B164" i="42"/>
  <c r="Q163" i="42"/>
  <c r="P163" i="42"/>
  <c r="M163" i="42"/>
  <c r="H163" i="42"/>
  <c r="N163" i="42" s="1"/>
  <c r="G163" i="42"/>
  <c r="F163" i="42"/>
  <c r="C163" i="42"/>
  <c r="D163" i="42" s="1"/>
  <c r="B163" i="42"/>
  <c r="L162" i="42"/>
  <c r="H162" i="42"/>
  <c r="G162" i="42"/>
  <c r="F162" i="42"/>
  <c r="C162" i="42"/>
  <c r="D162" i="42" s="1"/>
  <c r="B162" i="42"/>
  <c r="L161" i="42"/>
  <c r="C161" i="42" s="1"/>
  <c r="D161" i="42" s="1"/>
  <c r="H161" i="42"/>
  <c r="G161" i="42"/>
  <c r="F161" i="42"/>
  <c r="B161" i="42"/>
  <c r="L160" i="42"/>
  <c r="C160" i="42" s="1"/>
  <c r="D160" i="42" s="1"/>
  <c r="H160" i="42"/>
  <c r="G160" i="42"/>
  <c r="F160" i="42"/>
  <c r="B160" i="42"/>
  <c r="L159" i="42"/>
  <c r="C159" i="42" s="1"/>
  <c r="H159" i="42"/>
  <c r="G159" i="42"/>
  <c r="F159" i="42"/>
  <c r="D159" i="42"/>
  <c r="B159" i="42"/>
  <c r="L158" i="42"/>
  <c r="C158" i="42" s="1"/>
  <c r="D158" i="42" s="1"/>
  <c r="H158" i="42"/>
  <c r="G158" i="42"/>
  <c r="F158" i="42"/>
  <c r="B158" i="42"/>
  <c r="L157" i="42"/>
  <c r="C157" i="42" s="1"/>
  <c r="D157" i="42" s="1"/>
  <c r="H157" i="42"/>
  <c r="G157" i="42"/>
  <c r="F157" i="42"/>
  <c r="B157" i="42"/>
  <c r="L156" i="42"/>
  <c r="H156" i="42"/>
  <c r="G156" i="42"/>
  <c r="F156" i="42"/>
  <c r="C156" i="42"/>
  <c r="D156" i="42" s="1"/>
  <c r="B156" i="42"/>
  <c r="L155" i="42"/>
  <c r="H155" i="42"/>
  <c r="G155" i="42"/>
  <c r="F155" i="42"/>
  <c r="C155" i="42"/>
  <c r="D155" i="42" s="1"/>
  <c r="B155" i="42"/>
  <c r="L154" i="42"/>
  <c r="H154" i="42"/>
  <c r="G154" i="42"/>
  <c r="F154" i="42"/>
  <c r="C154" i="42"/>
  <c r="D154" i="42" s="1"/>
  <c r="B154" i="42"/>
  <c r="L153" i="42"/>
  <c r="C153" i="42" s="1"/>
  <c r="D153" i="42" s="1"/>
  <c r="H153" i="42"/>
  <c r="G153" i="42"/>
  <c r="F153" i="42"/>
  <c r="B153" i="42"/>
  <c r="L152" i="42"/>
  <c r="H152" i="42"/>
  <c r="G152" i="42"/>
  <c r="F152" i="42"/>
  <c r="C152" i="42"/>
  <c r="D152" i="42" s="1"/>
  <c r="B152" i="42"/>
  <c r="L151" i="42"/>
  <c r="C151" i="42" s="1"/>
  <c r="D151" i="42" s="1"/>
  <c r="H151" i="42"/>
  <c r="G151" i="42"/>
  <c r="F151" i="42"/>
  <c r="B151" i="42"/>
  <c r="L150" i="42"/>
  <c r="H150" i="42"/>
  <c r="G150" i="42"/>
  <c r="F150" i="42"/>
  <c r="D150" i="42"/>
  <c r="C150" i="42"/>
  <c r="B150" i="42"/>
  <c r="L149" i="42"/>
  <c r="C149" i="42" s="1"/>
  <c r="D149" i="42" s="1"/>
  <c r="H149" i="42"/>
  <c r="G149" i="42"/>
  <c r="F149" i="42"/>
  <c r="B149" i="42"/>
  <c r="L148" i="42"/>
  <c r="H148" i="42"/>
  <c r="G148" i="42"/>
  <c r="F148" i="42"/>
  <c r="C148" i="42"/>
  <c r="D148" i="42" s="1"/>
  <c r="B148" i="42"/>
  <c r="L147" i="42"/>
  <c r="H147" i="42"/>
  <c r="G147" i="42"/>
  <c r="F147" i="42"/>
  <c r="C147" i="42"/>
  <c r="D147" i="42" s="1"/>
  <c r="B147" i="42"/>
  <c r="L146" i="42"/>
  <c r="H146" i="42"/>
  <c r="G146" i="42"/>
  <c r="F146" i="42"/>
  <c r="C146" i="42"/>
  <c r="D146" i="42" s="1"/>
  <c r="B146" i="42"/>
  <c r="L145" i="42"/>
  <c r="C145" i="42" s="1"/>
  <c r="H145" i="42"/>
  <c r="G145" i="42"/>
  <c r="F145" i="42"/>
  <c r="D145" i="42"/>
  <c r="B145" i="42"/>
  <c r="N144" i="42"/>
  <c r="M144" i="42"/>
  <c r="H144" i="42"/>
  <c r="G144" i="42"/>
  <c r="F144" i="42"/>
  <c r="D144" i="42"/>
  <c r="C144" i="42"/>
  <c r="B144" i="42"/>
  <c r="L143" i="42"/>
  <c r="H143" i="42"/>
  <c r="G143" i="42"/>
  <c r="F143" i="42"/>
  <c r="C143" i="42"/>
  <c r="D143" i="42" s="1"/>
  <c r="B143" i="42"/>
  <c r="N142" i="42"/>
  <c r="M142" i="42"/>
  <c r="H142" i="42"/>
  <c r="G142" i="42"/>
  <c r="F142" i="42"/>
  <c r="C142" i="42"/>
  <c r="D142" i="42" s="1"/>
  <c r="B142" i="42"/>
  <c r="M141" i="42"/>
  <c r="N141" i="42" s="1"/>
  <c r="H141" i="42"/>
  <c r="G141" i="42"/>
  <c r="F141" i="42"/>
  <c r="C141" i="42"/>
  <c r="D141" i="42" s="1"/>
  <c r="B141" i="42"/>
  <c r="M140" i="42"/>
  <c r="H140" i="42"/>
  <c r="N140" i="42" s="1"/>
  <c r="G140" i="42"/>
  <c r="F140" i="42"/>
  <c r="C140" i="42"/>
  <c r="D140" i="42" s="1"/>
  <c r="B140" i="42"/>
  <c r="M139" i="42"/>
  <c r="H139" i="42"/>
  <c r="N139" i="42" s="1"/>
  <c r="G139" i="42"/>
  <c r="F139" i="42"/>
  <c r="C139" i="42"/>
  <c r="D139" i="42" s="1"/>
  <c r="B139" i="42"/>
  <c r="M138" i="42"/>
  <c r="H138" i="42"/>
  <c r="N138" i="42" s="1"/>
  <c r="G138" i="42"/>
  <c r="F138" i="42"/>
  <c r="C138" i="42"/>
  <c r="D138" i="42" s="1"/>
  <c r="B138" i="42"/>
  <c r="N137" i="42"/>
  <c r="M137" i="42"/>
  <c r="H137" i="42"/>
  <c r="G137" i="42"/>
  <c r="F137" i="42"/>
  <c r="C137" i="42"/>
  <c r="D137" i="42" s="1"/>
  <c r="B137" i="42"/>
  <c r="Q136" i="42"/>
  <c r="P136" i="42"/>
  <c r="M136" i="42"/>
  <c r="H136" i="42"/>
  <c r="N136" i="42" s="1"/>
  <c r="G136" i="42"/>
  <c r="F136" i="42"/>
  <c r="C136" i="42"/>
  <c r="D136" i="42" s="1"/>
  <c r="B136" i="42"/>
  <c r="N135" i="42"/>
  <c r="M135" i="42"/>
  <c r="H135" i="42"/>
  <c r="G135" i="42"/>
  <c r="F135" i="42"/>
  <c r="C135" i="42"/>
  <c r="D135" i="42" s="1"/>
  <c r="B135" i="42"/>
  <c r="N134" i="42"/>
  <c r="M134" i="42"/>
  <c r="H134" i="42"/>
  <c r="G134" i="42"/>
  <c r="F134" i="42"/>
  <c r="C134" i="42"/>
  <c r="D134" i="42" s="1"/>
  <c r="B134" i="42"/>
  <c r="N133" i="42"/>
  <c r="M133" i="42"/>
  <c r="H133" i="42"/>
  <c r="G133" i="42"/>
  <c r="F133" i="42"/>
  <c r="C133" i="42"/>
  <c r="D133" i="42" s="1"/>
  <c r="B133" i="42"/>
  <c r="N132" i="42"/>
  <c r="M132" i="42"/>
  <c r="H132" i="42"/>
  <c r="G132" i="42"/>
  <c r="F132" i="42"/>
  <c r="C132" i="42"/>
  <c r="D132" i="42" s="1"/>
  <c r="B132" i="42"/>
  <c r="Q131" i="42"/>
  <c r="P131" i="42"/>
  <c r="N131" i="42"/>
  <c r="M131" i="42"/>
  <c r="H131" i="42"/>
  <c r="G131" i="42"/>
  <c r="F131" i="42"/>
  <c r="C131" i="42"/>
  <c r="D131" i="42" s="1"/>
  <c r="B131" i="42"/>
  <c r="M130" i="42"/>
  <c r="H130" i="42"/>
  <c r="N130" i="42" s="1"/>
  <c r="G130" i="42"/>
  <c r="F130" i="42"/>
  <c r="C130" i="42"/>
  <c r="D130" i="42" s="1"/>
  <c r="B130" i="42"/>
  <c r="N129" i="42"/>
  <c r="M129" i="42"/>
  <c r="H129" i="42"/>
  <c r="G129" i="42"/>
  <c r="F129" i="42"/>
  <c r="C129" i="42"/>
  <c r="D129" i="42" s="1"/>
  <c r="B129" i="42"/>
  <c r="M128" i="42"/>
  <c r="H128" i="42"/>
  <c r="N128" i="42" s="1"/>
  <c r="G128" i="42"/>
  <c r="F128" i="42"/>
  <c r="C128" i="42"/>
  <c r="D128" i="42" s="1"/>
  <c r="B128" i="42"/>
  <c r="Q127" i="42"/>
  <c r="P127" i="42"/>
  <c r="N127" i="42"/>
  <c r="M127" i="42"/>
  <c r="H127" i="42"/>
  <c r="G127" i="42"/>
  <c r="F127" i="42"/>
  <c r="C127" i="42"/>
  <c r="D127" i="42" s="1"/>
  <c r="B127" i="42"/>
  <c r="Q126" i="42"/>
  <c r="P126" i="42"/>
  <c r="M126" i="42"/>
  <c r="H126" i="42"/>
  <c r="N126" i="42" s="1"/>
  <c r="G126" i="42"/>
  <c r="F126" i="42"/>
  <c r="C126" i="42"/>
  <c r="D126" i="42" s="1"/>
  <c r="B126" i="42"/>
  <c r="Q125" i="42"/>
  <c r="P125" i="42"/>
  <c r="N125" i="42"/>
  <c r="M125" i="42"/>
  <c r="H125" i="42"/>
  <c r="G125" i="42"/>
  <c r="F125" i="42"/>
  <c r="D125" i="42"/>
  <c r="C125" i="42"/>
  <c r="B125" i="42"/>
  <c r="Q124" i="42"/>
  <c r="P124" i="42"/>
  <c r="M124" i="42"/>
  <c r="H124" i="42"/>
  <c r="N124" i="42" s="1"/>
  <c r="G124" i="42"/>
  <c r="F124" i="42"/>
  <c r="D124" i="42"/>
  <c r="C124" i="42"/>
  <c r="B124" i="42"/>
  <c r="Q123" i="42"/>
  <c r="P123" i="42"/>
  <c r="M123" i="42"/>
  <c r="N123" i="42" s="1"/>
  <c r="H123" i="42"/>
  <c r="G123" i="42"/>
  <c r="F123" i="42"/>
  <c r="D123" i="42"/>
  <c r="C123" i="42"/>
  <c r="B123" i="42"/>
  <c r="Q122" i="42"/>
  <c r="P122" i="42"/>
  <c r="M122" i="42"/>
  <c r="H122" i="42"/>
  <c r="G122" i="42"/>
  <c r="F122" i="42"/>
  <c r="C122" i="42"/>
  <c r="D122" i="42" s="1"/>
  <c r="B122" i="42"/>
  <c r="Q121" i="42"/>
  <c r="P121" i="42"/>
  <c r="N121" i="42"/>
  <c r="M121" i="42"/>
  <c r="H121" i="42"/>
  <c r="G121" i="42"/>
  <c r="F121" i="42"/>
  <c r="C121" i="42"/>
  <c r="D121" i="42" s="1"/>
  <c r="B121" i="42"/>
  <c r="Q120" i="42"/>
  <c r="P120" i="42"/>
  <c r="N120" i="42"/>
  <c r="M120" i="42"/>
  <c r="H120" i="42"/>
  <c r="G120" i="42"/>
  <c r="F120" i="42"/>
  <c r="C120" i="42"/>
  <c r="D120" i="42" s="1"/>
  <c r="B120" i="42"/>
  <c r="Q119" i="42"/>
  <c r="P119" i="42"/>
  <c r="N119" i="42"/>
  <c r="M119" i="42"/>
  <c r="H119" i="42"/>
  <c r="G119" i="42"/>
  <c r="F119" i="42"/>
  <c r="C119" i="42"/>
  <c r="D119" i="42" s="1"/>
  <c r="B119" i="42"/>
  <c r="Q118" i="42"/>
  <c r="P118" i="42"/>
  <c r="M118" i="42"/>
  <c r="H118" i="42"/>
  <c r="N118" i="42" s="1"/>
  <c r="G118" i="42"/>
  <c r="F118" i="42"/>
  <c r="C118" i="42"/>
  <c r="D118" i="42" s="1"/>
  <c r="B118" i="42"/>
  <c r="Q117" i="42"/>
  <c r="P117" i="42"/>
  <c r="L117" i="42"/>
  <c r="H117" i="42"/>
  <c r="G117" i="42"/>
  <c r="F117" i="42"/>
  <c r="C117" i="42"/>
  <c r="D117" i="42" s="1"/>
  <c r="B117" i="42"/>
  <c r="Q116" i="42"/>
  <c r="P116" i="42"/>
  <c r="M116" i="42"/>
  <c r="H116" i="42"/>
  <c r="G116" i="42"/>
  <c r="F116" i="42"/>
  <c r="D116" i="42"/>
  <c r="C116" i="42"/>
  <c r="B116" i="42"/>
  <c r="M115" i="42"/>
  <c r="H115" i="42"/>
  <c r="N115" i="42" s="1"/>
  <c r="G115" i="42"/>
  <c r="F115" i="42"/>
  <c r="C115" i="42"/>
  <c r="D115" i="42" s="1"/>
  <c r="B115" i="42"/>
  <c r="M114" i="42"/>
  <c r="H114" i="42"/>
  <c r="N114" i="42" s="1"/>
  <c r="G114" i="42"/>
  <c r="F114" i="42"/>
  <c r="D114" i="42"/>
  <c r="C114" i="42"/>
  <c r="B114" i="42"/>
  <c r="M113" i="42"/>
  <c r="H113" i="42"/>
  <c r="N113" i="42" s="1"/>
  <c r="G113" i="42"/>
  <c r="F113" i="42"/>
  <c r="C113" i="42"/>
  <c r="D113" i="42" s="1"/>
  <c r="B113" i="42"/>
  <c r="L112" i="42"/>
  <c r="H112" i="42"/>
  <c r="G112" i="42"/>
  <c r="F112" i="42"/>
  <c r="C112" i="42"/>
  <c r="D112" i="42" s="1"/>
  <c r="B112" i="42"/>
  <c r="L111" i="42"/>
  <c r="C111" i="42" s="1"/>
  <c r="D111" i="42" s="1"/>
  <c r="H111" i="42"/>
  <c r="G111" i="42"/>
  <c r="F111" i="42"/>
  <c r="B111" i="42"/>
  <c r="L110" i="42"/>
  <c r="C110" i="42" s="1"/>
  <c r="D110" i="42" s="1"/>
  <c r="H110" i="42"/>
  <c r="G110" i="42"/>
  <c r="F110" i="42"/>
  <c r="B110" i="42"/>
  <c r="L109" i="42"/>
  <c r="C109" i="42" s="1"/>
  <c r="H109" i="42"/>
  <c r="G109" i="42"/>
  <c r="F109" i="42"/>
  <c r="D109" i="42"/>
  <c r="B109" i="42"/>
  <c r="L108" i="42"/>
  <c r="C108" i="42" s="1"/>
  <c r="D108" i="42" s="1"/>
  <c r="H108" i="42"/>
  <c r="G108" i="42"/>
  <c r="F108" i="42"/>
  <c r="B108" i="42"/>
  <c r="L107" i="42"/>
  <c r="C107" i="42" s="1"/>
  <c r="D107" i="42" s="1"/>
  <c r="H107" i="42"/>
  <c r="G107" i="42"/>
  <c r="F107" i="42"/>
  <c r="B107" i="42"/>
  <c r="M106" i="42"/>
  <c r="N106" i="42" s="1"/>
  <c r="H106" i="42"/>
  <c r="G106" i="42"/>
  <c r="F106" i="42"/>
  <c r="D106" i="42"/>
  <c r="C106" i="42"/>
  <c r="B106" i="42"/>
  <c r="M105" i="42"/>
  <c r="N105" i="42" s="1"/>
  <c r="H105" i="42"/>
  <c r="G105" i="42"/>
  <c r="F105" i="42"/>
  <c r="D105" i="42"/>
  <c r="C105" i="42"/>
  <c r="B105" i="42"/>
  <c r="M104" i="42"/>
  <c r="N104" i="42" s="1"/>
  <c r="H104" i="42"/>
  <c r="G104" i="42"/>
  <c r="F104" i="42"/>
  <c r="D104" i="42"/>
  <c r="C104" i="42"/>
  <c r="B104" i="42"/>
  <c r="M103" i="42"/>
  <c r="N103" i="42" s="1"/>
  <c r="H103" i="42"/>
  <c r="G103" i="42"/>
  <c r="F103" i="42"/>
  <c r="D103" i="42"/>
  <c r="C103" i="42"/>
  <c r="B103" i="42"/>
  <c r="M102" i="42"/>
  <c r="N102" i="42" s="1"/>
  <c r="H102" i="42"/>
  <c r="G102" i="42"/>
  <c r="F102" i="42"/>
  <c r="D102" i="42"/>
  <c r="C102" i="42"/>
  <c r="B102" i="42"/>
  <c r="M101" i="42"/>
  <c r="N101" i="42" s="1"/>
  <c r="H101" i="42"/>
  <c r="G101" i="42"/>
  <c r="F101" i="42"/>
  <c r="D101" i="42"/>
  <c r="C101" i="42"/>
  <c r="B101" i="42"/>
  <c r="M100" i="42"/>
  <c r="N100" i="42" s="1"/>
  <c r="H100" i="42"/>
  <c r="G100" i="42"/>
  <c r="F100" i="42"/>
  <c r="D100" i="42"/>
  <c r="C100" i="42"/>
  <c r="B100" i="42"/>
  <c r="M99" i="42"/>
  <c r="N99" i="42" s="1"/>
  <c r="H99" i="42"/>
  <c r="G99" i="42"/>
  <c r="F99" i="42"/>
  <c r="D99" i="42"/>
  <c r="C99" i="42"/>
  <c r="B99" i="42"/>
  <c r="M98" i="42"/>
  <c r="N98" i="42" s="1"/>
  <c r="H98" i="42"/>
  <c r="G98" i="42"/>
  <c r="F98" i="42"/>
  <c r="D98" i="42"/>
  <c r="C98" i="42"/>
  <c r="B98" i="42"/>
  <c r="M97" i="42"/>
  <c r="N97" i="42" s="1"/>
  <c r="H97" i="42"/>
  <c r="G97" i="42"/>
  <c r="F97" i="42"/>
  <c r="D97" i="42"/>
  <c r="C97" i="42"/>
  <c r="B97" i="42"/>
  <c r="M96" i="42"/>
  <c r="N96" i="42" s="1"/>
  <c r="H96" i="42"/>
  <c r="G96" i="42"/>
  <c r="F96" i="42"/>
  <c r="D96" i="42"/>
  <c r="C96" i="42"/>
  <c r="B96" i="42"/>
  <c r="L95" i="42"/>
  <c r="H95" i="42"/>
  <c r="G95" i="42"/>
  <c r="F95" i="42"/>
  <c r="C95" i="42"/>
  <c r="D95" i="42" s="1"/>
  <c r="B95" i="42"/>
  <c r="L94" i="42"/>
  <c r="H94" i="42"/>
  <c r="G94" i="42"/>
  <c r="F94" i="42"/>
  <c r="C94" i="42"/>
  <c r="D94" i="42" s="1"/>
  <c r="B94" i="42"/>
  <c r="L93" i="42"/>
  <c r="H93" i="42"/>
  <c r="G93" i="42"/>
  <c r="F93" i="42"/>
  <c r="C93" i="42"/>
  <c r="D93" i="42" s="1"/>
  <c r="B93" i="42"/>
  <c r="L92" i="42"/>
  <c r="C92" i="42" s="1"/>
  <c r="D92" i="42" s="1"/>
  <c r="H92" i="42"/>
  <c r="G92" i="42"/>
  <c r="F92" i="42"/>
  <c r="B92" i="42"/>
  <c r="N91" i="42"/>
  <c r="M91" i="42"/>
  <c r="H91" i="42"/>
  <c r="G91" i="42"/>
  <c r="F91" i="42"/>
  <c r="D91" i="42"/>
  <c r="C91" i="42"/>
  <c r="B91" i="42"/>
  <c r="L90" i="42"/>
  <c r="H90" i="42"/>
  <c r="G90" i="42"/>
  <c r="F90" i="42"/>
  <c r="C90" i="42"/>
  <c r="D90" i="42" s="1"/>
  <c r="B90" i="42"/>
  <c r="L89" i="42"/>
  <c r="C89" i="42" s="1"/>
  <c r="D89" i="42" s="1"/>
  <c r="H89" i="42"/>
  <c r="G89" i="42"/>
  <c r="F89" i="42"/>
  <c r="B89" i="42"/>
  <c r="L88" i="42"/>
  <c r="H88" i="42"/>
  <c r="G88" i="42"/>
  <c r="F88" i="42"/>
  <c r="D88" i="42"/>
  <c r="C88" i="42"/>
  <c r="B88" i="42"/>
  <c r="N87" i="42"/>
  <c r="M87" i="42"/>
  <c r="H87" i="42"/>
  <c r="G87" i="42"/>
  <c r="F87" i="42"/>
  <c r="D87" i="42"/>
  <c r="C87" i="42"/>
  <c r="B87" i="42"/>
  <c r="N86" i="42"/>
  <c r="M86" i="42"/>
  <c r="H86" i="42"/>
  <c r="G86" i="42"/>
  <c r="F86" i="42"/>
  <c r="D86" i="42"/>
  <c r="C86" i="42"/>
  <c r="B86" i="42"/>
  <c r="N85" i="42"/>
  <c r="M85" i="42"/>
  <c r="H85" i="42"/>
  <c r="G85" i="42"/>
  <c r="F85" i="42"/>
  <c r="D85" i="42"/>
  <c r="C85" i="42"/>
  <c r="B85" i="42"/>
  <c r="N84" i="42"/>
  <c r="M84" i="42"/>
  <c r="H84" i="42"/>
  <c r="G84" i="42"/>
  <c r="F84" i="42"/>
  <c r="D84" i="42"/>
  <c r="C84" i="42"/>
  <c r="B84" i="42"/>
  <c r="N83" i="42"/>
  <c r="M83" i="42"/>
  <c r="H83" i="42"/>
  <c r="G83" i="42"/>
  <c r="F83" i="42"/>
  <c r="D83" i="42"/>
  <c r="C83" i="42"/>
  <c r="B83" i="42"/>
  <c r="N82" i="42"/>
  <c r="M82" i="42"/>
  <c r="H82" i="42"/>
  <c r="G82" i="42"/>
  <c r="F82" i="42"/>
  <c r="D82" i="42"/>
  <c r="C82" i="42"/>
  <c r="B82" i="42"/>
  <c r="N81" i="42"/>
  <c r="M81" i="42"/>
  <c r="H81" i="42"/>
  <c r="G81" i="42"/>
  <c r="F81" i="42"/>
  <c r="D81" i="42"/>
  <c r="C81" i="42"/>
  <c r="B81" i="42"/>
  <c r="N80" i="42"/>
  <c r="M80" i="42"/>
  <c r="H80" i="42"/>
  <c r="G80" i="42"/>
  <c r="F80" i="42"/>
  <c r="D80" i="42"/>
  <c r="C80" i="42"/>
  <c r="B80" i="42"/>
  <c r="N79" i="42"/>
  <c r="M79" i="42"/>
  <c r="H79" i="42"/>
  <c r="G79" i="42"/>
  <c r="F79" i="42"/>
  <c r="D79" i="42"/>
  <c r="C79" i="42"/>
  <c r="B79" i="42"/>
  <c r="Q78" i="42"/>
  <c r="P78" i="42"/>
  <c r="N78" i="42"/>
  <c r="M78" i="42"/>
  <c r="H78" i="42"/>
  <c r="G78" i="42"/>
  <c r="F78" i="42"/>
  <c r="C78" i="42"/>
  <c r="D78" i="42" s="1"/>
  <c r="B78" i="42"/>
  <c r="Q77" i="42"/>
  <c r="P77" i="42"/>
  <c r="N77" i="42"/>
  <c r="M77" i="42"/>
  <c r="H77" i="42"/>
  <c r="G77" i="42"/>
  <c r="F77" i="42"/>
  <c r="C77" i="42"/>
  <c r="D77" i="42" s="1"/>
  <c r="B77" i="42"/>
  <c r="Q76" i="42"/>
  <c r="P76" i="42"/>
  <c r="M76" i="42"/>
  <c r="H76" i="42"/>
  <c r="N76" i="42" s="1"/>
  <c r="G76" i="42"/>
  <c r="F76" i="42"/>
  <c r="C76" i="42"/>
  <c r="D76" i="42" s="1"/>
  <c r="B76" i="42"/>
  <c r="Q75" i="42"/>
  <c r="P75" i="42"/>
  <c r="M75" i="42"/>
  <c r="H75" i="42"/>
  <c r="G75" i="42"/>
  <c r="F75" i="42"/>
  <c r="D75" i="42"/>
  <c r="C75" i="42"/>
  <c r="B75" i="42"/>
  <c r="M74" i="42"/>
  <c r="H74" i="42"/>
  <c r="N74" i="42" s="1"/>
  <c r="G74" i="42"/>
  <c r="F74" i="42"/>
  <c r="C74" i="42"/>
  <c r="D74" i="42" s="1"/>
  <c r="B74" i="42"/>
  <c r="M73" i="42"/>
  <c r="H73" i="42"/>
  <c r="G73" i="42"/>
  <c r="F73" i="42"/>
  <c r="D73" i="42"/>
  <c r="C73" i="42"/>
  <c r="B73" i="42"/>
  <c r="L72" i="42"/>
  <c r="H72" i="42"/>
  <c r="G72" i="42"/>
  <c r="F72" i="42"/>
  <c r="D72" i="42"/>
  <c r="C72" i="42"/>
  <c r="B72" i="42"/>
  <c r="Q71" i="42"/>
  <c r="P71" i="42"/>
  <c r="L71" i="42"/>
  <c r="H71" i="42"/>
  <c r="G71" i="42"/>
  <c r="F71" i="42"/>
  <c r="C71" i="42"/>
  <c r="D71" i="42" s="1"/>
  <c r="B71" i="42"/>
  <c r="Q70" i="42"/>
  <c r="P70" i="42"/>
  <c r="N70" i="42"/>
  <c r="M70" i="42"/>
  <c r="H70" i="42"/>
  <c r="G70" i="42"/>
  <c r="F70" i="42"/>
  <c r="C70" i="42"/>
  <c r="D70" i="42" s="1"/>
  <c r="B70" i="42"/>
  <c r="M69" i="42"/>
  <c r="H69" i="42"/>
  <c r="N69" i="42" s="1"/>
  <c r="G69" i="42"/>
  <c r="F69" i="42"/>
  <c r="C69" i="42"/>
  <c r="D69" i="42" s="1"/>
  <c r="B69" i="42"/>
  <c r="Q68" i="42"/>
  <c r="P68" i="42"/>
  <c r="M68" i="42"/>
  <c r="H68" i="42"/>
  <c r="N68" i="42" s="1"/>
  <c r="G68" i="42"/>
  <c r="F68" i="42"/>
  <c r="C68" i="42"/>
  <c r="D68" i="42" s="1"/>
  <c r="B68" i="42"/>
  <c r="L67" i="42"/>
  <c r="C67" i="42" s="1"/>
  <c r="H67" i="42"/>
  <c r="G67" i="42"/>
  <c r="F67" i="42"/>
  <c r="D67" i="42"/>
  <c r="B67" i="42"/>
  <c r="L66" i="42"/>
  <c r="H66" i="42"/>
  <c r="G66" i="42"/>
  <c r="F66" i="42"/>
  <c r="C66" i="42"/>
  <c r="D66" i="42" s="1"/>
  <c r="B66" i="42"/>
  <c r="Q65" i="42"/>
  <c r="P65" i="42"/>
  <c r="N65" i="42"/>
  <c r="M65" i="42"/>
  <c r="H65" i="42"/>
  <c r="G65" i="42"/>
  <c r="F65" i="42"/>
  <c r="C65" i="42"/>
  <c r="D65" i="42" s="1"/>
  <c r="B65" i="42"/>
  <c r="Q64" i="42"/>
  <c r="P64" i="42"/>
  <c r="M64" i="42"/>
  <c r="H64" i="42"/>
  <c r="N64" i="42" s="1"/>
  <c r="G64" i="42"/>
  <c r="F64" i="42"/>
  <c r="C64" i="42"/>
  <c r="D64" i="42" s="1"/>
  <c r="B64" i="42"/>
  <c r="Q63" i="42"/>
  <c r="P63" i="42"/>
  <c r="L63" i="42"/>
  <c r="C63" i="42" s="1"/>
  <c r="D63" i="42" s="1"/>
  <c r="H63" i="42"/>
  <c r="G63" i="42"/>
  <c r="F63" i="42"/>
  <c r="B63" i="42"/>
  <c r="N62" i="42"/>
  <c r="M62" i="42"/>
  <c r="H62" i="42"/>
  <c r="G62" i="42"/>
  <c r="F62" i="42"/>
  <c r="C62" i="42"/>
  <c r="D62" i="42" s="1"/>
  <c r="B62" i="42"/>
  <c r="M61" i="42"/>
  <c r="N61" i="42" s="1"/>
  <c r="H61" i="42"/>
  <c r="G61" i="42"/>
  <c r="F61" i="42"/>
  <c r="C61" i="42"/>
  <c r="D61" i="42" s="1"/>
  <c r="B61" i="42"/>
  <c r="N60" i="42"/>
  <c r="M60" i="42"/>
  <c r="H60" i="42"/>
  <c r="G60" i="42"/>
  <c r="F60" i="42"/>
  <c r="C60" i="42"/>
  <c r="D60" i="42" s="1"/>
  <c r="B60" i="42"/>
  <c r="M59" i="42"/>
  <c r="N59" i="42" s="1"/>
  <c r="H59" i="42"/>
  <c r="G59" i="42"/>
  <c r="F59" i="42"/>
  <c r="C59" i="42"/>
  <c r="D59" i="42" s="1"/>
  <c r="B59" i="42"/>
  <c r="N58" i="42"/>
  <c r="M58" i="42"/>
  <c r="H58" i="42"/>
  <c r="G58" i="42"/>
  <c r="F58" i="42"/>
  <c r="C58" i="42"/>
  <c r="D58" i="42" s="1"/>
  <c r="B58" i="42"/>
  <c r="M57" i="42"/>
  <c r="N57" i="42" s="1"/>
  <c r="H57" i="42"/>
  <c r="G57" i="42"/>
  <c r="F57" i="42"/>
  <c r="C57" i="42"/>
  <c r="D57" i="42" s="1"/>
  <c r="B57" i="42"/>
  <c r="L56" i="42"/>
  <c r="H56" i="42"/>
  <c r="G56" i="42"/>
  <c r="F56" i="42"/>
  <c r="D56" i="42"/>
  <c r="C56" i="42"/>
  <c r="B56" i="42"/>
  <c r="L55" i="42"/>
  <c r="C55" i="42" s="1"/>
  <c r="D55" i="42" s="1"/>
  <c r="H55" i="42"/>
  <c r="G55" i="42"/>
  <c r="F55" i="42"/>
  <c r="B55" i="42"/>
  <c r="L54" i="42"/>
  <c r="C54" i="42" s="1"/>
  <c r="D54" i="42" s="1"/>
  <c r="H54" i="42"/>
  <c r="G54" i="42"/>
  <c r="F54" i="42"/>
  <c r="B54" i="42"/>
  <c r="L53" i="42"/>
  <c r="C53" i="42" s="1"/>
  <c r="H53" i="42"/>
  <c r="G53" i="42"/>
  <c r="F53" i="42"/>
  <c r="D53" i="42"/>
  <c r="B53" i="42"/>
  <c r="L52" i="42"/>
  <c r="H52" i="42"/>
  <c r="G52" i="42"/>
  <c r="F52" i="42"/>
  <c r="C52" i="42"/>
  <c r="D52" i="42" s="1"/>
  <c r="B52" i="42"/>
  <c r="L51" i="42"/>
  <c r="H51" i="42"/>
  <c r="G51" i="42"/>
  <c r="F51" i="42"/>
  <c r="C51" i="42"/>
  <c r="D51" i="42" s="1"/>
  <c r="B51" i="42"/>
  <c r="N50" i="42"/>
  <c r="M50" i="42"/>
  <c r="H50" i="42"/>
  <c r="G50" i="42"/>
  <c r="F50" i="42"/>
  <c r="C50" i="42"/>
  <c r="D50" i="42" s="1"/>
  <c r="B50" i="42"/>
  <c r="M49" i="42"/>
  <c r="H49" i="42"/>
  <c r="N49" i="42" s="1"/>
  <c r="G49" i="42"/>
  <c r="F49" i="42"/>
  <c r="C49" i="42"/>
  <c r="D49" i="42" s="1"/>
  <c r="B49" i="42"/>
  <c r="N48" i="42"/>
  <c r="M48" i="42"/>
  <c r="H48" i="42"/>
  <c r="G48" i="42"/>
  <c r="F48" i="42"/>
  <c r="C48" i="42"/>
  <c r="D48" i="42" s="1"/>
  <c r="B48" i="42"/>
  <c r="Q47" i="42"/>
  <c r="P47" i="42"/>
  <c r="N47" i="42"/>
  <c r="M47" i="42"/>
  <c r="H47" i="42"/>
  <c r="G47" i="42"/>
  <c r="F47" i="42"/>
  <c r="C47" i="42"/>
  <c r="D47" i="42" s="1"/>
  <c r="B47" i="42"/>
  <c r="N46" i="42"/>
  <c r="M46" i="42"/>
  <c r="H46" i="42"/>
  <c r="G46" i="42"/>
  <c r="F46" i="42"/>
  <c r="C46" i="42"/>
  <c r="D46" i="42" s="1"/>
  <c r="B46" i="42"/>
  <c r="N45" i="42"/>
  <c r="M45" i="42"/>
  <c r="H45" i="42"/>
  <c r="G45" i="42"/>
  <c r="F45" i="42"/>
  <c r="C45" i="42"/>
  <c r="D45" i="42" s="1"/>
  <c r="B45" i="42"/>
  <c r="N44" i="42"/>
  <c r="M44" i="42"/>
  <c r="H44" i="42"/>
  <c r="G44" i="42"/>
  <c r="F44" i="42"/>
  <c r="C44" i="42"/>
  <c r="D44" i="42" s="1"/>
  <c r="B44" i="42"/>
  <c r="N43" i="42"/>
  <c r="M43" i="42"/>
  <c r="H43" i="42"/>
  <c r="G43" i="42"/>
  <c r="F43" i="42"/>
  <c r="C43" i="42"/>
  <c r="D43" i="42" s="1"/>
  <c r="B43" i="42"/>
  <c r="N42" i="42"/>
  <c r="M42" i="42"/>
  <c r="H42" i="42"/>
  <c r="G42" i="42"/>
  <c r="F42" i="42"/>
  <c r="C42" i="42"/>
  <c r="D42" i="42" s="1"/>
  <c r="B42" i="42"/>
  <c r="Q41" i="42"/>
  <c r="P41" i="42"/>
  <c r="M41" i="42"/>
  <c r="H41" i="42"/>
  <c r="G41" i="42"/>
  <c r="F41" i="42"/>
  <c r="D41" i="42"/>
  <c r="C41" i="42"/>
  <c r="B41" i="42"/>
  <c r="Q40" i="42"/>
  <c r="P40" i="42"/>
  <c r="M40" i="42"/>
  <c r="N40" i="42" s="1"/>
  <c r="H40" i="42"/>
  <c r="G40" i="42"/>
  <c r="F40" i="42"/>
  <c r="D40" i="42"/>
  <c r="C40" i="42"/>
  <c r="B40" i="42"/>
  <c r="Q39" i="42"/>
  <c r="P39" i="42"/>
  <c r="M39" i="42"/>
  <c r="N39" i="42" s="1"/>
  <c r="H39" i="42"/>
  <c r="G39" i="42"/>
  <c r="F39" i="42"/>
  <c r="D39" i="42"/>
  <c r="C39" i="42"/>
  <c r="B39" i="42"/>
  <c r="Q38" i="42"/>
  <c r="P38" i="42"/>
  <c r="M38" i="42"/>
  <c r="N38" i="42" s="1"/>
  <c r="H38" i="42"/>
  <c r="G38" i="42"/>
  <c r="F38" i="42"/>
  <c r="C38" i="42"/>
  <c r="D38" i="42" s="1"/>
  <c r="B38" i="42"/>
  <c r="Q37" i="42"/>
  <c r="P37" i="42"/>
  <c r="M37" i="42"/>
  <c r="H37" i="42"/>
  <c r="G37" i="42"/>
  <c r="F37" i="42"/>
  <c r="D37" i="42"/>
  <c r="C37" i="42"/>
  <c r="B37" i="42"/>
  <c r="Q36" i="42"/>
  <c r="P36" i="42"/>
  <c r="M36" i="42"/>
  <c r="H36" i="42"/>
  <c r="N36" i="42" s="1"/>
  <c r="G36" i="42"/>
  <c r="F36" i="42"/>
  <c r="D36" i="42"/>
  <c r="C36" i="42"/>
  <c r="B36" i="42"/>
  <c r="Q35" i="42"/>
  <c r="P35" i="42"/>
  <c r="M35" i="42"/>
  <c r="N35" i="42" s="1"/>
  <c r="H35" i="42"/>
  <c r="G35" i="42"/>
  <c r="F35" i="42"/>
  <c r="D35" i="42"/>
  <c r="C35" i="42"/>
  <c r="B35" i="42"/>
  <c r="Q34" i="42"/>
  <c r="P34" i="42"/>
  <c r="N34" i="42"/>
  <c r="M34" i="42"/>
  <c r="H34" i="42"/>
  <c r="G34" i="42"/>
  <c r="F34" i="42"/>
  <c r="D34" i="42"/>
  <c r="C34" i="42"/>
  <c r="B34" i="42"/>
  <c r="Q33" i="42"/>
  <c r="P33" i="42"/>
  <c r="M33" i="42"/>
  <c r="H33" i="42"/>
  <c r="N33" i="42" s="1"/>
  <c r="G33" i="42"/>
  <c r="F33" i="42"/>
  <c r="C33" i="42"/>
  <c r="D33" i="42" s="1"/>
  <c r="B33" i="42"/>
  <c r="L32" i="42"/>
  <c r="C32" i="42" s="1"/>
  <c r="D32" i="42" s="1"/>
  <c r="H32" i="42"/>
  <c r="G32" i="42"/>
  <c r="F32" i="42"/>
  <c r="B32" i="42"/>
  <c r="L31" i="42"/>
  <c r="C31" i="42" s="1"/>
  <c r="D31" i="42" s="1"/>
  <c r="H31" i="42"/>
  <c r="G31" i="42"/>
  <c r="F31" i="42"/>
  <c r="B31" i="42"/>
  <c r="L30" i="42"/>
  <c r="H30" i="42"/>
  <c r="G30" i="42"/>
  <c r="F30" i="42"/>
  <c r="C30" i="42"/>
  <c r="D30" i="42" s="1"/>
  <c r="B30" i="42"/>
  <c r="L29" i="42"/>
  <c r="C29" i="42" s="1"/>
  <c r="H29" i="42"/>
  <c r="G29" i="42"/>
  <c r="F29" i="42"/>
  <c r="D29" i="42"/>
  <c r="B29" i="42"/>
  <c r="Q28" i="42"/>
  <c r="P28" i="42"/>
  <c r="M28" i="42"/>
  <c r="N28" i="42" s="1"/>
  <c r="H28" i="42"/>
  <c r="G28" i="42"/>
  <c r="F28" i="42"/>
  <c r="C28" i="42"/>
  <c r="D28" i="42" s="1"/>
  <c r="B28" i="42"/>
  <c r="Q27" i="42"/>
  <c r="P27" i="42"/>
  <c r="M27" i="42"/>
  <c r="H27" i="42"/>
  <c r="G27" i="42"/>
  <c r="F27" i="42"/>
  <c r="D27" i="42"/>
  <c r="C27" i="42"/>
  <c r="B27" i="42"/>
  <c r="M26" i="42"/>
  <c r="H26" i="42"/>
  <c r="N26" i="42" s="1"/>
  <c r="G26" i="42"/>
  <c r="F26" i="42"/>
  <c r="C26" i="42"/>
  <c r="D26" i="42" s="1"/>
  <c r="B26" i="42"/>
  <c r="Q25" i="42"/>
  <c r="P25" i="42"/>
  <c r="M25" i="42"/>
  <c r="N25" i="42" s="1"/>
  <c r="H25" i="42"/>
  <c r="G25" i="42"/>
  <c r="F25" i="42"/>
  <c r="D25" i="42"/>
  <c r="C25" i="42"/>
  <c r="B25" i="42"/>
  <c r="Q24" i="42"/>
  <c r="P24" i="42"/>
  <c r="M24" i="42"/>
  <c r="H24" i="42"/>
  <c r="N24" i="42" s="1"/>
  <c r="G24" i="42"/>
  <c r="F24" i="42"/>
  <c r="D24" i="42"/>
  <c r="C24" i="42"/>
  <c r="B24" i="42"/>
  <c r="Q23" i="42"/>
  <c r="P23" i="42"/>
  <c r="M23" i="42"/>
  <c r="N23" i="42" s="1"/>
  <c r="H23" i="42"/>
  <c r="G23" i="42"/>
  <c r="F23" i="42"/>
  <c r="D23" i="42"/>
  <c r="C23" i="42"/>
  <c r="B23" i="42"/>
  <c r="Q22" i="42"/>
  <c r="P22" i="42"/>
  <c r="M22" i="42"/>
  <c r="H22" i="42"/>
  <c r="N22" i="42" s="1"/>
  <c r="G22" i="42"/>
  <c r="F22" i="42"/>
  <c r="D22" i="42"/>
  <c r="C22" i="42"/>
  <c r="B22" i="42"/>
  <c r="Q21" i="42"/>
  <c r="P21" i="42"/>
  <c r="M21" i="42"/>
  <c r="H21" i="42"/>
  <c r="N21" i="42" s="1"/>
  <c r="G21" i="42"/>
  <c r="F21" i="42"/>
  <c r="D21" i="42"/>
  <c r="C21" i="42"/>
  <c r="B21" i="42"/>
  <c r="Q20" i="42"/>
  <c r="P20" i="42"/>
  <c r="N20" i="42"/>
  <c r="M20" i="42"/>
  <c r="H20" i="42"/>
  <c r="G20" i="42"/>
  <c r="F20" i="42"/>
  <c r="C20" i="42"/>
  <c r="D20" i="42" s="1"/>
  <c r="B20" i="42"/>
  <c r="Q19" i="42"/>
  <c r="P19" i="42"/>
  <c r="M19" i="42"/>
  <c r="N19" i="42" s="1"/>
  <c r="H19" i="42"/>
  <c r="G19" i="42"/>
  <c r="F19" i="42"/>
  <c r="D19" i="42"/>
  <c r="C19" i="42"/>
  <c r="B19" i="42"/>
  <c r="Q18" i="42"/>
  <c r="P18" i="42"/>
  <c r="M18" i="42"/>
  <c r="H18" i="42"/>
  <c r="N18" i="42" s="1"/>
  <c r="G18" i="42"/>
  <c r="F18" i="42"/>
  <c r="C18" i="42"/>
  <c r="D18" i="42" s="1"/>
  <c r="B18" i="42"/>
  <c r="Q17" i="42"/>
  <c r="P17" i="42"/>
  <c r="M17" i="42"/>
  <c r="H17" i="42"/>
  <c r="N17" i="42" s="1"/>
  <c r="G17" i="42"/>
  <c r="F17" i="42"/>
  <c r="D17" i="42"/>
  <c r="C17" i="42"/>
  <c r="B17" i="42"/>
  <c r="Q16" i="42"/>
  <c r="P16" i="42"/>
  <c r="M16" i="42"/>
  <c r="H16" i="42"/>
  <c r="N16" i="42" s="1"/>
  <c r="G16" i="42"/>
  <c r="F16" i="42"/>
  <c r="C16" i="42"/>
  <c r="D16" i="42" s="1"/>
  <c r="B16" i="42"/>
  <c r="L15" i="42"/>
  <c r="C15" i="42" s="1"/>
  <c r="D15" i="42" s="1"/>
  <c r="H15" i="42"/>
  <c r="G15" i="42"/>
  <c r="F15" i="42"/>
  <c r="B15" i="42"/>
  <c r="M14" i="42"/>
  <c r="N14" i="42" s="1"/>
  <c r="H14" i="42"/>
  <c r="G14" i="42"/>
  <c r="F14" i="42"/>
  <c r="D14" i="42"/>
  <c r="C14" i="42"/>
  <c r="B14" i="42"/>
  <c r="L13" i="42"/>
  <c r="H13" i="42"/>
  <c r="G13" i="42"/>
  <c r="F13" i="42"/>
  <c r="C13" i="42"/>
  <c r="D13" i="42" s="1"/>
  <c r="B13" i="42"/>
  <c r="L12" i="42"/>
  <c r="H12" i="42"/>
  <c r="G12" i="42"/>
  <c r="F12" i="42"/>
  <c r="C12" i="42"/>
  <c r="D12" i="42" s="1"/>
  <c r="B12" i="42"/>
  <c r="L11" i="42"/>
  <c r="C11" i="42" s="1"/>
  <c r="D11" i="42" s="1"/>
  <c r="H11" i="42"/>
  <c r="G11" i="42"/>
  <c r="F11" i="42"/>
  <c r="B11" i="42"/>
  <c r="L10" i="42"/>
  <c r="H10" i="42"/>
  <c r="G10" i="42"/>
  <c r="F10" i="42"/>
  <c r="C10" i="42"/>
  <c r="D10" i="42" s="1"/>
  <c r="B10" i="42"/>
  <c r="M9" i="42"/>
  <c r="H9" i="42"/>
  <c r="G9" i="42"/>
  <c r="F9" i="42"/>
  <c r="D9" i="42"/>
  <c r="C9" i="42"/>
  <c r="B9" i="42"/>
  <c r="L8" i="42"/>
  <c r="C8" i="42" s="1"/>
  <c r="D8" i="42" s="1"/>
  <c r="H8" i="42"/>
  <c r="G8" i="42"/>
  <c r="F8" i="42"/>
  <c r="B8" i="42"/>
  <c r="M7" i="42"/>
  <c r="H7" i="42"/>
  <c r="G7" i="42"/>
  <c r="F7" i="42"/>
  <c r="D7" i="42"/>
  <c r="C7" i="42"/>
  <c r="B7" i="42"/>
  <c r="M6" i="42"/>
  <c r="H6" i="42"/>
  <c r="N6" i="42" s="1"/>
  <c r="G6" i="42"/>
  <c r="F6" i="42"/>
  <c r="D6" i="42"/>
  <c r="C6" i="42"/>
  <c r="B6" i="42"/>
  <c r="L5" i="42"/>
  <c r="C5" i="42" s="1"/>
  <c r="D5" i="42" s="1"/>
  <c r="H5" i="42"/>
  <c r="G5" i="42"/>
  <c r="F5" i="42"/>
  <c r="B5" i="42"/>
  <c r="L4" i="42"/>
  <c r="C4" i="42" s="1"/>
  <c r="D4" i="42" s="1"/>
  <c r="H4" i="42"/>
  <c r="G4" i="42"/>
  <c r="F4" i="42"/>
  <c r="B4" i="42"/>
  <c r="H2" i="42"/>
  <c r="B2" i="42"/>
  <c r="G169" i="46"/>
  <c r="F169" i="46"/>
  <c r="E169" i="46"/>
  <c r="G168" i="46"/>
  <c r="F168" i="46"/>
  <c r="E168" i="46"/>
  <c r="G167" i="46"/>
  <c r="F167" i="46"/>
  <c r="E167" i="46"/>
  <c r="G166" i="46"/>
  <c r="F166" i="46"/>
  <c r="E166" i="46"/>
  <c r="G165" i="46"/>
  <c r="F165" i="46"/>
  <c r="E165" i="46"/>
  <c r="G164" i="46"/>
  <c r="F164" i="46"/>
  <c r="E164" i="46"/>
  <c r="G163" i="46"/>
  <c r="F163" i="46"/>
  <c r="E163" i="46"/>
  <c r="G162" i="46"/>
  <c r="F162" i="46"/>
  <c r="E162" i="46"/>
  <c r="G161" i="46"/>
  <c r="F161" i="46"/>
  <c r="E161" i="46"/>
  <c r="G160" i="46"/>
  <c r="F160" i="46"/>
  <c r="E160" i="46"/>
  <c r="G159" i="46"/>
  <c r="F159" i="46"/>
  <c r="E159" i="46"/>
  <c r="G158" i="46"/>
  <c r="F158" i="46"/>
  <c r="E158" i="46"/>
  <c r="G157" i="46"/>
  <c r="F157" i="46"/>
  <c r="E157" i="46"/>
  <c r="G156" i="46"/>
  <c r="F156" i="46"/>
  <c r="E156" i="46"/>
  <c r="G155" i="46"/>
  <c r="F155" i="46"/>
  <c r="E155" i="46"/>
  <c r="G154" i="46"/>
  <c r="F154" i="46"/>
  <c r="E154" i="46"/>
  <c r="G153" i="46"/>
  <c r="F153" i="46"/>
  <c r="E153" i="46"/>
  <c r="G152" i="46"/>
  <c r="F152" i="46"/>
  <c r="E152" i="46"/>
  <c r="G151" i="46"/>
  <c r="F151" i="46"/>
  <c r="E151" i="46"/>
  <c r="G150" i="46"/>
  <c r="F150" i="46"/>
  <c r="E150" i="46"/>
  <c r="G149" i="46"/>
  <c r="F149" i="46"/>
  <c r="E149" i="46"/>
  <c r="G148" i="46"/>
  <c r="F148" i="46"/>
  <c r="E148" i="46"/>
  <c r="G147" i="46"/>
  <c r="F147" i="46"/>
  <c r="E147" i="46"/>
  <c r="G146" i="46"/>
  <c r="F146" i="46"/>
  <c r="E146" i="46"/>
  <c r="G145" i="46"/>
  <c r="F145" i="46"/>
  <c r="E145" i="46"/>
  <c r="G144" i="46"/>
  <c r="F144" i="46"/>
  <c r="E144" i="46"/>
  <c r="G143" i="46"/>
  <c r="F143" i="46"/>
  <c r="E143" i="46"/>
  <c r="G142" i="46"/>
  <c r="F142" i="46"/>
  <c r="E142" i="46"/>
  <c r="G141" i="46"/>
  <c r="F141" i="46"/>
  <c r="E141" i="46"/>
  <c r="G140" i="46"/>
  <c r="F140" i="46"/>
  <c r="E140" i="46"/>
  <c r="G139" i="46"/>
  <c r="F139" i="46"/>
  <c r="E139" i="46"/>
  <c r="G138" i="46"/>
  <c r="F138" i="46"/>
  <c r="E138" i="46"/>
  <c r="G137" i="46"/>
  <c r="F137" i="46"/>
  <c r="E137" i="46"/>
  <c r="G136" i="46"/>
  <c r="F136" i="46"/>
  <c r="E136" i="46"/>
  <c r="G135" i="46"/>
  <c r="F135" i="46"/>
  <c r="E135" i="46"/>
  <c r="G134" i="46"/>
  <c r="F134" i="46"/>
  <c r="G133" i="46"/>
  <c r="F133" i="46"/>
  <c r="E133" i="46"/>
  <c r="G132" i="46"/>
  <c r="F132" i="46"/>
  <c r="E132" i="46"/>
  <c r="G131" i="46"/>
  <c r="F131" i="46"/>
  <c r="E131" i="46"/>
  <c r="G130" i="46"/>
  <c r="F130" i="46"/>
  <c r="E130" i="46"/>
  <c r="G129" i="46"/>
  <c r="F129" i="46"/>
  <c r="E129" i="46"/>
  <c r="G128" i="46"/>
  <c r="F128" i="46"/>
  <c r="E128" i="46"/>
  <c r="G127" i="46"/>
  <c r="F127" i="46"/>
  <c r="E127" i="46"/>
  <c r="G126" i="46"/>
  <c r="F126" i="46"/>
  <c r="E126" i="46"/>
  <c r="G125" i="46"/>
  <c r="F125" i="46"/>
  <c r="E125" i="46"/>
  <c r="G124" i="46"/>
  <c r="F124" i="46"/>
  <c r="E124" i="46"/>
  <c r="G123" i="46"/>
  <c r="F123" i="46"/>
  <c r="E123" i="46"/>
  <c r="G122" i="46"/>
  <c r="F122" i="46"/>
  <c r="E122" i="46"/>
  <c r="G121" i="46"/>
  <c r="F121" i="46"/>
  <c r="E121" i="46"/>
  <c r="G120" i="46"/>
  <c r="F120" i="46"/>
  <c r="E120" i="46"/>
  <c r="G119" i="46"/>
  <c r="F119" i="46"/>
  <c r="E119" i="46"/>
  <c r="G118" i="46"/>
  <c r="F118" i="46"/>
  <c r="E118" i="46"/>
  <c r="G117" i="46"/>
  <c r="F117" i="46"/>
  <c r="E117" i="46"/>
  <c r="G116" i="46"/>
  <c r="F116" i="46"/>
  <c r="E116" i="46"/>
  <c r="G115" i="46"/>
  <c r="F115" i="46"/>
  <c r="E115" i="46"/>
  <c r="G114" i="46"/>
  <c r="F114" i="46"/>
  <c r="E114" i="46"/>
  <c r="G113" i="46"/>
  <c r="F113" i="46"/>
  <c r="E113" i="46"/>
  <c r="G112" i="46"/>
  <c r="F112" i="46"/>
  <c r="E112" i="46"/>
  <c r="G111" i="46"/>
  <c r="F111" i="46"/>
  <c r="E111" i="46"/>
  <c r="G110" i="46"/>
  <c r="F110" i="46"/>
  <c r="E110" i="46"/>
  <c r="G109" i="46"/>
  <c r="F109" i="46"/>
  <c r="E109" i="46"/>
  <c r="G108" i="46"/>
  <c r="F108" i="46"/>
  <c r="E108" i="46"/>
  <c r="G107" i="46"/>
  <c r="F107" i="46"/>
  <c r="E107" i="46"/>
  <c r="G106" i="46"/>
  <c r="F106" i="46"/>
  <c r="E106" i="46"/>
  <c r="G105" i="46"/>
  <c r="F105" i="46"/>
  <c r="E105" i="46"/>
  <c r="G104" i="46"/>
  <c r="F104" i="46"/>
  <c r="E104" i="46"/>
  <c r="G103" i="46"/>
  <c r="F103" i="46"/>
  <c r="E103" i="46"/>
  <c r="G102" i="46"/>
  <c r="F102" i="46"/>
  <c r="E102" i="46"/>
  <c r="G101" i="46"/>
  <c r="F101" i="46"/>
  <c r="E101" i="46"/>
  <c r="G100" i="46"/>
  <c r="F100" i="46"/>
  <c r="E100" i="46"/>
  <c r="G99" i="46"/>
  <c r="F99" i="46"/>
  <c r="E99" i="46"/>
  <c r="G98" i="46"/>
  <c r="F98" i="46"/>
  <c r="E98" i="46"/>
  <c r="G97" i="46"/>
  <c r="F97" i="46"/>
  <c r="E97" i="46"/>
  <c r="G96" i="46"/>
  <c r="F96" i="46"/>
  <c r="E96" i="46"/>
  <c r="G95" i="46"/>
  <c r="F95" i="46"/>
  <c r="E95" i="46"/>
  <c r="G94" i="46"/>
  <c r="F94" i="46"/>
  <c r="E94" i="46"/>
  <c r="G93" i="46"/>
  <c r="F93" i="46"/>
  <c r="E93" i="46"/>
  <c r="G92" i="46"/>
  <c r="F92" i="46"/>
  <c r="E92" i="46"/>
  <c r="G91" i="46"/>
  <c r="F91" i="46"/>
  <c r="E91" i="46"/>
  <c r="G90" i="46"/>
  <c r="F90" i="46"/>
  <c r="E90" i="46"/>
  <c r="G89" i="46"/>
  <c r="F89" i="46"/>
  <c r="E89" i="46"/>
  <c r="G88" i="46"/>
  <c r="F88" i="46"/>
  <c r="E88" i="46"/>
  <c r="G87" i="46"/>
  <c r="F87" i="46"/>
  <c r="E87" i="46"/>
  <c r="G86" i="46"/>
  <c r="F86" i="46"/>
  <c r="E86" i="46"/>
  <c r="G85" i="46"/>
  <c r="F85" i="46"/>
  <c r="E85" i="46"/>
  <c r="G84" i="46"/>
  <c r="F84" i="46"/>
  <c r="E84" i="46"/>
  <c r="G83" i="46"/>
  <c r="F83" i="46"/>
  <c r="E83" i="46"/>
  <c r="G82" i="46"/>
  <c r="F82" i="46"/>
  <c r="E82" i="46"/>
  <c r="G81" i="46"/>
  <c r="F81" i="46"/>
  <c r="E81" i="46"/>
  <c r="G80" i="46"/>
  <c r="F80" i="46"/>
  <c r="E80" i="46"/>
  <c r="G79" i="46"/>
  <c r="F79" i="46"/>
  <c r="E79" i="46"/>
  <c r="G78" i="46"/>
  <c r="F78" i="46"/>
  <c r="E78" i="46"/>
  <c r="G77" i="46"/>
  <c r="F77" i="46"/>
  <c r="E77" i="46"/>
  <c r="G76" i="46"/>
  <c r="F76" i="46"/>
  <c r="E76" i="46"/>
  <c r="G75" i="46"/>
  <c r="F75" i="46"/>
  <c r="E75" i="46"/>
  <c r="G74" i="46"/>
  <c r="F74" i="46"/>
  <c r="E74" i="46"/>
  <c r="G73" i="46"/>
  <c r="F73" i="46"/>
  <c r="E73" i="46"/>
  <c r="G72" i="46"/>
  <c r="F72" i="46"/>
  <c r="E72" i="46"/>
  <c r="G71" i="46"/>
  <c r="F71" i="46"/>
  <c r="E71" i="46"/>
  <c r="G70" i="46"/>
  <c r="F70" i="46"/>
  <c r="E70" i="46"/>
  <c r="G69" i="46"/>
  <c r="F69" i="46"/>
  <c r="E69" i="46"/>
  <c r="G68" i="46"/>
  <c r="F68" i="46"/>
  <c r="E68" i="46"/>
  <c r="G67" i="46"/>
  <c r="F67" i="46"/>
  <c r="E67" i="46"/>
  <c r="G66" i="46"/>
  <c r="F66" i="46"/>
  <c r="E66" i="46"/>
  <c r="G65" i="46"/>
  <c r="F65" i="46"/>
  <c r="E65" i="46"/>
  <c r="G64" i="46"/>
  <c r="F64" i="46"/>
  <c r="E64" i="46"/>
  <c r="G63" i="46"/>
  <c r="F63" i="46"/>
  <c r="E63" i="46"/>
  <c r="G62" i="46"/>
  <c r="F62" i="46"/>
  <c r="E62" i="46"/>
  <c r="G61" i="46"/>
  <c r="F61" i="46"/>
  <c r="E61" i="46"/>
  <c r="G60" i="46"/>
  <c r="F60" i="46"/>
  <c r="E60" i="46"/>
  <c r="G59" i="46"/>
  <c r="F59" i="46"/>
  <c r="E59" i="46"/>
  <c r="G58" i="46"/>
  <c r="F58" i="46"/>
  <c r="E58" i="46"/>
  <c r="G57" i="46"/>
  <c r="F57" i="46"/>
  <c r="E57" i="46"/>
  <c r="G56" i="46"/>
  <c r="F56" i="46"/>
  <c r="E56" i="46"/>
  <c r="G55" i="46"/>
  <c r="F55" i="46"/>
  <c r="E55" i="46"/>
  <c r="G54" i="46"/>
  <c r="F54" i="46"/>
  <c r="E54" i="46"/>
  <c r="G53" i="46"/>
  <c r="F53" i="46"/>
  <c r="E53" i="46"/>
  <c r="G52" i="46"/>
  <c r="F52" i="46"/>
  <c r="E52" i="46"/>
  <c r="G51" i="46"/>
  <c r="F51" i="46"/>
  <c r="E51" i="46"/>
  <c r="G50" i="46"/>
  <c r="F50" i="46"/>
  <c r="E50" i="46"/>
  <c r="G49" i="46"/>
  <c r="F49" i="46"/>
  <c r="E49" i="46"/>
  <c r="G48" i="46"/>
  <c r="F48" i="46"/>
  <c r="E48" i="46"/>
  <c r="G47" i="46"/>
  <c r="F47" i="46"/>
  <c r="E47" i="46"/>
  <c r="G46" i="46"/>
  <c r="F46" i="46"/>
  <c r="E46" i="46"/>
  <c r="G45" i="46"/>
  <c r="F45" i="46"/>
  <c r="E45" i="46"/>
  <c r="G44" i="46"/>
  <c r="F44" i="46"/>
  <c r="E44" i="46"/>
  <c r="G43" i="46"/>
  <c r="F43" i="46"/>
  <c r="E43" i="46"/>
  <c r="G42" i="46"/>
  <c r="F42" i="46"/>
  <c r="E42" i="46"/>
  <c r="G41" i="46"/>
  <c r="F41" i="46"/>
  <c r="E41" i="46"/>
  <c r="G40" i="46"/>
  <c r="F40" i="46"/>
  <c r="E40" i="46"/>
  <c r="G39" i="46"/>
  <c r="F39" i="46"/>
  <c r="E39" i="46"/>
  <c r="G38" i="46"/>
  <c r="F38" i="46"/>
  <c r="E38" i="46"/>
  <c r="G37" i="46"/>
  <c r="F37" i="46"/>
  <c r="E37" i="46"/>
  <c r="G36" i="46"/>
  <c r="F36" i="46"/>
  <c r="E36" i="46"/>
  <c r="G35" i="46"/>
  <c r="F35" i="46"/>
  <c r="E35" i="46"/>
  <c r="G34" i="46"/>
  <c r="F34" i="46"/>
  <c r="E34" i="46"/>
  <c r="G33" i="46"/>
  <c r="F33" i="46"/>
  <c r="E33" i="46"/>
  <c r="G32" i="46"/>
  <c r="F32" i="46"/>
  <c r="E32" i="46"/>
  <c r="G31" i="46"/>
  <c r="F31" i="46"/>
  <c r="E31" i="46"/>
  <c r="G30" i="46"/>
  <c r="F30" i="46"/>
  <c r="E30" i="46"/>
  <c r="G29" i="46"/>
  <c r="F29" i="46"/>
  <c r="E29" i="46"/>
  <c r="G28" i="46"/>
  <c r="F28" i="46"/>
  <c r="E28" i="46"/>
  <c r="G27" i="46"/>
  <c r="F27" i="46"/>
  <c r="E27" i="46"/>
  <c r="G26" i="46"/>
  <c r="F26" i="46"/>
  <c r="E26" i="46"/>
  <c r="G25" i="46"/>
  <c r="F25" i="46"/>
  <c r="E25" i="46"/>
  <c r="G24" i="46"/>
  <c r="F24" i="46"/>
  <c r="E24" i="46"/>
  <c r="G23" i="46"/>
  <c r="F23" i="46"/>
  <c r="E23" i="46"/>
  <c r="G22" i="46"/>
  <c r="F22" i="46"/>
  <c r="E22" i="46"/>
  <c r="G21" i="46"/>
  <c r="F21" i="46"/>
  <c r="E21" i="46"/>
  <c r="G20" i="46"/>
  <c r="F20" i="46"/>
  <c r="E20" i="46"/>
  <c r="G19" i="46"/>
  <c r="F19" i="46"/>
  <c r="E19" i="46"/>
  <c r="G18" i="46"/>
  <c r="F18" i="46"/>
  <c r="E18" i="46"/>
  <c r="G17" i="46"/>
  <c r="F17" i="46"/>
  <c r="E17" i="46"/>
  <c r="G16" i="46"/>
  <c r="F16" i="46"/>
  <c r="E16" i="46"/>
  <c r="G15" i="46"/>
  <c r="F15" i="46"/>
  <c r="E15" i="46"/>
  <c r="G14" i="46"/>
  <c r="F14" i="46"/>
  <c r="E14" i="46"/>
  <c r="G13" i="46"/>
  <c r="F13" i="46"/>
  <c r="E13" i="46"/>
  <c r="G12" i="46"/>
  <c r="F12" i="46"/>
  <c r="E12" i="46"/>
  <c r="G11" i="46"/>
  <c r="F11" i="46"/>
  <c r="E11" i="46"/>
  <c r="G10" i="46"/>
  <c r="F10" i="46"/>
  <c r="E10" i="46"/>
  <c r="G9" i="46"/>
  <c r="F9" i="46"/>
  <c r="E9" i="46"/>
  <c r="G8" i="46"/>
  <c r="F8" i="46"/>
  <c r="E8" i="46"/>
  <c r="G7" i="46"/>
  <c r="F7" i="46"/>
  <c r="E7" i="46"/>
  <c r="G6" i="46"/>
  <c r="F6" i="46"/>
  <c r="E6" i="46"/>
  <c r="G5" i="46"/>
  <c r="F5" i="46"/>
  <c r="E5" i="46"/>
  <c r="G4" i="46"/>
  <c r="F4" i="46"/>
  <c r="E4" i="46"/>
  <c r="G3" i="46"/>
  <c r="F3" i="46"/>
  <c r="E3" i="46"/>
  <c r="I169" i="45"/>
  <c r="J169" i="45" s="1"/>
  <c r="C169" i="45"/>
  <c r="J168" i="45"/>
  <c r="I168" i="45"/>
  <c r="C168" i="45"/>
  <c r="I167" i="45"/>
  <c r="J167" i="45" s="1"/>
  <c r="C167" i="45"/>
  <c r="J166" i="45"/>
  <c r="I166" i="45"/>
  <c r="C166" i="45"/>
  <c r="J165" i="45"/>
  <c r="I165" i="45"/>
  <c r="C165" i="45"/>
  <c r="J164" i="45"/>
  <c r="I164" i="45"/>
  <c r="C164" i="45"/>
  <c r="I163" i="45"/>
  <c r="J163" i="45" s="1"/>
  <c r="C163" i="45"/>
  <c r="I162" i="45"/>
  <c r="J162" i="45" s="1"/>
  <c r="C162" i="45"/>
  <c r="J161" i="45"/>
  <c r="I161" i="45"/>
  <c r="C161" i="45"/>
  <c r="I160" i="45"/>
  <c r="J160" i="45" s="1"/>
  <c r="C160" i="45"/>
  <c r="J159" i="45"/>
  <c r="I159" i="45"/>
  <c r="C159" i="45"/>
  <c r="I158" i="45"/>
  <c r="J158" i="45" s="1"/>
  <c r="C158" i="45"/>
  <c r="J157" i="45"/>
  <c r="I157" i="45"/>
  <c r="C157" i="45"/>
  <c r="J156" i="45"/>
  <c r="I156" i="45"/>
  <c r="C156" i="45"/>
  <c r="I155" i="45"/>
  <c r="J155" i="45" s="1"/>
  <c r="C155" i="45"/>
  <c r="I154" i="45"/>
  <c r="J154" i="45" s="1"/>
  <c r="C154" i="45"/>
  <c r="J153" i="45"/>
  <c r="I153" i="45"/>
  <c r="C153" i="45"/>
  <c r="I152" i="45"/>
  <c r="J152" i="45" s="1"/>
  <c r="C152" i="45"/>
  <c r="J151" i="45"/>
  <c r="I151" i="45"/>
  <c r="C151" i="45"/>
  <c r="J150" i="45"/>
  <c r="I150" i="45"/>
  <c r="C150" i="45"/>
  <c r="J149" i="45"/>
  <c r="I149" i="45"/>
  <c r="C149" i="45"/>
  <c r="I148" i="45"/>
  <c r="J148" i="45" s="1"/>
  <c r="C148" i="45"/>
  <c r="I147" i="45"/>
  <c r="J147" i="45" s="1"/>
  <c r="C147" i="45"/>
  <c r="I146" i="45"/>
  <c r="J146" i="45" s="1"/>
  <c r="C146" i="45"/>
  <c r="J145" i="45"/>
  <c r="I145" i="45"/>
  <c r="C145" i="45"/>
  <c r="I144" i="45"/>
  <c r="J144" i="45" s="1"/>
  <c r="C144" i="45"/>
  <c r="I143" i="45"/>
  <c r="J143" i="45" s="1"/>
  <c r="C143" i="45"/>
  <c r="J142" i="45"/>
  <c r="I142" i="45"/>
  <c r="C142" i="45"/>
  <c r="J141" i="45"/>
  <c r="I141" i="45"/>
  <c r="C141" i="45"/>
  <c r="J140" i="45"/>
  <c r="I140" i="45"/>
  <c r="C140" i="45"/>
  <c r="J139" i="45"/>
  <c r="I139" i="45"/>
  <c r="C139" i="45"/>
  <c r="I138" i="45"/>
  <c r="J138" i="45" s="1"/>
  <c r="C138" i="45"/>
  <c r="J137" i="45"/>
  <c r="I137" i="45"/>
  <c r="C137" i="45"/>
  <c r="J136" i="45"/>
  <c r="I136" i="45"/>
  <c r="C136" i="45"/>
  <c r="J135" i="45"/>
  <c r="I135" i="45"/>
  <c r="C135" i="45"/>
  <c r="I134" i="45"/>
  <c r="J134" i="45" s="1"/>
  <c r="C134" i="45"/>
  <c r="J133" i="45"/>
  <c r="I133" i="45"/>
  <c r="C133" i="45"/>
  <c r="I132" i="45"/>
  <c r="J132" i="45" s="1"/>
  <c r="C132" i="45"/>
  <c r="J131" i="45"/>
  <c r="I131" i="45"/>
  <c r="C131" i="45"/>
  <c r="I130" i="45"/>
  <c r="J130" i="45" s="1"/>
  <c r="C130" i="45"/>
  <c r="I129" i="45"/>
  <c r="J129" i="45" s="1"/>
  <c r="C129" i="45"/>
  <c r="J128" i="45"/>
  <c r="I128" i="45"/>
  <c r="C128" i="45"/>
  <c r="I127" i="45"/>
  <c r="J127" i="45" s="1"/>
  <c r="C127" i="45"/>
  <c r="J126" i="45"/>
  <c r="I126" i="45"/>
  <c r="C126" i="45"/>
  <c r="J125" i="45"/>
  <c r="I125" i="45"/>
  <c r="C125" i="45"/>
  <c r="J124" i="45"/>
  <c r="I124" i="45"/>
  <c r="C124" i="45"/>
  <c r="I123" i="45"/>
  <c r="J123" i="45" s="1"/>
  <c r="C123" i="45"/>
  <c r="I122" i="45"/>
  <c r="J122" i="45" s="1"/>
  <c r="C122" i="45"/>
  <c r="J121" i="45"/>
  <c r="I121" i="45"/>
  <c r="C121" i="45"/>
  <c r="I120" i="45"/>
  <c r="J120" i="45" s="1"/>
  <c r="C120" i="45"/>
  <c r="I119" i="45"/>
  <c r="J119" i="45" s="1"/>
  <c r="C119" i="45"/>
  <c r="J118" i="45"/>
  <c r="I118" i="45"/>
  <c r="C118" i="45"/>
  <c r="J117" i="45"/>
  <c r="I117" i="45"/>
  <c r="C117" i="45"/>
  <c r="J116" i="45"/>
  <c r="I116" i="45"/>
  <c r="C116" i="45"/>
  <c r="I115" i="45"/>
  <c r="J115" i="45" s="1"/>
  <c r="C115" i="45"/>
  <c r="I114" i="45"/>
  <c r="J114" i="45" s="1"/>
  <c r="C114" i="45"/>
  <c r="J113" i="45"/>
  <c r="I113" i="45"/>
  <c r="C113" i="45"/>
  <c r="I112" i="45"/>
  <c r="J112" i="45" s="1"/>
  <c r="C112" i="45"/>
  <c r="J111" i="45"/>
  <c r="I111" i="45"/>
  <c r="C111" i="45"/>
  <c r="I110" i="45"/>
  <c r="J110" i="45" s="1"/>
  <c r="C110" i="45"/>
  <c r="J109" i="45"/>
  <c r="I109" i="45"/>
  <c r="C109" i="45"/>
  <c r="I108" i="45"/>
  <c r="J108" i="45" s="1"/>
  <c r="C108" i="45"/>
  <c r="I107" i="45"/>
  <c r="J107" i="45" s="1"/>
  <c r="C107" i="45"/>
  <c r="I106" i="45"/>
  <c r="J106" i="45" s="1"/>
  <c r="C106" i="45"/>
  <c r="I105" i="45"/>
  <c r="J105" i="45" s="1"/>
  <c r="C105" i="45"/>
  <c r="J104" i="45"/>
  <c r="I104" i="45"/>
  <c r="C104" i="45"/>
  <c r="I103" i="45"/>
  <c r="J103" i="45" s="1"/>
  <c r="C103" i="45"/>
  <c r="J102" i="45"/>
  <c r="I102" i="45"/>
  <c r="C102" i="45"/>
  <c r="J101" i="45"/>
  <c r="I101" i="45"/>
  <c r="C101" i="45"/>
  <c r="J100" i="45"/>
  <c r="I100" i="45"/>
  <c r="C100" i="45"/>
  <c r="I99" i="45"/>
  <c r="J99" i="45" s="1"/>
  <c r="C99" i="45"/>
  <c r="I98" i="45"/>
  <c r="J98" i="45" s="1"/>
  <c r="C98" i="45"/>
  <c r="J97" i="45"/>
  <c r="I97" i="45"/>
  <c r="C97" i="45"/>
  <c r="I96" i="45"/>
  <c r="J96" i="45" s="1"/>
  <c r="C96" i="45"/>
  <c r="J95" i="45"/>
  <c r="I95" i="45"/>
  <c r="C95" i="45"/>
  <c r="I94" i="45"/>
  <c r="J94" i="45" s="1"/>
  <c r="C94" i="45"/>
  <c r="J93" i="45"/>
  <c r="I93" i="45"/>
  <c r="C93" i="45"/>
  <c r="J92" i="45"/>
  <c r="I92" i="45"/>
  <c r="C92" i="45"/>
  <c r="I91" i="45"/>
  <c r="J91" i="45" s="1"/>
  <c r="C91" i="45"/>
  <c r="I90" i="45"/>
  <c r="J90" i="45" s="1"/>
  <c r="C90" i="45"/>
  <c r="J89" i="45"/>
  <c r="I89" i="45"/>
  <c r="C89" i="45"/>
  <c r="I88" i="45"/>
  <c r="J88" i="45" s="1"/>
  <c r="C88" i="45"/>
  <c r="J87" i="45"/>
  <c r="I87" i="45"/>
  <c r="C87" i="45"/>
  <c r="J86" i="45"/>
  <c r="I86" i="45"/>
  <c r="C86" i="45"/>
  <c r="J85" i="45"/>
  <c r="I85" i="45"/>
  <c r="C85" i="45"/>
  <c r="I84" i="45"/>
  <c r="J84" i="45" s="1"/>
  <c r="C84" i="45"/>
  <c r="I83" i="45"/>
  <c r="J83" i="45" s="1"/>
  <c r="C83" i="45"/>
  <c r="I82" i="45"/>
  <c r="J82" i="45" s="1"/>
  <c r="C82" i="45"/>
  <c r="J81" i="45"/>
  <c r="I81" i="45"/>
  <c r="C81" i="45"/>
  <c r="I80" i="45"/>
  <c r="J80" i="45" s="1"/>
  <c r="C80" i="45"/>
  <c r="I79" i="45"/>
  <c r="J79" i="45" s="1"/>
  <c r="C79" i="45"/>
  <c r="J78" i="45"/>
  <c r="I78" i="45"/>
  <c r="C78" i="45"/>
  <c r="J77" i="45"/>
  <c r="I77" i="45"/>
  <c r="C77" i="45"/>
  <c r="J76" i="45"/>
  <c r="I76" i="45"/>
  <c r="C76" i="45"/>
  <c r="J75" i="45"/>
  <c r="I75" i="45"/>
  <c r="C75" i="45"/>
  <c r="I74" i="45"/>
  <c r="J74" i="45" s="1"/>
  <c r="C74" i="45"/>
  <c r="J73" i="45"/>
  <c r="I73" i="45"/>
  <c r="C73" i="45"/>
  <c r="J72" i="45"/>
  <c r="I72" i="45"/>
  <c r="C72" i="45"/>
  <c r="J71" i="45"/>
  <c r="I71" i="45"/>
  <c r="C71" i="45"/>
  <c r="I70" i="45"/>
  <c r="J70" i="45" s="1"/>
  <c r="C70" i="45"/>
  <c r="J69" i="45"/>
  <c r="I69" i="45"/>
  <c r="C69" i="45"/>
  <c r="I68" i="45"/>
  <c r="J68" i="45" s="1"/>
  <c r="C68" i="45"/>
  <c r="J67" i="45"/>
  <c r="I67" i="45"/>
  <c r="C67" i="45"/>
  <c r="I66" i="45"/>
  <c r="J66" i="45" s="1"/>
  <c r="C66" i="45"/>
  <c r="I65" i="45"/>
  <c r="J65" i="45" s="1"/>
  <c r="C65" i="45"/>
  <c r="J64" i="45"/>
  <c r="I64" i="45"/>
  <c r="C64" i="45"/>
  <c r="I63" i="45"/>
  <c r="J63" i="45" s="1"/>
  <c r="C63" i="45"/>
  <c r="J62" i="45"/>
  <c r="I62" i="45"/>
  <c r="C62" i="45"/>
  <c r="J61" i="45"/>
  <c r="I61" i="45"/>
  <c r="C61" i="45"/>
  <c r="J60" i="45"/>
  <c r="I60" i="45"/>
  <c r="C60" i="45"/>
  <c r="I59" i="45"/>
  <c r="J59" i="45" s="1"/>
  <c r="C59" i="45"/>
  <c r="I58" i="45"/>
  <c r="J58" i="45" s="1"/>
  <c r="C58" i="45"/>
  <c r="J57" i="45"/>
  <c r="I57" i="45"/>
  <c r="C57" i="45"/>
  <c r="I56" i="45"/>
  <c r="J56" i="45" s="1"/>
  <c r="C56" i="45"/>
  <c r="I55" i="45"/>
  <c r="J55" i="45" s="1"/>
  <c r="C55" i="45"/>
  <c r="J54" i="45"/>
  <c r="I54" i="45"/>
  <c r="C54" i="45"/>
  <c r="J53" i="45"/>
  <c r="I53" i="45"/>
  <c r="C53" i="45"/>
  <c r="J52" i="45"/>
  <c r="I52" i="45"/>
  <c r="C52" i="45"/>
  <c r="I51" i="45"/>
  <c r="J51" i="45" s="1"/>
  <c r="C51" i="45"/>
  <c r="I50" i="45"/>
  <c r="J50" i="45" s="1"/>
  <c r="C50" i="45"/>
  <c r="J49" i="45"/>
  <c r="I49" i="45"/>
  <c r="C49" i="45"/>
  <c r="I48" i="45"/>
  <c r="J48" i="45" s="1"/>
  <c r="C48" i="45"/>
  <c r="J47" i="45"/>
  <c r="I47" i="45"/>
  <c r="C47" i="45"/>
  <c r="I46" i="45"/>
  <c r="J46" i="45" s="1"/>
  <c r="C46" i="45"/>
  <c r="J45" i="45"/>
  <c r="I45" i="45"/>
  <c r="C45" i="45"/>
  <c r="I44" i="45"/>
  <c r="J44" i="45" s="1"/>
  <c r="C44" i="45"/>
  <c r="I43" i="45"/>
  <c r="J43" i="45" s="1"/>
  <c r="C43" i="45"/>
  <c r="I42" i="45"/>
  <c r="J42" i="45" s="1"/>
  <c r="C42" i="45"/>
  <c r="I41" i="45"/>
  <c r="J41" i="45" s="1"/>
  <c r="C41" i="45"/>
  <c r="J40" i="45"/>
  <c r="I40" i="45"/>
  <c r="C40" i="45"/>
  <c r="I39" i="45"/>
  <c r="J39" i="45" s="1"/>
  <c r="C39" i="45"/>
  <c r="J38" i="45"/>
  <c r="I38" i="45"/>
  <c r="C38" i="45"/>
  <c r="J37" i="45"/>
  <c r="I37" i="45"/>
  <c r="C37" i="45"/>
  <c r="J36" i="45"/>
  <c r="I36" i="45"/>
  <c r="C36" i="45"/>
  <c r="I35" i="45"/>
  <c r="J35" i="45" s="1"/>
  <c r="C35" i="45"/>
  <c r="I34" i="45"/>
  <c r="J34" i="45" s="1"/>
  <c r="I33" i="45"/>
  <c r="J33" i="45" s="1"/>
  <c r="C33" i="45"/>
  <c r="J32" i="45"/>
  <c r="I32" i="45"/>
  <c r="C32" i="45"/>
  <c r="I31" i="45"/>
  <c r="J31" i="45" s="1"/>
  <c r="C31" i="45"/>
  <c r="I30" i="45"/>
  <c r="J30" i="45" s="1"/>
  <c r="C30" i="45"/>
  <c r="J29" i="45"/>
  <c r="I29" i="45"/>
  <c r="C29" i="45"/>
  <c r="I28" i="45"/>
  <c r="J28" i="45" s="1"/>
  <c r="C28" i="45"/>
  <c r="J27" i="45"/>
  <c r="I27" i="45"/>
  <c r="C27" i="45"/>
  <c r="J26" i="45"/>
  <c r="I26" i="45"/>
  <c r="C26" i="45"/>
  <c r="J25" i="45"/>
  <c r="I25" i="45"/>
  <c r="C25" i="45"/>
  <c r="I24" i="45"/>
  <c r="J24" i="45" s="1"/>
  <c r="C24" i="45"/>
  <c r="I23" i="45"/>
  <c r="J23" i="45" s="1"/>
  <c r="C23" i="45"/>
  <c r="H603" i="43" s="1"/>
  <c r="I22" i="45"/>
  <c r="J22" i="45" s="1"/>
  <c r="C22" i="45"/>
  <c r="I21" i="45"/>
  <c r="J21" i="45" s="1"/>
  <c r="C21" i="45"/>
  <c r="J20" i="45"/>
  <c r="I20" i="45"/>
  <c r="C20" i="45"/>
  <c r="I19" i="45"/>
  <c r="J19" i="45" s="1"/>
  <c r="C19" i="45"/>
  <c r="J18" i="45"/>
  <c r="I18" i="45"/>
  <c r="C18" i="45"/>
  <c r="I17" i="45"/>
  <c r="J17" i="45" s="1"/>
  <c r="C17" i="45"/>
  <c r="J16" i="45"/>
  <c r="I16" i="45"/>
  <c r="C16" i="45"/>
  <c r="I15" i="45"/>
  <c r="J15" i="45" s="1"/>
  <c r="C15" i="45"/>
  <c r="I14" i="45"/>
  <c r="J14" i="45" s="1"/>
  <c r="C14" i="45"/>
  <c r="J13" i="45"/>
  <c r="I13" i="45"/>
  <c r="C13" i="45"/>
  <c r="I12" i="45"/>
  <c r="J12" i="45" s="1"/>
  <c r="C12" i="45"/>
  <c r="J11" i="45"/>
  <c r="I11" i="45"/>
  <c r="C11" i="45"/>
  <c r="J10" i="45"/>
  <c r="I10" i="45"/>
  <c r="C10" i="45"/>
  <c r="J9" i="45"/>
  <c r="I9" i="45"/>
  <c r="C9" i="45"/>
  <c r="H595" i="43" s="1"/>
  <c r="I8" i="45"/>
  <c r="J8" i="45" s="1"/>
  <c r="C8" i="45"/>
  <c r="I7" i="45"/>
  <c r="J7" i="45" s="1"/>
  <c r="C7" i="45"/>
  <c r="J6" i="45"/>
  <c r="I6" i="45"/>
  <c r="C6" i="45"/>
  <c r="I601" i="43" s="1"/>
  <c r="I5" i="45"/>
  <c r="J5" i="45" s="1"/>
  <c r="C5" i="45"/>
  <c r="J4" i="45"/>
  <c r="I4" i="45"/>
  <c r="C4" i="45"/>
  <c r="I3" i="45"/>
  <c r="C3" i="45"/>
  <c r="H1" i="45"/>
  <c r="G1" i="45"/>
  <c r="F1" i="45"/>
  <c r="E1" i="45"/>
  <c r="L1" i="36"/>
  <c r="I588" i="43"/>
  <c r="H570" i="43"/>
  <c r="I560" i="43"/>
  <c r="H551" i="43"/>
  <c r="I542" i="43"/>
  <c r="I514" i="43"/>
  <c r="I504" i="43"/>
  <c r="H495" i="43"/>
  <c r="I486" i="43"/>
  <c r="H467" i="43"/>
  <c r="I458" i="43"/>
  <c r="H449" i="43"/>
  <c r="I439" i="43"/>
  <c r="H421" i="43"/>
  <c r="I393" i="43"/>
  <c r="H375" i="43"/>
  <c r="I368" i="43"/>
  <c r="I362" i="43"/>
  <c r="I356" i="43"/>
  <c r="I350" i="43"/>
  <c r="H344" i="43"/>
  <c r="H338" i="43"/>
  <c r="H332" i="43"/>
  <c r="I301" i="43"/>
  <c r="I295" i="43"/>
  <c r="I289" i="43"/>
  <c r="H283" i="43"/>
  <c r="H277" i="43"/>
  <c r="H271" i="43"/>
  <c r="H265" i="43"/>
  <c r="I240" i="43"/>
  <c r="I234" i="43"/>
  <c r="I228" i="43"/>
  <c r="I222" i="43"/>
  <c r="H216" i="43"/>
  <c r="H210" i="43"/>
  <c r="H204" i="43"/>
  <c r="I173" i="43"/>
  <c r="H168" i="43"/>
  <c r="I157" i="43"/>
  <c r="H152" i="43"/>
  <c r="I141" i="43"/>
  <c r="H136" i="43"/>
  <c r="I125" i="43"/>
  <c r="H120" i="43"/>
  <c r="I109" i="43"/>
  <c r="H104" i="43"/>
  <c r="I93" i="43"/>
  <c r="H88" i="43"/>
  <c r="I77" i="43"/>
  <c r="H72" i="43"/>
  <c r="I61" i="43"/>
  <c r="H56" i="43"/>
  <c r="I45" i="43"/>
  <c r="H40" i="43"/>
  <c r="I29" i="43"/>
  <c r="H24" i="43"/>
  <c r="I13" i="43"/>
  <c r="H8" i="43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L1" i="48"/>
  <c r="K31" i="47"/>
  <c r="L30" i="47"/>
  <c r="K30" i="47"/>
  <c r="L29" i="47"/>
  <c r="K29" i="47"/>
  <c r="L28" i="47"/>
  <c r="K28" i="47"/>
  <c r="L27" i="47"/>
  <c r="K27" i="47"/>
  <c r="L26" i="47"/>
  <c r="K26" i="47"/>
  <c r="L25" i="47"/>
  <c r="K25" i="47"/>
  <c r="L24" i="47"/>
  <c r="K24" i="47"/>
  <c r="L23" i="47"/>
  <c r="K23" i="47"/>
  <c r="L22" i="47"/>
  <c r="K22" i="47"/>
  <c r="L21" i="47"/>
  <c r="K21" i="47"/>
  <c r="L20" i="47"/>
  <c r="K20" i="47"/>
  <c r="L19" i="47"/>
  <c r="K19" i="47"/>
  <c r="L18" i="47"/>
  <c r="K18" i="47"/>
  <c r="L17" i="47"/>
  <c r="K17" i="47"/>
  <c r="L16" i="47"/>
  <c r="K16" i="47"/>
  <c r="L15" i="47"/>
  <c r="K15" i="47"/>
  <c r="L14" i="47"/>
  <c r="K14" i="47"/>
  <c r="L13" i="47"/>
  <c r="K13" i="47"/>
  <c r="L12" i="47"/>
  <c r="K12" i="47"/>
  <c r="L11" i="47"/>
  <c r="K11" i="47"/>
  <c r="L10" i="47"/>
  <c r="K10" i="47"/>
  <c r="L9" i="47"/>
  <c r="K9" i="47"/>
  <c r="L8" i="47"/>
  <c r="K8" i="47"/>
  <c r="L7" i="47"/>
  <c r="K7" i="47"/>
  <c r="L6" i="47"/>
  <c r="K6" i="47"/>
  <c r="L5" i="47"/>
  <c r="K5" i="47"/>
  <c r="L4" i="47"/>
  <c r="K4" i="47"/>
  <c r="L3" i="47"/>
  <c r="K3" i="47"/>
  <c r="I9" i="43" l="1"/>
  <c r="H36" i="43"/>
  <c r="I57" i="43"/>
  <c r="H84" i="43"/>
  <c r="I105" i="43"/>
  <c r="H132" i="43"/>
  <c r="H164" i="43"/>
  <c r="H187" i="43"/>
  <c r="I205" i="43"/>
  <c r="H242" i="43"/>
  <c r="I266" i="43"/>
  <c r="H303" i="43"/>
  <c r="I321" i="43"/>
  <c r="I327" i="43"/>
  <c r="H364" i="43"/>
  <c r="I376" i="43"/>
  <c r="I414" i="43"/>
  <c r="I432" i="43"/>
  <c r="I460" i="43"/>
  <c r="H488" i="43"/>
  <c r="H516" i="43"/>
  <c r="H535" i="43"/>
  <c r="H563" i="43"/>
  <c r="H591" i="43"/>
  <c r="H10" i="43"/>
  <c r="I15" i="43"/>
  <c r="H26" i="43"/>
  <c r="I31" i="43"/>
  <c r="H42" i="43"/>
  <c r="I47" i="43"/>
  <c r="H58" i="43"/>
  <c r="I63" i="43"/>
  <c r="H74" i="43"/>
  <c r="I79" i="43"/>
  <c r="H90" i="43"/>
  <c r="I95" i="43"/>
  <c r="H106" i="43"/>
  <c r="I111" i="43"/>
  <c r="H122" i="43"/>
  <c r="I127" i="43"/>
  <c r="H138" i="43"/>
  <c r="I143" i="43"/>
  <c r="H154" i="43"/>
  <c r="I159" i="43"/>
  <c r="H170" i="43"/>
  <c r="H188" i="43"/>
  <c r="H194" i="43"/>
  <c r="H200" i="43"/>
  <c r="I206" i="43"/>
  <c r="I212" i="43"/>
  <c r="I218" i="43"/>
  <c r="I224" i="43"/>
  <c r="H249" i="43"/>
  <c r="H255" i="43"/>
  <c r="H261" i="43"/>
  <c r="H267" i="43"/>
  <c r="I273" i="43"/>
  <c r="I279" i="43"/>
  <c r="I285" i="43"/>
  <c r="H316" i="43"/>
  <c r="H322" i="43"/>
  <c r="H328" i="43"/>
  <c r="I334" i="43"/>
  <c r="I340" i="43"/>
  <c r="I346" i="43"/>
  <c r="I352" i="43"/>
  <c r="I378" i="43"/>
  <c r="H387" i="43"/>
  <c r="I406" i="43"/>
  <c r="H415" i="43"/>
  <c r="I424" i="43"/>
  <c r="H434" i="43"/>
  <c r="I452" i="43"/>
  <c r="H480" i="43"/>
  <c r="H490" i="43"/>
  <c r="I498" i="43"/>
  <c r="I508" i="43"/>
  <c r="H536" i="43"/>
  <c r="I554" i="43"/>
  <c r="H564" i="43"/>
  <c r="I573" i="43"/>
  <c r="I582" i="43"/>
  <c r="H4" i="43"/>
  <c r="I25" i="43"/>
  <c r="I41" i="43"/>
  <c r="H68" i="43"/>
  <c r="I89" i="43"/>
  <c r="H116" i="43"/>
  <c r="I137" i="43"/>
  <c r="H175" i="43"/>
  <c r="H248" i="43"/>
  <c r="H16" i="43"/>
  <c r="H48" i="43"/>
  <c r="I69" i="43"/>
  <c r="H96" i="43"/>
  <c r="H128" i="43"/>
  <c r="H213" i="43"/>
  <c r="H20" i="43"/>
  <c r="H52" i="43"/>
  <c r="I73" i="43"/>
  <c r="H100" i="43"/>
  <c r="I121" i="43"/>
  <c r="H148" i="43"/>
  <c r="I169" i="43"/>
  <c r="I193" i="43"/>
  <c r="H236" i="43"/>
  <c r="I254" i="43"/>
  <c r="I272" i="43"/>
  <c r="H309" i="43"/>
  <c r="I386" i="43"/>
  <c r="I5" i="43"/>
  <c r="H32" i="43"/>
  <c r="I53" i="43"/>
  <c r="I85" i="43"/>
  <c r="H112" i="43"/>
  <c r="I133" i="43"/>
  <c r="I149" i="43"/>
  <c r="I165" i="43"/>
  <c r="H207" i="43"/>
  <c r="I225" i="43"/>
  <c r="I237" i="43"/>
  <c r="H274" i="43"/>
  <c r="I292" i="43"/>
  <c r="I304" i="43"/>
  <c r="H335" i="43"/>
  <c r="I353" i="43"/>
  <c r="I365" i="43"/>
  <c r="I397" i="43"/>
  <c r="H417" i="43"/>
  <c r="I453" i="43"/>
  <c r="I472" i="43"/>
  <c r="I500" i="43"/>
  <c r="H528" i="43"/>
  <c r="I574" i="43"/>
  <c r="H602" i="43"/>
  <c r="H6" i="43"/>
  <c r="H22" i="43"/>
  <c r="I43" i="43"/>
  <c r="I59" i="43"/>
  <c r="I75" i="43"/>
  <c r="H102" i="43"/>
  <c r="H118" i="43"/>
  <c r="H134" i="43"/>
  <c r="H150" i="43"/>
  <c r="I171" i="43"/>
  <c r="I189" i="43"/>
  <c r="H232" i="43"/>
  <c r="I244" i="43"/>
  <c r="I256" i="43"/>
  <c r="H287" i="43"/>
  <c r="H299" i="43"/>
  <c r="I317" i="43"/>
  <c r="H354" i="43"/>
  <c r="I366" i="43"/>
  <c r="I399" i="43"/>
  <c r="H427" i="43"/>
  <c r="I445" i="43"/>
  <c r="I519" i="43"/>
  <c r="H547" i="43"/>
  <c r="I594" i="43"/>
  <c r="I153" i="43"/>
  <c r="H181" i="43"/>
  <c r="I199" i="43"/>
  <c r="I260" i="43"/>
  <c r="H297" i="43"/>
  <c r="H315" i="43"/>
  <c r="I333" i="43"/>
  <c r="H370" i="43"/>
  <c r="H396" i="43"/>
  <c r="H442" i="43"/>
  <c r="I479" i="43"/>
  <c r="H507" i="43"/>
  <c r="I525" i="43"/>
  <c r="I553" i="43"/>
  <c r="I581" i="43"/>
  <c r="I21" i="43"/>
  <c r="I37" i="43"/>
  <c r="H64" i="43"/>
  <c r="H80" i="43"/>
  <c r="I101" i="43"/>
  <c r="I117" i="43"/>
  <c r="H144" i="43"/>
  <c r="H160" i="43"/>
  <c r="I176" i="43"/>
  <c r="H201" i="43"/>
  <c r="H219" i="43"/>
  <c r="I231" i="43"/>
  <c r="H268" i="43"/>
  <c r="H280" i="43"/>
  <c r="I286" i="43"/>
  <c r="I298" i="43"/>
  <c r="H329" i="43"/>
  <c r="H341" i="43"/>
  <c r="H347" i="43"/>
  <c r="I359" i="43"/>
  <c r="H379" i="43"/>
  <c r="H407" i="43"/>
  <c r="I425" i="43"/>
  <c r="H435" i="43"/>
  <c r="H463" i="43"/>
  <c r="I481" i="43"/>
  <c r="H509" i="43"/>
  <c r="H537" i="43"/>
  <c r="I546" i="43"/>
  <c r="H556" i="43"/>
  <c r="I592" i="43"/>
  <c r="I11" i="43"/>
  <c r="I27" i="43"/>
  <c r="H38" i="43"/>
  <c r="H54" i="43"/>
  <c r="H70" i="43"/>
  <c r="H86" i="43"/>
  <c r="I91" i="43"/>
  <c r="I107" i="43"/>
  <c r="I123" i="43"/>
  <c r="I139" i="43"/>
  <c r="I155" i="43"/>
  <c r="H166" i="43"/>
  <c r="I177" i="43"/>
  <c r="I183" i="43"/>
  <c r="H220" i="43"/>
  <c r="H226" i="43"/>
  <c r="I238" i="43"/>
  <c r="I250" i="43"/>
  <c r="H281" i="43"/>
  <c r="H293" i="43"/>
  <c r="I305" i="43"/>
  <c r="I311" i="43"/>
  <c r="H348" i="43"/>
  <c r="H360" i="43"/>
  <c r="I372" i="43"/>
  <c r="I380" i="43"/>
  <c r="H408" i="43"/>
  <c r="H436" i="43"/>
  <c r="H455" i="43"/>
  <c r="I473" i="43"/>
  <c r="H501" i="43"/>
  <c r="H529" i="43"/>
  <c r="H557" i="43"/>
  <c r="I575" i="43"/>
  <c r="H585" i="43"/>
  <c r="H12" i="43"/>
  <c r="I17" i="43"/>
  <c r="H28" i="43"/>
  <c r="I33" i="43"/>
  <c r="H44" i="43"/>
  <c r="I49" i="43"/>
  <c r="H60" i="43"/>
  <c r="I65" i="43"/>
  <c r="H76" i="43"/>
  <c r="I81" i="43"/>
  <c r="H92" i="43"/>
  <c r="I97" i="43"/>
  <c r="H108" i="43"/>
  <c r="I113" i="43"/>
  <c r="H124" i="43"/>
  <c r="I129" i="43"/>
  <c r="H140" i="43"/>
  <c r="I145" i="43"/>
  <c r="H156" i="43"/>
  <c r="I161" i="43"/>
  <c r="H172" i="43"/>
  <c r="H178" i="43"/>
  <c r="H184" i="43"/>
  <c r="I190" i="43"/>
  <c r="I196" i="43"/>
  <c r="I202" i="43"/>
  <c r="I208" i="43"/>
  <c r="H233" i="43"/>
  <c r="H239" i="43"/>
  <c r="H245" i="43"/>
  <c r="H251" i="43"/>
  <c r="I257" i="43"/>
  <c r="I263" i="43"/>
  <c r="I269" i="43"/>
  <c r="H300" i="43"/>
  <c r="H306" i="43"/>
  <c r="H312" i="43"/>
  <c r="I318" i="43"/>
  <c r="I324" i="43"/>
  <c r="I330" i="43"/>
  <c r="I336" i="43"/>
  <c r="H361" i="43"/>
  <c r="H367" i="43"/>
  <c r="H373" i="43"/>
  <c r="H400" i="43"/>
  <c r="I418" i="43"/>
  <c r="H428" i="43"/>
  <c r="I437" i="43"/>
  <c r="I446" i="43"/>
  <c r="H474" i="43"/>
  <c r="H484" i="43"/>
  <c r="I493" i="43"/>
  <c r="I502" i="43"/>
  <c r="I521" i="43"/>
  <c r="H530" i="43"/>
  <c r="H549" i="43"/>
  <c r="I567" i="43"/>
  <c r="H577" i="43"/>
  <c r="H604" i="43"/>
  <c r="H597" i="43"/>
  <c r="I586" i="43"/>
  <c r="I569" i="43"/>
  <c r="H562" i="43"/>
  <c r="H555" i="43"/>
  <c r="H545" i="43"/>
  <c r="I534" i="43"/>
  <c r="H524" i="43"/>
  <c r="I513" i="43"/>
  <c r="H503" i="43"/>
  <c r="I492" i="43"/>
  <c r="I485" i="43"/>
  <c r="H468" i="43"/>
  <c r="H461" i="43"/>
  <c r="I454" i="43"/>
  <c r="H440" i="43"/>
  <c r="H423" i="43"/>
  <c r="H419" i="43"/>
  <c r="H409" i="43"/>
  <c r="H402" i="43"/>
  <c r="I391" i="43"/>
  <c r="I384" i="43"/>
  <c r="I600" i="43"/>
  <c r="H583" i="43"/>
  <c r="H576" i="43"/>
  <c r="I565" i="43"/>
  <c r="I548" i="43"/>
  <c r="H541" i="43"/>
  <c r="I527" i="43"/>
  <c r="I520" i="43"/>
  <c r="I506" i="43"/>
  <c r="H496" i="43"/>
  <c r="H489" i="43"/>
  <c r="H482" i="43"/>
  <c r="H475" i="43"/>
  <c r="I464" i="43"/>
  <c r="I447" i="43"/>
  <c r="I433" i="43"/>
  <c r="I426" i="43"/>
  <c r="I412" i="43"/>
  <c r="I405" i="43"/>
  <c r="H388" i="43"/>
  <c r="H381" i="43"/>
  <c r="I7" i="43"/>
  <c r="H18" i="43"/>
  <c r="I23" i="43"/>
  <c r="H34" i="43"/>
  <c r="I39" i="43"/>
  <c r="H50" i="43"/>
  <c r="I55" i="43"/>
  <c r="H66" i="43"/>
  <c r="I71" i="43"/>
  <c r="H82" i="43"/>
  <c r="I87" i="43"/>
  <c r="H98" i="43"/>
  <c r="I103" i="43"/>
  <c r="H114" i="43"/>
  <c r="I119" i="43"/>
  <c r="H130" i="43"/>
  <c r="I135" i="43"/>
  <c r="H146" i="43"/>
  <c r="I151" i="43"/>
  <c r="H162" i="43"/>
  <c r="I167" i="43"/>
  <c r="H185" i="43"/>
  <c r="H191" i="43"/>
  <c r="H197" i="43"/>
  <c r="H203" i="43"/>
  <c r="I209" i="43"/>
  <c r="I215" i="43"/>
  <c r="I221" i="43"/>
  <c r="H252" i="43"/>
  <c r="H258" i="43"/>
  <c r="H264" i="43"/>
  <c r="I270" i="43"/>
  <c r="I276" i="43"/>
  <c r="I282" i="43"/>
  <c r="I288" i="43"/>
  <c r="H313" i="43"/>
  <c r="H319" i="43"/>
  <c r="H325" i="43"/>
  <c r="H331" i="43"/>
  <c r="I337" i="43"/>
  <c r="I343" i="43"/>
  <c r="I349" i="43"/>
  <c r="I374" i="43"/>
  <c r="I392" i="43"/>
  <c r="H401" i="43"/>
  <c r="I420" i="43"/>
  <c r="H429" i="43"/>
  <c r="H448" i="43"/>
  <c r="H457" i="43"/>
  <c r="I466" i="43"/>
  <c r="H476" i="43"/>
  <c r="I494" i="43"/>
  <c r="I512" i="43"/>
  <c r="H522" i="43"/>
  <c r="I540" i="43"/>
  <c r="I559" i="43"/>
  <c r="H568" i="43"/>
  <c r="H596" i="43"/>
  <c r="H605" i="43"/>
  <c r="I1" i="45"/>
  <c r="J3" i="45"/>
  <c r="J1" i="45" s="1"/>
  <c r="I3" i="43"/>
  <c r="H14" i="43"/>
  <c r="I19" i="43"/>
  <c r="H30" i="43"/>
  <c r="I35" i="43"/>
  <c r="H46" i="43"/>
  <c r="I51" i="43"/>
  <c r="H62" i="43"/>
  <c r="I67" i="43"/>
  <c r="H78" i="43"/>
  <c r="I83" i="43"/>
  <c r="H94" i="43"/>
  <c r="I99" i="43"/>
  <c r="H110" i="43"/>
  <c r="I115" i="43"/>
  <c r="H126" i="43"/>
  <c r="I131" i="43"/>
  <c r="H142" i="43"/>
  <c r="I147" i="43"/>
  <c r="H158" i="43"/>
  <c r="I163" i="43"/>
  <c r="I174" i="43"/>
  <c r="I180" i="43"/>
  <c r="I186" i="43"/>
  <c r="I192" i="43"/>
  <c r="H217" i="43"/>
  <c r="H223" i="43"/>
  <c r="H229" i="43"/>
  <c r="H235" i="43"/>
  <c r="I241" i="43"/>
  <c r="I247" i="43"/>
  <c r="I253" i="43"/>
  <c r="H284" i="43"/>
  <c r="H290" i="43"/>
  <c r="H296" i="43"/>
  <c r="I302" i="43"/>
  <c r="I308" i="43"/>
  <c r="I314" i="43"/>
  <c r="I320" i="43"/>
  <c r="H345" i="43"/>
  <c r="H351" i="43"/>
  <c r="H357" i="43"/>
  <c r="H363" i="43"/>
  <c r="I369" i="43"/>
  <c r="I385" i="43"/>
  <c r="H394" i="43"/>
  <c r="H413" i="43"/>
  <c r="I431" i="43"/>
  <c r="I441" i="43"/>
  <c r="H469" i="43"/>
  <c r="I487" i="43"/>
  <c r="H497" i="43"/>
  <c r="H515" i="43"/>
  <c r="I533" i="43"/>
  <c r="H543" i="43"/>
  <c r="I552" i="43"/>
  <c r="I561" i="43"/>
  <c r="I580" i="43"/>
  <c r="H589" i="43"/>
  <c r="I606" i="43"/>
  <c r="I4" i="43"/>
  <c r="H7" i="43"/>
  <c r="K7" i="43" s="1"/>
  <c r="I12" i="43"/>
  <c r="H15" i="43"/>
  <c r="K15" i="43" s="1"/>
  <c r="I20" i="43"/>
  <c r="H23" i="43"/>
  <c r="K23" i="43" s="1"/>
  <c r="I28" i="43"/>
  <c r="H31" i="43"/>
  <c r="K31" i="43" s="1"/>
  <c r="I36" i="43"/>
  <c r="H39" i="43"/>
  <c r="K39" i="43" s="1"/>
  <c r="I44" i="43"/>
  <c r="H47" i="43"/>
  <c r="K47" i="43" s="1"/>
  <c r="I52" i="43"/>
  <c r="H55" i="43"/>
  <c r="K55" i="43" s="1"/>
  <c r="I60" i="43"/>
  <c r="H63" i="43"/>
  <c r="K63" i="43" s="1"/>
  <c r="I68" i="43"/>
  <c r="H71" i="43"/>
  <c r="K71" i="43" s="1"/>
  <c r="I76" i="43"/>
  <c r="H79" i="43"/>
  <c r="K79" i="43" s="1"/>
  <c r="I84" i="43"/>
  <c r="H87" i="43"/>
  <c r="K87" i="43" s="1"/>
  <c r="I92" i="43"/>
  <c r="H95" i="43"/>
  <c r="K95" i="43" s="1"/>
  <c r="I100" i="43"/>
  <c r="H103" i="43"/>
  <c r="K103" i="43" s="1"/>
  <c r="I108" i="43"/>
  <c r="H111" i="43"/>
  <c r="K111" i="43" s="1"/>
  <c r="I116" i="43"/>
  <c r="H119" i="43"/>
  <c r="K119" i="43" s="1"/>
  <c r="I124" i="43"/>
  <c r="H127" i="43"/>
  <c r="K127" i="43" s="1"/>
  <c r="I132" i="43"/>
  <c r="H135" i="43"/>
  <c r="K135" i="43" s="1"/>
  <c r="I140" i="43"/>
  <c r="H143" i="43"/>
  <c r="K143" i="43" s="1"/>
  <c r="I148" i="43"/>
  <c r="H151" i="43"/>
  <c r="K151" i="43" s="1"/>
  <c r="I156" i="43"/>
  <c r="H159" i="43"/>
  <c r="K159" i="43" s="1"/>
  <c r="I164" i="43"/>
  <c r="H167" i="43"/>
  <c r="K167" i="43" s="1"/>
  <c r="I172" i="43"/>
  <c r="I175" i="43"/>
  <c r="I178" i="43"/>
  <c r="I181" i="43"/>
  <c r="I184" i="43"/>
  <c r="H209" i="43"/>
  <c r="K209" i="43" s="1"/>
  <c r="H212" i="43"/>
  <c r="K212" i="43" s="1"/>
  <c r="H215" i="43"/>
  <c r="K215" i="43" s="1"/>
  <c r="H218" i="43"/>
  <c r="K218" i="43" s="1"/>
  <c r="H221" i="43"/>
  <c r="K221" i="43" s="1"/>
  <c r="H224" i="43"/>
  <c r="K224" i="43" s="1"/>
  <c r="H227" i="43"/>
  <c r="I230" i="43"/>
  <c r="I233" i="43"/>
  <c r="I236" i="43"/>
  <c r="I239" i="43"/>
  <c r="I242" i="43"/>
  <c r="I245" i="43"/>
  <c r="I248" i="43"/>
  <c r="H273" i="43"/>
  <c r="K273" i="43" s="1"/>
  <c r="H276" i="43"/>
  <c r="K276" i="43" s="1"/>
  <c r="H279" i="43"/>
  <c r="K279" i="43" s="1"/>
  <c r="H282" i="43"/>
  <c r="K282" i="43" s="1"/>
  <c r="H285" i="43"/>
  <c r="K285" i="43" s="1"/>
  <c r="H288" i="43"/>
  <c r="K288" i="43" s="1"/>
  <c r="H291" i="43"/>
  <c r="I294" i="43"/>
  <c r="I297" i="43"/>
  <c r="I300" i="43"/>
  <c r="I303" i="43"/>
  <c r="I306" i="43"/>
  <c r="I309" i="43"/>
  <c r="I312" i="43"/>
  <c r="H337" i="43"/>
  <c r="K337" i="43" s="1"/>
  <c r="H340" i="43"/>
  <c r="K340" i="43" s="1"/>
  <c r="H343" i="43"/>
  <c r="K343" i="43" s="1"/>
  <c r="H346" i="43"/>
  <c r="K346" i="43" s="1"/>
  <c r="H349" i="43"/>
  <c r="K349" i="43" s="1"/>
  <c r="H352" i="43"/>
  <c r="K352" i="43" s="1"/>
  <c r="H355" i="43"/>
  <c r="I358" i="43"/>
  <c r="I361" i="43"/>
  <c r="I364" i="43"/>
  <c r="I367" i="43"/>
  <c r="I370" i="43"/>
  <c r="I373" i="43"/>
  <c r="I377" i="43"/>
  <c r="H384" i="43"/>
  <c r="K384" i="43" s="1"/>
  <c r="H391" i="43"/>
  <c r="K391" i="43" s="1"/>
  <c r="I394" i="43"/>
  <c r="H405" i="43"/>
  <c r="K405" i="43" s="1"/>
  <c r="I408" i="43"/>
  <c r="H412" i="43"/>
  <c r="K412" i="43" s="1"/>
  <c r="I415" i="43"/>
  <c r="I422" i="43"/>
  <c r="H426" i="43"/>
  <c r="K426" i="43" s="1"/>
  <c r="I429" i="43"/>
  <c r="H433" i="43"/>
  <c r="K433" i="43" s="1"/>
  <c r="I436" i="43"/>
  <c r="H443" i="43"/>
  <c r="I450" i="43"/>
  <c r="I457" i="43"/>
  <c r="H464" i="43"/>
  <c r="K464" i="43" s="1"/>
  <c r="H471" i="43"/>
  <c r="I478" i="43"/>
  <c r="H485" i="43"/>
  <c r="K485" i="43" s="1"/>
  <c r="I488" i="43"/>
  <c r="H492" i="43"/>
  <c r="K492" i="43" s="1"/>
  <c r="I495" i="43"/>
  <c r="K495" i="43" s="1"/>
  <c r="H499" i="43"/>
  <c r="H506" i="43"/>
  <c r="K506" i="43" s="1"/>
  <c r="I509" i="43"/>
  <c r="H513" i="43"/>
  <c r="K513" i="43" s="1"/>
  <c r="I516" i="43"/>
  <c r="H527" i="43"/>
  <c r="K527" i="43" s="1"/>
  <c r="I530" i="43"/>
  <c r="I537" i="43"/>
  <c r="H544" i="43"/>
  <c r="H548" i="43"/>
  <c r="K548" i="43" s="1"/>
  <c r="I551" i="43"/>
  <c r="K551" i="43" s="1"/>
  <c r="I558" i="43"/>
  <c r="H565" i="43"/>
  <c r="K565" i="43" s="1"/>
  <c r="I568" i="43"/>
  <c r="I572" i="43"/>
  <c r="H579" i="43"/>
  <c r="H586" i="43"/>
  <c r="K586" i="43" s="1"/>
  <c r="I589" i="43"/>
  <c r="H593" i="43"/>
  <c r="H600" i="43"/>
  <c r="K600" i="43" s="1"/>
  <c r="N7" i="42"/>
  <c r="N41" i="42"/>
  <c r="N261" i="42"/>
  <c r="N269" i="42"/>
  <c r="N277" i="42"/>
  <c r="X1693" i="27"/>
  <c r="V1692" i="27"/>
  <c r="AB1691" i="27"/>
  <c r="T1691" i="27"/>
  <c r="Z1690" i="27"/>
  <c r="X1689" i="27"/>
  <c r="V1688" i="27"/>
  <c r="AB1687" i="27"/>
  <c r="T1687" i="27"/>
  <c r="Z1686" i="27"/>
  <c r="X1685" i="27"/>
  <c r="V1684" i="27"/>
  <c r="AB1683" i="27"/>
  <c r="T1683" i="27"/>
  <c r="Z1682" i="27"/>
  <c r="X1681" i="27"/>
  <c r="V1680" i="27"/>
  <c r="AB1679" i="27"/>
  <c r="T1679" i="27"/>
  <c r="Z1678" i="27"/>
  <c r="X1677" i="27"/>
  <c r="V1676" i="27"/>
  <c r="AB1675" i="27"/>
  <c r="T1675" i="27"/>
  <c r="Z1674" i="27"/>
  <c r="X1673" i="27"/>
  <c r="V1672" i="27"/>
  <c r="AB1671" i="27"/>
  <c r="T1671" i="27"/>
  <c r="Z1670" i="27"/>
  <c r="X1669" i="27"/>
  <c r="V1668" i="27"/>
  <c r="AB1667" i="27"/>
  <c r="T1667" i="27"/>
  <c r="Z1666" i="27"/>
  <c r="X1665" i="27"/>
  <c r="V1664" i="27"/>
  <c r="AB1663" i="27"/>
  <c r="T1663" i="27"/>
  <c r="Z1662" i="27"/>
  <c r="X1661" i="27"/>
  <c r="V1660" i="27"/>
  <c r="AB1659" i="27"/>
  <c r="T1659" i="27"/>
  <c r="Z1658" i="27"/>
  <c r="X1657" i="27"/>
  <c r="V1656" i="27"/>
  <c r="AB1655" i="27"/>
  <c r="T1655" i="27"/>
  <c r="Z1654" i="27"/>
  <c r="X1653" i="27"/>
  <c r="V1652" i="27"/>
  <c r="AB1651" i="27"/>
  <c r="T1651" i="27"/>
  <c r="Z1650" i="27"/>
  <c r="X1649" i="27"/>
  <c r="V1648" i="27"/>
  <c r="AB1647" i="27"/>
  <c r="T1647" i="27"/>
  <c r="Z1646" i="27"/>
  <c r="X1645" i="27"/>
  <c r="V1644" i="27"/>
  <c r="AB1643" i="27"/>
  <c r="T1643" i="27"/>
  <c r="Z1642" i="27"/>
  <c r="X1641" i="27"/>
  <c r="V1640" i="27"/>
  <c r="AB1639" i="27"/>
  <c r="T1639" i="27"/>
  <c r="Z1638" i="27"/>
  <c r="X1637" i="27"/>
  <c r="V1636" i="27"/>
  <c r="AB1635" i="27"/>
  <c r="T1635" i="27"/>
  <c r="Z1634" i="27"/>
  <c r="X1633" i="27"/>
  <c r="V1632" i="27"/>
  <c r="U1631" i="27"/>
  <c r="AA1630" i="27"/>
  <c r="S1630" i="27"/>
  <c r="Y1629" i="27"/>
  <c r="W1628" i="27"/>
  <c r="V1627" i="27"/>
  <c r="AB1626" i="27"/>
  <c r="T1626" i="27"/>
  <c r="Z1625" i="27"/>
  <c r="X1624" i="27"/>
  <c r="W1623" i="27"/>
  <c r="U1622" i="27"/>
  <c r="AA1621" i="27"/>
  <c r="S1621" i="27"/>
  <c r="Y1620" i="27"/>
  <c r="W1619" i="27"/>
  <c r="U1618" i="27"/>
  <c r="AA1617" i="27"/>
  <c r="S1617" i="27"/>
  <c r="Y1616" i="27"/>
  <c r="W1615" i="27"/>
  <c r="U1614" i="27"/>
  <c r="AA1613" i="27"/>
  <c r="S1613" i="27"/>
  <c r="Y1612" i="27"/>
  <c r="W1611" i="27"/>
  <c r="U1610" i="27"/>
  <c r="AA1609" i="27"/>
  <c r="S1609" i="27"/>
  <c r="Y1608" i="27"/>
  <c r="W1607" i="27"/>
  <c r="U1606" i="27"/>
  <c r="AA1605" i="27"/>
  <c r="S1605" i="27"/>
  <c r="Y1604" i="27"/>
  <c r="W1603" i="27"/>
  <c r="U1602" i="27"/>
  <c r="AA1601" i="27"/>
  <c r="S1601" i="27"/>
  <c r="Y1600" i="27"/>
  <c r="W1599" i="27"/>
  <c r="U1598" i="27"/>
  <c r="AA1597" i="27"/>
  <c r="S1597" i="27"/>
  <c r="Y1596" i="27"/>
  <c r="W1595" i="27"/>
  <c r="U1594" i="27"/>
  <c r="AA1593" i="27"/>
  <c r="S1593" i="27"/>
  <c r="Y1592" i="27"/>
  <c r="W1591" i="27"/>
  <c r="U1590" i="27"/>
  <c r="AA1589" i="27"/>
  <c r="S1589" i="27"/>
  <c r="Y1588" i="27"/>
  <c r="W1587" i="27"/>
  <c r="V1586" i="27"/>
  <c r="AB1585" i="27"/>
  <c r="T1585" i="27"/>
  <c r="Z1584" i="27"/>
  <c r="X1583" i="27"/>
  <c r="V1582" i="27"/>
  <c r="AB1581" i="27"/>
  <c r="T1581" i="27"/>
  <c r="Z1580" i="27"/>
  <c r="X1579" i="27"/>
  <c r="V1578" i="27"/>
  <c r="AB1577" i="27"/>
  <c r="T1577" i="27"/>
  <c r="Z1576" i="27"/>
  <c r="X1575" i="27"/>
  <c r="V1574" i="27"/>
  <c r="AB1573" i="27"/>
  <c r="T1573" i="27"/>
  <c r="Z1572" i="27"/>
  <c r="X1571" i="27"/>
  <c r="V1570" i="27"/>
  <c r="AB1569" i="27"/>
  <c r="T1569" i="27"/>
  <c r="Z1568" i="27"/>
  <c r="X1567" i="27"/>
  <c r="V1566" i="27"/>
  <c r="AB1565" i="27"/>
  <c r="T1565" i="27"/>
  <c r="Z1564" i="27"/>
  <c r="X1563" i="27"/>
  <c r="V1562" i="27"/>
  <c r="AB1561" i="27"/>
  <c r="T1561" i="27"/>
  <c r="W1693" i="27"/>
  <c r="T1692" i="27"/>
  <c r="Y1691" i="27"/>
  <c r="U1690" i="27"/>
  <c r="AA1689" i="27"/>
  <c r="X1688" i="27"/>
  <c r="S1687" i="27"/>
  <c r="X1686" i="27"/>
  <c r="U1685" i="27"/>
  <c r="AA1684" i="27"/>
  <c r="W1683" i="27"/>
  <c r="AB1682" i="27"/>
  <c r="S1682" i="27"/>
  <c r="Y1681" i="27"/>
  <c r="U1680" i="27"/>
  <c r="Z1679" i="27"/>
  <c r="V1678" i="27"/>
  <c r="AB1677" i="27"/>
  <c r="S1677" i="27"/>
  <c r="Y1676" i="27"/>
  <c r="U1675" i="27"/>
  <c r="Y1674" i="27"/>
  <c r="V1673" i="27"/>
  <c r="AB1672" i="27"/>
  <c r="S1672" i="27"/>
  <c r="X1671" i="27"/>
  <c r="T1670" i="27"/>
  <c r="Z1669" i="27"/>
  <c r="W1668" i="27"/>
  <c r="AA1667" i="27"/>
  <c r="W1666" i="27"/>
  <c r="T1665" i="27"/>
  <c r="Z1664" i="27"/>
  <c r="V1663" i="27"/>
  <c r="AA1662" i="27"/>
  <c r="W1661" i="27"/>
  <c r="T1660" i="27"/>
  <c r="Y1659" i="27"/>
  <c r="U1658" i="27"/>
  <c r="AA1657" i="27"/>
  <c r="X1656" i="27"/>
  <c r="S1655" i="27"/>
  <c r="X1654" i="27"/>
  <c r="U1653" i="27"/>
  <c r="AA1652" i="27"/>
  <c r="W1651" i="27"/>
  <c r="AB1650" i="27"/>
  <c r="S1650" i="27"/>
  <c r="Y1649" i="27"/>
  <c r="U1648" i="27"/>
  <c r="Z1647" i="27"/>
  <c r="V1693" i="27"/>
  <c r="AB1692" i="27"/>
  <c r="S1692" i="27"/>
  <c r="X1691" i="27"/>
  <c r="T1690" i="27"/>
  <c r="Z1689" i="27"/>
  <c r="W1688" i="27"/>
  <c r="AA1687" i="27"/>
  <c r="W1686" i="27"/>
  <c r="T1685" i="27"/>
  <c r="Z1684" i="27"/>
  <c r="V1683" i="27"/>
  <c r="AA1682" i="27"/>
  <c r="W1681" i="27"/>
  <c r="T1680" i="27"/>
  <c r="Y1679" i="27"/>
  <c r="U1678" i="27"/>
  <c r="AA1677" i="27"/>
  <c r="X1676" i="27"/>
  <c r="S1675" i="27"/>
  <c r="X1674" i="27"/>
  <c r="U1673" i="27"/>
  <c r="AA1672" i="27"/>
  <c r="W1671" i="27"/>
  <c r="AB1670" i="27"/>
  <c r="S1670" i="27"/>
  <c r="Y1669" i="27"/>
  <c r="U1668" i="27"/>
  <c r="Z1667" i="27"/>
  <c r="V1666" i="27"/>
  <c r="AB1665" i="27"/>
  <c r="S1665" i="27"/>
  <c r="Y1664" i="27"/>
  <c r="U1663" i="27"/>
  <c r="Y1662" i="27"/>
  <c r="V1661" i="27"/>
  <c r="AB1660" i="27"/>
  <c r="S1660" i="27"/>
  <c r="X1659" i="27"/>
  <c r="T1658" i="27"/>
  <c r="Z1657" i="27"/>
  <c r="W1656" i="27"/>
  <c r="AA1655" i="27"/>
  <c r="W1654" i="27"/>
  <c r="T1653" i="27"/>
  <c r="Z1652" i="27"/>
  <c r="U1693" i="27"/>
  <c r="AA1692" i="27"/>
  <c r="W1691" i="27"/>
  <c r="AB1690" i="27"/>
  <c r="S1690" i="27"/>
  <c r="Y1689" i="27"/>
  <c r="U1688" i="27"/>
  <c r="Z1687" i="27"/>
  <c r="V1686" i="27"/>
  <c r="AB1685" i="27"/>
  <c r="S1685" i="27"/>
  <c r="Y1684" i="27"/>
  <c r="U1683" i="27"/>
  <c r="Y1682" i="27"/>
  <c r="V1681" i="27"/>
  <c r="AB1680" i="27"/>
  <c r="S1680" i="27"/>
  <c r="X1679" i="27"/>
  <c r="T1678" i="27"/>
  <c r="Z1677" i="27"/>
  <c r="W1676" i="27"/>
  <c r="AA1675" i="27"/>
  <c r="W1674" i="27"/>
  <c r="T1673" i="27"/>
  <c r="Z1672" i="27"/>
  <c r="V1671" i="27"/>
  <c r="AA1670" i="27"/>
  <c r="W1669" i="27"/>
  <c r="T1668" i="27"/>
  <c r="Y1667" i="27"/>
  <c r="U1666" i="27"/>
  <c r="AA1665" i="27"/>
  <c r="X1664" i="27"/>
  <c r="S1663" i="27"/>
  <c r="X1662" i="27"/>
  <c r="U1661" i="27"/>
  <c r="AA1660" i="27"/>
  <c r="W1659" i="27"/>
  <c r="AB1658" i="27"/>
  <c r="S1658" i="27"/>
  <c r="Y1657" i="27"/>
  <c r="U1656" i="27"/>
  <c r="Z1655" i="27"/>
  <c r="V1654" i="27"/>
  <c r="AB1653" i="27"/>
  <c r="S1653" i="27"/>
  <c r="Y1652" i="27"/>
  <c r="U1651" i="27"/>
  <c r="Y1650" i="27"/>
  <c r="V1649" i="27"/>
  <c r="AB1648" i="27"/>
  <c r="S1648" i="27"/>
  <c r="X1647" i="27"/>
  <c r="T1693" i="27"/>
  <c r="Z1692" i="27"/>
  <c r="V1691" i="27"/>
  <c r="AA1690" i="27"/>
  <c r="W1689" i="27"/>
  <c r="T1688" i="27"/>
  <c r="Y1687" i="27"/>
  <c r="U1686" i="27"/>
  <c r="AA1685" i="27"/>
  <c r="X1684" i="27"/>
  <c r="S1683" i="27"/>
  <c r="X1682" i="27"/>
  <c r="U1681" i="27"/>
  <c r="AA1680" i="27"/>
  <c r="W1679" i="27"/>
  <c r="AB1678" i="27"/>
  <c r="S1678" i="27"/>
  <c r="Y1677" i="27"/>
  <c r="U1676" i="27"/>
  <c r="Z1675" i="27"/>
  <c r="V1674" i="27"/>
  <c r="AB1673" i="27"/>
  <c r="S1673" i="27"/>
  <c r="Y1672" i="27"/>
  <c r="U1671" i="27"/>
  <c r="Y1670" i="27"/>
  <c r="V1669" i="27"/>
  <c r="AB1668" i="27"/>
  <c r="S1668" i="27"/>
  <c r="X1667" i="27"/>
  <c r="T1666" i="27"/>
  <c r="Z1665" i="27"/>
  <c r="W1664" i="27"/>
  <c r="AA1663" i="27"/>
  <c r="W1662" i="27"/>
  <c r="T1661" i="27"/>
  <c r="Z1660" i="27"/>
  <c r="V1659" i="27"/>
  <c r="AA1658" i="27"/>
  <c r="W1657" i="27"/>
  <c r="T1656" i="27"/>
  <c r="Y1655" i="27"/>
  <c r="U1654" i="27"/>
  <c r="AA1653" i="27"/>
  <c r="X1652" i="27"/>
  <c r="S1651" i="27"/>
  <c r="X1650" i="27"/>
  <c r="U1649" i="27"/>
  <c r="AA1648" i="27"/>
  <c r="W1647" i="27"/>
  <c r="AB1646" i="27"/>
  <c r="S1646" i="27"/>
  <c r="Y1645" i="27"/>
  <c r="U1644" i="27"/>
  <c r="Z1643" i="27"/>
  <c r="V1642" i="27"/>
  <c r="AB1641" i="27"/>
  <c r="S1641" i="27"/>
  <c r="Y1640" i="27"/>
  <c r="U1639" i="27"/>
  <c r="Y1638" i="27"/>
  <c r="V1637" i="27"/>
  <c r="AB1636" i="27"/>
  <c r="S1636" i="27"/>
  <c r="X1635" i="27"/>
  <c r="T1634" i="27"/>
  <c r="Z1633" i="27"/>
  <c r="W1632" i="27"/>
  <c r="T1631" i="27"/>
  <c r="Y1630" i="27"/>
  <c r="U1629" i="27"/>
  <c r="AA1628" i="27"/>
  <c r="Y1627" i="27"/>
  <c r="U1626" i="27"/>
  <c r="Y1625" i="27"/>
  <c r="V1624" i="27"/>
  <c r="T1623" i="27"/>
  <c r="Z1622" i="27"/>
  <c r="V1621" i="27"/>
  <c r="AA1620" i="27"/>
  <c r="X1619" i="27"/>
  <c r="T1618" i="27"/>
  <c r="Y1617" i="27"/>
  <c r="AB1693" i="27"/>
  <c r="S1693" i="27"/>
  <c r="Y1692" i="27"/>
  <c r="U1691" i="27"/>
  <c r="Y1690" i="27"/>
  <c r="V1689" i="27"/>
  <c r="AB1688" i="27"/>
  <c r="S1688" i="27"/>
  <c r="X1687" i="27"/>
  <c r="T1686" i="27"/>
  <c r="Z1685" i="27"/>
  <c r="W1684" i="27"/>
  <c r="AA1683" i="27"/>
  <c r="W1682" i="27"/>
  <c r="T1681" i="27"/>
  <c r="Z1680" i="27"/>
  <c r="V1679" i="27"/>
  <c r="AA1678" i="27"/>
  <c r="W1677" i="27"/>
  <c r="T1676" i="27"/>
  <c r="Y1675" i="27"/>
  <c r="U1674" i="27"/>
  <c r="AA1673" i="27"/>
  <c r="X1672" i="27"/>
  <c r="S1671" i="27"/>
  <c r="X1670" i="27"/>
  <c r="U1669" i="27"/>
  <c r="AA1668" i="27"/>
  <c r="W1667" i="27"/>
  <c r="AB1666" i="27"/>
  <c r="S1666" i="27"/>
  <c r="Y1665" i="27"/>
  <c r="U1664" i="27"/>
  <c r="Z1663" i="27"/>
  <c r="V1662" i="27"/>
  <c r="AB1661" i="27"/>
  <c r="S1661" i="27"/>
  <c r="Y1660" i="27"/>
  <c r="U1659" i="27"/>
  <c r="Y1658" i="27"/>
  <c r="V1657" i="27"/>
  <c r="AB1656" i="27"/>
  <c r="S1656" i="27"/>
  <c r="X1655" i="27"/>
  <c r="T1654" i="27"/>
  <c r="Z1653" i="27"/>
  <c r="W1652" i="27"/>
  <c r="AA1651" i="27"/>
  <c r="W1650" i="27"/>
  <c r="AA1693" i="27"/>
  <c r="X1692" i="27"/>
  <c r="S1691" i="27"/>
  <c r="X1690" i="27"/>
  <c r="U1689" i="27"/>
  <c r="AA1688" i="27"/>
  <c r="W1687" i="27"/>
  <c r="AB1686" i="27"/>
  <c r="S1686" i="27"/>
  <c r="Y1685" i="27"/>
  <c r="U1684" i="27"/>
  <c r="Z1683" i="27"/>
  <c r="V1682" i="27"/>
  <c r="AB1681" i="27"/>
  <c r="S1681" i="27"/>
  <c r="Y1680" i="27"/>
  <c r="U1679" i="27"/>
  <c r="Y1678" i="27"/>
  <c r="V1677" i="27"/>
  <c r="AB1676" i="27"/>
  <c r="S1676" i="27"/>
  <c r="X1675" i="27"/>
  <c r="T1674" i="27"/>
  <c r="Z1673" i="27"/>
  <c r="W1672" i="27"/>
  <c r="AA1671" i="27"/>
  <c r="W1670" i="27"/>
  <c r="T1669" i="27"/>
  <c r="Z1668" i="27"/>
  <c r="V1667" i="27"/>
  <c r="AA1666" i="27"/>
  <c r="W1665" i="27"/>
  <c r="T1664" i="27"/>
  <c r="Y1663" i="27"/>
  <c r="U1662" i="27"/>
  <c r="AA1661" i="27"/>
  <c r="X1660" i="27"/>
  <c r="S1659" i="27"/>
  <c r="X1658" i="27"/>
  <c r="U1657" i="27"/>
  <c r="AA1656" i="27"/>
  <c r="W1655" i="27"/>
  <c r="AB1654" i="27"/>
  <c r="S1654" i="27"/>
  <c r="Y1653" i="27"/>
  <c r="U1652" i="27"/>
  <c r="Z1651" i="27"/>
  <c r="V1650" i="27"/>
  <c r="AB1649" i="27"/>
  <c r="S1649" i="27"/>
  <c r="Y1648" i="27"/>
  <c r="U1647" i="27"/>
  <c r="Y1646" i="27"/>
  <c r="Z1693" i="27"/>
  <c r="Y1693" i="27"/>
  <c r="T1689" i="27"/>
  <c r="W1685" i="27"/>
  <c r="S1684" i="27"/>
  <c r="W1680" i="27"/>
  <c r="Z1676" i="27"/>
  <c r="U1672" i="27"/>
  <c r="S1667" i="27"/>
  <c r="X1663" i="27"/>
  <c r="S1662" i="27"/>
  <c r="V1658" i="27"/>
  <c r="AA1654" i="27"/>
  <c r="U1645" i="27"/>
  <c r="AA1644" i="27"/>
  <c r="U1643" i="27"/>
  <c r="Y1642" i="27"/>
  <c r="T1641" i="27"/>
  <c r="X1640" i="27"/>
  <c r="V1638" i="27"/>
  <c r="AB1637" i="27"/>
  <c r="W1636" i="27"/>
  <c r="Z1635" i="27"/>
  <c r="U1634" i="27"/>
  <c r="Y1633" i="27"/>
  <c r="T1632" i="27"/>
  <c r="AA1631" i="27"/>
  <c r="U1630" i="27"/>
  <c r="Z1629" i="27"/>
  <c r="T1628" i="27"/>
  <c r="Z1627" i="27"/>
  <c r="S1626" i="27"/>
  <c r="W1625" i="27"/>
  <c r="S1624" i="27"/>
  <c r="Z1623" i="27"/>
  <c r="T1622" i="27"/>
  <c r="Y1621" i="27"/>
  <c r="S1620" i="27"/>
  <c r="Y1619" i="27"/>
  <c r="S1618" i="27"/>
  <c r="W1617" i="27"/>
  <c r="AB1616" i="27"/>
  <c r="S1616" i="27"/>
  <c r="Y1615" i="27"/>
  <c r="V1614" i="27"/>
  <c r="Z1613" i="27"/>
  <c r="V1612" i="27"/>
  <c r="AB1611" i="27"/>
  <c r="S1611" i="27"/>
  <c r="Y1610" i="27"/>
  <c r="U1609" i="27"/>
  <c r="Z1608" i="27"/>
  <c r="V1607" i="27"/>
  <c r="AB1606" i="27"/>
  <c r="S1606" i="27"/>
  <c r="X1605" i="27"/>
  <c r="T1604" i="27"/>
  <c r="Z1603" i="27"/>
  <c r="W1602" i="27"/>
  <c r="AB1601" i="27"/>
  <c r="W1600" i="27"/>
  <c r="T1599" i="27"/>
  <c r="Z1598" i="27"/>
  <c r="V1597" i="27"/>
  <c r="AA1596" i="27"/>
  <c r="X1595" i="27"/>
  <c r="T1594" i="27"/>
  <c r="W1690" i="27"/>
  <c r="S1689" i="27"/>
  <c r="V1685" i="27"/>
  <c r="AA1681" i="27"/>
  <c r="U1677" i="27"/>
  <c r="T1672" i="27"/>
  <c r="Y1668" i="27"/>
  <c r="AB1664" i="27"/>
  <c r="W1663" i="27"/>
  <c r="AA1659" i="27"/>
  <c r="Y1654" i="27"/>
  <c r="AA1649" i="27"/>
  <c r="Z1648" i="27"/>
  <c r="AA1647" i="27"/>
  <c r="AA1646" i="27"/>
  <c r="T1645" i="27"/>
  <c r="Z1644" i="27"/>
  <c r="S1643" i="27"/>
  <c r="X1642" i="27"/>
  <c r="W1640" i="27"/>
  <c r="AA1639" i="27"/>
  <c r="U1638" i="27"/>
  <c r="AA1637" i="27"/>
  <c r="U1636" i="27"/>
  <c r="Y1635" i="27"/>
  <c r="S1634" i="27"/>
  <c r="W1633" i="27"/>
  <c r="S1632" i="27"/>
  <c r="Z1631" i="27"/>
  <c r="T1630" i="27"/>
  <c r="X1629" i="27"/>
  <c r="S1628" i="27"/>
  <c r="X1627" i="27"/>
  <c r="V1625" i="27"/>
  <c r="AB1624" i="27"/>
  <c r="Y1623" i="27"/>
  <c r="S1622" i="27"/>
  <c r="X1621" i="27"/>
  <c r="AB1620" i="27"/>
  <c r="V1619" i="27"/>
  <c r="AB1618" i="27"/>
  <c r="V1617" i="27"/>
  <c r="AA1616" i="27"/>
  <c r="X1615" i="27"/>
  <c r="T1614" i="27"/>
  <c r="Y1613" i="27"/>
  <c r="U1612" i="27"/>
  <c r="AA1611" i="27"/>
  <c r="X1610" i="27"/>
  <c r="T1609" i="27"/>
  <c r="X1608" i="27"/>
  <c r="U1607" i="27"/>
  <c r="AA1606" i="27"/>
  <c r="W1605" i="27"/>
  <c r="AB1604" i="27"/>
  <c r="S1604" i="27"/>
  <c r="Y1603" i="27"/>
  <c r="V1602" i="27"/>
  <c r="Z1601" i="27"/>
  <c r="V1600" i="27"/>
  <c r="AB1599" i="27"/>
  <c r="S1599" i="27"/>
  <c r="V1690" i="27"/>
  <c r="AA1686" i="27"/>
  <c r="Z1681" i="27"/>
  <c r="T1677" i="27"/>
  <c r="Y1673" i="27"/>
  <c r="AB1669" i="27"/>
  <c r="X1668" i="27"/>
  <c r="AA1664" i="27"/>
  <c r="Z1659" i="27"/>
  <c r="V1655" i="27"/>
  <c r="AA1650" i="27"/>
  <c r="Z1649" i="27"/>
  <c r="X1648" i="27"/>
  <c r="Y1647" i="27"/>
  <c r="X1646" i="27"/>
  <c r="S1645" i="27"/>
  <c r="Y1644" i="27"/>
  <c r="W1642" i="27"/>
  <c r="AA1641" i="27"/>
  <c r="U1640" i="27"/>
  <c r="Z1639" i="27"/>
  <c r="T1638" i="27"/>
  <c r="Z1637" i="27"/>
  <c r="T1636" i="27"/>
  <c r="W1635" i="27"/>
  <c r="AB1634" i="27"/>
  <c r="V1633" i="27"/>
  <c r="AB1632" i="27"/>
  <c r="Y1631" i="27"/>
  <c r="W1629" i="27"/>
  <c r="AB1628" i="27"/>
  <c r="W1627" i="27"/>
  <c r="AA1626" i="27"/>
  <c r="U1625" i="27"/>
  <c r="AA1624" i="27"/>
  <c r="Z1691" i="27"/>
  <c r="V1687" i="27"/>
  <c r="T1682" i="27"/>
  <c r="W1678" i="27"/>
  <c r="AA1674" i="27"/>
  <c r="V1670" i="27"/>
  <c r="S1669" i="27"/>
  <c r="U1665" i="27"/>
  <c r="U1660" i="27"/>
  <c r="Z1656" i="27"/>
  <c r="AB1652" i="27"/>
  <c r="X1651" i="27"/>
  <c r="T1650" i="27"/>
  <c r="T1649" i="27"/>
  <c r="T1648" i="27"/>
  <c r="S1647" i="27"/>
  <c r="V1646" i="27"/>
  <c r="AA1645" i="27"/>
  <c r="W1644" i="27"/>
  <c r="Y1643" i="27"/>
  <c r="T1642" i="27"/>
  <c r="Y1641" i="27"/>
  <c r="S1640" i="27"/>
  <c r="X1639" i="27"/>
  <c r="AB1638" i="27"/>
  <c r="W1637" i="27"/>
  <c r="AA1636" i="27"/>
  <c r="U1635" i="27"/>
  <c r="Y1634" i="27"/>
  <c r="T1633" i="27"/>
  <c r="Z1632" i="27"/>
  <c r="W1631" i="27"/>
  <c r="Z1630" i="27"/>
  <c r="T1629" i="27"/>
  <c r="Y1628" i="27"/>
  <c r="T1627" i="27"/>
  <c r="Y1626" i="27"/>
  <c r="S1625" i="27"/>
  <c r="Y1624" i="27"/>
  <c r="U1623" i="27"/>
  <c r="Y1622" i="27"/>
  <c r="T1621" i="27"/>
  <c r="W1620" i="27"/>
  <c r="S1619" i="27"/>
  <c r="Y1618" i="27"/>
  <c r="W1616" i="27"/>
  <c r="T1615" i="27"/>
  <c r="Z1614" i="27"/>
  <c r="V1613" i="27"/>
  <c r="AA1612" i="27"/>
  <c r="X1611" i="27"/>
  <c r="T1610" i="27"/>
  <c r="Y1609" i="27"/>
  <c r="W1692" i="27"/>
  <c r="U1687" i="27"/>
  <c r="Y1683" i="27"/>
  <c r="AA1679" i="27"/>
  <c r="W1675" i="27"/>
  <c r="S1674" i="27"/>
  <c r="U1670" i="27"/>
  <c r="Y1666" i="27"/>
  <c r="Z1661" i="27"/>
  <c r="AB1657" i="27"/>
  <c r="Y1656" i="27"/>
  <c r="T1652" i="27"/>
  <c r="V1651" i="27"/>
  <c r="U1646" i="27"/>
  <c r="Z1645" i="27"/>
  <c r="T1644" i="27"/>
  <c r="X1643" i="27"/>
  <c r="S1642" i="27"/>
  <c r="W1641" i="27"/>
  <c r="AB1640" i="27"/>
  <c r="W1639" i="27"/>
  <c r="AA1638" i="27"/>
  <c r="U1637" i="27"/>
  <c r="Z1636" i="27"/>
  <c r="S1635" i="27"/>
  <c r="X1634" i="27"/>
  <c r="S1633" i="27"/>
  <c r="Y1632" i="27"/>
  <c r="V1631" i="27"/>
  <c r="X1630" i="27"/>
  <c r="S1629" i="27"/>
  <c r="X1628" i="27"/>
  <c r="S1627" i="27"/>
  <c r="X1626" i="27"/>
  <c r="AB1625" i="27"/>
  <c r="W1624" i="27"/>
  <c r="S1623" i="27"/>
  <c r="X1622" i="27"/>
  <c r="V1620" i="27"/>
  <c r="AB1619" i="27"/>
  <c r="X1618" i="27"/>
  <c r="AB1617" i="27"/>
  <c r="V1616" i="27"/>
  <c r="AB1615" i="27"/>
  <c r="S1615" i="27"/>
  <c r="Y1614" i="27"/>
  <c r="U1613" i="27"/>
  <c r="Z1612" i="27"/>
  <c r="V1611" i="27"/>
  <c r="AB1610" i="27"/>
  <c r="S1610" i="27"/>
  <c r="X1609" i="27"/>
  <c r="T1608" i="27"/>
  <c r="Z1607" i="27"/>
  <c r="W1606" i="27"/>
  <c r="AB1605" i="27"/>
  <c r="W1604" i="27"/>
  <c r="T1603" i="27"/>
  <c r="Z1602" i="27"/>
  <c r="V1601" i="27"/>
  <c r="AA1600" i="27"/>
  <c r="X1599" i="27"/>
  <c r="T1598" i="27"/>
  <c r="Y1597" i="27"/>
  <c r="U1596" i="27"/>
  <c r="AA1595" i="27"/>
  <c r="X1594" i="27"/>
  <c r="T1593" i="27"/>
  <c r="X1592" i="27"/>
  <c r="U1591" i="27"/>
  <c r="AA1590" i="27"/>
  <c r="W1589" i="27"/>
  <c r="AB1588" i="27"/>
  <c r="S1588" i="27"/>
  <c r="Y1587" i="27"/>
  <c r="W1586" i="27"/>
  <c r="AA1585" i="27"/>
  <c r="W1584" i="27"/>
  <c r="T1583" i="27"/>
  <c r="Z1582" i="27"/>
  <c r="V1581" i="27"/>
  <c r="AA1580" i="27"/>
  <c r="W1579" i="27"/>
  <c r="T1578" i="27"/>
  <c r="Y1577" i="27"/>
  <c r="AB1689" i="27"/>
  <c r="Y1688" i="27"/>
  <c r="T1684" i="27"/>
  <c r="X1680" i="27"/>
  <c r="AA1676" i="27"/>
  <c r="Y1671" i="27"/>
  <c r="U1667" i="27"/>
  <c r="T1662" i="27"/>
  <c r="W1658" i="27"/>
  <c r="S1657" i="27"/>
  <c r="AB1684" i="27"/>
  <c r="W1648" i="27"/>
  <c r="AB1645" i="27"/>
  <c r="X1644" i="27"/>
  <c r="V1643" i="27"/>
  <c r="Y1637" i="27"/>
  <c r="X1636" i="27"/>
  <c r="AB1631" i="27"/>
  <c r="W1630" i="27"/>
  <c r="V1629" i="27"/>
  <c r="S1608" i="27"/>
  <c r="X1607" i="27"/>
  <c r="Y1606" i="27"/>
  <c r="Z1605" i="27"/>
  <c r="T1602" i="27"/>
  <c r="W1601" i="27"/>
  <c r="Z1600" i="27"/>
  <c r="S1598" i="27"/>
  <c r="W1597" i="27"/>
  <c r="Z1596" i="27"/>
  <c r="S1595" i="27"/>
  <c r="Y1594" i="27"/>
  <c r="AB1593" i="27"/>
  <c r="U1592" i="27"/>
  <c r="AA1591" i="27"/>
  <c r="V1590" i="27"/>
  <c r="Z1589" i="27"/>
  <c r="T1588" i="27"/>
  <c r="X1587" i="27"/>
  <c r="T1586" i="27"/>
  <c r="X1585" i="27"/>
  <c r="S1584" i="27"/>
  <c r="Y1583" i="27"/>
  <c r="S1582" i="27"/>
  <c r="X1581" i="27"/>
  <c r="AB1580" i="27"/>
  <c r="V1579" i="27"/>
  <c r="AB1578" i="27"/>
  <c r="V1577" i="27"/>
  <c r="AA1576" i="27"/>
  <c r="W1575" i="27"/>
  <c r="T1574" i="27"/>
  <c r="Y1573" i="27"/>
  <c r="U1572" i="27"/>
  <c r="AA1571" i="27"/>
  <c r="X1570" i="27"/>
  <c r="S1569" i="27"/>
  <c r="X1568" i="27"/>
  <c r="U1567" i="27"/>
  <c r="AA1566" i="27"/>
  <c r="W1565" i="27"/>
  <c r="AB1564" i="27"/>
  <c r="S1564" i="27"/>
  <c r="Y1563" i="27"/>
  <c r="U1562" i="27"/>
  <c r="Z1561" i="27"/>
  <c r="AA1691" i="27"/>
  <c r="V1675" i="27"/>
  <c r="Y1651" i="27"/>
  <c r="W1645" i="27"/>
  <c r="S1644" i="27"/>
  <c r="X1638" i="27"/>
  <c r="T1637" i="27"/>
  <c r="AA1632" i="27"/>
  <c r="X1631" i="27"/>
  <c r="V1630" i="27"/>
  <c r="Z1624" i="27"/>
  <c r="AB1623" i="27"/>
  <c r="AB1622" i="27"/>
  <c r="AB1621" i="27"/>
  <c r="Z1620" i="27"/>
  <c r="AA1619" i="27"/>
  <c r="AA1618" i="27"/>
  <c r="Z1617" i="27"/>
  <c r="Z1616" i="27"/>
  <c r="AA1615" i="27"/>
  <c r="AB1614" i="27"/>
  <c r="T1607" i="27"/>
  <c r="X1606" i="27"/>
  <c r="Y1605" i="27"/>
  <c r="AA1604" i="27"/>
  <c r="S1602" i="27"/>
  <c r="U1601" i="27"/>
  <c r="X1600" i="27"/>
  <c r="AA1599" i="27"/>
  <c r="U1597" i="27"/>
  <c r="X1596" i="27"/>
  <c r="W1594" i="27"/>
  <c r="Z1593" i="27"/>
  <c r="T1592" i="27"/>
  <c r="Z1591" i="27"/>
  <c r="T1590" i="27"/>
  <c r="Y1589" i="27"/>
  <c r="V1587" i="27"/>
  <c r="S1586" i="27"/>
  <c r="W1585" i="27"/>
  <c r="AB1584" i="27"/>
  <c r="W1583" i="27"/>
  <c r="AB1582" i="27"/>
  <c r="W1581" i="27"/>
  <c r="Y1580" i="27"/>
  <c r="U1579" i="27"/>
  <c r="AA1578" i="27"/>
  <c r="U1577" i="27"/>
  <c r="Y1576" i="27"/>
  <c r="V1575" i="27"/>
  <c r="AB1574" i="27"/>
  <c r="S1574" i="27"/>
  <c r="X1573" i="27"/>
  <c r="T1572" i="27"/>
  <c r="Z1571" i="27"/>
  <c r="W1570" i="27"/>
  <c r="AA1569" i="27"/>
  <c r="W1568" i="27"/>
  <c r="T1567" i="27"/>
  <c r="Z1566" i="27"/>
  <c r="V1565" i="27"/>
  <c r="U1682" i="27"/>
  <c r="X1666" i="27"/>
  <c r="Y1661" i="27"/>
  <c r="W1646" i="27"/>
  <c r="V1645" i="27"/>
  <c r="Y1639" i="27"/>
  <c r="W1638" i="27"/>
  <c r="S1637" i="27"/>
  <c r="AB1633" i="27"/>
  <c r="X1632" i="27"/>
  <c r="S1631" i="27"/>
  <c r="AA1625" i="27"/>
  <c r="U1624" i="27"/>
  <c r="AA1623" i="27"/>
  <c r="AA1622" i="27"/>
  <c r="Z1621" i="27"/>
  <c r="X1620" i="27"/>
  <c r="Z1619" i="27"/>
  <c r="Z1618" i="27"/>
  <c r="X1617" i="27"/>
  <c r="X1616" i="27"/>
  <c r="Z1615" i="27"/>
  <c r="AA1614" i="27"/>
  <c r="AB1613" i="27"/>
  <c r="AB1612" i="27"/>
  <c r="S1607" i="27"/>
  <c r="V1606" i="27"/>
  <c r="V1605" i="27"/>
  <c r="Z1604" i="27"/>
  <c r="AB1603" i="27"/>
  <c r="T1601" i="27"/>
  <c r="U1600" i="27"/>
  <c r="Z1599" i="27"/>
  <c r="AB1598" i="27"/>
  <c r="T1597" i="27"/>
  <c r="W1596" i="27"/>
  <c r="AB1595" i="27"/>
  <c r="V1594" i="27"/>
  <c r="Y1593" i="27"/>
  <c r="S1592" i="27"/>
  <c r="Y1591" i="27"/>
  <c r="S1590" i="27"/>
  <c r="X1589" i="27"/>
  <c r="AA1588" i="27"/>
  <c r="U1587" i="27"/>
  <c r="AB1586" i="27"/>
  <c r="V1585" i="27"/>
  <c r="AA1584" i="27"/>
  <c r="V1583" i="27"/>
  <c r="AA1582" i="27"/>
  <c r="U1581" i="27"/>
  <c r="X1580" i="27"/>
  <c r="T1579" i="27"/>
  <c r="Z1578" i="27"/>
  <c r="S1577" i="27"/>
  <c r="X1576" i="27"/>
  <c r="U1575" i="27"/>
  <c r="AA1574" i="27"/>
  <c r="W1573" i="27"/>
  <c r="AB1572" i="27"/>
  <c r="S1572" i="27"/>
  <c r="Y1571" i="27"/>
  <c r="U1570" i="27"/>
  <c r="Z1569" i="27"/>
  <c r="V1568" i="27"/>
  <c r="AB1567" i="27"/>
  <c r="S1567" i="27"/>
  <c r="Y1566" i="27"/>
  <c r="U1565" i="27"/>
  <c r="Y1564" i="27"/>
  <c r="V1563" i="27"/>
  <c r="AB1562" i="27"/>
  <c r="S1562" i="27"/>
  <c r="X1561" i="27"/>
  <c r="U1560" i="27"/>
  <c r="AB1559" i="27"/>
  <c r="T1559" i="27"/>
  <c r="Z1558" i="27"/>
  <c r="U1692" i="27"/>
  <c r="X1678" i="27"/>
  <c r="Z1671" i="27"/>
  <c r="S1664" i="27"/>
  <c r="T1657" i="27"/>
  <c r="S1652" i="27"/>
  <c r="Z1641" i="27"/>
  <c r="Z1640" i="27"/>
  <c r="S1639" i="27"/>
  <c r="W1634" i="27"/>
  <c r="U1633" i="27"/>
  <c r="AB1627" i="27"/>
  <c r="W1626" i="27"/>
  <c r="T1625" i="27"/>
  <c r="V1623" i="27"/>
  <c r="V1622" i="27"/>
  <c r="U1621" i="27"/>
  <c r="T1620" i="27"/>
  <c r="T1619" i="27"/>
  <c r="V1618" i="27"/>
  <c r="T1617" i="27"/>
  <c r="T1616" i="27"/>
  <c r="U1615" i="27"/>
  <c r="W1614" i="27"/>
  <c r="W1613" i="27"/>
  <c r="W1612" i="27"/>
  <c r="Y1611" i="27"/>
  <c r="Z1610" i="27"/>
  <c r="Z1609" i="27"/>
  <c r="AA1608" i="27"/>
  <c r="T1605" i="27"/>
  <c r="V1604" i="27"/>
  <c r="X1603" i="27"/>
  <c r="AB1602" i="27"/>
  <c r="S1600" i="27"/>
  <c r="V1599" i="27"/>
  <c r="Y1598" i="27"/>
  <c r="T1596" i="27"/>
  <c r="Y1595" i="27"/>
  <c r="W1593" i="27"/>
  <c r="AA1592" i="27"/>
  <c r="V1591" i="27"/>
  <c r="Z1590" i="27"/>
  <c r="U1589" i="27"/>
  <c r="X1588" i="27"/>
  <c r="S1587" i="27"/>
  <c r="Z1586" i="27"/>
  <c r="S1585" i="27"/>
  <c r="X1584" i="27"/>
  <c r="S1583" i="27"/>
  <c r="X1582" i="27"/>
  <c r="V1580" i="27"/>
  <c r="AB1579" i="27"/>
  <c r="X1578" i="27"/>
  <c r="AA1577" i="27"/>
  <c r="V1576" i="27"/>
  <c r="AB1575" i="27"/>
  <c r="S1575" i="27"/>
  <c r="Y1574" i="27"/>
  <c r="U1573" i="27"/>
  <c r="Y1572" i="27"/>
  <c r="V1571" i="27"/>
  <c r="AB1570" i="27"/>
  <c r="S1570" i="27"/>
  <c r="X1569" i="27"/>
  <c r="T1568" i="27"/>
  <c r="Z1567" i="27"/>
  <c r="W1566" i="27"/>
  <c r="AA1565" i="27"/>
  <c r="W1564" i="27"/>
  <c r="T1563" i="27"/>
  <c r="Z1562" i="27"/>
  <c r="V1561" i="27"/>
  <c r="AA1560" i="27"/>
  <c r="S1560" i="27"/>
  <c r="Z1559" i="27"/>
  <c r="X1558" i="27"/>
  <c r="V1557" i="27"/>
  <c r="AB1556" i="27"/>
  <c r="T1556" i="27"/>
  <c r="Z1555" i="27"/>
  <c r="X1554" i="27"/>
  <c r="V1553" i="27"/>
  <c r="AB1552" i="27"/>
  <c r="T1552" i="27"/>
  <c r="X1683" i="27"/>
  <c r="AA1669" i="27"/>
  <c r="AB1662" i="27"/>
  <c r="U1655" i="27"/>
  <c r="V1647" i="27"/>
  <c r="AB1642" i="27"/>
  <c r="V1641" i="27"/>
  <c r="T1640" i="27"/>
  <c r="AA1635" i="27"/>
  <c r="V1634" i="27"/>
  <c r="Z1628" i="27"/>
  <c r="AA1627" i="27"/>
  <c r="V1626" i="27"/>
  <c r="S1614" i="27"/>
  <c r="T1613" i="27"/>
  <c r="T1612" i="27"/>
  <c r="U1611" i="27"/>
  <c r="W1610" i="27"/>
  <c r="W1609" i="27"/>
  <c r="W1608" i="27"/>
  <c r="AB1607" i="27"/>
  <c r="U1604" i="27"/>
  <c r="V1603" i="27"/>
  <c r="AA1602" i="27"/>
  <c r="U1599" i="27"/>
  <c r="X1598" i="27"/>
  <c r="AB1597" i="27"/>
  <c r="S1596" i="27"/>
  <c r="V1595" i="27"/>
  <c r="AB1594" i="27"/>
  <c r="V1593" i="27"/>
  <c r="Z1592" i="27"/>
  <c r="T1591" i="27"/>
  <c r="Y1590" i="27"/>
  <c r="T1589" i="27"/>
  <c r="W1588" i="27"/>
  <c r="AB1587" i="27"/>
  <c r="Y1586" i="27"/>
  <c r="V1584" i="27"/>
  <c r="AB1583" i="27"/>
  <c r="W1582" i="27"/>
  <c r="AA1581" i="27"/>
  <c r="U1580" i="27"/>
  <c r="AA1579" i="27"/>
  <c r="W1578" i="27"/>
  <c r="Z1577" i="27"/>
  <c r="U1576" i="27"/>
  <c r="AA1575" i="27"/>
  <c r="X1574" i="27"/>
  <c r="S1573" i="27"/>
  <c r="X1572" i="27"/>
  <c r="U1571" i="27"/>
  <c r="AA1570" i="27"/>
  <c r="W1569" i="27"/>
  <c r="AB1568" i="27"/>
  <c r="S1568" i="27"/>
  <c r="Y1567" i="27"/>
  <c r="U1566" i="27"/>
  <c r="Z1565" i="27"/>
  <c r="V1564" i="27"/>
  <c r="AB1563" i="27"/>
  <c r="S1563" i="27"/>
  <c r="Y1562" i="27"/>
  <c r="Z1688" i="27"/>
  <c r="AB1674" i="27"/>
  <c r="W1653" i="27"/>
  <c r="U1650" i="27"/>
  <c r="AA1643" i="27"/>
  <c r="AA1642" i="27"/>
  <c r="U1641" i="27"/>
  <c r="V1635" i="27"/>
  <c r="AB1629" i="27"/>
  <c r="V1628" i="27"/>
  <c r="U1627" i="27"/>
  <c r="S1612" i="27"/>
  <c r="T1611" i="27"/>
  <c r="V1610" i="27"/>
  <c r="V1609" i="27"/>
  <c r="V1608" i="27"/>
  <c r="AA1607" i="27"/>
  <c r="U1603" i="27"/>
  <c r="Y1602" i="27"/>
  <c r="Y1601" i="27"/>
  <c r="W1598" i="27"/>
  <c r="Z1597" i="27"/>
  <c r="U1595" i="27"/>
  <c r="AA1594" i="27"/>
  <c r="U1593" i="27"/>
  <c r="W1592" i="27"/>
  <c r="S1591" i="27"/>
  <c r="X1590" i="27"/>
  <c r="V1588" i="27"/>
  <c r="AA1587" i="27"/>
  <c r="Y1686" i="27"/>
  <c r="S1679" i="27"/>
  <c r="V1665" i="27"/>
  <c r="W1660" i="27"/>
  <c r="V1653" i="27"/>
  <c r="AB1644" i="27"/>
  <c r="W1643" i="27"/>
  <c r="U1642" i="27"/>
  <c r="Y1636" i="27"/>
  <c r="AB1630" i="27"/>
  <c r="AA1629" i="27"/>
  <c r="U1628" i="27"/>
  <c r="U1608" i="27"/>
  <c r="Y1607" i="27"/>
  <c r="Z1606" i="27"/>
  <c r="S1603" i="27"/>
  <c r="X1602" i="27"/>
  <c r="X1601" i="27"/>
  <c r="AB1600" i="27"/>
  <c r="W1649" i="27"/>
  <c r="S1638" i="27"/>
  <c r="U1619" i="27"/>
  <c r="Z1611" i="27"/>
  <c r="T1606" i="27"/>
  <c r="T1595" i="27"/>
  <c r="AB1592" i="27"/>
  <c r="Z1588" i="27"/>
  <c r="Y1582" i="27"/>
  <c r="Y1581" i="27"/>
  <c r="S1580" i="27"/>
  <c r="Z1574" i="27"/>
  <c r="Z1573" i="27"/>
  <c r="V1572" i="27"/>
  <c r="S1571" i="27"/>
  <c r="AA1564" i="27"/>
  <c r="AA1563" i="27"/>
  <c r="AA1562" i="27"/>
  <c r="AA1561" i="27"/>
  <c r="W1559" i="27"/>
  <c r="AB1558" i="27"/>
  <c r="X1557" i="27"/>
  <c r="S1556" i="27"/>
  <c r="X1555" i="27"/>
  <c r="U1554" i="27"/>
  <c r="AA1553" i="27"/>
  <c r="W1552" i="27"/>
  <c r="AB1551" i="27"/>
  <c r="T1551" i="27"/>
  <c r="Z1550" i="27"/>
  <c r="X1549" i="27"/>
  <c r="V1548" i="27"/>
  <c r="AB1547" i="27"/>
  <c r="T1547" i="27"/>
  <c r="Z1546" i="27"/>
  <c r="Y1545" i="27"/>
  <c r="W1544" i="27"/>
  <c r="U1543" i="27"/>
  <c r="AA1542" i="27"/>
  <c r="S1542" i="27"/>
  <c r="Y1541" i="27"/>
  <c r="W1540" i="27"/>
  <c r="U1539" i="27"/>
  <c r="AA1538" i="27"/>
  <c r="S1538" i="27"/>
  <c r="Y1537" i="27"/>
  <c r="W1536" i="27"/>
  <c r="U1535" i="27"/>
  <c r="AA1534" i="27"/>
  <c r="S1534" i="27"/>
  <c r="Y1533" i="27"/>
  <c r="W1532" i="27"/>
  <c r="U1531" i="27"/>
  <c r="AA1530" i="27"/>
  <c r="S1530" i="27"/>
  <c r="Y1529" i="27"/>
  <c r="W1528" i="27"/>
  <c r="U1527" i="27"/>
  <c r="AA1526" i="27"/>
  <c r="S1526" i="27"/>
  <c r="Y1525" i="27"/>
  <c r="W1524" i="27"/>
  <c r="U1523" i="27"/>
  <c r="AA1522" i="27"/>
  <c r="S1522" i="27"/>
  <c r="Y1521" i="27"/>
  <c r="W1520" i="27"/>
  <c r="U1519" i="27"/>
  <c r="AA1518" i="27"/>
  <c r="S1518" i="27"/>
  <c r="Y1517" i="27"/>
  <c r="W1516" i="27"/>
  <c r="U1515" i="27"/>
  <c r="AA1514" i="27"/>
  <c r="S1514" i="27"/>
  <c r="Y1513" i="27"/>
  <c r="W1512" i="27"/>
  <c r="U1511" i="27"/>
  <c r="AA1510" i="27"/>
  <c r="S1510" i="27"/>
  <c r="AA1634" i="27"/>
  <c r="X1625" i="27"/>
  <c r="W1622" i="27"/>
  <c r="X1614" i="27"/>
  <c r="Y1599" i="27"/>
  <c r="AB1596" i="27"/>
  <c r="V1592" i="27"/>
  <c r="U1588" i="27"/>
  <c r="AA1583" i="27"/>
  <c r="U1582" i="27"/>
  <c r="S1581" i="27"/>
  <c r="AB1576" i="27"/>
  <c r="Z1575" i="27"/>
  <c r="W1574" i="27"/>
  <c r="V1573" i="27"/>
  <c r="AB1566" i="27"/>
  <c r="Y1565" i="27"/>
  <c r="X1564" i="27"/>
  <c r="Z1563" i="27"/>
  <c r="X1562" i="27"/>
  <c r="Y1561" i="27"/>
  <c r="AB1560" i="27"/>
  <c r="V1639" i="27"/>
  <c r="U1632" i="27"/>
  <c r="U1620" i="27"/>
  <c r="X1612" i="27"/>
  <c r="X1593" i="27"/>
  <c r="V1589" i="27"/>
  <c r="Z1585" i="27"/>
  <c r="U1584" i="27"/>
  <c r="U1583" i="27"/>
  <c r="X1577" i="27"/>
  <c r="T1576" i="27"/>
  <c r="T1575" i="27"/>
  <c r="AA1568" i="27"/>
  <c r="W1567" i="27"/>
  <c r="T1566" i="27"/>
  <c r="S1565" i="27"/>
  <c r="T1564" i="27"/>
  <c r="U1563" i="27"/>
  <c r="T1562" i="27"/>
  <c r="U1561" i="27"/>
  <c r="Y1560" i="27"/>
  <c r="S1559" i="27"/>
  <c r="W1558" i="27"/>
  <c r="T1557" i="27"/>
  <c r="Y1556" i="27"/>
  <c r="U1555" i="27"/>
  <c r="AA1554" i="27"/>
  <c r="X1553" i="27"/>
  <c r="S1552" i="27"/>
  <c r="Y1551" i="27"/>
  <c r="W1550" i="27"/>
  <c r="U1549" i="27"/>
  <c r="AA1548" i="27"/>
  <c r="S1548" i="27"/>
  <c r="Y1547" i="27"/>
  <c r="W1546" i="27"/>
  <c r="V1545" i="27"/>
  <c r="AB1544" i="27"/>
  <c r="T1544" i="27"/>
  <c r="Z1543" i="27"/>
  <c r="X1542" i="27"/>
  <c r="V1541" i="27"/>
  <c r="AB1540" i="27"/>
  <c r="T1540" i="27"/>
  <c r="Z1539" i="27"/>
  <c r="X1538" i="27"/>
  <c r="V1537" i="27"/>
  <c r="AB1536" i="27"/>
  <c r="T1536" i="27"/>
  <c r="Z1535" i="27"/>
  <c r="X1534" i="27"/>
  <c r="V1533" i="27"/>
  <c r="AB1532" i="27"/>
  <c r="T1532" i="27"/>
  <c r="Z1531" i="27"/>
  <c r="X1530" i="27"/>
  <c r="V1529" i="27"/>
  <c r="AB1528" i="27"/>
  <c r="T1528" i="27"/>
  <c r="Z1527" i="27"/>
  <c r="X1526" i="27"/>
  <c r="V1525" i="27"/>
  <c r="AB1524" i="27"/>
  <c r="T1524" i="27"/>
  <c r="Z1523" i="27"/>
  <c r="X1522" i="27"/>
  <c r="V1521" i="27"/>
  <c r="AB1520" i="27"/>
  <c r="T1520" i="27"/>
  <c r="Z1519" i="27"/>
  <c r="X1518" i="27"/>
  <c r="V1517" i="27"/>
  <c r="AB1516" i="27"/>
  <c r="T1516" i="27"/>
  <c r="Z1515" i="27"/>
  <c r="X1514" i="27"/>
  <c r="V1513" i="27"/>
  <c r="AB1512" i="27"/>
  <c r="T1512" i="27"/>
  <c r="Z1511" i="27"/>
  <c r="X1510" i="27"/>
  <c r="V1509" i="27"/>
  <c r="AB1508" i="27"/>
  <c r="T1508" i="27"/>
  <c r="Z1507" i="27"/>
  <c r="X1506" i="27"/>
  <c r="V1505" i="27"/>
  <c r="AB1504" i="27"/>
  <c r="T1504" i="27"/>
  <c r="Z1626" i="27"/>
  <c r="X1623" i="27"/>
  <c r="V1615" i="27"/>
  <c r="T1600" i="27"/>
  <c r="X1597" i="27"/>
  <c r="AB1590" i="27"/>
  <c r="AA1586" i="27"/>
  <c r="Y1585" i="27"/>
  <c r="T1584" i="27"/>
  <c r="Y1578" i="27"/>
  <c r="W1577" i="27"/>
  <c r="S1576" i="27"/>
  <c r="Y1569" i="27"/>
  <c r="Y1568" i="27"/>
  <c r="V1567" i="27"/>
  <c r="S1566" i="27"/>
  <c r="S1561" i="27"/>
  <c r="X1560" i="27"/>
  <c r="V1558" i="27"/>
  <c r="AB1557" i="27"/>
  <c r="S1557" i="27"/>
  <c r="X1556" i="27"/>
  <c r="T1555" i="27"/>
  <c r="Z1554" i="27"/>
  <c r="W1553" i="27"/>
  <c r="AA1552" i="27"/>
  <c r="X1551" i="27"/>
  <c r="V1550" i="27"/>
  <c r="AB1549" i="27"/>
  <c r="T1549" i="27"/>
  <c r="Z1548" i="27"/>
  <c r="X1547" i="27"/>
  <c r="V1546" i="27"/>
  <c r="U1545" i="27"/>
  <c r="AA1544" i="27"/>
  <c r="S1544" i="27"/>
  <c r="Y1543" i="27"/>
  <c r="W1542" i="27"/>
  <c r="U1541" i="27"/>
  <c r="AA1540" i="27"/>
  <c r="S1540" i="27"/>
  <c r="Y1539" i="27"/>
  <c r="W1538" i="27"/>
  <c r="U1537" i="27"/>
  <c r="AA1536" i="27"/>
  <c r="S1536" i="27"/>
  <c r="Y1535" i="27"/>
  <c r="W1534" i="27"/>
  <c r="U1533" i="27"/>
  <c r="AA1532" i="27"/>
  <c r="S1532" i="27"/>
  <c r="Y1531" i="27"/>
  <c r="W1530" i="27"/>
  <c r="U1529" i="27"/>
  <c r="AA1528" i="27"/>
  <c r="S1528" i="27"/>
  <c r="Y1527" i="27"/>
  <c r="W1526" i="27"/>
  <c r="U1525" i="27"/>
  <c r="AA1524" i="27"/>
  <c r="S1524" i="27"/>
  <c r="Y1523" i="27"/>
  <c r="W1522" i="27"/>
  <c r="U1521" i="27"/>
  <c r="AA1520" i="27"/>
  <c r="S1520" i="27"/>
  <c r="Y1519" i="27"/>
  <c r="W1518" i="27"/>
  <c r="U1517" i="27"/>
  <c r="AA1516" i="27"/>
  <c r="S1516" i="27"/>
  <c r="Y1515" i="27"/>
  <c r="W1514" i="27"/>
  <c r="U1513" i="27"/>
  <c r="AA1512" i="27"/>
  <c r="S1512" i="27"/>
  <c r="Y1511" i="27"/>
  <c r="T1646" i="27"/>
  <c r="W1618" i="27"/>
  <c r="AA1610" i="27"/>
  <c r="U1605" i="27"/>
  <c r="Z1594" i="27"/>
  <c r="W1590" i="27"/>
  <c r="X1586" i="27"/>
  <c r="U1585" i="27"/>
  <c r="Z1579" i="27"/>
  <c r="U1578" i="27"/>
  <c r="AB1571" i="27"/>
  <c r="Z1570" i="27"/>
  <c r="V1569" i="27"/>
  <c r="U1568" i="27"/>
  <c r="W1560" i="27"/>
  <c r="AA1559" i="27"/>
  <c r="U1558" i="27"/>
  <c r="AA1557" i="27"/>
  <c r="W1556" i="27"/>
  <c r="AB1555" i="27"/>
  <c r="S1555" i="27"/>
  <c r="Y1554" i="27"/>
  <c r="U1553" i="27"/>
  <c r="Z1552" i="27"/>
  <c r="W1551" i="27"/>
  <c r="U1550" i="27"/>
  <c r="AA1549" i="27"/>
  <c r="S1549" i="27"/>
  <c r="Y1548" i="27"/>
  <c r="W1547" i="27"/>
  <c r="U1546" i="27"/>
  <c r="AB1545" i="27"/>
  <c r="T1545" i="27"/>
  <c r="Z1544" i="27"/>
  <c r="X1543" i="27"/>
  <c r="V1542" i="27"/>
  <c r="AB1541" i="27"/>
  <c r="T1541" i="27"/>
  <c r="Z1540" i="27"/>
  <c r="X1539" i="27"/>
  <c r="V1538" i="27"/>
  <c r="AB1537" i="27"/>
  <c r="T1537" i="27"/>
  <c r="Z1536" i="27"/>
  <c r="X1535" i="27"/>
  <c r="V1534" i="27"/>
  <c r="AB1533" i="27"/>
  <c r="T1533" i="27"/>
  <c r="Z1532" i="27"/>
  <c r="X1531" i="27"/>
  <c r="V1530" i="27"/>
  <c r="AB1529" i="27"/>
  <c r="T1529" i="27"/>
  <c r="Z1528" i="27"/>
  <c r="X1527" i="27"/>
  <c r="V1526" i="27"/>
  <c r="AB1525" i="27"/>
  <c r="T1525" i="27"/>
  <c r="Z1524" i="27"/>
  <c r="X1523" i="27"/>
  <c r="V1522" i="27"/>
  <c r="AB1521" i="27"/>
  <c r="T1521" i="27"/>
  <c r="Z1520" i="27"/>
  <c r="X1519" i="27"/>
  <c r="V1518" i="27"/>
  <c r="AB1517" i="27"/>
  <c r="T1517" i="27"/>
  <c r="Z1516" i="27"/>
  <c r="X1515" i="27"/>
  <c r="V1514" i="27"/>
  <c r="AB1513" i="27"/>
  <c r="T1513" i="27"/>
  <c r="Z1512" i="27"/>
  <c r="X1511" i="27"/>
  <c r="V1510" i="27"/>
  <c r="AB1509" i="27"/>
  <c r="T1509" i="27"/>
  <c r="Z1508" i="27"/>
  <c r="X1507" i="27"/>
  <c r="V1506" i="27"/>
  <c r="AB1505" i="27"/>
  <c r="T1505" i="27"/>
  <c r="Z1504" i="27"/>
  <c r="X1503" i="27"/>
  <c r="V1502" i="27"/>
  <c r="U1501" i="27"/>
  <c r="AA1500" i="27"/>
  <c r="S1500" i="27"/>
  <c r="Y1499" i="27"/>
  <c r="W1498" i="27"/>
  <c r="V1497" i="27"/>
  <c r="W1673" i="27"/>
  <c r="U1616" i="27"/>
  <c r="AB1608" i="27"/>
  <c r="AA1603" i="27"/>
  <c r="V1598" i="27"/>
  <c r="Z1595" i="27"/>
  <c r="X1591" i="27"/>
  <c r="T1587" i="27"/>
  <c r="Z1581" i="27"/>
  <c r="T1580" i="27"/>
  <c r="S1579" i="27"/>
  <c r="AA1573" i="27"/>
  <c r="W1572" i="27"/>
  <c r="T1571" i="27"/>
  <c r="T1570" i="27"/>
  <c r="T1560" i="27"/>
  <c r="X1559" i="27"/>
  <c r="S1558" i="27"/>
  <c r="Y1557" i="27"/>
  <c r="U1556" i="27"/>
  <c r="Y1555" i="27"/>
  <c r="V1554" i="27"/>
  <c r="AB1553" i="27"/>
  <c r="S1553" i="27"/>
  <c r="X1552" i="27"/>
  <c r="U1551" i="27"/>
  <c r="AA1550" i="27"/>
  <c r="S1550" i="27"/>
  <c r="Y1549" i="27"/>
  <c r="W1548" i="27"/>
  <c r="U1547" i="27"/>
  <c r="AA1546" i="27"/>
  <c r="S1546" i="27"/>
  <c r="Z1545" i="27"/>
  <c r="X1544" i="27"/>
  <c r="V1543" i="27"/>
  <c r="AB1542" i="27"/>
  <c r="T1542" i="27"/>
  <c r="Z1541" i="27"/>
  <c r="X1540" i="27"/>
  <c r="V1539" i="27"/>
  <c r="AB1538" i="27"/>
  <c r="T1538" i="27"/>
  <c r="Z1537" i="27"/>
  <c r="X1536" i="27"/>
  <c r="V1535" i="27"/>
  <c r="AB1534" i="27"/>
  <c r="T1534" i="27"/>
  <c r="Z1533" i="27"/>
  <c r="X1532" i="27"/>
  <c r="V1531" i="27"/>
  <c r="AB1530" i="27"/>
  <c r="T1530" i="27"/>
  <c r="Z1529" i="27"/>
  <c r="X1528" i="27"/>
  <c r="V1527" i="27"/>
  <c r="AB1526" i="27"/>
  <c r="T1526" i="27"/>
  <c r="Z1525" i="27"/>
  <c r="X1524" i="27"/>
  <c r="V1523" i="27"/>
  <c r="AB1522" i="27"/>
  <c r="T1522" i="27"/>
  <c r="Z1521" i="27"/>
  <c r="X1520" i="27"/>
  <c r="V1519" i="27"/>
  <c r="AB1518" i="27"/>
  <c r="T1518" i="27"/>
  <c r="Z1517" i="27"/>
  <c r="X1516" i="27"/>
  <c r="V1515" i="27"/>
  <c r="AB1514" i="27"/>
  <c r="T1514" i="27"/>
  <c r="Z1513" i="27"/>
  <c r="X1512" i="27"/>
  <c r="V1511" i="27"/>
  <c r="AB1510" i="27"/>
  <c r="T1510" i="27"/>
  <c r="Z1509" i="27"/>
  <c r="X1508" i="27"/>
  <c r="V1507" i="27"/>
  <c r="AB1506" i="27"/>
  <c r="T1506" i="27"/>
  <c r="Z1505" i="27"/>
  <c r="X1504" i="27"/>
  <c r="AA1633" i="27"/>
  <c r="Z1583" i="27"/>
  <c r="S1578" i="27"/>
  <c r="W1563" i="27"/>
  <c r="V1560" i="27"/>
  <c r="U1559" i="27"/>
  <c r="Y1552" i="27"/>
  <c r="Z1551" i="27"/>
  <c r="Y1550" i="27"/>
  <c r="W1549" i="27"/>
  <c r="U1548" i="27"/>
  <c r="V1547" i="27"/>
  <c r="X1546" i="27"/>
  <c r="W1545" i="27"/>
  <c r="U1544" i="27"/>
  <c r="T1543" i="27"/>
  <c r="U1542" i="27"/>
  <c r="S1541" i="27"/>
  <c r="S1539" i="27"/>
  <c r="AB1523" i="27"/>
  <c r="AA1521" i="27"/>
  <c r="Y1520" i="27"/>
  <c r="AA1519" i="27"/>
  <c r="Z1518" i="27"/>
  <c r="X1517" i="27"/>
  <c r="V1516" i="27"/>
  <c r="W1515" i="27"/>
  <c r="Y1514" i="27"/>
  <c r="W1513" i="27"/>
  <c r="U1512" i="27"/>
  <c r="T1511" i="27"/>
  <c r="W1510" i="27"/>
  <c r="X1509" i="27"/>
  <c r="AA1508" i="27"/>
  <c r="S1507" i="27"/>
  <c r="W1506" i="27"/>
  <c r="Y1505" i="27"/>
  <c r="V1503" i="27"/>
  <c r="AB1502" i="27"/>
  <c r="S1502" i="27"/>
  <c r="Z1501" i="27"/>
  <c r="V1500" i="27"/>
  <c r="AA1499" i="27"/>
  <c r="X1498" i="27"/>
  <c r="U1497" i="27"/>
  <c r="AA1496" i="27"/>
  <c r="S1496" i="27"/>
  <c r="Y1495" i="27"/>
  <c r="W1494" i="27"/>
  <c r="U1493" i="27"/>
  <c r="AA1492" i="27"/>
  <c r="S1492" i="27"/>
  <c r="Y1491" i="27"/>
  <c r="W1490" i="27"/>
  <c r="U1489" i="27"/>
  <c r="AA1488" i="27"/>
  <c r="S1488" i="27"/>
  <c r="Y1487" i="27"/>
  <c r="W1486" i="27"/>
  <c r="U1485" i="27"/>
  <c r="AA1484" i="27"/>
  <c r="S1484" i="27"/>
  <c r="Y1483" i="27"/>
  <c r="W1482" i="27"/>
  <c r="U1481" i="27"/>
  <c r="Z1480" i="27"/>
  <c r="X1479" i="27"/>
  <c r="V1478" i="27"/>
  <c r="AB1477" i="27"/>
  <c r="T1477" i="27"/>
  <c r="Z1476" i="27"/>
  <c r="X1475" i="27"/>
  <c r="V1474" i="27"/>
  <c r="AB1473" i="27"/>
  <c r="T1473" i="27"/>
  <c r="Z1472" i="27"/>
  <c r="X1471" i="27"/>
  <c r="V1470" i="27"/>
  <c r="AB1469" i="27"/>
  <c r="T1469" i="27"/>
  <c r="Z1468" i="27"/>
  <c r="X1467" i="27"/>
  <c r="V1466" i="27"/>
  <c r="AB1465" i="27"/>
  <c r="T1465" i="27"/>
  <c r="W1576" i="27"/>
  <c r="W1571" i="27"/>
  <c r="X1566" i="27"/>
  <c r="AB1554" i="27"/>
  <c r="Z1553" i="27"/>
  <c r="V1552" i="27"/>
  <c r="V1551" i="27"/>
  <c r="X1550" i="27"/>
  <c r="V1549" i="27"/>
  <c r="T1548" i="27"/>
  <c r="S1547" i="27"/>
  <c r="T1546" i="27"/>
  <c r="S1545" i="27"/>
  <c r="S1543" i="27"/>
  <c r="AB1527" i="27"/>
  <c r="AA1525" i="27"/>
  <c r="Y1524" i="27"/>
  <c r="AA1523" i="27"/>
  <c r="Z1522" i="27"/>
  <c r="X1521" i="27"/>
  <c r="V1520" i="27"/>
  <c r="W1519" i="27"/>
  <c r="Y1518" i="27"/>
  <c r="W1517" i="27"/>
  <c r="U1516" i="27"/>
  <c r="T1515" i="27"/>
  <c r="U1514" i="27"/>
  <c r="S1513" i="27"/>
  <c r="S1511" i="27"/>
  <c r="U1510" i="27"/>
  <c r="W1509" i="27"/>
  <c r="Y1508" i="27"/>
  <c r="U1506" i="27"/>
  <c r="X1505" i="27"/>
  <c r="AA1504" i="27"/>
  <c r="U1503" i="27"/>
  <c r="AA1502" i="27"/>
  <c r="Y1501" i="27"/>
  <c r="U1500" i="27"/>
  <c r="Z1499" i="27"/>
  <c r="V1498" i="27"/>
  <c r="T1497" i="27"/>
  <c r="Z1496" i="27"/>
  <c r="X1495" i="27"/>
  <c r="V1494" i="27"/>
  <c r="AB1493" i="27"/>
  <c r="T1493" i="27"/>
  <c r="Z1492" i="27"/>
  <c r="X1491" i="27"/>
  <c r="V1490" i="27"/>
  <c r="AB1489" i="27"/>
  <c r="T1489" i="27"/>
  <c r="Z1488" i="27"/>
  <c r="X1487" i="27"/>
  <c r="V1486" i="27"/>
  <c r="AB1485" i="27"/>
  <c r="T1485" i="27"/>
  <c r="Z1484" i="27"/>
  <c r="X1483" i="27"/>
  <c r="V1482" i="27"/>
  <c r="AB1481" i="27"/>
  <c r="T1481" i="27"/>
  <c r="Y1480" i="27"/>
  <c r="W1479" i="27"/>
  <c r="U1478" i="27"/>
  <c r="AA1477" i="27"/>
  <c r="S1477" i="27"/>
  <c r="Y1476" i="27"/>
  <c r="W1475" i="27"/>
  <c r="U1474" i="27"/>
  <c r="AA1473" i="27"/>
  <c r="S1473" i="27"/>
  <c r="Y1472" i="27"/>
  <c r="W1471" i="27"/>
  <c r="U1470" i="27"/>
  <c r="AA1469" i="27"/>
  <c r="S1469" i="27"/>
  <c r="Y1468" i="27"/>
  <c r="W1467" i="27"/>
  <c r="U1586" i="27"/>
  <c r="W1561" i="27"/>
  <c r="AA1555" i="27"/>
  <c r="W1554" i="27"/>
  <c r="Y1553" i="27"/>
  <c r="U1552" i="27"/>
  <c r="S1551" i="27"/>
  <c r="T1550" i="27"/>
  <c r="AB1531" i="27"/>
  <c r="AA1529" i="27"/>
  <c r="Y1528" i="27"/>
  <c r="AA1527" i="27"/>
  <c r="Z1526" i="27"/>
  <c r="X1525" i="27"/>
  <c r="V1524" i="27"/>
  <c r="W1523" i="27"/>
  <c r="Y1522" i="27"/>
  <c r="W1521" i="27"/>
  <c r="U1520" i="27"/>
  <c r="T1519" i="27"/>
  <c r="U1518" i="27"/>
  <c r="S1517" i="27"/>
  <c r="S1515" i="27"/>
  <c r="U1509" i="27"/>
  <c r="W1508" i="27"/>
  <c r="AB1507" i="27"/>
  <c r="S1506" i="27"/>
  <c r="W1505" i="27"/>
  <c r="Y1504" i="27"/>
  <c r="T1503" i="27"/>
  <c r="Z1502" i="27"/>
  <c r="AA1640" i="27"/>
  <c r="W1621" i="27"/>
  <c r="X1604" i="27"/>
  <c r="AB1591" i="27"/>
  <c r="Y1584" i="27"/>
  <c r="Y1579" i="27"/>
  <c r="U1574" i="27"/>
  <c r="U1569" i="27"/>
  <c r="U1564" i="27"/>
  <c r="AA1556" i="27"/>
  <c r="W1555" i="27"/>
  <c r="T1554" i="27"/>
  <c r="T1553" i="27"/>
  <c r="AB1535" i="27"/>
  <c r="AA1533" i="27"/>
  <c r="Y1532" i="27"/>
  <c r="AA1531" i="27"/>
  <c r="Z1530" i="27"/>
  <c r="X1529" i="27"/>
  <c r="V1528" i="27"/>
  <c r="W1527" i="27"/>
  <c r="Y1526" i="27"/>
  <c r="W1525" i="27"/>
  <c r="U1524" i="27"/>
  <c r="T1523" i="27"/>
  <c r="U1522" i="27"/>
  <c r="S1521" i="27"/>
  <c r="S1519" i="27"/>
  <c r="S1509" i="27"/>
  <c r="V1508" i="27"/>
  <c r="AA1507" i="27"/>
  <c r="U1505" i="27"/>
  <c r="W1504" i="27"/>
  <c r="AB1503" i="27"/>
  <c r="S1503" i="27"/>
  <c r="Y1502" i="27"/>
  <c r="W1501" i="27"/>
  <c r="AB1500" i="27"/>
  <c r="W1499" i="27"/>
  <c r="T1498" i="27"/>
  <c r="AA1497" i="27"/>
  <c r="X1496" i="27"/>
  <c r="V1495" i="27"/>
  <c r="AB1494" i="27"/>
  <c r="T1494" i="27"/>
  <c r="Z1493" i="27"/>
  <c r="X1492" i="27"/>
  <c r="V1491" i="27"/>
  <c r="AB1490" i="27"/>
  <c r="T1490" i="27"/>
  <c r="Z1489" i="27"/>
  <c r="X1488" i="27"/>
  <c r="V1487" i="27"/>
  <c r="AB1486" i="27"/>
  <c r="T1486" i="27"/>
  <c r="Z1485" i="27"/>
  <c r="X1484" i="27"/>
  <c r="V1483" i="27"/>
  <c r="AB1482" i="27"/>
  <c r="T1482" i="27"/>
  <c r="Z1481" i="27"/>
  <c r="W1480" i="27"/>
  <c r="U1479" i="27"/>
  <c r="AA1478" i="27"/>
  <c r="S1478" i="27"/>
  <c r="Y1477" i="27"/>
  <c r="W1476" i="27"/>
  <c r="U1475" i="27"/>
  <c r="AA1474" i="27"/>
  <c r="S1474" i="27"/>
  <c r="Y1473" i="27"/>
  <c r="W1472" i="27"/>
  <c r="U1471" i="27"/>
  <c r="AA1470" i="27"/>
  <c r="S1470" i="27"/>
  <c r="Y1469" i="27"/>
  <c r="W1468" i="27"/>
  <c r="U1467" i="27"/>
  <c r="AA1466" i="27"/>
  <c r="S1466" i="27"/>
  <c r="Y1465" i="27"/>
  <c r="W1464" i="27"/>
  <c r="V1463" i="27"/>
  <c r="AB1462" i="27"/>
  <c r="T1462" i="27"/>
  <c r="Z1461" i="27"/>
  <c r="X1460" i="27"/>
  <c r="V1459" i="27"/>
  <c r="AB1458" i="27"/>
  <c r="T1458" i="27"/>
  <c r="Z1457" i="27"/>
  <c r="X1456" i="27"/>
  <c r="V1455" i="27"/>
  <c r="U1454" i="27"/>
  <c r="AA1453" i="27"/>
  <c r="S1453" i="27"/>
  <c r="Y1452" i="27"/>
  <c r="W1451" i="27"/>
  <c r="U1450" i="27"/>
  <c r="AA1446" i="27"/>
  <c r="S1446" i="27"/>
  <c r="Z1445" i="27"/>
  <c r="Y1444" i="27"/>
  <c r="W1443" i="27"/>
  <c r="U1617" i="27"/>
  <c r="AA1598" i="27"/>
  <c r="AB1589" i="27"/>
  <c r="AA1572" i="27"/>
  <c r="AA1567" i="27"/>
  <c r="Z1557" i="27"/>
  <c r="Z1556" i="27"/>
  <c r="V1555" i="27"/>
  <c r="S1554" i="27"/>
  <c r="AB1539" i="27"/>
  <c r="AA1537" i="27"/>
  <c r="Y1536" i="27"/>
  <c r="AA1535" i="27"/>
  <c r="Z1534" i="27"/>
  <c r="X1533" i="27"/>
  <c r="V1532" i="27"/>
  <c r="W1531" i="27"/>
  <c r="Y1530" i="27"/>
  <c r="W1529" i="27"/>
  <c r="U1528" i="27"/>
  <c r="T1527" i="27"/>
  <c r="U1526" i="27"/>
  <c r="S1525" i="27"/>
  <c r="S1523" i="27"/>
  <c r="U1508" i="27"/>
  <c r="Y1507" i="27"/>
  <c r="S1505" i="27"/>
  <c r="V1504" i="27"/>
  <c r="AA1503" i="27"/>
  <c r="X1502" i="27"/>
  <c r="V1501" i="27"/>
  <c r="Z1500" i="27"/>
  <c r="V1499" i="27"/>
  <c r="AB1498" i="27"/>
  <c r="S1498" i="27"/>
  <c r="Z1497" i="27"/>
  <c r="W1496" i="27"/>
  <c r="U1495" i="27"/>
  <c r="AA1494" i="27"/>
  <c r="S1494" i="27"/>
  <c r="Y1493" i="27"/>
  <c r="W1492" i="27"/>
  <c r="U1491" i="27"/>
  <c r="AA1490" i="27"/>
  <c r="S1490" i="27"/>
  <c r="Y1489" i="27"/>
  <c r="W1488" i="27"/>
  <c r="U1487" i="27"/>
  <c r="AA1486" i="27"/>
  <c r="S1486" i="27"/>
  <c r="Y1485" i="27"/>
  <c r="W1484" i="27"/>
  <c r="U1483" i="27"/>
  <c r="AA1482" i="27"/>
  <c r="S1482" i="27"/>
  <c r="Y1481" i="27"/>
  <c r="V1480" i="27"/>
  <c r="AB1479" i="27"/>
  <c r="T1479" i="27"/>
  <c r="Z1478" i="27"/>
  <c r="X1477" i="27"/>
  <c r="V1476" i="27"/>
  <c r="AB1475" i="27"/>
  <c r="T1475" i="27"/>
  <c r="Z1474" i="27"/>
  <c r="X1473" i="27"/>
  <c r="V1472" i="27"/>
  <c r="AB1471" i="27"/>
  <c r="T1471" i="27"/>
  <c r="Z1470" i="27"/>
  <c r="X1469" i="27"/>
  <c r="V1468" i="27"/>
  <c r="AB1467" i="27"/>
  <c r="T1467" i="27"/>
  <c r="Z1466" i="27"/>
  <c r="X1465" i="27"/>
  <c r="V1464" i="27"/>
  <c r="U1463" i="27"/>
  <c r="AA1462" i="27"/>
  <c r="S1462" i="27"/>
  <c r="Y1461" i="27"/>
  <c r="W1460" i="27"/>
  <c r="U1459" i="27"/>
  <c r="AA1458" i="27"/>
  <c r="S1458" i="27"/>
  <c r="Y1457" i="27"/>
  <c r="W1456" i="27"/>
  <c r="U1455" i="27"/>
  <c r="AB1454" i="27"/>
  <c r="T1454" i="27"/>
  <c r="Z1453" i="27"/>
  <c r="X1452" i="27"/>
  <c r="V1451" i="27"/>
  <c r="AB1450" i="27"/>
  <c r="T1450" i="27"/>
  <c r="Z1446" i="27"/>
  <c r="Y1445" i="27"/>
  <c r="X1444" i="27"/>
  <c r="V1443" i="27"/>
  <c r="T1624" i="27"/>
  <c r="X1613" i="27"/>
  <c r="V1596" i="27"/>
  <c r="Z1587" i="27"/>
  <c r="T1582" i="27"/>
  <c r="W1562" i="27"/>
  <c r="AA1558" i="27"/>
  <c r="W1557" i="27"/>
  <c r="V1556" i="27"/>
  <c r="Z1560" i="27"/>
  <c r="V1559" i="27"/>
  <c r="T1558" i="27"/>
  <c r="AA1551" i="27"/>
  <c r="AB1550" i="27"/>
  <c r="Z1549" i="27"/>
  <c r="X1548" i="27"/>
  <c r="Z1547" i="27"/>
  <c r="Y1546" i="27"/>
  <c r="X1545" i="27"/>
  <c r="V1544" i="27"/>
  <c r="W1543" i="27"/>
  <c r="Y1542" i="27"/>
  <c r="W1541" i="27"/>
  <c r="U1540" i="27"/>
  <c r="T1539" i="27"/>
  <c r="U1538" i="27"/>
  <c r="S1537" i="27"/>
  <c r="S1535" i="27"/>
  <c r="AB1519" i="27"/>
  <c r="AA1517" i="27"/>
  <c r="Y1516" i="27"/>
  <c r="AA1515" i="27"/>
  <c r="Z1514" i="27"/>
  <c r="X1513" i="27"/>
  <c r="V1512" i="27"/>
  <c r="W1511" i="27"/>
  <c r="Y1510" i="27"/>
  <c r="Y1509" i="27"/>
  <c r="T1507" i="27"/>
  <c r="Y1506" i="27"/>
  <c r="AA1505" i="27"/>
  <c r="W1503" i="27"/>
  <c r="T1502" i="27"/>
  <c r="AA1501" i="27"/>
  <c r="W1500" i="27"/>
  <c r="AB1499" i="27"/>
  <c r="S1499" i="27"/>
  <c r="Y1498" i="27"/>
  <c r="W1497" i="27"/>
  <c r="AB1496" i="27"/>
  <c r="T1496" i="27"/>
  <c r="Z1495" i="27"/>
  <c r="X1494" i="27"/>
  <c r="V1493" i="27"/>
  <c r="AB1492" i="27"/>
  <c r="T1492" i="27"/>
  <c r="Z1491" i="27"/>
  <c r="X1490" i="27"/>
  <c r="V1489" i="27"/>
  <c r="AB1609" i="27"/>
  <c r="Y1570" i="27"/>
  <c r="AB1546" i="27"/>
  <c r="AA1543" i="27"/>
  <c r="Y1540" i="27"/>
  <c r="V1536" i="27"/>
  <c r="U1532" i="27"/>
  <c r="S1529" i="27"/>
  <c r="Y1512" i="27"/>
  <c r="AA1509" i="27"/>
  <c r="AA1506" i="27"/>
  <c r="Z1503" i="27"/>
  <c r="S1501" i="27"/>
  <c r="S1485" i="27"/>
  <c r="U1484" i="27"/>
  <c r="Z1483" i="27"/>
  <c r="Z1482" i="27"/>
  <c r="AA1481" i="27"/>
  <c r="T1476" i="27"/>
  <c r="Y1475" i="27"/>
  <c r="Y1474" i="27"/>
  <c r="Z1473" i="27"/>
  <c r="AB1472" i="27"/>
  <c r="T1468" i="27"/>
  <c r="Y1467" i="27"/>
  <c r="Y1466" i="27"/>
  <c r="U1464" i="27"/>
  <c r="AB1463" i="27"/>
  <c r="V1462" i="27"/>
  <c r="X1461" i="27"/>
  <c r="T1460" i="27"/>
  <c r="Z1459" i="27"/>
  <c r="V1457" i="27"/>
  <c r="AB1456" i="27"/>
  <c r="X1455" i="27"/>
  <c r="V1453" i="27"/>
  <c r="AA1452" i="27"/>
  <c r="U1451" i="27"/>
  <c r="Z1450" i="27"/>
  <c r="T1446" i="27"/>
  <c r="W1445" i="27"/>
  <c r="T1444" i="27"/>
  <c r="Z1443" i="27"/>
  <c r="W1442" i="27"/>
  <c r="U1441" i="27"/>
  <c r="AA1440" i="27"/>
  <c r="S1440" i="27"/>
  <c r="Y1439" i="27"/>
  <c r="W1438" i="27"/>
  <c r="U1437" i="27"/>
  <c r="AA1436" i="27"/>
  <c r="S1436" i="27"/>
  <c r="Y1435" i="27"/>
  <c r="W1434" i="27"/>
  <c r="U1433" i="27"/>
  <c r="AA1432" i="27"/>
  <c r="S1432" i="27"/>
  <c r="Y1431" i="27"/>
  <c r="W1430" i="27"/>
  <c r="U1429" i="27"/>
  <c r="AA1428" i="27"/>
  <c r="S1428" i="27"/>
  <c r="Y1427" i="27"/>
  <c r="W1426" i="27"/>
  <c r="U1425" i="27"/>
  <c r="AA1424" i="27"/>
  <c r="S1424" i="27"/>
  <c r="Y1423" i="27"/>
  <c r="W1422" i="27"/>
  <c r="U1421" i="27"/>
  <c r="AA1420" i="27"/>
  <c r="S1420" i="27"/>
  <c r="Y1419" i="27"/>
  <c r="W1418" i="27"/>
  <c r="U1417" i="27"/>
  <c r="AA1416" i="27"/>
  <c r="S1416" i="27"/>
  <c r="Y1415" i="27"/>
  <c r="W1414" i="27"/>
  <c r="U1413" i="27"/>
  <c r="AA1412" i="27"/>
  <c r="U1557" i="27"/>
  <c r="V1540" i="27"/>
  <c r="U1536" i="27"/>
  <c r="S1527" i="27"/>
  <c r="Z1506" i="27"/>
  <c r="Y1503" i="27"/>
  <c r="AB1491" i="27"/>
  <c r="AA1489" i="27"/>
  <c r="AB1488" i="27"/>
  <c r="T1484" i="27"/>
  <c r="W1483" i="27"/>
  <c r="Y1482" i="27"/>
  <c r="X1481" i="27"/>
  <c r="AA1480" i="27"/>
  <c r="S1476" i="27"/>
  <c r="V1475" i="27"/>
  <c r="X1474" i="27"/>
  <c r="W1473" i="27"/>
  <c r="AA1472" i="27"/>
  <c r="S1468" i="27"/>
  <c r="V1467" i="27"/>
  <c r="X1466" i="27"/>
  <c r="AA1465" i="27"/>
  <c r="T1464" i="27"/>
  <c r="AA1463" i="27"/>
  <c r="U1462" i="27"/>
  <c r="W1461" i="27"/>
  <c r="S1460" i="27"/>
  <c r="Y1459" i="27"/>
  <c r="U1457" i="27"/>
  <c r="AA1456" i="27"/>
  <c r="W1455" i="27"/>
  <c r="AA1454" i="27"/>
  <c r="U1453" i="27"/>
  <c r="Z1452" i="27"/>
  <c r="T1451" i="27"/>
  <c r="Y1450" i="27"/>
  <c r="V1445" i="27"/>
  <c r="S1444" i="27"/>
  <c r="Y1443" i="27"/>
  <c r="V1442" i="27"/>
  <c r="AB1441" i="27"/>
  <c r="T1441" i="27"/>
  <c r="Z1440" i="27"/>
  <c r="X1439" i="27"/>
  <c r="V1438" i="27"/>
  <c r="AB1437" i="27"/>
  <c r="T1437" i="27"/>
  <c r="Z1436" i="27"/>
  <c r="X1435" i="27"/>
  <c r="V1434" i="27"/>
  <c r="AB1433" i="27"/>
  <c r="T1433" i="27"/>
  <c r="Z1432" i="27"/>
  <c r="X1431" i="27"/>
  <c r="V1430" i="27"/>
  <c r="AB1429" i="27"/>
  <c r="T1429" i="27"/>
  <c r="Z1428" i="27"/>
  <c r="X1427" i="27"/>
  <c r="V1426" i="27"/>
  <c r="AB1425" i="27"/>
  <c r="T1425" i="27"/>
  <c r="Z1424" i="27"/>
  <c r="X1423" i="27"/>
  <c r="V1422" i="27"/>
  <c r="AB1421" i="27"/>
  <c r="T1421" i="27"/>
  <c r="Z1420" i="27"/>
  <c r="X1419" i="27"/>
  <c r="V1418" i="27"/>
  <c r="AB1417" i="27"/>
  <c r="T1417" i="27"/>
  <c r="Z1416" i="27"/>
  <c r="X1415" i="27"/>
  <c r="V1414" i="27"/>
  <c r="AB1413" i="27"/>
  <c r="T1413" i="27"/>
  <c r="Z1412" i="27"/>
  <c r="X1411" i="27"/>
  <c r="V1410" i="27"/>
  <c r="AB1409" i="27"/>
  <c r="T1409" i="27"/>
  <c r="Z1408" i="27"/>
  <c r="X1407" i="27"/>
  <c r="Y1544" i="27"/>
  <c r="AA1541" i="27"/>
  <c r="X1537" i="27"/>
  <c r="W1533" i="27"/>
  <c r="AB1515" i="27"/>
  <c r="W1507" i="27"/>
  <c r="U1504" i="27"/>
  <c r="AB1495" i="27"/>
  <c r="AA1493" i="27"/>
  <c r="Y1492" i="27"/>
  <c r="AA1491" i="27"/>
  <c r="Z1490" i="27"/>
  <c r="X1489" i="27"/>
  <c r="Y1488" i="27"/>
  <c r="AB1487" i="27"/>
  <c r="T1483" i="27"/>
  <c r="X1482" i="27"/>
  <c r="W1481" i="27"/>
  <c r="X1480" i="27"/>
  <c r="AA1479" i="27"/>
  <c r="S1475" i="27"/>
  <c r="W1474" i="27"/>
  <c r="V1473" i="27"/>
  <c r="X1472" i="27"/>
  <c r="AA1471" i="27"/>
  <c r="S1467" i="27"/>
  <c r="W1466" i="27"/>
  <c r="Z1465" i="27"/>
  <c r="S1464" i="27"/>
  <c r="Z1463" i="27"/>
  <c r="V1461" i="27"/>
  <c r="AB1460" i="27"/>
  <c r="X1459" i="27"/>
  <c r="Z1458" i="27"/>
  <c r="T1457" i="27"/>
  <c r="Z1456" i="27"/>
  <c r="T1455" i="27"/>
  <c r="Z1454" i="27"/>
  <c r="T1453" i="27"/>
  <c r="W1452" i="27"/>
  <c r="S1451" i="27"/>
  <c r="X1450" i="27"/>
  <c r="AB1446" i="27"/>
  <c r="U1445" i="27"/>
  <c r="AB1444" i="27"/>
  <c r="X1443" i="27"/>
  <c r="U1442" i="27"/>
  <c r="AA1441" i="27"/>
  <c r="S1441" i="27"/>
  <c r="Y1440" i="27"/>
  <c r="W1439" i="27"/>
  <c r="U1438" i="27"/>
  <c r="AA1437" i="27"/>
  <c r="S1437" i="27"/>
  <c r="Y1436" i="27"/>
  <c r="W1435" i="27"/>
  <c r="U1434" i="27"/>
  <c r="AA1433" i="27"/>
  <c r="S1433" i="27"/>
  <c r="Y1432" i="27"/>
  <c r="W1431" i="27"/>
  <c r="U1430" i="27"/>
  <c r="AA1429" i="27"/>
  <c r="S1429" i="27"/>
  <c r="Y1428" i="27"/>
  <c r="W1427" i="27"/>
  <c r="U1426" i="27"/>
  <c r="AA1425" i="27"/>
  <c r="S1425" i="27"/>
  <c r="Y1424" i="27"/>
  <c r="W1423" i="27"/>
  <c r="U1422" i="27"/>
  <c r="AA1421" i="27"/>
  <c r="S1421" i="27"/>
  <c r="Y1420" i="27"/>
  <c r="W1419" i="27"/>
  <c r="U1418" i="27"/>
  <c r="AA1417" i="27"/>
  <c r="S1417" i="27"/>
  <c r="Y1416" i="27"/>
  <c r="W1415" i="27"/>
  <c r="U1414" i="27"/>
  <c r="AA1413" i="27"/>
  <c r="S1413" i="27"/>
  <c r="Y1575" i="27"/>
  <c r="AA1547" i="27"/>
  <c r="X1541" i="27"/>
  <c r="W1537" i="27"/>
  <c r="S1533" i="27"/>
  <c r="U1530" i="27"/>
  <c r="AA1513" i="27"/>
  <c r="Z1510" i="27"/>
  <c r="U1507" i="27"/>
  <c r="S1504" i="27"/>
  <c r="AA1498" i="27"/>
  <c r="AB1497" i="27"/>
  <c r="Y1496" i="27"/>
  <c r="AA1495" i="27"/>
  <c r="Z1494" i="27"/>
  <c r="X1493" i="27"/>
  <c r="V1492" i="27"/>
  <c r="W1491" i="27"/>
  <c r="Y1490" i="27"/>
  <c r="W1489" i="27"/>
  <c r="V1488" i="27"/>
  <c r="AA1487" i="27"/>
  <c r="S1483" i="27"/>
  <c r="U1482" i="27"/>
  <c r="V1481" i="27"/>
  <c r="U1480" i="27"/>
  <c r="Z1479" i="27"/>
  <c r="AB1478" i="27"/>
  <c r="T1474" i="27"/>
  <c r="U1473" i="27"/>
  <c r="U1472" i="27"/>
  <c r="Z1471" i="27"/>
  <c r="AB1470" i="27"/>
  <c r="U1466" i="27"/>
  <c r="W1465" i="27"/>
  <c r="AB1464" i="27"/>
  <c r="Y1463" i="27"/>
  <c r="U1461" i="27"/>
  <c r="AA1460" i="27"/>
  <c r="W1459" i="27"/>
  <c r="Y1458" i="27"/>
  <c r="S1457" i="27"/>
  <c r="Y1456" i="27"/>
  <c r="S1455" i="27"/>
  <c r="Y1454" i="27"/>
  <c r="V1452" i="27"/>
  <c r="AB1451" i="27"/>
  <c r="W1450" i="27"/>
  <c r="Y1446" i="27"/>
  <c r="T1445" i="27"/>
  <c r="AA1444" i="27"/>
  <c r="U1443" i="27"/>
  <c r="AB1442" i="27"/>
  <c r="T1442" i="27"/>
  <c r="Z1441" i="27"/>
  <c r="X1440" i="27"/>
  <c r="V1439" i="27"/>
  <c r="AB1438" i="27"/>
  <c r="T1438" i="27"/>
  <c r="Z1437" i="27"/>
  <c r="X1436" i="27"/>
  <c r="V1435" i="27"/>
  <c r="AB1434" i="27"/>
  <c r="T1434" i="27"/>
  <c r="Z1433" i="27"/>
  <c r="X1432" i="27"/>
  <c r="V1431" i="27"/>
  <c r="AB1430" i="27"/>
  <c r="T1430" i="27"/>
  <c r="Z1429" i="27"/>
  <c r="X1428" i="27"/>
  <c r="V1427" i="27"/>
  <c r="AB1426" i="27"/>
  <c r="T1426" i="27"/>
  <c r="Z1425" i="27"/>
  <c r="X1424" i="27"/>
  <c r="V1423" i="27"/>
  <c r="AB1422" i="27"/>
  <c r="T1422" i="27"/>
  <c r="Z1421" i="27"/>
  <c r="X1420" i="27"/>
  <c r="V1419" i="27"/>
  <c r="AB1418" i="27"/>
  <c r="T1418" i="27"/>
  <c r="Z1417" i="27"/>
  <c r="X1416" i="27"/>
  <c r="V1415" i="27"/>
  <c r="AB1414" i="27"/>
  <c r="T1414" i="27"/>
  <c r="Z1413" i="27"/>
  <c r="X1412" i="27"/>
  <c r="V1411" i="27"/>
  <c r="AB1410" i="27"/>
  <c r="T1410" i="27"/>
  <c r="Z1409" i="27"/>
  <c r="X1408" i="27"/>
  <c r="V1407" i="27"/>
  <c r="AB1406" i="27"/>
  <c r="T1406" i="27"/>
  <c r="Z1405" i="27"/>
  <c r="X1404" i="27"/>
  <c r="V1403" i="27"/>
  <c r="AB1402" i="27"/>
  <c r="T1402" i="27"/>
  <c r="Z1401" i="27"/>
  <c r="X1400" i="27"/>
  <c r="V1399" i="27"/>
  <c r="Y1558" i="27"/>
  <c r="Z1538" i="27"/>
  <c r="Y1534" i="27"/>
  <c r="X1499" i="27"/>
  <c r="Z1498" i="27"/>
  <c r="Y1497" i="27"/>
  <c r="V1496" i="27"/>
  <c r="W1495" i="27"/>
  <c r="Y1494" i="27"/>
  <c r="W1493" i="27"/>
  <c r="U1492" i="27"/>
  <c r="T1491" i="27"/>
  <c r="U1490" i="27"/>
  <c r="S1489" i="27"/>
  <c r="U1488" i="27"/>
  <c r="Z1487" i="27"/>
  <c r="Z1486" i="27"/>
  <c r="AA1485" i="27"/>
  <c r="S1481" i="27"/>
  <c r="T1480" i="27"/>
  <c r="Y1479" i="27"/>
  <c r="Y1478" i="27"/>
  <c r="Z1477" i="27"/>
  <c r="AB1476" i="27"/>
  <c r="T1472" i="27"/>
  <c r="Y1471" i="27"/>
  <c r="Y1470" i="27"/>
  <c r="Z1469" i="27"/>
  <c r="AB1468" i="27"/>
  <c r="T1466" i="27"/>
  <c r="V1465" i="27"/>
  <c r="AA1464" i="27"/>
  <c r="S1594" i="27"/>
  <c r="X1565" i="27"/>
  <c r="AA1545" i="27"/>
  <c r="Z1542" i="27"/>
  <c r="Y1538" i="27"/>
  <c r="U1534" i="27"/>
  <c r="T1531" i="27"/>
  <c r="AB1511" i="27"/>
  <c r="S1508" i="27"/>
  <c r="AB1501" i="27"/>
  <c r="Y1500" i="27"/>
  <c r="U1499" i="27"/>
  <c r="U1498" i="27"/>
  <c r="X1497" i="27"/>
  <c r="U1496" i="27"/>
  <c r="T1495" i="27"/>
  <c r="U1494" i="27"/>
  <c r="S1493" i="27"/>
  <c r="S1491" i="27"/>
  <c r="T1488" i="27"/>
  <c r="W1487" i="27"/>
  <c r="Y1486" i="27"/>
  <c r="X1485" i="27"/>
  <c r="AB1484" i="27"/>
  <c r="S1480" i="27"/>
  <c r="V1479" i="27"/>
  <c r="X1478" i="27"/>
  <c r="W1477" i="27"/>
  <c r="AA1476" i="27"/>
  <c r="S1472" i="27"/>
  <c r="V1471" i="27"/>
  <c r="X1470" i="27"/>
  <c r="W1469" i="27"/>
  <c r="AA1468" i="27"/>
  <c r="U1465" i="27"/>
  <c r="Z1464" i="27"/>
  <c r="W1463" i="27"/>
  <c r="Y1462" i="27"/>
  <c r="S1461" i="27"/>
  <c r="Y1460" i="27"/>
  <c r="S1459" i="27"/>
  <c r="W1458" i="27"/>
  <c r="AA1457" i="27"/>
  <c r="U1456" i="27"/>
  <c r="AA1455" i="27"/>
  <c r="T1535" i="27"/>
  <c r="U1502" i="27"/>
  <c r="S1531" i="27"/>
  <c r="V1484" i="27"/>
  <c r="X1476" i="27"/>
  <c r="AA1467" i="27"/>
  <c r="Y1464" i="27"/>
  <c r="S1463" i="27"/>
  <c r="AB1457" i="27"/>
  <c r="T1456" i="27"/>
  <c r="Y1455" i="27"/>
  <c r="V1454" i="27"/>
  <c r="X1453" i="27"/>
  <c r="T1452" i="27"/>
  <c r="Y1451" i="27"/>
  <c r="S1450" i="27"/>
  <c r="U1446" i="27"/>
  <c r="S1445" i="27"/>
  <c r="V1444" i="27"/>
  <c r="T1443" i="27"/>
  <c r="Z1442" i="27"/>
  <c r="Y1441" i="27"/>
  <c r="AB1440" i="27"/>
  <c r="T1436" i="27"/>
  <c r="U1435" i="27"/>
  <c r="Z1434" i="27"/>
  <c r="Y1433" i="27"/>
  <c r="AB1432" i="27"/>
  <c r="T1428" i="27"/>
  <c r="U1427" i="27"/>
  <c r="Z1426" i="27"/>
  <c r="Y1425" i="27"/>
  <c r="AB1424" i="27"/>
  <c r="T1420" i="27"/>
  <c r="U1419" i="27"/>
  <c r="Z1418" i="27"/>
  <c r="Y1417" i="27"/>
  <c r="AB1416" i="27"/>
  <c r="U1412" i="27"/>
  <c r="AA1411" i="27"/>
  <c r="U1410" i="27"/>
  <c r="X1409" i="27"/>
  <c r="S1408" i="27"/>
  <c r="Y1407" i="27"/>
  <c r="S1406" i="27"/>
  <c r="X1405" i="27"/>
  <c r="U1404" i="27"/>
  <c r="AA1403" i="27"/>
  <c r="W1402" i="27"/>
  <c r="AB1401" i="27"/>
  <c r="S1401" i="27"/>
  <c r="Y1400" i="27"/>
  <c r="U1399" i="27"/>
  <c r="AA1398" i="27"/>
  <c r="S1398" i="27"/>
  <c r="Y1397" i="27"/>
  <c r="W1396" i="27"/>
  <c r="U1395" i="27"/>
  <c r="AA1394" i="27"/>
  <c r="S1394" i="27"/>
  <c r="Y1393" i="27"/>
  <c r="W1392" i="27"/>
  <c r="U1391" i="27"/>
  <c r="AA1390" i="27"/>
  <c r="S1390" i="27"/>
  <c r="Y1389" i="27"/>
  <c r="W1388" i="27"/>
  <c r="U1387" i="27"/>
  <c r="AA1386" i="27"/>
  <c r="S1386" i="27"/>
  <c r="Y1385" i="27"/>
  <c r="W1384" i="27"/>
  <c r="U1383" i="27"/>
  <c r="AA1382" i="27"/>
  <c r="S1382" i="27"/>
  <c r="Y1381" i="27"/>
  <c r="W1380" i="27"/>
  <c r="U1379" i="27"/>
  <c r="AA1378" i="27"/>
  <c r="S1378" i="27"/>
  <c r="Y1377" i="27"/>
  <c r="W1376" i="27"/>
  <c r="U1375" i="27"/>
  <c r="AA1374" i="27"/>
  <c r="S1374" i="27"/>
  <c r="Y1373" i="27"/>
  <c r="Y1559" i="27"/>
  <c r="AA1511" i="27"/>
  <c r="T1499" i="27"/>
  <c r="W1485" i="27"/>
  <c r="U1476" i="27"/>
  <c r="S1471" i="27"/>
  <c r="Z1467" i="27"/>
  <c r="X1464" i="27"/>
  <c r="X1458" i="27"/>
  <c r="X1457" i="27"/>
  <c r="S1456" i="27"/>
  <c r="S1454" i="27"/>
  <c r="W1453" i="27"/>
  <c r="S1452" i="27"/>
  <c r="X1451" i="27"/>
  <c r="U1444" i="27"/>
  <c r="S1443" i="27"/>
  <c r="Y1442" i="27"/>
  <c r="X1441" i="27"/>
  <c r="W1440" i="27"/>
  <c r="AB1439" i="27"/>
  <c r="T1435" i="27"/>
  <c r="Y1434" i="27"/>
  <c r="X1433" i="27"/>
  <c r="W1432" i="27"/>
  <c r="AB1431" i="27"/>
  <c r="T1427" i="27"/>
  <c r="Y1426" i="27"/>
  <c r="X1425" i="27"/>
  <c r="W1424" i="27"/>
  <c r="AB1423" i="27"/>
  <c r="T1419" i="27"/>
  <c r="Y1418" i="27"/>
  <c r="X1417" i="27"/>
  <c r="W1416" i="27"/>
  <c r="AB1415" i="27"/>
  <c r="T1412" i="27"/>
  <c r="Z1411" i="27"/>
  <c r="S1410" i="27"/>
  <c r="W1409" i="27"/>
  <c r="AB1408" i="27"/>
  <c r="W1407" i="27"/>
  <c r="AA1406" i="27"/>
  <c r="W1405" i="27"/>
  <c r="T1404" i="27"/>
  <c r="Z1403" i="27"/>
  <c r="V1402" i="27"/>
  <c r="AA1401" i="27"/>
  <c r="W1400" i="27"/>
  <c r="T1399" i="27"/>
  <c r="Z1398" i="27"/>
  <c r="X1397" i="27"/>
  <c r="V1396" i="27"/>
  <c r="AB1395" i="27"/>
  <c r="T1395" i="27"/>
  <c r="Z1394" i="27"/>
  <c r="X1393" i="27"/>
  <c r="V1392" i="27"/>
  <c r="AB1391" i="27"/>
  <c r="T1391" i="27"/>
  <c r="Z1390" i="27"/>
  <c r="X1389" i="27"/>
  <c r="V1388" i="27"/>
  <c r="AB1387" i="27"/>
  <c r="T1387" i="27"/>
  <c r="Z1386" i="27"/>
  <c r="X1385" i="27"/>
  <c r="V1384" i="27"/>
  <c r="AB1383" i="27"/>
  <c r="T1383" i="27"/>
  <c r="Z1382" i="27"/>
  <c r="X1381" i="27"/>
  <c r="V1380" i="27"/>
  <c r="AB1379" i="27"/>
  <c r="T1379" i="27"/>
  <c r="Z1378" i="27"/>
  <c r="X1377" i="27"/>
  <c r="V1376" i="27"/>
  <c r="AB1375" i="27"/>
  <c r="T1375" i="27"/>
  <c r="Z1374" i="27"/>
  <c r="X1373" i="27"/>
  <c r="V1372" i="27"/>
  <c r="AB1371" i="27"/>
  <c r="T1371" i="27"/>
  <c r="V1485" i="27"/>
  <c r="V1477" i="27"/>
  <c r="X1468" i="27"/>
  <c r="AB1459" i="27"/>
  <c r="V1458" i="27"/>
  <c r="W1457" i="27"/>
  <c r="X1442" i="27"/>
  <c r="W1441" i="27"/>
  <c r="V1440" i="27"/>
  <c r="AA1439" i="27"/>
  <c r="S1435" i="27"/>
  <c r="X1434" i="27"/>
  <c r="W1433" i="27"/>
  <c r="V1432" i="27"/>
  <c r="AA1431" i="27"/>
  <c r="S1427" i="27"/>
  <c r="X1426" i="27"/>
  <c r="W1425" i="27"/>
  <c r="V1424" i="27"/>
  <c r="AA1423" i="27"/>
  <c r="S1419" i="27"/>
  <c r="X1418" i="27"/>
  <c r="W1417" i="27"/>
  <c r="V1416" i="27"/>
  <c r="AA1415" i="27"/>
  <c r="S1412" i="27"/>
  <c r="Y1411" i="27"/>
  <c r="V1409" i="27"/>
  <c r="AA1408" i="27"/>
  <c r="U1407" i="27"/>
  <c r="Z1406" i="27"/>
  <c r="V1405" i="27"/>
  <c r="AB1404" i="27"/>
  <c r="S1404" i="27"/>
  <c r="Y1403" i="27"/>
  <c r="U1402" i="27"/>
  <c r="Y1401" i="27"/>
  <c r="V1400" i="27"/>
  <c r="AB1399" i="27"/>
  <c r="S1399" i="27"/>
  <c r="Y1398" i="27"/>
  <c r="W1397" i="27"/>
  <c r="U1396" i="27"/>
  <c r="AA1395" i="27"/>
  <c r="S1395" i="27"/>
  <c r="Y1394" i="27"/>
  <c r="W1393" i="27"/>
  <c r="U1392" i="27"/>
  <c r="AA1391" i="27"/>
  <c r="S1391" i="27"/>
  <c r="Y1390" i="27"/>
  <c r="W1389" i="27"/>
  <c r="U1388" i="27"/>
  <c r="AA1387" i="27"/>
  <c r="S1387" i="27"/>
  <c r="Y1386" i="27"/>
  <c r="W1385" i="27"/>
  <c r="U1384" i="27"/>
  <c r="AA1383" i="27"/>
  <c r="S1383" i="27"/>
  <c r="Y1382" i="27"/>
  <c r="W1381" i="27"/>
  <c r="U1380" i="27"/>
  <c r="AA1379" i="27"/>
  <c r="S1379" i="27"/>
  <c r="Y1378" i="27"/>
  <c r="W1377" i="27"/>
  <c r="U1376" i="27"/>
  <c r="AA1375" i="27"/>
  <c r="S1375" i="27"/>
  <c r="Y1374" i="27"/>
  <c r="W1373" i="27"/>
  <c r="U1372" i="27"/>
  <c r="AA1371" i="27"/>
  <c r="S1371" i="27"/>
  <c r="Y1370" i="27"/>
  <c r="W1580" i="27"/>
  <c r="AB1543" i="27"/>
  <c r="X1500" i="27"/>
  <c r="S1497" i="27"/>
  <c r="X1486" i="27"/>
  <c r="U1477" i="27"/>
  <c r="U1468" i="27"/>
  <c r="S1465" i="27"/>
  <c r="Z1460" i="27"/>
  <c r="AA1459" i="27"/>
  <c r="U1458" i="27"/>
  <c r="AB1548" i="27"/>
  <c r="W1535" i="27"/>
  <c r="W1502" i="27"/>
  <c r="T1501" i="27"/>
  <c r="S1487" i="27"/>
  <c r="AA1483" i="27"/>
  <c r="AA1475" i="27"/>
  <c r="W1470" i="27"/>
  <c r="AB1466" i="27"/>
  <c r="X1463" i="27"/>
  <c r="X1462" i="27"/>
  <c r="T1461" i="27"/>
  <c r="AB1455" i="27"/>
  <c r="X1454" i="27"/>
  <c r="AB1453" i="27"/>
  <c r="AB1452" i="27"/>
  <c r="AA1451" i="27"/>
  <c r="AA1450" i="27"/>
  <c r="W1446" i="27"/>
  <c r="AA1445" i="27"/>
  <c r="Z1444" i="27"/>
  <c r="AB1443" i="27"/>
  <c r="S1439" i="27"/>
  <c r="X1438" i="27"/>
  <c r="W1437" i="27"/>
  <c r="V1436" i="27"/>
  <c r="AA1435" i="27"/>
  <c r="S1431" i="27"/>
  <c r="X1430" i="27"/>
  <c r="W1429" i="27"/>
  <c r="V1428" i="27"/>
  <c r="AA1427" i="27"/>
  <c r="S1423" i="27"/>
  <c r="X1422" i="27"/>
  <c r="W1421" i="27"/>
  <c r="V1420" i="27"/>
  <c r="AA1419" i="27"/>
  <c r="S1415" i="27"/>
  <c r="X1414" i="27"/>
  <c r="W1413" i="27"/>
  <c r="W1412" i="27"/>
  <c r="S1411" i="27"/>
  <c r="X1410" i="27"/>
  <c r="AA1409" i="27"/>
  <c r="U1408" i="27"/>
  <c r="AA1407" i="27"/>
  <c r="V1406" i="27"/>
  <c r="AA1405" i="27"/>
  <c r="W1404" i="27"/>
  <c r="T1403" i="27"/>
  <c r="Y1402" i="27"/>
  <c r="U1401" i="27"/>
  <c r="AA1400" i="27"/>
  <c r="X1399" i="27"/>
  <c r="U1398" i="27"/>
  <c r="AA1397" i="27"/>
  <c r="S1397" i="27"/>
  <c r="Y1396" i="27"/>
  <c r="W1395" i="27"/>
  <c r="U1394" i="27"/>
  <c r="AA1393" i="27"/>
  <c r="S1393" i="27"/>
  <c r="Y1392" i="27"/>
  <c r="W1391" i="27"/>
  <c r="U1390" i="27"/>
  <c r="AA1389" i="27"/>
  <c r="S1389" i="27"/>
  <c r="Y1388" i="27"/>
  <c r="W1387" i="27"/>
  <c r="U1386" i="27"/>
  <c r="AA1385" i="27"/>
  <c r="S1385" i="27"/>
  <c r="Y1384" i="27"/>
  <c r="W1383" i="27"/>
  <c r="U1382" i="27"/>
  <c r="AA1381" i="27"/>
  <c r="S1381" i="27"/>
  <c r="Y1380" i="27"/>
  <c r="W1379" i="27"/>
  <c r="U1378" i="27"/>
  <c r="AA1377" i="27"/>
  <c r="S1377" i="27"/>
  <c r="Y1376" i="27"/>
  <c r="T1487" i="27"/>
  <c r="AA1461" i="27"/>
  <c r="V1456" i="27"/>
  <c r="Y1453" i="27"/>
  <c r="T1440" i="27"/>
  <c r="AA1434" i="27"/>
  <c r="AA1430" i="27"/>
  <c r="Y1429" i="27"/>
  <c r="W1428" i="27"/>
  <c r="T1424" i="27"/>
  <c r="AA1418" i="27"/>
  <c r="AA1414" i="27"/>
  <c r="Y1413" i="27"/>
  <c r="Y1412" i="27"/>
  <c r="U1411" i="27"/>
  <c r="Y1410" i="27"/>
  <c r="S1409" i="27"/>
  <c r="T1408" i="27"/>
  <c r="S1407" i="27"/>
  <c r="U1406" i="27"/>
  <c r="T1405" i="27"/>
  <c r="Y1404" i="27"/>
  <c r="W1403" i="27"/>
  <c r="Z1402" i="27"/>
  <c r="W1401" i="27"/>
  <c r="Z1400" i="27"/>
  <c r="AA1399" i="27"/>
  <c r="AB1398" i="27"/>
  <c r="T1394" i="27"/>
  <c r="U1393" i="27"/>
  <c r="Z1392" i="27"/>
  <c r="Z1391" i="27"/>
  <c r="AB1390" i="27"/>
  <c r="T1386" i="27"/>
  <c r="U1385" i="27"/>
  <c r="Z1384" i="27"/>
  <c r="Z1383" i="27"/>
  <c r="AB1382" i="27"/>
  <c r="T1378" i="27"/>
  <c r="U1377" i="27"/>
  <c r="Z1376" i="27"/>
  <c r="Z1375" i="27"/>
  <c r="T1373" i="27"/>
  <c r="Z1372" i="27"/>
  <c r="W1370" i="27"/>
  <c r="U1369" i="27"/>
  <c r="AA1368" i="27"/>
  <c r="S1368" i="27"/>
  <c r="Y1367" i="27"/>
  <c r="W1366" i="27"/>
  <c r="U1365" i="27"/>
  <c r="AA1364" i="27"/>
  <c r="S1364" i="27"/>
  <c r="Y1363" i="27"/>
  <c r="W1362" i="27"/>
  <c r="U1361" i="27"/>
  <c r="AA1360" i="27"/>
  <c r="S1360" i="27"/>
  <c r="Y1359" i="27"/>
  <c r="W1358" i="27"/>
  <c r="U1357" i="27"/>
  <c r="AA1356" i="27"/>
  <c r="S1356" i="27"/>
  <c r="Y1355" i="27"/>
  <c r="W1354" i="27"/>
  <c r="U1353" i="27"/>
  <c r="AA1352" i="27"/>
  <c r="S1352" i="27"/>
  <c r="Y1351" i="27"/>
  <c r="W1350" i="27"/>
  <c r="U1349" i="27"/>
  <c r="AA1348" i="27"/>
  <c r="S1348" i="27"/>
  <c r="Y1347" i="27"/>
  <c r="W1346" i="27"/>
  <c r="U1345" i="27"/>
  <c r="AA1344" i="27"/>
  <c r="S1344" i="27"/>
  <c r="Y1343" i="27"/>
  <c r="W1342" i="27"/>
  <c r="U1341" i="27"/>
  <c r="AA1340" i="27"/>
  <c r="S1340" i="27"/>
  <c r="Y1339" i="27"/>
  <c r="W1338" i="27"/>
  <c r="U1337" i="27"/>
  <c r="AA1336" i="27"/>
  <c r="S1336" i="27"/>
  <c r="Y1335" i="27"/>
  <c r="W1334" i="27"/>
  <c r="U1333" i="27"/>
  <c r="AA1332" i="27"/>
  <c r="S1332" i="27"/>
  <c r="Y1331" i="27"/>
  <c r="W1330" i="27"/>
  <c r="U1329" i="27"/>
  <c r="AA1328" i="27"/>
  <c r="S1328" i="27"/>
  <c r="Y1327" i="27"/>
  <c r="W1326" i="27"/>
  <c r="U1325" i="27"/>
  <c r="AA1324" i="27"/>
  <c r="S1324" i="27"/>
  <c r="Y1323" i="27"/>
  <c r="W1322" i="27"/>
  <c r="V1321" i="27"/>
  <c r="AB1320" i="27"/>
  <c r="T1320" i="27"/>
  <c r="Z1319" i="27"/>
  <c r="X1318" i="27"/>
  <c r="V1317" i="27"/>
  <c r="AB1316" i="27"/>
  <c r="T1316" i="27"/>
  <c r="Z1315" i="27"/>
  <c r="X1314" i="27"/>
  <c r="V1313" i="27"/>
  <c r="AB1312" i="27"/>
  <c r="T1312" i="27"/>
  <c r="Z1311" i="27"/>
  <c r="X1310" i="27"/>
  <c r="V1309" i="27"/>
  <c r="AB1308" i="27"/>
  <c r="T1308" i="27"/>
  <c r="Z1307" i="27"/>
  <c r="X1306" i="27"/>
  <c r="V1305" i="27"/>
  <c r="AB1304" i="27"/>
  <c r="T1304" i="27"/>
  <c r="Z1303" i="27"/>
  <c r="X1302" i="27"/>
  <c r="V1301" i="27"/>
  <c r="AB1300" i="27"/>
  <c r="T1300" i="27"/>
  <c r="Z1299" i="27"/>
  <c r="X1298" i="27"/>
  <c r="V1297" i="27"/>
  <c r="AB1296" i="27"/>
  <c r="T1296" i="27"/>
  <c r="Z1295" i="27"/>
  <c r="X1294" i="27"/>
  <c r="V1293" i="27"/>
  <c r="AB1292" i="27"/>
  <c r="T1292" i="27"/>
  <c r="Z1291" i="27"/>
  <c r="X1290" i="27"/>
  <c r="V1289" i="27"/>
  <c r="AB1288" i="27"/>
  <c r="T1288" i="27"/>
  <c r="Z1287" i="27"/>
  <c r="X1286" i="27"/>
  <c r="V1285" i="27"/>
  <c r="AB1284" i="27"/>
  <c r="T1284" i="27"/>
  <c r="Z1283" i="27"/>
  <c r="X1282" i="27"/>
  <c r="V1281" i="27"/>
  <c r="AB1280" i="27"/>
  <c r="T1280" i="27"/>
  <c r="Z1279" i="27"/>
  <c r="X1278" i="27"/>
  <c r="V1277" i="27"/>
  <c r="AB1276" i="27"/>
  <c r="T1276" i="27"/>
  <c r="Z1275" i="27"/>
  <c r="X1274" i="27"/>
  <c r="W1273" i="27"/>
  <c r="U1272" i="27"/>
  <c r="AB1271" i="27"/>
  <c r="T1271" i="27"/>
  <c r="AA1539" i="27"/>
  <c r="T1500" i="27"/>
  <c r="W1478" i="27"/>
  <c r="Z1462" i="27"/>
  <c r="W1444" i="27"/>
  <c r="S1434" i="27"/>
  <c r="Z1431" i="27"/>
  <c r="Z1430" i="27"/>
  <c r="X1429" i="27"/>
  <c r="U1428" i="27"/>
  <c r="S1418" i="27"/>
  <c r="Z1415" i="27"/>
  <c r="Z1414" i="27"/>
  <c r="X1413" i="27"/>
  <c r="V1412" i="27"/>
  <c r="T1411" i="27"/>
  <c r="W1410" i="27"/>
  <c r="S1405" i="27"/>
  <c r="V1404" i="27"/>
  <c r="U1403" i="27"/>
  <c r="X1402" i="27"/>
  <c r="V1401" i="27"/>
  <c r="U1400" i="27"/>
  <c r="Z1399" i="27"/>
  <c r="X1398" i="27"/>
  <c r="AB1397" i="27"/>
  <c r="T1393" i="27"/>
  <c r="X1392" i="27"/>
  <c r="Y1391" i="27"/>
  <c r="X1390" i="27"/>
  <c r="AB1389" i="27"/>
  <c r="T1385" i="27"/>
  <c r="X1384" i="27"/>
  <c r="Y1383" i="27"/>
  <c r="X1382" i="27"/>
  <c r="AB1381" i="27"/>
  <c r="T1377" i="27"/>
  <c r="X1376" i="27"/>
  <c r="Y1375" i="27"/>
  <c r="AB1374" i="27"/>
  <c r="S1373" i="27"/>
  <c r="Y1372" i="27"/>
  <c r="V1370" i="27"/>
  <c r="AB1369" i="27"/>
  <c r="T1369" i="27"/>
  <c r="Z1368" i="27"/>
  <c r="X1367" i="27"/>
  <c r="V1366" i="27"/>
  <c r="AB1365" i="27"/>
  <c r="T1365" i="27"/>
  <c r="Z1364" i="27"/>
  <c r="X1363" i="27"/>
  <c r="V1362" i="27"/>
  <c r="AB1361" i="27"/>
  <c r="T1361" i="27"/>
  <c r="Z1360" i="27"/>
  <c r="X1359" i="27"/>
  <c r="V1358" i="27"/>
  <c r="AB1357" i="27"/>
  <c r="T1357" i="27"/>
  <c r="Z1356" i="27"/>
  <c r="X1355" i="27"/>
  <c r="V1354" i="27"/>
  <c r="AB1353" i="27"/>
  <c r="T1353" i="27"/>
  <c r="Z1352" i="27"/>
  <c r="X1351" i="27"/>
  <c r="V1350" i="27"/>
  <c r="AB1349" i="27"/>
  <c r="T1349" i="27"/>
  <c r="Z1348" i="27"/>
  <c r="X1347" i="27"/>
  <c r="V1346" i="27"/>
  <c r="AB1345" i="27"/>
  <c r="T1345" i="27"/>
  <c r="Z1344" i="27"/>
  <c r="X1343" i="27"/>
  <c r="V1342" i="27"/>
  <c r="AB1341" i="27"/>
  <c r="T1341" i="27"/>
  <c r="Z1340" i="27"/>
  <c r="X1339" i="27"/>
  <c r="V1338" i="27"/>
  <c r="AB1337" i="27"/>
  <c r="T1337" i="27"/>
  <c r="Z1336" i="27"/>
  <c r="X1335" i="27"/>
  <c r="V1334" i="27"/>
  <c r="AB1333" i="27"/>
  <c r="T1333" i="27"/>
  <c r="Z1332" i="27"/>
  <c r="X1331" i="27"/>
  <c r="V1330" i="27"/>
  <c r="AB1329" i="27"/>
  <c r="T1329" i="27"/>
  <c r="Z1328" i="27"/>
  <c r="X1327" i="27"/>
  <c r="V1326" i="27"/>
  <c r="AB1325" i="27"/>
  <c r="T1325" i="27"/>
  <c r="Z1324" i="27"/>
  <c r="X1323" i="27"/>
  <c r="V1322" i="27"/>
  <c r="U1321" i="27"/>
  <c r="AA1320" i="27"/>
  <c r="S1320" i="27"/>
  <c r="Y1319" i="27"/>
  <c r="W1318" i="27"/>
  <c r="U1317" i="27"/>
  <c r="AA1316" i="27"/>
  <c r="S1316" i="27"/>
  <c r="Y1315" i="27"/>
  <c r="W1314" i="27"/>
  <c r="U1313" i="27"/>
  <c r="AA1312" i="27"/>
  <c r="S1312" i="27"/>
  <c r="Y1311" i="27"/>
  <c r="W1310" i="27"/>
  <c r="U1309" i="27"/>
  <c r="AA1308" i="27"/>
  <c r="S1308" i="27"/>
  <c r="Y1307" i="27"/>
  <c r="W1306" i="27"/>
  <c r="U1305" i="27"/>
  <c r="AA1304" i="27"/>
  <c r="S1304" i="27"/>
  <c r="Y1303" i="27"/>
  <c r="W1302" i="27"/>
  <c r="U1301" i="27"/>
  <c r="AA1300" i="27"/>
  <c r="S1300" i="27"/>
  <c r="Y1299" i="27"/>
  <c r="W1298" i="27"/>
  <c r="U1297" i="27"/>
  <c r="AA1296" i="27"/>
  <c r="S1296" i="27"/>
  <c r="Y1295" i="27"/>
  <c r="W1294" i="27"/>
  <c r="W1539" i="27"/>
  <c r="T1478" i="27"/>
  <c r="V1469" i="27"/>
  <c r="W1462" i="27"/>
  <c r="Z1451" i="27"/>
  <c r="AB1445" i="27"/>
  <c r="V1441" i="27"/>
  <c r="AB1435" i="27"/>
  <c r="U1431" i="27"/>
  <c r="Y1430" i="27"/>
  <c r="V1429" i="27"/>
  <c r="V1425" i="27"/>
  <c r="AB1419" i="27"/>
  <c r="U1415" i="27"/>
  <c r="Y1414" i="27"/>
  <c r="V1413" i="27"/>
  <c r="S1403" i="27"/>
  <c r="S1402" i="27"/>
  <c r="T1401" i="27"/>
  <c r="T1400" i="27"/>
  <c r="Y1399" i="27"/>
  <c r="W1398" i="27"/>
  <c r="Z1397" i="27"/>
  <c r="AB1396" i="27"/>
  <c r="T1392" i="27"/>
  <c r="X1391" i="27"/>
  <c r="W1390" i="27"/>
  <c r="Z1389" i="27"/>
  <c r="AB1388" i="27"/>
  <c r="T1384" i="27"/>
  <c r="X1383" i="27"/>
  <c r="W1382" i="27"/>
  <c r="Z1381" i="27"/>
  <c r="AB1380" i="27"/>
  <c r="T1376" i="27"/>
  <c r="X1375" i="27"/>
  <c r="X1374" i="27"/>
  <c r="X1372" i="27"/>
  <c r="Z1371" i="27"/>
  <c r="U1370" i="27"/>
  <c r="AA1369" i="27"/>
  <c r="S1369" i="27"/>
  <c r="Y1368" i="27"/>
  <c r="W1367" i="27"/>
  <c r="U1366" i="27"/>
  <c r="AA1365" i="27"/>
  <c r="S1365" i="27"/>
  <c r="Y1364" i="27"/>
  <c r="W1363" i="27"/>
  <c r="U1362" i="27"/>
  <c r="AA1361" i="27"/>
  <c r="S1361" i="27"/>
  <c r="Y1360" i="27"/>
  <c r="W1359" i="27"/>
  <c r="U1358" i="27"/>
  <c r="AA1357" i="27"/>
  <c r="S1357" i="27"/>
  <c r="Y1356" i="27"/>
  <c r="W1355" i="27"/>
  <c r="U1354" i="27"/>
  <c r="AA1353" i="27"/>
  <c r="S1353" i="27"/>
  <c r="Y1352" i="27"/>
  <c r="W1351" i="27"/>
  <c r="U1350" i="27"/>
  <c r="AA1349" i="27"/>
  <c r="S1349" i="27"/>
  <c r="Y1348" i="27"/>
  <c r="W1347" i="27"/>
  <c r="U1346" i="27"/>
  <c r="AA1345" i="27"/>
  <c r="S1345" i="27"/>
  <c r="Y1344" i="27"/>
  <c r="W1343" i="27"/>
  <c r="U1342" i="27"/>
  <c r="AA1341" i="27"/>
  <c r="S1341" i="27"/>
  <c r="Y1340" i="27"/>
  <c r="W1339" i="27"/>
  <c r="U1338" i="27"/>
  <c r="AA1337" i="27"/>
  <c r="S1337" i="27"/>
  <c r="Y1336" i="27"/>
  <c r="W1335" i="27"/>
  <c r="U1334" i="27"/>
  <c r="AA1333" i="27"/>
  <c r="S1333" i="27"/>
  <c r="Y1332" i="27"/>
  <c r="W1331" i="27"/>
  <c r="U1330" i="27"/>
  <c r="AA1329" i="27"/>
  <c r="S1329" i="27"/>
  <c r="Y1328" i="27"/>
  <c r="W1327" i="27"/>
  <c r="U1326" i="27"/>
  <c r="AA1325" i="27"/>
  <c r="S1325" i="27"/>
  <c r="Y1324" i="27"/>
  <c r="W1323" i="27"/>
  <c r="U1322" i="27"/>
  <c r="AB1321" i="27"/>
  <c r="T1321" i="27"/>
  <c r="Z1320" i="27"/>
  <c r="X1319" i="27"/>
  <c r="V1318" i="27"/>
  <c r="AB1317" i="27"/>
  <c r="T1317" i="27"/>
  <c r="Z1316" i="27"/>
  <c r="X1315" i="27"/>
  <c r="V1314" i="27"/>
  <c r="AB1313" i="27"/>
  <c r="T1313" i="27"/>
  <c r="Z1312" i="27"/>
  <c r="X1311" i="27"/>
  <c r="V1310" i="27"/>
  <c r="AB1309" i="27"/>
  <c r="T1309" i="27"/>
  <c r="Z1308" i="27"/>
  <c r="X1307" i="27"/>
  <c r="V1306" i="27"/>
  <c r="AB1305" i="27"/>
  <c r="T1305" i="27"/>
  <c r="Z1304" i="27"/>
  <c r="X1303" i="27"/>
  <c r="V1302" i="27"/>
  <c r="AB1301" i="27"/>
  <c r="T1301" i="27"/>
  <c r="Z1300" i="27"/>
  <c r="X1299" i="27"/>
  <c r="V1298" i="27"/>
  <c r="AB1297" i="27"/>
  <c r="T1297" i="27"/>
  <c r="Z1296" i="27"/>
  <c r="X1295" i="27"/>
  <c r="V1294" i="27"/>
  <c r="AB1293" i="27"/>
  <c r="T1293" i="27"/>
  <c r="Z1292" i="27"/>
  <c r="X1291" i="27"/>
  <c r="V1290" i="27"/>
  <c r="AB1289" i="27"/>
  <c r="T1289" i="27"/>
  <c r="Z1288" i="27"/>
  <c r="X1287" i="27"/>
  <c r="V1286" i="27"/>
  <c r="AB1285" i="27"/>
  <c r="T1285" i="27"/>
  <c r="Z1284" i="27"/>
  <c r="X1283" i="27"/>
  <c r="V1282" i="27"/>
  <c r="AB1281" i="27"/>
  <c r="T1281" i="27"/>
  <c r="Z1280" i="27"/>
  <c r="X1279" i="27"/>
  <c r="V1278" i="27"/>
  <c r="AB1277" i="27"/>
  <c r="T1277" i="27"/>
  <c r="Z1276" i="27"/>
  <c r="X1275" i="27"/>
  <c r="V1274" i="27"/>
  <c r="U1273" i="27"/>
  <c r="AA1272" i="27"/>
  <c r="S1272" i="27"/>
  <c r="Z1271" i="27"/>
  <c r="X1270" i="27"/>
  <c r="AB1483" i="27"/>
  <c r="U1469" i="27"/>
  <c r="T1459" i="27"/>
  <c r="W1454" i="27"/>
  <c r="X1445" i="27"/>
  <c r="AB1436" i="27"/>
  <c r="Z1435" i="27"/>
  <c r="U1432" i="27"/>
  <c r="T1431" i="27"/>
  <c r="S1430" i="27"/>
  <c r="AB1420" i="27"/>
  <c r="Z1419" i="27"/>
  <c r="U1416" i="27"/>
  <c r="T1415" i="27"/>
  <c r="S1414" i="27"/>
  <c r="S1400" i="27"/>
  <c r="W1399" i="27"/>
  <c r="V1398" i="27"/>
  <c r="V1397" i="27"/>
  <c r="AA1396" i="27"/>
  <c r="S1392" i="27"/>
  <c r="V1391" i="27"/>
  <c r="V1390" i="27"/>
  <c r="V1389" i="27"/>
  <c r="AA1388" i="27"/>
  <c r="S1384" i="27"/>
  <c r="V1383" i="27"/>
  <c r="V1382" i="27"/>
  <c r="V1381" i="27"/>
  <c r="AA1380" i="27"/>
  <c r="S1376" i="27"/>
  <c r="W1375" i="27"/>
  <c r="W1374" i="27"/>
  <c r="AB1373" i="27"/>
  <c r="W1372" i="27"/>
  <c r="Y1371" i="27"/>
  <c r="T1370" i="27"/>
  <c r="Z1369" i="27"/>
  <c r="X1368" i="27"/>
  <c r="V1367" i="27"/>
  <c r="AB1366" i="27"/>
  <c r="T1366" i="27"/>
  <c r="Z1365" i="27"/>
  <c r="X1364" i="27"/>
  <c r="V1363" i="27"/>
  <c r="AB1362" i="27"/>
  <c r="T1362" i="27"/>
  <c r="Z1361" i="27"/>
  <c r="X1360" i="27"/>
  <c r="V1359" i="27"/>
  <c r="AB1358" i="27"/>
  <c r="T1358" i="27"/>
  <c r="Z1357" i="27"/>
  <c r="X1356" i="27"/>
  <c r="V1355" i="27"/>
  <c r="AB1354" i="27"/>
  <c r="T1354" i="27"/>
  <c r="Z1353" i="27"/>
  <c r="X1352" i="27"/>
  <c r="V1351" i="27"/>
  <c r="AB1350" i="27"/>
  <c r="T1350" i="27"/>
  <c r="Z1349" i="27"/>
  <c r="X1348" i="27"/>
  <c r="V1347" i="27"/>
  <c r="AB1346" i="27"/>
  <c r="T1346" i="27"/>
  <c r="Z1345" i="27"/>
  <c r="X1344" i="27"/>
  <c r="V1343" i="27"/>
  <c r="AB1342" i="27"/>
  <c r="T1342" i="27"/>
  <c r="Z1341" i="27"/>
  <c r="X1340" i="27"/>
  <c r="V1339" i="27"/>
  <c r="AB1338" i="27"/>
  <c r="T1338" i="27"/>
  <c r="Z1337" i="27"/>
  <c r="X1336" i="27"/>
  <c r="V1335" i="27"/>
  <c r="AB1334" i="27"/>
  <c r="T1334" i="27"/>
  <c r="Z1333" i="27"/>
  <c r="X1332" i="27"/>
  <c r="V1331" i="27"/>
  <c r="AB1330" i="27"/>
  <c r="T1330" i="27"/>
  <c r="Z1329" i="27"/>
  <c r="X1328" i="27"/>
  <c r="V1327" i="27"/>
  <c r="AB1326" i="27"/>
  <c r="T1326" i="27"/>
  <c r="Z1325" i="27"/>
  <c r="X1324" i="27"/>
  <c r="V1323" i="27"/>
  <c r="AB1322" i="27"/>
  <c r="T1322" i="27"/>
  <c r="AA1321" i="27"/>
  <c r="S1321" i="27"/>
  <c r="Y1320" i="27"/>
  <c r="W1319" i="27"/>
  <c r="U1318" i="27"/>
  <c r="AA1317" i="27"/>
  <c r="S1317" i="27"/>
  <c r="Y1316" i="27"/>
  <c r="W1315" i="27"/>
  <c r="U1314" i="27"/>
  <c r="AA1313" i="27"/>
  <c r="S1313" i="27"/>
  <c r="Y1312" i="27"/>
  <c r="W1311" i="27"/>
  <c r="U1310" i="27"/>
  <c r="AA1309" i="27"/>
  <c r="S1309" i="27"/>
  <c r="Y1308" i="27"/>
  <c r="W1307" i="27"/>
  <c r="U1306" i="27"/>
  <c r="AA1305" i="27"/>
  <c r="S1305" i="27"/>
  <c r="Y1304" i="27"/>
  <c r="W1303" i="27"/>
  <c r="U1302" i="27"/>
  <c r="AA1301" i="27"/>
  <c r="S1301" i="27"/>
  <c r="Y1300" i="27"/>
  <c r="W1299" i="27"/>
  <c r="U1298" i="27"/>
  <c r="AA1297" i="27"/>
  <c r="S1297" i="27"/>
  <c r="Y1296" i="27"/>
  <c r="W1295" i="27"/>
  <c r="U1294" i="27"/>
  <c r="AA1293" i="27"/>
  <c r="S1293" i="27"/>
  <c r="Y1292" i="27"/>
  <c r="W1291" i="27"/>
  <c r="U1290" i="27"/>
  <c r="AA1289" i="27"/>
  <c r="S1289" i="27"/>
  <c r="Y1288" i="27"/>
  <c r="W1287" i="27"/>
  <c r="U1286" i="27"/>
  <c r="AA1285" i="27"/>
  <c r="S1285" i="27"/>
  <c r="Y1284" i="27"/>
  <c r="W1283" i="27"/>
  <c r="U1282" i="27"/>
  <c r="AA1281" i="27"/>
  <c r="S1281" i="27"/>
  <c r="Y1280" i="27"/>
  <c r="W1279" i="27"/>
  <c r="X1501" i="27"/>
  <c r="S1479" i="27"/>
  <c r="AB1474" i="27"/>
  <c r="T1463" i="27"/>
  <c r="X1446" i="27"/>
  <c r="AA1442" i="27"/>
  <c r="AA1438" i="27"/>
  <c r="Y1437" i="27"/>
  <c r="W1436" i="27"/>
  <c r="T1432" i="27"/>
  <c r="AA1426" i="27"/>
  <c r="AA1422" i="27"/>
  <c r="Y1421" i="27"/>
  <c r="W1420" i="27"/>
  <c r="T1416" i="27"/>
  <c r="T1398" i="27"/>
  <c r="U1397" i="27"/>
  <c r="Z1396" i="27"/>
  <c r="Z1395" i="27"/>
  <c r="AB1394" i="27"/>
  <c r="T1390" i="27"/>
  <c r="U1389" i="27"/>
  <c r="Z1388" i="27"/>
  <c r="Z1387" i="27"/>
  <c r="AB1386" i="27"/>
  <c r="T1382" i="27"/>
  <c r="U1381" i="27"/>
  <c r="Z1380" i="27"/>
  <c r="Z1379" i="27"/>
  <c r="AB1378" i="27"/>
  <c r="V1375" i="27"/>
  <c r="V1374" i="27"/>
  <c r="AA1373" i="27"/>
  <c r="T1372" i="27"/>
  <c r="X1371" i="27"/>
  <c r="AB1370" i="27"/>
  <c r="S1370" i="27"/>
  <c r="Y1369" i="27"/>
  <c r="W1368" i="27"/>
  <c r="U1367" i="27"/>
  <c r="AA1366" i="27"/>
  <c r="S1366" i="27"/>
  <c r="Y1365" i="27"/>
  <c r="W1364" i="27"/>
  <c r="U1363" i="27"/>
  <c r="AA1362" i="27"/>
  <c r="S1362" i="27"/>
  <c r="Y1361" i="27"/>
  <c r="W1360" i="27"/>
  <c r="U1359" i="27"/>
  <c r="AA1358" i="27"/>
  <c r="S1358" i="27"/>
  <c r="Y1357" i="27"/>
  <c r="W1356" i="27"/>
  <c r="U1355" i="27"/>
  <c r="AA1354" i="27"/>
  <c r="S1354" i="27"/>
  <c r="Y1353" i="27"/>
  <c r="W1352" i="27"/>
  <c r="U1351" i="27"/>
  <c r="AA1350" i="27"/>
  <c r="S1350" i="27"/>
  <c r="Y1349" i="27"/>
  <c r="W1348" i="27"/>
  <c r="U1347" i="27"/>
  <c r="AA1346" i="27"/>
  <c r="S1346" i="27"/>
  <c r="Y1345" i="27"/>
  <c r="W1344" i="27"/>
  <c r="U1343" i="27"/>
  <c r="AA1342" i="27"/>
  <c r="S1342" i="27"/>
  <c r="Y1341" i="27"/>
  <c r="W1340" i="27"/>
  <c r="U1339" i="27"/>
  <c r="AA1338" i="27"/>
  <c r="S1338" i="27"/>
  <c r="Y1337" i="27"/>
  <c r="W1336" i="27"/>
  <c r="U1335" i="27"/>
  <c r="AA1334" i="27"/>
  <c r="S1334" i="27"/>
  <c r="Y1333" i="27"/>
  <c r="W1332" i="27"/>
  <c r="U1331" i="27"/>
  <c r="AA1330" i="27"/>
  <c r="S1330" i="27"/>
  <c r="Y1329" i="27"/>
  <c r="W1328" i="27"/>
  <c r="U1327" i="27"/>
  <c r="AA1326" i="27"/>
  <c r="S1326" i="27"/>
  <c r="Y1325" i="27"/>
  <c r="W1324" i="27"/>
  <c r="U1323" i="27"/>
  <c r="AA1322" i="27"/>
  <c r="S1322" i="27"/>
  <c r="Z1321" i="27"/>
  <c r="X1320" i="27"/>
  <c r="V1319" i="27"/>
  <c r="AB1318" i="27"/>
  <c r="T1318" i="27"/>
  <c r="Z1317" i="27"/>
  <c r="X1316" i="27"/>
  <c r="V1315" i="27"/>
  <c r="AB1314" i="27"/>
  <c r="T1314" i="27"/>
  <c r="Z1313" i="27"/>
  <c r="X1312" i="27"/>
  <c r="V1311" i="27"/>
  <c r="AB1310" i="27"/>
  <c r="T1310" i="27"/>
  <c r="Z1309" i="27"/>
  <c r="X1308" i="27"/>
  <c r="V1307" i="27"/>
  <c r="AB1306" i="27"/>
  <c r="T1306" i="27"/>
  <c r="Z1305" i="27"/>
  <c r="X1304" i="27"/>
  <c r="V1303" i="27"/>
  <c r="AB1302" i="27"/>
  <c r="T1302" i="27"/>
  <c r="Z1301" i="27"/>
  <c r="X1300" i="27"/>
  <c r="V1299" i="27"/>
  <c r="AB1298" i="27"/>
  <c r="T1298" i="27"/>
  <c r="Z1297" i="27"/>
  <c r="X1296" i="27"/>
  <c r="V1295" i="27"/>
  <c r="AB1294" i="27"/>
  <c r="T1294" i="27"/>
  <c r="Z1293" i="27"/>
  <c r="X1292" i="27"/>
  <c r="V1291" i="27"/>
  <c r="AB1290" i="27"/>
  <c r="T1290" i="27"/>
  <c r="Z1289" i="27"/>
  <c r="X1288" i="27"/>
  <c r="V1287" i="27"/>
  <c r="AB1286" i="27"/>
  <c r="T1286" i="27"/>
  <c r="Z1285" i="27"/>
  <c r="X1284" i="27"/>
  <c r="V1283" i="27"/>
  <c r="AB1282" i="27"/>
  <c r="T1282" i="27"/>
  <c r="Z1281" i="27"/>
  <c r="X1280" i="27"/>
  <c r="V1279" i="27"/>
  <c r="AB1278" i="27"/>
  <c r="T1278" i="27"/>
  <c r="Z1277" i="27"/>
  <c r="X1276" i="27"/>
  <c r="V1275" i="27"/>
  <c r="AB1274" i="27"/>
  <c r="T1274" i="27"/>
  <c r="AA1273" i="27"/>
  <c r="S1273" i="27"/>
  <c r="Y1272" i="27"/>
  <c r="U1486" i="27"/>
  <c r="T1470" i="27"/>
  <c r="V1460" i="27"/>
  <c r="Z1455" i="27"/>
  <c r="U1452" i="27"/>
  <c r="V1446" i="27"/>
  <c r="S1442" i="27"/>
  <c r="Z1439" i="27"/>
  <c r="Z1438" i="27"/>
  <c r="X1437" i="27"/>
  <c r="U1436" i="27"/>
  <c r="S1426" i="27"/>
  <c r="Z1423" i="27"/>
  <c r="Z1422" i="27"/>
  <c r="X1421" i="27"/>
  <c r="U1420" i="27"/>
  <c r="Y1408" i="27"/>
  <c r="AB1407" i="27"/>
  <c r="Y1406" i="27"/>
  <c r="AB1405" i="27"/>
  <c r="T1397" i="27"/>
  <c r="X1396" i="27"/>
  <c r="Y1395" i="27"/>
  <c r="X1394" i="27"/>
  <c r="AB1393" i="27"/>
  <c r="T1389" i="27"/>
  <c r="X1388" i="27"/>
  <c r="Y1387" i="27"/>
  <c r="X1386" i="27"/>
  <c r="AB1385" i="27"/>
  <c r="T1381" i="27"/>
  <c r="X1380" i="27"/>
  <c r="Y1379" i="27"/>
  <c r="X1378" i="27"/>
  <c r="AB1377" i="27"/>
  <c r="U1374" i="27"/>
  <c r="Z1373" i="27"/>
  <c r="S1372" i="27"/>
  <c r="W1371" i="27"/>
  <c r="AA1370" i="27"/>
  <c r="X1369" i="27"/>
  <c r="V1368" i="27"/>
  <c r="AB1367" i="27"/>
  <c r="T1367" i="27"/>
  <c r="Z1366" i="27"/>
  <c r="X1365" i="27"/>
  <c r="V1364" i="27"/>
  <c r="AB1363" i="27"/>
  <c r="T1363" i="27"/>
  <c r="Z1362" i="27"/>
  <c r="X1361" i="27"/>
  <c r="V1360" i="27"/>
  <c r="AB1359" i="27"/>
  <c r="T1359" i="27"/>
  <c r="Z1358" i="27"/>
  <c r="X1357" i="27"/>
  <c r="V1356" i="27"/>
  <c r="AB1355" i="27"/>
  <c r="T1355" i="27"/>
  <c r="Z1354" i="27"/>
  <c r="X1353" i="27"/>
  <c r="V1352" i="27"/>
  <c r="AB1351" i="27"/>
  <c r="T1351" i="27"/>
  <c r="Z1350" i="27"/>
  <c r="X1349" i="27"/>
  <c r="V1348" i="27"/>
  <c r="AB1347" i="27"/>
  <c r="T1347" i="27"/>
  <c r="Z1346" i="27"/>
  <c r="X1345" i="27"/>
  <c r="V1344" i="27"/>
  <c r="AB1343" i="27"/>
  <c r="T1343" i="27"/>
  <c r="Z1342" i="27"/>
  <c r="X1341" i="27"/>
  <c r="V1340" i="27"/>
  <c r="AB1339" i="27"/>
  <c r="T1339" i="27"/>
  <c r="Z1338" i="27"/>
  <c r="X1337" i="27"/>
  <c r="V1336" i="27"/>
  <c r="AB1335" i="27"/>
  <c r="T1335" i="27"/>
  <c r="Z1334" i="27"/>
  <c r="X1333" i="27"/>
  <c r="V1332" i="27"/>
  <c r="AB1331" i="27"/>
  <c r="T1331" i="27"/>
  <c r="Z1330" i="27"/>
  <c r="X1329" i="27"/>
  <c r="V1328" i="27"/>
  <c r="AB1327" i="27"/>
  <c r="T1327" i="27"/>
  <c r="Z1326" i="27"/>
  <c r="X1325" i="27"/>
  <c r="V1324" i="27"/>
  <c r="AB1323" i="27"/>
  <c r="T1323" i="27"/>
  <c r="Z1322" i="27"/>
  <c r="Y1321" i="27"/>
  <c r="W1320" i="27"/>
  <c r="U1319" i="27"/>
  <c r="AA1318" i="27"/>
  <c r="S1318" i="27"/>
  <c r="Y1317" i="27"/>
  <c r="W1316" i="27"/>
  <c r="U1315" i="27"/>
  <c r="AA1314" i="27"/>
  <c r="S1314" i="27"/>
  <c r="Y1313" i="27"/>
  <c r="W1312" i="27"/>
  <c r="U1311" i="27"/>
  <c r="AA1310" i="27"/>
  <c r="S1310" i="27"/>
  <c r="Y1309" i="27"/>
  <c r="W1308" i="27"/>
  <c r="U1307" i="27"/>
  <c r="AA1306" i="27"/>
  <c r="S1306" i="27"/>
  <c r="Y1305" i="27"/>
  <c r="W1304" i="27"/>
  <c r="U1303" i="27"/>
  <c r="AA1302" i="27"/>
  <c r="S1302" i="27"/>
  <c r="Y1301" i="27"/>
  <c r="W1300" i="27"/>
  <c r="U1299" i="27"/>
  <c r="AA1298" i="27"/>
  <c r="S1298" i="27"/>
  <c r="Y1297" i="27"/>
  <c r="W1296" i="27"/>
  <c r="U1295" i="27"/>
  <c r="AA1294" i="27"/>
  <c r="S1294" i="27"/>
  <c r="Y1293" i="27"/>
  <c r="W1292" i="27"/>
  <c r="U1291" i="27"/>
  <c r="AA1290" i="27"/>
  <c r="S1290" i="27"/>
  <c r="Y1289" i="27"/>
  <c r="W1288" i="27"/>
  <c r="U1287" i="27"/>
  <c r="AA1286" i="27"/>
  <c r="S1286" i="27"/>
  <c r="Y1285" i="27"/>
  <c r="W1284" i="27"/>
  <c r="U1283" i="27"/>
  <c r="AA1282" i="27"/>
  <c r="S1282" i="27"/>
  <c r="Y1281" i="27"/>
  <c r="W1280" i="27"/>
  <c r="U1279" i="27"/>
  <c r="AA1278" i="27"/>
  <c r="S1278" i="27"/>
  <c r="Y1277" i="27"/>
  <c r="S1495" i="27"/>
  <c r="Z1475" i="27"/>
  <c r="AB1461" i="27"/>
  <c r="V1450" i="27"/>
  <c r="U1440" i="27"/>
  <c r="T1439" i="27"/>
  <c r="S1438" i="27"/>
  <c r="AB1428" i="27"/>
  <c r="Z1427" i="27"/>
  <c r="U1424" i="27"/>
  <c r="T1423" i="27"/>
  <c r="S1422" i="27"/>
  <c r="AB1412" i="27"/>
  <c r="W1411" i="27"/>
  <c r="Z1410" i="27"/>
  <c r="U1409" i="27"/>
  <c r="V1408" i="27"/>
  <c r="T1407" i="27"/>
  <c r="W1406" i="27"/>
  <c r="U1405" i="27"/>
  <c r="Z1404" i="27"/>
  <c r="X1403" i="27"/>
  <c r="AA1402" i="27"/>
  <c r="X1401" i="27"/>
  <c r="AB1400" i="27"/>
  <c r="S1396" i="27"/>
  <c r="V1395" i="27"/>
  <c r="V1394" i="27"/>
  <c r="V1393" i="27"/>
  <c r="AA1392" i="27"/>
  <c r="S1388" i="27"/>
  <c r="V1387" i="27"/>
  <c r="V1386" i="27"/>
  <c r="V1385" i="27"/>
  <c r="AA1384" i="27"/>
  <c r="S1380" i="27"/>
  <c r="V1379" i="27"/>
  <c r="V1378" i="27"/>
  <c r="V1377" i="27"/>
  <c r="AA1376" i="27"/>
  <c r="U1373" i="27"/>
  <c r="AA1372" i="27"/>
  <c r="U1371" i="27"/>
  <c r="X1370" i="27"/>
  <c r="V1369" i="27"/>
  <c r="AB1368" i="27"/>
  <c r="T1368" i="27"/>
  <c r="Z1367" i="27"/>
  <c r="X1366" i="27"/>
  <c r="V1365" i="27"/>
  <c r="AB1364" i="27"/>
  <c r="T1364" i="27"/>
  <c r="Z1363" i="27"/>
  <c r="X1362" i="27"/>
  <c r="V1361" i="27"/>
  <c r="AB1360" i="27"/>
  <c r="T1360" i="27"/>
  <c r="Z1359" i="27"/>
  <c r="X1358" i="27"/>
  <c r="V1357" i="27"/>
  <c r="AB1356" i="27"/>
  <c r="T1356" i="27"/>
  <c r="Z1355" i="27"/>
  <c r="X1354" i="27"/>
  <c r="V1353" i="27"/>
  <c r="AB1352" i="27"/>
  <c r="T1352" i="27"/>
  <c r="Z1351" i="27"/>
  <c r="X1350" i="27"/>
  <c r="V1349" i="27"/>
  <c r="AB1348" i="27"/>
  <c r="T1348" i="27"/>
  <c r="Z1347" i="27"/>
  <c r="X1346" i="27"/>
  <c r="V1345" i="27"/>
  <c r="AB1344" i="27"/>
  <c r="T1344" i="27"/>
  <c r="Z1343" i="27"/>
  <c r="X1342" i="27"/>
  <c r="V1341" i="27"/>
  <c r="AB1340" i="27"/>
  <c r="T1340" i="27"/>
  <c r="Z1339" i="27"/>
  <c r="X1338" i="27"/>
  <c r="V1337" i="27"/>
  <c r="AB1336" i="27"/>
  <c r="T1336" i="27"/>
  <c r="Z1335" i="27"/>
  <c r="X1334" i="27"/>
  <c r="V1333" i="27"/>
  <c r="AB1332" i="27"/>
  <c r="T1332" i="27"/>
  <c r="Z1331" i="27"/>
  <c r="X1330" i="27"/>
  <c r="V1329" i="27"/>
  <c r="AB1328" i="27"/>
  <c r="T1328" i="27"/>
  <c r="Z1327" i="27"/>
  <c r="X1326" i="27"/>
  <c r="V1325" i="27"/>
  <c r="AB1324" i="27"/>
  <c r="T1324" i="27"/>
  <c r="Z1323" i="27"/>
  <c r="X1322" i="27"/>
  <c r="W1321" i="27"/>
  <c r="U1320" i="27"/>
  <c r="AA1319" i="27"/>
  <c r="S1319" i="27"/>
  <c r="Y1318" i="27"/>
  <c r="W1317" i="27"/>
  <c r="U1316" i="27"/>
  <c r="AA1315" i="27"/>
  <c r="S1315" i="27"/>
  <c r="Y1314" i="27"/>
  <c r="W1313" i="27"/>
  <c r="U1312" i="27"/>
  <c r="AA1311" i="27"/>
  <c r="S1311" i="27"/>
  <c r="Y1310" i="27"/>
  <c r="W1309" i="27"/>
  <c r="U1308" i="27"/>
  <c r="AA1307" i="27"/>
  <c r="S1307" i="27"/>
  <c r="Y1306" i="27"/>
  <c r="W1305" i="27"/>
  <c r="U1304" i="27"/>
  <c r="AA1303" i="27"/>
  <c r="S1303" i="27"/>
  <c r="Y1302" i="27"/>
  <c r="W1301" i="27"/>
  <c r="U1300" i="27"/>
  <c r="AA1299" i="27"/>
  <c r="S1299" i="27"/>
  <c r="Y1298" i="27"/>
  <c r="W1297" i="27"/>
  <c r="U1296" i="27"/>
  <c r="AA1295" i="27"/>
  <c r="S1295" i="27"/>
  <c r="Y1294" i="27"/>
  <c r="W1293" i="27"/>
  <c r="U1292" i="27"/>
  <c r="AA1291" i="27"/>
  <c r="S1291" i="27"/>
  <c r="Y1290" i="27"/>
  <c r="W1289" i="27"/>
  <c r="U1288" i="27"/>
  <c r="AA1287" i="27"/>
  <c r="S1287" i="27"/>
  <c r="Y1286" i="27"/>
  <c r="W1285" i="27"/>
  <c r="U1284" i="27"/>
  <c r="AA1283" i="27"/>
  <c r="S1283" i="27"/>
  <c r="Y1282" i="27"/>
  <c r="W1281" i="27"/>
  <c r="U1280" i="27"/>
  <c r="AA1279" i="27"/>
  <c r="S1279" i="27"/>
  <c r="Y1278" i="27"/>
  <c r="U1460" i="27"/>
  <c r="V1433" i="27"/>
  <c r="Y1409" i="27"/>
  <c r="X1395" i="27"/>
  <c r="T1388" i="27"/>
  <c r="U1368" i="27"/>
  <c r="W1365" i="27"/>
  <c r="Y1362" i="27"/>
  <c r="S1359" i="27"/>
  <c r="AA1339" i="27"/>
  <c r="U1336" i="27"/>
  <c r="W1333" i="27"/>
  <c r="Y1330" i="27"/>
  <c r="S1327" i="27"/>
  <c r="AB1307" i="27"/>
  <c r="V1304" i="27"/>
  <c r="X1301" i="27"/>
  <c r="Z1298" i="27"/>
  <c r="T1295" i="27"/>
  <c r="AA1292" i="27"/>
  <c r="Y1291" i="27"/>
  <c r="Z1286" i="27"/>
  <c r="X1281" i="27"/>
  <c r="S1280" i="27"/>
  <c r="S1276" i="27"/>
  <c r="W1275" i="27"/>
  <c r="AA1274" i="27"/>
  <c r="T1273" i="27"/>
  <c r="W1272" i="27"/>
  <c r="AA1271" i="27"/>
  <c r="V1270" i="27"/>
  <c r="AB1269" i="27"/>
  <c r="T1269" i="27"/>
  <c r="Z1268" i="27"/>
  <c r="X1267" i="27"/>
  <c r="V1266" i="27"/>
  <c r="AB1265" i="27"/>
  <c r="T1265" i="27"/>
  <c r="Z1264" i="27"/>
  <c r="X1263" i="27"/>
  <c r="V1262" i="27"/>
  <c r="AB1261" i="27"/>
  <c r="T1261" i="27"/>
  <c r="Z1260" i="27"/>
  <c r="X1259" i="27"/>
  <c r="V1258" i="27"/>
  <c r="AB1257" i="27"/>
  <c r="T1257" i="27"/>
  <c r="Z1256" i="27"/>
  <c r="X1255" i="27"/>
  <c r="V1254" i="27"/>
  <c r="AB1253" i="27"/>
  <c r="T1253" i="27"/>
  <c r="Z1252" i="27"/>
  <c r="Y1251" i="27"/>
  <c r="W1250" i="27"/>
  <c r="U1249" i="27"/>
  <c r="AA1248" i="27"/>
  <c r="S1248" i="27"/>
  <c r="Z1247" i="27"/>
  <c r="Y1246" i="27"/>
  <c r="W1245" i="27"/>
  <c r="V1244" i="27"/>
  <c r="AB1243" i="27"/>
  <c r="T1243" i="27"/>
  <c r="Z1242" i="27"/>
  <c r="X1241" i="27"/>
  <c r="W1240" i="27"/>
  <c r="U1239" i="27"/>
  <c r="AA1238" i="27"/>
  <c r="S1238" i="27"/>
  <c r="Y1237" i="27"/>
  <c r="W1236" i="27"/>
  <c r="U1235" i="27"/>
  <c r="AA1234" i="27"/>
  <c r="S1234" i="27"/>
  <c r="Z1233" i="27"/>
  <c r="Y1232" i="27"/>
  <c r="X1231" i="27"/>
  <c r="W1230" i="27"/>
  <c r="U1229" i="27"/>
  <c r="AA1228" i="27"/>
  <c r="S1228" i="27"/>
  <c r="Y1227" i="27"/>
  <c r="W1226" i="27"/>
  <c r="U1225" i="27"/>
  <c r="AB1224" i="27"/>
  <c r="T1224" i="27"/>
  <c r="Z1223" i="27"/>
  <c r="Y1222" i="27"/>
  <c r="W1221" i="27"/>
  <c r="U1220" i="27"/>
  <c r="AB1219" i="27"/>
  <c r="T1219" i="27"/>
  <c r="AA1218" i="27"/>
  <c r="S1218" i="27"/>
  <c r="Z1217" i="27"/>
  <c r="Y1216" i="27"/>
  <c r="X1215" i="27"/>
  <c r="W1214" i="27"/>
  <c r="V1213" i="27"/>
  <c r="U1212" i="27"/>
  <c r="AB1211" i="27"/>
  <c r="T1211" i="27"/>
  <c r="AA1210" i="27"/>
  <c r="S1210" i="27"/>
  <c r="Z1209" i="27"/>
  <c r="Y1208" i="27"/>
  <c r="X1207" i="27"/>
  <c r="W1206" i="27"/>
  <c r="V1205" i="27"/>
  <c r="AB1204" i="27"/>
  <c r="T1204" i="27"/>
  <c r="Z1203" i="27"/>
  <c r="X1202" i="27"/>
  <c r="W1201" i="27"/>
  <c r="U1200" i="27"/>
  <c r="AA1199" i="27"/>
  <c r="S1199" i="27"/>
  <c r="Y1198" i="27"/>
  <c r="W1197" i="27"/>
  <c r="U1196" i="27"/>
  <c r="AA1195" i="27"/>
  <c r="S1195" i="27"/>
  <c r="Y1194" i="27"/>
  <c r="X1193" i="27"/>
  <c r="V1192" i="27"/>
  <c r="U1191" i="27"/>
  <c r="AA1190" i="27"/>
  <c r="S1190" i="27"/>
  <c r="Z1189" i="27"/>
  <c r="X1188" i="27"/>
  <c r="W1187" i="27"/>
  <c r="U1186" i="27"/>
  <c r="AB1185" i="27"/>
  <c r="T1185" i="27"/>
  <c r="Z1184" i="27"/>
  <c r="Y1183" i="27"/>
  <c r="W1182" i="27"/>
  <c r="U1181" i="27"/>
  <c r="AA1180" i="27"/>
  <c r="S1180" i="27"/>
  <c r="Y1179" i="27"/>
  <c r="W1178" i="27"/>
  <c r="AB1427" i="27"/>
  <c r="AA1404" i="27"/>
  <c r="AB1376" i="27"/>
  <c r="V1371" i="27"/>
  <c r="AA1351" i="27"/>
  <c r="U1348" i="27"/>
  <c r="W1345" i="27"/>
  <c r="Y1342" i="27"/>
  <c r="S1339" i="27"/>
  <c r="AB1319" i="27"/>
  <c r="V1316" i="27"/>
  <c r="X1313" i="27"/>
  <c r="Z1310" i="27"/>
  <c r="T1307" i="27"/>
  <c r="V1292" i="27"/>
  <c r="T1291" i="27"/>
  <c r="AB1287" i="27"/>
  <c r="W1286" i="27"/>
  <c r="U1281" i="27"/>
  <c r="U1275" i="27"/>
  <c r="Z1274" i="27"/>
  <c r="V1272" i="27"/>
  <c r="Y1271" i="27"/>
  <c r="U1270" i="27"/>
  <c r="AA1269" i="27"/>
  <c r="S1269" i="27"/>
  <c r="Y1268" i="27"/>
  <c r="W1267" i="27"/>
  <c r="U1266" i="27"/>
  <c r="AA1265" i="27"/>
  <c r="S1265" i="27"/>
  <c r="Y1264" i="27"/>
  <c r="W1263" i="27"/>
  <c r="U1262" i="27"/>
  <c r="AA1261" i="27"/>
  <c r="S1261" i="27"/>
  <c r="Y1260" i="27"/>
  <c r="W1259" i="27"/>
  <c r="U1258" i="27"/>
  <c r="AA1257" i="27"/>
  <c r="S1257" i="27"/>
  <c r="Y1256" i="27"/>
  <c r="W1255" i="27"/>
  <c r="U1254" i="27"/>
  <c r="AA1253" i="27"/>
  <c r="S1253" i="27"/>
  <c r="Y1252" i="27"/>
  <c r="X1251" i="27"/>
  <c r="V1250" i="27"/>
  <c r="AB1249" i="27"/>
  <c r="T1249" i="27"/>
  <c r="Z1248" i="27"/>
  <c r="Y1247" i="27"/>
  <c r="X1246" i="27"/>
  <c r="V1245" i="27"/>
  <c r="U1244" i="27"/>
  <c r="AA1243" i="27"/>
  <c r="S1243" i="27"/>
  <c r="Y1242" i="27"/>
  <c r="W1241" i="27"/>
  <c r="V1240" i="27"/>
  <c r="AB1239" i="27"/>
  <c r="T1239" i="27"/>
  <c r="Z1238" i="27"/>
  <c r="X1237" i="27"/>
  <c r="V1236" i="27"/>
  <c r="AB1235" i="27"/>
  <c r="T1235" i="27"/>
  <c r="Z1234" i="27"/>
  <c r="Y1233" i="27"/>
  <c r="X1232" i="27"/>
  <c r="W1231" i="27"/>
  <c r="V1230" i="27"/>
  <c r="AB1229" i="27"/>
  <c r="T1229" i="27"/>
  <c r="Z1228" i="27"/>
  <c r="X1227" i="27"/>
  <c r="V1226" i="27"/>
  <c r="AB1225" i="27"/>
  <c r="T1225" i="27"/>
  <c r="AA1224" i="27"/>
  <c r="S1224" i="27"/>
  <c r="Y1223" i="27"/>
  <c r="Y1438" i="27"/>
  <c r="U1423" i="27"/>
  <c r="Z1407" i="27"/>
  <c r="Z1393" i="27"/>
  <c r="W1386" i="27"/>
  <c r="X1379" i="27"/>
  <c r="T1374" i="27"/>
  <c r="AA1363" i="27"/>
  <c r="U1360" i="27"/>
  <c r="W1357" i="27"/>
  <c r="Y1354" i="27"/>
  <c r="S1351" i="27"/>
  <c r="AA1331" i="27"/>
  <c r="U1328" i="27"/>
  <c r="W1325" i="27"/>
  <c r="Y1322" i="27"/>
  <c r="T1319" i="27"/>
  <c r="AB1299" i="27"/>
  <c r="V1296" i="27"/>
  <c r="X1293" i="27"/>
  <c r="S1292" i="27"/>
  <c r="AA1288" i="27"/>
  <c r="Y1287" i="27"/>
  <c r="Z1282" i="27"/>
  <c r="AA1277" i="27"/>
  <c r="T1275" i="27"/>
  <c r="Y1274" i="27"/>
  <c r="T1272" i="27"/>
  <c r="X1271" i="27"/>
  <c r="T1270" i="27"/>
  <c r="Z1269" i="27"/>
  <c r="X1268" i="27"/>
  <c r="V1267" i="27"/>
  <c r="AB1266" i="27"/>
  <c r="T1266" i="27"/>
  <c r="Z1265" i="27"/>
  <c r="X1264" i="27"/>
  <c r="V1263" i="27"/>
  <c r="AB1262" i="27"/>
  <c r="T1262" i="27"/>
  <c r="Z1261" i="27"/>
  <c r="X1260" i="27"/>
  <c r="V1259" i="27"/>
  <c r="AB1258" i="27"/>
  <c r="T1258" i="27"/>
  <c r="Z1257" i="27"/>
  <c r="X1256" i="27"/>
  <c r="V1255" i="27"/>
  <c r="AB1254" i="27"/>
  <c r="T1254" i="27"/>
  <c r="Z1253" i="27"/>
  <c r="X1252" i="27"/>
  <c r="W1251" i="27"/>
  <c r="U1250" i="27"/>
  <c r="AA1249" i="27"/>
  <c r="S1249" i="27"/>
  <c r="Y1248" i="27"/>
  <c r="X1247" i="27"/>
  <c r="W1246" i="27"/>
  <c r="U1245" i="27"/>
  <c r="AB1244" i="27"/>
  <c r="T1244" i="27"/>
  <c r="Z1243" i="27"/>
  <c r="X1242" i="27"/>
  <c r="V1241" i="27"/>
  <c r="U1240" i="27"/>
  <c r="AA1239" i="27"/>
  <c r="S1239" i="27"/>
  <c r="Y1238" i="27"/>
  <c r="W1237" i="27"/>
  <c r="U1236" i="27"/>
  <c r="AA1235" i="27"/>
  <c r="S1235" i="27"/>
  <c r="Y1234" i="27"/>
  <c r="X1233" i="27"/>
  <c r="W1232" i="27"/>
  <c r="V1231" i="27"/>
  <c r="U1230" i="27"/>
  <c r="AA1229" i="27"/>
  <c r="S1229" i="27"/>
  <c r="Y1228" i="27"/>
  <c r="W1227" i="27"/>
  <c r="U1226" i="27"/>
  <c r="AA1225" i="27"/>
  <c r="S1225" i="27"/>
  <c r="Z1224" i="27"/>
  <c r="X1223" i="27"/>
  <c r="W1222" i="27"/>
  <c r="U1221" i="27"/>
  <c r="AA1220" i="27"/>
  <c r="S1220" i="27"/>
  <c r="Z1219" i="27"/>
  <c r="Y1218" i="27"/>
  <c r="X1217" i="27"/>
  <c r="W1216" i="27"/>
  <c r="V1215" i="27"/>
  <c r="U1214" i="27"/>
  <c r="AB1213" i="27"/>
  <c r="T1213" i="27"/>
  <c r="AA1212" i="27"/>
  <c r="S1212" i="27"/>
  <c r="Z1211" i="27"/>
  <c r="Y1210" i="27"/>
  <c r="AA1443" i="27"/>
  <c r="AA1410" i="27"/>
  <c r="T1396" i="27"/>
  <c r="W1369" i="27"/>
  <c r="Y1366" i="27"/>
  <c r="S1363" i="27"/>
  <c r="AA1343" i="27"/>
  <c r="U1340" i="27"/>
  <c r="W1337" i="27"/>
  <c r="Y1334" i="27"/>
  <c r="S1331" i="27"/>
  <c r="AB1311" i="27"/>
  <c r="V1308" i="27"/>
  <c r="X1305" i="27"/>
  <c r="Z1302" i="27"/>
  <c r="T1299" i="27"/>
  <c r="U1293" i="27"/>
  <c r="V1288" i="27"/>
  <c r="T1287" i="27"/>
  <c r="AB1283" i="27"/>
  <c r="W1282" i="27"/>
  <c r="Z1278" i="27"/>
  <c r="X1277" i="27"/>
  <c r="AA1276" i="27"/>
  <c r="S1275" i="27"/>
  <c r="W1274" i="27"/>
  <c r="AB1273" i="27"/>
  <c r="W1271" i="27"/>
  <c r="AB1270" i="27"/>
  <c r="S1270" i="27"/>
  <c r="Y1269" i="27"/>
  <c r="W1268" i="27"/>
  <c r="U1267" i="27"/>
  <c r="AA1266" i="27"/>
  <c r="S1266" i="27"/>
  <c r="Y1265" i="27"/>
  <c r="W1264" i="27"/>
  <c r="U1263" i="27"/>
  <c r="AA1262" i="27"/>
  <c r="S1262" i="27"/>
  <c r="Y1261" i="27"/>
  <c r="W1260" i="27"/>
  <c r="U1259" i="27"/>
  <c r="AA1258" i="27"/>
  <c r="S1258" i="27"/>
  <c r="Y1257" i="27"/>
  <c r="W1256" i="27"/>
  <c r="U1255" i="27"/>
  <c r="AA1254" i="27"/>
  <c r="S1254" i="27"/>
  <c r="Y1253" i="27"/>
  <c r="W1252" i="27"/>
  <c r="V1251" i="27"/>
  <c r="AB1250" i="27"/>
  <c r="T1250" i="27"/>
  <c r="Z1249" i="27"/>
  <c r="X1248" i="27"/>
  <c r="W1247" i="27"/>
  <c r="V1246" i="27"/>
  <c r="AB1245" i="27"/>
  <c r="T1245" i="27"/>
  <c r="AA1244" i="27"/>
  <c r="S1244" i="27"/>
  <c r="Y1243" i="27"/>
  <c r="W1242" i="27"/>
  <c r="U1241" i="27"/>
  <c r="AB1240" i="27"/>
  <c r="T1240" i="27"/>
  <c r="Z1239" i="27"/>
  <c r="X1238" i="27"/>
  <c r="V1237" i="27"/>
  <c r="AB1236" i="27"/>
  <c r="T1236" i="27"/>
  <c r="Z1235" i="27"/>
  <c r="X1234" i="27"/>
  <c r="W1233" i="27"/>
  <c r="V1232" i="27"/>
  <c r="U1231" i="27"/>
  <c r="AB1230" i="27"/>
  <c r="T1230" i="27"/>
  <c r="Z1229" i="27"/>
  <c r="X1228" i="27"/>
  <c r="V1227" i="27"/>
  <c r="AB1226" i="27"/>
  <c r="T1226" i="27"/>
  <c r="Z1225" i="27"/>
  <c r="Y1224" i="27"/>
  <c r="W1223" i="27"/>
  <c r="V1222" i="27"/>
  <c r="AB1221" i="27"/>
  <c r="T1221" i="27"/>
  <c r="Z1220" i="27"/>
  <c r="Y1219" i="27"/>
  <c r="X1218" i="27"/>
  <c r="W1217" i="27"/>
  <c r="V1216" i="27"/>
  <c r="U1215" i="27"/>
  <c r="AB1214" i="27"/>
  <c r="T1214" i="27"/>
  <c r="AA1213" i="27"/>
  <c r="S1213" i="27"/>
  <c r="Z1212" i="27"/>
  <c r="Y1211" i="27"/>
  <c r="X1210" i="27"/>
  <c r="W1209" i="27"/>
  <c r="V1208" i="27"/>
  <c r="U1207" i="27"/>
  <c r="AB1206" i="27"/>
  <c r="T1206" i="27"/>
  <c r="AA1205" i="27"/>
  <c r="S1205" i="27"/>
  <c r="Y1204" i="27"/>
  <c r="W1203" i="27"/>
  <c r="U1202" i="27"/>
  <c r="AB1201" i="27"/>
  <c r="T1201" i="27"/>
  <c r="Z1200" i="27"/>
  <c r="X1199" i="27"/>
  <c r="V1198" i="27"/>
  <c r="AB1197" i="27"/>
  <c r="T1197" i="27"/>
  <c r="Z1196" i="27"/>
  <c r="X1195" i="27"/>
  <c r="V1194" i="27"/>
  <c r="U1193" i="27"/>
  <c r="AA1192" i="27"/>
  <c r="S1192" i="27"/>
  <c r="Z1191" i="27"/>
  <c r="X1190" i="27"/>
  <c r="W1189" i="27"/>
  <c r="U1188" i="27"/>
  <c r="AB1187" i="27"/>
  <c r="T1187" i="27"/>
  <c r="Z1186" i="27"/>
  <c r="Y1185" i="27"/>
  <c r="W1184" i="27"/>
  <c r="V1183" i="27"/>
  <c r="AB1182" i="27"/>
  <c r="T1182" i="27"/>
  <c r="Z1181" i="27"/>
  <c r="X1180" i="27"/>
  <c r="V1179" i="27"/>
  <c r="AB1178" i="27"/>
  <c r="T1178" i="27"/>
  <c r="Z1177" i="27"/>
  <c r="X1176" i="27"/>
  <c r="W1175" i="27"/>
  <c r="U1174" i="27"/>
  <c r="AB1173" i="27"/>
  <c r="T1173" i="27"/>
  <c r="Z1172" i="27"/>
  <c r="Y1171" i="27"/>
  <c r="W1170" i="27"/>
  <c r="V1169" i="27"/>
  <c r="AB1168" i="27"/>
  <c r="T1168" i="27"/>
  <c r="AA1167" i="27"/>
  <c r="S1167" i="27"/>
  <c r="Y1166" i="27"/>
  <c r="V1421" i="27"/>
  <c r="Y1405" i="27"/>
  <c r="AB1384" i="27"/>
  <c r="Z1377" i="27"/>
  <c r="AB1372" i="27"/>
  <c r="AA1355" i="27"/>
  <c r="U1352" i="27"/>
  <c r="W1349" i="27"/>
  <c r="Y1346" i="27"/>
  <c r="S1343" i="27"/>
  <c r="AA1323" i="27"/>
  <c r="V1320" i="27"/>
  <c r="X1317" i="27"/>
  <c r="Z1314" i="27"/>
  <c r="T1311" i="27"/>
  <c r="X1289" i="27"/>
  <c r="S1288" i="27"/>
  <c r="AA1284" i="27"/>
  <c r="Y1283" i="27"/>
  <c r="W1278" i="27"/>
  <c r="W1277" i="27"/>
  <c r="Y1276" i="27"/>
  <c r="U1274" i="27"/>
  <c r="Z1273" i="27"/>
  <c r="V1271" i="27"/>
  <c r="AA1270" i="27"/>
  <c r="X1269" i="27"/>
  <c r="V1268" i="27"/>
  <c r="AB1267" i="27"/>
  <c r="T1267" i="27"/>
  <c r="Z1266" i="27"/>
  <c r="X1265" i="27"/>
  <c r="V1264" i="27"/>
  <c r="AB1263" i="27"/>
  <c r="T1263" i="27"/>
  <c r="Z1262" i="27"/>
  <c r="X1261" i="27"/>
  <c r="V1260" i="27"/>
  <c r="AB1259" i="27"/>
  <c r="T1259" i="27"/>
  <c r="Z1258" i="27"/>
  <c r="X1257" i="27"/>
  <c r="V1256" i="27"/>
  <c r="AB1255" i="27"/>
  <c r="T1255" i="27"/>
  <c r="Z1254" i="27"/>
  <c r="X1253" i="27"/>
  <c r="V1252" i="27"/>
  <c r="U1251" i="27"/>
  <c r="AA1250" i="27"/>
  <c r="S1250" i="27"/>
  <c r="Y1249" i="27"/>
  <c r="W1248" i="27"/>
  <c r="V1247" i="27"/>
  <c r="U1246" i="27"/>
  <c r="AA1245" i="27"/>
  <c r="S1245" i="27"/>
  <c r="Z1244" i="27"/>
  <c r="X1243" i="27"/>
  <c r="V1242" i="27"/>
  <c r="AB1241" i="27"/>
  <c r="T1241" i="27"/>
  <c r="AA1240" i="27"/>
  <c r="S1240" i="27"/>
  <c r="Y1239" i="27"/>
  <c r="W1238" i="27"/>
  <c r="U1237" i="27"/>
  <c r="AA1236" i="27"/>
  <c r="S1236" i="27"/>
  <c r="Y1235" i="27"/>
  <c r="W1234" i="27"/>
  <c r="V1233" i="27"/>
  <c r="U1232" i="27"/>
  <c r="AB1231" i="27"/>
  <c r="T1231" i="27"/>
  <c r="AA1230" i="27"/>
  <c r="S1230" i="27"/>
  <c r="Y1229" i="27"/>
  <c r="W1228" i="27"/>
  <c r="U1227" i="27"/>
  <c r="AA1226" i="27"/>
  <c r="S1226" i="27"/>
  <c r="Y1225" i="27"/>
  <c r="X1224" i="27"/>
  <c r="V1223" i="27"/>
  <c r="U1222" i="27"/>
  <c r="AA1221" i="27"/>
  <c r="S1221" i="27"/>
  <c r="Y1220" i="27"/>
  <c r="X1219" i="27"/>
  <c r="W1218" i="27"/>
  <c r="V1217" i="27"/>
  <c r="U1216" i="27"/>
  <c r="AB1215" i="27"/>
  <c r="T1215" i="27"/>
  <c r="AA1214" i="27"/>
  <c r="S1214" i="27"/>
  <c r="Z1213" i="27"/>
  <c r="Y1212" i="27"/>
  <c r="X1211" i="27"/>
  <c r="W1210" i="27"/>
  <c r="V1209" i="27"/>
  <c r="U1208" i="27"/>
  <c r="AB1207" i="27"/>
  <c r="T1207" i="27"/>
  <c r="AA1206" i="27"/>
  <c r="S1206" i="27"/>
  <c r="Z1205" i="27"/>
  <c r="X1204" i="27"/>
  <c r="V1203" i="27"/>
  <c r="AB1202" i="27"/>
  <c r="T1202" i="27"/>
  <c r="AA1201" i="27"/>
  <c r="S1201" i="27"/>
  <c r="Y1200" i="27"/>
  <c r="W1199" i="27"/>
  <c r="U1198" i="27"/>
  <c r="AA1197" i="27"/>
  <c r="S1197" i="27"/>
  <c r="Y1196" i="27"/>
  <c r="W1195" i="27"/>
  <c r="U1194" i="27"/>
  <c r="AB1193" i="27"/>
  <c r="T1193" i="27"/>
  <c r="Z1192" i="27"/>
  <c r="Y1191" i="27"/>
  <c r="W1190" i="27"/>
  <c r="V1189" i="27"/>
  <c r="AB1188" i="27"/>
  <c r="T1188" i="27"/>
  <c r="AA1187" i="27"/>
  <c r="S1187" i="27"/>
  <c r="Y1186" i="27"/>
  <c r="X1185" i="27"/>
  <c r="V1184" i="27"/>
  <c r="U1183" i="27"/>
  <c r="AA1182" i="27"/>
  <c r="S1182" i="27"/>
  <c r="Y1181" i="27"/>
  <c r="W1180" i="27"/>
  <c r="U1179" i="27"/>
  <c r="AA1178" i="27"/>
  <c r="S1178" i="27"/>
  <c r="Y1177" i="27"/>
  <c r="W1176" i="27"/>
  <c r="V1175" i="27"/>
  <c r="AB1174" i="27"/>
  <c r="T1174" i="27"/>
  <c r="AA1173" i="27"/>
  <c r="S1173" i="27"/>
  <c r="Y1172" i="27"/>
  <c r="X1171" i="27"/>
  <c r="V1170" i="27"/>
  <c r="U1169" i="27"/>
  <c r="AA1168" i="27"/>
  <c r="S1168" i="27"/>
  <c r="Z1167" i="27"/>
  <c r="X1166" i="27"/>
  <c r="W1165" i="27"/>
  <c r="U1164" i="27"/>
  <c r="AA1163" i="27"/>
  <c r="S1163" i="27"/>
  <c r="Y1162" i="27"/>
  <c r="W1161" i="27"/>
  <c r="U1160" i="27"/>
  <c r="AA1159" i="27"/>
  <c r="S1159" i="27"/>
  <c r="U1439" i="27"/>
  <c r="V1417" i="27"/>
  <c r="W1408" i="27"/>
  <c r="W1394" i="27"/>
  <c r="X1387" i="27"/>
  <c r="T1380" i="27"/>
  <c r="AA1367" i="27"/>
  <c r="U1364" i="27"/>
  <c r="W1361" i="27"/>
  <c r="Y1358" i="27"/>
  <c r="S1355" i="27"/>
  <c r="AA1335" i="27"/>
  <c r="U1332" i="27"/>
  <c r="W1329" i="27"/>
  <c r="Y1326" i="27"/>
  <c r="S1323" i="27"/>
  <c r="AB1303" i="27"/>
  <c r="V1300" i="27"/>
  <c r="X1297" i="27"/>
  <c r="Z1294" i="27"/>
  <c r="U1289" i="27"/>
  <c r="V1284" i="27"/>
  <c r="T1283" i="27"/>
  <c r="AB1279" i="27"/>
  <c r="U1278" i="27"/>
  <c r="U1277" i="27"/>
  <c r="W1276" i="27"/>
  <c r="AB1275" i="27"/>
  <c r="S1274" i="27"/>
  <c r="Y1273" i="27"/>
  <c r="AB1272" i="27"/>
  <c r="U1271" i="27"/>
  <c r="Z1270" i="27"/>
  <c r="W1269" i="27"/>
  <c r="U1268" i="27"/>
  <c r="AA1267" i="27"/>
  <c r="S1267" i="27"/>
  <c r="Y1266" i="27"/>
  <c r="W1265" i="27"/>
  <c r="U1264" i="27"/>
  <c r="AA1263" i="27"/>
  <c r="S1263" i="27"/>
  <c r="Y1262" i="27"/>
  <c r="W1261" i="27"/>
  <c r="U1260" i="27"/>
  <c r="AA1259" i="27"/>
  <c r="S1259" i="27"/>
  <c r="Y1258" i="27"/>
  <c r="W1257" i="27"/>
  <c r="U1256" i="27"/>
  <c r="AA1255" i="27"/>
  <c r="S1255" i="27"/>
  <c r="Y1254" i="27"/>
  <c r="W1253" i="27"/>
  <c r="U1252" i="27"/>
  <c r="AB1251" i="27"/>
  <c r="T1251" i="27"/>
  <c r="Z1250" i="27"/>
  <c r="X1249" i="27"/>
  <c r="V1248" i="27"/>
  <c r="U1247" i="27"/>
  <c r="AB1246" i="27"/>
  <c r="T1246" i="27"/>
  <c r="Z1245" i="27"/>
  <c r="Y1244" i="27"/>
  <c r="W1243" i="27"/>
  <c r="U1242" i="27"/>
  <c r="AA1241" i="27"/>
  <c r="S1241" i="27"/>
  <c r="Z1240" i="27"/>
  <c r="X1239" i="27"/>
  <c r="V1238" i="27"/>
  <c r="AB1237" i="27"/>
  <c r="T1237" i="27"/>
  <c r="Z1236" i="27"/>
  <c r="X1235" i="27"/>
  <c r="V1234" i="27"/>
  <c r="U1233" i="27"/>
  <c r="AB1232" i="27"/>
  <c r="T1232" i="27"/>
  <c r="AA1231" i="27"/>
  <c r="S1231" i="27"/>
  <c r="Z1230" i="27"/>
  <c r="X1229" i="27"/>
  <c r="V1228" i="27"/>
  <c r="AB1227" i="27"/>
  <c r="T1227" i="27"/>
  <c r="Z1226" i="27"/>
  <c r="X1225" i="27"/>
  <c r="W1224" i="27"/>
  <c r="U1223" i="27"/>
  <c r="AB1222" i="27"/>
  <c r="T1222" i="27"/>
  <c r="Z1221" i="27"/>
  <c r="X1220" i="27"/>
  <c r="W1219" i="27"/>
  <c r="V1218" i="27"/>
  <c r="U1217" i="27"/>
  <c r="AB1216" i="27"/>
  <c r="T1216" i="27"/>
  <c r="AA1215" i="27"/>
  <c r="S1215" i="27"/>
  <c r="Z1214" i="27"/>
  <c r="Y1213" i="27"/>
  <c r="X1212" i="27"/>
  <c r="W1211" i="27"/>
  <c r="V1210" i="27"/>
  <c r="U1209" i="27"/>
  <c r="AB1208" i="27"/>
  <c r="T1208" i="27"/>
  <c r="AA1207" i="27"/>
  <c r="S1207" i="27"/>
  <c r="Z1206" i="27"/>
  <c r="Y1205" i="27"/>
  <c r="W1204" i="27"/>
  <c r="U1203" i="27"/>
  <c r="AA1202" i="27"/>
  <c r="S1202" i="27"/>
  <c r="Z1201" i="27"/>
  <c r="X1200" i="27"/>
  <c r="V1199" i="27"/>
  <c r="AB1198" i="27"/>
  <c r="T1198" i="27"/>
  <c r="Z1197" i="27"/>
  <c r="X1196" i="27"/>
  <c r="V1195" i="27"/>
  <c r="AB1194" i="27"/>
  <c r="T1194" i="27"/>
  <c r="AA1193" i="27"/>
  <c r="S1193" i="27"/>
  <c r="Y1192" i="27"/>
  <c r="X1191" i="27"/>
  <c r="V1190" i="27"/>
  <c r="U1189" i="27"/>
  <c r="AA1188" i="27"/>
  <c r="S1188" i="27"/>
  <c r="Z1187" i="27"/>
  <c r="X1186" i="27"/>
  <c r="W1185" i="27"/>
  <c r="U1184" i="27"/>
  <c r="AB1183" i="27"/>
  <c r="T1183" i="27"/>
  <c r="Z1182" i="27"/>
  <c r="X1181" i="27"/>
  <c r="V1180" i="27"/>
  <c r="AB1179" i="27"/>
  <c r="T1179" i="27"/>
  <c r="Z1178" i="27"/>
  <c r="X1177" i="27"/>
  <c r="Y1422" i="27"/>
  <c r="Z1370" i="27"/>
  <c r="W1353" i="27"/>
  <c r="U1344" i="27"/>
  <c r="AA1327" i="27"/>
  <c r="Z1290" i="27"/>
  <c r="Y1275" i="27"/>
  <c r="Z1272" i="27"/>
  <c r="AA1268" i="27"/>
  <c r="Y1267" i="27"/>
  <c r="AB1264" i="27"/>
  <c r="Y1263" i="27"/>
  <c r="AB1260" i="27"/>
  <c r="Z1259" i="27"/>
  <c r="X1254" i="27"/>
  <c r="AB1248" i="27"/>
  <c r="AB1247" i="27"/>
  <c r="Y1245" i="27"/>
  <c r="W1244" i="27"/>
  <c r="W1239" i="27"/>
  <c r="T1238" i="27"/>
  <c r="AB1234" i="27"/>
  <c r="AA1233" i="27"/>
  <c r="AA1232" i="27"/>
  <c r="Z1231" i="27"/>
  <c r="X1230" i="27"/>
  <c r="V1225" i="27"/>
  <c r="T1217" i="27"/>
  <c r="X1216" i="27"/>
  <c r="Y1215" i="27"/>
  <c r="X1214" i="27"/>
  <c r="U1213" i="27"/>
  <c r="T1212" i="27"/>
  <c r="U1211" i="27"/>
  <c r="Z1210" i="27"/>
  <c r="AB1209" i="27"/>
  <c r="U1206" i="27"/>
  <c r="U1205" i="27"/>
  <c r="V1204" i="27"/>
  <c r="AA1203" i="27"/>
  <c r="T1199" i="27"/>
  <c r="W1198" i="27"/>
  <c r="V1197" i="27"/>
  <c r="W1196" i="27"/>
  <c r="AB1195" i="27"/>
  <c r="T1191" i="27"/>
  <c r="Y1190" i="27"/>
  <c r="AB1189" i="27"/>
  <c r="S1186" i="27"/>
  <c r="U1185" i="27"/>
  <c r="Y1184" i="27"/>
  <c r="AA1183" i="27"/>
  <c r="S1179" i="27"/>
  <c r="U1178" i="27"/>
  <c r="V1177" i="27"/>
  <c r="AB1176" i="27"/>
  <c r="Y1175" i="27"/>
  <c r="W1173" i="27"/>
  <c r="AA1172" i="27"/>
  <c r="V1171" i="27"/>
  <c r="AB1170" i="27"/>
  <c r="Y1169" i="27"/>
  <c r="V1167" i="27"/>
  <c r="AA1166" i="27"/>
  <c r="X1165" i="27"/>
  <c r="T1164" i="27"/>
  <c r="Y1163" i="27"/>
  <c r="U1162" i="27"/>
  <c r="AA1161" i="27"/>
  <c r="X1160" i="27"/>
  <c r="T1159" i="27"/>
  <c r="Y1158" i="27"/>
  <c r="W1157" i="27"/>
  <c r="U1156" i="27"/>
  <c r="AA1155" i="27"/>
  <c r="S1155" i="27"/>
  <c r="Y1154" i="27"/>
  <c r="W1153" i="27"/>
  <c r="U1152" i="27"/>
  <c r="AA1151" i="27"/>
  <c r="S1151" i="27"/>
  <c r="Y1150" i="27"/>
  <c r="W1149" i="27"/>
  <c r="U1148" i="27"/>
  <c r="AA1147" i="27"/>
  <c r="S1147" i="27"/>
  <c r="Y1146" i="27"/>
  <c r="W1145" i="27"/>
  <c r="U1144" i="27"/>
  <c r="AA1143" i="27"/>
  <c r="S1143" i="27"/>
  <c r="Y1142" i="27"/>
  <c r="W1141" i="27"/>
  <c r="U1140" i="27"/>
  <c r="AA1139" i="27"/>
  <c r="S1139" i="27"/>
  <c r="Y1138" i="27"/>
  <c r="W1137" i="27"/>
  <c r="U1136" i="27"/>
  <c r="AA1135" i="27"/>
  <c r="S1135" i="27"/>
  <c r="Y1134" i="27"/>
  <c r="W1133" i="27"/>
  <c r="U1132" i="27"/>
  <c r="AA1131" i="27"/>
  <c r="S1131" i="27"/>
  <c r="Y1130" i="27"/>
  <c r="W1129" i="27"/>
  <c r="U1128" i="27"/>
  <c r="AA1127" i="27"/>
  <c r="S1127" i="27"/>
  <c r="Y1126" i="27"/>
  <c r="W1125" i="27"/>
  <c r="U1124" i="27"/>
  <c r="AA1123" i="27"/>
  <c r="S1123" i="27"/>
  <c r="Y1122" i="27"/>
  <c r="W1121" i="27"/>
  <c r="U1120" i="27"/>
  <c r="AA1119" i="27"/>
  <c r="S1119" i="27"/>
  <c r="Y1118" i="27"/>
  <c r="W1117" i="27"/>
  <c r="U1116" i="27"/>
  <c r="AA1115" i="27"/>
  <c r="S1115" i="27"/>
  <c r="Y1114" i="27"/>
  <c r="W1113" i="27"/>
  <c r="U1112" i="27"/>
  <c r="AA1111" i="27"/>
  <c r="S1111" i="27"/>
  <c r="Y1110" i="27"/>
  <c r="W1109" i="27"/>
  <c r="U1108" i="27"/>
  <c r="AA1107" i="27"/>
  <c r="S1107" i="27"/>
  <c r="Y1106" i="27"/>
  <c r="W1105" i="27"/>
  <c r="U1104" i="27"/>
  <c r="AA1103" i="27"/>
  <c r="S1103" i="27"/>
  <c r="Y1102" i="27"/>
  <c r="W1101" i="27"/>
  <c r="U1100" i="27"/>
  <c r="AA1099" i="27"/>
  <c r="S1099" i="27"/>
  <c r="Y1098" i="27"/>
  <c r="W1097" i="27"/>
  <c r="U1096" i="27"/>
  <c r="AA1095" i="27"/>
  <c r="S1095" i="27"/>
  <c r="Y1094" i="27"/>
  <c r="W1093" i="27"/>
  <c r="U1092" i="27"/>
  <c r="AA1091" i="27"/>
  <c r="S1091" i="27"/>
  <c r="Y1090" i="27"/>
  <c r="W1089" i="27"/>
  <c r="U1088" i="27"/>
  <c r="AA1087" i="27"/>
  <c r="S1087" i="27"/>
  <c r="Y1086" i="27"/>
  <c r="W1085" i="27"/>
  <c r="U1084" i="27"/>
  <c r="AA1083" i="27"/>
  <c r="S1083" i="27"/>
  <c r="Y1082" i="27"/>
  <c r="W1081" i="27"/>
  <c r="U1080" i="27"/>
  <c r="AA1079" i="27"/>
  <c r="S1079" i="27"/>
  <c r="Y1078" i="27"/>
  <c r="Z1385" i="27"/>
  <c r="T1303" i="27"/>
  <c r="W1290" i="27"/>
  <c r="V1276" i="27"/>
  <c r="X1272" i="27"/>
  <c r="V1269" i="27"/>
  <c r="T1268" i="27"/>
  <c r="AA1264" i="27"/>
  <c r="AA1260" i="27"/>
  <c r="Y1259" i="27"/>
  <c r="W1254" i="27"/>
  <c r="U1248" i="27"/>
  <c r="AA1247" i="27"/>
  <c r="AA1246" i="27"/>
  <c r="X1245" i="27"/>
  <c r="V1239" i="27"/>
  <c r="U1234" i="27"/>
  <c r="T1233" i="27"/>
  <c r="Z1232" i="27"/>
  <c r="Y1231" i="27"/>
  <c r="Y1226" i="27"/>
  <c r="S1217" i="27"/>
  <c r="S1216" i="27"/>
  <c r="W1215" i="27"/>
  <c r="V1214" i="27"/>
  <c r="S1211" i="27"/>
  <c r="U1210" i="27"/>
  <c r="AA1209" i="27"/>
  <c r="T1205" i="27"/>
  <c r="U1204" i="27"/>
  <c r="Y1203" i="27"/>
  <c r="Z1202" i="27"/>
  <c r="S1198" i="27"/>
  <c r="U1197" i="27"/>
  <c r="V1196" i="27"/>
  <c r="Z1195" i="27"/>
  <c r="AA1194" i="27"/>
  <c r="S1191" i="27"/>
  <c r="U1190" i="27"/>
  <c r="AA1189" i="27"/>
  <c r="S1185" i="27"/>
  <c r="X1184" i="27"/>
  <c r="Z1183" i="27"/>
  <c r="Y1182" i="27"/>
  <c r="AB1181" i="27"/>
  <c r="U1177" i="27"/>
  <c r="AA1176" i="27"/>
  <c r="X1175" i="27"/>
  <c r="AA1174" i="27"/>
  <c r="V1173" i="27"/>
  <c r="X1172" i="27"/>
  <c r="U1171" i="27"/>
  <c r="AA1170" i="27"/>
  <c r="X1169" i="27"/>
  <c r="Z1168" i="27"/>
  <c r="U1167" i="27"/>
  <c r="Z1166" i="27"/>
  <c r="V1165" i="27"/>
  <c r="AB1164" i="27"/>
  <c r="S1164" i="27"/>
  <c r="X1163" i="27"/>
  <c r="T1162" i="27"/>
  <c r="Z1161" i="27"/>
  <c r="W1160" i="27"/>
  <c r="AB1159" i="27"/>
  <c r="X1158" i="27"/>
  <c r="V1157" i="27"/>
  <c r="AB1156" i="27"/>
  <c r="T1156" i="27"/>
  <c r="Z1155" i="27"/>
  <c r="X1154" i="27"/>
  <c r="V1153" i="27"/>
  <c r="AB1152" i="27"/>
  <c r="T1152" i="27"/>
  <c r="Z1151" i="27"/>
  <c r="X1150" i="27"/>
  <c r="V1149" i="27"/>
  <c r="AB1148" i="27"/>
  <c r="T1148" i="27"/>
  <c r="Z1147" i="27"/>
  <c r="X1146" i="27"/>
  <c r="V1145" i="27"/>
  <c r="AB1144" i="27"/>
  <c r="T1144" i="27"/>
  <c r="Z1143" i="27"/>
  <c r="X1142" i="27"/>
  <c r="V1141" i="27"/>
  <c r="AB1140" i="27"/>
  <c r="T1140" i="27"/>
  <c r="Z1139" i="27"/>
  <c r="X1138" i="27"/>
  <c r="V1137" i="27"/>
  <c r="AB1136" i="27"/>
  <c r="T1136" i="27"/>
  <c r="Z1135" i="27"/>
  <c r="X1134" i="27"/>
  <c r="V1133" i="27"/>
  <c r="AB1132" i="27"/>
  <c r="T1132" i="27"/>
  <c r="Z1131" i="27"/>
  <c r="X1130" i="27"/>
  <c r="V1129" i="27"/>
  <c r="AB1128" i="27"/>
  <c r="T1128" i="27"/>
  <c r="Z1127" i="27"/>
  <c r="X1126" i="27"/>
  <c r="V1125" i="27"/>
  <c r="AB1124" i="27"/>
  <c r="T1124" i="27"/>
  <c r="Z1123" i="27"/>
  <c r="X1122" i="27"/>
  <c r="V1121" i="27"/>
  <c r="AB1120" i="27"/>
  <c r="T1120" i="27"/>
  <c r="Z1119" i="27"/>
  <c r="X1118" i="27"/>
  <c r="V1117" i="27"/>
  <c r="AB1116" i="27"/>
  <c r="T1116" i="27"/>
  <c r="Z1115" i="27"/>
  <c r="X1114" i="27"/>
  <c r="V1113" i="27"/>
  <c r="AB1112" i="27"/>
  <c r="T1112" i="27"/>
  <c r="Z1111" i="27"/>
  <c r="X1110" i="27"/>
  <c r="V1109" i="27"/>
  <c r="AB1108" i="27"/>
  <c r="T1108" i="27"/>
  <c r="Z1107" i="27"/>
  <c r="X1106" i="27"/>
  <c r="V1105" i="27"/>
  <c r="AB1104" i="27"/>
  <c r="T1104" i="27"/>
  <c r="Z1103" i="27"/>
  <c r="X1102" i="27"/>
  <c r="V1101" i="27"/>
  <c r="AB1100" i="27"/>
  <c r="T1100" i="27"/>
  <c r="Z1099" i="27"/>
  <c r="X1098" i="27"/>
  <c r="V1097" i="27"/>
  <c r="AB1096" i="27"/>
  <c r="T1096" i="27"/>
  <c r="Z1095" i="27"/>
  <c r="X1094" i="27"/>
  <c r="V1093" i="27"/>
  <c r="AB1092" i="27"/>
  <c r="T1092" i="27"/>
  <c r="Z1091" i="27"/>
  <c r="X1090" i="27"/>
  <c r="V1089" i="27"/>
  <c r="AB1088" i="27"/>
  <c r="T1088" i="27"/>
  <c r="Z1087" i="27"/>
  <c r="X1086" i="27"/>
  <c r="V1085" i="27"/>
  <c r="AB1084" i="27"/>
  <c r="T1084" i="27"/>
  <c r="Z1083" i="27"/>
  <c r="X1082" i="27"/>
  <c r="V1081" i="27"/>
  <c r="AB1080" i="27"/>
  <c r="T1080" i="27"/>
  <c r="Z1079" i="27"/>
  <c r="X1078" i="27"/>
  <c r="V1077" i="27"/>
  <c r="AB1076" i="27"/>
  <c r="T1076" i="27"/>
  <c r="Z1075" i="27"/>
  <c r="V1437" i="27"/>
  <c r="V1373" i="27"/>
  <c r="U1356" i="27"/>
  <c r="S1347" i="27"/>
  <c r="AB1291" i="27"/>
  <c r="Y1279" i="27"/>
  <c r="V1273" i="27"/>
  <c r="Y1270" i="27"/>
  <c r="V1265" i="27"/>
  <c r="S1264" i="27"/>
  <c r="U1261" i="27"/>
  <c r="S1260" i="27"/>
  <c r="AA1256" i="27"/>
  <c r="Y1255" i="27"/>
  <c r="V1249" i="27"/>
  <c r="S1247" i="27"/>
  <c r="S1246" i="27"/>
  <c r="AB1242" i="27"/>
  <c r="Z1241" i="27"/>
  <c r="X1240" i="27"/>
  <c r="V1235" i="27"/>
  <c r="AB1392" i="27"/>
  <c r="AB1315" i="27"/>
  <c r="Z1306" i="27"/>
  <c r="S1284" i="27"/>
  <c r="T1279" i="27"/>
  <c r="S1277" i="27"/>
  <c r="W1270" i="27"/>
  <c r="U1265" i="27"/>
  <c r="V1257" i="27"/>
  <c r="T1256" i="27"/>
  <c r="AB1252" i="27"/>
  <c r="Y1250" i="27"/>
  <c r="AA1242" i="27"/>
  <c r="Y1241" i="27"/>
  <c r="Y1236" i="27"/>
  <c r="U1228" i="27"/>
  <c r="S1227" i="27"/>
  <c r="AA1223" i="27"/>
  <c r="AA1222" i="27"/>
  <c r="Y1221" i="27"/>
  <c r="W1220" i="27"/>
  <c r="V1219" i="27"/>
  <c r="AB1218" i="27"/>
  <c r="T1209" i="27"/>
  <c r="X1208" i="27"/>
  <c r="Z1207" i="27"/>
  <c r="S1203" i="27"/>
  <c r="V1202" i="27"/>
  <c r="V1201" i="27"/>
  <c r="W1200" i="27"/>
  <c r="AB1199" i="27"/>
  <c r="T1195" i="27"/>
  <c r="W1194" i="27"/>
  <c r="Y1193" i="27"/>
  <c r="X1192" i="27"/>
  <c r="AB1191" i="27"/>
  <c r="T1189" i="27"/>
  <c r="W1188" i="27"/>
  <c r="X1187" i="27"/>
  <c r="AA1186" i="27"/>
  <c r="S1183" i="27"/>
  <c r="U1182" i="27"/>
  <c r="V1181" i="27"/>
  <c r="Z1180" i="27"/>
  <c r="AA1179" i="27"/>
  <c r="V1176" i="27"/>
  <c r="S1175" i="27"/>
  <c r="X1174" i="27"/>
  <c r="U1172" i="27"/>
  <c r="AB1171" i="27"/>
  <c r="X1170" i="27"/>
  <c r="S1169" i="27"/>
  <c r="W1168" i="27"/>
  <c r="AB1167" i="27"/>
  <c r="U1166" i="27"/>
  <c r="AB1165" i="27"/>
  <c r="S1165" i="27"/>
  <c r="Y1164" i="27"/>
  <c r="U1163" i="27"/>
  <c r="Z1162" i="27"/>
  <c r="V1161" i="27"/>
  <c r="AB1160" i="27"/>
  <c r="S1160" i="27"/>
  <c r="X1159" i="27"/>
  <c r="U1158" i="27"/>
  <c r="AA1157" i="27"/>
  <c r="S1157" i="27"/>
  <c r="Y1156" i="27"/>
  <c r="W1155" i="27"/>
  <c r="U1154" i="27"/>
  <c r="AA1153" i="27"/>
  <c r="S1153" i="27"/>
  <c r="Y1152" i="27"/>
  <c r="W1151" i="27"/>
  <c r="U1150" i="27"/>
  <c r="AA1149" i="27"/>
  <c r="S1149" i="27"/>
  <c r="Y1148" i="27"/>
  <c r="W1147" i="27"/>
  <c r="U1146" i="27"/>
  <c r="AA1145" i="27"/>
  <c r="S1145" i="27"/>
  <c r="Y1144" i="27"/>
  <c r="W1143" i="27"/>
  <c r="U1142" i="27"/>
  <c r="AA1141" i="27"/>
  <c r="S1141" i="27"/>
  <c r="Y1140" i="27"/>
  <c r="W1139" i="27"/>
  <c r="U1138" i="27"/>
  <c r="AA1137" i="27"/>
  <c r="S1137" i="27"/>
  <c r="Y1136" i="27"/>
  <c r="W1135" i="27"/>
  <c r="U1134" i="27"/>
  <c r="AA1133" i="27"/>
  <c r="S1133" i="27"/>
  <c r="Y1132" i="27"/>
  <c r="W1131" i="27"/>
  <c r="U1130" i="27"/>
  <c r="AA1129" i="27"/>
  <c r="S1129" i="27"/>
  <c r="Y1128" i="27"/>
  <c r="W1127" i="27"/>
  <c r="U1126" i="27"/>
  <c r="AA1125" i="27"/>
  <c r="S1125" i="27"/>
  <c r="Y1124" i="27"/>
  <c r="W1123" i="27"/>
  <c r="U1122" i="27"/>
  <c r="AA1121" i="27"/>
  <c r="S1121" i="27"/>
  <c r="Y1120" i="27"/>
  <c r="W1119" i="27"/>
  <c r="U1118" i="27"/>
  <c r="AA1117" i="27"/>
  <c r="S1117" i="27"/>
  <c r="Y1116" i="27"/>
  <c r="W1115" i="27"/>
  <c r="U1114" i="27"/>
  <c r="AA1113" i="27"/>
  <c r="S1113" i="27"/>
  <c r="Y1112" i="27"/>
  <c r="W1111" i="27"/>
  <c r="U1110" i="27"/>
  <c r="AA1109" i="27"/>
  <c r="S1109" i="27"/>
  <c r="Y1108" i="27"/>
  <c r="W1107" i="27"/>
  <c r="U1106" i="27"/>
  <c r="AA1105" i="27"/>
  <c r="S1105" i="27"/>
  <c r="Y1104" i="27"/>
  <c r="W1103" i="27"/>
  <c r="U1102" i="27"/>
  <c r="AA1101" i="27"/>
  <c r="S1101" i="27"/>
  <c r="Y1100" i="27"/>
  <c r="W1099" i="27"/>
  <c r="U1098" i="27"/>
  <c r="AA1097" i="27"/>
  <c r="S1097" i="27"/>
  <c r="Y1096" i="27"/>
  <c r="W1095" i="27"/>
  <c r="U1094" i="27"/>
  <c r="AA1093" i="27"/>
  <c r="S1093" i="27"/>
  <c r="Y1092" i="27"/>
  <c r="W1091" i="27"/>
  <c r="U1090" i="27"/>
  <c r="AA1089" i="27"/>
  <c r="S1089" i="27"/>
  <c r="Y1088" i="27"/>
  <c r="W1087" i="27"/>
  <c r="U1086" i="27"/>
  <c r="AA1085" i="27"/>
  <c r="S1085" i="27"/>
  <c r="Y1084" i="27"/>
  <c r="W1083" i="27"/>
  <c r="U1082" i="27"/>
  <c r="AA1081" i="27"/>
  <c r="S1081" i="27"/>
  <c r="Y1080" i="27"/>
  <c r="W1079" i="27"/>
  <c r="U1078" i="27"/>
  <c r="X1406" i="27"/>
  <c r="AA1359" i="27"/>
  <c r="Y1338" i="27"/>
  <c r="Z1267" i="27"/>
  <c r="W1262" i="27"/>
  <c r="U1257" i="27"/>
  <c r="AB1238" i="27"/>
  <c r="S1237" i="27"/>
  <c r="Z1227" i="27"/>
  <c r="U1224" i="27"/>
  <c r="AA1216" i="27"/>
  <c r="AB1212" i="27"/>
  <c r="AA1211" i="27"/>
  <c r="T1210" i="27"/>
  <c r="S1209" i="27"/>
  <c r="S1208" i="27"/>
  <c r="V1207" i="27"/>
  <c r="Y1201" i="27"/>
  <c r="AA1200" i="27"/>
  <c r="Z1199" i="27"/>
  <c r="Z1198" i="27"/>
  <c r="AB1190" i="27"/>
  <c r="Y1189" i="27"/>
  <c r="Y1188" i="27"/>
  <c r="V1187" i="27"/>
  <c r="V1186" i="27"/>
  <c r="V1185" i="27"/>
  <c r="S1184" i="27"/>
  <c r="Y1178" i="27"/>
  <c r="AA1177" i="27"/>
  <c r="Z1176" i="27"/>
  <c r="S1172" i="27"/>
  <c r="W1171" i="27"/>
  <c r="Y1170" i="27"/>
  <c r="AB1169" i="27"/>
  <c r="T1165" i="27"/>
  <c r="W1164" i="27"/>
  <c r="W1163" i="27"/>
  <c r="AA1162" i="27"/>
  <c r="U1159" i="27"/>
  <c r="W1158" i="27"/>
  <c r="AB1157" i="27"/>
  <c r="U1155" i="27"/>
  <c r="Z1154" i="27"/>
  <c r="S1152" i="27"/>
  <c r="V1151" i="27"/>
  <c r="AA1150" i="27"/>
  <c r="V1148" i="27"/>
  <c r="X1147" i="27"/>
  <c r="AB1146" i="27"/>
  <c r="T1145" i="27"/>
  <c r="W1144" i="27"/>
  <c r="Y1143" i="27"/>
  <c r="U1141" i="27"/>
  <c r="X1140" i="27"/>
  <c r="AB1139" i="27"/>
  <c r="S1138" i="27"/>
  <c r="X1137" i="27"/>
  <c r="Z1136" i="27"/>
  <c r="T1134" i="27"/>
  <c r="Y1133" i="27"/>
  <c r="AA1132" i="27"/>
  <c r="V1130" i="27"/>
  <c r="Z1129" i="27"/>
  <c r="T1127" i="27"/>
  <c r="W1126" i="27"/>
  <c r="AB1125" i="27"/>
  <c r="U1123" i="27"/>
  <c r="Z1122" i="27"/>
  <c r="S1120" i="27"/>
  <c r="V1119" i="27"/>
  <c r="AA1118" i="27"/>
  <c r="V1116" i="27"/>
  <c r="X1115" i="27"/>
  <c r="AB1114" i="27"/>
  <c r="T1113" i="27"/>
  <c r="W1112" i="27"/>
  <c r="Y1111" i="27"/>
  <c r="U1109" i="27"/>
  <c r="X1108" i="27"/>
  <c r="AB1107" i="27"/>
  <c r="S1106" i="27"/>
  <c r="X1105" i="27"/>
  <c r="Z1104" i="27"/>
  <c r="T1102" i="27"/>
  <c r="Y1101" i="27"/>
  <c r="AA1100" i="27"/>
  <c r="V1098" i="27"/>
  <c r="Z1097" i="27"/>
  <c r="T1095" i="27"/>
  <c r="W1094" i="27"/>
  <c r="AB1093" i="27"/>
  <c r="U1091" i="27"/>
  <c r="Z1090" i="27"/>
  <c r="S1088" i="27"/>
  <c r="V1087" i="27"/>
  <c r="AA1086" i="27"/>
  <c r="V1084" i="27"/>
  <c r="X1083" i="27"/>
  <c r="AB1082" i="27"/>
  <c r="T1081" i="27"/>
  <c r="W1080" i="27"/>
  <c r="Y1079" i="27"/>
  <c r="X1077" i="27"/>
  <c r="S1076" i="27"/>
  <c r="X1075" i="27"/>
  <c r="V1074" i="27"/>
  <c r="AB1073" i="27"/>
  <c r="T1073" i="27"/>
  <c r="Z1072" i="27"/>
  <c r="X1071" i="27"/>
  <c r="V1070" i="27"/>
  <c r="AB1069" i="27"/>
  <c r="T1069" i="27"/>
  <c r="Z1068" i="27"/>
  <c r="X1067" i="27"/>
  <c r="V1066" i="27"/>
  <c r="AB1065" i="27"/>
  <c r="T1065" i="27"/>
  <c r="Z1064" i="27"/>
  <c r="X1063" i="27"/>
  <c r="V1062" i="27"/>
  <c r="AB1061" i="27"/>
  <c r="T1061" i="27"/>
  <c r="Z1060" i="27"/>
  <c r="X1059" i="27"/>
  <c r="V1058" i="27"/>
  <c r="AB1057" i="27"/>
  <c r="T1057" i="27"/>
  <c r="Z1056" i="27"/>
  <c r="X1055" i="27"/>
  <c r="V1054" i="27"/>
  <c r="AB1053" i="27"/>
  <c r="T1053" i="27"/>
  <c r="Z1052" i="27"/>
  <c r="X1051" i="27"/>
  <c r="V1050" i="27"/>
  <c r="AB1049" i="27"/>
  <c r="T1049" i="27"/>
  <c r="Z1048" i="27"/>
  <c r="X1047" i="27"/>
  <c r="V1046" i="27"/>
  <c r="AB1045" i="27"/>
  <c r="T1045" i="27"/>
  <c r="Z1044" i="27"/>
  <c r="X1043" i="27"/>
  <c r="V1042" i="27"/>
  <c r="AB1041" i="27"/>
  <c r="T1041" i="27"/>
  <c r="Z1040" i="27"/>
  <c r="X1039" i="27"/>
  <c r="V1038" i="27"/>
  <c r="AB1037" i="27"/>
  <c r="T1037" i="27"/>
  <c r="Z1036" i="27"/>
  <c r="X1035" i="27"/>
  <c r="V1034" i="27"/>
  <c r="AB1033" i="27"/>
  <c r="T1033" i="27"/>
  <c r="Z1032" i="27"/>
  <c r="X1031" i="27"/>
  <c r="V1030" i="27"/>
  <c r="AB1029" i="27"/>
  <c r="T1029" i="27"/>
  <c r="Z1028" i="27"/>
  <c r="X1027" i="27"/>
  <c r="V1026" i="27"/>
  <c r="AB1025" i="27"/>
  <c r="T1025" i="27"/>
  <c r="Z1024" i="27"/>
  <c r="X1023" i="27"/>
  <c r="V1022" i="27"/>
  <c r="AB1021" i="27"/>
  <c r="T1021" i="27"/>
  <c r="Z1020" i="27"/>
  <c r="X1019" i="27"/>
  <c r="V1018" i="27"/>
  <c r="AB1017" i="27"/>
  <c r="T1017" i="27"/>
  <c r="Z1016" i="27"/>
  <c r="X1015" i="27"/>
  <c r="V1014" i="27"/>
  <c r="AB1013" i="27"/>
  <c r="T1013" i="27"/>
  <c r="Z1012" i="27"/>
  <c r="X1011" i="27"/>
  <c r="V1010" i="27"/>
  <c r="AB1009" i="27"/>
  <c r="T1009" i="27"/>
  <c r="Z1008" i="27"/>
  <c r="X1007" i="27"/>
  <c r="V1006" i="27"/>
  <c r="AB1005" i="27"/>
  <c r="T1005" i="27"/>
  <c r="Z1004" i="27"/>
  <c r="X1003" i="27"/>
  <c r="V1002" i="27"/>
  <c r="AB1001" i="27"/>
  <c r="T1001" i="27"/>
  <c r="Z1000" i="27"/>
  <c r="X999" i="27"/>
  <c r="V998" i="27"/>
  <c r="AB997" i="27"/>
  <c r="T997" i="27"/>
  <c r="Z996" i="27"/>
  <c r="X995" i="27"/>
  <c r="V994" i="27"/>
  <c r="AB993" i="27"/>
  <c r="T993" i="27"/>
  <c r="Z992" i="27"/>
  <c r="X991" i="27"/>
  <c r="V990" i="27"/>
  <c r="AB989" i="27"/>
  <c r="T989" i="27"/>
  <c r="Z988" i="27"/>
  <c r="X987" i="27"/>
  <c r="V986" i="27"/>
  <c r="AB985" i="27"/>
  <c r="T985" i="27"/>
  <c r="Z984" i="27"/>
  <c r="X983" i="27"/>
  <c r="V982" i="27"/>
  <c r="AB981" i="27"/>
  <c r="T981" i="27"/>
  <c r="Z980" i="27"/>
  <c r="X979" i="27"/>
  <c r="V978" i="27"/>
  <c r="AB977" i="27"/>
  <c r="T977" i="27"/>
  <c r="Z976" i="27"/>
  <c r="X975" i="27"/>
  <c r="V974" i="27"/>
  <c r="AB973" i="27"/>
  <c r="T973" i="27"/>
  <c r="Z972" i="27"/>
  <c r="X971" i="27"/>
  <c r="V970" i="27"/>
  <c r="AB969" i="27"/>
  <c r="T969" i="27"/>
  <c r="Z968" i="27"/>
  <c r="X967" i="27"/>
  <c r="V966" i="27"/>
  <c r="AB965" i="27"/>
  <c r="T965" i="27"/>
  <c r="Z964" i="27"/>
  <c r="X963" i="27"/>
  <c r="V962" i="27"/>
  <c r="AB961" i="27"/>
  <c r="T961" i="27"/>
  <c r="Z960" i="27"/>
  <c r="X959" i="27"/>
  <c r="V958" i="27"/>
  <c r="AB957" i="27"/>
  <c r="T957" i="27"/>
  <c r="Z956" i="27"/>
  <c r="X955" i="27"/>
  <c r="V954" i="27"/>
  <c r="AB953" i="27"/>
  <c r="T953" i="27"/>
  <c r="Z952" i="27"/>
  <c r="X951" i="27"/>
  <c r="V950" i="27"/>
  <c r="AB949" i="27"/>
  <c r="T949" i="27"/>
  <c r="Z948" i="27"/>
  <c r="X947" i="27"/>
  <c r="V946" i="27"/>
  <c r="AB945" i="27"/>
  <c r="T945" i="27"/>
  <c r="Z944" i="27"/>
  <c r="Y943" i="27"/>
  <c r="W942" i="27"/>
  <c r="U941" i="27"/>
  <c r="AA940" i="27"/>
  <c r="S940" i="27"/>
  <c r="Y939" i="27"/>
  <c r="W938" i="27"/>
  <c r="U937" i="27"/>
  <c r="AA936" i="27"/>
  <c r="S936" i="27"/>
  <c r="Y935" i="27"/>
  <c r="W934" i="27"/>
  <c r="U933" i="27"/>
  <c r="AA932" i="27"/>
  <c r="S932" i="27"/>
  <c r="Y931" i="27"/>
  <c r="W930" i="27"/>
  <c r="U929" i="27"/>
  <c r="AA928" i="27"/>
  <c r="S928" i="27"/>
  <c r="Y927" i="27"/>
  <c r="W926" i="27"/>
  <c r="U925" i="27"/>
  <c r="AA924" i="27"/>
  <c r="S924" i="27"/>
  <c r="Y923" i="27"/>
  <c r="W922" i="27"/>
  <c r="U921" i="27"/>
  <c r="AA920" i="27"/>
  <c r="S920" i="27"/>
  <c r="Y919" i="27"/>
  <c r="W918" i="27"/>
  <c r="U917" i="27"/>
  <c r="AA916" i="27"/>
  <c r="S916" i="27"/>
  <c r="Z915" i="27"/>
  <c r="X914" i="27"/>
  <c r="V913" i="27"/>
  <c r="AB912" i="27"/>
  <c r="T912" i="27"/>
  <c r="AA911" i="27"/>
  <c r="S911" i="27"/>
  <c r="Z910" i="27"/>
  <c r="X909" i="27"/>
  <c r="V908" i="27"/>
  <c r="AB907" i="27"/>
  <c r="T907" i="27"/>
  <c r="Z906" i="27"/>
  <c r="X905" i="27"/>
  <c r="V904" i="27"/>
  <c r="AB903" i="27"/>
  <c r="T903" i="27"/>
  <c r="Z902" i="27"/>
  <c r="X901" i="27"/>
  <c r="V900" i="27"/>
  <c r="AB899" i="27"/>
  <c r="T899" i="27"/>
  <c r="Z898" i="27"/>
  <c r="X897" i="27"/>
  <c r="V896" i="27"/>
  <c r="AB895" i="27"/>
  <c r="T895" i="27"/>
  <c r="Z894" i="27"/>
  <c r="X893" i="27"/>
  <c r="V892" i="27"/>
  <c r="AB891" i="27"/>
  <c r="T891" i="27"/>
  <c r="Z890" i="27"/>
  <c r="X889" i="27"/>
  <c r="T1315" i="27"/>
  <c r="AA1275" i="27"/>
  <c r="T1260" i="27"/>
  <c r="X1250" i="27"/>
  <c r="T1247" i="27"/>
  <c r="X1244" i="27"/>
  <c r="U1238" i="27"/>
  <c r="AB1228" i="27"/>
  <c r="AA1219" i="27"/>
  <c r="Z1218" i="27"/>
  <c r="AB1217" i="27"/>
  <c r="Z1216" i="27"/>
  <c r="W1378" i="27"/>
  <c r="AA1347" i="27"/>
  <c r="U1324" i="27"/>
  <c r="AB1268" i="27"/>
  <c r="Z1263" i="27"/>
  <c r="X1258" i="27"/>
  <c r="AA1252" i="27"/>
  <c r="AA1251" i="27"/>
  <c r="W1235" i="27"/>
  <c r="T1228" i="27"/>
  <c r="W1225" i="27"/>
  <c r="AB1220" i="27"/>
  <c r="U1219" i="27"/>
  <c r="U1218" i="27"/>
  <c r="AA1217" i="27"/>
  <c r="X1213" i="27"/>
  <c r="V1212" i="27"/>
  <c r="AB1203" i="27"/>
  <c r="W1202" i="27"/>
  <c r="U1201" i="27"/>
  <c r="T1200" i="27"/>
  <c r="U1199" i="27"/>
  <c r="Z1194" i="27"/>
  <c r="Z1193" i="27"/>
  <c r="W1192" i="27"/>
  <c r="W1191" i="27"/>
  <c r="AB1411" i="27"/>
  <c r="W1341" i="27"/>
  <c r="X1309" i="27"/>
  <c r="AA1280" i="27"/>
  <c r="X1273" i="27"/>
  <c r="S1268" i="27"/>
  <c r="W1258" i="27"/>
  <c r="Z1255" i="27"/>
  <c r="T1252" i="27"/>
  <c r="Z1251" i="27"/>
  <c r="T1248" i="27"/>
  <c r="S1232" i="27"/>
  <c r="W1229" i="27"/>
  <c r="V1220" i="27"/>
  <c r="S1219" i="27"/>
  <c r="T1218" i="27"/>
  <c r="Y1217" i="27"/>
  <c r="W1213" i="27"/>
  <c r="AA1204" i="27"/>
  <c r="X1203" i="27"/>
  <c r="S1200" i="27"/>
  <c r="X1194" i="27"/>
  <c r="W1193" i="27"/>
  <c r="U1192" i="27"/>
  <c r="V1191" i="27"/>
  <c r="X1182" i="27"/>
  <c r="T1181" i="27"/>
  <c r="U1180" i="27"/>
  <c r="W1179" i="27"/>
  <c r="S1177" i="27"/>
  <c r="T1176" i="27"/>
  <c r="AA1175" i="27"/>
  <c r="Z1174" i="27"/>
  <c r="S1170" i="27"/>
  <c r="W1169" i="27"/>
  <c r="V1168" i="27"/>
  <c r="X1167" i="27"/>
  <c r="W1166" i="27"/>
  <c r="V1162" i="27"/>
  <c r="X1161" i="27"/>
  <c r="AA1160" i="27"/>
  <c r="S1158" i="27"/>
  <c r="X1157" i="27"/>
  <c r="Z1156" i="27"/>
  <c r="T1154" i="27"/>
  <c r="Y1153" i="27"/>
  <c r="AA1152" i="27"/>
  <c r="V1150" i="27"/>
  <c r="Z1149" i="27"/>
  <c r="T1147" i="27"/>
  <c r="W1146" i="27"/>
  <c r="AB1145" i="27"/>
  <c r="U1143" i="27"/>
  <c r="Z1142" i="27"/>
  <c r="S1140" i="27"/>
  <c r="V1139" i="27"/>
  <c r="AA1138" i="27"/>
  <c r="V1136" i="27"/>
  <c r="X1135" i="27"/>
  <c r="AB1134" i="27"/>
  <c r="T1133" i="27"/>
  <c r="W1132" i="27"/>
  <c r="Y1131" i="27"/>
  <c r="U1129" i="27"/>
  <c r="X1128" i="27"/>
  <c r="AB1127" i="27"/>
  <c r="S1126" i="27"/>
  <c r="X1125" i="27"/>
  <c r="Z1124" i="27"/>
  <c r="T1122" i="27"/>
  <c r="Y1121" i="27"/>
  <c r="AA1120" i="27"/>
  <c r="V1118" i="27"/>
  <c r="Z1117" i="27"/>
  <c r="T1115" i="27"/>
  <c r="W1114" i="27"/>
  <c r="AB1113" i="27"/>
  <c r="U1111" i="27"/>
  <c r="Z1110" i="27"/>
  <c r="S1108" i="27"/>
  <c r="V1107" i="27"/>
  <c r="AA1106" i="27"/>
  <c r="V1104" i="27"/>
  <c r="X1103" i="27"/>
  <c r="AB1102" i="27"/>
  <c r="T1101" i="27"/>
  <c r="W1100" i="27"/>
  <c r="Y1099" i="27"/>
  <c r="U1097" i="27"/>
  <c r="X1096" i="27"/>
  <c r="AB1095" i="27"/>
  <c r="S1094" i="27"/>
  <c r="X1093" i="27"/>
  <c r="Z1092" i="27"/>
  <c r="Z1318" i="27"/>
  <c r="AB1295" i="27"/>
  <c r="V1280" i="27"/>
  <c r="U1276" i="27"/>
  <c r="S1271" i="27"/>
  <c r="V1261" i="27"/>
  <c r="V1253" i="27"/>
  <c r="S1252" i="27"/>
  <c r="S1251" i="27"/>
  <c r="T1242" i="27"/>
  <c r="AB1233" i="27"/>
  <c r="V1229" i="27"/>
  <c r="X1221" i="27"/>
  <c r="T1220" i="27"/>
  <c r="AB1205" i="27"/>
  <c r="Z1204" i="27"/>
  <c r="T1203" i="27"/>
  <c r="X1266" i="27"/>
  <c r="Z1246" i="27"/>
  <c r="T1223" i="27"/>
  <c r="X1222" i="27"/>
  <c r="W1212" i="27"/>
  <c r="AA1208" i="27"/>
  <c r="Y1207" i="27"/>
  <c r="V1206" i="27"/>
  <c r="V1200" i="27"/>
  <c r="Y1197" i="27"/>
  <c r="T1196" i="27"/>
  <c r="T1192" i="27"/>
  <c r="V1188" i="27"/>
  <c r="X1183" i="27"/>
  <c r="V1178" i="27"/>
  <c r="S1171" i="27"/>
  <c r="T1158" i="27"/>
  <c r="T1157" i="27"/>
  <c r="V1156" i="27"/>
  <c r="X1155" i="27"/>
  <c r="AA1154" i="27"/>
  <c r="AB1153" i="27"/>
  <c r="S1148" i="27"/>
  <c r="U1147" i="27"/>
  <c r="T1146" i="27"/>
  <c r="X1145" i="27"/>
  <c r="X1144" i="27"/>
  <c r="X1143" i="27"/>
  <c r="AA1142" i="27"/>
  <c r="T1135" i="27"/>
  <c r="V1134" i="27"/>
  <c r="X1133" i="27"/>
  <c r="V1132" i="27"/>
  <c r="V1131" i="27"/>
  <c r="AA1130" i="27"/>
  <c r="T1123" i="27"/>
  <c r="V1122" i="27"/>
  <c r="X1121" i="27"/>
  <c r="X1120" i="27"/>
  <c r="Y1119" i="27"/>
  <c r="AB1118" i="27"/>
  <c r="S1112" i="27"/>
  <c r="T1111" i="27"/>
  <c r="V1110" i="27"/>
  <c r="Z1109" i="27"/>
  <c r="AA1108" i="27"/>
  <c r="Y1107" i="27"/>
  <c r="AB1106" i="27"/>
  <c r="T1099" i="27"/>
  <c r="W1098" i="27"/>
  <c r="Y1097" i="27"/>
  <c r="Z1096" i="27"/>
  <c r="Y1095" i="27"/>
  <c r="AB1094" i="27"/>
  <c r="S1090" i="27"/>
  <c r="X1089" i="27"/>
  <c r="Z1088" i="27"/>
  <c r="AB1087" i="27"/>
  <c r="T1085" i="27"/>
  <c r="W1084" i="27"/>
  <c r="V1083" i="27"/>
  <c r="Z1082" i="27"/>
  <c r="V1078" i="27"/>
  <c r="AA1077" i="27"/>
  <c r="V1076" i="27"/>
  <c r="Y1075" i="27"/>
  <c r="U1074" i="27"/>
  <c r="Z1073" i="27"/>
  <c r="V1072" i="27"/>
  <c r="AB1071" i="27"/>
  <c r="S1071" i="27"/>
  <c r="Y1070" i="27"/>
  <c r="U1069" i="27"/>
  <c r="Y1068" i="27"/>
  <c r="V1067" i="27"/>
  <c r="AB1066" i="27"/>
  <c r="S1066" i="27"/>
  <c r="X1065" i="27"/>
  <c r="T1064" i="27"/>
  <c r="Z1063" i="27"/>
  <c r="W1062" i="27"/>
  <c r="AA1061" i="27"/>
  <c r="W1060" i="27"/>
  <c r="T1059" i="27"/>
  <c r="Z1058" i="27"/>
  <c r="V1057" i="27"/>
  <c r="AA1056" i="27"/>
  <c r="W1055" i="27"/>
  <c r="T1054" i="27"/>
  <c r="Y1053" i="27"/>
  <c r="U1052" i="27"/>
  <c r="AA1051" i="27"/>
  <c r="X1050" i="27"/>
  <c r="S1049" i="27"/>
  <c r="X1048" i="27"/>
  <c r="U1047" i="27"/>
  <c r="AA1046" i="27"/>
  <c r="W1045" i="27"/>
  <c r="AB1044" i="27"/>
  <c r="S1044" i="27"/>
  <c r="Y1043" i="27"/>
  <c r="U1042" i="27"/>
  <c r="Z1041" i="27"/>
  <c r="V1040" i="27"/>
  <c r="AB1039" i="27"/>
  <c r="S1039" i="27"/>
  <c r="Y1038" i="27"/>
  <c r="U1037" i="27"/>
  <c r="Y1036" i="27"/>
  <c r="V1035" i="27"/>
  <c r="AB1034" i="27"/>
  <c r="S1034" i="27"/>
  <c r="X1033" i="27"/>
  <c r="T1032" i="27"/>
  <c r="Z1031" i="27"/>
  <c r="W1030" i="27"/>
  <c r="AA1029" i="27"/>
  <c r="W1028" i="27"/>
  <c r="T1027" i="27"/>
  <c r="Z1026" i="27"/>
  <c r="V1025" i="27"/>
  <c r="AA1024" i="27"/>
  <c r="W1023" i="27"/>
  <c r="T1022" i="27"/>
  <c r="Y1021" i="27"/>
  <c r="U1020" i="27"/>
  <c r="AA1019" i="27"/>
  <c r="X1018" i="27"/>
  <c r="S1017" i="27"/>
  <c r="X1016" i="27"/>
  <c r="U1015" i="27"/>
  <c r="AA1014" i="27"/>
  <c r="W1013" i="27"/>
  <c r="AB1012" i="27"/>
  <c r="S1012" i="27"/>
  <c r="Y1011" i="27"/>
  <c r="U1010" i="27"/>
  <c r="Z1009" i="27"/>
  <c r="V1008" i="27"/>
  <c r="AB1007" i="27"/>
  <c r="S1007" i="27"/>
  <c r="Y1006" i="27"/>
  <c r="U1005" i="27"/>
  <c r="Y1004" i="27"/>
  <c r="V1003" i="27"/>
  <c r="AB1002" i="27"/>
  <c r="S1002" i="27"/>
  <c r="X1001" i="27"/>
  <c r="T1000" i="27"/>
  <c r="Z999" i="27"/>
  <c r="W998" i="27"/>
  <c r="AA997" i="27"/>
  <c r="W996" i="27"/>
  <c r="T995" i="27"/>
  <c r="Z994" i="27"/>
  <c r="V993" i="27"/>
  <c r="AA992" i="27"/>
  <c r="W991" i="27"/>
  <c r="T990" i="27"/>
  <c r="Y989" i="27"/>
  <c r="U988" i="27"/>
  <c r="AA987" i="27"/>
  <c r="X986" i="27"/>
  <c r="S985" i="27"/>
  <c r="X984" i="27"/>
  <c r="Y1350" i="27"/>
  <c r="X1285" i="27"/>
  <c r="W1266" i="27"/>
  <c r="T1264" i="27"/>
  <c r="X1262" i="27"/>
  <c r="AB1256" i="27"/>
  <c r="W1249" i="27"/>
  <c r="X1236" i="27"/>
  <c r="X1226" i="27"/>
  <c r="S1223" i="27"/>
  <c r="S1222" i="27"/>
  <c r="Z1208" i="27"/>
  <c r="W1207" i="27"/>
  <c r="X1197" i="27"/>
  <c r="S1196" i="27"/>
  <c r="X1189" i="27"/>
  <c r="AB1184" i="27"/>
  <c r="W1183" i="27"/>
  <c r="Z1179" i="27"/>
  <c r="S1156" i="27"/>
  <c r="V1155" i="27"/>
  <c r="W1154" i="27"/>
  <c r="Z1153" i="27"/>
  <c r="Z1152" i="27"/>
  <c r="AB1151" i="27"/>
  <c r="S1146" i="27"/>
  <c r="U1145" i="27"/>
  <c r="V1144" i="27"/>
  <c r="V1143" i="27"/>
  <c r="W1142" i="27"/>
  <c r="AB1141" i="27"/>
  <c r="S1134" i="27"/>
  <c r="U1133" i="27"/>
  <c r="S1132" i="27"/>
  <c r="U1131" i="27"/>
  <c r="Z1130" i="27"/>
  <c r="AB1129" i="27"/>
  <c r="AA1128" i="27"/>
  <c r="S1122" i="27"/>
  <c r="U1121" i="27"/>
  <c r="W1120" i="27"/>
  <c r="X1119" i="27"/>
  <c r="Z1118" i="27"/>
  <c r="AB1117" i="27"/>
  <c r="T1110" i="27"/>
  <c r="Y1109" i="27"/>
  <c r="Z1108" i="27"/>
  <c r="X1107" i="27"/>
  <c r="Z1106" i="27"/>
  <c r="AB1105" i="27"/>
  <c r="T1098" i="27"/>
  <c r="X1097" i="27"/>
  <c r="W1096" i="27"/>
  <c r="X1095" i="27"/>
  <c r="AA1094" i="27"/>
  <c r="Z1093" i="27"/>
  <c r="AA1092" i="27"/>
  <c r="U1089" i="27"/>
  <c r="X1088" i="27"/>
  <c r="Y1087" i="27"/>
  <c r="AB1086" i="27"/>
  <c r="S1084" i="27"/>
  <c r="U1083" i="27"/>
  <c r="W1082" i="27"/>
  <c r="AB1081" i="27"/>
  <c r="T1078" i="27"/>
  <c r="Z1077" i="27"/>
  <c r="U1076" i="27"/>
  <c r="W1075" i="27"/>
  <c r="T1074" i="27"/>
  <c r="Y1073" i="27"/>
  <c r="U1072" i="27"/>
  <c r="AA1071" i="27"/>
  <c r="X1070" i="27"/>
  <c r="S1069" i="27"/>
  <c r="X1068" i="27"/>
  <c r="U1067" i="27"/>
  <c r="AA1066" i="27"/>
  <c r="W1065" i="27"/>
  <c r="AB1064" i="27"/>
  <c r="S1064" i="27"/>
  <c r="Y1063" i="27"/>
  <c r="U1062" i="27"/>
  <c r="Z1061" i="27"/>
  <c r="V1060" i="27"/>
  <c r="AB1059" i="27"/>
  <c r="S1059" i="27"/>
  <c r="Y1058" i="27"/>
  <c r="U1057" i="27"/>
  <c r="Y1056" i="27"/>
  <c r="V1055" i="27"/>
  <c r="AB1054" i="27"/>
  <c r="S1054" i="27"/>
  <c r="X1053" i="27"/>
  <c r="T1052" i="27"/>
  <c r="Z1051" i="27"/>
  <c r="W1050" i="27"/>
  <c r="AA1049" i="27"/>
  <c r="W1048" i="27"/>
  <c r="T1047" i="27"/>
  <c r="Z1046" i="27"/>
  <c r="V1045" i="27"/>
  <c r="AA1044" i="27"/>
  <c r="W1043" i="27"/>
  <c r="T1042" i="27"/>
  <c r="Y1041" i="27"/>
  <c r="U1040" i="27"/>
  <c r="AA1039" i="27"/>
  <c r="X1038" i="27"/>
  <c r="S1037" i="27"/>
  <c r="X1036" i="27"/>
  <c r="U1035" i="27"/>
  <c r="AA1034" i="27"/>
  <c r="W1033" i="27"/>
  <c r="AB1032" i="27"/>
  <c r="S1032" i="27"/>
  <c r="Y1031" i="27"/>
  <c r="U1030" i="27"/>
  <c r="Z1029" i="27"/>
  <c r="V1028" i="27"/>
  <c r="AB1027" i="27"/>
  <c r="S1027" i="27"/>
  <c r="Y1026" i="27"/>
  <c r="U1025" i="27"/>
  <c r="Y1024" i="27"/>
  <c r="V1023" i="27"/>
  <c r="AB1022" i="27"/>
  <c r="S1022" i="27"/>
  <c r="X1021" i="27"/>
  <c r="T1020" i="27"/>
  <c r="Z1019" i="27"/>
  <c r="W1018" i="27"/>
  <c r="AA1017" i="27"/>
  <c r="W1016" i="27"/>
  <c r="T1015" i="27"/>
  <c r="Z1014" i="27"/>
  <c r="V1013" i="27"/>
  <c r="AA1012" i="27"/>
  <c r="W1011" i="27"/>
  <c r="T1010" i="27"/>
  <c r="Y1009" i="27"/>
  <c r="U1008" i="27"/>
  <c r="AA1007" i="27"/>
  <c r="X1006" i="27"/>
  <c r="S1005" i="27"/>
  <c r="X1004" i="27"/>
  <c r="U1003" i="27"/>
  <c r="AA1002" i="27"/>
  <c r="W1001" i="27"/>
  <c r="AB1000" i="27"/>
  <c r="S1000" i="27"/>
  <c r="Y999" i="27"/>
  <c r="U998" i="27"/>
  <c r="Z997" i="27"/>
  <c r="V996" i="27"/>
  <c r="AB995" i="27"/>
  <c r="S995" i="27"/>
  <c r="Y994" i="27"/>
  <c r="U993" i="27"/>
  <c r="AB1403" i="27"/>
  <c r="U1269" i="27"/>
  <c r="AA1237" i="27"/>
  <c r="X1209" i="27"/>
  <c r="S1204" i="27"/>
  <c r="X1198" i="27"/>
  <c r="T1190" i="27"/>
  <c r="AA1185" i="27"/>
  <c r="T1184" i="27"/>
  <c r="AA1181" i="27"/>
  <c r="Y1180" i="27"/>
  <c r="Y1168" i="27"/>
  <c r="Y1167" i="27"/>
  <c r="V1166" i="27"/>
  <c r="AA1165" i="27"/>
  <c r="AA1164" i="27"/>
  <c r="AB1163" i="27"/>
  <c r="AB1162" i="27"/>
  <c r="AB1161" i="27"/>
  <c r="S1154" i="27"/>
  <c r="U1153" i="27"/>
  <c r="W1152" i="27"/>
  <c r="X1151" i="27"/>
  <c r="Z1150" i="27"/>
  <c r="AB1149" i="27"/>
  <c r="T1142" i="27"/>
  <c r="Y1141" i="27"/>
  <c r="Z1140" i="27"/>
  <c r="X1139" i="27"/>
  <c r="Z1138" i="27"/>
  <c r="AB1137" i="27"/>
  <c r="T1130" i="27"/>
  <c r="X1129" i="27"/>
  <c r="W1128" i="27"/>
  <c r="X1127" i="27"/>
  <c r="AA1126" i="27"/>
  <c r="Z1125" i="27"/>
  <c r="AA1124" i="27"/>
  <c r="T1119" i="27"/>
  <c r="T1118" i="27"/>
  <c r="X1117" i="27"/>
  <c r="Z1116" i="27"/>
  <c r="AB1115" i="27"/>
  <c r="AA1114" i="27"/>
  <c r="T1109" i="27"/>
  <c r="V1108" i="27"/>
  <c r="T1107" i="27"/>
  <c r="V1106" i="27"/>
  <c r="Y1105" i="27"/>
  <c r="X1104" i="27"/>
  <c r="Y1103" i="27"/>
  <c r="AA1102" i="27"/>
  <c r="S1096" i="27"/>
  <c r="U1095" i="27"/>
  <c r="V1094" i="27"/>
  <c r="U1093" i="27"/>
  <c r="W1092" i="27"/>
  <c r="Y1091" i="27"/>
  <c r="AB1090" i="27"/>
  <c r="V1088" i="27"/>
  <c r="U1087" i="27"/>
  <c r="W1086" i="27"/>
  <c r="AB1085" i="27"/>
  <c r="T1082" i="27"/>
  <c r="Y1081" i="27"/>
  <c r="Z1080" i="27"/>
  <c r="AB1079" i="27"/>
  <c r="W1077" i="27"/>
  <c r="AA1076" i="27"/>
  <c r="U1075" i="27"/>
  <c r="AA1074" i="27"/>
  <c r="W1073" i="27"/>
  <c r="AB1072" i="27"/>
  <c r="S1072" i="27"/>
  <c r="Y1071" i="27"/>
  <c r="U1070" i="27"/>
  <c r="Z1069" i="27"/>
  <c r="V1068" i="27"/>
  <c r="AB1067" i="27"/>
  <c r="S1067" i="27"/>
  <c r="Y1066" i="27"/>
  <c r="U1065" i="27"/>
  <c r="Y1064" i="27"/>
  <c r="V1063" i="27"/>
  <c r="AB1062" i="27"/>
  <c r="S1062" i="27"/>
  <c r="X1061" i="27"/>
  <c r="T1060" i="27"/>
  <c r="Z1059" i="27"/>
  <c r="W1058" i="27"/>
  <c r="AA1057" i="27"/>
  <c r="W1056" i="27"/>
  <c r="T1055" i="27"/>
  <c r="Z1054" i="27"/>
  <c r="V1053" i="27"/>
  <c r="AA1052" i="27"/>
  <c r="W1051" i="27"/>
  <c r="T1050" i="27"/>
  <c r="Y1049" i="27"/>
  <c r="U1048" i="27"/>
  <c r="AA1047" i="27"/>
  <c r="X1046" i="27"/>
  <c r="S1045" i="27"/>
  <c r="X1044" i="27"/>
  <c r="U1043" i="27"/>
  <c r="AA1042" i="27"/>
  <c r="W1041" i="27"/>
  <c r="AB1040" i="27"/>
  <c r="S1040" i="27"/>
  <c r="Y1039" i="27"/>
  <c r="U1038" i="27"/>
  <c r="Z1037" i="27"/>
  <c r="V1036" i="27"/>
  <c r="AB1035" i="27"/>
  <c r="S1035" i="27"/>
  <c r="Y1034" i="27"/>
  <c r="U1033" i="27"/>
  <c r="Y1032" i="27"/>
  <c r="V1031" i="27"/>
  <c r="AB1030" i="27"/>
  <c r="S1030" i="27"/>
  <c r="X1029" i="27"/>
  <c r="T1028" i="27"/>
  <c r="Z1027" i="27"/>
  <c r="W1026" i="27"/>
  <c r="AA1025" i="27"/>
  <c r="W1024" i="27"/>
  <c r="T1023" i="27"/>
  <c r="Z1022" i="27"/>
  <c r="V1021" i="27"/>
  <c r="AA1020" i="27"/>
  <c r="W1019" i="27"/>
  <c r="T1018" i="27"/>
  <c r="Y1017" i="27"/>
  <c r="U1016" i="27"/>
  <c r="AA1015" i="27"/>
  <c r="X1014" i="27"/>
  <c r="S1013" i="27"/>
  <c r="X1012" i="27"/>
  <c r="U1011" i="27"/>
  <c r="AA1010" i="27"/>
  <c r="W1009" i="27"/>
  <c r="AB1008" i="27"/>
  <c r="S1008" i="27"/>
  <c r="Y1007" i="27"/>
  <c r="U1006" i="27"/>
  <c r="Z1005" i="27"/>
  <c r="V1004" i="27"/>
  <c r="AB1003" i="27"/>
  <c r="S1003" i="27"/>
  <c r="Y1002" i="27"/>
  <c r="U1001" i="27"/>
  <c r="Y1000" i="27"/>
  <c r="V999" i="27"/>
  <c r="AB998" i="27"/>
  <c r="S998" i="27"/>
  <c r="X997" i="27"/>
  <c r="T996" i="27"/>
  <c r="Z995" i="27"/>
  <c r="W994" i="27"/>
  <c r="AA993" i="27"/>
  <c r="W992" i="27"/>
  <c r="T991" i="27"/>
  <c r="Z990" i="27"/>
  <c r="V989" i="27"/>
  <c r="AA988" i="27"/>
  <c r="W987" i="27"/>
  <c r="T986" i="27"/>
  <c r="Y985" i="27"/>
  <c r="U984" i="27"/>
  <c r="S1367" i="27"/>
  <c r="V1312" i="27"/>
  <c r="S1242" i="27"/>
  <c r="Z1237" i="27"/>
  <c r="AA1227" i="27"/>
  <c r="AB1210" i="27"/>
  <c r="Y1202" i="27"/>
  <c r="S1194" i="27"/>
  <c r="AB1186" i="27"/>
  <c r="Z1185" i="27"/>
  <c r="W1181" i="27"/>
  <c r="T1180" i="27"/>
  <c r="Y1176" i="27"/>
  <c r="AB1175" i="27"/>
  <c r="Y1174" i="27"/>
  <c r="Z1173" i="27"/>
  <c r="AB1172" i="27"/>
  <c r="AA1169" i="27"/>
  <c r="X1168" i="27"/>
  <c r="W1167" i="27"/>
  <c r="T1166" i="27"/>
  <c r="Z1165" i="27"/>
  <c r="Z1164" i="27"/>
  <c r="Z1163" i="27"/>
  <c r="X1162" i="27"/>
  <c r="Y1161" i="27"/>
  <c r="Z1160" i="27"/>
  <c r="Z1159" i="27"/>
  <c r="AB1158" i="27"/>
  <c r="T1153" i="27"/>
  <c r="V1152" i="27"/>
  <c r="U1151" i="27"/>
  <c r="W1150" i="27"/>
  <c r="Y1149" i="27"/>
  <c r="AA1148" i="27"/>
  <c r="S1142" i="27"/>
  <c r="X1141" i="27"/>
  <c r="W1140" i="27"/>
  <c r="U1139" i="27"/>
  <c r="W1138" i="27"/>
  <c r="Z1137" i="27"/>
  <c r="AA1136" i="27"/>
  <c r="AB1135" i="27"/>
  <c r="S1130" i="27"/>
  <c r="T1129" i="27"/>
  <c r="V1128" i="27"/>
  <c r="V1127" i="27"/>
  <c r="Z1126" i="27"/>
  <c r="Y1125" i="27"/>
  <c r="X1124" i="27"/>
  <c r="AB1123" i="27"/>
  <c r="S1118" i="27"/>
  <c r="U1117" i="27"/>
  <c r="X1116" i="27"/>
  <c r="Y1115" i="27"/>
  <c r="Z1114" i="27"/>
  <c r="Z1113" i="27"/>
  <c r="AA1112" i="27"/>
  <c r="T1106" i="27"/>
  <c r="U1105" i="27"/>
  <c r="W1104" i="27"/>
  <c r="V1103" i="27"/>
  <c r="Z1102" i="27"/>
  <c r="AB1101" i="27"/>
  <c r="Z1100" i="27"/>
  <c r="AB1099" i="27"/>
  <c r="T1094" i="27"/>
  <c r="T1093" i="27"/>
  <c r="V1092" i="27"/>
  <c r="X1091" i="27"/>
  <c r="AA1090" i="27"/>
  <c r="T1087" i="27"/>
  <c r="V1086" i="27"/>
  <c r="Z1085" i="27"/>
  <c r="S1082" i="27"/>
  <c r="X1081" i="27"/>
  <c r="X1080" i="27"/>
  <c r="X1079" i="27"/>
  <c r="AB1078" i="27"/>
  <c r="U1077" i="27"/>
  <c r="Z1076" i="27"/>
  <c r="T1075" i="27"/>
  <c r="Z1074" i="27"/>
  <c r="V1073" i="27"/>
  <c r="AA1072" i="27"/>
  <c r="W1071" i="27"/>
  <c r="T1070" i="27"/>
  <c r="Y1069" i="27"/>
  <c r="U1068" i="27"/>
  <c r="AA1067" i="27"/>
  <c r="X1066" i="27"/>
  <c r="S1065" i="27"/>
  <c r="X1064" i="27"/>
  <c r="U1063" i="27"/>
  <c r="AA1062" i="27"/>
  <c r="W1061" i="27"/>
  <c r="AB1060" i="27"/>
  <c r="S1060" i="27"/>
  <c r="Y1059" i="27"/>
  <c r="U1058" i="27"/>
  <c r="Z1057" i="27"/>
  <c r="V1056" i="27"/>
  <c r="AB1055" i="27"/>
  <c r="S1055" i="27"/>
  <c r="Y1054" i="27"/>
  <c r="U1053" i="27"/>
  <c r="Y1052" i="27"/>
  <c r="V1051" i="27"/>
  <c r="AB1050" i="27"/>
  <c r="S1050" i="27"/>
  <c r="X1049" i="27"/>
  <c r="T1048" i="27"/>
  <c r="Z1047" i="27"/>
  <c r="W1046" i="27"/>
  <c r="AA1045" i="27"/>
  <c r="W1044" i="27"/>
  <c r="T1043" i="27"/>
  <c r="Z1042" i="27"/>
  <c r="V1041" i="27"/>
  <c r="AA1040" i="27"/>
  <c r="W1039" i="27"/>
  <c r="T1038" i="27"/>
  <c r="Y1037" i="27"/>
  <c r="U1036" i="27"/>
  <c r="AA1035" i="27"/>
  <c r="X1034" i="27"/>
  <c r="S1033" i="27"/>
  <c r="X1032" i="27"/>
  <c r="U1031" i="27"/>
  <c r="AA1030" i="27"/>
  <c r="W1029" i="27"/>
  <c r="AB1028" i="27"/>
  <c r="S1028" i="27"/>
  <c r="Y1027" i="27"/>
  <c r="U1026" i="27"/>
  <c r="Z1025" i="27"/>
  <c r="V1024" i="27"/>
  <c r="AB1023" i="27"/>
  <c r="S1023" i="27"/>
  <c r="Y1022" i="27"/>
  <c r="U1021" i="27"/>
  <c r="Y1020" i="27"/>
  <c r="V1019" i="27"/>
  <c r="AB1018" i="27"/>
  <c r="S1018" i="27"/>
  <c r="X1017" i="27"/>
  <c r="T1016" i="27"/>
  <c r="Z1015" i="27"/>
  <c r="W1014" i="27"/>
  <c r="AA1013" i="27"/>
  <c r="W1012" i="27"/>
  <c r="T1011" i="27"/>
  <c r="Z1010" i="27"/>
  <c r="V1009" i="27"/>
  <c r="AA1008" i="27"/>
  <c r="W1007" i="27"/>
  <c r="T1006" i="27"/>
  <c r="Y1005" i="27"/>
  <c r="U1004" i="27"/>
  <c r="AA1003" i="27"/>
  <c r="X1002" i="27"/>
  <c r="S1001" i="27"/>
  <c r="X1000" i="27"/>
  <c r="U999" i="27"/>
  <c r="AA998" i="27"/>
  <c r="W997" i="27"/>
  <c r="AB996" i="27"/>
  <c r="S996" i="27"/>
  <c r="Y995" i="27"/>
  <c r="U994" i="27"/>
  <c r="Z993" i="27"/>
  <c r="V992" i="27"/>
  <c r="AB991" i="27"/>
  <c r="S991" i="27"/>
  <c r="Y990" i="27"/>
  <c r="U989" i="27"/>
  <c r="Y988" i="27"/>
  <c r="V987" i="27"/>
  <c r="AB986" i="27"/>
  <c r="S986" i="27"/>
  <c r="X985" i="27"/>
  <c r="T984" i="27"/>
  <c r="Z983" i="27"/>
  <c r="Y1240" i="27"/>
  <c r="Y1214" i="27"/>
  <c r="Y1206" i="27"/>
  <c r="AA1198" i="27"/>
  <c r="U1195" i="27"/>
  <c r="W1186" i="27"/>
  <c r="S1181" i="27"/>
  <c r="Y1173" i="27"/>
  <c r="V1172" i="27"/>
  <c r="Z1171" i="27"/>
  <c r="T1170" i="27"/>
  <c r="S1162" i="27"/>
  <c r="AA1156" i="27"/>
  <c r="Y1155" i="27"/>
  <c r="AA1146" i="27"/>
  <c r="Y1145" i="27"/>
  <c r="Z1141" i="27"/>
  <c r="X1136" i="27"/>
  <c r="V1135" i="27"/>
  <c r="W1134" i="27"/>
  <c r="AB1130" i="27"/>
  <c r="V1126" i="27"/>
  <c r="Z1120" i="27"/>
  <c r="W1116" i="27"/>
  <c r="AB1110" i="27"/>
  <c r="AB1109" i="27"/>
  <c r="W1106" i="27"/>
  <c r="W1102" i="27"/>
  <c r="X1101" i="27"/>
  <c r="S1100" i="27"/>
  <c r="V1095" i="27"/>
  <c r="S1092" i="27"/>
  <c r="S1086" i="27"/>
  <c r="Z1081" i="27"/>
  <c r="S1080" i="27"/>
  <c r="S1070" i="27"/>
  <c r="V1069" i="27"/>
  <c r="T1068" i="27"/>
  <c r="W1067" i="27"/>
  <c r="U1066" i="27"/>
  <c r="Y1065" i="27"/>
  <c r="V1064" i="27"/>
  <c r="W1063" i="27"/>
  <c r="Y1062" i="27"/>
  <c r="V1061" i="27"/>
  <c r="Y1060" i="27"/>
  <c r="W1059" i="27"/>
  <c r="AA1058" i="27"/>
  <c r="Y1057" i="27"/>
  <c r="AB1056" i="27"/>
  <c r="S1047" i="27"/>
  <c r="T1046" i="27"/>
  <c r="X1045" i="27"/>
  <c r="U1044" i="27"/>
  <c r="Z1043" i="27"/>
  <c r="Y1042" i="27"/>
  <c r="AA1041" i="27"/>
  <c r="Y1040" i="27"/>
  <c r="Z1039" i="27"/>
  <c r="AB1038" i="27"/>
  <c r="S1024" i="27"/>
  <c r="U1023" i="27"/>
  <c r="U1022" i="27"/>
  <c r="S1021" i="27"/>
  <c r="V1020" i="27"/>
  <c r="U1019" i="27"/>
  <c r="Z1018" i="27"/>
  <c r="W1017" i="27"/>
  <c r="AA1016" i="27"/>
  <c r="AB1015" i="27"/>
  <c r="S1006" i="27"/>
  <c r="V1005" i="27"/>
  <c r="T1004" i="27"/>
  <c r="W1003" i="27"/>
  <c r="U1002" i="27"/>
  <c r="Y1001" i="27"/>
  <c r="V1000" i="27"/>
  <c r="W999" i="27"/>
  <c r="Y998" i="27"/>
  <c r="V997" i="27"/>
  <c r="Y996" i="27"/>
  <c r="W995" i="27"/>
  <c r="AA994" i="27"/>
  <c r="Y993" i="27"/>
  <c r="AB992" i="27"/>
  <c r="S990" i="27"/>
  <c r="W989" i="27"/>
  <c r="W988" i="27"/>
  <c r="AB987" i="27"/>
  <c r="V984" i="27"/>
  <c r="Y983" i="27"/>
  <c r="U982" i="27"/>
  <c r="Z981" i="27"/>
  <c r="V980" i="27"/>
  <c r="AB979" i="27"/>
  <c r="S979" i="27"/>
  <c r="Y978" i="27"/>
  <c r="U977" i="27"/>
  <c r="Y976" i="27"/>
  <c r="V975" i="27"/>
  <c r="AB974" i="27"/>
  <c r="S974" i="27"/>
  <c r="X973" i="27"/>
  <c r="T972" i="27"/>
  <c r="Z971" i="27"/>
  <c r="W970" i="27"/>
  <c r="AA969" i="27"/>
  <c r="W968" i="27"/>
  <c r="T967" i="27"/>
  <c r="Z966" i="27"/>
  <c r="V965" i="27"/>
  <c r="AA964" i="27"/>
  <c r="W963" i="27"/>
  <c r="T962" i="27"/>
  <c r="Y961" i="27"/>
  <c r="U960" i="27"/>
  <c r="AA959" i="27"/>
  <c r="X958" i="27"/>
  <c r="S957" i="27"/>
  <c r="X956" i="27"/>
  <c r="U955" i="27"/>
  <c r="AA954" i="27"/>
  <c r="W953" i="27"/>
  <c r="AB952" i="27"/>
  <c r="S952" i="27"/>
  <c r="Y951" i="27"/>
  <c r="U950" i="27"/>
  <c r="Z949" i="27"/>
  <c r="V948" i="27"/>
  <c r="AB947" i="27"/>
  <c r="S947" i="27"/>
  <c r="Y946" i="27"/>
  <c r="U945" i="27"/>
  <c r="Y944" i="27"/>
  <c r="V943" i="27"/>
  <c r="AB942" i="27"/>
  <c r="S942" i="27"/>
  <c r="Y941" i="27"/>
  <c r="U940" i="27"/>
  <c r="Z939" i="27"/>
  <c r="V938" i="27"/>
  <c r="AB937" i="27"/>
  <c r="S937" i="27"/>
  <c r="X936" i="27"/>
  <c r="T935" i="27"/>
  <c r="Z934" i="27"/>
  <c r="W933" i="27"/>
  <c r="AB932" i="27"/>
  <c r="W931" i="27"/>
  <c r="T930" i="27"/>
  <c r="Z929" i="27"/>
  <c r="V928" i="27"/>
  <c r="AA927" i="27"/>
  <c r="X926" i="27"/>
  <c r="T925" i="27"/>
  <c r="Y924" i="27"/>
  <c r="U923" i="27"/>
  <c r="AA922" i="27"/>
  <c r="X921" i="27"/>
  <c r="T920" i="27"/>
  <c r="X919" i="27"/>
  <c r="U918" i="27"/>
  <c r="AA917" i="27"/>
  <c r="W916" i="27"/>
  <c r="T915" i="27"/>
  <c r="Z914" i="27"/>
  <c r="W913" i="27"/>
  <c r="AA912" i="27"/>
  <c r="X911" i="27"/>
  <c r="U910" i="27"/>
  <c r="AA909" i="27"/>
  <c r="X908" i="27"/>
  <c r="S907" i="27"/>
  <c r="X906" i="27"/>
  <c r="U905" i="27"/>
  <c r="AA904" i="27"/>
  <c r="W903" i="27"/>
  <c r="AB902" i="27"/>
  <c r="S902" i="27"/>
  <c r="Y901" i="27"/>
  <c r="U900" i="27"/>
  <c r="Z899" i="27"/>
  <c r="V898" i="27"/>
  <c r="AB897" i="27"/>
  <c r="S897" i="27"/>
  <c r="Y896" i="27"/>
  <c r="U895" i="27"/>
  <c r="Y894" i="27"/>
  <c r="V893" i="27"/>
  <c r="AB892" i="27"/>
  <c r="S892" i="27"/>
  <c r="X891" i="27"/>
  <c r="T890" i="27"/>
  <c r="Z889" i="27"/>
  <c r="W888" i="27"/>
  <c r="U887" i="27"/>
  <c r="AA886" i="27"/>
  <c r="S886" i="27"/>
  <c r="Y885" i="27"/>
  <c r="W884" i="27"/>
  <c r="U883" i="27"/>
  <c r="AA882" i="27"/>
  <c r="S882" i="27"/>
  <c r="Y881" i="27"/>
  <c r="W880" i="27"/>
  <c r="U879" i="27"/>
  <c r="AA878" i="27"/>
  <c r="S878" i="27"/>
  <c r="Y877" i="27"/>
  <c r="W876" i="27"/>
  <c r="U875" i="27"/>
  <c r="AA874" i="27"/>
  <c r="S874" i="27"/>
  <c r="Y873" i="27"/>
  <c r="X872" i="27"/>
  <c r="V871" i="27"/>
  <c r="AB870" i="27"/>
  <c r="T870" i="27"/>
  <c r="Z869" i="27"/>
  <c r="X868" i="27"/>
  <c r="V867" i="27"/>
  <c r="AB866" i="27"/>
  <c r="T866" i="27"/>
  <c r="AA865" i="27"/>
  <c r="S865" i="27"/>
  <c r="Z864" i="27"/>
  <c r="Y863" i="27"/>
  <c r="X862" i="27"/>
  <c r="W861" i="27"/>
  <c r="V860" i="27"/>
  <c r="U859" i="27"/>
  <c r="AB858" i="27"/>
  <c r="T858" i="27"/>
  <c r="AA857" i="27"/>
  <c r="S857" i="27"/>
  <c r="Z856" i="27"/>
  <c r="Y855" i="27"/>
  <c r="X854" i="27"/>
  <c r="W853" i="27"/>
  <c r="V852" i="27"/>
  <c r="U851" i="27"/>
  <c r="AA850" i="27"/>
  <c r="S850" i="27"/>
  <c r="Y849" i="27"/>
  <c r="V1243" i="27"/>
  <c r="T1234" i="27"/>
  <c r="Y1209" i="27"/>
  <c r="X1206" i="27"/>
  <c r="X1201" i="27"/>
  <c r="AB1196" i="27"/>
  <c r="Z1190" i="27"/>
  <c r="T1186" i="27"/>
  <c r="W1174" i="27"/>
  <c r="X1173" i="27"/>
  <c r="T1172" i="27"/>
  <c r="T1171" i="27"/>
  <c r="T1167" i="27"/>
  <c r="V1163" i="27"/>
  <c r="Z1157" i="27"/>
  <c r="X1156" i="27"/>
  <c r="T1155" i="27"/>
  <c r="X1152" i="27"/>
  <c r="AB1147" i="27"/>
  <c r="Z1146" i="27"/>
  <c r="T1141" i="27"/>
  <c r="Y1137" i="27"/>
  <c r="W1136" i="27"/>
  <c r="U1135" i="27"/>
  <c r="AB1131" i="27"/>
  <c r="W1130" i="27"/>
  <c r="Y1127" i="27"/>
  <c r="T1126" i="27"/>
  <c r="AB1121" i="27"/>
  <c r="V1120" i="27"/>
  <c r="Y1117" i="27"/>
  <c r="S1116" i="27"/>
  <c r="AB1111" i="27"/>
  <c r="AA1110" i="27"/>
  <c r="X1109" i="27"/>
  <c r="AB1103" i="27"/>
  <c r="V1102" i="27"/>
  <c r="U1101" i="27"/>
  <c r="X1087" i="27"/>
  <c r="U1081" i="27"/>
  <c r="S1068" i="27"/>
  <c r="T1067" i="27"/>
  <c r="T1066" i="27"/>
  <c r="V1065" i="27"/>
  <c r="U1064" i="27"/>
  <c r="T1063" i="27"/>
  <c r="X1062" i="27"/>
  <c r="U1061" i="27"/>
  <c r="X1060" i="27"/>
  <c r="V1059" i="27"/>
  <c r="X1058" i="27"/>
  <c r="X1057" i="27"/>
  <c r="X1056" i="27"/>
  <c r="AA1055" i="27"/>
  <c r="AA1054" i="27"/>
  <c r="AA1053" i="27"/>
  <c r="AB1052" i="27"/>
  <c r="S1046" i="27"/>
  <c r="U1045" i="27"/>
  <c r="T1044" i="27"/>
  <c r="V1043" i="27"/>
  <c r="X1042" i="27"/>
  <c r="X1041" i="27"/>
  <c r="X1040" i="27"/>
  <c r="V1039" i="27"/>
  <c r="AA1038" i="27"/>
  <c r="AA1037" i="27"/>
  <c r="AB1036" i="27"/>
  <c r="S1020" i="27"/>
  <c r="T1019" i="27"/>
  <c r="Y1018" i="27"/>
  <c r="V1017" i="27"/>
  <c r="Y1016" i="27"/>
  <c r="Y1015" i="27"/>
  <c r="AB1014" i="27"/>
  <c r="S1004" i="27"/>
  <c r="T1003" i="27"/>
  <c r="T1002" i="27"/>
  <c r="V1001" i="27"/>
  <c r="U1000" i="27"/>
  <c r="T999" i="27"/>
  <c r="X998" i="27"/>
  <c r="U997" i="27"/>
  <c r="X996" i="27"/>
  <c r="V995" i="27"/>
  <c r="X994" i="27"/>
  <c r="X993" i="27"/>
  <c r="Y992" i="27"/>
  <c r="S989" i="27"/>
  <c r="V988" i="27"/>
  <c r="Z987" i="27"/>
  <c r="S984" i="27"/>
  <c r="W983" i="27"/>
  <c r="T982" i="27"/>
  <c r="Y981" i="27"/>
  <c r="U980" i="27"/>
  <c r="AA979" i="27"/>
  <c r="X978" i="27"/>
  <c r="S977" i="27"/>
  <c r="X976" i="27"/>
  <c r="U975" i="27"/>
  <c r="AA974" i="27"/>
  <c r="W973" i="27"/>
  <c r="AB972" i="27"/>
  <c r="S972" i="27"/>
  <c r="Y971" i="27"/>
  <c r="U970" i="27"/>
  <c r="Z969" i="27"/>
  <c r="V968" i="27"/>
  <c r="AB967" i="27"/>
  <c r="S967" i="27"/>
  <c r="Y966" i="27"/>
  <c r="U965" i="27"/>
  <c r="Y964" i="27"/>
  <c r="V963" i="27"/>
  <c r="AB962" i="27"/>
  <c r="S962" i="27"/>
  <c r="X961" i="27"/>
  <c r="T960" i="27"/>
  <c r="Z959" i="27"/>
  <c r="W958" i="27"/>
  <c r="AA957" i="27"/>
  <c r="W956" i="27"/>
  <c r="T955" i="27"/>
  <c r="Z954" i="27"/>
  <c r="V953" i="27"/>
  <c r="AA952" i="27"/>
  <c r="W951" i="27"/>
  <c r="T950" i="27"/>
  <c r="Y949" i="27"/>
  <c r="U948" i="27"/>
  <c r="AA947" i="27"/>
  <c r="X946" i="27"/>
  <c r="S945" i="27"/>
  <c r="X944" i="27"/>
  <c r="U943" i="27"/>
  <c r="AA942" i="27"/>
  <c r="X941" i="27"/>
  <c r="T940" i="27"/>
  <c r="X939" i="27"/>
  <c r="U938" i="27"/>
  <c r="AA937" i="27"/>
  <c r="W936" i="27"/>
  <c r="AB935" i="27"/>
  <c r="S935" i="27"/>
  <c r="Y934" i="27"/>
  <c r="V933" i="27"/>
  <c r="Z932" i="27"/>
  <c r="V931" i="27"/>
  <c r="AB930" i="27"/>
  <c r="S930" i="27"/>
  <c r="Y929" i="27"/>
  <c r="U928" i="27"/>
  <c r="Z927" i="27"/>
  <c r="V926" i="27"/>
  <c r="AB925" i="27"/>
  <c r="S925" i="27"/>
  <c r="X924" i="27"/>
  <c r="T923" i="27"/>
  <c r="Z922" i="27"/>
  <c r="W921" i="27"/>
  <c r="AB920" i="27"/>
  <c r="W919" i="27"/>
  <c r="T918" i="27"/>
  <c r="Z917" i="27"/>
  <c r="V916" i="27"/>
  <c r="AB915" i="27"/>
  <c r="S915" i="27"/>
  <c r="Y914" i="27"/>
  <c r="U913" i="27"/>
  <c r="Z912" i="27"/>
  <c r="W911" i="27"/>
  <c r="T910" i="27"/>
  <c r="Z909" i="27"/>
  <c r="W908" i="27"/>
  <c r="AA907" i="27"/>
  <c r="W906" i="27"/>
  <c r="T905" i="27"/>
  <c r="Z904" i="27"/>
  <c r="V903" i="27"/>
  <c r="AA902" i="27"/>
  <c r="W901" i="27"/>
  <c r="T900" i="27"/>
  <c r="Y899" i="27"/>
  <c r="U898" i="27"/>
  <c r="AA897" i="27"/>
  <c r="X896" i="27"/>
  <c r="S895" i="27"/>
  <c r="X894" i="27"/>
  <c r="U893" i="27"/>
  <c r="AA892" i="27"/>
  <c r="W891" i="27"/>
  <c r="AB890" i="27"/>
  <c r="S890" i="27"/>
  <c r="Y889" i="27"/>
  <c r="V888" i="27"/>
  <c r="AB887" i="27"/>
  <c r="T887" i="27"/>
  <c r="Z886" i="27"/>
  <c r="X885" i="27"/>
  <c r="V884" i="27"/>
  <c r="AB883" i="27"/>
  <c r="T883" i="27"/>
  <c r="Z882" i="27"/>
  <c r="X881" i="27"/>
  <c r="V880" i="27"/>
  <c r="AB879" i="27"/>
  <c r="T879" i="27"/>
  <c r="Z878" i="27"/>
  <c r="X877" i="27"/>
  <c r="V876" i="27"/>
  <c r="AB875" i="27"/>
  <c r="T875" i="27"/>
  <c r="Z874" i="27"/>
  <c r="X873" i="27"/>
  <c r="W872" i="27"/>
  <c r="U871" i="27"/>
  <c r="AA870" i="27"/>
  <c r="S870" i="27"/>
  <c r="Y869" i="27"/>
  <c r="W868" i="27"/>
  <c r="U867" i="27"/>
  <c r="AA866" i="27"/>
  <c r="S866" i="27"/>
  <c r="Z865" i="27"/>
  <c r="Y864" i="27"/>
  <c r="X863" i="27"/>
  <c r="W862" i="27"/>
  <c r="V861" i="27"/>
  <c r="U860" i="27"/>
  <c r="AB859" i="27"/>
  <c r="T859" i="27"/>
  <c r="AA858" i="27"/>
  <c r="S858" i="27"/>
  <c r="Z857" i="27"/>
  <c r="Y856" i="27"/>
  <c r="X855" i="27"/>
  <c r="W854" i="27"/>
  <c r="V853" i="27"/>
  <c r="U852" i="27"/>
  <c r="AB851" i="27"/>
  <c r="T851" i="27"/>
  <c r="Z850" i="27"/>
  <c r="X849" i="27"/>
  <c r="W848" i="27"/>
  <c r="U847" i="27"/>
  <c r="AA846" i="27"/>
  <c r="S846" i="27"/>
  <c r="Y845" i="27"/>
  <c r="W844" i="27"/>
  <c r="U843" i="27"/>
  <c r="AA842" i="27"/>
  <c r="S842" i="27"/>
  <c r="Y841" i="27"/>
  <c r="X840" i="27"/>
  <c r="W839" i="27"/>
  <c r="V838" i="27"/>
  <c r="U837" i="27"/>
  <c r="AB836" i="27"/>
  <c r="T836" i="27"/>
  <c r="AA835" i="27"/>
  <c r="S835" i="27"/>
  <c r="Z834" i="27"/>
  <c r="Y833" i="27"/>
  <c r="U1243" i="27"/>
  <c r="Z1222" i="27"/>
  <c r="AA1196" i="27"/>
  <c r="V1193" i="27"/>
  <c r="Y1187" i="27"/>
  <c r="AA1184" i="27"/>
  <c r="X1179" i="27"/>
  <c r="Z1175" i="27"/>
  <c r="V1174" i="27"/>
  <c r="U1173" i="27"/>
  <c r="T1163" i="27"/>
  <c r="AA1158" i="27"/>
  <c r="Y1157" i="27"/>
  <c r="W1156" i="27"/>
  <c r="Z1148" i="27"/>
  <c r="Y1147" i="27"/>
  <c r="V1146" i="27"/>
  <c r="AB1142" i="27"/>
  <c r="AB1138" i="27"/>
  <c r="U1137" i="27"/>
  <c r="S1136" i="27"/>
  <c r="X1131" i="27"/>
  <c r="U1127" i="27"/>
  <c r="AB1122" i="27"/>
  <c r="Z1121" i="27"/>
  <c r="T1117" i="27"/>
  <c r="Z1112" i="27"/>
  <c r="X1111" i="27"/>
  <c r="W1110" i="27"/>
  <c r="U1103" i="27"/>
  <c r="S1102" i="27"/>
  <c r="AA1096" i="27"/>
  <c r="Y1093" i="27"/>
  <c r="AA1082" i="27"/>
  <c r="S1063" i="27"/>
  <c r="T1062" i="27"/>
  <c r="S1061" i="27"/>
  <c r="U1060" i="27"/>
  <c r="U1059" i="27"/>
  <c r="T1058" i="27"/>
  <c r="W1057" i="27"/>
  <c r="U1056" i="27"/>
  <c r="Z1055" i="27"/>
  <c r="X1054" i="27"/>
  <c r="Z1053" i="27"/>
  <c r="X1052" i="27"/>
  <c r="AB1051" i="27"/>
  <c r="S1043" i="27"/>
  <c r="W1042" i="27"/>
  <c r="U1041" i="27"/>
  <c r="W1040" i="27"/>
  <c r="U1039" i="27"/>
  <c r="Z1038" i="27"/>
  <c r="X1037" i="27"/>
  <c r="AA1036" i="27"/>
  <c r="Z1035" i="27"/>
  <c r="Z1034" i="27"/>
  <c r="AA1033" i="27"/>
  <c r="AA1032" i="27"/>
  <c r="AB1031" i="27"/>
  <c r="S1019" i="27"/>
  <c r="U1018" i="27"/>
  <c r="U1017" i="27"/>
  <c r="V1016" i="27"/>
  <c r="W1015" i="27"/>
  <c r="Y1014" i="27"/>
  <c r="Z1013" i="27"/>
  <c r="Y1012" i="27"/>
  <c r="AB1011" i="27"/>
  <c r="S999" i="27"/>
  <c r="T998" i="27"/>
  <c r="S997" i="27"/>
  <c r="U996" i="27"/>
  <c r="U995" i="27"/>
  <c r="T994" i="27"/>
  <c r="W993" i="27"/>
  <c r="X992" i="27"/>
  <c r="AA991" i="27"/>
  <c r="T988" i="27"/>
  <c r="Y987" i="27"/>
  <c r="AA986" i="27"/>
  <c r="V983" i="27"/>
  <c r="AB982" i="27"/>
  <c r="S982" i="27"/>
  <c r="X981" i="27"/>
  <c r="T980" i="27"/>
  <c r="Z979" i="27"/>
  <c r="W978" i="27"/>
  <c r="AA977" i="27"/>
  <c r="W976" i="27"/>
  <c r="T975" i="27"/>
  <c r="Z974" i="27"/>
  <c r="V973" i="27"/>
  <c r="AA972" i="27"/>
  <c r="W971" i="27"/>
  <c r="T970" i="27"/>
  <c r="Y969" i="27"/>
  <c r="U968" i="27"/>
  <c r="AA967" i="27"/>
  <c r="X966" i="27"/>
  <c r="S965" i="27"/>
  <c r="X964" i="27"/>
  <c r="U963" i="27"/>
  <c r="AA962" i="27"/>
  <c r="W961" i="27"/>
  <c r="AB960" i="27"/>
  <c r="S960" i="27"/>
  <c r="Y959" i="27"/>
  <c r="U958" i="27"/>
  <c r="Z957" i="27"/>
  <c r="V956" i="27"/>
  <c r="AB955" i="27"/>
  <c r="S955" i="27"/>
  <c r="Y954" i="27"/>
  <c r="U953" i="27"/>
  <c r="Y952" i="27"/>
  <c r="V951" i="27"/>
  <c r="AB950" i="27"/>
  <c r="S950" i="27"/>
  <c r="X949" i="27"/>
  <c r="T948" i="27"/>
  <c r="Z947" i="27"/>
  <c r="W946" i="27"/>
  <c r="AA945" i="27"/>
  <c r="W944" i="27"/>
  <c r="T943" i="27"/>
  <c r="Z942" i="27"/>
  <c r="W941" i="27"/>
  <c r="AB940" i="27"/>
  <c r="W939" i="27"/>
  <c r="T938" i="27"/>
  <c r="Z937" i="27"/>
  <c r="V936" i="27"/>
  <c r="AA935" i="27"/>
  <c r="X934" i="27"/>
  <c r="T933" i="27"/>
  <c r="Y932" i="27"/>
  <c r="U931" i="27"/>
  <c r="AA930" i="27"/>
  <c r="X929" i="27"/>
  <c r="T928" i="27"/>
  <c r="X927" i="27"/>
  <c r="U926" i="27"/>
  <c r="AA925" i="27"/>
  <c r="W924" i="27"/>
  <c r="AB923" i="27"/>
  <c r="S923" i="27"/>
  <c r="Y922" i="27"/>
  <c r="V921" i="27"/>
  <c r="Z920" i="27"/>
  <c r="V919" i="27"/>
  <c r="AB918" i="27"/>
  <c r="S918" i="27"/>
  <c r="Y917" i="27"/>
  <c r="U916" i="27"/>
  <c r="AA915" i="27"/>
  <c r="W914" i="27"/>
  <c r="T913" i="27"/>
  <c r="Y912" i="27"/>
  <c r="V911" i="27"/>
  <c r="AB910" i="27"/>
  <c r="S910" i="27"/>
  <c r="Y909" i="27"/>
  <c r="U908" i="27"/>
  <c r="Z907" i="27"/>
  <c r="V906" i="27"/>
  <c r="AB905" i="27"/>
  <c r="S905" i="27"/>
  <c r="Y904" i="27"/>
  <c r="U903" i="27"/>
  <c r="S1335" i="27"/>
  <c r="Z1215" i="27"/>
  <c r="Y1199" i="27"/>
  <c r="U1187" i="27"/>
  <c r="V1182" i="27"/>
  <c r="U1176" i="27"/>
  <c r="U1175" i="27"/>
  <c r="S1174" i="27"/>
  <c r="U1168" i="27"/>
  <c r="X1164" i="27"/>
  <c r="Y1159" i="27"/>
  <c r="Z1158" i="27"/>
  <c r="U1157" i="27"/>
  <c r="X1149" i="27"/>
  <c r="X1148" i="27"/>
  <c r="V1147" i="27"/>
  <c r="V1142" i="27"/>
  <c r="V1138" i="27"/>
  <c r="T1137" i="27"/>
  <c r="Z1132" i="27"/>
  <c r="T1131" i="27"/>
  <c r="Z1128" i="27"/>
  <c r="Y1123" i="27"/>
  <c r="AA1122" i="27"/>
  <c r="T1121" i="27"/>
  <c r="Y1113" i="27"/>
  <c r="X1112" i="27"/>
  <c r="V1111" i="27"/>
  <c r="S1110" i="27"/>
  <c r="U1107" i="27"/>
  <c r="AA1104" i="27"/>
  <c r="T1103" i="27"/>
  <c r="V1096" i="27"/>
  <c r="AB1089" i="27"/>
  <c r="AA1088" i="27"/>
  <c r="AB1083" i="27"/>
  <c r="V1082" i="27"/>
  <c r="AB1075" i="27"/>
  <c r="AB1074" i="27"/>
  <c r="S1058" i="27"/>
  <c r="S1057" i="27"/>
  <c r="T1056" i="27"/>
  <c r="Y1055" i="27"/>
  <c r="W1054" i="27"/>
  <c r="W1053" i="27"/>
  <c r="W1052" i="27"/>
  <c r="Y1051" i="27"/>
  <c r="AA1050" i="27"/>
  <c r="Z1049" i="27"/>
  <c r="AB1048" i="27"/>
  <c r="S1042" i="27"/>
  <c r="S1041" i="27"/>
  <c r="T1040" i="27"/>
  <c r="T1039" i="27"/>
  <c r="W1038" i="27"/>
  <c r="W1037" i="27"/>
  <c r="W1036" i="27"/>
  <c r="Y1035" i="27"/>
  <c r="W1034" i="27"/>
  <c r="Z1033" i="27"/>
  <c r="W1032" i="27"/>
  <c r="AA1031" i="27"/>
  <c r="Z1030" i="27"/>
  <c r="Y1029" i="27"/>
  <c r="AA1028" i="27"/>
  <c r="AA1027" i="27"/>
  <c r="AB1026" i="27"/>
  <c r="S1016" i="27"/>
  <c r="V1015" i="27"/>
  <c r="U1014" i="27"/>
  <c r="Y1013" i="27"/>
  <c r="V1012" i="27"/>
  <c r="AA1011" i="27"/>
  <c r="AB1010" i="27"/>
  <c r="S994" i="27"/>
  <c r="S993" i="27"/>
  <c r="U992" i="27"/>
  <c r="Z991" i="27"/>
  <c r="AB990" i="27"/>
  <c r="S988" i="27"/>
  <c r="U987" i="27"/>
  <c r="Z986" i="27"/>
  <c r="AA985" i="27"/>
  <c r="U983" i="27"/>
  <c r="AA982" i="27"/>
  <c r="W981" i="27"/>
  <c r="AB980" i="27"/>
  <c r="S980" i="27"/>
  <c r="Y979" i="27"/>
  <c r="U978" i="27"/>
  <c r="Z977" i="27"/>
  <c r="V976" i="27"/>
  <c r="AB975" i="27"/>
  <c r="S975" i="27"/>
  <c r="Y974" i="27"/>
  <c r="U973" i="27"/>
  <c r="Y972" i="27"/>
  <c r="V971" i="27"/>
  <c r="AB970" i="27"/>
  <c r="S970" i="27"/>
  <c r="X969" i="27"/>
  <c r="T968" i="27"/>
  <c r="Z967" i="27"/>
  <c r="W966" i="27"/>
  <c r="AA965" i="27"/>
  <c r="W964" i="27"/>
  <c r="T963" i="27"/>
  <c r="Z962" i="27"/>
  <c r="V961" i="27"/>
  <c r="AA960" i="27"/>
  <c r="W959" i="27"/>
  <c r="T958" i="27"/>
  <c r="Y957" i="27"/>
  <c r="U956" i="27"/>
  <c r="AA955" i="27"/>
  <c r="X954" i="27"/>
  <c r="S953" i="27"/>
  <c r="X952" i="27"/>
  <c r="U951" i="27"/>
  <c r="AA950" i="27"/>
  <c r="W949" i="27"/>
  <c r="AB948" i="27"/>
  <c r="S948" i="27"/>
  <c r="Y947" i="27"/>
  <c r="U946" i="27"/>
  <c r="Z945" i="27"/>
  <c r="V944" i="27"/>
  <c r="AB943" i="27"/>
  <c r="S943" i="27"/>
  <c r="Y942" i="27"/>
  <c r="V941" i="27"/>
  <c r="Z940" i="27"/>
  <c r="V939" i="27"/>
  <c r="AB938" i="27"/>
  <c r="S938" i="27"/>
  <c r="Y937" i="27"/>
  <c r="U936" i="27"/>
  <c r="Z935" i="27"/>
  <c r="V934" i="27"/>
  <c r="AB933" i="27"/>
  <c r="S933" i="27"/>
  <c r="X932" i="27"/>
  <c r="T931" i="27"/>
  <c r="Z930" i="27"/>
  <c r="W929" i="27"/>
  <c r="AB928" i="27"/>
  <c r="W927" i="27"/>
  <c r="T926" i="27"/>
  <c r="Z925" i="27"/>
  <c r="V924" i="27"/>
  <c r="AA923" i="27"/>
  <c r="X922" i="27"/>
  <c r="T921" i="27"/>
  <c r="Y920" i="27"/>
  <c r="U919" i="27"/>
  <c r="AA918" i="27"/>
  <c r="X917" i="27"/>
  <c r="T916" i="27"/>
  <c r="Y915" i="27"/>
  <c r="V914" i="27"/>
  <c r="AB913" i="27"/>
  <c r="S913" i="27"/>
  <c r="X912" i="27"/>
  <c r="U911" i="27"/>
  <c r="AA910" i="27"/>
  <c r="W909" i="27"/>
  <c r="T908" i="27"/>
  <c r="Y907" i="27"/>
  <c r="U906" i="27"/>
  <c r="AA905" i="27"/>
  <c r="X904" i="27"/>
  <c r="S903" i="27"/>
  <c r="X902" i="27"/>
  <c r="U901" i="27"/>
  <c r="AA900" i="27"/>
  <c r="W899" i="27"/>
  <c r="AB898" i="27"/>
  <c r="S898" i="27"/>
  <c r="Y897" i="27"/>
  <c r="U896" i="27"/>
  <c r="Z895" i="27"/>
  <c r="V894" i="27"/>
  <c r="AB893" i="27"/>
  <c r="S893" i="27"/>
  <c r="Y892" i="27"/>
  <c r="U891" i="27"/>
  <c r="Y890" i="27"/>
  <c r="V889" i="27"/>
  <c r="AB888" i="27"/>
  <c r="T888" i="27"/>
  <c r="Z887" i="27"/>
  <c r="X886" i="27"/>
  <c r="V885" i="27"/>
  <c r="AB884" i="27"/>
  <c r="T884" i="27"/>
  <c r="Z883" i="27"/>
  <c r="X882" i="27"/>
  <c r="V881" i="27"/>
  <c r="AB880" i="27"/>
  <c r="T880" i="27"/>
  <c r="Z879" i="27"/>
  <c r="X878" i="27"/>
  <c r="V877" i="27"/>
  <c r="AB876" i="27"/>
  <c r="T876" i="27"/>
  <c r="Z875" i="27"/>
  <c r="X874" i="27"/>
  <c r="V873" i="27"/>
  <c r="U872" i="27"/>
  <c r="AA871" i="27"/>
  <c r="S871" i="27"/>
  <c r="Y870" i="27"/>
  <c r="W869" i="27"/>
  <c r="U868" i="27"/>
  <c r="AA867" i="27"/>
  <c r="S867" i="27"/>
  <c r="Y866" i="27"/>
  <c r="X865" i="27"/>
  <c r="W864" i="27"/>
  <c r="V863" i="27"/>
  <c r="U862" i="27"/>
  <c r="AB861" i="27"/>
  <c r="T861" i="27"/>
  <c r="AA860" i="27"/>
  <c r="S860" i="27"/>
  <c r="Z859" i="27"/>
  <c r="Y858" i="27"/>
  <c r="X857" i="27"/>
  <c r="W856" i="27"/>
  <c r="V855" i="27"/>
  <c r="U854" i="27"/>
  <c r="AB853" i="27"/>
  <c r="T853" i="27"/>
  <c r="AA852" i="27"/>
  <c r="S852" i="27"/>
  <c r="Z851" i="27"/>
  <c r="X850" i="27"/>
  <c r="V849" i="27"/>
  <c r="U848" i="27"/>
  <c r="AA847" i="27"/>
  <c r="S847" i="27"/>
  <c r="Y846" i="27"/>
  <c r="W845" i="27"/>
  <c r="U844" i="27"/>
  <c r="AA843" i="27"/>
  <c r="S843" i="27"/>
  <c r="Y842" i="27"/>
  <c r="W841" i="27"/>
  <c r="V840" i="27"/>
  <c r="U839" i="27"/>
  <c r="AB838" i="27"/>
  <c r="T838" i="27"/>
  <c r="AA837" i="27"/>
  <c r="S837" i="27"/>
  <c r="Z836" i="27"/>
  <c r="Y835" i="27"/>
  <c r="X834" i="27"/>
  <c r="W833" i="27"/>
  <c r="V832" i="27"/>
  <c r="U831" i="27"/>
  <c r="AB830" i="27"/>
  <c r="T830" i="27"/>
  <c r="AA829" i="27"/>
  <c r="S829" i="27"/>
  <c r="Z828" i="27"/>
  <c r="Y827" i="27"/>
  <c r="X1321" i="27"/>
  <c r="U1253" i="27"/>
  <c r="AB1223" i="27"/>
  <c r="AA1191" i="27"/>
  <c r="Z1188" i="27"/>
  <c r="AB1177" i="27"/>
  <c r="S1176" i="27"/>
  <c r="T1175" i="27"/>
  <c r="V1164" i="27"/>
  <c r="Y1160" i="27"/>
  <c r="W1159" i="27"/>
  <c r="V1158" i="27"/>
  <c r="X1153" i="27"/>
  <c r="AB1150" i="27"/>
  <c r="U1149" i="27"/>
  <c r="W1148" i="27"/>
  <c r="AB1143" i="27"/>
  <c r="Y1139" i="27"/>
  <c r="T1138" i="27"/>
  <c r="X1132" i="27"/>
  <c r="S1128" i="27"/>
  <c r="W1124" i="27"/>
  <c r="X1123" i="27"/>
  <c r="W1122" i="27"/>
  <c r="W1118" i="27"/>
  <c r="V1114" i="27"/>
  <c r="X1113" i="27"/>
  <c r="V1112" i="27"/>
  <c r="S1104" i="27"/>
  <c r="AB1098" i="27"/>
  <c r="AB1097" i="27"/>
  <c r="W1090" i="27"/>
  <c r="Z1089" i="27"/>
  <c r="W1088" i="27"/>
  <c r="AA1084" i="27"/>
  <c r="Y1083" i="27"/>
  <c r="AA1078" i="27"/>
  <c r="AB1077" i="27"/>
  <c r="Y1076" i="27"/>
  <c r="AA1075" i="27"/>
  <c r="Y1074" i="27"/>
  <c r="AA1073" i="27"/>
  <c r="Y1072" i="27"/>
  <c r="Z1071" i="27"/>
  <c r="AB1070" i="27"/>
  <c r="S1056" i="27"/>
  <c r="U1055" i="27"/>
  <c r="U1054" i="27"/>
  <c r="S1053" i="27"/>
  <c r="V1052" i="27"/>
  <c r="U1051" i="27"/>
  <c r="Z1050" i="27"/>
  <c r="W1049" i="27"/>
  <c r="AA1048" i="27"/>
  <c r="AB1047" i="27"/>
  <c r="S1038" i="27"/>
  <c r="V1037" i="27"/>
  <c r="T1036" i="27"/>
  <c r="W1035" i="27"/>
  <c r="U1034" i="27"/>
  <c r="Y1033" i="27"/>
  <c r="V1032" i="27"/>
  <c r="W1031" i="27"/>
  <c r="Y1030" i="27"/>
  <c r="V1029" i="27"/>
  <c r="Y1028" i="27"/>
  <c r="W1027" i="27"/>
  <c r="AA1026" i="27"/>
  <c r="Y1025" i="27"/>
  <c r="AB1024" i="27"/>
  <c r="S1015" i="27"/>
  <c r="T1014" i="27"/>
  <c r="X1013" i="27"/>
  <c r="U1012" i="27"/>
  <c r="Z1011" i="27"/>
  <c r="Y1010" i="27"/>
  <c r="AA1009" i="27"/>
  <c r="Y1008" i="27"/>
  <c r="Z1007" i="27"/>
  <c r="AB1006" i="27"/>
  <c r="T992" i="27"/>
  <c r="Y991" i="27"/>
  <c r="AA990" i="27"/>
  <c r="T987" i="27"/>
  <c r="Y986" i="27"/>
  <c r="Z985" i="27"/>
  <c r="AB984" i="27"/>
  <c r="T983" i="27"/>
  <c r="Z982" i="27"/>
  <c r="V981" i="27"/>
  <c r="AA980" i="27"/>
  <c r="W979" i="27"/>
  <c r="T978" i="27"/>
  <c r="Y977" i="27"/>
  <c r="U976" i="27"/>
  <c r="AA975" i="27"/>
  <c r="X974" i="27"/>
  <c r="S973" i="27"/>
  <c r="X972" i="27"/>
  <c r="U971" i="27"/>
  <c r="AA970" i="27"/>
  <c r="W969" i="27"/>
  <c r="AB968" i="27"/>
  <c r="S968" i="27"/>
  <c r="Y967" i="27"/>
  <c r="U966" i="27"/>
  <c r="Z965" i="27"/>
  <c r="V964" i="27"/>
  <c r="AB963" i="27"/>
  <c r="S963" i="27"/>
  <c r="Y962" i="27"/>
  <c r="U961" i="27"/>
  <c r="Y960" i="27"/>
  <c r="V959" i="27"/>
  <c r="AB958" i="27"/>
  <c r="S958" i="27"/>
  <c r="X957" i="27"/>
  <c r="T956" i="27"/>
  <c r="Z955" i="27"/>
  <c r="W954" i="27"/>
  <c r="AA953" i="27"/>
  <c r="W952" i="27"/>
  <c r="T951" i="27"/>
  <c r="Z950" i="27"/>
  <c r="V949" i="27"/>
  <c r="AA948" i="27"/>
  <c r="W947" i="27"/>
  <c r="T946" i="27"/>
  <c r="Y945" i="27"/>
  <c r="U944" i="27"/>
  <c r="AA943" i="27"/>
  <c r="X942" i="27"/>
  <c r="T941" i="27"/>
  <c r="Y940" i="27"/>
  <c r="U939" i="27"/>
  <c r="AA938" i="27"/>
  <c r="X937" i="27"/>
  <c r="T936" i="27"/>
  <c r="X935" i="27"/>
  <c r="U934" i="27"/>
  <c r="AA933" i="27"/>
  <c r="W932" i="27"/>
  <c r="AB931" i="27"/>
  <c r="S931" i="27"/>
  <c r="Y930" i="27"/>
  <c r="V929" i="27"/>
  <c r="Z928" i="27"/>
  <c r="V927" i="27"/>
  <c r="AB926" i="27"/>
  <c r="S926" i="27"/>
  <c r="Y925" i="27"/>
  <c r="U924" i="27"/>
  <c r="Z923" i="27"/>
  <c r="V922" i="27"/>
  <c r="AB921" i="27"/>
  <c r="S921" i="27"/>
  <c r="X920" i="27"/>
  <c r="T919" i="27"/>
  <c r="Z918" i="27"/>
  <c r="W917" i="27"/>
  <c r="AB916" i="27"/>
  <c r="X915" i="27"/>
  <c r="U914" i="27"/>
  <c r="AA913" i="27"/>
  <c r="W912" i="27"/>
  <c r="T911" i="27"/>
  <c r="Y910" i="27"/>
  <c r="V909" i="27"/>
  <c r="AB908" i="27"/>
  <c r="S908" i="27"/>
  <c r="X907" i="27"/>
  <c r="T906" i="27"/>
  <c r="Z905" i="27"/>
  <c r="W904" i="27"/>
  <c r="AA903" i="27"/>
  <c r="W902" i="27"/>
  <c r="T901" i="27"/>
  <c r="Z900" i="27"/>
  <c r="V899" i="27"/>
  <c r="AA898" i="27"/>
  <c r="W897" i="27"/>
  <c r="T896" i="27"/>
  <c r="Y895" i="27"/>
  <c r="U894" i="27"/>
  <c r="AA893" i="27"/>
  <c r="X892" i="27"/>
  <c r="S891" i="27"/>
  <c r="X890" i="27"/>
  <c r="U889" i="27"/>
  <c r="AA888" i="27"/>
  <c r="S888" i="27"/>
  <c r="Y887" i="27"/>
  <c r="W886" i="27"/>
  <c r="U885" i="27"/>
  <c r="AA884" i="27"/>
  <c r="S884" i="27"/>
  <c r="Y883" i="27"/>
  <c r="W882" i="27"/>
  <c r="U881" i="27"/>
  <c r="AA880" i="27"/>
  <c r="S880" i="27"/>
  <c r="Y879" i="27"/>
  <c r="W878" i="27"/>
  <c r="U877" i="27"/>
  <c r="AA876" i="27"/>
  <c r="S876" i="27"/>
  <c r="Y875" i="27"/>
  <c r="W874" i="27"/>
  <c r="U873" i="27"/>
  <c r="AB872" i="27"/>
  <c r="T872" i="27"/>
  <c r="Z871" i="27"/>
  <c r="X870" i="27"/>
  <c r="V869" i="27"/>
  <c r="AB868" i="27"/>
  <c r="T868" i="27"/>
  <c r="Z867" i="27"/>
  <c r="X866" i="27"/>
  <c r="W865" i="27"/>
  <c r="V864" i="27"/>
  <c r="U863" i="27"/>
  <c r="AB862" i="27"/>
  <c r="T862" i="27"/>
  <c r="AA861" i="27"/>
  <c r="S861" i="27"/>
  <c r="Z860" i="27"/>
  <c r="Y859" i="27"/>
  <c r="X858" i="27"/>
  <c r="W857" i="27"/>
  <c r="V856" i="27"/>
  <c r="U855" i="27"/>
  <c r="AB854" i="27"/>
  <c r="T854" i="27"/>
  <c r="AA853" i="27"/>
  <c r="S853" i="27"/>
  <c r="Z852" i="27"/>
  <c r="Y851" i="27"/>
  <c r="W850" i="27"/>
  <c r="U849" i="27"/>
  <c r="AB848" i="27"/>
  <c r="T848" i="27"/>
  <c r="Z847" i="27"/>
  <c r="X846" i="27"/>
  <c r="V845" i="27"/>
  <c r="AB844" i="27"/>
  <c r="T844" i="27"/>
  <c r="Z843" i="27"/>
  <c r="X842" i="27"/>
  <c r="V841" i="27"/>
  <c r="U840" i="27"/>
  <c r="AB839" i="27"/>
  <c r="T839" i="27"/>
  <c r="AA838" i="27"/>
  <c r="S838" i="27"/>
  <c r="Z837" i="27"/>
  <c r="Y836" i="27"/>
  <c r="X835" i="27"/>
  <c r="W834" i="27"/>
  <c r="V833" i="27"/>
  <c r="U832" i="27"/>
  <c r="AB831" i="27"/>
  <c r="T831" i="27"/>
  <c r="AA830" i="27"/>
  <c r="S830" i="27"/>
  <c r="Z829" i="27"/>
  <c r="Y828" i="27"/>
  <c r="X827" i="27"/>
  <c r="W826" i="27"/>
  <c r="V825" i="27"/>
  <c r="U824" i="27"/>
  <c r="AB823" i="27"/>
  <c r="T823" i="27"/>
  <c r="AA822" i="27"/>
  <c r="S822" i="27"/>
  <c r="Y821" i="27"/>
  <c r="V1224" i="27"/>
  <c r="X1205" i="27"/>
  <c r="S1189" i="27"/>
  <c r="W1162" i="27"/>
  <c r="AB1154" i="27"/>
  <c r="AA1144" i="27"/>
  <c r="AA1134" i="27"/>
  <c r="Y1129" i="27"/>
  <c r="V1124" i="27"/>
  <c r="U1119" i="27"/>
  <c r="T1114" i="27"/>
  <c r="Z1105" i="27"/>
  <c r="V1100" i="27"/>
  <c r="Z1094" i="27"/>
  <c r="T1091" i="27"/>
  <c r="X1085" i="27"/>
  <c r="U1079" i="27"/>
  <c r="S1078" i="27"/>
  <c r="X1074" i="27"/>
  <c r="U1073" i="27"/>
  <c r="T1072" i="27"/>
  <c r="W1066" i="27"/>
  <c r="U1050" i="27"/>
  <c r="Z1045" i="27"/>
  <c r="T1035" i="27"/>
  <c r="U1029" i="27"/>
  <c r="X1024" i="27"/>
  <c r="Z1023" i="27"/>
  <c r="W1022" i="27"/>
  <c r="X1009" i="27"/>
  <c r="W1008" i="27"/>
  <c r="T1007" i="27"/>
  <c r="Z1002" i="27"/>
  <c r="Z998" i="27"/>
  <c r="X990" i="27"/>
  <c r="Z989" i="27"/>
  <c r="V985" i="27"/>
  <c r="W984" i="27"/>
  <c r="AB978" i="27"/>
  <c r="X977" i="27"/>
  <c r="AA976" i="27"/>
  <c r="Y975" i="27"/>
  <c r="T974" i="27"/>
  <c r="W967" i="27"/>
  <c r="AA966" i="27"/>
  <c r="X965" i="27"/>
  <c r="T964" i="27"/>
  <c r="Y963" i="27"/>
  <c r="AB956" i="27"/>
  <c r="Y955" i="27"/>
  <c r="U954" i="27"/>
  <c r="Y953" i="27"/>
  <c r="T952" i="27"/>
  <c r="S951" i="27"/>
  <c r="AB944" i="27"/>
  <c r="Z943" i="27"/>
  <c r="U942" i="27"/>
  <c r="Z941" i="27"/>
  <c r="V940" i="27"/>
  <c r="S939" i="27"/>
  <c r="V932" i="27"/>
  <c r="Z931" i="27"/>
  <c r="U930" i="27"/>
  <c r="S929" i="27"/>
  <c r="AB922" i="27"/>
  <c r="AA921" i="27"/>
  <c r="V920" i="27"/>
  <c r="Z919" i="27"/>
  <c r="V918" i="27"/>
  <c r="S917" i="27"/>
  <c r="AB909" i="27"/>
  <c r="AA908" i="27"/>
  <c r="V907" i="27"/>
  <c r="Y906" i="27"/>
  <c r="V905" i="27"/>
  <c r="S904" i="27"/>
  <c r="S901" i="27"/>
  <c r="W900" i="27"/>
  <c r="U899" i="27"/>
  <c r="W898" i="27"/>
  <c r="U897" i="27"/>
  <c r="Z896" i="27"/>
  <c r="X895" i="27"/>
  <c r="AA894" i="27"/>
  <c r="Z893" i="27"/>
  <c r="Z892" i="27"/>
  <c r="AA891" i="27"/>
  <c r="AA890" i="27"/>
  <c r="AB889" i="27"/>
  <c r="S885" i="27"/>
  <c r="U884" i="27"/>
  <c r="V883" i="27"/>
  <c r="V882" i="27"/>
  <c r="AA881" i="27"/>
  <c r="S877" i="27"/>
  <c r="U876" i="27"/>
  <c r="V875" i="27"/>
  <c r="V874" i="27"/>
  <c r="AA873" i="27"/>
  <c r="T869" i="27"/>
  <c r="Y868" i="27"/>
  <c r="Y867" i="27"/>
  <c r="Z866" i="27"/>
  <c r="W863" i="27"/>
  <c r="AA862" i="27"/>
  <c r="S859" i="27"/>
  <c r="V858" i="27"/>
  <c r="Y857" i="27"/>
  <c r="AB856" i="27"/>
  <c r="S855" i="27"/>
  <c r="Y854" i="27"/>
  <c r="Z853" i="27"/>
  <c r="T849" i="27"/>
  <c r="Z848" i="27"/>
  <c r="T846" i="27"/>
  <c r="X845" i="27"/>
  <c r="AA844" i="27"/>
  <c r="U842" i="27"/>
  <c r="Z841" i="27"/>
  <c r="S840" i="27"/>
  <c r="Y839" i="27"/>
  <c r="T837" i="27"/>
  <c r="V836" i="27"/>
  <c r="AB835" i="27"/>
  <c r="T834" i="27"/>
  <c r="Z833" i="27"/>
  <c r="T832" i="27"/>
  <c r="Z831" i="27"/>
  <c r="U830" i="27"/>
  <c r="X829" i="27"/>
  <c r="S828" i="27"/>
  <c r="Z827" i="27"/>
  <c r="V826" i="27"/>
  <c r="T825" i="27"/>
  <c r="AA824" i="27"/>
  <c r="X823" i="27"/>
  <c r="U822" i="27"/>
  <c r="Z821" i="27"/>
  <c r="X820" i="27"/>
  <c r="W819" i="27"/>
  <c r="U818" i="27"/>
  <c r="AB817" i="27"/>
  <c r="T817" i="27"/>
  <c r="Z816" i="27"/>
  <c r="X815" i="27"/>
  <c r="V814" i="27"/>
  <c r="AB813" i="27"/>
  <c r="T813" i="27"/>
  <c r="Z812" i="27"/>
  <c r="Y811" i="27"/>
  <c r="W810" i="27"/>
  <c r="U809" i="27"/>
  <c r="AB808" i="27"/>
  <c r="T808" i="27"/>
  <c r="AA807" i="27"/>
  <c r="S807" i="27"/>
  <c r="Y806" i="27"/>
  <c r="W805" i="27"/>
  <c r="U804" i="27"/>
  <c r="AA803" i="27"/>
  <c r="S803" i="27"/>
  <c r="Y802" i="27"/>
  <c r="X801" i="27"/>
  <c r="W800" i="27"/>
  <c r="V799" i="27"/>
  <c r="U798" i="27"/>
  <c r="AB797" i="27"/>
  <c r="T797" i="27"/>
  <c r="AA796" i="27"/>
  <c r="S796" i="27"/>
  <c r="Z795" i="27"/>
  <c r="Y794" i="27"/>
  <c r="X793" i="27"/>
  <c r="W792" i="27"/>
  <c r="V791" i="27"/>
  <c r="U790" i="27"/>
  <c r="AB789" i="27"/>
  <c r="T789" i="27"/>
  <c r="AA788" i="27"/>
  <c r="S788" i="27"/>
  <c r="Z787" i="27"/>
  <c r="Y786" i="27"/>
  <c r="X785" i="27"/>
  <c r="W784" i="27"/>
  <c r="V783" i="27"/>
  <c r="U782" i="27"/>
  <c r="AB781" i="27"/>
  <c r="T781" i="27"/>
  <c r="AA780" i="27"/>
  <c r="S780" i="27"/>
  <c r="Z779" i="27"/>
  <c r="Y778" i="27"/>
  <c r="X777" i="27"/>
  <c r="W776" i="27"/>
  <c r="U775" i="27"/>
  <c r="AA774" i="27"/>
  <c r="S774" i="27"/>
  <c r="Y773" i="27"/>
  <c r="W772" i="27"/>
  <c r="U771" i="27"/>
  <c r="AB770" i="27"/>
  <c r="T770" i="27"/>
  <c r="AA769" i="27"/>
  <c r="S769" i="27"/>
  <c r="Z768" i="27"/>
  <c r="Y767" i="27"/>
  <c r="X766" i="27"/>
  <c r="W765" i="27"/>
  <c r="V764" i="27"/>
  <c r="U763" i="27"/>
  <c r="AB762" i="27"/>
  <c r="T762" i="27"/>
  <c r="AA761" i="27"/>
  <c r="S761" i="27"/>
  <c r="Y760" i="27"/>
  <c r="W759" i="27"/>
  <c r="U758" i="27"/>
  <c r="AA757" i="27"/>
  <c r="S757" i="27"/>
  <c r="Y756" i="27"/>
  <c r="W755" i="27"/>
  <c r="U754" i="27"/>
  <c r="AA753" i="27"/>
  <c r="S753" i="27"/>
  <c r="Y752" i="27"/>
  <c r="W751" i="27"/>
  <c r="U750" i="27"/>
  <c r="AA749" i="27"/>
  <c r="S749" i="27"/>
  <c r="Y748" i="27"/>
  <c r="W747" i="27"/>
  <c r="U746" i="27"/>
  <c r="AA745" i="27"/>
  <c r="S745" i="27"/>
  <c r="Y744" i="27"/>
  <c r="W743" i="27"/>
  <c r="U742" i="27"/>
  <c r="AA741" i="27"/>
  <c r="S741" i="27"/>
  <c r="Y740" i="27"/>
  <c r="W739" i="27"/>
  <c r="U738" i="27"/>
  <c r="AA737" i="27"/>
  <c r="S737" i="27"/>
  <c r="Y736" i="27"/>
  <c r="W735" i="27"/>
  <c r="U734" i="27"/>
  <c r="AA733" i="27"/>
  <c r="S733" i="27"/>
  <c r="Y732" i="27"/>
  <c r="W731" i="27"/>
  <c r="U730" i="27"/>
  <c r="AA729" i="27"/>
  <c r="S729" i="27"/>
  <c r="Y728" i="27"/>
  <c r="W727" i="27"/>
  <c r="U726" i="27"/>
  <c r="AA725" i="27"/>
  <c r="S725" i="27"/>
  <c r="Y724" i="27"/>
  <c r="W723" i="27"/>
  <c r="U722" i="27"/>
  <c r="AA721" i="27"/>
  <c r="S721" i="27"/>
  <c r="Y720" i="27"/>
  <c r="W719" i="27"/>
  <c r="U718" i="27"/>
  <c r="AA717" i="27"/>
  <c r="S717" i="27"/>
  <c r="Y716" i="27"/>
  <c r="W715" i="27"/>
  <c r="U714" i="27"/>
  <c r="AA713" i="27"/>
  <c r="S713" i="27"/>
  <c r="Y712" i="27"/>
  <c r="W711" i="27"/>
  <c r="U710" i="27"/>
  <c r="AA709" i="27"/>
  <c r="S709" i="27"/>
  <c r="Y708" i="27"/>
  <c r="W707" i="27"/>
  <c r="U706" i="27"/>
  <c r="AA705" i="27"/>
  <c r="S705" i="27"/>
  <c r="Y704" i="27"/>
  <c r="W703" i="27"/>
  <c r="U702" i="27"/>
  <c r="AA701" i="27"/>
  <c r="S701" i="27"/>
  <c r="Y700" i="27"/>
  <c r="W699" i="27"/>
  <c r="U698" i="27"/>
  <c r="AA697" i="27"/>
  <c r="S697" i="27"/>
  <c r="Y696" i="27"/>
  <c r="W695" i="27"/>
  <c r="U694" i="27"/>
  <c r="AA693" i="27"/>
  <c r="S693" i="27"/>
  <c r="Y692" i="27"/>
  <c r="W691" i="27"/>
  <c r="U690" i="27"/>
  <c r="AA689" i="27"/>
  <c r="S689" i="27"/>
  <c r="Y688" i="27"/>
  <c r="W687" i="27"/>
  <c r="U686" i="27"/>
  <c r="AA685" i="27"/>
  <c r="S685" i="27"/>
  <c r="Y684" i="27"/>
  <c r="W683" i="27"/>
  <c r="U682" i="27"/>
  <c r="AA681" i="27"/>
  <c r="S681" i="27"/>
  <c r="Y680" i="27"/>
  <c r="W679" i="27"/>
  <c r="U678" i="27"/>
  <c r="AA677" i="27"/>
  <c r="S677" i="27"/>
  <c r="Y676" i="27"/>
  <c r="W675" i="27"/>
  <c r="U674" i="27"/>
  <c r="AA673" i="27"/>
  <c r="S673" i="27"/>
  <c r="Y672" i="27"/>
  <c r="W671" i="27"/>
  <c r="U670" i="27"/>
  <c r="AA669" i="27"/>
  <c r="S669" i="27"/>
  <c r="Y668" i="27"/>
  <c r="W667" i="27"/>
  <c r="U666" i="27"/>
  <c r="AA665" i="27"/>
  <c r="S665" i="27"/>
  <c r="Y664" i="27"/>
  <c r="W663" i="27"/>
  <c r="U662" i="27"/>
  <c r="AA661" i="27"/>
  <c r="S661" i="27"/>
  <c r="Y660" i="27"/>
  <c r="W659" i="27"/>
  <c r="U658" i="27"/>
  <c r="AA657" i="27"/>
  <c r="S657" i="27"/>
  <c r="Y656" i="27"/>
  <c r="W655" i="27"/>
  <c r="U654" i="27"/>
  <c r="AA653" i="27"/>
  <c r="S653" i="27"/>
  <c r="Y652" i="27"/>
  <c r="W651" i="27"/>
  <c r="W1205" i="27"/>
  <c r="AA1171" i="27"/>
  <c r="V1154" i="27"/>
  <c r="Z1144" i="27"/>
  <c r="Z1134" i="27"/>
  <c r="S1124" i="27"/>
  <c r="S1114" i="27"/>
  <c r="T1105" i="27"/>
  <c r="X1092" i="27"/>
  <c r="Z1086" i="27"/>
  <c r="U1085" i="27"/>
  <c r="AA1080" i="27"/>
  <c r="T1079" i="27"/>
  <c r="W1074" i="27"/>
  <c r="S1073" i="27"/>
  <c r="Z1067" i="27"/>
  <c r="AB1063" i="27"/>
  <c r="AA1060" i="27"/>
  <c r="T1051" i="27"/>
  <c r="AB1046" i="27"/>
  <c r="Y1045" i="27"/>
  <c r="S1029" i="27"/>
  <c r="X1025" i="27"/>
  <c r="U1024" i="27"/>
  <c r="Y1023" i="27"/>
  <c r="AA1018" i="27"/>
  <c r="U1013" i="27"/>
  <c r="X1010" i="27"/>
  <c r="U1009" i="27"/>
  <c r="T1008" i="27"/>
  <c r="W1002" i="27"/>
  <c r="W990" i="27"/>
  <c r="X989" i="27"/>
  <c r="W986" i="27"/>
  <c r="U985" i="27"/>
  <c r="V979" i="27"/>
  <c r="AA978" i="27"/>
  <c r="W977" i="27"/>
  <c r="T976" i="27"/>
  <c r="W975" i="27"/>
  <c r="AA968" i="27"/>
  <c r="V967" i="27"/>
  <c r="T966" i="27"/>
  <c r="W965" i="27"/>
  <c r="S964" i="27"/>
  <c r="W957" i="27"/>
  <c r="AA956" i="27"/>
  <c r="W955" i="27"/>
  <c r="T954" i="27"/>
  <c r="X953" i="27"/>
  <c r="AB946" i="27"/>
  <c r="X945" i="27"/>
  <c r="AA944" i="27"/>
  <c r="X943" i="27"/>
  <c r="T942" i="27"/>
  <c r="S941" i="27"/>
  <c r="AB934" i="27"/>
  <c r="Z933" i="27"/>
  <c r="U932" i="27"/>
  <c r="X931" i="27"/>
  <c r="X923" i="27"/>
  <c r="U922" i="27"/>
  <c r="Z921" i="27"/>
  <c r="U920" i="27"/>
  <c r="S919" i="27"/>
  <c r="AB911" i="27"/>
  <c r="X910" i="27"/>
  <c r="U909" i="27"/>
  <c r="Z908" i="27"/>
  <c r="U907" i="27"/>
  <c r="S906" i="27"/>
  <c r="S900" i="27"/>
  <c r="S899" i="27"/>
  <c r="T898" i="27"/>
  <c r="T897" i="27"/>
  <c r="W896" i="27"/>
  <c r="W895" i="27"/>
  <c r="W894" i="27"/>
  <c r="Y893" i="27"/>
  <c r="W892" i="27"/>
  <c r="Z891" i="27"/>
  <c r="W890" i="27"/>
  <c r="AA889" i="27"/>
  <c r="Z888" i="27"/>
  <c r="AA887" i="27"/>
  <c r="S883" i="27"/>
  <c r="U882" i="27"/>
  <c r="Z881" i="27"/>
  <c r="Z880" i="27"/>
  <c r="AA879" i="27"/>
  <c r="S875" i="27"/>
  <c r="U874" i="27"/>
  <c r="Z873" i="27"/>
  <c r="S869" i="27"/>
  <c r="V868" i="27"/>
  <c r="X867" i="27"/>
  <c r="W866" i="27"/>
  <c r="AB865" i="27"/>
  <c r="T863" i="27"/>
  <c r="Z862" i="27"/>
  <c r="U858" i="27"/>
  <c r="V857" i="27"/>
  <c r="AA856" i="27"/>
  <c r="V854" i="27"/>
  <c r="Y853" i="27"/>
  <c r="AB852" i="27"/>
  <c r="S849" i="27"/>
  <c r="Y848" i="27"/>
  <c r="AB847" i="27"/>
  <c r="U845" i="27"/>
  <c r="Z844" i="27"/>
  <c r="T842" i="27"/>
  <c r="X841" i="27"/>
  <c r="X839" i="27"/>
  <c r="Z838" i="27"/>
  <c r="U836" i="27"/>
  <c r="Z835" i="27"/>
  <c r="S834" i="27"/>
  <c r="X833" i="27"/>
  <c r="S832" i="27"/>
  <c r="Y831" i="27"/>
  <c r="W829" i="27"/>
  <c r="AB828" i="27"/>
  <c r="W827" i="27"/>
  <c r="U826" i="27"/>
  <c r="AB825" i="27"/>
  <c r="S825" i="27"/>
  <c r="Z824" i="27"/>
  <c r="W823" i="27"/>
  <c r="T822" i="27"/>
  <c r="X821" i="27"/>
  <c r="W820" i="27"/>
  <c r="V819" i="27"/>
  <c r="AB818" i="27"/>
  <c r="T818" i="27"/>
  <c r="AA817" i="27"/>
  <c r="S817" i="27"/>
  <c r="Y816" i="27"/>
  <c r="W815" i="27"/>
  <c r="U814" i="27"/>
  <c r="AA813" i="27"/>
  <c r="S813" i="27"/>
  <c r="Y812" i="27"/>
  <c r="W1208" i="27"/>
  <c r="AB1192" i="27"/>
  <c r="Y1165" i="27"/>
  <c r="V1159" i="27"/>
  <c r="T1149" i="27"/>
  <c r="S1144" i="27"/>
  <c r="T1139" i="27"/>
  <c r="U1125" i="27"/>
  <c r="V1115" i="27"/>
  <c r="Z1101" i="27"/>
  <c r="T1086" i="27"/>
  <c r="V1080" i="27"/>
  <c r="V1075" i="27"/>
  <c r="S1074" i="27"/>
  <c r="AB1068" i="27"/>
  <c r="Y1067" i="27"/>
  <c r="AA1063" i="27"/>
  <c r="S1051" i="27"/>
  <c r="Y1047" i="27"/>
  <c r="Y1046" i="27"/>
  <c r="AB1042" i="27"/>
  <c r="V1033" i="27"/>
  <c r="X1030" i="27"/>
  <c r="X1026" i="27"/>
  <c r="W1025" i="27"/>
  <c r="T1024" i="27"/>
  <c r="W1010" i="27"/>
  <c r="S1009" i="27"/>
  <c r="Z1003" i="27"/>
  <c r="AB999" i="27"/>
  <c r="AA996" i="27"/>
  <c r="V991" i="27"/>
  <c r="U990" i="27"/>
  <c r="U986" i="27"/>
  <c r="Y980" i="27"/>
  <c r="U979" i="27"/>
  <c r="Z978" i="27"/>
  <c r="V977" i="27"/>
  <c r="S976" i="27"/>
  <c r="V969" i="27"/>
  <c r="Y968" i="27"/>
  <c r="U967" i="27"/>
  <c r="S966" i="27"/>
  <c r="AB959" i="27"/>
  <c r="AA958" i="27"/>
  <c r="V957" i="27"/>
  <c r="Y956" i="27"/>
  <c r="V955" i="27"/>
  <c r="S954" i="27"/>
  <c r="V947" i="27"/>
  <c r="AA946" i="27"/>
  <c r="W945" i="27"/>
  <c r="T944" i="27"/>
  <c r="W943" i="27"/>
  <c r="W935" i="27"/>
  <c r="AA934" i="27"/>
  <c r="Y933" i="27"/>
  <c r="T932" i="27"/>
  <c r="AB924" i="27"/>
  <c r="W923" i="27"/>
  <c r="T922" i="27"/>
  <c r="Y921" i="27"/>
  <c r="V912" i="27"/>
  <c r="Z911" i="27"/>
  <c r="W910" i="27"/>
  <c r="T909" i="27"/>
  <c r="Y908" i="27"/>
  <c r="S896" i="27"/>
  <c r="V895" i="27"/>
  <c r="T894" i="27"/>
  <c r="W893" i="27"/>
  <c r="U892" i="27"/>
  <c r="Y891" i="27"/>
  <c r="V890" i="27"/>
  <c r="W889" i="27"/>
  <c r="Y888" i="27"/>
  <c r="X887" i="27"/>
  <c r="AB886" i="27"/>
  <c r="T882" i="27"/>
  <c r="W881" i="27"/>
  <c r="Y880" i="27"/>
  <c r="X879" i="27"/>
  <c r="AB878" i="27"/>
  <c r="T874" i="27"/>
  <c r="W873" i="27"/>
  <c r="AA872" i="27"/>
  <c r="S868" i="27"/>
  <c r="W867" i="27"/>
  <c r="V866" i="27"/>
  <c r="Y865" i="27"/>
  <c r="AB864" i="27"/>
  <c r="S863" i="27"/>
  <c r="Y862" i="27"/>
  <c r="Z861" i="27"/>
  <c r="U857" i="27"/>
  <c r="X856" i="27"/>
  <c r="S854" i="27"/>
  <c r="X853" i="27"/>
  <c r="Y852" i="27"/>
  <c r="AA851" i="27"/>
  <c r="X848" i="27"/>
  <c r="Y847" i="27"/>
  <c r="T845" i="27"/>
  <c r="Y844" i="27"/>
  <c r="AB843" i="27"/>
  <c r="U841" i="27"/>
  <c r="AB840" i="27"/>
  <c r="V839" i="27"/>
  <c r="Y838" i="27"/>
  <c r="S836" i="27"/>
  <c r="W835" i="27"/>
  <c r="U833" i="27"/>
  <c r="AB832" i="27"/>
  <c r="X831" i="27"/>
  <c r="V829" i="27"/>
  <c r="AA828" i="27"/>
  <c r="V827" i="27"/>
  <c r="T826" i="27"/>
  <c r="AA825" i="27"/>
  <c r="Y824" i="27"/>
  <c r="V823" i="27"/>
  <c r="AB822" i="27"/>
  <c r="W821" i="27"/>
  <c r="V820" i="27"/>
  <c r="U819" i="27"/>
  <c r="AA818" i="27"/>
  <c r="S818" i="27"/>
  <c r="Z817" i="27"/>
  <c r="X816" i="27"/>
  <c r="V815" i="27"/>
  <c r="AB814" i="27"/>
  <c r="T814" i="27"/>
  <c r="Z813" i="27"/>
  <c r="X812" i="27"/>
  <c r="W811" i="27"/>
  <c r="U810" i="27"/>
  <c r="AA809" i="27"/>
  <c r="S809" i="27"/>
  <c r="Z808" i="27"/>
  <c r="Y807" i="27"/>
  <c r="W806" i="27"/>
  <c r="U805" i="27"/>
  <c r="AA804" i="27"/>
  <c r="S804" i="27"/>
  <c r="Y803" i="27"/>
  <c r="W802" i="27"/>
  <c r="V801" i="27"/>
  <c r="U800" i="27"/>
  <c r="AB799" i="27"/>
  <c r="T799" i="27"/>
  <c r="AA798" i="27"/>
  <c r="S798" i="27"/>
  <c r="Z797" i="27"/>
  <c r="Y796" i="27"/>
  <c r="X795" i="27"/>
  <c r="W794" i="27"/>
  <c r="V793" i="27"/>
  <c r="U792" i="27"/>
  <c r="AB791" i="27"/>
  <c r="T791" i="27"/>
  <c r="AA790" i="27"/>
  <c r="S790" i="27"/>
  <c r="Z789" i="27"/>
  <c r="Y788" i="27"/>
  <c r="X787" i="27"/>
  <c r="W786" i="27"/>
  <c r="V785" i="27"/>
  <c r="U784" i="27"/>
  <c r="AB783" i="27"/>
  <c r="T783" i="27"/>
  <c r="AA782" i="27"/>
  <c r="S782" i="27"/>
  <c r="Z781" i="27"/>
  <c r="Y780" i="27"/>
  <c r="X779" i="27"/>
  <c r="W778" i="27"/>
  <c r="V777" i="27"/>
  <c r="U776" i="27"/>
  <c r="AA775" i="27"/>
  <c r="S775" i="27"/>
  <c r="Y774" i="27"/>
  <c r="W773" i="27"/>
  <c r="U772" i="27"/>
  <c r="AA771" i="27"/>
  <c r="S771" i="27"/>
  <c r="Z770" i="27"/>
  <c r="Y769" i="27"/>
  <c r="X768" i="27"/>
  <c r="W767" i="27"/>
  <c r="V766" i="27"/>
  <c r="U765" i="27"/>
  <c r="AB764" i="27"/>
  <c r="T764" i="27"/>
  <c r="AA763" i="27"/>
  <c r="S763" i="27"/>
  <c r="Z762" i="27"/>
  <c r="Y761" i="27"/>
  <c r="W760" i="27"/>
  <c r="U759" i="27"/>
  <c r="AA758" i="27"/>
  <c r="S758" i="27"/>
  <c r="Y757" i="27"/>
  <c r="W756" i="27"/>
  <c r="U755" i="27"/>
  <c r="AA754" i="27"/>
  <c r="S754" i="27"/>
  <c r="Y753" i="27"/>
  <c r="W752" i="27"/>
  <c r="U751" i="27"/>
  <c r="AA750" i="27"/>
  <c r="S750" i="27"/>
  <c r="Y749" i="27"/>
  <c r="W748" i="27"/>
  <c r="U747" i="27"/>
  <c r="AA746" i="27"/>
  <c r="S746" i="27"/>
  <c r="Y745" i="27"/>
  <c r="W744" i="27"/>
  <c r="U743" i="27"/>
  <c r="AA742" i="27"/>
  <c r="S742" i="27"/>
  <c r="Y741" i="27"/>
  <c r="W740" i="27"/>
  <c r="U739" i="27"/>
  <c r="AA738" i="27"/>
  <c r="S738" i="27"/>
  <c r="Y737" i="27"/>
  <c r="W736" i="27"/>
  <c r="U735" i="27"/>
  <c r="AA734" i="27"/>
  <c r="S734" i="27"/>
  <c r="Y733" i="27"/>
  <c r="W732" i="27"/>
  <c r="U731" i="27"/>
  <c r="AA730" i="27"/>
  <c r="S730" i="27"/>
  <c r="Y729" i="27"/>
  <c r="W728" i="27"/>
  <c r="U727" i="27"/>
  <c r="AA726" i="27"/>
  <c r="S726" i="27"/>
  <c r="Y725" i="27"/>
  <c r="W724" i="27"/>
  <c r="U723" i="27"/>
  <c r="AA722" i="27"/>
  <c r="S722" i="27"/>
  <c r="Y721" i="27"/>
  <c r="W720" i="27"/>
  <c r="U719" i="27"/>
  <c r="AA718" i="27"/>
  <c r="S718" i="27"/>
  <c r="Y717" i="27"/>
  <c r="W716" i="27"/>
  <c r="U715" i="27"/>
  <c r="AA714" i="27"/>
  <c r="S714" i="27"/>
  <c r="Y713" i="27"/>
  <c r="W712" i="27"/>
  <c r="U711" i="27"/>
  <c r="AA710" i="27"/>
  <c r="S710" i="27"/>
  <c r="Y709" i="27"/>
  <c r="W708" i="27"/>
  <c r="U707" i="27"/>
  <c r="AA706" i="27"/>
  <c r="S706" i="27"/>
  <c r="Y705" i="27"/>
  <c r="W704" i="27"/>
  <c r="U703" i="27"/>
  <c r="AA702" i="27"/>
  <c r="S702" i="27"/>
  <c r="Y701" i="27"/>
  <c r="W700" i="27"/>
  <c r="U699" i="27"/>
  <c r="AA698" i="27"/>
  <c r="S698" i="27"/>
  <c r="Y697" i="27"/>
  <c r="W696" i="27"/>
  <c r="U695" i="27"/>
  <c r="AA694" i="27"/>
  <c r="S694" i="27"/>
  <c r="Y693" i="27"/>
  <c r="W692" i="27"/>
  <c r="U691" i="27"/>
  <c r="AA690" i="27"/>
  <c r="S690" i="27"/>
  <c r="Y689" i="27"/>
  <c r="W688" i="27"/>
  <c r="U687" i="27"/>
  <c r="AA686" i="27"/>
  <c r="S686" i="27"/>
  <c r="Y685" i="27"/>
  <c r="W684" i="27"/>
  <c r="U683" i="27"/>
  <c r="AA682" i="27"/>
  <c r="S682" i="27"/>
  <c r="Y681" i="27"/>
  <c r="W680" i="27"/>
  <c r="U679" i="27"/>
  <c r="AA678" i="27"/>
  <c r="S678" i="27"/>
  <c r="Y677" i="27"/>
  <c r="W676" i="27"/>
  <c r="U675" i="27"/>
  <c r="AA674" i="27"/>
  <c r="S674" i="27"/>
  <c r="Y673" i="27"/>
  <c r="W672" i="27"/>
  <c r="U671" i="27"/>
  <c r="AA670" i="27"/>
  <c r="S670" i="27"/>
  <c r="Y669" i="27"/>
  <c r="W668" i="27"/>
  <c r="U667" i="27"/>
  <c r="AA666" i="27"/>
  <c r="S666" i="27"/>
  <c r="Y665" i="27"/>
  <c r="W664" i="27"/>
  <c r="U663" i="27"/>
  <c r="AA662" i="27"/>
  <c r="S662" i="27"/>
  <c r="Y661" i="27"/>
  <c r="W660" i="27"/>
  <c r="U659" i="27"/>
  <c r="AA658" i="27"/>
  <c r="S658" i="27"/>
  <c r="Y657" i="27"/>
  <c r="W656" i="27"/>
  <c r="U655" i="27"/>
  <c r="AA654" i="27"/>
  <c r="S654" i="27"/>
  <c r="Y653" i="27"/>
  <c r="W652" i="27"/>
  <c r="U651" i="27"/>
  <c r="AA650" i="27"/>
  <c r="S650" i="27"/>
  <c r="U1285" i="27"/>
  <c r="V1211" i="27"/>
  <c r="W1172" i="27"/>
  <c r="AB1166" i="27"/>
  <c r="U1165" i="27"/>
  <c r="AB1155" i="27"/>
  <c r="Z1145" i="27"/>
  <c r="Y1135" i="27"/>
  <c r="T1125" i="27"/>
  <c r="U1115" i="27"/>
  <c r="W1108" i="27"/>
  <c r="T1097" i="27"/>
  <c r="Y1089" i="27"/>
  <c r="S1075" i="27"/>
  <c r="AA1069" i="27"/>
  <c r="AA1068" i="27"/>
  <c r="AA1064" i="27"/>
  <c r="AB1058" i="27"/>
  <c r="Y1048" i="27"/>
  <c r="W1047" i="27"/>
  <c r="U1046" i="27"/>
  <c r="S1036" i="27"/>
  <c r="T1030" i="27"/>
  <c r="T1026" i="27"/>
  <c r="S1025" i="27"/>
  <c r="AB1019" i="27"/>
  <c r="AB1016" i="27"/>
  <c r="V1011" i="27"/>
  <c r="S1010" i="27"/>
  <c r="AB1004" i="27"/>
  <c r="Y1003" i="27"/>
  <c r="AA999" i="27"/>
  <c r="U991" i="27"/>
  <c r="AA981" i="27"/>
  <c r="X980" i="27"/>
  <c r="T979" i="27"/>
  <c r="S978" i="27"/>
  <c r="AB971" i="27"/>
  <c r="Z970" i="27"/>
  <c r="U969" i="27"/>
  <c r="X968" i="27"/>
  <c r="X960" i="27"/>
  <c r="U959" i="27"/>
  <c r="Z958" i="27"/>
  <c r="U957" i="27"/>
  <c r="S956" i="27"/>
  <c r="Y948" i="27"/>
  <c r="U947" i="27"/>
  <c r="Z946" i="27"/>
  <c r="V945" i="27"/>
  <c r="S944" i="27"/>
  <c r="AB936" i="27"/>
  <c r="V935" i="27"/>
  <c r="T934" i="27"/>
  <c r="X933" i="27"/>
  <c r="X925" i="27"/>
  <c r="Z924" i="27"/>
  <c r="V923" i="27"/>
  <c r="S922" i="27"/>
  <c r="AB914" i="27"/>
  <c r="Z913" i="27"/>
  <c r="U912" i="27"/>
  <c r="Y911" i="27"/>
  <c r="V910" i="27"/>
  <c r="S909" i="27"/>
  <c r="S894" i="27"/>
  <c r="T893" i="27"/>
  <c r="T892" i="27"/>
  <c r="V891" i="27"/>
  <c r="U890" i="27"/>
  <c r="T889" i="27"/>
  <c r="X888" i="27"/>
  <c r="W887" i="27"/>
  <c r="Y886" i="27"/>
  <c r="AB885" i="27"/>
  <c r="T881" i="27"/>
  <c r="X880" i="27"/>
  <c r="W879" i="27"/>
  <c r="Y878" i="27"/>
  <c r="AB877" i="27"/>
  <c r="T873" i="27"/>
  <c r="Z872" i="27"/>
  <c r="AB871" i="27"/>
  <c r="T867" i="27"/>
  <c r="U866" i="27"/>
  <c r="V865" i="27"/>
  <c r="AA864" i="27"/>
  <c r="V862" i="27"/>
  <c r="Y861" i="27"/>
  <c r="AB860" i="27"/>
  <c r="T857" i="27"/>
  <c r="U856" i="27"/>
  <c r="AB855" i="27"/>
  <c r="U853" i="27"/>
  <c r="X852" i="27"/>
  <c r="X851" i="27"/>
  <c r="AB850" i="27"/>
  <c r="V848" i="27"/>
  <c r="X847" i="27"/>
  <c r="AB846" i="27"/>
  <c r="S845" i="27"/>
  <c r="X844" i="27"/>
  <c r="Y843" i="27"/>
  <c r="T841" i="27"/>
  <c r="AA840" i="27"/>
  <c r="S839" i="27"/>
  <c r="X838" i="27"/>
  <c r="AB837" i="27"/>
  <c r="V835" i="27"/>
  <c r="AB834" i="27"/>
  <c r="T833" i="27"/>
  <c r="AA832" i="27"/>
  <c r="W831" i="27"/>
  <c r="Z830" i="27"/>
  <c r="U829" i="27"/>
  <c r="X828" i="27"/>
  <c r="U827" i="27"/>
  <c r="AB826" i="27"/>
  <c r="S826" i="27"/>
  <c r="Z825" i="27"/>
  <c r="X824" i="27"/>
  <c r="U823" i="27"/>
  <c r="Z822" i="27"/>
  <c r="V821" i="27"/>
  <c r="U820" i="27"/>
  <c r="AB819" i="27"/>
  <c r="T819" i="27"/>
  <c r="Z818" i="27"/>
  <c r="Y817" i="27"/>
  <c r="W816" i="27"/>
  <c r="U815" i="27"/>
  <c r="AA814" i="27"/>
  <c r="S814" i="27"/>
  <c r="Y813" i="27"/>
  <c r="W812" i="27"/>
  <c r="V811" i="27"/>
  <c r="AB810" i="27"/>
  <c r="T810" i="27"/>
  <c r="Z809" i="27"/>
  <c r="Y808" i="27"/>
  <c r="Y1195" i="27"/>
  <c r="W1177" i="27"/>
  <c r="Z1169" i="27"/>
  <c r="S1166" i="27"/>
  <c r="V1160" i="27"/>
  <c r="T1150" i="27"/>
  <c r="AA1140" i="27"/>
  <c r="AA1098" i="27"/>
  <c r="T1089" i="27"/>
  <c r="T1083" i="27"/>
  <c r="X1076" i="27"/>
  <c r="AA1070" i="27"/>
  <c r="X1069" i="27"/>
  <c r="W1068" i="27"/>
  <c r="W1064" i="27"/>
  <c r="Y1061" i="27"/>
  <c r="S1052" i="27"/>
  <c r="V1048" i="27"/>
  <c r="V1047" i="27"/>
  <c r="AB1043" i="27"/>
  <c r="T1031" i="27"/>
  <c r="V1027" i="27"/>
  <c r="S1026" i="27"/>
  <c r="AB1020" i="27"/>
  <c r="Y1019" i="27"/>
  <c r="S1014" i="27"/>
  <c r="S1011" i="27"/>
  <c r="AA1005" i="27"/>
  <c r="AA1004" i="27"/>
  <c r="AA1000" i="27"/>
  <c r="AB994" i="27"/>
  <c r="S987" i="27"/>
  <c r="Y982" i="27"/>
  <c r="U981" i="27"/>
  <c r="W980" i="27"/>
  <c r="W972" i="27"/>
  <c r="AA971" i="27"/>
  <c r="Y970" i="27"/>
  <c r="S969" i="27"/>
  <c r="AA961" i="27"/>
  <c r="W960" i="27"/>
  <c r="T959" i="27"/>
  <c r="Y958" i="27"/>
  <c r="AA949" i="27"/>
  <c r="X948" i="27"/>
  <c r="T947" i="27"/>
  <c r="S946" i="27"/>
  <c r="W937" i="27"/>
  <c r="Z936" i="27"/>
  <c r="U935" i="27"/>
  <c r="S934" i="27"/>
  <c r="AB927" i="27"/>
  <c r="AA926" i="27"/>
  <c r="W925" i="27"/>
  <c r="T924" i="27"/>
  <c r="W915" i="27"/>
  <c r="AA914" i="27"/>
  <c r="Y913" i="27"/>
  <c r="S912" i="27"/>
  <c r="Y902" i="27"/>
  <c r="AB901" i="27"/>
  <c r="S889" i="27"/>
  <c r="U888" i="27"/>
  <c r="V887" i="27"/>
  <c r="V886" i="27"/>
  <c r="AA885" i="27"/>
  <c r="S881" i="27"/>
  <c r="U880" i="27"/>
  <c r="V879" i="27"/>
  <c r="V878" i="27"/>
  <c r="AA877" i="27"/>
  <c r="S873" i="27"/>
  <c r="Y872" i="27"/>
  <c r="Y871" i="27"/>
  <c r="Z870" i="27"/>
  <c r="AB869" i="27"/>
  <c r="U865" i="27"/>
  <c r="X864" i="27"/>
  <c r="S862" i="27"/>
  <c r="X861" i="27"/>
  <c r="Y860" i="27"/>
  <c r="AA859" i="27"/>
  <c r="T856" i="27"/>
  <c r="AA855" i="27"/>
  <c r="W852" i="27"/>
  <c r="W851" i="27"/>
  <c r="Y850" i="27"/>
  <c r="AB849" i="27"/>
  <c r="S848" i="27"/>
  <c r="W847" i="27"/>
  <c r="Z846" i="27"/>
  <c r="V844" i="27"/>
  <c r="X843" i="27"/>
  <c r="AB842" i="27"/>
  <c r="S841" i="27"/>
  <c r="Z840" i="27"/>
  <c r="W838" i="27"/>
  <c r="Y837" i="27"/>
  <c r="U835" i="27"/>
  <c r="AA834" i="27"/>
  <c r="S833" i="27"/>
  <c r="Z832" i="27"/>
  <c r="V831" i="27"/>
  <c r="Y830" i="27"/>
  <c r="T829" i="27"/>
  <c r="W828" i="27"/>
  <c r="T827" i="27"/>
  <c r="AA826" i="27"/>
  <c r="Y825" i="27"/>
  <c r="W824" i="27"/>
  <c r="S823" i="27"/>
  <c r="Y822" i="27"/>
  <c r="U821" i="27"/>
  <c r="AB820" i="27"/>
  <c r="T820" i="27"/>
  <c r="AA819" i="27"/>
  <c r="S819" i="27"/>
  <c r="Y818" i="27"/>
  <c r="X817" i="27"/>
  <c r="V816" i="27"/>
  <c r="AB815" i="27"/>
  <c r="T815" i="27"/>
  <c r="Z814" i="27"/>
  <c r="X813" i="27"/>
  <c r="V812" i="27"/>
  <c r="U811" i="27"/>
  <c r="AA810" i="27"/>
  <c r="S810" i="27"/>
  <c r="Y809" i="27"/>
  <c r="S1256" i="27"/>
  <c r="T1177" i="27"/>
  <c r="T1169" i="27"/>
  <c r="U1161" i="27"/>
  <c r="T1160" i="27"/>
  <c r="S1150" i="27"/>
  <c r="V1140" i="27"/>
  <c r="AB1126" i="27"/>
  <c r="AA1116" i="27"/>
  <c r="X1099" i="27"/>
  <c r="Z1098" i="27"/>
  <c r="V1090" i="27"/>
  <c r="Y1077" i="27"/>
  <c r="W1076" i="27"/>
  <c r="V1071" i="27"/>
  <c r="Z1070" i="27"/>
  <c r="W1069" i="27"/>
  <c r="AA1065" i="27"/>
  <c r="V1049" i="27"/>
  <c r="S1048" i="27"/>
  <c r="AA1043" i="27"/>
  <c r="T1034" i="27"/>
  <c r="S1031" i="27"/>
  <c r="U1027" i="27"/>
  <c r="AA1021" i="27"/>
  <c r="X1020" i="27"/>
  <c r="AA1006" i="27"/>
  <c r="X1005" i="27"/>
  <c r="W1004" i="27"/>
  <c r="W1000" i="27"/>
  <c r="Y997" i="27"/>
  <c r="S992" i="27"/>
  <c r="AB983" i="27"/>
  <c r="X982" i="27"/>
  <c r="S981" i="27"/>
  <c r="AA973" i="27"/>
  <c r="V972" i="27"/>
  <c r="T971" i="27"/>
  <c r="X970" i="27"/>
  <c r="X962" i="27"/>
  <c r="Z961" i="27"/>
  <c r="V960" i="27"/>
  <c r="S959" i="27"/>
  <c r="AB951" i="27"/>
  <c r="Y950" i="27"/>
  <c r="U949" i="27"/>
  <c r="W948" i="27"/>
  <c r="AB939" i="27"/>
  <c r="Z938" i="27"/>
  <c r="V937" i="27"/>
  <c r="Y936" i="27"/>
  <c r="AB929" i="27"/>
  <c r="Y928" i="27"/>
  <c r="U927" i="27"/>
  <c r="Z926" i="27"/>
  <c r="V925" i="27"/>
  <c r="AB917" i="27"/>
  <c r="Z916" i="27"/>
  <c r="V915" i="27"/>
  <c r="T914" i="27"/>
  <c r="X913" i="27"/>
  <c r="AB1200" i="27"/>
  <c r="Z1170" i="27"/>
  <c r="T1161" i="27"/>
  <c r="AB1119" i="27"/>
  <c r="S1077" i="27"/>
  <c r="Z1065" i="27"/>
  <c r="X1022" i="27"/>
  <c r="Z1017" i="27"/>
  <c r="AA1001" i="27"/>
  <c r="AB988" i="27"/>
  <c r="AB976" i="27"/>
  <c r="Z973" i="27"/>
  <c r="AB966" i="27"/>
  <c r="AA963" i="27"/>
  <c r="W950" i="27"/>
  <c r="AA941" i="27"/>
  <c r="AA931" i="27"/>
  <c r="S927" i="27"/>
  <c r="T917" i="27"/>
  <c r="S914" i="27"/>
  <c r="Y905" i="27"/>
  <c r="T904" i="27"/>
  <c r="X898" i="27"/>
  <c r="U886" i="27"/>
  <c r="T885" i="27"/>
  <c r="T878" i="27"/>
  <c r="AB873" i="27"/>
  <c r="S864" i="27"/>
  <c r="Z863" i="27"/>
  <c r="X859" i="27"/>
  <c r="Z858" i="27"/>
  <c r="U850" i="27"/>
  <c r="W849" i="27"/>
  <c r="AB845" i="27"/>
  <c r="AA839" i="27"/>
  <c r="AB833" i="27"/>
  <c r="X832" i="27"/>
  <c r="S831" i="27"/>
  <c r="V830" i="27"/>
  <c r="U1170" i="27"/>
  <c r="S1161" i="27"/>
  <c r="U1113" i="27"/>
  <c r="S1098" i="27"/>
  <c r="Y1085" i="27"/>
  <c r="Z1078" i="27"/>
  <c r="X1073" i="27"/>
  <c r="Y1044" i="27"/>
  <c r="Z1006" i="27"/>
  <c r="Z1001" i="27"/>
  <c r="X988" i="27"/>
  <c r="AA983" i="27"/>
  <c r="Y973" i="27"/>
  <c r="Z963" i="27"/>
  <c r="AB954" i="27"/>
  <c r="AA951" i="27"/>
  <c r="Y938" i="27"/>
  <c r="X928" i="27"/>
  <c r="Y918" i="27"/>
  <c r="W905" i="27"/>
  <c r="AA899" i="27"/>
  <c r="AA895" i="27"/>
  <c r="T886" i="27"/>
  <c r="AB881" i="27"/>
  <c r="AA868" i="27"/>
  <c r="T865" i="27"/>
  <c r="X860" i="27"/>
  <c r="W859" i="27"/>
  <c r="W858" i="27"/>
  <c r="V851" i="27"/>
  <c r="T850" i="27"/>
  <c r="W846" i="27"/>
  <c r="AA845" i="27"/>
  <c r="Y840" i="27"/>
  <c r="Z839" i="27"/>
  <c r="Y834" i="27"/>
  <c r="AA833" i="27"/>
  <c r="W832" i="27"/>
  <c r="AB812" i="27"/>
  <c r="V808" i="27"/>
  <c r="AB807" i="27"/>
  <c r="U806" i="27"/>
  <c r="AA805" i="27"/>
  <c r="V804" i="27"/>
  <c r="X803" i="27"/>
  <c r="S802" i="27"/>
  <c r="Z801" i="27"/>
  <c r="V800" i="27"/>
  <c r="AA799" i="27"/>
  <c r="W798" i="27"/>
  <c r="AA797" i="27"/>
  <c r="U796" i="27"/>
  <c r="AA795" i="27"/>
  <c r="U794" i="27"/>
  <c r="AB793" i="27"/>
  <c r="Y792" i="27"/>
  <c r="S791" i="27"/>
  <c r="Y790" i="27"/>
  <c r="S789" i="27"/>
  <c r="W788" i="27"/>
  <c r="S787" i="27"/>
  <c r="X786" i="27"/>
  <c r="T785" i="27"/>
  <c r="AA784" i="27"/>
  <c r="W783" i="27"/>
  <c r="AB782" i="27"/>
  <c r="Y1151" i="27"/>
  <c r="W1078" i="27"/>
  <c r="W1070" i="27"/>
  <c r="AA1059" i="27"/>
  <c r="V1044" i="27"/>
  <c r="AA1023" i="27"/>
  <c r="W1006" i="27"/>
  <c r="AA995" i="27"/>
  <c r="S983" i="27"/>
  <c r="W974" i="27"/>
  <c r="AB964" i="27"/>
  <c r="Z951" i="27"/>
  <c r="V942" i="27"/>
  <c r="X938" i="27"/>
  <c r="W928" i="27"/>
  <c r="X918" i="27"/>
  <c r="AB906" i="27"/>
  <c r="AB900" i="27"/>
  <c r="X899" i="27"/>
  <c r="S879" i="27"/>
  <c r="AB874" i="27"/>
  <c r="AA869" i="27"/>
  <c r="Z868" i="27"/>
  <c r="W860" i="27"/>
  <c r="V859" i="27"/>
  <c r="Z855" i="27"/>
  <c r="AA854" i="27"/>
  <c r="S851" i="27"/>
  <c r="V846" i="27"/>
  <c r="Z845" i="27"/>
  <c r="AB841" i="27"/>
  <c r="W840" i="27"/>
  <c r="V834" i="27"/>
  <c r="X825" i="27"/>
  <c r="AB824" i="27"/>
  <c r="AB821" i="27"/>
  <c r="AB816" i="27"/>
  <c r="W813" i="27"/>
  <c r="AA812" i="27"/>
  <c r="AB811" i="27"/>
  <c r="U808" i="27"/>
  <c r="Z807" i="27"/>
  <c r="T806" i="27"/>
  <c r="Z805" i="27"/>
  <c r="T804" i="27"/>
  <c r="W803" i="27"/>
  <c r="AB802" i="27"/>
  <c r="Y801" i="27"/>
  <c r="T800" i="27"/>
  <c r="Z799" i="27"/>
  <c r="V798" i="27"/>
  <c r="Y797" i="27"/>
  <c r="T796" i="27"/>
  <c r="Y795" i="27"/>
  <c r="T794" i="27"/>
  <c r="AA793" i="27"/>
  <c r="X792" i="27"/>
  <c r="X790" i="27"/>
  <c r="V788" i="27"/>
  <c r="AB787" i="27"/>
  <c r="V786" i="27"/>
  <c r="S785" i="27"/>
  <c r="Z784" i="27"/>
  <c r="U783" i="27"/>
  <c r="Z782" i="27"/>
  <c r="U781" i="27"/>
  <c r="X780" i="27"/>
  <c r="T779" i="27"/>
  <c r="Z778" i="27"/>
  <c r="U777" i="27"/>
  <c r="AB776" i="27"/>
  <c r="W775" i="27"/>
  <c r="Z774" i="27"/>
  <c r="T773" i="27"/>
  <c r="Z772" i="27"/>
  <c r="T771" i="27"/>
  <c r="X770" i="27"/>
  <c r="W768" i="27"/>
  <c r="S767" i="27"/>
  <c r="Z766" i="27"/>
  <c r="V765" i="27"/>
  <c r="AA764" i="27"/>
  <c r="W763" i="27"/>
  <c r="AA762" i="27"/>
  <c r="U761" i="27"/>
  <c r="Z760" i="27"/>
  <c r="T759" i="27"/>
  <c r="Y758" i="27"/>
  <c r="V756" i="27"/>
  <c r="AB755" i="27"/>
  <c r="W754" i="27"/>
  <c r="Z753" i="27"/>
  <c r="T752" i="27"/>
  <c r="Z751" i="27"/>
  <c r="T750" i="27"/>
  <c r="W749" i="27"/>
  <c r="AB748" i="27"/>
  <c r="X747" i="27"/>
  <c r="AB746" i="27"/>
  <c r="U745" i="27"/>
  <c r="Z744" i="27"/>
  <c r="T743" i="27"/>
  <c r="Y742" i="27"/>
  <c r="V740" i="27"/>
  <c r="AB739" i="27"/>
  <c r="W738" i="27"/>
  <c r="Z737" i="27"/>
  <c r="T736" i="27"/>
  <c r="Z735" i="27"/>
  <c r="T734" i="27"/>
  <c r="W733" i="27"/>
  <c r="AB732" i="27"/>
  <c r="X731" i="27"/>
  <c r="AB730" i="27"/>
  <c r="U729" i="27"/>
  <c r="Z728" i="27"/>
  <c r="T727" i="27"/>
  <c r="Y726" i="27"/>
  <c r="V724" i="27"/>
  <c r="AB723" i="27"/>
  <c r="W722" i="27"/>
  <c r="Z721" i="27"/>
  <c r="T720" i="27"/>
  <c r="Z719" i="27"/>
  <c r="T718" i="27"/>
  <c r="W717" i="27"/>
  <c r="AB716" i="27"/>
  <c r="X715" i="27"/>
  <c r="AB714" i="27"/>
  <c r="U713" i="27"/>
  <c r="Z712" i="27"/>
  <c r="T711" i="27"/>
  <c r="Y710" i="27"/>
  <c r="V708" i="27"/>
  <c r="AB707" i="27"/>
  <c r="W706" i="27"/>
  <c r="Z705" i="27"/>
  <c r="T704" i="27"/>
  <c r="Z703" i="27"/>
  <c r="T702" i="27"/>
  <c r="W701" i="27"/>
  <c r="AB700" i="27"/>
  <c r="X699" i="27"/>
  <c r="AB698" i="27"/>
  <c r="U697" i="27"/>
  <c r="Z696" i="27"/>
  <c r="T695" i="27"/>
  <c r="Y694" i="27"/>
  <c r="V692" i="27"/>
  <c r="AB691" i="27"/>
  <c r="W690" i="27"/>
  <c r="Z689" i="27"/>
  <c r="T688" i="27"/>
  <c r="Z687" i="27"/>
  <c r="T686" i="27"/>
  <c r="W685" i="27"/>
  <c r="AB684" i="27"/>
  <c r="X683" i="27"/>
  <c r="AB682" i="27"/>
  <c r="U681" i="27"/>
  <c r="Z680" i="27"/>
  <c r="T679" i="27"/>
  <c r="Y678" i="27"/>
  <c r="V676" i="27"/>
  <c r="AB675" i="27"/>
  <c r="W674" i="27"/>
  <c r="Z673" i="27"/>
  <c r="T672" i="27"/>
  <c r="Z671" i="27"/>
  <c r="T670" i="27"/>
  <c r="W669" i="27"/>
  <c r="AB668" i="27"/>
  <c r="X667" i="27"/>
  <c r="AB666" i="27"/>
  <c r="U665" i="27"/>
  <c r="Z664" i="27"/>
  <c r="T663" i="27"/>
  <c r="Y662" i="27"/>
  <c r="V660" i="27"/>
  <c r="AB659" i="27"/>
  <c r="W658" i="27"/>
  <c r="Z657" i="27"/>
  <c r="T656" i="27"/>
  <c r="Z655" i="27"/>
  <c r="T654" i="27"/>
  <c r="W653" i="27"/>
  <c r="AB652" i="27"/>
  <c r="X651" i="27"/>
  <c r="AB650" i="27"/>
  <c r="X649" i="27"/>
  <c r="V648" i="27"/>
  <c r="AB647" i="27"/>
  <c r="T647" i="27"/>
  <c r="Z646" i="27"/>
  <c r="X645" i="27"/>
  <c r="V644" i="27"/>
  <c r="AB643" i="27"/>
  <c r="T643" i="27"/>
  <c r="Z642" i="27"/>
  <c r="X641" i="27"/>
  <c r="V640" i="27"/>
  <c r="AB639" i="27"/>
  <c r="T639" i="27"/>
  <c r="Z638" i="27"/>
  <c r="X637" i="27"/>
  <c r="V636" i="27"/>
  <c r="AB635" i="27"/>
  <c r="T635" i="27"/>
  <c r="Z634" i="27"/>
  <c r="X633" i="27"/>
  <c r="V632" i="27"/>
  <c r="AB631" i="27"/>
  <c r="T631" i="27"/>
  <c r="Z630" i="27"/>
  <c r="X629" i="27"/>
  <c r="V628" i="27"/>
  <c r="AB627" i="27"/>
  <c r="T627" i="27"/>
  <c r="Z626" i="27"/>
  <c r="X625" i="27"/>
  <c r="V624" i="27"/>
  <c r="AB623" i="27"/>
  <c r="T623" i="27"/>
  <c r="Z622" i="27"/>
  <c r="X621" i="27"/>
  <c r="V620" i="27"/>
  <c r="AB619" i="27"/>
  <c r="T619" i="27"/>
  <c r="Z618" i="27"/>
  <c r="X617" i="27"/>
  <c r="V616" i="27"/>
  <c r="AB615" i="27"/>
  <c r="T615" i="27"/>
  <c r="Z614" i="27"/>
  <c r="X613" i="27"/>
  <c r="V612" i="27"/>
  <c r="AB611" i="27"/>
  <c r="T611" i="27"/>
  <c r="Z610" i="27"/>
  <c r="X609" i="27"/>
  <c r="V608" i="27"/>
  <c r="AB607" i="27"/>
  <c r="T607" i="27"/>
  <c r="Z606" i="27"/>
  <c r="X605" i="27"/>
  <c r="V604" i="27"/>
  <c r="AB603" i="27"/>
  <c r="T603" i="27"/>
  <c r="Z602" i="27"/>
  <c r="X601" i="27"/>
  <c r="V600" i="27"/>
  <c r="AB599" i="27"/>
  <c r="T599" i="27"/>
  <c r="Z598" i="27"/>
  <c r="X597" i="27"/>
  <c r="V596" i="27"/>
  <c r="U595" i="27"/>
  <c r="AB594" i="27"/>
  <c r="T594" i="27"/>
  <c r="AA593" i="27"/>
  <c r="S593" i="27"/>
  <c r="Z592" i="27"/>
  <c r="Y591" i="27"/>
  <c r="X590" i="27"/>
  <c r="W589" i="27"/>
  <c r="V588" i="27"/>
  <c r="U587" i="27"/>
  <c r="AB586" i="27"/>
  <c r="T586" i="27"/>
  <c r="AA585" i="27"/>
  <c r="S585" i="27"/>
  <c r="Z584" i="27"/>
  <c r="Y583" i="27"/>
  <c r="X582" i="27"/>
  <c r="W581" i="27"/>
  <c r="V580" i="27"/>
  <c r="U579" i="27"/>
  <c r="AA578" i="27"/>
  <c r="S578" i="27"/>
  <c r="Y577" i="27"/>
  <c r="W576" i="27"/>
  <c r="U575" i="27"/>
  <c r="AA574" i="27"/>
  <c r="S574" i="27"/>
  <c r="Y573" i="27"/>
  <c r="X572" i="27"/>
  <c r="W571" i="27"/>
  <c r="V570" i="27"/>
  <c r="U569" i="27"/>
  <c r="AB568" i="27"/>
  <c r="T568" i="27"/>
  <c r="AA567" i="27"/>
  <c r="S567" i="27"/>
  <c r="Z566" i="27"/>
  <c r="Y565" i="27"/>
  <c r="X564" i="27"/>
  <c r="W563" i="27"/>
  <c r="V562" i="27"/>
  <c r="U561" i="27"/>
  <c r="AB560" i="27"/>
  <c r="T560" i="27"/>
  <c r="AA559" i="27"/>
  <c r="S559" i="27"/>
  <c r="Y558" i="27"/>
  <c r="W557" i="27"/>
  <c r="U556" i="27"/>
  <c r="AA555" i="27"/>
  <c r="S555" i="27"/>
  <c r="Z554" i="27"/>
  <c r="Y553" i="27"/>
  <c r="X552" i="27"/>
  <c r="W551" i="27"/>
  <c r="V550" i="27"/>
  <c r="U549" i="27"/>
  <c r="AB548" i="27"/>
  <c r="T548" i="27"/>
  <c r="AA547" i="27"/>
  <c r="S547" i="27"/>
  <c r="Z546" i="27"/>
  <c r="V1221" i="27"/>
  <c r="T1151" i="27"/>
  <c r="V1099" i="27"/>
  <c r="Z1066" i="27"/>
  <c r="U1032" i="27"/>
  <c r="W1020" i="27"/>
  <c r="V1007" i="27"/>
  <c r="AA989" i="27"/>
  <c r="AA984" i="27"/>
  <c r="U974" i="27"/>
  <c r="S971" i="27"/>
  <c r="U964" i="27"/>
  <c r="V952" i="27"/>
  <c r="AA939" i="27"/>
  <c r="AA929" i="27"/>
  <c r="AB919" i="27"/>
  <c r="U915" i="27"/>
  <c r="AA906" i="27"/>
  <c r="AA901" i="27"/>
  <c r="Y900" i="27"/>
  <c r="AB896" i="27"/>
  <c r="S887" i="27"/>
  <c r="AB882" i="27"/>
  <c r="AA875" i="27"/>
  <c r="Y874" i="27"/>
  <c r="W870" i="27"/>
  <c r="X869" i="27"/>
  <c r="U861" i="27"/>
  <c r="T860" i="27"/>
  <c r="W855" i="27"/>
  <c r="Z854" i="27"/>
  <c r="V847" i="27"/>
  <c r="U846" i="27"/>
  <c r="Z842" i="27"/>
  <c r="AA841" i="27"/>
  <c r="T840" i="27"/>
  <c r="AA836" i="27"/>
  <c r="T835" i="27"/>
  <c r="U834" i="27"/>
  <c r="V828" i="27"/>
  <c r="AB827" i="27"/>
  <c r="Z826" i="27"/>
  <c r="W825" i="27"/>
  <c r="V824" i="27"/>
  <c r="AA823" i="27"/>
  <c r="X822" i="27"/>
  <c r="AA821" i="27"/>
  <c r="AA820" i="27"/>
  <c r="X818" i="27"/>
  <c r="W817" i="27"/>
  <c r="AA816" i="27"/>
  <c r="AA815" i="27"/>
  <c r="Y814" i="27"/>
  <c r="V813" i="27"/>
  <c r="U812" i="27"/>
  <c r="AA811" i="27"/>
  <c r="S808" i="27"/>
  <c r="X807" i="27"/>
  <c r="S806" i="27"/>
  <c r="Y805" i="27"/>
  <c r="V803" i="27"/>
  <c r="AA802" i="27"/>
  <c r="W801" i="27"/>
  <c r="S800" i="27"/>
  <c r="Y799" i="27"/>
  <c r="T798" i="27"/>
  <c r="X797" i="27"/>
  <c r="W795" i="27"/>
  <c r="S794" i="27"/>
  <c r="Z793" i="27"/>
  <c r="V792" i="27"/>
  <c r="AA791" i="27"/>
  <c r="W790" i="27"/>
  <c r="AA789" i="27"/>
  <c r="U788" i="27"/>
  <c r="AA787" i="27"/>
  <c r="U786" i="27"/>
  <c r="AB785" i="27"/>
  <c r="Y784" i="27"/>
  <c r="S783" i="27"/>
  <c r="Y782" i="27"/>
  <c r="S781" i="27"/>
  <c r="W780" i="27"/>
  <c r="S779" i="27"/>
  <c r="X778" i="27"/>
  <c r="T777" i="27"/>
  <c r="AA776" i="27"/>
  <c r="V775" i="27"/>
  <c r="X774" i="27"/>
  <c r="S773" i="27"/>
  <c r="Y772" i="27"/>
  <c r="W770" i="27"/>
  <c r="AB769" i="27"/>
  <c r="V768" i="27"/>
  <c r="AB767" i="27"/>
  <c r="Y766" i="27"/>
  <c r="T765" i="27"/>
  <c r="Z764" i="27"/>
  <c r="V763" i="27"/>
  <c r="Y762" i="27"/>
  <c r="T761" i="27"/>
  <c r="X760" i="27"/>
  <c r="S759" i="27"/>
  <c r="X758" i="27"/>
  <c r="AB757" i="27"/>
  <c r="U756" i="27"/>
  <c r="AA755" i="27"/>
  <c r="V754" i="27"/>
  <c r="X753" i="27"/>
  <c r="S752" i="27"/>
  <c r="Y751" i="27"/>
  <c r="V749" i="27"/>
  <c r="AA748" i="27"/>
  <c r="V747" i="27"/>
  <c r="Z746" i="27"/>
  <c r="T745" i="27"/>
  <c r="X744" i="27"/>
  <c r="S743" i="27"/>
  <c r="X742" i="27"/>
  <c r="AB741" i="27"/>
  <c r="U740" i="27"/>
  <c r="AA739" i="27"/>
  <c r="V738" i="27"/>
  <c r="X737" i="27"/>
  <c r="S736" i="27"/>
  <c r="Y735" i="27"/>
  <c r="V733" i="27"/>
  <c r="AA732" i="27"/>
  <c r="V731" i="27"/>
  <c r="Z730" i="27"/>
  <c r="T729" i="27"/>
  <c r="X728" i="27"/>
  <c r="S727" i="27"/>
  <c r="X726" i="27"/>
  <c r="AB725" i="27"/>
  <c r="U724" i="27"/>
  <c r="AA723" i="27"/>
  <c r="V722" i="27"/>
  <c r="X721" i="27"/>
  <c r="S720" i="27"/>
  <c r="Y719" i="27"/>
  <c r="V717" i="27"/>
  <c r="AA716" i="27"/>
  <c r="V715" i="27"/>
  <c r="Z714" i="27"/>
  <c r="T713" i="27"/>
  <c r="X712" i="27"/>
  <c r="S711" i="27"/>
  <c r="X710" i="27"/>
  <c r="AB709" i="27"/>
  <c r="U708" i="27"/>
  <c r="AA707" i="27"/>
  <c r="V706" i="27"/>
  <c r="X705" i="27"/>
  <c r="S704" i="27"/>
  <c r="Y703" i="27"/>
  <c r="V701" i="27"/>
  <c r="AA700" i="27"/>
  <c r="AB1180" i="27"/>
  <c r="T1143" i="27"/>
  <c r="U1099" i="27"/>
  <c r="T1090" i="27"/>
  <c r="V1079" i="27"/>
  <c r="U1071" i="27"/>
  <c r="U1049" i="27"/>
  <c r="X1028" i="27"/>
  <c r="U1007" i="27"/>
  <c r="Y984" i="27"/>
  <c r="S961" i="27"/>
  <c r="U952" i="27"/>
  <c r="T939" i="27"/>
  <c r="T929" i="27"/>
  <c r="AA919" i="27"/>
  <c r="V902" i="27"/>
  <c r="Z901" i="27"/>
  <c r="X900" i="27"/>
  <c r="AA896" i="27"/>
  <c r="AA883" i="27"/>
  <c r="Y882" i="27"/>
  <c r="Z876" i="27"/>
  <c r="X875" i="27"/>
  <c r="X871" i="27"/>
  <c r="V870" i="27"/>
  <c r="U869" i="27"/>
  <c r="S856" i="27"/>
  <c r="T855" i="27"/>
  <c r="T852" i="27"/>
  <c r="T847" i="27"/>
  <c r="W843" i="27"/>
  <c r="W842" i="27"/>
  <c r="X837" i="27"/>
  <c r="X836" i="27"/>
  <c r="U828" i="27"/>
  <c r="AA827" i="27"/>
  <c r="Y826" i="27"/>
  <c r="U825" i="27"/>
  <c r="T824" i="27"/>
  <c r="Z823" i="27"/>
  <c r="W822" i="27"/>
  <c r="T821" i="27"/>
  <c r="Z820" i="27"/>
  <c r="Z819" i="27"/>
  <c r="W818" i="27"/>
  <c r="V817" i="27"/>
  <c r="U816" i="27"/>
  <c r="Z815" i="27"/>
  <c r="X814" i="27"/>
  <c r="U813" i="27"/>
  <c r="T812" i="27"/>
  <c r="Z811" i="27"/>
  <c r="Z810" i="27"/>
  <c r="AB809" i="27"/>
  <c r="W807" i="27"/>
  <c r="AB806" i="27"/>
  <c r="X805" i="27"/>
  <c r="AB804" i="27"/>
  <c r="U803" i="27"/>
  <c r="Z802" i="27"/>
  <c r="U801" i="27"/>
  <c r="AB800" i="27"/>
  <c r="X799" i="27"/>
  <c r="W797" i="27"/>
  <c r="AB796" i="27"/>
  <c r="V795" i="27"/>
  <c r="AB794" i="27"/>
  <c r="Y793" i="27"/>
  <c r="T792" i="27"/>
  <c r="Z791" i="27"/>
  <c r="V790" i="27"/>
  <c r="Y789" i="27"/>
  <c r="T788" i="27"/>
  <c r="Y787" i="27"/>
  <c r="T786" i="27"/>
  <c r="AA785" i="27"/>
  <c r="X784" i="27"/>
  <c r="X782" i="27"/>
  <c r="V780" i="27"/>
  <c r="AB779" i="27"/>
  <c r="V778" i="27"/>
  <c r="S777" i="27"/>
  <c r="Z776" i="27"/>
  <c r="T775" i="27"/>
  <c r="W774" i="27"/>
  <c r="AB773" i="27"/>
  <c r="X772" i="27"/>
  <c r="AB771" i="27"/>
  <c r="V770" i="27"/>
  <c r="Z769" i="27"/>
  <c r="U768" i="27"/>
  <c r="AA767" i="27"/>
  <c r="W766" i="27"/>
  <c r="S765" i="27"/>
  <c r="Y764" i="27"/>
  <c r="T763" i="27"/>
  <c r="X762" i="27"/>
  <c r="V760" i="27"/>
  <c r="AB759" i="27"/>
  <c r="W758" i="27"/>
  <c r="Z757" i="27"/>
  <c r="T756" i="27"/>
  <c r="Z755" i="27"/>
  <c r="T754" i="27"/>
  <c r="W753" i="27"/>
  <c r="AB752" i="27"/>
  <c r="X751" i="27"/>
  <c r="AB750" i="27"/>
  <c r="U749" i="27"/>
  <c r="Z748" i="27"/>
  <c r="T747" i="27"/>
  <c r="Y746" i="27"/>
  <c r="V744" i="27"/>
  <c r="AB743" i="27"/>
  <c r="W742" i="27"/>
  <c r="Z741" i="27"/>
  <c r="T740" i="27"/>
  <c r="Z739" i="27"/>
  <c r="T738" i="27"/>
  <c r="W737" i="27"/>
  <c r="AB736" i="27"/>
  <c r="X735" i="27"/>
  <c r="AB734" i="27"/>
  <c r="U733" i="27"/>
  <c r="Z732" i="27"/>
  <c r="T731" i="27"/>
  <c r="Y730" i="27"/>
  <c r="V728" i="27"/>
  <c r="AB727" i="27"/>
  <c r="W726" i="27"/>
  <c r="Z725" i="27"/>
  <c r="T724" i="27"/>
  <c r="Z723" i="27"/>
  <c r="T722" i="27"/>
  <c r="W721" i="27"/>
  <c r="AB720" i="27"/>
  <c r="X719" i="27"/>
  <c r="AB718" i="27"/>
  <c r="U717" i="27"/>
  <c r="Z716" i="27"/>
  <c r="T715" i="27"/>
  <c r="Y714" i="27"/>
  <c r="V712" i="27"/>
  <c r="AB711" i="27"/>
  <c r="W710" i="27"/>
  <c r="Z709" i="27"/>
  <c r="T708" i="27"/>
  <c r="Z707" i="27"/>
  <c r="T706" i="27"/>
  <c r="W705" i="27"/>
  <c r="AB704" i="27"/>
  <c r="X703" i="27"/>
  <c r="AB702" i="27"/>
  <c r="U701" i="27"/>
  <c r="Z700" i="27"/>
  <c r="T699" i="27"/>
  <c r="Y698" i="27"/>
  <c r="V696" i="27"/>
  <c r="AB695" i="27"/>
  <c r="W694" i="27"/>
  <c r="Z693" i="27"/>
  <c r="T692" i="27"/>
  <c r="Z691" i="27"/>
  <c r="T690" i="27"/>
  <c r="W689" i="27"/>
  <c r="AB688" i="27"/>
  <c r="X687" i="27"/>
  <c r="AB686" i="27"/>
  <c r="U685" i="27"/>
  <c r="Z684" i="27"/>
  <c r="T683" i="27"/>
  <c r="Y682" i="27"/>
  <c r="V680" i="27"/>
  <c r="AB679" i="27"/>
  <c r="W678" i="27"/>
  <c r="Z677" i="27"/>
  <c r="T676" i="27"/>
  <c r="Z675" i="27"/>
  <c r="T674" i="27"/>
  <c r="W673" i="27"/>
  <c r="AB672" i="27"/>
  <c r="X671" i="27"/>
  <c r="AB670" i="27"/>
  <c r="U669" i="27"/>
  <c r="Z668" i="27"/>
  <c r="T667" i="27"/>
  <c r="Y666" i="27"/>
  <c r="V664" i="27"/>
  <c r="AB663" i="27"/>
  <c r="W662" i="27"/>
  <c r="Z661" i="27"/>
  <c r="T660" i="27"/>
  <c r="Z659" i="27"/>
  <c r="T658" i="27"/>
  <c r="W657" i="27"/>
  <c r="AB656" i="27"/>
  <c r="X655" i="27"/>
  <c r="AB654" i="27"/>
  <c r="U653" i="27"/>
  <c r="Z652" i="27"/>
  <c r="T651" i="27"/>
  <c r="Y650" i="27"/>
  <c r="V649" i="27"/>
  <c r="AB648" i="27"/>
  <c r="T648" i="27"/>
  <c r="Z647" i="27"/>
  <c r="X646" i="27"/>
  <c r="V645" i="27"/>
  <c r="AB644" i="27"/>
  <c r="T644" i="27"/>
  <c r="Z643" i="27"/>
  <c r="X642" i="27"/>
  <c r="V641" i="27"/>
  <c r="AB640" i="27"/>
  <c r="T640" i="27"/>
  <c r="Z639" i="27"/>
  <c r="X638" i="27"/>
  <c r="V637" i="27"/>
  <c r="AB636" i="27"/>
  <c r="T636" i="27"/>
  <c r="Z635" i="27"/>
  <c r="X634" i="27"/>
  <c r="V633" i="27"/>
  <c r="AB632" i="27"/>
  <c r="T632" i="27"/>
  <c r="Z631" i="27"/>
  <c r="X630" i="27"/>
  <c r="S1233" i="27"/>
  <c r="Y1230" i="27"/>
  <c r="X1178" i="27"/>
  <c r="AB1133" i="27"/>
  <c r="T1071" i="27"/>
  <c r="Z1062" i="27"/>
  <c r="U1028" i="27"/>
  <c r="Z1021" i="27"/>
  <c r="T1012" i="27"/>
  <c r="Z975" i="27"/>
  <c r="Y965" i="27"/>
  <c r="S949" i="27"/>
  <c r="X940" i="27"/>
  <c r="X930" i="27"/>
  <c r="Y926" i="27"/>
  <c r="Y916" i="27"/>
  <c r="W907" i="27"/>
  <c r="Z903" i="27"/>
  <c r="U902" i="27"/>
  <c r="V901" i="27"/>
  <c r="Z897" i="27"/>
  <c r="Z884" i="27"/>
  <c r="X883" i="27"/>
  <c r="Z877" i="27"/>
  <c r="Y876" i="27"/>
  <c r="W875" i="27"/>
  <c r="W871" i="27"/>
  <c r="U870" i="27"/>
  <c r="V843" i="27"/>
  <c r="V842" i="27"/>
  <c r="W837" i="27"/>
  <c r="W836" i="27"/>
  <c r="AB829" i="27"/>
  <c r="T828" i="27"/>
  <c r="S827" i="27"/>
  <c r="X826" i="27"/>
  <c r="S824" i="27"/>
  <c r="Y823" i="27"/>
  <c r="V822" i="27"/>
  <c r="S821" i="27"/>
  <c r="Y820" i="27"/>
  <c r="Y819" i="27"/>
  <c r="V818" i="27"/>
  <c r="U817" i="27"/>
  <c r="T816" i="27"/>
  <c r="Y815" i="27"/>
  <c r="W814" i="27"/>
  <c r="S812" i="27"/>
  <c r="X811" i="27"/>
  <c r="Y810" i="27"/>
  <c r="X809" i="27"/>
  <c r="V807" i="27"/>
  <c r="AA806" i="27"/>
  <c r="V805" i="27"/>
  <c r="Z804" i="27"/>
  <c r="T803" i="27"/>
  <c r="X802" i="27"/>
  <c r="T801" i="27"/>
  <c r="AA800" i="27"/>
  <c r="W799" i="27"/>
  <c r="AB798" i="27"/>
  <c r="V797" i="27"/>
  <c r="Z796" i="27"/>
  <c r="U795" i="27"/>
  <c r="AA794" i="27"/>
  <c r="W793" i="27"/>
  <c r="S792" i="27"/>
  <c r="Y791" i="27"/>
  <c r="T790" i="27"/>
  <c r="X789" i="27"/>
  <c r="W787" i="27"/>
  <c r="S786" i="27"/>
  <c r="Z785" i="27"/>
  <c r="V784" i="27"/>
  <c r="AA783" i="27"/>
  <c r="W782" i="27"/>
  <c r="AA781" i="27"/>
  <c r="U780" i="27"/>
  <c r="AA779" i="27"/>
  <c r="U778" i="27"/>
  <c r="AB777" i="27"/>
  <c r="Y776" i="27"/>
  <c r="V774" i="27"/>
  <c r="AA773" i="27"/>
  <c r="V772" i="27"/>
  <c r="Z771" i="27"/>
  <c r="U770" i="27"/>
  <c r="X769" i="27"/>
  <c r="T768" i="27"/>
  <c r="Z767" i="27"/>
  <c r="U766" i="27"/>
  <c r="AB765" i="27"/>
  <c r="X764" i="27"/>
  <c r="W762" i="27"/>
  <c r="AB761" i="27"/>
  <c r="U760" i="27"/>
  <c r="AA759" i="27"/>
  <c r="V758" i="27"/>
  <c r="X757" i="27"/>
  <c r="S756" i="27"/>
  <c r="Y755" i="27"/>
  <c r="V753" i="27"/>
  <c r="AA752" i="27"/>
  <c r="V751" i="27"/>
  <c r="Z750" i="27"/>
  <c r="T749" i="27"/>
  <c r="X748" i="27"/>
  <c r="S747" i="27"/>
  <c r="X746" i="27"/>
  <c r="AB745" i="27"/>
  <c r="U744" i="27"/>
  <c r="AA743" i="27"/>
  <c r="V742" i="27"/>
  <c r="X741" i="27"/>
  <c r="S740" i="27"/>
  <c r="Y739" i="27"/>
  <c r="V737" i="27"/>
  <c r="AA736" i="27"/>
  <c r="V735" i="27"/>
  <c r="Z734" i="27"/>
  <c r="T733" i="27"/>
  <c r="X732" i="27"/>
  <c r="S731" i="27"/>
  <c r="X730" i="27"/>
  <c r="AB729" i="27"/>
  <c r="U728" i="27"/>
  <c r="AA727" i="27"/>
  <c r="V726" i="27"/>
  <c r="X725" i="27"/>
  <c r="S724" i="27"/>
  <c r="Y723" i="27"/>
  <c r="V721" i="27"/>
  <c r="AA720" i="27"/>
  <c r="V719" i="27"/>
  <c r="Z718" i="27"/>
  <c r="T717" i="27"/>
  <c r="X716" i="27"/>
  <c r="S715" i="27"/>
  <c r="X714" i="27"/>
  <c r="AB713" i="27"/>
  <c r="U712" i="27"/>
  <c r="AA711" i="27"/>
  <c r="V710" i="27"/>
  <c r="X709" i="27"/>
  <c r="S708" i="27"/>
  <c r="Y707" i="27"/>
  <c r="V705" i="27"/>
  <c r="AA704" i="27"/>
  <c r="V703" i="27"/>
  <c r="Z702" i="27"/>
  <c r="T701" i="27"/>
  <c r="X700" i="27"/>
  <c r="S699" i="27"/>
  <c r="X698" i="27"/>
  <c r="AB697" i="27"/>
  <c r="U696" i="27"/>
  <c r="AA695" i="27"/>
  <c r="V694" i="27"/>
  <c r="X693" i="27"/>
  <c r="S692" i="27"/>
  <c r="Y691" i="27"/>
  <c r="V689" i="27"/>
  <c r="AA688" i="27"/>
  <c r="V687" i="27"/>
  <c r="Z686" i="27"/>
  <c r="T685" i="27"/>
  <c r="Z1133" i="27"/>
  <c r="T937" i="27"/>
  <c r="Y903" i="27"/>
  <c r="AB863" i="27"/>
  <c r="T843" i="27"/>
  <c r="X830" i="27"/>
  <c r="V809" i="27"/>
  <c r="X808" i="27"/>
  <c r="T807" i="27"/>
  <c r="V802" i="27"/>
  <c r="AB801" i="27"/>
  <c r="Z800" i="27"/>
  <c r="U799" i="27"/>
  <c r="Y798" i="27"/>
  <c r="S797" i="27"/>
  <c r="AB786" i="27"/>
  <c r="Y785" i="27"/>
  <c r="AB784" i="27"/>
  <c r="Z783" i="27"/>
  <c r="V782" i="27"/>
  <c r="X781" i="27"/>
  <c r="Z780" i="27"/>
  <c r="W779" i="27"/>
  <c r="AA778" i="27"/>
  <c r="AA777" i="27"/>
  <c r="X776" i="27"/>
  <c r="AB775" i="27"/>
  <c r="AB774" i="27"/>
  <c r="X773" i="27"/>
  <c r="AA772" i="27"/>
  <c r="X771" i="27"/>
  <c r="AA770" i="27"/>
  <c r="V769" i="27"/>
  <c r="AB768" i="27"/>
  <c r="X767" i="27"/>
  <c r="W757" i="27"/>
  <c r="AB756" i="27"/>
  <c r="X755" i="27"/>
  <c r="AB754" i="27"/>
  <c r="AB753" i="27"/>
  <c r="X752" i="27"/>
  <c r="AA751" i="27"/>
  <c r="X750" i="27"/>
  <c r="Z749" i="27"/>
  <c r="T748" i="27"/>
  <c r="Z747" i="27"/>
  <c r="T746" i="27"/>
  <c r="V745" i="27"/>
  <c r="S744" i="27"/>
  <c r="V743" i="27"/>
  <c r="W725" i="27"/>
  <c r="AB724" i="27"/>
  <c r="X723" i="27"/>
  <c r="AB722" i="27"/>
  <c r="AB721" i="27"/>
  <c r="X720" i="27"/>
  <c r="AA719" i="27"/>
  <c r="X718" i="27"/>
  <c r="Z717" i="27"/>
  <c r="T716" i="27"/>
  <c r="Z715" i="27"/>
  <c r="T714" i="27"/>
  <c r="V713" i="27"/>
  <c r="S712" i="27"/>
  <c r="V711" i="27"/>
  <c r="S696" i="27"/>
  <c r="V695" i="27"/>
  <c r="X694" i="27"/>
  <c r="V693" i="27"/>
  <c r="AA692" i="27"/>
  <c r="AA691" i="27"/>
  <c r="T684" i="27"/>
  <c r="Z683" i="27"/>
  <c r="Z682" i="27"/>
  <c r="S680" i="27"/>
  <c r="X679" i="27"/>
  <c r="Z678" i="27"/>
  <c r="AB677" i="27"/>
  <c r="T675" i="27"/>
  <c r="Y674" i="27"/>
  <c r="X673" i="27"/>
  <c r="AA672" i="27"/>
  <c r="V670" i="27"/>
  <c r="V669" i="27"/>
  <c r="V668" i="27"/>
  <c r="AB667" i="27"/>
  <c r="T665" i="27"/>
  <c r="U664" i="27"/>
  <c r="Z663" i="27"/>
  <c r="U660" i="27"/>
  <c r="X659" i="27"/>
  <c r="AB658" i="27"/>
  <c r="T655" i="27"/>
  <c r="X654" i="27"/>
  <c r="Z653" i="27"/>
  <c r="AA652" i="27"/>
  <c r="U650" i="27"/>
  <c r="Z649" i="27"/>
  <c r="S648" i="27"/>
  <c r="W647" i="27"/>
  <c r="AB646" i="27"/>
  <c r="W645" i="27"/>
  <c r="AA644" i="27"/>
  <c r="U643" i="27"/>
  <c r="Y642" i="27"/>
  <c r="T641" i="27"/>
  <c r="Y640" i="27"/>
  <c r="V638" i="27"/>
  <c r="AB637" i="27"/>
  <c r="W636" i="27"/>
  <c r="Y635" i="27"/>
  <c r="T634" i="27"/>
  <c r="Z633" i="27"/>
  <c r="S632" i="27"/>
  <c r="W631" i="27"/>
  <c r="AB630" i="27"/>
  <c r="W629" i="27"/>
  <c r="T628" i="27"/>
  <c r="Y627" i="27"/>
  <c r="U626" i="27"/>
  <c r="AA625" i="27"/>
  <c r="X624" i="27"/>
  <c r="S623" i="27"/>
  <c r="X622" i="27"/>
  <c r="U621" i="27"/>
  <c r="AA620" i="27"/>
  <c r="W619" i="27"/>
  <c r="AB618" i="27"/>
  <c r="S618" i="27"/>
  <c r="Y617" i="27"/>
  <c r="U616" i="27"/>
  <c r="Z615" i="27"/>
  <c r="V614" i="27"/>
  <c r="AB613" i="27"/>
  <c r="S613" i="27"/>
  <c r="Y612" i="27"/>
  <c r="U611" i="27"/>
  <c r="Y610" i="27"/>
  <c r="V609" i="27"/>
  <c r="AB608" i="27"/>
  <c r="S608" i="27"/>
  <c r="X607" i="27"/>
  <c r="T606" i="27"/>
  <c r="Z605" i="27"/>
  <c r="W604" i="27"/>
  <c r="AA603" i="27"/>
  <c r="W602" i="27"/>
  <c r="T601" i="27"/>
  <c r="Z600" i="27"/>
  <c r="V599" i="27"/>
  <c r="AA598" i="27"/>
  <c r="W597" i="27"/>
  <c r="T596" i="27"/>
  <c r="AA595" i="27"/>
  <c r="X594" i="27"/>
  <c r="U593" i="27"/>
  <c r="AA592" i="27"/>
  <c r="W591" i="27"/>
  <c r="U590" i="27"/>
  <c r="AB589" i="27"/>
  <c r="S589" i="27"/>
  <c r="Z588" i="27"/>
  <c r="X587" i="27"/>
  <c r="U586" i="27"/>
  <c r="Z585" i="27"/>
  <c r="W584" i="27"/>
  <c r="T583" i="27"/>
  <c r="AA582" i="27"/>
  <c r="Y581" i="27"/>
  <c r="W580" i="27"/>
  <c r="T579" i="27"/>
  <c r="Y578" i="27"/>
  <c r="U577" i="27"/>
  <c r="AA576" i="27"/>
  <c r="X575" i="27"/>
  <c r="T574" i="27"/>
  <c r="X573" i="27"/>
  <c r="V572" i="27"/>
  <c r="T571" i="27"/>
  <c r="AA570" i="27"/>
  <c r="Y569" i="27"/>
  <c r="V568" i="27"/>
  <c r="AB567" i="27"/>
  <c r="X566" i="27"/>
  <c r="U565" i="27"/>
  <c r="AB564" i="27"/>
  <c r="S564" i="27"/>
  <c r="Z563" i="27"/>
  <c r="X562" i="27"/>
  <c r="V561" i="27"/>
  <c r="AA560" i="27"/>
  <c r="X559" i="27"/>
  <c r="T558" i="27"/>
  <c r="Z557" i="27"/>
  <c r="W556" i="27"/>
  <c r="AB555" i="27"/>
  <c r="X554" i="27"/>
  <c r="U553" i="27"/>
  <c r="AB552" i="27"/>
  <c r="S552" i="27"/>
  <c r="Z551" i="27"/>
  <c r="X550" i="27"/>
  <c r="V549" i="27"/>
  <c r="AA548" i="27"/>
  <c r="X547" i="27"/>
  <c r="U546" i="27"/>
  <c r="AB545" i="27"/>
  <c r="T545" i="27"/>
  <c r="AA544" i="27"/>
  <c r="S544" i="27"/>
  <c r="Z543" i="27"/>
  <c r="Y542" i="27"/>
  <c r="X541" i="27"/>
  <c r="W540" i="27"/>
  <c r="V539" i="27"/>
  <c r="U538" i="27"/>
  <c r="AB537" i="27"/>
  <c r="T537" i="27"/>
  <c r="AA536" i="27"/>
  <c r="S536" i="27"/>
  <c r="Z535" i="27"/>
  <c r="X534" i="27"/>
  <c r="V533" i="27"/>
  <c r="AB532" i="27"/>
  <c r="T532" i="27"/>
  <c r="Z531" i="27"/>
  <c r="Y530" i="27"/>
  <c r="X529" i="27"/>
  <c r="W528" i="27"/>
  <c r="V527" i="27"/>
  <c r="AB526" i="27"/>
  <c r="T526" i="27"/>
  <c r="Z525" i="27"/>
  <c r="X524" i="27"/>
  <c r="V523" i="27"/>
  <c r="AB522" i="27"/>
  <c r="T522" i="27"/>
  <c r="Z521" i="27"/>
  <c r="X520" i="27"/>
  <c r="V519" i="27"/>
  <c r="AB518" i="27"/>
  <c r="T518" i="27"/>
  <c r="Z517" i="27"/>
  <c r="X516" i="27"/>
  <c r="V515" i="27"/>
  <c r="AB514" i="27"/>
  <c r="T514" i="27"/>
  <c r="Z513" i="27"/>
  <c r="X512" i="27"/>
  <c r="V511" i="27"/>
  <c r="AB510" i="27"/>
  <c r="T510" i="27"/>
  <c r="Z509" i="27"/>
  <c r="X508" i="27"/>
  <c r="V507" i="27"/>
  <c r="AB506" i="27"/>
  <c r="T506" i="27"/>
  <c r="Z505" i="27"/>
  <c r="X504" i="27"/>
  <c r="V503" i="27"/>
  <c r="AB502" i="27"/>
  <c r="T502" i="27"/>
  <c r="Z501" i="27"/>
  <c r="X500" i="27"/>
  <c r="V499" i="27"/>
  <c r="AB498" i="27"/>
  <c r="T498" i="27"/>
  <c r="Z497" i="27"/>
  <c r="X496" i="27"/>
  <c r="V495" i="27"/>
  <c r="AB494" i="27"/>
  <c r="T494" i="27"/>
  <c r="Z493" i="27"/>
  <c r="X492" i="27"/>
  <c r="V491" i="27"/>
  <c r="AB490" i="27"/>
  <c r="T490" i="27"/>
  <c r="Z489" i="27"/>
  <c r="X488" i="27"/>
  <c r="V487" i="27"/>
  <c r="AB486" i="27"/>
  <c r="T486" i="27"/>
  <c r="Z485" i="27"/>
  <c r="X484" i="27"/>
  <c r="V483" i="27"/>
  <c r="AB482" i="27"/>
  <c r="T482" i="27"/>
  <c r="Z481" i="27"/>
  <c r="X480" i="27"/>
  <c r="V479" i="27"/>
  <c r="AB478" i="27"/>
  <c r="T478" i="27"/>
  <c r="Z477" i="27"/>
  <c r="X476" i="27"/>
  <c r="V475" i="27"/>
  <c r="AB474" i="27"/>
  <c r="T474" i="27"/>
  <c r="Z473" i="27"/>
  <c r="X472" i="27"/>
  <c r="V471" i="27"/>
  <c r="AB470" i="27"/>
  <c r="T470" i="27"/>
  <c r="Z469" i="27"/>
  <c r="X468" i="27"/>
  <c r="V467" i="27"/>
  <c r="AB466" i="27"/>
  <c r="T466" i="27"/>
  <c r="Z465" i="27"/>
  <c r="X464" i="27"/>
  <c r="V463" i="27"/>
  <c r="AB462" i="27"/>
  <c r="T462" i="27"/>
  <c r="Z461" i="27"/>
  <c r="X460" i="27"/>
  <c r="V459" i="27"/>
  <c r="AB458" i="27"/>
  <c r="T458" i="27"/>
  <c r="Z457" i="27"/>
  <c r="X456" i="27"/>
  <c r="V455" i="27"/>
  <c r="AB454" i="27"/>
  <c r="T454" i="27"/>
  <c r="Z453" i="27"/>
  <c r="X452" i="27"/>
  <c r="V451" i="27"/>
  <c r="AB450" i="27"/>
  <c r="T450" i="27"/>
  <c r="Z449" i="27"/>
  <c r="X448" i="27"/>
  <c r="V447" i="27"/>
  <c r="AB446" i="27"/>
  <c r="T446" i="27"/>
  <c r="Z445" i="27"/>
  <c r="X444" i="27"/>
  <c r="V443" i="27"/>
  <c r="AB442" i="27"/>
  <c r="T442" i="27"/>
  <c r="Z441" i="27"/>
  <c r="X440" i="27"/>
  <c r="V439" i="27"/>
  <c r="AB438" i="27"/>
  <c r="T438" i="27"/>
  <c r="Z437" i="27"/>
  <c r="X436" i="27"/>
  <c r="V435" i="27"/>
  <c r="AB434" i="27"/>
  <c r="T434" i="27"/>
  <c r="Z433" i="27"/>
  <c r="X432" i="27"/>
  <c r="V431" i="27"/>
  <c r="AB430" i="27"/>
  <c r="T430" i="27"/>
  <c r="Z429" i="27"/>
  <c r="X428" i="27"/>
  <c r="V427" i="27"/>
  <c r="AB426" i="27"/>
  <c r="T426" i="27"/>
  <c r="Z425" i="27"/>
  <c r="X424" i="27"/>
  <c r="V423" i="27"/>
  <c r="AB422" i="27"/>
  <c r="T422" i="27"/>
  <c r="Z421" i="27"/>
  <c r="X420" i="27"/>
  <c r="V419" i="27"/>
  <c r="AB418" i="27"/>
  <c r="T418" i="27"/>
  <c r="Z417" i="27"/>
  <c r="X416" i="27"/>
  <c r="V415" i="27"/>
  <c r="AB414" i="27"/>
  <c r="T414" i="27"/>
  <c r="Z413" i="27"/>
  <c r="X412" i="27"/>
  <c r="V411" i="27"/>
  <c r="AB410" i="27"/>
  <c r="T410" i="27"/>
  <c r="Z409" i="27"/>
  <c r="X408" i="27"/>
  <c r="V407" i="27"/>
  <c r="AB406" i="27"/>
  <c r="T406" i="27"/>
  <c r="Z405" i="27"/>
  <c r="X404" i="27"/>
  <c r="V403" i="27"/>
  <c r="AB402" i="27"/>
  <c r="T402" i="27"/>
  <c r="Z401" i="27"/>
  <c r="X400" i="27"/>
  <c r="V399" i="27"/>
  <c r="AB398" i="27"/>
  <c r="T398" i="27"/>
  <c r="Z397" i="27"/>
  <c r="X396" i="27"/>
  <c r="V395" i="27"/>
  <c r="AB394" i="27"/>
  <c r="T394" i="27"/>
  <c r="Z393" i="27"/>
  <c r="X392" i="27"/>
  <c r="V391" i="27"/>
  <c r="AB390" i="27"/>
  <c r="T390" i="27"/>
  <c r="Z389" i="27"/>
  <c r="X388" i="27"/>
  <c r="V387" i="27"/>
  <c r="U386" i="27"/>
  <c r="AA385" i="27"/>
  <c r="S385" i="27"/>
  <c r="Y384" i="27"/>
  <c r="W383" i="27"/>
  <c r="V382" i="27"/>
  <c r="AB381" i="27"/>
  <c r="T381" i="27"/>
  <c r="AA380" i="27"/>
  <c r="S380" i="27"/>
  <c r="Z379" i="27"/>
  <c r="V1123" i="27"/>
  <c r="Z1084" i="27"/>
  <c r="X1008" i="27"/>
  <c r="X950" i="27"/>
  <c r="X916" i="27"/>
  <c r="X903" i="27"/>
  <c r="AB894" i="27"/>
  <c r="U864" i="27"/>
  <c r="AA863" i="27"/>
  <c r="W830" i="27"/>
  <c r="S820" i="27"/>
  <c r="X810" i="27"/>
  <c r="T809" i="27"/>
  <c r="W808" i="27"/>
  <c r="U802" i="27"/>
  <c r="AA801" i="27"/>
  <c r="Y800" i="27"/>
  <c r="S799" i="27"/>
  <c r="X798" i="27"/>
  <c r="AB788" i="27"/>
  <c r="V787" i="27"/>
  <c r="AA786" i="27"/>
  <c r="W785" i="27"/>
  <c r="T784" i="27"/>
  <c r="Y783" i="27"/>
  <c r="T782" i="27"/>
  <c r="W781" i="27"/>
  <c r="T780" i="27"/>
  <c r="V779" i="27"/>
  <c r="T778" i="27"/>
  <c r="Z777" i="27"/>
  <c r="V776" i="27"/>
  <c r="Z775" i="27"/>
  <c r="U774" i="27"/>
  <c r="V773" i="27"/>
  <c r="T772" i="27"/>
  <c r="W771" i="27"/>
  <c r="Y770" i="27"/>
  <c r="U769" i="27"/>
  <c r="AA768" i="27"/>
  <c r="V767" i="27"/>
  <c r="AB766" i="27"/>
  <c r="Z761" i="27"/>
  <c r="AB760" i="27"/>
  <c r="Z759" i="27"/>
  <c r="AB758" i="27"/>
  <c r="V757" i="27"/>
  <c r="AA756" i="27"/>
  <c r="V755" i="27"/>
  <c r="Z754" i="27"/>
  <c r="U753" i="27"/>
  <c r="V752" i="27"/>
  <c r="T751" i="27"/>
  <c r="W750" i="27"/>
  <c r="X749" i="27"/>
  <c r="S748" i="27"/>
  <c r="Y747" i="27"/>
  <c r="Z729" i="27"/>
  <c r="AB728" i="27"/>
  <c r="Z727" i="27"/>
  <c r="AB726" i="27"/>
  <c r="V725" i="27"/>
  <c r="AA724" i="27"/>
  <c r="V723" i="27"/>
  <c r="Z722" i="27"/>
  <c r="U721" i="27"/>
  <c r="V720" i="27"/>
  <c r="T719" i="27"/>
  <c r="W718" i="27"/>
  <c r="X717" i="27"/>
  <c r="S716" i="27"/>
  <c r="Y715" i="27"/>
  <c r="S695" i="27"/>
  <c r="T694" i="27"/>
  <c r="U693" i="27"/>
  <c r="Z692" i="27"/>
  <c r="X691" i="27"/>
  <c r="AB690" i="27"/>
  <c r="S684" i="27"/>
  <c r="Y683" i="27"/>
  <c r="X682" i="27"/>
  <c r="AB681" i="27"/>
  <c r="V679" i="27"/>
  <c r="X678" i="27"/>
  <c r="X677" i="27"/>
  <c r="S675" i="27"/>
  <c r="X674" i="27"/>
  <c r="V673" i="27"/>
  <c r="Z672" i="27"/>
  <c r="T669" i="27"/>
  <c r="U668" i="27"/>
  <c r="AA667" i="27"/>
  <c r="T664" i="27"/>
  <c r="Y663" i="27"/>
  <c r="AB662" i="27"/>
  <c r="S660" i="27"/>
  <c r="V659" i="27"/>
  <c r="Z658" i="27"/>
  <c r="AB657" i="27"/>
  <c r="S655" i="27"/>
  <c r="W654" i="27"/>
  <c r="X653" i="27"/>
  <c r="X652" i="27"/>
  <c r="T650" i="27"/>
  <c r="Y649" i="27"/>
  <c r="V647" i="27"/>
  <c r="AA646" i="27"/>
  <c r="U645" i="27"/>
  <c r="Z644" i="27"/>
  <c r="S643" i="27"/>
  <c r="W642" i="27"/>
  <c r="S641" i="27"/>
  <c r="X640" i="27"/>
  <c r="AA639" i="27"/>
  <c r="U638" i="27"/>
  <c r="AA637" i="27"/>
  <c r="U636" i="27"/>
  <c r="X635" i="27"/>
  <c r="S634" i="27"/>
  <c r="Y633" i="27"/>
  <c r="V631" i="27"/>
  <c r="AA630" i="27"/>
  <c r="V629" i="27"/>
  <c r="AB628" i="27"/>
  <c r="S628" i="27"/>
  <c r="X627" i="27"/>
  <c r="T626" i="27"/>
  <c r="Z625" i="27"/>
  <c r="W624" i="27"/>
  <c r="AA623" i="27"/>
  <c r="W622" i="27"/>
  <c r="T621" i="27"/>
  <c r="Z620" i="27"/>
  <c r="V619" i="27"/>
  <c r="AA618" i="27"/>
  <c r="W617" i="27"/>
  <c r="T616" i="27"/>
  <c r="Y615" i="27"/>
  <c r="U614" i="27"/>
  <c r="AA613" i="27"/>
  <c r="X612" i="27"/>
  <c r="S611" i="27"/>
  <c r="X610" i="27"/>
  <c r="U609" i="27"/>
  <c r="AA608" i="27"/>
  <c r="W607" i="27"/>
  <c r="AB606" i="27"/>
  <c r="S606" i="27"/>
  <c r="Y605" i="27"/>
  <c r="U604" i="27"/>
  <c r="Z603" i="27"/>
  <c r="V602" i="27"/>
  <c r="AB601" i="27"/>
  <c r="S601" i="27"/>
  <c r="Y600" i="27"/>
  <c r="U599" i="27"/>
  <c r="Y598" i="27"/>
  <c r="V597" i="27"/>
  <c r="AB596" i="27"/>
  <c r="S596" i="27"/>
  <c r="Z595" i="27"/>
  <c r="W594" i="27"/>
  <c r="T593" i="27"/>
  <c r="Y592" i="27"/>
  <c r="V591" i="27"/>
  <c r="T590" i="27"/>
  <c r="AA589" i="27"/>
  <c r="Y588" i="27"/>
  <c r="W587" i="27"/>
  <c r="S586" i="27"/>
  <c r="Y585" i="27"/>
  <c r="V584" i="27"/>
  <c r="AB583" i="27"/>
  <c r="S583" i="27"/>
  <c r="Z582" i="27"/>
  <c r="X581" i="27"/>
  <c r="U580" i="27"/>
  <c r="AB579" i="27"/>
  <c r="S579" i="27"/>
  <c r="X578" i="27"/>
  <c r="T577" i="27"/>
  <c r="Z576" i="27"/>
  <c r="W575" i="27"/>
  <c r="AB574" i="27"/>
  <c r="W573" i="27"/>
  <c r="U572" i="27"/>
  <c r="AB571" i="27"/>
  <c r="S571" i="27"/>
  <c r="Z570" i="27"/>
  <c r="X569" i="27"/>
  <c r="U568" i="27"/>
  <c r="Z567" i="27"/>
  <c r="W566" i="27"/>
  <c r="T565" i="27"/>
  <c r="AA564" i="27"/>
  <c r="Y563" i="27"/>
  <c r="W562" i="27"/>
  <c r="T561" i="27"/>
  <c r="Z560" i="27"/>
  <c r="W559" i="27"/>
  <c r="AB558" i="27"/>
  <c r="S558" i="27"/>
  <c r="Y557" i="27"/>
  <c r="V556" i="27"/>
  <c r="Z555" i="27"/>
  <c r="W554" i="27"/>
  <c r="T553" i="27"/>
  <c r="AA552" i="27"/>
  <c r="Y551" i="27"/>
  <c r="W550" i="27"/>
  <c r="T549" i="27"/>
  <c r="Z548" i="27"/>
  <c r="W547" i="27"/>
  <c r="T546" i="27"/>
  <c r="AA545" i="27"/>
  <c r="S545" i="27"/>
  <c r="Z544" i="27"/>
  <c r="Y543" i="27"/>
  <c r="X542" i="27"/>
  <c r="W541" i="27"/>
  <c r="V540" i="27"/>
  <c r="U539" i="27"/>
  <c r="AB538" i="27"/>
  <c r="T538" i="27"/>
  <c r="AA537" i="27"/>
  <c r="S537" i="27"/>
  <c r="Z536" i="27"/>
  <c r="Y535" i="27"/>
  <c r="W534" i="27"/>
  <c r="U533" i="27"/>
  <c r="AA532" i="27"/>
  <c r="S532" i="27"/>
  <c r="Y531" i="27"/>
  <c r="X530" i="27"/>
  <c r="W529" i="27"/>
  <c r="V528" i="27"/>
  <c r="U527" i="27"/>
  <c r="AA526" i="27"/>
  <c r="S526" i="27"/>
  <c r="Y525" i="27"/>
  <c r="W524" i="27"/>
  <c r="X1084" i="27"/>
  <c r="T927" i="27"/>
  <c r="AB904" i="27"/>
  <c r="W883" i="27"/>
  <c r="X876" i="27"/>
  <c r="T871" i="27"/>
  <c r="T864" i="27"/>
  <c r="AA848" i="27"/>
  <c r="AA831" i="27"/>
  <c r="S815" i="27"/>
  <c r="V810" i="27"/>
  <c r="AB803" i="27"/>
  <c r="T802" i="27"/>
  <c r="S801" i="27"/>
  <c r="X800" i="27"/>
  <c r="W789" i="27"/>
  <c r="Z788" i="27"/>
  <c r="U787" i="27"/>
  <c r="Z786" i="27"/>
  <c r="U785" i="27"/>
  <c r="S784" i="27"/>
  <c r="X783" i="27"/>
  <c r="V781" i="27"/>
  <c r="U779" i="27"/>
  <c r="S778" i="27"/>
  <c r="Y777" i="27"/>
  <c r="T776" i="27"/>
  <c r="Y775" i="27"/>
  <c r="T774" i="27"/>
  <c r="U773" i="27"/>
  <c r="S772" i="27"/>
  <c r="V771" i="27"/>
  <c r="S770" i="27"/>
  <c r="T769" i="27"/>
  <c r="Y768" i="27"/>
  <c r="U767" i="27"/>
  <c r="AA766" i="27"/>
  <c r="AA765" i="27"/>
  <c r="W764" i="27"/>
  <c r="AB763" i="27"/>
  <c r="V762" i="27"/>
  <c r="X761" i="27"/>
  <c r="AA760" i="27"/>
  <c r="Y759" i="27"/>
  <c r="Z758" i="27"/>
  <c r="U757" i="27"/>
  <c r="Z756" i="27"/>
  <c r="T755" i="27"/>
  <c r="Y754" i="27"/>
  <c r="T753" i="27"/>
  <c r="U752" i="27"/>
  <c r="S751" i="27"/>
  <c r="V750" i="27"/>
  <c r="V732" i="27"/>
  <c r="AB731" i="27"/>
  <c r="W730" i="27"/>
  <c r="X729" i="27"/>
  <c r="AA728" i="27"/>
  <c r="Y727" i="27"/>
  <c r="Z726" i="27"/>
  <c r="U725" i="27"/>
  <c r="Z724" i="27"/>
  <c r="T723" i="27"/>
  <c r="Y722" i="27"/>
  <c r="T721" i="27"/>
  <c r="U720" i="27"/>
  <c r="S719" i="27"/>
  <c r="V718" i="27"/>
  <c r="V700" i="27"/>
  <c r="AB699" i="27"/>
  <c r="T693" i="27"/>
  <c r="X692" i="27"/>
  <c r="V691" i="27"/>
  <c r="Z690" i="27"/>
  <c r="AB689" i="27"/>
  <c r="Z688" i="27"/>
  <c r="V683" i="27"/>
  <c r="W682" i="27"/>
  <c r="Z681" i="27"/>
  <c r="S679" i="27"/>
  <c r="V678" i="27"/>
  <c r="W677" i="27"/>
  <c r="AB676" i="27"/>
  <c r="V674" i="27"/>
  <c r="U673" i="27"/>
  <c r="X672" i="27"/>
  <c r="AB671" i="27"/>
  <c r="T668" i="27"/>
  <c r="Z667" i="27"/>
  <c r="Z666" i="27"/>
  <c r="S664" i="27"/>
  <c r="X663" i="27"/>
  <c r="Z662" i="27"/>
  <c r="AB661" i="27"/>
  <c r="T659" i="27"/>
  <c r="Y658" i="27"/>
  <c r="X657" i="27"/>
  <c r="AA656" i="27"/>
  <c r="V654" i="27"/>
  <c r="V653" i="27"/>
  <c r="V652" i="27"/>
  <c r="AB651" i="27"/>
  <c r="W649" i="27"/>
  <c r="AA648" i="27"/>
  <c r="U647" i="27"/>
  <c r="Y646" i="27"/>
  <c r="T645" i="27"/>
  <c r="Y644" i="27"/>
  <c r="V642" i="27"/>
  <c r="AB641" i="27"/>
  <c r="W640" i="27"/>
  <c r="Y639" i="27"/>
  <c r="T638" i="27"/>
  <c r="Z637" i="27"/>
  <c r="S636" i="27"/>
  <c r="W635" i="27"/>
  <c r="AB634" i="27"/>
  <c r="W633" i="27"/>
  <c r="AA632" i="27"/>
  <c r="U631" i="27"/>
  <c r="Y630" i="27"/>
  <c r="U629" i="27"/>
  <c r="AA628" i="27"/>
  <c r="W627" i="27"/>
  <c r="AB626" i="27"/>
  <c r="S626" i="27"/>
  <c r="Y625" i="27"/>
  <c r="U624" i="27"/>
  <c r="Z623" i="27"/>
  <c r="V622" i="27"/>
  <c r="AB621" i="27"/>
  <c r="S621" i="27"/>
  <c r="Y620" i="27"/>
  <c r="U619" i="27"/>
  <c r="Y618" i="27"/>
  <c r="V617" i="27"/>
  <c r="AB616" i="27"/>
  <c r="S616" i="27"/>
  <c r="X615" i="27"/>
  <c r="T614" i="27"/>
  <c r="Z613" i="27"/>
  <c r="W612" i="27"/>
  <c r="AA611" i="27"/>
  <c r="W610" i="27"/>
  <c r="T609" i="27"/>
  <c r="Z608" i="27"/>
  <c r="V607" i="27"/>
  <c r="AA606" i="27"/>
  <c r="W605" i="27"/>
  <c r="T604" i="27"/>
  <c r="Y603" i="27"/>
  <c r="U602" i="27"/>
  <c r="AA601" i="27"/>
  <c r="X600" i="27"/>
  <c r="S599" i="27"/>
  <c r="X598" i="27"/>
  <c r="U597" i="27"/>
  <c r="AA596" i="27"/>
  <c r="Y595" i="27"/>
  <c r="V594" i="27"/>
  <c r="AB593" i="27"/>
  <c r="X592" i="27"/>
  <c r="U591" i="27"/>
  <c r="AB590" i="27"/>
  <c r="S590" i="27"/>
  <c r="Z589" i="27"/>
  <c r="X588" i="27"/>
  <c r="V587" i="27"/>
  <c r="AA586" i="27"/>
  <c r="X585" i="27"/>
  <c r="U584" i="27"/>
  <c r="AA583" i="27"/>
  <c r="Y582" i="27"/>
  <c r="V581" i="27"/>
  <c r="T580" i="27"/>
  <c r="AA579" i="27"/>
  <c r="W578" i="27"/>
  <c r="AB577" i="27"/>
  <c r="S577" i="27"/>
  <c r="Y576" i="27"/>
  <c r="V575" i="27"/>
  <c r="Z574" i="27"/>
  <c r="V573" i="27"/>
  <c r="T572" i="27"/>
  <c r="AA571" i="27"/>
  <c r="Y570" i="27"/>
  <c r="W569" i="27"/>
  <c r="S568" i="27"/>
  <c r="Y567" i="27"/>
  <c r="V566" i="27"/>
  <c r="AB565" i="27"/>
  <c r="S565" i="27"/>
  <c r="Z564" i="27"/>
  <c r="X563" i="27"/>
  <c r="U562" i="27"/>
  <c r="AB561" i="27"/>
  <c r="S561" i="27"/>
  <c r="Y560" i="27"/>
  <c r="V559" i="27"/>
  <c r="AA558" i="27"/>
  <c r="X557" i="27"/>
  <c r="T556" i="27"/>
  <c r="Y555" i="27"/>
  <c r="V554" i="27"/>
  <c r="AB553" i="27"/>
  <c r="S553" i="27"/>
  <c r="Z552" i="27"/>
  <c r="AB1091" i="27"/>
  <c r="W940" i="27"/>
  <c r="U904" i="27"/>
  <c r="AB867" i="27"/>
  <c r="AA849" i="27"/>
  <c r="S844" i="27"/>
  <c r="T811" i="27"/>
  <c r="Y804" i="27"/>
  <c r="Z803" i="27"/>
  <c r="AB790" i="27"/>
  <c r="V789" i="27"/>
  <c r="X788" i="27"/>
  <c r="T787" i="27"/>
  <c r="W777" i="27"/>
  <c r="S776" i="27"/>
  <c r="X775" i="27"/>
  <c r="S768" i="27"/>
  <c r="T767" i="27"/>
  <c r="T766" i="27"/>
  <c r="Z765" i="27"/>
  <c r="U764" i="27"/>
  <c r="Z763" i="27"/>
  <c r="U762" i="27"/>
  <c r="W761" i="27"/>
  <c r="T760" i="27"/>
  <c r="X759" i="27"/>
  <c r="T758" i="27"/>
  <c r="T757" i="27"/>
  <c r="X756" i="27"/>
  <c r="S755" i="27"/>
  <c r="X754" i="27"/>
  <c r="Z736" i="27"/>
  <c r="AB735" i="27"/>
  <c r="Y734" i="27"/>
  <c r="AB733" i="27"/>
  <c r="U732" i="27"/>
  <c r="AA731" i="27"/>
  <c r="V730" i="27"/>
  <c r="W729" i="27"/>
  <c r="T728" i="27"/>
  <c r="X727" i="27"/>
  <c r="T726" i="27"/>
  <c r="T725" i="27"/>
  <c r="X724" i="27"/>
  <c r="S723" i="27"/>
  <c r="X722" i="27"/>
  <c r="Z704" i="27"/>
  <c r="AB703" i="27"/>
  <c r="Y702" i="27"/>
  <c r="AB701" i="27"/>
  <c r="U700" i="27"/>
  <c r="AA699" i="27"/>
  <c r="Z698" i="27"/>
  <c r="Z697" i="27"/>
  <c r="U692" i="27"/>
  <c r="T691" i="27"/>
  <c r="Y690" i="27"/>
  <c r="X689" i="27"/>
  <c r="X688" i="27"/>
  <c r="AB687" i="27"/>
  <c r="S683" i="27"/>
  <c r="V682" i="27"/>
  <c r="X681" i="27"/>
  <c r="AB680" i="27"/>
  <c r="T678" i="27"/>
  <c r="V677" i="27"/>
  <c r="AA676" i="27"/>
  <c r="T673" i="27"/>
  <c r="V672" i="27"/>
  <c r="AA671" i="27"/>
  <c r="S668" i="27"/>
  <c r="Y667" i="27"/>
  <c r="X666" i="27"/>
  <c r="AB665" i="27"/>
  <c r="V663" i="27"/>
  <c r="X662" i="27"/>
  <c r="X661" i="27"/>
  <c r="S659" i="27"/>
  <c r="X658" i="27"/>
  <c r="V657" i="27"/>
  <c r="Z656" i="27"/>
  <c r="T653" i="27"/>
  <c r="U652" i="27"/>
  <c r="AA651" i="27"/>
  <c r="U649" i="27"/>
  <c r="Z648" i="27"/>
  <c r="S647" i="27"/>
  <c r="W646" i="27"/>
  <c r="S645" i="27"/>
  <c r="X644" i="27"/>
  <c r="AA643" i="27"/>
  <c r="U642" i="27"/>
  <c r="AA641" i="27"/>
  <c r="U640" i="27"/>
  <c r="X639" i="27"/>
  <c r="S638" i="27"/>
  <c r="Y637" i="27"/>
  <c r="V635" i="27"/>
  <c r="AA634" i="27"/>
  <c r="U633" i="27"/>
  <c r="Z632" i="27"/>
  <c r="S631" i="27"/>
  <c r="W630" i="27"/>
  <c r="T629" i="27"/>
  <c r="Z628" i="27"/>
  <c r="V627" i="27"/>
  <c r="AA626" i="27"/>
  <c r="W625" i="27"/>
  <c r="T624" i="27"/>
  <c r="Y623" i="27"/>
  <c r="U622" i="27"/>
  <c r="AA621" i="27"/>
  <c r="X620" i="27"/>
  <c r="S619" i="27"/>
  <c r="X618" i="27"/>
  <c r="U617" i="27"/>
  <c r="AA616" i="27"/>
  <c r="W615" i="27"/>
  <c r="AB614" i="27"/>
  <c r="S614" i="27"/>
  <c r="Y613" i="27"/>
  <c r="U612" i="27"/>
  <c r="Z611" i="27"/>
  <c r="V610" i="27"/>
  <c r="AB609" i="27"/>
  <c r="S609" i="27"/>
  <c r="Y608" i="27"/>
  <c r="U607" i="27"/>
  <c r="Y606" i="27"/>
  <c r="V605" i="27"/>
  <c r="AB604" i="27"/>
  <c r="S604" i="27"/>
  <c r="X603" i="27"/>
  <c r="T602" i="27"/>
  <c r="Z601" i="27"/>
  <c r="W600" i="27"/>
  <c r="AA599" i="27"/>
  <c r="W598" i="27"/>
  <c r="T597" i="27"/>
  <c r="Z596" i="27"/>
  <c r="X595" i="27"/>
  <c r="U594" i="27"/>
  <c r="Z593" i="27"/>
  <c r="W592" i="27"/>
  <c r="T591" i="27"/>
  <c r="AA590" i="27"/>
  <c r="Y589" i="27"/>
  <c r="W588" i="27"/>
  <c r="T587" i="27"/>
  <c r="Z586" i="27"/>
  <c r="W585" i="27"/>
  <c r="T584" i="27"/>
  <c r="Z583" i="27"/>
  <c r="W582" i="27"/>
  <c r="U581" i="27"/>
  <c r="AB580" i="27"/>
  <c r="S580" i="27"/>
  <c r="Z579" i="27"/>
  <c r="V578" i="27"/>
  <c r="AA577" i="27"/>
  <c r="X576" i="27"/>
  <c r="T575" i="27"/>
  <c r="Y574" i="27"/>
  <c r="U573" i="27"/>
  <c r="AB572" i="27"/>
  <c r="S572" i="27"/>
  <c r="Z571" i="27"/>
  <c r="X570" i="27"/>
  <c r="V569" i="27"/>
  <c r="AA568" i="27"/>
  <c r="X567" i="27"/>
  <c r="U566" i="27"/>
  <c r="AA565" i="27"/>
  <c r="Y564" i="27"/>
  <c r="V563" i="27"/>
  <c r="T562" i="27"/>
  <c r="AA561" i="27"/>
  <c r="X560" i="27"/>
  <c r="U559" i="27"/>
  <c r="Z558" i="27"/>
  <c r="V557" i="27"/>
  <c r="AB556" i="27"/>
  <c r="S556" i="27"/>
  <c r="X555" i="27"/>
  <c r="U554" i="27"/>
  <c r="AA553" i="27"/>
  <c r="Y552" i="27"/>
  <c r="V551" i="27"/>
  <c r="T550" i="27"/>
  <c r="AA549" i="27"/>
  <c r="X548" i="27"/>
  <c r="U547" i="27"/>
  <c r="AA546" i="27"/>
  <c r="Y545" i="27"/>
  <c r="X544" i="27"/>
  <c r="W543" i="27"/>
  <c r="V542" i="27"/>
  <c r="U541" i="27"/>
  <c r="AB540" i="27"/>
  <c r="T540" i="27"/>
  <c r="AA539" i="27"/>
  <c r="S539" i="27"/>
  <c r="Z538" i="27"/>
  <c r="Y537" i="27"/>
  <c r="X536" i="27"/>
  <c r="W535" i="27"/>
  <c r="U534" i="27"/>
  <c r="AA533" i="27"/>
  <c r="S533" i="27"/>
  <c r="Y532" i="27"/>
  <c r="W531" i="27"/>
  <c r="V530" i="27"/>
  <c r="U529" i="27"/>
  <c r="AB528" i="27"/>
  <c r="T528" i="27"/>
  <c r="AA527" i="27"/>
  <c r="S527" i="27"/>
  <c r="Y526" i="27"/>
  <c r="W525" i="27"/>
  <c r="U524" i="27"/>
  <c r="AA523" i="27"/>
  <c r="S523" i="27"/>
  <c r="Y522" i="27"/>
  <c r="W521" i="27"/>
  <c r="U520" i="27"/>
  <c r="AA519" i="27"/>
  <c r="S519" i="27"/>
  <c r="Y518" i="27"/>
  <c r="W517" i="27"/>
  <c r="U516" i="27"/>
  <c r="AA515" i="27"/>
  <c r="S515" i="27"/>
  <c r="Y514" i="27"/>
  <c r="W513" i="27"/>
  <c r="U512" i="27"/>
  <c r="AA511" i="27"/>
  <c r="S511" i="27"/>
  <c r="Y510" i="27"/>
  <c r="W509" i="27"/>
  <c r="U508" i="27"/>
  <c r="AA507" i="27"/>
  <c r="S507" i="27"/>
  <c r="Y506" i="27"/>
  <c r="W505" i="27"/>
  <c r="U504" i="27"/>
  <c r="AA503" i="27"/>
  <c r="S503" i="27"/>
  <c r="Y502" i="27"/>
  <c r="W501" i="27"/>
  <c r="U500" i="27"/>
  <c r="AA499" i="27"/>
  <c r="S499" i="27"/>
  <c r="Y498" i="27"/>
  <c r="W497" i="27"/>
  <c r="U496" i="27"/>
  <c r="AA495" i="27"/>
  <c r="S495" i="27"/>
  <c r="Y494" i="27"/>
  <c r="W493" i="27"/>
  <c r="U492" i="27"/>
  <c r="AA491" i="27"/>
  <c r="S491" i="27"/>
  <c r="Y490" i="27"/>
  <c r="W489" i="27"/>
  <c r="U488" i="27"/>
  <c r="AA487" i="27"/>
  <c r="S487" i="27"/>
  <c r="Y486" i="27"/>
  <c r="W485" i="27"/>
  <c r="U484" i="27"/>
  <c r="AA483" i="27"/>
  <c r="S483" i="27"/>
  <c r="Y482" i="27"/>
  <c r="W481" i="27"/>
  <c r="U480" i="27"/>
  <c r="AA479" i="27"/>
  <c r="S479" i="27"/>
  <c r="Y478" i="27"/>
  <c r="W477" i="27"/>
  <c r="U476" i="27"/>
  <c r="AA475" i="27"/>
  <c r="S475" i="27"/>
  <c r="Y474" i="27"/>
  <c r="W473" i="27"/>
  <c r="U472" i="27"/>
  <c r="AA471" i="27"/>
  <c r="S471" i="27"/>
  <c r="Y470" i="27"/>
  <c r="W469" i="27"/>
  <c r="U468" i="27"/>
  <c r="AA467" i="27"/>
  <c r="S467" i="27"/>
  <c r="Y466" i="27"/>
  <c r="W465" i="27"/>
  <c r="U464" i="27"/>
  <c r="AA463" i="27"/>
  <c r="S463" i="27"/>
  <c r="Y462" i="27"/>
  <c r="W461" i="27"/>
  <c r="U460" i="27"/>
  <c r="AA459" i="27"/>
  <c r="S459" i="27"/>
  <c r="Y458" i="27"/>
  <c r="W457" i="27"/>
  <c r="U456" i="27"/>
  <c r="AA455" i="27"/>
  <c r="S455" i="27"/>
  <c r="Y454" i="27"/>
  <c r="W453" i="27"/>
  <c r="U452" i="27"/>
  <c r="AA451" i="27"/>
  <c r="S451" i="27"/>
  <c r="Y450" i="27"/>
  <c r="W449" i="27"/>
  <c r="U448" i="27"/>
  <c r="AA447" i="27"/>
  <c r="S447" i="27"/>
  <c r="Y446" i="27"/>
  <c r="W445" i="27"/>
  <c r="U444" i="27"/>
  <c r="AA443" i="27"/>
  <c r="S443" i="27"/>
  <c r="Y442" i="27"/>
  <c r="W441" i="27"/>
  <c r="U440" i="27"/>
  <c r="AA439" i="27"/>
  <c r="S439" i="27"/>
  <c r="Y438" i="27"/>
  <c r="V1091" i="27"/>
  <c r="X1072" i="27"/>
  <c r="W1021" i="27"/>
  <c r="W982" i="27"/>
  <c r="Z953" i="27"/>
  <c r="V917" i="27"/>
  <c r="V897" i="27"/>
  <c r="Y884" i="27"/>
  <c r="W877" i="27"/>
  <c r="V872" i="27"/>
  <c r="Z849" i="27"/>
  <c r="V837" i="27"/>
  <c r="Y832" i="27"/>
  <c r="W1072" i="27"/>
  <c r="U972" i="27"/>
  <c r="V930" i="27"/>
  <c r="X884" i="27"/>
  <c r="T877" i="27"/>
  <c r="S872" i="27"/>
  <c r="S816" i="27"/>
  <c r="Z806" i="27"/>
  <c r="T805" i="27"/>
  <c r="W804" i="27"/>
  <c r="X796" i="27"/>
  <c r="AB795" i="27"/>
  <c r="X794" i="27"/>
  <c r="T793" i="27"/>
  <c r="AA792" i="27"/>
  <c r="W791" i="27"/>
  <c r="X765" i="27"/>
  <c r="X763" i="27"/>
  <c r="Z745" i="27"/>
  <c r="AB744" i="27"/>
  <c r="Z743" i="27"/>
  <c r="AB742" i="27"/>
  <c r="V741" i="27"/>
  <c r="AA740" i="27"/>
  <c r="V739" i="27"/>
  <c r="Z738" i="27"/>
  <c r="U737" i="27"/>
  <c r="V736" i="27"/>
  <c r="T735" i="27"/>
  <c r="W734" i="27"/>
  <c r="X733" i="27"/>
  <c r="S732" i="27"/>
  <c r="Y731" i="27"/>
  <c r="Z713" i="27"/>
  <c r="AB712" i="27"/>
  <c r="Z711" i="27"/>
  <c r="AB710" i="27"/>
  <c r="V709" i="27"/>
  <c r="AA708" i="27"/>
  <c r="V707" i="27"/>
  <c r="Z706" i="27"/>
  <c r="U705" i="27"/>
  <c r="V704" i="27"/>
  <c r="T703" i="27"/>
  <c r="W702" i="27"/>
  <c r="X701" i="27"/>
  <c r="S700" i="27"/>
  <c r="Y699" i="27"/>
  <c r="V698" i="27"/>
  <c r="W697" i="27"/>
  <c r="AA696" i="27"/>
  <c r="Z695" i="27"/>
  <c r="V690" i="27"/>
  <c r="T689" i="27"/>
  <c r="U688" i="27"/>
  <c r="Y687" i="27"/>
  <c r="X686" i="27"/>
  <c r="Z685" i="27"/>
  <c r="X684" i="27"/>
  <c r="V681" i="27"/>
  <c r="X680" i="27"/>
  <c r="AA679" i="27"/>
  <c r="T677" i="27"/>
  <c r="X676" i="27"/>
  <c r="Y675" i="27"/>
  <c r="S672" i="27"/>
  <c r="V671" i="27"/>
  <c r="Y670" i="27"/>
  <c r="AB669" i="27"/>
  <c r="S667" i="27"/>
  <c r="V666" i="27"/>
  <c r="X665" i="27"/>
  <c r="AB664" i="27"/>
  <c r="T662" i="27"/>
  <c r="V661" i="27"/>
  <c r="AA660" i="27"/>
  <c r="T657" i="27"/>
  <c r="V656" i="27"/>
  <c r="AA655" i="27"/>
  <c r="S652" i="27"/>
  <c r="Y651" i="27"/>
  <c r="X650" i="27"/>
  <c r="S649" i="27"/>
  <c r="X648" i="27"/>
  <c r="AA647" i="27"/>
  <c r="U646" i="27"/>
  <c r="AA645" i="27"/>
  <c r="U644" i="27"/>
  <c r="X643" i="27"/>
  <c r="S642" i="27"/>
  <c r="Y641" i="27"/>
  <c r="V639" i="27"/>
  <c r="AA638" i="27"/>
  <c r="U637" i="27"/>
  <c r="Z636" i="27"/>
  <c r="S635" i="27"/>
  <c r="W634" i="27"/>
  <c r="S633" i="27"/>
  <c r="X632" i="27"/>
  <c r="AA631" i="27"/>
  <c r="U630" i="27"/>
  <c r="AA629" i="27"/>
  <c r="X628" i="27"/>
  <c r="S627" i="27"/>
  <c r="X626" i="27"/>
  <c r="U625" i="27"/>
  <c r="AA624" i="27"/>
  <c r="W623" i="27"/>
  <c r="AB622" i="27"/>
  <c r="S622" i="27"/>
  <c r="Y621" i="27"/>
  <c r="U620" i="27"/>
  <c r="Z619" i="27"/>
  <c r="V618" i="27"/>
  <c r="AB617" i="27"/>
  <c r="S617" i="27"/>
  <c r="Y616" i="27"/>
  <c r="U615" i="27"/>
  <c r="Y614" i="27"/>
  <c r="V613" i="27"/>
  <c r="AB612" i="27"/>
  <c r="S612" i="27"/>
  <c r="X611" i="27"/>
  <c r="T610" i="27"/>
  <c r="Z609" i="27"/>
  <c r="W608" i="27"/>
  <c r="AA607" i="27"/>
  <c r="W606" i="27"/>
  <c r="T605" i="27"/>
  <c r="Z604" i="27"/>
  <c r="V603" i="27"/>
  <c r="AA602" i="27"/>
  <c r="W601" i="27"/>
  <c r="T600" i="27"/>
  <c r="Y599" i="27"/>
  <c r="U598" i="27"/>
  <c r="AA597" i="27"/>
  <c r="X596" i="27"/>
  <c r="V595" i="27"/>
  <c r="AA594" i="27"/>
  <c r="X593" i="27"/>
  <c r="U592" i="27"/>
  <c r="AA591" i="27"/>
  <c r="Y590" i="27"/>
  <c r="V589" i="27"/>
  <c r="T588" i="27"/>
  <c r="AA587" i="27"/>
  <c r="X586" i="27"/>
  <c r="U585" i="27"/>
  <c r="AA584" i="27"/>
  <c r="W583" i="27"/>
  <c r="U582" i="27"/>
  <c r="AB581" i="27"/>
  <c r="S581" i="27"/>
  <c r="Z580" i="27"/>
  <c r="X1100" i="27"/>
  <c r="Y1050" i="27"/>
  <c r="W1005" i="27"/>
  <c r="W962" i="27"/>
  <c r="AB941" i="27"/>
  <c r="T902" i="27"/>
  <c r="Z885" i="27"/>
  <c r="V850" i="27"/>
  <c r="U838" i="27"/>
  <c r="Y829" i="27"/>
  <c r="X806" i="27"/>
  <c r="S805" i="27"/>
  <c r="W796" i="27"/>
  <c r="T795" i="27"/>
  <c r="V794" i="27"/>
  <c r="S793" i="27"/>
  <c r="Z792" i="27"/>
  <c r="U791" i="27"/>
  <c r="V748" i="27"/>
  <c r="AB747" i="27"/>
  <c r="W746" i="27"/>
  <c r="X745" i="27"/>
  <c r="AA744" i="27"/>
  <c r="Y743" i="27"/>
  <c r="Z742" i="27"/>
  <c r="U741" i="27"/>
  <c r="Z740" i="27"/>
  <c r="T739" i="27"/>
  <c r="Y738" i="27"/>
  <c r="T737" i="27"/>
  <c r="U736" i="27"/>
  <c r="S735" i="27"/>
  <c r="V734" i="27"/>
  <c r="V716" i="27"/>
  <c r="AB715" i="27"/>
  <c r="W714" i="27"/>
  <c r="X713" i="27"/>
  <c r="AA712" i="27"/>
  <c r="Y711" i="27"/>
  <c r="Z710" i="27"/>
  <c r="U709" i="27"/>
  <c r="Z708" i="27"/>
  <c r="T707" i="27"/>
  <c r="Y706" i="27"/>
  <c r="T705" i="27"/>
  <c r="U704" i="27"/>
  <c r="S703" i="27"/>
  <c r="V702" i="27"/>
  <c r="V699" i="27"/>
  <c r="T698" i="27"/>
  <c r="V697" i="27"/>
  <c r="X696" i="27"/>
  <c r="Y695" i="27"/>
  <c r="AB694" i="27"/>
  <c r="AB693" i="27"/>
  <c r="S688" i="27"/>
  <c r="T687" i="27"/>
  <c r="W686" i="27"/>
  <c r="X685" i="27"/>
  <c r="V684" i="27"/>
  <c r="AB683" i="27"/>
  <c r="T681" i="27"/>
  <c r="U680" i="27"/>
  <c r="Z679" i="27"/>
  <c r="U676" i="27"/>
  <c r="X675" i="27"/>
  <c r="AB674" i="27"/>
  <c r="T671" i="27"/>
  <c r="X670" i="27"/>
  <c r="Z669" i="27"/>
  <c r="AA668" i="27"/>
  <c r="T666" i="27"/>
  <c r="W665" i="27"/>
  <c r="AA664" i="27"/>
  <c r="U661" i="27"/>
  <c r="Z660" i="27"/>
  <c r="AA659" i="27"/>
  <c r="U656" i="27"/>
  <c r="Y655" i="27"/>
  <c r="Z654" i="27"/>
  <c r="V651" i="27"/>
  <c r="W650" i="27"/>
  <c r="AB649" i="27"/>
  <c r="W648" i="27"/>
  <c r="Y647" i="27"/>
  <c r="T646" i="27"/>
  <c r="Z645" i="27"/>
  <c r="S644" i="27"/>
  <c r="W643" i="27"/>
  <c r="AB642" i="27"/>
  <c r="W641" i="27"/>
  <c r="AA640" i="27"/>
  <c r="U639" i="27"/>
  <c r="Y638" i="27"/>
  <c r="T637" i="27"/>
  <c r="Y636" i="27"/>
  <c r="V634" i="27"/>
  <c r="AB633" i="27"/>
  <c r="W632" i="27"/>
  <c r="Y631" i="27"/>
  <c r="T630" i="27"/>
  <c r="Z629" i="27"/>
  <c r="W628" i="27"/>
  <c r="AA627" i="27"/>
  <c r="W626" i="27"/>
  <c r="T625" i="27"/>
  <c r="Z624" i="27"/>
  <c r="V623" i="27"/>
  <c r="AA622" i="27"/>
  <c r="W621" i="27"/>
  <c r="T620" i="27"/>
  <c r="Y619" i="27"/>
  <c r="U618" i="27"/>
  <c r="AA617" i="27"/>
  <c r="X616" i="27"/>
  <c r="S615" i="27"/>
  <c r="X614" i="27"/>
  <c r="U613" i="27"/>
  <c r="AA612" i="27"/>
  <c r="W611" i="27"/>
  <c r="AB610" i="27"/>
  <c r="S610" i="27"/>
  <c r="Y609" i="27"/>
  <c r="U608" i="27"/>
  <c r="Z607" i="27"/>
  <c r="V606" i="27"/>
  <c r="AB605" i="27"/>
  <c r="S605" i="27"/>
  <c r="Y604" i="27"/>
  <c r="U603" i="27"/>
  <c r="Y602" i="27"/>
  <c r="V601" i="27"/>
  <c r="AB600" i="27"/>
  <c r="S600" i="27"/>
  <c r="X599" i="27"/>
  <c r="T598" i="27"/>
  <c r="Z597" i="27"/>
  <c r="W596" i="27"/>
  <c r="T595" i="27"/>
  <c r="Z594" i="27"/>
  <c r="W593" i="27"/>
  <c r="T592" i="27"/>
  <c r="Z591" i="27"/>
  <c r="W590" i="27"/>
  <c r="U589" i="27"/>
  <c r="AB588" i="27"/>
  <c r="S588" i="27"/>
  <c r="Z587" i="27"/>
  <c r="W586" i="27"/>
  <c r="T585" i="27"/>
  <c r="Y584" i="27"/>
  <c r="V583" i="27"/>
  <c r="T582" i="27"/>
  <c r="AA581" i="27"/>
  <c r="Y580" i="27"/>
  <c r="W579" i="27"/>
  <c r="AB578" i="27"/>
  <c r="W577" i="27"/>
  <c r="T576" i="27"/>
  <c r="Z575" i="27"/>
  <c r="V574" i="27"/>
  <c r="AA573" i="27"/>
  <c r="Y572" i="27"/>
  <c r="V571" i="27"/>
  <c r="T570" i="27"/>
  <c r="AA569" i="27"/>
  <c r="X568" i="27"/>
  <c r="U567" i="27"/>
  <c r="AA566" i="27"/>
  <c r="W565" i="27"/>
  <c r="U564" i="27"/>
  <c r="AB563" i="27"/>
  <c r="S563" i="27"/>
  <c r="Z562" i="27"/>
  <c r="X561" i="27"/>
  <c r="U560" i="27"/>
  <c r="Z559" i="27"/>
  <c r="V558" i="27"/>
  <c r="AB557" i="27"/>
  <c r="S557" i="27"/>
  <c r="Y556" i="27"/>
  <c r="U555" i="27"/>
  <c r="AA554" i="27"/>
  <c r="W553" i="27"/>
  <c r="U552" i="27"/>
  <c r="AB551" i="27"/>
  <c r="S551" i="27"/>
  <c r="Z550" i="27"/>
  <c r="X549" i="27"/>
  <c r="U548" i="27"/>
  <c r="Z547" i="27"/>
  <c r="W546" i="27"/>
  <c r="V545" i="27"/>
  <c r="U544" i="27"/>
  <c r="AB543" i="27"/>
  <c r="T543" i="27"/>
  <c r="AA542" i="27"/>
  <c r="S542" i="27"/>
  <c r="Z541" i="27"/>
  <c r="Y540" i="27"/>
  <c r="Y1484" i="27"/>
  <c r="T1077" i="27"/>
  <c r="AA1022" i="27"/>
  <c r="W985" i="27"/>
  <c r="U962" i="27"/>
  <c r="W920" i="27"/>
  <c r="Y898" i="27"/>
  <c r="W885" i="27"/>
  <c r="U878" i="27"/>
  <c r="AB857" i="27"/>
  <c r="X819" i="27"/>
  <c r="W809" i="27"/>
  <c r="AA808" i="27"/>
  <c r="U807" i="27"/>
  <c r="V806" i="27"/>
  <c r="Z798" i="27"/>
  <c r="U797" i="27"/>
  <c r="V796" i="27"/>
  <c r="S795" i="27"/>
  <c r="Y781" i="27"/>
  <c r="AB780" i="27"/>
  <c r="Y779" i="27"/>
  <c r="AB778" i="27"/>
  <c r="Z773" i="27"/>
  <c r="AB772" i="27"/>
  <c r="Y771" i="27"/>
  <c r="W769" i="27"/>
  <c r="Z752" i="27"/>
  <c r="AB751" i="27"/>
  <c r="Y750" i="27"/>
  <c r="AB749" i="27"/>
  <c r="U748" i="27"/>
  <c r="AA747" i="27"/>
  <c r="V746" i="27"/>
  <c r="W745" i="27"/>
  <c r="T744" i="27"/>
  <c r="X743" i="27"/>
  <c r="T742" i="27"/>
  <c r="T741" i="27"/>
  <c r="X740" i="27"/>
  <c r="S739" i="27"/>
  <c r="X738" i="27"/>
  <c r="Z720" i="27"/>
  <c r="AB719" i="27"/>
  <c r="Y718" i="27"/>
  <c r="AB717" i="27"/>
  <c r="U716" i="27"/>
  <c r="AA715" i="27"/>
  <c r="V714" i="27"/>
  <c r="W713" i="27"/>
  <c r="T712" i="27"/>
  <c r="X711" i="27"/>
  <c r="T710" i="27"/>
  <c r="T709" i="27"/>
  <c r="X708" i="27"/>
  <c r="S707" i="27"/>
  <c r="X706" i="27"/>
  <c r="T697" i="27"/>
  <c r="T696" i="27"/>
  <c r="X695" i="27"/>
  <c r="Z694" i="27"/>
  <c r="W693" i="27"/>
  <c r="AB692" i="27"/>
  <c r="S687" i="27"/>
  <c r="V686" i="27"/>
  <c r="V685" i="27"/>
  <c r="U684" i="27"/>
  <c r="AA683" i="27"/>
  <c r="T680" i="27"/>
  <c r="Y679" i="27"/>
  <c r="AB678" i="27"/>
  <c r="S676" i="27"/>
  <c r="V675" i="27"/>
  <c r="Z674" i="27"/>
  <c r="AB673" i="27"/>
  <c r="S671" i="27"/>
  <c r="W670" i="27"/>
  <c r="X669" i="27"/>
  <c r="X668" i="27"/>
  <c r="V665" i="27"/>
  <c r="X664" i="27"/>
  <c r="AA663" i="27"/>
  <c r="T661" i="27"/>
  <c r="X660" i="27"/>
  <c r="Y659" i="27"/>
  <c r="S656" i="27"/>
  <c r="V655" i="27"/>
  <c r="Y654" i="27"/>
  <c r="AB653" i="27"/>
  <c r="S651" i="27"/>
  <c r="V650" i="27"/>
  <c r="AA649" i="27"/>
  <c r="U648" i="27"/>
  <c r="X647" i="27"/>
  <c r="S646" i="27"/>
  <c r="Y645" i="27"/>
  <c r="V643" i="27"/>
  <c r="AA642" i="27"/>
  <c r="U641" i="27"/>
  <c r="Z640" i="27"/>
  <c r="S639" i="27"/>
  <c r="W638" i="27"/>
  <c r="S637" i="27"/>
  <c r="X636" i="27"/>
  <c r="AA635" i="27"/>
  <c r="U634" i="27"/>
  <c r="AA633" i="27"/>
  <c r="U632" i="27"/>
  <c r="X631" i="27"/>
  <c r="S630" i="27"/>
  <c r="Y629" i="27"/>
  <c r="U628" i="27"/>
  <c r="Z627" i="27"/>
  <c r="V626" i="27"/>
  <c r="AB625" i="27"/>
  <c r="S625" i="27"/>
  <c r="Y624" i="27"/>
  <c r="U623" i="27"/>
  <c r="Y622" i="27"/>
  <c r="V621" i="27"/>
  <c r="AB620" i="27"/>
  <c r="S620" i="27"/>
  <c r="X619" i="27"/>
  <c r="T618" i="27"/>
  <c r="Z617" i="27"/>
  <c r="W616" i="27"/>
  <c r="AA615" i="27"/>
  <c r="W614" i="27"/>
  <c r="T613" i="27"/>
  <c r="Z612" i="27"/>
  <c r="V611" i="27"/>
  <c r="AA610" i="27"/>
  <c r="W609" i="27"/>
  <c r="T608" i="27"/>
  <c r="Y607" i="27"/>
  <c r="U606" i="27"/>
  <c r="AA605" i="27"/>
  <c r="X604" i="27"/>
  <c r="S603" i="27"/>
  <c r="X602" i="27"/>
  <c r="U601" i="27"/>
  <c r="AA600" i="27"/>
  <c r="W599" i="27"/>
  <c r="AB598" i="27"/>
  <c r="S598" i="27"/>
  <c r="Y597" i="27"/>
  <c r="U596" i="27"/>
  <c r="AB595" i="27"/>
  <c r="S595" i="27"/>
  <c r="Y594" i="27"/>
  <c r="V593" i="27"/>
  <c r="AB592" i="27"/>
  <c r="S592" i="27"/>
  <c r="X591" i="27"/>
  <c r="V590" i="27"/>
  <c r="T589" i="27"/>
  <c r="AA588" i="27"/>
  <c r="Y587" i="27"/>
  <c r="V586" i="27"/>
  <c r="AB585" i="27"/>
  <c r="X584" i="27"/>
  <c r="U583" i="27"/>
  <c r="AB582" i="27"/>
  <c r="S582" i="27"/>
  <c r="Z581" i="27"/>
  <c r="X580" i="27"/>
  <c r="V579" i="27"/>
  <c r="Z578" i="27"/>
  <c r="V577" i="27"/>
  <c r="AB576" i="27"/>
  <c r="S811" i="27"/>
  <c r="X804" i="27"/>
  <c r="X791" i="27"/>
  <c r="V759" i="27"/>
  <c r="AB738" i="27"/>
  <c r="T730" i="27"/>
  <c r="W709" i="27"/>
  <c r="Z701" i="27"/>
  <c r="U689" i="27"/>
  <c r="U672" i="27"/>
  <c r="Z650" i="27"/>
  <c r="AB645" i="27"/>
  <c r="W637" i="27"/>
  <c r="S629" i="27"/>
  <c r="W618" i="27"/>
  <c r="U610" i="27"/>
  <c r="AB602" i="27"/>
  <c r="Z599" i="27"/>
  <c r="Y596" i="27"/>
  <c r="V582" i="27"/>
  <c r="T578" i="27"/>
  <c r="AA563" i="27"/>
  <c r="AB562" i="27"/>
  <c r="W560" i="27"/>
  <c r="AB559" i="27"/>
  <c r="W558" i="27"/>
  <c r="T557" i="27"/>
  <c r="W549" i="27"/>
  <c r="V548" i="27"/>
  <c r="V547" i="27"/>
  <c r="Y546" i="27"/>
  <c r="Z545" i="27"/>
  <c r="V541" i="27"/>
  <c r="Z540" i="27"/>
  <c r="V538" i="27"/>
  <c r="W537" i="27"/>
  <c r="AB536" i="27"/>
  <c r="S535" i="27"/>
  <c r="Y534" i="27"/>
  <c r="AB533" i="27"/>
  <c r="T531" i="27"/>
  <c r="Z530" i="27"/>
  <c r="S529" i="27"/>
  <c r="Y528" i="27"/>
  <c r="U525" i="27"/>
  <c r="AA524" i="27"/>
  <c r="T523" i="27"/>
  <c r="W522" i="27"/>
  <c r="AB521" i="27"/>
  <c r="W520" i="27"/>
  <c r="AB519" i="27"/>
  <c r="U518" i="27"/>
  <c r="Y517" i="27"/>
  <c r="T516" i="27"/>
  <c r="Y515" i="27"/>
  <c r="V513" i="27"/>
  <c r="AB512" i="27"/>
  <c r="W511" i="27"/>
  <c r="Z510" i="27"/>
  <c r="T509" i="27"/>
  <c r="Z508" i="27"/>
  <c r="T507" i="27"/>
  <c r="W506" i="27"/>
  <c r="AB505" i="27"/>
  <c r="W504" i="27"/>
  <c r="AB503" i="27"/>
  <c r="U502" i="27"/>
  <c r="Y501" i="27"/>
  <c r="T500" i="27"/>
  <c r="Y499" i="27"/>
  <c r="V497" i="27"/>
  <c r="AB496" i="27"/>
  <c r="W495" i="27"/>
  <c r="Z494" i="27"/>
  <c r="T493" i="27"/>
  <c r="Z492" i="27"/>
  <c r="T491" i="27"/>
  <c r="W490" i="27"/>
  <c r="AB489" i="27"/>
  <c r="W488" i="27"/>
  <c r="AB487" i="27"/>
  <c r="U486" i="27"/>
  <c r="Y485" i="27"/>
  <c r="T484" i="27"/>
  <c r="Y483" i="27"/>
  <c r="V481" i="27"/>
  <c r="AB480" i="27"/>
  <c r="W479" i="27"/>
  <c r="Z478" i="27"/>
  <c r="T477" i="27"/>
  <c r="Z476" i="27"/>
  <c r="T475" i="27"/>
  <c r="W474" i="27"/>
  <c r="AB473" i="27"/>
  <c r="W472" i="27"/>
  <c r="AB471" i="27"/>
  <c r="U470" i="27"/>
  <c r="Y469" i="27"/>
  <c r="T468" i="27"/>
  <c r="Y467" i="27"/>
  <c r="V465" i="27"/>
  <c r="AB464" i="27"/>
  <c r="W463" i="27"/>
  <c r="Z462" i="27"/>
  <c r="T461" i="27"/>
  <c r="Z460" i="27"/>
  <c r="T459" i="27"/>
  <c r="W458" i="27"/>
  <c r="AB457" i="27"/>
  <c r="W456" i="27"/>
  <c r="AB455" i="27"/>
  <c r="U454" i="27"/>
  <c r="Y453" i="27"/>
  <c r="T452" i="27"/>
  <c r="Y451" i="27"/>
  <c r="V449" i="27"/>
  <c r="AB448" i="27"/>
  <c r="W447" i="27"/>
  <c r="Z446" i="27"/>
  <c r="T445" i="27"/>
  <c r="Z444" i="27"/>
  <c r="T443" i="27"/>
  <c r="W442" i="27"/>
  <c r="AB441" i="27"/>
  <c r="W440" i="27"/>
  <c r="AB439" i="27"/>
  <c r="U438" i="27"/>
  <c r="Y437" i="27"/>
  <c r="V436" i="27"/>
  <c r="AB435" i="27"/>
  <c r="S435" i="27"/>
  <c r="X434" i="27"/>
  <c r="T433" i="27"/>
  <c r="Z432" i="27"/>
  <c r="W431" i="27"/>
  <c r="AA430" i="27"/>
  <c r="W429" i="27"/>
  <c r="T428" i="27"/>
  <c r="Z427" i="27"/>
  <c r="V426" i="27"/>
  <c r="AA425" i="27"/>
  <c r="W424" i="27"/>
  <c r="T423" i="27"/>
  <c r="Y422" i="27"/>
  <c r="U421" i="27"/>
  <c r="AA420" i="27"/>
  <c r="X419" i="27"/>
  <c r="S418" i="27"/>
  <c r="X417" i="27"/>
  <c r="U416" i="27"/>
  <c r="AA415" i="27"/>
  <c r="W414" i="27"/>
  <c r="AB413" i="27"/>
  <c r="S413" i="27"/>
  <c r="Y412" i="27"/>
  <c r="U411" i="27"/>
  <c r="Z410" i="27"/>
  <c r="V409" i="27"/>
  <c r="AB408" i="27"/>
  <c r="S408" i="27"/>
  <c r="Y407" i="27"/>
  <c r="U406" i="27"/>
  <c r="Y405" i="27"/>
  <c r="V404" i="27"/>
  <c r="AB403" i="27"/>
  <c r="S403" i="27"/>
  <c r="X402" i="27"/>
  <c r="T401" i="27"/>
  <c r="Z400" i="27"/>
  <c r="W399" i="27"/>
  <c r="AA398" i="27"/>
  <c r="W397" i="27"/>
  <c r="T396" i="27"/>
  <c r="Z395" i="27"/>
  <c r="V394" i="27"/>
  <c r="AA393" i="27"/>
  <c r="W392" i="27"/>
  <c r="T391" i="27"/>
  <c r="Y390" i="27"/>
  <c r="U389" i="27"/>
  <c r="AA388" i="27"/>
  <c r="X387" i="27"/>
  <c r="V386" i="27"/>
  <c r="Z385" i="27"/>
  <c r="V384" i="27"/>
  <c r="AB383" i="27"/>
  <c r="S383" i="27"/>
  <c r="Z382" i="27"/>
  <c r="V381" i="27"/>
  <c r="AB380" i="27"/>
  <c r="X379" i="27"/>
  <c r="V378" i="27"/>
  <c r="AB377" i="27"/>
  <c r="T377" i="27"/>
  <c r="Z376" i="27"/>
  <c r="X375" i="27"/>
  <c r="V374" i="27"/>
  <c r="AB373" i="27"/>
  <c r="T373" i="27"/>
  <c r="Z372" i="27"/>
  <c r="X371" i="27"/>
  <c r="V370" i="27"/>
  <c r="AB369" i="27"/>
  <c r="T369" i="27"/>
  <c r="Z368" i="27"/>
  <c r="X367" i="27"/>
  <c r="V366" i="27"/>
  <c r="AB365" i="27"/>
  <c r="T365" i="27"/>
  <c r="Z364" i="27"/>
  <c r="X363" i="27"/>
  <c r="V362" i="27"/>
  <c r="AB361" i="27"/>
  <c r="T361" i="27"/>
  <c r="Z360" i="27"/>
  <c r="X359" i="27"/>
  <c r="V358" i="27"/>
  <c r="AB357" i="27"/>
  <c r="Y765" i="27"/>
  <c r="S762" i="27"/>
  <c r="W741" i="27"/>
  <c r="Z733" i="27"/>
  <c r="X704" i="27"/>
  <c r="AB696" i="27"/>
  <c r="AA684" i="27"/>
  <c r="U677" i="27"/>
  <c r="Z665" i="27"/>
  <c r="AB660" i="27"/>
  <c r="AB655" i="27"/>
  <c r="S640" i="27"/>
  <c r="Y632" i="27"/>
  <c r="AB624" i="27"/>
  <c r="Z621" i="27"/>
  <c r="W613" i="27"/>
  <c r="U605" i="27"/>
  <c r="S602" i="27"/>
  <c r="Y593" i="27"/>
  <c r="Y586" i="27"/>
  <c r="Y579" i="27"/>
  <c r="AB573" i="27"/>
  <c r="AB570" i="27"/>
  <c r="W567" i="27"/>
  <c r="AB566" i="27"/>
  <c r="Z565" i="27"/>
  <c r="W564" i="27"/>
  <c r="U563" i="27"/>
  <c r="AA562" i="27"/>
  <c r="Z561" i="27"/>
  <c r="V560" i="27"/>
  <c r="Y559" i="27"/>
  <c r="U558" i="27"/>
  <c r="S549" i="27"/>
  <c r="S548" i="27"/>
  <c r="T547" i="27"/>
  <c r="X546" i="27"/>
  <c r="X545" i="27"/>
  <c r="AB544" i="27"/>
  <c r="T541" i="27"/>
  <c r="X540" i="27"/>
  <c r="AB539" i="27"/>
  <c r="S538" i="27"/>
  <c r="V537" i="27"/>
  <c r="Y536" i="27"/>
  <c r="V534" i="27"/>
  <c r="Z533" i="27"/>
  <c r="S531" i="27"/>
  <c r="W530" i="27"/>
  <c r="X528" i="27"/>
  <c r="AB527" i="27"/>
  <c r="T525" i="27"/>
  <c r="Z524" i="27"/>
  <c r="V522" i="27"/>
  <c r="AA521" i="27"/>
  <c r="V520" i="27"/>
  <c r="Z519" i="27"/>
  <c r="S518" i="27"/>
  <c r="X517" i="27"/>
  <c r="S516" i="27"/>
  <c r="X515" i="27"/>
  <c r="AA514" i="27"/>
  <c r="U513" i="27"/>
  <c r="AA512" i="27"/>
  <c r="U511" i="27"/>
  <c r="X510" i="27"/>
  <c r="S509" i="27"/>
  <c r="Y508" i="27"/>
  <c r="V506" i="27"/>
  <c r="AA505" i="27"/>
  <c r="V504" i="27"/>
  <c r="Z503" i="27"/>
  <c r="S502" i="27"/>
  <c r="X501" i="27"/>
  <c r="S500" i="27"/>
  <c r="X499" i="27"/>
  <c r="AA498" i="27"/>
  <c r="U497" i="27"/>
  <c r="AA496" i="27"/>
  <c r="U495" i="27"/>
  <c r="X494" i="27"/>
  <c r="S493" i="27"/>
  <c r="Y492" i="27"/>
  <c r="V490" i="27"/>
  <c r="AA489" i="27"/>
  <c r="V488" i="27"/>
  <c r="Z487" i="27"/>
  <c r="S486" i="27"/>
  <c r="X485" i="27"/>
  <c r="S484" i="27"/>
  <c r="X483" i="27"/>
  <c r="AA482" i="27"/>
  <c r="U481" i="27"/>
  <c r="AA480" i="27"/>
  <c r="U479" i="27"/>
  <c r="X478" i="27"/>
  <c r="S477" i="27"/>
  <c r="Y476" i="27"/>
  <c r="V474" i="27"/>
  <c r="AA473" i="27"/>
  <c r="V472" i="27"/>
  <c r="Z471" i="27"/>
  <c r="S470" i="27"/>
  <c r="X469" i="27"/>
  <c r="S468" i="27"/>
  <c r="X467" i="27"/>
  <c r="AA466" i="27"/>
  <c r="U465" i="27"/>
  <c r="AA464" i="27"/>
  <c r="U463" i="27"/>
  <c r="X462" i="27"/>
  <c r="S461" i="27"/>
  <c r="Y460" i="27"/>
  <c r="V458" i="27"/>
  <c r="AA457" i="27"/>
  <c r="V456" i="27"/>
  <c r="Z455" i="27"/>
  <c r="S454" i="27"/>
  <c r="X453" i="27"/>
  <c r="S452" i="27"/>
  <c r="X451" i="27"/>
  <c r="AA450" i="27"/>
  <c r="U449" i="27"/>
  <c r="AA448" i="27"/>
  <c r="U447" i="27"/>
  <c r="X446" i="27"/>
  <c r="S445" i="27"/>
  <c r="Y444" i="27"/>
  <c r="V442" i="27"/>
  <c r="AA441" i="27"/>
  <c r="V440" i="27"/>
  <c r="Z439" i="27"/>
  <c r="S438" i="27"/>
  <c r="X437" i="27"/>
  <c r="U436" i="27"/>
  <c r="AA435" i="27"/>
  <c r="W434" i="27"/>
  <c r="AB433" i="27"/>
  <c r="S433" i="27"/>
  <c r="Y432" i="27"/>
  <c r="U431" i="27"/>
  <c r="Z430" i="27"/>
  <c r="V429" i="27"/>
  <c r="AB428" i="27"/>
  <c r="S428" i="27"/>
  <c r="Y427" i="27"/>
  <c r="U426" i="27"/>
  <c r="Y425" i="27"/>
  <c r="V424" i="27"/>
  <c r="AB423" i="27"/>
  <c r="S423" i="27"/>
  <c r="X422" i="27"/>
  <c r="T421" i="27"/>
  <c r="Z420" i="27"/>
  <c r="W419" i="27"/>
  <c r="AA418" i="27"/>
  <c r="W417" i="27"/>
  <c r="T416" i="27"/>
  <c r="Z415" i="27"/>
  <c r="V414" i="27"/>
  <c r="AA413" i="27"/>
  <c r="W412" i="27"/>
  <c r="T411" i="27"/>
  <c r="Y410" i="27"/>
  <c r="U409" i="27"/>
  <c r="AA408" i="27"/>
  <c r="X407" i="27"/>
  <c r="S406" i="27"/>
  <c r="X405" i="27"/>
  <c r="U404" i="27"/>
  <c r="AA403" i="27"/>
  <c r="W402" i="27"/>
  <c r="AB401" i="27"/>
  <c r="S401" i="27"/>
  <c r="Y400" i="27"/>
  <c r="U399" i="27"/>
  <c r="Z398" i="27"/>
  <c r="V397" i="27"/>
  <c r="AB396" i="27"/>
  <c r="S396" i="27"/>
  <c r="Y395" i="27"/>
  <c r="U394" i="27"/>
  <c r="Y393" i="27"/>
  <c r="V392" i="27"/>
  <c r="AB391" i="27"/>
  <c r="S391" i="27"/>
  <c r="X390" i="27"/>
  <c r="T389" i="27"/>
  <c r="Z388" i="27"/>
  <c r="W387" i="27"/>
  <c r="T386" i="27"/>
  <c r="Y385" i="27"/>
  <c r="U384" i="27"/>
  <c r="AA383" i="27"/>
  <c r="Y382" i="27"/>
  <c r="U381" i="27"/>
  <c r="Z380" i="27"/>
  <c r="W379" i="27"/>
  <c r="U378" i="27"/>
  <c r="AA377" i="27"/>
  <c r="S377" i="27"/>
  <c r="Y376" i="27"/>
  <c r="W375" i="27"/>
  <c r="U374" i="27"/>
  <c r="AA373" i="27"/>
  <c r="S373" i="27"/>
  <c r="Y372" i="27"/>
  <c r="W371" i="27"/>
  <c r="U370" i="27"/>
  <c r="AA369" i="27"/>
  <c r="S369" i="27"/>
  <c r="Y368" i="27"/>
  <c r="W367" i="27"/>
  <c r="U366" i="27"/>
  <c r="AA365" i="27"/>
  <c r="S365" i="27"/>
  <c r="Y364" i="27"/>
  <c r="W363" i="27"/>
  <c r="U362" i="27"/>
  <c r="AA361" i="27"/>
  <c r="S361" i="27"/>
  <c r="Y360" i="27"/>
  <c r="W359" i="27"/>
  <c r="U358" i="27"/>
  <c r="AA357" i="27"/>
  <c r="S357" i="27"/>
  <c r="Y356" i="27"/>
  <c r="W355" i="27"/>
  <c r="U354" i="27"/>
  <c r="AA353" i="27"/>
  <c r="S353" i="27"/>
  <c r="Y352" i="27"/>
  <c r="W351" i="27"/>
  <c r="U350" i="27"/>
  <c r="AA349" i="27"/>
  <c r="S349" i="27"/>
  <c r="Y348" i="27"/>
  <c r="W347" i="27"/>
  <c r="U346" i="27"/>
  <c r="AA345" i="27"/>
  <c r="S345" i="27"/>
  <c r="Y344" i="27"/>
  <c r="W343" i="27"/>
  <c r="U342" i="27"/>
  <c r="AA341" i="27"/>
  <c r="S341" i="27"/>
  <c r="Y340" i="27"/>
  <c r="W339" i="27"/>
  <c r="U338" i="27"/>
  <c r="AA337" i="27"/>
  <c r="S337" i="27"/>
  <c r="Y336" i="27"/>
  <c r="W335" i="27"/>
  <c r="U334" i="27"/>
  <c r="AA333" i="27"/>
  <c r="S333" i="27"/>
  <c r="Y332" i="27"/>
  <c r="W331" i="27"/>
  <c r="U330" i="27"/>
  <c r="AA329" i="27"/>
  <c r="S329" i="27"/>
  <c r="Y328" i="27"/>
  <c r="W327" i="27"/>
  <c r="U326" i="27"/>
  <c r="AA325" i="27"/>
  <c r="S325" i="27"/>
  <c r="Y324" i="27"/>
  <c r="W323" i="27"/>
  <c r="U322" i="27"/>
  <c r="AA321" i="27"/>
  <c r="S321" i="27"/>
  <c r="Y320" i="27"/>
  <c r="W319" i="27"/>
  <c r="U318" i="27"/>
  <c r="AA317" i="27"/>
  <c r="S317" i="27"/>
  <c r="Y316" i="27"/>
  <c r="W315" i="27"/>
  <c r="U314" i="27"/>
  <c r="AA313" i="27"/>
  <c r="S313" i="27"/>
  <c r="Y312" i="27"/>
  <c r="W311" i="27"/>
  <c r="U310" i="27"/>
  <c r="AA309" i="27"/>
  <c r="S309" i="27"/>
  <c r="Y308" i="27"/>
  <c r="W307" i="27"/>
  <c r="U306" i="27"/>
  <c r="AA305" i="27"/>
  <c r="S305" i="27"/>
  <c r="Y304" i="27"/>
  <c r="W303" i="27"/>
  <c r="U302" i="27"/>
  <c r="AA301" i="27"/>
  <c r="S301" i="27"/>
  <c r="Y300" i="27"/>
  <c r="W299" i="27"/>
  <c r="U298" i="27"/>
  <c r="AA297" i="27"/>
  <c r="S297" i="27"/>
  <c r="Y296" i="27"/>
  <c r="W295" i="27"/>
  <c r="U294" i="27"/>
  <c r="AA293" i="27"/>
  <c r="S293" i="27"/>
  <c r="AB792" i="27"/>
  <c r="X736" i="27"/>
  <c r="S728" i="27"/>
  <c r="X707" i="27"/>
  <c r="Z699" i="27"/>
  <c r="AA687" i="27"/>
  <c r="T682" i="27"/>
  <c r="Z670" i="27"/>
  <c r="S663" i="27"/>
  <c r="V658" i="27"/>
  <c r="Y648" i="27"/>
  <c r="Y643" i="27"/>
  <c r="U635" i="27"/>
  <c r="V630" i="27"/>
  <c r="U627" i="27"/>
  <c r="S624" i="27"/>
  <c r="Z616" i="27"/>
  <c r="X608" i="27"/>
  <c r="AB597" i="27"/>
  <c r="Z590" i="27"/>
  <c r="AB587" i="27"/>
  <c r="X583" i="27"/>
  <c r="X579" i="27"/>
  <c r="AB575" i="27"/>
  <c r="X574" i="27"/>
  <c r="Z573" i="27"/>
  <c r="AA572" i="27"/>
  <c r="Y571" i="27"/>
  <c r="W570" i="27"/>
  <c r="AB569" i="27"/>
  <c r="Z568" i="27"/>
  <c r="V567" i="27"/>
  <c r="Y566" i="27"/>
  <c r="X565" i="27"/>
  <c r="V564" i="27"/>
  <c r="T563" i="27"/>
  <c r="Y562" i="27"/>
  <c r="Y561" i="27"/>
  <c r="S560" i="27"/>
  <c r="T559" i="27"/>
  <c r="AA551" i="27"/>
  <c r="V546" i="27"/>
  <c r="W545" i="27"/>
  <c r="Y544" i="27"/>
  <c r="AA543" i="27"/>
  <c r="S541" i="27"/>
  <c r="U540" i="27"/>
  <c r="Z539" i="27"/>
  <c r="U537" i="27"/>
  <c r="W536" i="27"/>
  <c r="AB535" i="27"/>
  <c r="T534" i="27"/>
  <c r="Y533" i="27"/>
  <c r="Z532" i="27"/>
  <c r="U530" i="27"/>
  <c r="AB529" i="27"/>
  <c r="U528" i="27"/>
  <c r="Z527" i="27"/>
  <c r="S525" i="27"/>
  <c r="Y524" i="27"/>
  <c r="AB523" i="27"/>
  <c r="U522" i="27"/>
  <c r="Y521" i="27"/>
  <c r="T520" i="27"/>
  <c r="Y519" i="27"/>
  <c r="V517" i="27"/>
  <c r="AB516" i="27"/>
  <c r="W515" i="27"/>
  <c r="Z514" i="27"/>
  <c r="T513" i="27"/>
  <c r="Z512" i="27"/>
  <c r="T511" i="27"/>
  <c r="W510" i="27"/>
  <c r="AB509" i="27"/>
  <c r="W508" i="27"/>
  <c r="AB507" i="27"/>
  <c r="U506" i="27"/>
  <c r="Y505" i="27"/>
  <c r="T504" i="27"/>
  <c r="Y503" i="27"/>
  <c r="V501" i="27"/>
  <c r="AB500" i="27"/>
  <c r="W499" i="27"/>
  <c r="Z498" i="27"/>
  <c r="T497" i="27"/>
  <c r="Z496" i="27"/>
  <c r="T495" i="27"/>
  <c r="W494" i="27"/>
  <c r="AB493" i="27"/>
  <c r="W492" i="27"/>
  <c r="AB491" i="27"/>
  <c r="U490" i="27"/>
  <c r="Y489" i="27"/>
  <c r="T488" i="27"/>
  <c r="Y487" i="27"/>
  <c r="V485" i="27"/>
  <c r="AB484" i="27"/>
  <c r="W483" i="27"/>
  <c r="Z482" i="27"/>
  <c r="T481" i="27"/>
  <c r="Z480" i="27"/>
  <c r="T479" i="27"/>
  <c r="W478" i="27"/>
  <c r="AB477" i="27"/>
  <c r="W476" i="27"/>
  <c r="AB475" i="27"/>
  <c r="U474" i="27"/>
  <c r="Y473" i="27"/>
  <c r="T472" i="27"/>
  <c r="Y471" i="27"/>
  <c r="V469" i="27"/>
  <c r="AB468" i="27"/>
  <c r="W467" i="27"/>
  <c r="Z466" i="27"/>
  <c r="T465" i="27"/>
  <c r="Z464" i="27"/>
  <c r="T463" i="27"/>
  <c r="W462" i="27"/>
  <c r="AB461" i="27"/>
  <c r="W460" i="27"/>
  <c r="AB459" i="27"/>
  <c r="U458" i="27"/>
  <c r="Y457" i="27"/>
  <c r="T456" i="27"/>
  <c r="Y455" i="27"/>
  <c r="V453" i="27"/>
  <c r="AB452" i="27"/>
  <c r="W451" i="27"/>
  <c r="Z450" i="27"/>
  <c r="T449" i="27"/>
  <c r="Z448" i="27"/>
  <c r="T447" i="27"/>
  <c r="W446" i="27"/>
  <c r="AB445" i="27"/>
  <c r="W444" i="27"/>
  <c r="AB443" i="27"/>
  <c r="U442" i="27"/>
  <c r="Y441" i="27"/>
  <c r="T440" i="27"/>
  <c r="Y439" i="27"/>
  <c r="W437" i="27"/>
  <c r="T436" i="27"/>
  <c r="Z435" i="27"/>
  <c r="V434" i="27"/>
  <c r="AA433" i="27"/>
  <c r="W432" i="27"/>
  <c r="T431" i="27"/>
  <c r="Y430" i="27"/>
  <c r="U429" i="27"/>
  <c r="AA428" i="27"/>
  <c r="X427" i="27"/>
  <c r="S426" i="27"/>
  <c r="X425" i="27"/>
  <c r="U424" i="27"/>
  <c r="AA423" i="27"/>
  <c r="W422" i="27"/>
  <c r="AB421" i="27"/>
  <c r="S421" i="27"/>
  <c r="Y420" i="27"/>
  <c r="U419" i="27"/>
  <c r="Z418" i="27"/>
  <c r="V417" i="27"/>
  <c r="AB416" i="27"/>
  <c r="S416" i="27"/>
  <c r="Y415" i="27"/>
  <c r="U414" i="27"/>
  <c r="Y413" i="27"/>
  <c r="V412" i="27"/>
  <c r="AB411" i="27"/>
  <c r="S411" i="27"/>
  <c r="X410" i="27"/>
  <c r="T409" i="27"/>
  <c r="Z408" i="27"/>
  <c r="W407" i="27"/>
  <c r="AA406" i="27"/>
  <c r="W405" i="27"/>
  <c r="T404" i="27"/>
  <c r="Z403" i="27"/>
  <c r="V402" i="27"/>
  <c r="AA401" i="27"/>
  <c r="W400" i="27"/>
  <c r="T399" i="27"/>
  <c r="Y398" i="27"/>
  <c r="U397" i="27"/>
  <c r="AA396" i="27"/>
  <c r="X395" i="27"/>
  <c r="S394" i="27"/>
  <c r="X393" i="27"/>
  <c r="U392" i="27"/>
  <c r="AA391" i="27"/>
  <c r="W390" i="27"/>
  <c r="AB389" i="27"/>
  <c r="S389" i="27"/>
  <c r="Y388" i="27"/>
  <c r="U387" i="27"/>
  <c r="AB386" i="27"/>
  <c r="S386" i="27"/>
  <c r="X385" i="27"/>
  <c r="T384" i="27"/>
  <c r="Z383" i="27"/>
  <c r="X382" i="27"/>
  <c r="S381" i="27"/>
  <c r="Y380" i="27"/>
  <c r="V379" i="27"/>
  <c r="AB378" i="27"/>
  <c r="T378" i="27"/>
  <c r="Z377" i="27"/>
  <c r="X376" i="27"/>
  <c r="V375" i="27"/>
  <c r="AB374" i="27"/>
  <c r="T374" i="27"/>
  <c r="Z373" i="27"/>
  <c r="X372" i="27"/>
  <c r="V371" i="27"/>
  <c r="AB370" i="27"/>
  <c r="T370" i="27"/>
  <c r="Z369" i="27"/>
  <c r="X368" i="27"/>
  <c r="V367" i="27"/>
  <c r="AB366" i="27"/>
  <c r="T366" i="27"/>
  <c r="Z365" i="27"/>
  <c r="X364" i="27"/>
  <c r="V363" i="27"/>
  <c r="AB362" i="27"/>
  <c r="T362" i="27"/>
  <c r="Z361" i="27"/>
  <c r="X360" i="27"/>
  <c r="V359" i="27"/>
  <c r="AB358" i="27"/>
  <c r="T358" i="27"/>
  <c r="Z357" i="27"/>
  <c r="X356" i="27"/>
  <c r="V355" i="27"/>
  <c r="AB354" i="27"/>
  <c r="T354" i="27"/>
  <c r="Z353" i="27"/>
  <c r="X352" i="27"/>
  <c r="V351" i="27"/>
  <c r="AB350" i="27"/>
  <c r="T350" i="27"/>
  <c r="Z349" i="27"/>
  <c r="X348" i="27"/>
  <c r="V347" i="27"/>
  <c r="AB346" i="27"/>
  <c r="T346" i="27"/>
  <c r="Z345" i="27"/>
  <c r="X344" i="27"/>
  <c r="V343" i="27"/>
  <c r="AB342" i="27"/>
  <c r="T342" i="27"/>
  <c r="Z341" i="27"/>
  <c r="X340" i="27"/>
  <c r="V339" i="27"/>
  <c r="AB338" i="27"/>
  <c r="T338" i="27"/>
  <c r="Z337" i="27"/>
  <c r="X336" i="27"/>
  <c r="V335" i="27"/>
  <c r="AB334" i="27"/>
  <c r="T334" i="27"/>
  <c r="Z333" i="27"/>
  <c r="X332" i="27"/>
  <c r="V331" i="27"/>
  <c r="AB330" i="27"/>
  <c r="T330" i="27"/>
  <c r="Z329" i="27"/>
  <c r="X328" i="27"/>
  <c r="V327" i="27"/>
  <c r="AB326" i="27"/>
  <c r="T326" i="27"/>
  <c r="Z325" i="27"/>
  <c r="X324" i="27"/>
  <c r="V323" i="27"/>
  <c r="AB322" i="27"/>
  <c r="T322" i="27"/>
  <c r="Z321" i="27"/>
  <c r="X320" i="27"/>
  <c r="V319" i="27"/>
  <c r="AB318" i="27"/>
  <c r="T318" i="27"/>
  <c r="Z317" i="27"/>
  <c r="X316" i="27"/>
  <c r="V315" i="27"/>
  <c r="AB314" i="27"/>
  <c r="T314" i="27"/>
  <c r="Z313" i="27"/>
  <c r="X312" i="27"/>
  <c r="V311" i="27"/>
  <c r="AB310" i="27"/>
  <c r="T310" i="27"/>
  <c r="Z309" i="27"/>
  <c r="X308" i="27"/>
  <c r="V307" i="27"/>
  <c r="AB306" i="27"/>
  <c r="T306" i="27"/>
  <c r="Z305" i="27"/>
  <c r="X304" i="27"/>
  <c r="V303" i="27"/>
  <c r="AB302" i="27"/>
  <c r="T302" i="27"/>
  <c r="Z301" i="27"/>
  <c r="X300" i="27"/>
  <c r="V299" i="27"/>
  <c r="AB298" i="27"/>
  <c r="T298" i="27"/>
  <c r="Z297" i="27"/>
  <c r="X296" i="27"/>
  <c r="V295" i="27"/>
  <c r="AB294" i="27"/>
  <c r="T294" i="27"/>
  <c r="Z293" i="27"/>
  <c r="X292" i="27"/>
  <c r="V291" i="27"/>
  <c r="AB290" i="27"/>
  <c r="T290" i="27"/>
  <c r="Z289" i="27"/>
  <c r="X288" i="27"/>
  <c r="V287" i="27"/>
  <c r="AB286" i="27"/>
  <c r="T286" i="27"/>
  <c r="Z285" i="27"/>
  <c r="X284" i="27"/>
  <c r="V283" i="27"/>
  <c r="AB282" i="27"/>
  <c r="AB805" i="27"/>
  <c r="U789" i="27"/>
  <c r="S766" i="27"/>
  <c r="S760" i="27"/>
  <c r="X739" i="27"/>
  <c r="Z731" i="27"/>
  <c r="X702" i="27"/>
  <c r="X690" i="27"/>
  <c r="AA675" i="27"/>
  <c r="Z651" i="27"/>
  <c r="V646" i="27"/>
  <c r="AB638" i="27"/>
  <c r="AA619" i="27"/>
  <c r="Y611" i="27"/>
  <c r="W603" i="27"/>
  <c r="U600" i="27"/>
  <c r="S597" i="27"/>
  <c r="S594" i="27"/>
  <c r="AB591" i="27"/>
  <c r="S587" i="27"/>
  <c r="AA580" i="27"/>
  <c r="V576" i="27"/>
  <c r="AA575" i="27"/>
  <c r="W574" i="27"/>
  <c r="T573" i="27"/>
  <c r="Z572" i="27"/>
  <c r="X571" i="27"/>
  <c r="U570" i="27"/>
  <c r="Z569" i="27"/>
  <c r="Y568" i="27"/>
  <c r="T567" i="27"/>
  <c r="T566" i="27"/>
  <c r="V565" i="27"/>
  <c r="T564" i="27"/>
  <c r="S562" i="27"/>
  <c r="W561" i="27"/>
  <c r="AB554" i="27"/>
  <c r="Z553" i="27"/>
  <c r="W552" i="27"/>
  <c r="X551" i="27"/>
  <c r="AB550" i="27"/>
  <c r="S546" i="27"/>
  <c r="U545" i="27"/>
  <c r="W544" i="27"/>
  <c r="X543" i="27"/>
  <c r="AB542" i="27"/>
  <c r="S540" i="27"/>
  <c r="Y539" i="27"/>
  <c r="V536" i="27"/>
  <c r="AA535" i="27"/>
  <c r="S534" i="27"/>
  <c r="X533" i="27"/>
  <c r="X532" i="27"/>
  <c r="AB531" i="27"/>
  <c r="T530" i="27"/>
  <c r="AA529" i="27"/>
  <c r="S528" i="27"/>
  <c r="Y527" i="27"/>
  <c r="Z526" i="27"/>
  <c r="V524" i="27"/>
  <c r="Z523" i="27"/>
  <c r="S522" i="27"/>
  <c r="X521" i="27"/>
  <c r="S520" i="27"/>
  <c r="X519" i="27"/>
  <c r="AA518" i="27"/>
  <c r="U517" i="27"/>
  <c r="AA516" i="27"/>
  <c r="U515" i="27"/>
  <c r="X514" i="27"/>
  <c r="S513" i="27"/>
  <c r="Y512" i="27"/>
  <c r="V510" i="27"/>
  <c r="AA509" i="27"/>
  <c r="V508" i="27"/>
  <c r="Z507" i="27"/>
  <c r="S506" i="27"/>
  <c r="X505" i="27"/>
  <c r="S504" i="27"/>
  <c r="X503" i="27"/>
  <c r="AA502" i="27"/>
  <c r="U501" i="27"/>
  <c r="AA500" i="27"/>
  <c r="U499" i="27"/>
  <c r="X498" i="27"/>
  <c r="S497" i="27"/>
  <c r="Y496" i="27"/>
  <c r="V494" i="27"/>
  <c r="AA493" i="27"/>
  <c r="V492" i="27"/>
  <c r="Z491" i="27"/>
  <c r="S490" i="27"/>
  <c r="X489" i="27"/>
  <c r="S488" i="27"/>
  <c r="X487" i="27"/>
  <c r="AA486" i="27"/>
  <c r="U485" i="27"/>
  <c r="AA484" i="27"/>
  <c r="U483" i="27"/>
  <c r="X482" i="27"/>
  <c r="S481" i="27"/>
  <c r="Y480" i="27"/>
  <c r="V478" i="27"/>
  <c r="AA477" i="27"/>
  <c r="V476" i="27"/>
  <c r="Z475" i="27"/>
  <c r="S474" i="27"/>
  <c r="X473" i="27"/>
  <c r="S472" i="27"/>
  <c r="X471" i="27"/>
  <c r="AA470" i="27"/>
  <c r="U469" i="27"/>
  <c r="AA468" i="27"/>
  <c r="U467" i="27"/>
  <c r="X466" i="27"/>
  <c r="S465" i="27"/>
  <c r="Y464" i="27"/>
  <c r="V462" i="27"/>
  <c r="AA461" i="27"/>
  <c r="V460" i="27"/>
  <c r="Z459" i="27"/>
  <c r="S458" i="27"/>
  <c r="X457" i="27"/>
  <c r="S456" i="27"/>
  <c r="X455" i="27"/>
  <c r="AA454" i="27"/>
  <c r="U453" i="27"/>
  <c r="AA452" i="27"/>
  <c r="U451" i="27"/>
  <c r="X450" i="27"/>
  <c r="S449" i="27"/>
  <c r="Y448" i="27"/>
  <c r="V446" i="27"/>
  <c r="AA445" i="27"/>
  <c r="V444" i="27"/>
  <c r="Z443" i="27"/>
  <c r="S442" i="27"/>
  <c r="X441" i="27"/>
  <c r="S440" i="27"/>
  <c r="X439" i="27"/>
  <c r="AA438" i="27"/>
  <c r="V437" i="27"/>
  <c r="AB436" i="27"/>
  <c r="S436" i="27"/>
  <c r="Y435" i="27"/>
  <c r="U434" i="27"/>
  <c r="Y433" i="27"/>
  <c r="V432" i="27"/>
  <c r="AB431" i="27"/>
  <c r="S431" i="27"/>
  <c r="X430" i="27"/>
  <c r="T429" i="27"/>
  <c r="Z428" i="27"/>
  <c r="W427" i="27"/>
  <c r="AA426" i="27"/>
  <c r="W425" i="27"/>
  <c r="T424" i="27"/>
  <c r="Z423" i="27"/>
  <c r="V422" i="27"/>
  <c r="AA421" i="27"/>
  <c r="W420" i="27"/>
  <c r="T419" i="27"/>
  <c r="Y418" i="27"/>
  <c r="U417" i="27"/>
  <c r="AA416" i="27"/>
  <c r="X415" i="27"/>
  <c r="S414" i="27"/>
  <c r="X413" i="27"/>
  <c r="U412" i="27"/>
  <c r="AA411" i="27"/>
  <c r="W410" i="27"/>
  <c r="AB409" i="27"/>
  <c r="S409" i="27"/>
  <c r="Y408" i="27"/>
  <c r="U407" i="27"/>
  <c r="Z406" i="27"/>
  <c r="V405" i="27"/>
  <c r="AB404" i="27"/>
  <c r="S404" i="27"/>
  <c r="Y403" i="27"/>
  <c r="U402" i="27"/>
  <c r="Y401" i="27"/>
  <c r="V400" i="27"/>
  <c r="AB399" i="27"/>
  <c r="S399" i="27"/>
  <c r="X398" i="27"/>
  <c r="T397" i="27"/>
  <c r="Z396" i="27"/>
  <c r="W395" i="27"/>
  <c r="AA394" i="27"/>
  <c r="W393" i="27"/>
  <c r="T392" i="27"/>
  <c r="Z391" i="27"/>
  <c r="V390" i="27"/>
  <c r="AA389" i="27"/>
  <c r="W388" i="27"/>
  <c r="T387" i="27"/>
  <c r="AA386" i="27"/>
  <c r="W385" i="27"/>
  <c r="AB384" i="27"/>
  <c r="S384" i="27"/>
  <c r="Y383" i="27"/>
  <c r="W382" i="27"/>
  <c r="AA381" i="27"/>
  <c r="X380" i="27"/>
  <c r="U379" i="27"/>
  <c r="AA378" i="27"/>
  <c r="S378" i="27"/>
  <c r="Y377" i="27"/>
  <c r="W376" i="27"/>
  <c r="U375" i="27"/>
  <c r="AA374" i="27"/>
  <c r="S374" i="27"/>
  <c r="Y373" i="27"/>
  <c r="W372" i="27"/>
  <c r="U371" i="27"/>
  <c r="AA370" i="27"/>
  <c r="S370" i="27"/>
  <c r="Y369" i="27"/>
  <c r="W368" i="27"/>
  <c r="U367" i="27"/>
  <c r="AA366" i="27"/>
  <c r="S366" i="27"/>
  <c r="Y365" i="27"/>
  <c r="W364" i="27"/>
  <c r="U363" i="27"/>
  <c r="AA362" i="27"/>
  <c r="S362" i="27"/>
  <c r="Y361" i="27"/>
  <c r="W360" i="27"/>
  <c r="U359" i="27"/>
  <c r="AA358" i="27"/>
  <c r="S358" i="27"/>
  <c r="Y357" i="27"/>
  <c r="W356" i="27"/>
  <c r="U355" i="27"/>
  <c r="AA354" i="27"/>
  <c r="S354" i="27"/>
  <c r="Y353" i="27"/>
  <c r="W352" i="27"/>
  <c r="U351" i="27"/>
  <c r="AA350" i="27"/>
  <c r="S350" i="27"/>
  <c r="Y349" i="27"/>
  <c r="W348" i="27"/>
  <c r="U347" i="27"/>
  <c r="AA346" i="27"/>
  <c r="S346" i="27"/>
  <c r="Y345" i="27"/>
  <c r="W344" i="27"/>
  <c r="U343" i="27"/>
  <c r="AA342" i="27"/>
  <c r="S342" i="27"/>
  <c r="Y341" i="27"/>
  <c r="W340" i="27"/>
  <c r="U339" i="27"/>
  <c r="AA338" i="27"/>
  <c r="S338" i="27"/>
  <c r="Y337" i="27"/>
  <c r="W336" i="27"/>
  <c r="U335" i="27"/>
  <c r="AA334" i="27"/>
  <c r="S334" i="27"/>
  <c r="Y333" i="27"/>
  <c r="W332" i="27"/>
  <c r="U331" i="27"/>
  <c r="AA330" i="27"/>
  <c r="S330" i="27"/>
  <c r="Y329" i="27"/>
  <c r="W328" i="27"/>
  <c r="U327" i="27"/>
  <c r="AA326" i="27"/>
  <c r="S326" i="27"/>
  <c r="Y325" i="27"/>
  <c r="W324" i="27"/>
  <c r="U323" i="27"/>
  <c r="AA322" i="27"/>
  <c r="S322" i="27"/>
  <c r="Y321" i="27"/>
  <c r="W320" i="27"/>
  <c r="U319" i="27"/>
  <c r="AA318" i="27"/>
  <c r="S318" i="27"/>
  <c r="Y317" i="27"/>
  <c r="W316" i="27"/>
  <c r="U315" i="27"/>
  <c r="AA314" i="27"/>
  <c r="S314" i="27"/>
  <c r="Y313" i="27"/>
  <c r="W312" i="27"/>
  <c r="U311" i="27"/>
  <c r="AA310" i="27"/>
  <c r="S310" i="27"/>
  <c r="Y309" i="27"/>
  <c r="W308" i="27"/>
  <c r="U307" i="27"/>
  <c r="AA306" i="27"/>
  <c r="S306" i="27"/>
  <c r="Y305" i="27"/>
  <c r="W304" i="27"/>
  <c r="U303" i="27"/>
  <c r="AA302" i="27"/>
  <c r="S302" i="27"/>
  <c r="Y301" i="27"/>
  <c r="W300" i="27"/>
  <c r="U299" i="27"/>
  <c r="AA298" i="27"/>
  <c r="S298" i="27"/>
  <c r="Y297" i="27"/>
  <c r="W296" i="27"/>
  <c r="U295" i="27"/>
  <c r="AA294" i="27"/>
  <c r="S294" i="27"/>
  <c r="Y293" i="27"/>
  <c r="W292" i="27"/>
  <c r="U291" i="27"/>
  <c r="AA290" i="27"/>
  <c r="S290" i="27"/>
  <c r="Y289" i="27"/>
  <c r="W288" i="27"/>
  <c r="U287" i="27"/>
  <c r="AA286" i="27"/>
  <c r="S286" i="27"/>
  <c r="Y285" i="27"/>
  <c r="W284" i="27"/>
  <c r="U283" i="27"/>
  <c r="AA282" i="27"/>
  <c r="S282" i="27"/>
  <c r="Y281" i="27"/>
  <c r="W280" i="27"/>
  <c r="U279" i="27"/>
  <c r="AA278" i="27"/>
  <c r="S278" i="27"/>
  <c r="Y277" i="27"/>
  <c r="W276" i="27"/>
  <c r="U275" i="27"/>
  <c r="AA274" i="27"/>
  <c r="S274" i="27"/>
  <c r="Y273" i="27"/>
  <c r="W272" i="27"/>
  <c r="U793" i="27"/>
  <c r="Y763" i="27"/>
  <c r="X734" i="27"/>
  <c r="AB705" i="27"/>
  <c r="X697" i="27"/>
  <c r="AB685" i="27"/>
  <c r="AA680" i="27"/>
  <c r="W666" i="27"/>
  <c r="W661" i="27"/>
  <c r="X656" i="27"/>
  <c r="Z641" i="27"/>
  <c r="T633" i="27"/>
  <c r="V625" i="27"/>
  <c r="T622" i="27"/>
  <c r="AA614" i="27"/>
  <c r="X606" i="27"/>
  <c r="S591" i="27"/>
  <c r="U588" i="27"/>
  <c r="AB584" i="27"/>
  <c r="U576" i="27"/>
  <c r="Y575" i="27"/>
  <c r="U574" i="27"/>
  <c r="S573" i="27"/>
  <c r="W572" i="27"/>
  <c r="U571" i="27"/>
  <c r="S570" i="27"/>
  <c r="T569" i="27"/>
  <c r="W568" i="27"/>
  <c r="S566" i="27"/>
  <c r="W555" i="27"/>
  <c r="Y554" i="27"/>
  <c r="X553" i="27"/>
  <c r="V552" i="27"/>
  <c r="U551" i="27"/>
  <c r="AA550" i="27"/>
  <c r="V544" i="27"/>
  <c r="V543" i="27"/>
  <c r="Z542" i="27"/>
  <c r="X539" i="27"/>
  <c r="AA538" i="27"/>
  <c r="U536" i="27"/>
  <c r="X535" i="27"/>
  <c r="W533" i="27"/>
  <c r="W532" i="27"/>
  <c r="AA531" i="27"/>
  <c r="S530" i="27"/>
  <c r="Z529" i="27"/>
  <c r="X527" i="27"/>
  <c r="X526" i="27"/>
  <c r="AB525" i="27"/>
  <c r="T524" i="27"/>
  <c r="Y523" i="27"/>
  <c r="V521" i="27"/>
  <c r="AB520" i="27"/>
  <c r="W519" i="27"/>
  <c r="Z518" i="27"/>
  <c r="T517" i="27"/>
  <c r="Z516" i="27"/>
  <c r="T515" i="27"/>
  <c r="W514" i="27"/>
  <c r="AB513" i="27"/>
  <c r="W512" i="27"/>
  <c r="AB511" i="27"/>
  <c r="U510" i="27"/>
  <c r="Y509" i="27"/>
  <c r="T508" i="27"/>
  <c r="Y507" i="27"/>
  <c r="V505" i="27"/>
  <c r="AB504" i="27"/>
  <c r="W503" i="27"/>
  <c r="Z502" i="27"/>
  <c r="T501" i="27"/>
  <c r="Z500" i="27"/>
  <c r="T499" i="27"/>
  <c r="W498" i="27"/>
  <c r="AB497" i="27"/>
  <c r="W496" i="27"/>
  <c r="AB495" i="27"/>
  <c r="U494" i="27"/>
  <c r="Y493" i="27"/>
  <c r="T492" i="27"/>
  <c r="Y491" i="27"/>
  <c r="V489" i="27"/>
  <c r="AB488" i="27"/>
  <c r="W487" i="27"/>
  <c r="Z486" i="27"/>
  <c r="T485" i="27"/>
  <c r="Z484" i="27"/>
  <c r="T483" i="27"/>
  <c r="W482" i="27"/>
  <c r="AB481" i="27"/>
  <c r="W480" i="27"/>
  <c r="AB479" i="27"/>
  <c r="U478" i="27"/>
  <c r="Y477" i="27"/>
  <c r="T476" i="27"/>
  <c r="Y475" i="27"/>
  <c r="V473" i="27"/>
  <c r="AB472" i="27"/>
  <c r="W471" i="27"/>
  <c r="Z470" i="27"/>
  <c r="T469" i="27"/>
  <c r="Z468" i="27"/>
  <c r="T467" i="27"/>
  <c r="W466" i="27"/>
  <c r="AB465" i="27"/>
  <c r="W464" i="27"/>
  <c r="AB463" i="27"/>
  <c r="U462" i="27"/>
  <c r="Y461" i="27"/>
  <c r="T460" i="27"/>
  <c r="Y459" i="27"/>
  <c r="V457" i="27"/>
  <c r="AB456" i="27"/>
  <c r="W455" i="27"/>
  <c r="Z454" i="27"/>
  <c r="T453" i="27"/>
  <c r="Z452" i="27"/>
  <c r="T451" i="27"/>
  <c r="W450" i="27"/>
  <c r="AB449" i="27"/>
  <c r="W448" i="27"/>
  <c r="AB447" i="27"/>
  <c r="U446" i="27"/>
  <c r="Y445" i="27"/>
  <c r="T444" i="27"/>
  <c r="Y443" i="27"/>
  <c r="V441" i="27"/>
  <c r="AB440" i="27"/>
  <c r="W439" i="27"/>
  <c r="Z438" i="27"/>
  <c r="U437" i="27"/>
  <c r="AA436" i="27"/>
  <c r="X435" i="27"/>
  <c r="S434" i="27"/>
  <c r="X433" i="27"/>
  <c r="U432" i="27"/>
  <c r="AA431" i="27"/>
  <c r="W430" i="27"/>
  <c r="AB429" i="27"/>
  <c r="S429" i="27"/>
  <c r="Y428" i="27"/>
  <c r="U427" i="27"/>
  <c r="Z426" i="27"/>
  <c r="V425" i="27"/>
  <c r="AB424" i="27"/>
  <c r="S424" i="27"/>
  <c r="Y423" i="27"/>
  <c r="U422" i="27"/>
  <c r="Y421" i="27"/>
  <c r="V420" i="27"/>
  <c r="AB419" i="27"/>
  <c r="S419" i="27"/>
  <c r="X418" i="27"/>
  <c r="T417" i="27"/>
  <c r="Z416" i="27"/>
  <c r="W415" i="27"/>
  <c r="AA414" i="27"/>
  <c r="W413" i="27"/>
  <c r="T412" i="27"/>
  <c r="Z411" i="27"/>
  <c r="V410" i="27"/>
  <c r="AA409" i="27"/>
  <c r="W408" i="27"/>
  <c r="T407" i="27"/>
  <c r="Y406" i="27"/>
  <c r="U405" i="27"/>
  <c r="AA404" i="27"/>
  <c r="X403" i="27"/>
  <c r="S402" i="27"/>
  <c r="X401" i="27"/>
  <c r="U400" i="27"/>
  <c r="AA399" i="27"/>
  <c r="W398" i="27"/>
  <c r="AB397" i="27"/>
  <c r="S397" i="27"/>
  <c r="Y396" i="27"/>
  <c r="U395" i="27"/>
  <c r="Z394" i="27"/>
  <c r="V393" i="27"/>
  <c r="AB392" i="27"/>
  <c r="S392" i="27"/>
  <c r="Y391" i="27"/>
  <c r="U390" i="27"/>
  <c r="Y389" i="27"/>
  <c r="V388" i="27"/>
  <c r="AB387" i="27"/>
  <c r="S387" i="27"/>
  <c r="Z386" i="27"/>
  <c r="Z790" i="27"/>
  <c r="AB737" i="27"/>
  <c r="V729" i="27"/>
  <c r="AB708" i="27"/>
  <c r="T700" i="27"/>
  <c r="V688" i="27"/>
  <c r="Y671" i="27"/>
  <c r="T649" i="27"/>
  <c r="W644" i="27"/>
  <c r="AA636" i="27"/>
  <c r="Y628" i="27"/>
  <c r="T617" i="27"/>
  <c r="AA609" i="27"/>
  <c r="V598" i="27"/>
  <c r="W595" i="27"/>
  <c r="S584" i="27"/>
  <c r="Z577" i="27"/>
  <c r="S576" i="27"/>
  <c r="S575" i="27"/>
  <c r="S569" i="27"/>
  <c r="AA556" i="27"/>
  <c r="V555" i="27"/>
  <c r="T554" i="27"/>
  <c r="V553" i="27"/>
  <c r="T552" i="27"/>
  <c r="T551" i="27"/>
  <c r="Y550" i="27"/>
  <c r="AB549" i="27"/>
  <c r="T544" i="27"/>
  <c r="U543" i="27"/>
  <c r="W542" i="27"/>
  <c r="AB541" i="27"/>
  <c r="W539" i="27"/>
  <c r="Y538" i="27"/>
  <c r="T536" i="27"/>
  <c r="V535" i="27"/>
  <c r="AB534" i="27"/>
  <c r="T533" i="27"/>
  <c r="V532" i="27"/>
  <c r="X531" i="27"/>
  <c r="Y529" i="27"/>
  <c r="Z794" i="27"/>
  <c r="S764" i="27"/>
  <c r="V761" i="27"/>
  <c r="AB740" i="27"/>
  <c r="T732" i="27"/>
  <c r="AA703" i="27"/>
  <c r="S691" i="27"/>
  <c r="Z676" i="27"/>
  <c r="T652" i="27"/>
  <c r="W639" i="27"/>
  <c r="W620" i="27"/>
  <c r="T612" i="27"/>
  <c r="AA604" i="27"/>
  <c r="Y601" i="27"/>
  <c r="V592" i="27"/>
  <c r="V585" i="27"/>
  <c r="T581" i="27"/>
  <c r="X577" i="27"/>
  <c r="AA557" i="27"/>
  <c r="Z556" i="27"/>
  <c r="T555" i="27"/>
  <c r="S554" i="27"/>
  <c r="U550" i="27"/>
  <c r="Z549" i="27"/>
  <c r="Y548" i="27"/>
  <c r="AB547" i="27"/>
  <c r="S543" i="27"/>
  <c r="U542" i="27"/>
  <c r="AA541" i="27"/>
  <c r="T539" i="27"/>
  <c r="X538" i="27"/>
  <c r="Z537" i="27"/>
  <c r="U535" i="27"/>
  <c r="AA534" i="27"/>
  <c r="U532" i="27"/>
  <c r="V531" i="27"/>
  <c r="AB530" i="27"/>
  <c r="V529" i="27"/>
  <c r="AA528" i="27"/>
  <c r="T527" i="27"/>
  <c r="V526" i="27"/>
  <c r="X525" i="27"/>
  <c r="W523" i="27"/>
  <c r="Z522" i="27"/>
  <c r="T521" i="27"/>
  <c r="Z520" i="27"/>
  <c r="T519" i="27"/>
  <c r="W518" i="27"/>
  <c r="AB517" i="27"/>
  <c r="W516" i="27"/>
  <c r="AB515" i="27"/>
  <c r="U514" i="27"/>
  <c r="Y513" i="27"/>
  <c r="T512" i="27"/>
  <c r="Y511" i="27"/>
  <c r="V509" i="27"/>
  <c r="AB508" i="27"/>
  <c r="W507" i="27"/>
  <c r="Z506" i="27"/>
  <c r="T505" i="27"/>
  <c r="Z504" i="27"/>
  <c r="T503" i="27"/>
  <c r="W502" i="27"/>
  <c r="AB501" i="27"/>
  <c r="W500" i="27"/>
  <c r="AB499" i="27"/>
  <c r="U498" i="27"/>
  <c r="Y497" i="27"/>
  <c r="T496" i="27"/>
  <c r="Y495" i="27"/>
  <c r="V493" i="27"/>
  <c r="AB492" i="27"/>
  <c r="W491" i="27"/>
  <c r="Z490" i="27"/>
  <c r="T489" i="27"/>
  <c r="Z488" i="27"/>
  <c r="T487" i="27"/>
  <c r="W486" i="27"/>
  <c r="AB485" i="27"/>
  <c r="W484" i="27"/>
  <c r="AB483" i="27"/>
  <c r="U482" i="27"/>
  <c r="Y481" i="27"/>
  <c r="T480" i="27"/>
  <c r="Y479" i="27"/>
  <c r="V477" i="27"/>
  <c r="AB476" i="27"/>
  <c r="W475" i="27"/>
  <c r="Z474" i="27"/>
  <c r="T473" i="27"/>
  <c r="Z472" i="27"/>
  <c r="T471" i="27"/>
  <c r="W470" i="27"/>
  <c r="AB469" i="27"/>
  <c r="W468" i="27"/>
  <c r="AB467" i="27"/>
  <c r="U466" i="27"/>
  <c r="Y465" i="27"/>
  <c r="T464" i="27"/>
  <c r="Y463" i="27"/>
  <c r="V461" i="27"/>
  <c r="AB460" i="27"/>
  <c r="W459" i="27"/>
  <c r="Z458" i="27"/>
  <c r="T457" i="27"/>
  <c r="Z456" i="27"/>
  <c r="T455" i="27"/>
  <c r="W454" i="27"/>
  <c r="AB453" i="27"/>
  <c r="W452" i="27"/>
  <c r="AB451" i="27"/>
  <c r="U450" i="27"/>
  <c r="Y449" i="27"/>
  <c r="T448" i="27"/>
  <c r="Y447" i="27"/>
  <c r="V445" i="27"/>
  <c r="AB444" i="27"/>
  <c r="W443" i="27"/>
  <c r="Z442" i="27"/>
  <c r="T441" i="27"/>
  <c r="Z440" i="27"/>
  <c r="T439" i="27"/>
  <c r="W438" i="27"/>
  <c r="AB437" i="27"/>
  <c r="S437" i="27"/>
  <c r="Y436" i="27"/>
  <c r="U435" i="27"/>
  <c r="Z434" i="27"/>
  <c r="V433" i="27"/>
  <c r="AB432" i="27"/>
  <c r="S432" i="27"/>
  <c r="Y431" i="27"/>
  <c r="U430" i="27"/>
  <c r="Y429" i="27"/>
  <c r="V428" i="27"/>
  <c r="AB427" i="27"/>
  <c r="S427" i="27"/>
  <c r="X426" i="27"/>
  <c r="T425" i="27"/>
  <c r="Z424" i="27"/>
  <c r="W423" i="27"/>
  <c r="AA422" i="27"/>
  <c r="W421" i="27"/>
  <c r="T420" i="27"/>
  <c r="Z419" i="27"/>
  <c r="V418" i="27"/>
  <c r="AA417" i="27"/>
  <c r="W416" i="27"/>
  <c r="T415" i="27"/>
  <c r="Y414" i="27"/>
  <c r="U413" i="27"/>
  <c r="AA412" i="27"/>
  <c r="X411" i="27"/>
  <c r="S410" i="27"/>
  <c r="X409" i="27"/>
  <c r="U408" i="27"/>
  <c r="AA407" i="27"/>
  <c r="W406" i="27"/>
  <c r="AB405" i="27"/>
  <c r="S405" i="27"/>
  <c r="Y404" i="27"/>
  <c r="U403" i="27"/>
  <c r="Z402" i="27"/>
  <c r="V401" i="27"/>
  <c r="AB400" i="27"/>
  <c r="S400" i="27"/>
  <c r="Y399" i="27"/>
  <c r="U398" i="27"/>
  <c r="Y397" i="27"/>
  <c r="V396" i="27"/>
  <c r="AB395" i="27"/>
  <c r="S395" i="27"/>
  <c r="X394" i="27"/>
  <c r="T393" i="27"/>
  <c r="Z392" i="27"/>
  <c r="W391" i="27"/>
  <c r="AA390" i="27"/>
  <c r="W389" i="27"/>
  <c r="T388" i="27"/>
  <c r="Z387" i="27"/>
  <c r="AA735" i="27"/>
  <c r="Y686" i="27"/>
  <c r="U657" i="27"/>
  <c r="Y626" i="27"/>
  <c r="AA530" i="27"/>
  <c r="U526" i="27"/>
  <c r="X522" i="27"/>
  <c r="Z515" i="27"/>
  <c r="X511" i="27"/>
  <c r="U507" i="27"/>
  <c r="Y500" i="27"/>
  <c r="S496" i="27"/>
  <c r="S492" i="27"/>
  <c r="Y488" i="27"/>
  <c r="AA485" i="27"/>
  <c r="X481" i="27"/>
  <c r="U477" i="27"/>
  <c r="S473" i="27"/>
  <c r="X470" i="27"/>
  <c r="S466" i="27"/>
  <c r="S462" i="27"/>
  <c r="X458" i="27"/>
  <c r="Z451" i="27"/>
  <c r="X447" i="27"/>
  <c r="U443" i="27"/>
  <c r="Z436" i="27"/>
  <c r="AA432" i="27"/>
  <c r="W428" i="27"/>
  <c r="U423" i="27"/>
  <c r="AA419" i="27"/>
  <c r="Z414" i="27"/>
  <c r="W409" i="27"/>
  <c r="AA405" i="27"/>
  <c r="W401" i="27"/>
  <c r="AA397" i="27"/>
  <c r="AB393" i="27"/>
  <c r="Y392" i="27"/>
  <c r="U388" i="27"/>
  <c r="T382" i="27"/>
  <c r="X381" i="27"/>
  <c r="U380" i="27"/>
  <c r="AA379" i="27"/>
  <c r="Z378" i="27"/>
  <c r="X377" i="27"/>
  <c r="AB376" i="27"/>
  <c r="T372" i="27"/>
  <c r="Z371" i="27"/>
  <c r="Z370" i="27"/>
  <c r="X369" i="27"/>
  <c r="AB368" i="27"/>
  <c r="T364" i="27"/>
  <c r="Z363" i="27"/>
  <c r="Z362" i="27"/>
  <c r="X361" i="27"/>
  <c r="AB360" i="27"/>
  <c r="T357" i="27"/>
  <c r="V356" i="27"/>
  <c r="AB355" i="27"/>
  <c r="U353" i="27"/>
  <c r="Z352" i="27"/>
  <c r="V350" i="27"/>
  <c r="V349" i="27"/>
  <c r="AA348" i="27"/>
  <c r="S347" i="27"/>
  <c r="W346" i="27"/>
  <c r="W345" i="27"/>
  <c r="AB344" i="27"/>
  <c r="T343" i="27"/>
  <c r="X342" i="27"/>
  <c r="X341" i="27"/>
  <c r="X339" i="27"/>
  <c r="Y338" i="27"/>
  <c r="AB337" i="27"/>
  <c r="S336" i="27"/>
  <c r="Y335" i="27"/>
  <c r="Z334" i="27"/>
  <c r="T332" i="27"/>
  <c r="Z331" i="27"/>
  <c r="U328" i="27"/>
  <c r="AA327" i="27"/>
  <c r="T325" i="27"/>
  <c r="V324" i="27"/>
  <c r="AB323" i="27"/>
  <c r="U321" i="27"/>
  <c r="Z320" i="27"/>
  <c r="V318" i="27"/>
  <c r="V317" i="27"/>
  <c r="AA316" i="27"/>
  <c r="S315" i="27"/>
  <c r="W314" i="27"/>
  <c r="W313" i="27"/>
  <c r="AB312" i="27"/>
  <c r="T311" i="27"/>
  <c r="X310" i="27"/>
  <c r="X309" i="27"/>
  <c r="X307" i="27"/>
  <c r="Y306" i="27"/>
  <c r="AB305" i="27"/>
  <c r="S304" i="27"/>
  <c r="Y303" i="27"/>
  <c r="Z302" i="27"/>
  <c r="T300" i="27"/>
  <c r="Z299" i="27"/>
  <c r="U296" i="27"/>
  <c r="AA295" i="27"/>
  <c r="T293" i="27"/>
  <c r="Y292" i="27"/>
  <c r="S291" i="27"/>
  <c r="W290" i="27"/>
  <c r="AA289" i="27"/>
  <c r="U288" i="27"/>
  <c r="AA287" i="27"/>
  <c r="U286" i="27"/>
  <c r="W285" i="27"/>
  <c r="S284" i="27"/>
  <c r="Y283" i="27"/>
  <c r="W281" i="27"/>
  <c r="T280" i="27"/>
  <c r="Z279" i="27"/>
  <c r="V278" i="27"/>
  <c r="AA277" i="27"/>
  <c r="X276" i="27"/>
  <c r="T275" i="27"/>
  <c r="Y274" i="27"/>
  <c r="U273" i="27"/>
  <c r="AA272" i="27"/>
  <c r="X271" i="27"/>
  <c r="V270" i="27"/>
  <c r="AB269" i="27"/>
  <c r="T269" i="27"/>
  <c r="Z268" i="27"/>
  <c r="X267" i="27"/>
  <c r="V266" i="27"/>
  <c r="AB265" i="27"/>
  <c r="T265" i="27"/>
  <c r="Z264" i="27"/>
  <c r="X263" i="27"/>
  <c r="V262" i="27"/>
  <c r="AB261" i="27"/>
  <c r="T261" i="27"/>
  <c r="Z260" i="27"/>
  <c r="X259" i="27"/>
  <c r="W258" i="27"/>
  <c r="U257" i="27"/>
  <c r="AA256" i="27"/>
  <c r="S256" i="27"/>
  <c r="Y255" i="27"/>
  <c r="W254" i="27"/>
  <c r="U253" i="27"/>
  <c r="AA252" i="27"/>
  <c r="S252" i="27"/>
  <c r="Y251" i="27"/>
  <c r="W250" i="27"/>
  <c r="U249" i="27"/>
  <c r="AA248" i="27"/>
  <c r="S248" i="27"/>
  <c r="Y247" i="27"/>
  <c r="W246" i="27"/>
  <c r="U245" i="27"/>
  <c r="AA244" i="27"/>
  <c r="S244" i="27"/>
  <c r="Y243" i="27"/>
  <c r="W242" i="27"/>
  <c r="U241" i="27"/>
  <c r="AA240" i="27"/>
  <c r="S240" i="27"/>
  <c r="Y239" i="27"/>
  <c r="W238" i="27"/>
  <c r="U237" i="27"/>
  <c r="AA236" i="27"/>
  <c r="S236" i="27"/>
  <c r="Y235" i="27"/>
  <c r="W234" i="27"/>
  <c r="U233" i="27"/>
  <c r="AA232" i="27"/>
  <c r="S232" i="27"/>
  <c r="Y231" i="27"/>
  <c r="W230" i="27"/>
  <c r="U229" i="27"/>
  <c r="AA228" i="27"/>
  <c r="S228" i="27"/>
  <c r="Y227" i="27"/>
  <c r="W226" i="27"/>
  <c r="U225" i="27"/>
  <c r="AA224" i="27"/>
  <c r="S224" i="27"/>
  <c r="Y223" i="27"/>
  <c r="W222" i="27"/>
  <c r="U221" i="27"/>
  <c r="AA220" i="27"/>
  <c r="S220" i="27"/>
  <c r="Y219" i="27"/>
  <c r="W218" i="27"/>
  <c r="U217" i="27"/>
  <c r="AA216" i="27"/>
  <c r="S216" i="27"/>
  <c r="Y215" i="27"/>
  <c r="W214" i="27"/>
  <c r="U213" i="27"/>
  <c r="AA212" i="27"/>
  <c r="S212" i="27"/>
  <c r="Y211" i="27"/>
  <c r="W210" i="27"/>
  <c r="U209" i="27"/>
  <c r="AA208" i="27"/>
  <c r="S208" i="27"/>
  <c r="Y207" i="27"/>
  <c r="W206" i="27"/>
  <c r="U205" i="27"/>
  <c r="AA204" i="27"/>
  <c r="S204" i="27"/>
  <c r="Y203" i="27"/>
  <c r="V727" i="27"/>
  <c r="X556" i="27"/>
  <c r="T535" i="27"/>
  <c r="X523" i="27"/>
  <c r="U519" i="27"/>
  <c r="V512" i="27"/>
  <c r="AA508" i="27"/>
  <c r="AA504" i="27"/>
  <c r="V500" i="27"/>
  <c r="AA497" i="27"/>
  <c r="X493" i="27"/>
  <c r="U489" i="27"/>
  <c r="S485" i="27"/>
  <c r="V482" i="27"/>
  <c r="AA478" i="27"/>
  <c r="AA474" i="27"/>
  <c r="V470" i="27"/>
  <c r="Z463" i="27"/>
  <c r="X459" i="27"/>
  <c r="U455" i="27"/>
  <c r="V448" i="27"/>
  <c r="AA444" i="27"/>
  <c r="AA440" i="27"/>
  <c r="W436" i="27"/>
  <c r="T432" i="27"/>
  <c r="U428" i="27"/>
  <c r="AA424" i="27"/>
  <c r="AB420" i="27"/>
  <c r="Y419" i="27"/>
  <c r="AB415" i="27"/>
  <c r="X414" i="27"/>
  <c r="AA410" i="27"/>
  <c r="T405" i="27"/>
  <c r="U401" i="27"/>
  <c r="X397" i="27"/>
  <c r="U393" i="27"/>
  <c r="X389" i="27"/>
  <c r="S388" i="27"/>
  <c r="S382" i="27"/>
  <c r="W381" i="27"/>
  <c r="T380" i="27"/>
  <c r="Y379" i="27"/>
  <c r="Y378" i="27"/>
  <c r="W377" i="27"/>
  <c r="AA376" i="27"/>
  <c r="S372" i="27"/>
  <c r="Y371" i="27"/>
  <c r="Y370" i="27"/>
  <c r="W369" i="27"/>
  <c r="AA368" i="27"/>
  <c r="S364" i="27"/>
  <c r="Y363" i="27"/>
  <c r="Y362" i="27"/>
  <c r="W361" i="27"/>
  <c r="AA360" i="27"/>
  <c r="U356" i="27"/>
  <c r="AA355" i="27"/>
  <c r="T353" i="27"/>
  <c r="V352" i="27"/>
  <c r="AB351" i="27"/>
  <c r="U349" i="27"/>
  <c r="Z348" i="27"/>
  <c r="V346" i="27"/>
  <c r="V345" i="27"/>
  <c r="AA344" i="27"/>
  <c r="S343" i="27"/>
  <c r="W342" i="27"/>
  <c r="W341" i="27"/>
  <c r="AB340" i="27"/>
  <c r="T339" i="27"/>
  <c r="X338" i="27"/>
  <c r="X337" i="27"/>
  <c r="X335" i="27"/>
  <c r="Y334" i="27"/>
  <c r="AB333" i="27"/>
  <c r="S332" i="27"/>
  <c r="Y331" i="27"/>
  <c r="Z330" i="27"/>
  <c r="T328" i="27"/>
  <c r="Z327" i="27"/>
  <c r="U324" i="27"/>
  <c r="AA323" i="27"/>
  <c r="T321" i="27"/>
  <c r="V320" i="27"/>
  <c r="AB319" i="27"/>
  <c r="U317" i="27"/>
  <c r="Z316" i="27"/>
  <c r="V314" i="27"/>
  <c r="V313" i="27"/>
  <c r="AA312" i="27"/>
  <c r="S311" i="27"/>
  <c r="W310" i="27"/>
  <c r="W309" i="27"/>
  <c r="AB308" i="27"/>
  <c r="T307" i="27"/>
  <c r="X306" i="27"/>
  <c r="X305" i="27"/>
  <c r="X303" i="27"/>
  <c r="Y302" i="27"/>
  <c r="AB301" i="27"/>
  <c r="S300" i="27"/>
  <c r="Y299" i="27"/>
  <c r="Z298" i="27"/>
  <c r="T296" i="27"/>
  <c r="Z295" i="27"/>
  <c r="V292" i="27"/>
  <c r="AB291" i="27"/>
  <c r="V290" i="27"/>
  <c r="X289" i="27"/>
  <c r="T288" i="27"/>
  <c r="Z287" i="27"/>
  <c r="V285" i="27"/>
  <c r="AB284" i="27"/>
  <c r="X283" i="27"/>
  <c r="Z282" i="27"/>
  <c r="V281" i="27"/>
  <c r="AB280" i="27"/>
  <c r="S280" i="27"/>
  <c r="Y279" i="27"/>
  <c r="U278" i="27"/>
  <c r="Z277" i="27"/>
  <c r="V276" i="27"/>
  <c r="AB275" i="27"/>
  <c r="S275" i="27"/>
  <c r="X274" i="27"/>
  <c r="T273" i="27"/>
  <c r="Z272" i="27"/>
  <c r="W271" i="27"/>
  <c r="U270" i="27"/>
  <c r="AA269" i="27"/>
  <c r="S269" i="27"/>
  <c r="Y268" i="27"/>
  <c r="W267" i="27"/>
  <c r="U266" i="27"/>
  <c r="AA265" i="27"/>
  <c r="S265" i="27"/>
  <c r="Y264" i="27"/>
  <c r="W263" i="27"/>
  <c r="U262" i="27"/>
  <c r="AA261" i="27"/>
  <c r="S261" i="27"/>
  <c r="Y260" i="27"/>
  <c r="W259" i="27"/>
  <c r="V258" i="27"/>
  <c r="AB257" i="27"/>
  <c r="T257" i="27"/>
  <c r="Z256" i="27"/>
  <c r="X255" i="27"/>
  <c r="V254" i="27"/>
  <c r="AB253" i="27"/>
  <c r="T253" i="27"/>
  <c r="Z252" i="27"/>
  <c r="X251" i="27"/>
  <c r="V250" i="27"/>
  <c r="AB249" i="27"/>
  <c r="T249" i="27"/>
  <c r="Z248" i="27"/>
  <c r="X247" i="27"/>
  <c r="V246" i="27"/>
  <c r="AB245" i="27"/>
  <c r="T245" i="27"/>
  <c r="Z244" i="27"/>
  <c r="X243" i="27"/>
  <c r="V242" i="27"/>
  <c r="AB241" i="27"/>
  <c r="T241" i="27"/>
  <c r="Z240" i="27"/>
  <c r="X239" i="27"/>
  <c r="V238" i="27"/>
  <c r="AB237" i="27"/>
  <c r="T237" i="27"/>
  <c r="Z236" i="27"/>
  <c r="X235" i="27"/>
  <c r="V234" i="27"/>
  <c r="AB233" i="27"/>
  <c r="T233" i="27"/>
  <c r="Z232" i="27"/>
  <c r="X231" i="27"/>
  <c r="V230" i="27"/>
  <c r="AB229" i="27"/>
  <c r="T229" i="27"/>
  <c r="Z228" i="27"/>
  <c r="X227" i="27"/>
  <c r="V226" i="27"/>
  <c r="AB225" i="27"/>
  <c r="T225" i="27"/>
  <c r="Z224" i="27"/>
  <c r="X223" i="27"/>
  <c r="V222" i="27"/>
  <c r="AB221" i="27"/>
  <c r="T221" i="27"/>
  <c r="Z220" i="27"/>
  <c r="X219" i="27"/>
  <c r="V218" i="27"/>
  <c r="AB217" i="27"/>
  <c r="T217" i="27"/>
  <c r="Z216" i="27"/>
  <c r="X215" i="27"/>
  <c r="V214" i="27"/>
  <c r="AB213" i="27"/>
  <c r="T213" i="27"/>
  <c r="Z212" i="27"/>
  <c r="X211" i="27"/>
  <c r="V210" i="27"/>
  <c r="AB209" i="27"/>
  <c r="T209" i="27"/>
  <c r="Z208" i="27"/>
  <c r="X207" i="27"/>
  <c r="V206" i="27"/>
  <c r="AB205" i="27"/>
  <c r="T205" i="27"/>
  <c r="Z204" i="27"/>
  <c r="X203" i="27"/>
  <c r="W202" i="27"/>
  <c r="U201" i="27"/>
  <c r="AB200" i="27"/>
  <c r="T200" i="27"/>
  <c r="Z199" i="27"/>
  <c r="X198" i="27"/>
  <c r="V197" i="27"/>
  <c r="AB196" i="27"/>
  <c r="T196" i="27"/>
  <c r="AA195" i="27"/>
  <c r="S195" i="27"/>
  <c r="Z194" i="27"/>
  <c r="Y193" i="27"/>
  <c r="X192" i="27"/>
  <c r="V191" i="27"/>
  <c r="Y549" i="27"/>
  <c r="AB546" i="27"/>
  <c r="Y541" i="27"/>
  <c r="W538" i="27"/>
  <c r="W527" i="27"/>
  <c r="U523" i="27"/>
  <c r="Y516" i="27"/>
  <c r="S512" i="27"/>
  <c r="S508" i="27"/>
  <c r="Y504" i="27"/>
  <c r="AA501" i="27"/>
  <c r="X497" i="27"/>
  <c r="U493" i="27"/>
  <c r="S489" i="27"/>
  <c r="X486" i="27"/>
  <c r="S482" i="27"/>
  <c r="S478" i="27"/>
  <c r="X474" i="27"/>
  <c r="Z467" i="27"/>
  <c r="X463" i="27"/>
  <c r="U459" i="27"/>
  <c r="Y452" i="27"/>
  <c r="S448" i="27"/>
  <c r="S444" i="27"/>
  <c r="Y440" i="27"/>
  <c r="AA437" i="27"/>
  <c r="W433" i="27"/>
  <c r="AA429" i="27"/>
  <c r="AB425" i="27"/>
  <c r="Y424" i="27"/>
  <c r="U420" i="27"/>
  <c r="U415" i="27"/>
  <c r="U410" i="27"/>
  <c r="X406" i="27"/>
  <c r="AA402" i="27"/>
  <c r="V398" i="27"/>
  <c r="Y394" i="27"/>
  <c r="S393" i="27"/>
  <c r="V389" i="27"/>
  <c r="T379" i="27"/>
  <c r="X378" i="27"/>
  <c r="V377" i="27"/>
  <c r="V376" i="27"/>
  <c r="AB375" i="27"/>
  <c r="T371" i="27"/>
  <c r="X370" i="27"/>
  <c r="V369" i="27"/>
  <c r="V368" i="27"/>
  <c r="AB367" i="27"/>
  <c r="T363" i="27"/>
  <c r="X362" i="27"/>
  <c r="V361" i="27"/>
  <c r="V360" i="27"/>
  <c r="AB359" i="27"/>
  <c r="T356" i="27"/>
  <c r="Z355" i="27"/>
  <c r="U352" i="27"/>
  <c r="AA351" i="27"/>
  <c r="T349" i="27"/>
  <c r="V348" i="27"/>
  <c r="AB347" i="27"/>
  <c r="U345" i="27"/>
  <c r="Z344" i="27"/>
  <c r="V342" i="27"/>
  <c r="V341" i="27"/>
  <c r="AA340" i="27"/>
  <c r="S339" i="27"/>
  <c r="W338" i="27"/>
  <c r="W337" i="27"/>
  <c r="AB336" i="27"/>
  <c r="T335" i="27"/>
  <c r="X334" i="27"/>
  <c r="X333" i="27"/>
  <c r="X331" i="27"/>
  <c r="Y330" i="27"/>
  <c r="AB329" i="27"/>
  <c r="S328" i="27"/>
  <c r="Y327" i="27"/>
  <c r="Z326" i="27"/>
  <c r="T324" i="27"/>
  <c r="Z323" i="27"/>
  <c r="U320" i="27"/>
  <c r="AA319" i="27"/>
  <c r="T317" i="27"/>
  <c r="V316" i="27"/>
  <c r="AB315" i="27"/>
  <c r="U313" i="27"/>
  <c r="Z312" i="27"/>
  <c r="V310" i="27"/>
  <c r="V309" i="27"/>
  <c r="AA308" i="27"/>
  <c r="S307" i="27"/>
  <c r="W306" i="27"/>
  <c r="W305" i="27"/>
  <c r="AB304" i="27"/>
  <c r="T303" i="27"/>
  <c r="X302" i="27"/>
  <c r="X301" i="27"/>
  <c r="X299" i="27"/>
  <c r="Y298" i="27"/>
  <c r="AB297" i="27"/>
  <c r="S296" i="27"/>
  <c r="Y295" i="27"/>
  <c r="Z294" i="27"/>
  <c r="U292" i="27"/>
  <c r="AA291" i="27"/>
  <c r="U290" i="27"/>
  <c r="W289" i="27"/>
  <c r="S288" i="27"/>
  <c r="Y287" i="27"/>
  <c r="U285" i="27"/>
  <c r="AA284" i="27"/>
  <c r="W283" i="27"/>
  <c r="Y282" i="27"/>
  <c r="U281" i="27"/>
  <c r="AA280" i="27"/>
  <c r="X279" i="27"/>
  <c r="T278" i="27"/>
  <c r="X277" i="27"/>
  <c r="U276" i="27"/>
  <c r="AA275" i="27"/>
  <c r="W274" i="27"/>
  <c r="AB273" i="27"/>
  <c r="S273" i="27"/>
  <c r="Y272" i="27"/>
  <c r="V271" i="27"/>
  <c r="AB270" i="27"/>
  <c r="T270" i="27"/>
  <c r="Z269" i="27"/>
  <c r="X268" i="27"/>
  <c r="V267" i="27"/>
  <c r="AB266" i="27"/>
  <c r="T266" i="27"/>
  <c r="Z265" i="27"/>
  <c r="X264" i="27"/>
  <c r="V263" i="27"/>
  <c r="AB262" i="27"/>
  <c r="T262" i="27"/>
  <c r="Z261" i="27"/>
  <c r="X260" i="27"/>
  <c r="V259" i="27"/>
  <c r="U258" i="27"/>
  <c r="AA257" i="27"/>
  <c r="S257" i="27"/>
  <c r="Y256" i="27"/>
  <c r="W255" i="27"/>
  <c r="U254" i="27"/>
  <c r="AA253" i="27"/>
  <c r="S253" i="27"/>
  <c r="Y252" i="27"/>
  <c r="W251" i="27"/>
  <c r="U250" i="27"/>
  <c r="AA249" i="27"/>
  <c r="S249" i="27"/>
  <c r="Y248" i="27"/>
  <c r="W247" i="27"/>
  <c r="U246" i="27"/>
  <c r="AA245" i="27"/>
  <c r="S245" i="27"/>
  <c r="Y244" i="27"/>
  <c r="W243" i="27"/>
  <c r="U242" i="27"/>
  <c r="AA241" i="27"/>
  <c r="S241" i="27"/>
  <c r="Y240" i="27"/>
  <c r="W239" i="27"/>
  <c r="U238" i="27"/>
  <c r="AA237" i="27"/>
  <c r="S237" i="27"/>
  <c r="Y236" i="27"/>
  <c r="W235" i="27"/>
  <c r="U234" i="27"/>
  <c r="AA233" i="27"/>
  <c r="S233" i="27"/>
  <c r="Y232" i="27"/>
  <c r="W231" i="27"/>
  <c r="U230" i="27"/>
  <c r="AA229" i="27"/>
  <c r="S229" i="27"/>
  <c r="Y228" i="27"/>
  <c r="W227" i="27"/>
  <c r="U226" i="27"/>
  <c r="AA225" i="27"/>
  <c r="S225" i="27"/>
  <c r="Y224" i="27"/>
  <c r="W223" i="27"/>
  <c r="U222" i="27"/>
  <c r="AA221" i="27"/>
  <c r="S221" i="27"/>
  <c r="Y220" i="27"/>
  <c r="W219" i="27"/>
  <c r="U218" i="27"/>
  <c r="AA217" i="27"/>
  <c r="S217" i="27"/>
  <c r="Y216" i="27"/>
  <c r="W215" i="27"/>
  <c r="U214" i="27"/>
  <c r="AA213" i="27"/>
  <c r="S213" i="27"/>
  <c r="Y212" i="27"/>
  <c r="W211" i="27"/>
  <c r="U210" i="27"/>
  <c r="AA209" i="27"/>
  <c r="S209" i="27"/>
  <c r="Y208" i="27"/>
  <c r="W207" i="27"/>
  <c r="U206" i="27"/>
  <c r="AA205" i="27"/>
  <c r="S205" i="27"/>
  <c r="Y204" i="27"/>
  <c r="W203" i="27"/>
  <c r="V202" i="27"/>
  <c r="AB201" i="27"/>
  <c r="T201" i="27"/>
  <c r="AA200" i="27"/>
  <c r="S200" i="27"/>
  <c r="Y199" i="27"/>
  <c r="W198" i="27"/>
  <c r="U197" i="27"/>
  <c r="AA196" i="27"/>
  <c r="S196" i="27"/>
  <c r="Z195" i="27"/>
  <c r="Y194" i="27"/>
  <c r="X193" i="27"/>
  <c r="W192" i="27"/>
  <c r="U191" i="27"/>
  <c r="AB190" i="27"/>
  <c r="T190" i="27"/>
  <c r="AB189" i="27"/>
  <c r="T189" i="27"/>
  <c r="AB188" i="27"/>
  <c r="T188" i="27"/>
  <c r="AA187" i="27"/>
  <c r="S187" i="27"/>
  <c r="Z186" i="27"/>
  <c r="Y185" i="27"/>
  <c r="X184" i="27"/>
  <c r="W183" i="27"/>
  <c r="V182" i="27"/>
  <c r="U181" i="27"/>
  <c r="AB180" i="27"/>
  <c r="T180" i="27"/>
  <c r="AA179" i="27"/>
  <c r="S179" i="27"/>
  <c r="Z178" i="27"/>
  <c r="Y177" i="27"/>
  <c r="X176" i="27"/>
  <c r="W175" i="27"/>
  <c r="V174" i="27"/>
  <c r="U173" i="27"/>
  <c r="AB172" i="27"/>
  <c r="T172" i="27"/>
  <c r="AA171" i="27"/>
  <c r="S171" i="27"/>
  <c r="Z170" i="27"/>
  <c r="Y169" i="27"/>
  <c r="X168" i="27"/>
  <c r="W167" i="27"/>
  <c r="V166" i="27"/>
  <c r="U165" i="27"/>
  <c r="AB164" i="27"/>
  <c r="T164" i="27"/>
  <c r="AA163" i="27"/>
  <c r="S163" i="27"/>
  <c r="Z162" i="27"/>
  <c r="Y161" i="27"/>
  <c r="X160" i="27"/>
  <c r="W159" i="27"/>
  <c r="V158" i="27"/>
  <c r="U157" i="27"/>
  <c r="AB156" i="27"/>
  <c r="T156" i="27"/>
  <c r="AA155" i="27"/>
  <c r="S155" i="27"/>
  <c r="Z154" i="27"/>
  <c r="Y153" i="27"/>
  <c r="X152" i="27"/>
  <c r="W151" i="27"/>
  <c r="V150" i="27"/>
  <c r="U149" i="27"/>
  <c r="AB148" i="27"/>
  <c r="T148" i="27"/>
  <c r="AA147" i="27"/>
  <c r="S147" i="27"/>
  <c r="Z146" i="27"/>
  <c r="Y145" i="27"/>
  <c r="X144" i="27"/>
  <c r="W143" i="27"/>
  <c r="V142" i="27"/>
  <c r="V141" i="27"/>
  <c r="U140" i="27"/>
  <c r="AB139" i="27"/>
  <c r="T139" i="27"/>
  <c r="AA138" i="27"/>
  <c r="S138" i="27"/>
  <c r="Z137" i="27"/>
  <c r="Y136" i="27"/>
  <c r="X135" i="27"/>
  <c r="W134" i="27"/>
  <c r="V133" i="27"/>
  <c r="U132" i="27"/>
  <c r="AB131" i="27"/>
  <c r="T131" i="27"/>
  <c r="AA130" i="27"/>
  <c r="S130" i="27"/>
  <c r="Z129" i="27"/>
  <c r="Y128" i="27"/>
  <c r="X127" i="27"/>
  <c r="W126" i="27"/>
  <c r="V125" i="27"/>
  <c r="U124" i="27"/>
  <c r="AB123" i="27"/>
  <c r="T123" i="27"/>
  <c r="AA122" i="27"/>
  <c r="S122" i="27"/>
  <c r="V662" i="27"/>
  <c r="AB629" i="27"/>
  <c r="X589" i="27"/>
  <c r="U531" i="27"/>
  <c r="AB524" i="27"/>
  <c r="AA520" i="27"/>
  <c r="V516" i="27"/>
  <c r="AA513" i="27"/>
  <c r="X509" i="27"/>
  <c r="U505" i="27"/>
  <c r="S501" i="27"/>
  <c r="V498" i="27"/>
  <c r="AA494" i="27"/>
  <c r="AA490" i="27"/>
  <c r="V486" i="27"/>
  <c r="Z479" i="27"/>
  <c r="X475" i="27"/>
  <c r="U471" i="27"/>
  <c r="V464" i="27"/>
  <c r="AA460" i="27"/>
  <c r="AA456" i="27"/>
  <c r="V452" i="27"/>
  <c r="AA449" i="27"/>
  <c r="X445" i="27"/>
  <c r="U441" i="27"/>
  <c r="T437" i="27"/>
  <c r="U433" i="27"/>
  <c r="X429" i="27"/>
  <c r="U425" i="27"/>
  <c r="X421" i="27"/>
  <c r="S420" i="27"/>
  <c r="Y416" i="27"/>
  <c r="S415" i="27"/>
  <c r="Y411" i="27"/>
  <c r="AB407" i="27"/>
  <c r="V406" i="27"/>
  <c r="Y402" i="27"/>
  <c r="S398" i="27"/>
  <c r="W394" i="27"/>
  <c r="Z390" i="27"/>
  <c r="S379" i="27"/>
  <c r="W378" i="27"/>
  <c r="U377" i="27"/>
  <c r="U376" i="27"/>
  <c r="AA375" i="27"/>
  <c r="S371" i="27"/>
  <c r="W370" i="27"/>
  <c r="U369" i="27"/>
  <c r="U368" i="27"/>
  <c r="AA367" i="27"/>
  <c r="S363" i="27"/>
  <c r="W362" i="27"/>
  <c r="U361" i="27"/>
  <c r="U360" i="27"/>
  <c r="AA359" i="27"/>
  <c r="S356" i="27"/>
  <c r="Y355" i="27"/>
  <c r="Z354" i="27"/>
  <c r="T352" i="27"/>
  <c r="Z351" i="27"/>
  <c r="U348" i="27"/>
  <c r="AA347" i="27"/>
  <c r="T345" i="27"/>
  <c r="V344" i="27"/>
  <c r="AB343" i="27"/>
  <c r="U341" i="27"/>
  <c r="Z340" i="27"/>
  <c r="V338" i="27"/>
  <c r="V337" i="27"/>
  <c r="AA336" i="27"/>
  <c r="S335" i="27"/>
  <c r="W334" i="27"/>
  <c r="W333" i="27"/>
  <c r="AB332" i="27"/>
  <c r="T331" i="27"/>
  <c r="X330" i="27"/>
  <c r="X329" i="27"/>
  <c r="X327" i="27"/>
  <c r="Y326" i="27"/>
  <c r="AB325" i="27"/>
  <c r="S324" i="27"/>
  <c r="Y323" i="27"/>
  <c r="Z322" i="27"/>
  <c r="T320" i="27"/>
  <c r="Z319" i="27"/>
  <c r="U316" i="27"/>
  <c r="AA315" i="27"/>
  <c r="T313" i="27"/>
  <c r="V312" i="27"/>
  <c r="AB311" i="27"/>
  <c r="U309" i="27"/>
  <c r="Z308" i="27"/>
  <c r="V306" i="27"/>
  <c r="V305" i="27"/>
  <c r="AA304" i="27"/>
  <c r="S303" i="27"/>
  <c r="W302" i="27"/>
  <c r="W301" i="27"/>
  <c r="AB300" i="27"/>
  <c r="T299" i="27"/>
  <c r="X298" i="27"/>
  <c r="X297" i="27"/>
  <c r="X295" i="27"/>
  <c r="Y294" i="27"/>
  <c r="AB293" i="27"/>
  <c r="T292" i="27"/>
  <c r="Z291" i="27"/>
  <c r="V289" i="27"/>
  <c r="AB288" i="27"/>
  <c r="X287" i="27"/>
  <c r="Z286" i="27"/>
  <c r="T285" i="27"/>
  <c r="Z284" i="27"/>
  <c r="T283" i="27"/>
  <c r="X282" i="27"/>
  <c r="T281" i="27"/>
  <c r="Z280" i="27"/>
  <c r="W279" i="27"/>
  <c r="AB278" i="27"/>
  <c r="W277" i="27"/>
  <c r="T276" i="27"/>
  <c r="Z275" i="27"/>
  <c r="V274" i="27"/>
  <c r="AA273" i="27"/>
  <c r="X272" i="27"/>
  <c r="U271" i="27"/>
  <c r="AA270" i="27"/>
  <c r="S270" i="27"/>
  <c r="Y269" i="27"/>
  <c r="W268" i="27"/>
  <c r="U267" i="27"/>
  <c r="AA266" i="27"/>
  <c r="S266" i="27"/>
  <c r="Y265" i="27"/>
  <c r="W264" i="27"/>
  <c r="U263" i="27"/>
  <c r="AA262" i="27"/>
  <c r="S262" i="27"/>
  <c r="Y261" i="27"/>
  <c r="W260" i="27"/>
  <c r="U259" i="27"/>
  <c r="AB258" i="27"/>
  <c r="T258" i="27"/>
  <c r="Z257" i="27"/>
  <c r="X256" i="27"/>
  <c r="V255" i="27"/>
  <c r="AB254" i="27"/>
  <c r="T254" i="27"/>
  <c r="Z253" i="27"/>
  <c r="X252" i="27"/>
  <c r="V251" i="27"/>
  <c r="AB250" i="27"/>
  <c r="T250" i="27"/>
  <c r="Z249" i="27"/>
  <c r="X248" i="27"/>
  <c r="V247" i="27"/>
  <c r="AB246" i="27"/>
  <c r="T246" i="27"/>
  <c r="Z245" i="27"/>
  <c r="X244" i="27"/>
  <c r="V243" i="27"/>
  <c r="AB242" i="27"/>
  <c r="T242" i="27"/>
  <c r="Z241" i="27"/>
  <c r="X240" i="27"/>
  <c r="V239" i="27"/>
  <c r="AB238" i="27"/>
  <c r="T238" i="27"/>
  <c r="Z237" i="27"/>
  <c r="X236" i="27"/>
  <c r="V235" i="27"/>
  <c r="AB234" i="27"/>
  <c r="T234" i="27"/>
  <c r="Z233" i="27"/>
  <c r="X232" i="27"/>
  <c r="V231" i="27"/>
  <c r="AB230" i="27"/>
  <c r="T230" i="27"/>
  <c r="Z229" i="27"/>
  <c r="X228" i="27"/>
  <c r="V227" i="27"/>
  <c r="AB226" i="27"/>
  <c r="T226" i="27"/>
  <c r="Z225" i="27"/>
  <c r="X224" i="27"/>
  <c r="V223" i="27"/>
  <c r="AB222" i="27"/>
  <c r="T222" i="27"/>
  <c r="Z221" i="27"/>
  <c r="X220" i="27"/>
  <c r="V219" i="27"/>
  <c r="AB218" i="27"/>
  <c r="T218" i="27"/>
  <c r="Z217" i="27"/>
  <c r="X216" i="27"/>
  <c r="V215" i="27"/>
  <c r="AB214" i="27"/>
  <c r="T214" i="27"/>
  <c r="Z213" i="27"/>
  <c r="X212" i="27"/>
  <c r="V211" i="27"/>
  <c r="AB210" i="27"/>
  <c r="T210" i="27"/>
  <c r="Z209" i="27"/>
  <c r="X208" i="27"/>
  <c r="V207" i="27"/>
  <c r="AB206" i="27"/>
  <c r="T206" i="27"/>
  <c r="Z205" i="27"/>
  <c r="X204" i="27"/>
  <c r="V203" i="27"/>
  <c r="U202" i="27"/>
  <c r="AA201" i="27"/>
  <c r="S201" i="27"/>
  <c r="Z200" i="27"/>
  <c r="X199" i="27"/>
  <c r="V198" i="27"/>
  <c r="AB197" i="27"/>
  <c r="T197" i="27"/>
  <c r="Z196" i="27"/>
  <c r="Y195" i="27"/>
  <c r="X194" i="27"/>
  <c r="W193" i="27"/>
  <c r="V192" i="27"/>
  <c r="AB191" i="27"/>
  <c r="T191" i="27"/>
  <c r="AA190" i="27"/>
  <c r="S190" i="27"/>
  <c r="AA189" i="27"/>
  <c r="S189" i="27"/>
  <c r="AA188" i="27"/>
  <c r="S188" i="27"/>
  <c r="Z187" i="27"/>
  <c r="Y186" i="27"/>
  <c r="X185" i="27"/>
  <c r="W184" i="27"/>
  <c r="V183" i="27"/>
  <c r="U182" i="27"/>
  <c r="AB181" i="27"/>
  <c r="T181" i="27"/>
  <c r="AA180" i="27"/>
  <c r="S180" i="27"/>
  <c r="Z179" i="27"/>
  <c r="Y178" i="27"/>
  <c r="X177" i="27"/>
  <c r="W176" i="27"/>
  <c r="V175" i="27"/>
  <c r="U174" i="27"/>
  <c r="AB173" i="27"/>
  <c r="T173" i="27"/>
  <c r="AA172" i="27"/>
  <c r="S172" i="27"/>
  <c r="Z171" i="27"/>
  <c r="Y170" i="27"/>
  <c r="X169" i="27"/>
  <c r="W168" i="27"/>
  <c r="V167" i="27"/>
  <c r="U166" i="27"/>
  <c r="AB165" i="27"/>
  <c r="T165" i="27"/>
  <c r="AA164" i="27"/>
  <c r="S164" i="27"/>
  <c r="Z163" i="27"/>
  <c r="Y162" i="27"/>
  <c r="X161" i="27"/>
  <c r="W160" i="27"/>
  <c r="V159" i="27"/>
  <c r="U158" i="27"/>
  <c r="AB157" i="27"/>
  <c r="T157" i="27"/>
  <c r="AA156" i="27"/>
  <c r="S156" i="27"/>
  <c r="Z155" i="27"/>
  <c r="Y154" i="27"/>
  <c r="X153" i="27"/>
  <c r="W152" i="27"/>
  <c r="V151" i="27"/>
  <c r="U150" i="27"/>
  <c r="AB149" i="27"/>
  <c r="T149" i="27"/>
  <c r="AA148" i="27"/>
  <c r="S148" i="27"/>
  <c r="Z147" i="27"/>
  <c r="Y146" i="27"/>
  <c r="X145" i="27"/>
  <c r="W144" i="27"/>
  <c r="V143" i="27"/>
  <c r="U142" i="27"/>
  <c r="U141" i="27"/>
  <c r="AB140" i="27"/>
  <c r="T140" i="27"/>
  <c r="AA139" i="27"/>
  <c r="S139" i="27"/>
  <c r="Z138" i="27"/>
  <c r="Y137" i="27"/>
  <c r="X136" i="27"/>
  <c r="W135" i="27"/>
  <c r="V134" i="27"/>
  <c r="U133" i="27"/>
  <c r="AB132" i="27"/>
  <c r="T132" i="27"/>
  <c r="AA131" i="27"/>
  <c r="S131" i="27"/>
  <c r="Z130" i="27"/>
  <c r="Y129" i="27"/>
  <c r="X128" i="27"/>
  <c r="W127" i="27"/>
  <c r="V126" i="27"/>
  <c r="U125" i="27"/>
  <c r="AB124" i="27"/>
  <c r="T124" i="27"/>
  <c r="AA123" i="27"/>
  <c r="S123" i="27"/>
  <c r="Z122" i="27"/>
  <c r="Y121" i="27"/>
  <c r="X120" i="27"/>
  <c r="W119" i="27"/>
  <c r="V118" i="27"/>
  <c r="U117" i="27"/>
  <c r="AB116" i="27"/>
  <c r="T116" i="27"/>
  <c r="AA115" i="27"/>
  <c r="S115" i="27"/>
  <c r="Z114" i="27"/>
  <c r="Y113" i="27"/>
  <c r="X112" i="27"/>
  <c r="W111" i="27"/>
  <c r="V110" i="27"/>
  <c r="U109" i="27"/>
  <c r="AB108" i="27"/>
  <c r="T108" i="27"/>
  <c r="AA107" i="27"/>
  <c r="S107" i="27"/>
  <c r="AA106" i="27"/>
  <c r="S106" i="27"/>
  <c r="Z105" i="27"/>
  <c r="Y104" i="27"/>
  <c r="X103" i="27"/>
  <c r="W102" i="27"/>
  <c r="V101" i="27"/>
  <c r="U100" i="27"/>
  <c r="AB99" i="27"/>
  <c r="T99" i="27"/>
  <c r="AA98" i="27"/>
  <c r="S98" i="27"/>
  <c r="Z97" i="27"/>
  <c r="Y96" i="27"/>
  <c r="X95" i="27"/>
  <c r="W94" i="27"/>
  <c r="V93" i="27"/>
  <c r="U92" i="27"/>
  <c r="AB91" i="27"/>
  <c r="T91" i="27"/>
  <c r="AA90" i="27"/>
  <c r="S90" i="27"/>
  <c r="Z89" i="27"/>
  <c r="Y88" i="27"/>
  <c r="X87" i="27"/>
  <c r="W86" i="27"/>
  <c r="V85" i="27"/>
  <c r="U84" i="27"/>
  <c r="AB83" i="27"/>
  <c r="T83" i="27"/>
  <c r="AA82" i="27"/>
  <c r="S82" i="27"/>
  <c r="Z81" i="27"/>
  <c r="Y80" i="27"/>
  <c r="X79" i="27"/>
  <c r="W78" i="27"/>
  <c r="V77" i="27"/>
  <c r="U557" i="27"/>
  <c r="S550" i="27"/>
  <c r="Y547" i="27"/>
  <c r="T542" i="27"/>
  <c r="Z528" i="27"/>
  <c r="S524" i="27"/>
  <c r="Y520" i="27"/>
  <c r="AA517" i="27"/>
  <c r="X513" i="27"/>
  <c r="U509" i="27"/>
  <c r="S505" i="27"/>
  <c r="X502" i="27"/>
  <c r="S498" i="27"/>
  <c r="S494" i="27"/>
  <c r="X490" i="27"/>
  <c r="Z483" i="27"/>
  <c r="X479" i="27"/>
  <c r="U475" i="27"/>
  <c r="Y468" i="27"/>
  <c r="S464" i="27"/>
  <c r="S460" i="27"/>
  <c r="Y456" i="27"/>
  <c r="AA453" i="27"/>
  <c r="X449" i="27"/>
  <c r="U445" i="27"/>
  <c r="S441" i="27"/>
  <c r="X438" i="27"/>
  <c r="AA434" i="27"/>
  <c r="V430" i="27"/>
  <c r="Y426" i="27"/>
  <c r="S425" i="27"/>
  <c r="V421" i="27"/>
  <c r="AB417" i="27"/>
  <c r="V416" i="27"/>
  <c r="AB412" i="27"/>
  <c r="W411" i="27"/>
  <c r="Z407" i="27"/>
  <c r="W403" i="27"/>
  <c r="Z399" i="27"/>
  <c r="AA395" i="27"/>
  <c r="S390" i="27"/>
  <c r="AB385" i="27"/>
  <c r="AA384" i="27"/>
  <c r="X383" i="27"/>
  <c r="T376" i="27"/>
  <c r="Z375" i="27"/>
  <c r="Z374" i="27"/>
  <c r="X373" i="27"/>
  <c r="AB372" i="27"/>
  <c r="T368" i="27"/>
  <c r="Z367" i="27"/>
  <c r="Z366" i="27"/>
  <c r="X365" i="27"/>
  <c r="AB364" i="27"/>
  <c r="T360" i="27"/>
  <c r="Z359" i="27"/>
  <c r="Z358" i="27"/>
  <c r="X357" i="27"/>
  <c r="X355" i="27"/>
  <c r="Y354" i="27"/>
  <c r="AB353" i="27"/>
  <c r="S352" i="27"/>
  <c r="Y351" i="27"/>
  <c r="Z350" i="27"/>
  <c r="T348" i="27"/>
  <c r="Z347" i="27"/>
  <c r="U344" i="27"/>
  <c r="AA343" i="27"/>
  <c r="T341" i="27"/>
  <c r="V340" i="27"/>
  <c r="AB339" i="27"/>
  <c r="U337" i="27"/>
  <c r="Z336" i="27"/>
  <c r="V334" i="27"/>
  <c r="V333" i="27"/>
  <c r="AA332" i="27"/>
  <c r="S331" i="27"/>
  <c r="W330" i="27"/>
  <c r="W329" i="27"/>
  <c r="AB328" i="27"/>
  <c r="T327" i="27"/>
  <c r="X326" i="27"/>
  <c r="X325" i="27"/>
  <c r="X323" i="27"/>
  <c r="Y322" i="27"/>
  <c r="AB321" i="27"/>
  <c r="S320" i="27"/>
  <c r="Y319" i="27"/>
  <c r="Z318" i="27"/>
  <c r="T316" i="27"/>
  <c r="Z315" i="27"/>
  <c r="U312" i="27"/>
  <c r="AA311" i="27"/>
  <c r="T309" i="27"/>
  <c r="V308" i="27"/>
  <c r="AB307" i="27"/>
  <c r="U305" i="27"/>
  <c r="Z304" i="27"/>
  <c r="V302" i="27"/>
  <c r="V301" i="27"/>
  <c r="AA300" i="27"/>
  <c r="S299" i="27"/>
  <c r="W298" i="27"/>
  <c r="W297" i="27"/>
  <c r="AB296" i="27"/>
  <c r="T295" i="27"/>
  <c r="X294" i="27"/>
  <c r="X293" i="27"/>
  <c r="S292" i="27"/>
  <c r="Y291" i="27"/>
  <c r="U289" i="27"/>
  <c r="AA288" i="27"/>
  <c r="W287" i="27"/>
  <c r="Y286" i="27"/>
  <c r="S285" i="27"/>
  <c r="Y284" i="27"/>
  <c r="S283" i="27"/>
  <c r="W282" i="27"/>
  <c r="AB281" i="27"/>
  <c r="S281" i="27"/>
  <c r="Y280" i="27"/>
  <c r="V279" i="27"/>
  <c r="Z278" i="27"/>
  <c r="V277" i="27"/>
  <c r="AB276" i="27"/>
  <c r="S276" i="27"/>
  <c r="Y275" i="27"/>
  <c r="U274" i="27"/>
  <c r="Z273" i="27"/>
  <c r="V272" i="27"/>
  <c r="AB271" i="27"/>
  <c r="T271" i="27"/>
  <c r="Z270" i="27"/>
  <c r="X269" i="27"/>
  <c r="V268" i="27"/>
  <c r="AB267" i="27"/>
  <c r="T267" i="27"/>
  <c r="Z266" i="27"/>
  <c r="X265" i="27"/>
  <c r="V264" i="27"/>
  <c r="AB263" i="27"/>
  <c r="T263" i="27"/>
  <c r="Z262" i="27"/>
  <c r="X261" i="27"/>
  <c r="V260" i="27"/>
  <c r="AB259" i="27"/>
  <c r="T259" i="27"/>
  <c r="AA258" i="27"/>
  <c r="S258" i="27"/>
  <c r="Y257" i="27"/>
  <c r="W256" i="27"/>
  <c r="U255" i="27"/>
  <c r="AA254" i="27"/>
  <c r="S254" i="27"/>
  <c r="Y253" i="27"/>
  <c r="W252" i="27"/>
  <c r="U251" i="27"/>
  <c r="AA250" i="27"/>
  <c r="S250" i="27"/>
  <c r="Y249" i="27"/>
  <c r="W248" i="27"/>
  <c r="U247" i="27"/>
  <c r="AA246" i="27"/>
  <c r="S246" i="27"/>
  <c r="Y245" i="27"/>
  <c r="W244" i="27"/>
  <c r="U243" i="27"/>
  <c r="AA242" i="27"/>
  <c r="S242" i="27"/>
  <c r="Y241" i="27"/>
  <c r="W240" i="27"/>
  <c r="U239" i="27"/>
  <c r="AA238" i="27"/>
  <c r="S238" i="27"/>
  <c r="Y237" i="27"/>
  <c r="W236" i="27"/>
  <c r="U235" i="27"/>
  <c r="AA234" i="27"/>
  <c r="S234" i="27"/>
  <c r="Y233" i="27"/>
  <c r="W232" i="27"/>
  <c r="U231" i="27"/>
  <c r="AA230" i="27"/>
  <c r="S230" i="27"/>
  <c r="W681" i="27"/>
  <c r="T642" i="27"/>
  <c r="X623" i="27"/>
  <c r="AA525" i="27"/>
  <c r="U521" i="27"/>
  <c r="S517" i="27"/>
  <c r="V514" i="27"/>
  <c r="AA510" i="27"/>
  <c r="AA506" i="27"/>
  <c r="V502" i="27"/>
  <c r="Z495" i="27"/>
  <c r="X491" i="27"/>
  <c r="U487" i="27"/>
  <c r="V480" i="27"/>
  <c r="AA476" i="27"/>
  <c r="AA472" i="27"/>
  <c r="V468" i="27"/>
  <c r="AA465" i="27"/>
  <c r="X461" i="27"/>
  <c r="U457" i="27"/>
  <c r="S453" i="27"/>
  <c r="V450" i="27"/>
  <c r="AA446" i="27"/>
  <c r="AA442" i="27"/>
  <c r="V438" i="27"/>
  <c r="Y434" i="27"/>
  <c r="S430" i="27"/>
  <c r="W426" i="27"/>
  <c r="Z422" i="27"/>
  <c r="Y417" i="27"/>
  <c r="Z412" i="27"/>
  <c r="V408" i="27"/>
  <c r="S407" i="27"/>
  <c r="T403" i="27"/>
  <c r="X399" i="27"/>
  <c r="T395" i="27"/>
  <c r="X391" i="27"/>
  <c r="Y386" i="27"/>
  <c r="V385" i="27"/>
  <c r="Z384" i="27"/>
  <c r="V383" i="27"/>
  <c r="AB382" i="27"/>
  <c r="S376" i="27"/>
  <c r="Y375" i="27"/>
  <c r="Y374" i="27"/>
  <c r="W373" i="27"/>
  <c r="AA372" i="27"/>
  <c r="S368" i="27"/>
  <c r="Y367" i="27"/>
  <c r="Y366" i="27"/>
  <c r="W365" i="27"/>
  <c r="AA364" i="27"/>
  <c r="S360" i="27"/>
  <c r="Y359" i="27"/>
  <c r="Y358" i="27"/>
  <c r="W357" i="27"/>
  <c r="AB356" i="27"/>
  <c r="T355" i="27"/>
  <c r="X354" i="27"/>
  <c r="X353" i="27"/>
  <c r="X351" i="27"/>
  <c r="Y350" i="27"/>
  <c r="AB349" i="27"/>
  <c r="S348" i="27"/>
  <c r="Y347" i="27"/>
  <c r="Z346" i="27"/>
  <c r="T344" i="27"/>
  <c r="Z343" i="27"/>
  <c r="U340" i="27"/>
  <c r="AA339" i="27"/>
  <c r="T337" i="27"/>
  <c r="V336" i="27"/>
  <c r="AB335" i="27"/>
  <c r="U333" i="27"/>
  <c r="Z332" i="27"/>
  <c r="V330" i="27"/>
  <c r="V329" i="27"/>
  <c r="AA328" i="27"/>
  <c r="S327" i="27"/>
  <c r="W326" i="27"/>
  <c r="W325" i="27"/>
  <c r="AB324" i="27"/>
  <c r="T323" i="27"/>
  <c r="X322" i="27"/>
  <c r="X321" i="27"/>
  <c r="X319" i="27"/>
  <c r="Y318" i="27"/>
  <c r="AB317" i="27"/>
  <c r="S316" i="27"/>
  <c r="Y315" i="27"/>
  <c r="Z314" i="27"/>
  <c r="T312" i="27"/>
  <c r="Z311" i="27"/>
  <c r="U308" i="27"/>
  <c r="AA307" i="27"/>
  <c r="T305" i="27"/>
  <c r="V304" i="27"/>
  <c r="AB303" i="27"/>
  <c r="U301" i="27"/>
  <c r="Z300" i="27"/>
  <c r="V298" i="27"/>
  <c r="V297" i="27"/>
  <c r="AA296" i="27"/>
  <c r="S295" i="27"/>
  <c r="W294" i="27"/>
  <c r="W293" i="27"/>
  <c r="AB292" i="27"/>
  <c r="X291" i="27"/>
  <c r="Z290" i="27"/>
  <c r="T289" i="27"/>
  <c r="Z288" i="27"/>
  <c r="T287" i="27"/>
  <c r="X286" i="27"/>
  <c r="AB285" i="27"/>
  <c r="V284" i="27"/>
  <c r="AB283" i="27"/>
  <c r="V282" i="27"/>
  <c r="AA281" i="27"/>
  <c r="X280" i="27"/>
  <c r="T279" i="27"/>
  <c r="Y278" i="27"/>
  <c r="U277" i="27"/>
  <c r="AA276" i="27"/>
  <c r="X275" i="27"/>
  <c r="T274" i="27"/>
  <c r="X273" i="27"/>
  <c r="U272" i="27"/>
  <c r="AA271" i="27"/>
  <c r="S271" i="27"/>
  <c r="Y270" i="27"/>
  <c r="W269" i="27"/>
  <c r="U268" i="27"/>
  <c r="AA267" i="27"/>
  <c r="S267" i="27"/>
  <c r="Y266" i="27"/>
  <c r="W265" i="27"/>
  <c r="AB706" i="27"/>
  <c r="V667" i="27"/>
  <c r="Y634" i="27"/>
  <c r="V615" i="27"/>
  <c r="U578" i="27"/>
  <c r="Z534" i="27"/>
  <c r="T529" i="27"/>
  <c r="V525" i="27"/>
  <c r="S521" i="27"/>
  <c r="X518" i="27"/>
  <c r="S514" i="27"/>
  <c r="S510" i="27"/>
  <c r="X506" i="27"/>
  <c r="Z499" i="27"/>
  <c r="X495" i="27"/>
  <c r="U491" i="27"/>
  <c r="Y484" i="27"/>
  <c r="S480" i="27"/>
  <c r="S476" i="27"/>
  <c r="Y472" i="27"/>
  <c r="AA469" i="27"/>
  <c r="X465" i="27"/>
  <c r="U461" i="27"/>
  <c r="S457" i="27"/>
  <c r="X454" i="27"/>
  <c r="S450" i="27"/>
  <c r="S446" i="27"/>
  <c r="X442" i="27"/>
  <c r="W435" i="27"/>
  <c r="Z431" i="27"/>
  <c r="AA427" i="27"/>
  <c r="S422" i="27"/>
  <c r="W418" i="27"/>
  <c r="S417" i="27"/>
  <c r="V413" i="27"/>
  <c r="S412" i="27"/>
  <c r="T408" i="27"/>
  <c r="Z404" i="27"/>
  <c r="AA400" i="27"/>
  <c r="W396" i="27"/>
  <c r="U391" i="27"/>
  <c r="AA387" i="27"/>
  <c r="X386" i="27"/>
  <c r="U385" i="27"/>
  <c r="X384" i="27"/>
  <c r="U383" i="27"/>
  <c r="AA382" i="27"/>
  <c r="Z381" i="27"/>
  <c r="W380" i="27"/>
  <c r="T375" i="27"/>
  <c r="X374" i="27"/>
  <c r="V373" i="27"/>
  <c r="V372" i="27"/>
  <c r="AB371" i="27"/>
  <c r="T367" i="27"/>
  <c r="X366" i="27"/>
  <c r="V365" i="27"/>
  <c r="V364" i="27"/>
  <c r="AB363" i="27"/>
  <c r="T359" i="27"/>
  <c r="X358" i="27"/>
  <c r="V357" i="27"/>
  <c r="AA356" i="27"/>
  <c r="S355" i="27"/>
  <c r="W354" i="27"/>
  <c r="W353" i="27"/>
  <c r="AB352" i="27"/>
  <c r="T351" i="27"/>
  <c r="X350" i="27"/>
  <c r="X349" i="27"/>
  <c r="X347" i="27"/>
  <c r="Y346" i="27"/>
  <c r="AB345" i="27"/>
  <c r="S344" i="27"/>
  <c r="Y343" i="27"/>
  <c r="Z342" i="27"/>
  <c r="T340" i="27"/>
  <c r="Z339" i="27"/>
  <c r="U336" i="27"/>
  <c r="AA335" i="27"/>
  <c r="T333" i="27"/>
  <c r="V332" i="27"/>
  <c r="AB331" i="27"/>
  <c r="U329" i="27"/>
  <c r="Z328" i="27"/>
  <c r="V326" i="27"/>
  <c r="V325" i="27"/>
  <c r="AA324" i="27"/>
  <c r="S323" i="27"/>
  <c r="W322" i="27"/>
  <c r="W321" i="27"/>
  <c r="AB320" i="27"/>
  <c r="T319" i="27"/>
  <c r="X318" i="27"/>
  <c r="X317" i="27"/>
  <c r="X315" i="27"/>
  <c r="Y314" i="27"/>
  <c r="AB313" i="27"/>
  <c r="S312" i="27"/>
  <c r="Y311" i="27"/>
  <c r="Z310" i="27"/>
  <c r="T308" i="27"/>
  <c r="Z307" i="27"/>
  <c r="U304" i="27"/>
  <c r="AA303" i="27"/>
  <c r="T301" i="27"/>
  <c r="V300" i="27"/>
  <c r="AB299" i="27"/>
  <c r="U297" i="27"/>
  <c r="Z296" i="27"/>
  <c r="V294" i="27"/>
  <c r="V293" i="27"/>
  <c r="AA292" i="27"/>
  <c r="W291" i="27"/>
  <c r="Y290" i="27"/>
  <c r="S289" i="27"/>
  <c r="Y288" i="27"/>
  <c r="S287" i="27"/>
  <c r="W286" i="27"/>
  <c r="AA285" i="27"/>
  <c r="U284" i="27"/>
  <c r="AA283" i="27"/>
  <c r="U282" i="27"/>
  <c r="Z281" i="27"/>
  <c r="V280" i="27"/>
  <c r="AB279" i="27"/>
  <c r="S279" i="27"/>
  <c r="X278" i="27"/>
  <c r="T277" i="27"/>
  <c r="Z276" i="27"/>
  <c r="W275" i="27"/>
  <c r="AB274" i="27"/>
  <c r="W273" i="27"/>
  <c r="T272" i="27"/>
  <c r="Z271" i="27"/>
  <c r="X270" i="27"/>
  <c r="V269" i="27"/>
  <c r="AB268" i="27"/>
  <c r="T268" i="27"/>
  <c r="Z267" i="27"/>
  <c r="X266" i="27"/>
  <c r="V265" i="27"/>
  <c r="AB264" i="27"/>
  <c r="T264" i="27"/>
  <c r="Z263" i="27"/>
  <c r="X262" i="27"/>
  <c r="V261" i="27"/>
  <c r="AB260" i="27"/>
  <c r="T260" i="27"/>
  <c r="Z259" i="27"/>
  <c r="Y258" i="27"/>
  <c r="W257" i="27"/>
  <c r="U256" i="27"/>
  <c r="AA255" i="27"/>
  <c r="S255" i="27"/>
  <c r="Y254" i="27"/>
  <c r="W253" i="27"/>
  <c r="U252" i="27"/>
  <c r="AA251" i="27"/>
  <c r="S251" i="27"/>
  <c r="Y250" i="27"/>
  <c r="W249" i="27"/>
  <c r="U248" i="27"/>
  <c r="AA247" i="27"/>
  <c r="S247" i="27"/>
  <c r="Y246" i="27"/>
  <c r="W245" i="27"/>
  <c r="U244" i="27"/>
  <c r="AA243" i="27"/>
  <c r="S243" i="27"/>
  <c r="Y242" i="27"/>
  <c r="W241" i="27"/>
  <c r="U240" i="27"/>
  <c r="AA239" i="27"/>
  <c r="S239" i="27"/>
  <c r="Y238" i="27"/>
  <c r="W237" i="27"/>
  <c r="U236" i="27"/>
  <c r="AA235" i="27"/>
  <c r="S235" i="27"/>
  <c r="Y234" i="27"/>
  <c r="W233" i="27"/>
  <c r="U232" i="27"/>
  <c r="AA231" i="27"/>
  <c r="S231" i="27"/>
  <c r="Y230" i="27"/>
  <c r="W229" i="27"/>
  <c r="U228" i="27"/>
  <c r="AA227" i="27"/>
  <c r="S227" i="27"/>
  <c r="Y226" i="27"/>
  <c r="W225" i="27"/>
  <c r="U224" i="27"/>
  <c r="AA223" i="27"/>
  <c r="S223" i="27"/>
  <c r="Y222" i="27"/>
  <c r="W221" i="27"/>
  <c r="U220" i="27"/>
  <c r="AA219" i="27"/>
  <c r="S219" i="27"/>
  <c r="Y218" i="27"/>
  <c r="W217" i="27"/>
  <c r="U216" i="27"/>
  <c r="AA215" i="27"/>
  <c r="S215" i="27"/>
  <c r="Y214" i="27"/>
  <c r="W213" i="27"/>
  <c r="U212" i="27"/>
  <c r="AA211" i="27"/>
  <c r="S211" i="27"/>
  <c r="Y210" i="27"/>
  <c r="W209" i="27"/>
  <c r="U208" i="27"/>
  <c r="AA207" i="27"/>
  <c r="S207" i="27"/>
  <c r="Y206" i="27"/>
  <c r="W205" i="27"/>
  <c r="U204" i="27"/>
  <c r="AA203" i="27"/>
  <c r="S203" i="27"/>
  <c r="Z202" i="27"/>
  <c r="X201" i="27"/>
  <c r="W200" i="27"/>
  <c r="U199" i="27"/>
  <c r="AA198" i="27"/>
  <c r="S198" i="27"/>
  <c r="Y197" i="27"/>
  <c r="W196" i="27"/>
  <c r="V195" i="27"/>
  <c r="U194" i="27"/>
  <c r="AB193" i="27"/>
  <c r="T193" i="27"/>
  <c r="AA192" i="27"/>
  <c r="S192" i="27"/>
  <c r="Y191" i="27"/>
  <c r="X190" i="27"/>
  <c r="X189" i="27"/>
  <c r="X188" i="27"/>
  <c r="W187" i="27"/>
  <c r="V186" i="27"/>
  <c r="U185" i="27"/>
  <c r="AB184" i="27"/>
  <c r="T184" i="27"/>
  <c r="AA183" i="27"/>
  <c r="S183" i="27"/>
  <c r="Z182" i="27"/>
  <c r="Y181" i="27"/>
  <c r="X180" i="27"/>
  <c r="W179" i="27"/>
  <c r="V178" i="27"/>
  <c r="U177" i="27"/>
  <c r="AB176" i="27"/>
  <c r="T176" i="27"/>
  <c r="AA175" i="27"/>
  <c r="S175" i="27"/>
  <c r="Z174" i="27"/>
  <c r="Y173" i="27"/>
  <c r="X172" i="27"/>
  <c r="W171" i="27"/>
  <c r="V170" i="27"/>
  <c r="U169" i="27"/>
  <c r="AB168" i="27"/>
  <c r="T168" i="27"/>
  <c r="AA167" i="27"/>
  <c r="S167" i="27"/>
  <c r="Z166" i="27"/>
  <c r="Y165" i="27"/>
  <c r="X164" i="27"/>
  <c r="W163" i="27"/>
  <c r="V162" i="27"/>
  <c r="U161" i="27"/>
  <c r="AB160" i="27"/>
  <c r="T160" i="27"/>
  <c r="AA159" i="27"/>
  <c r="S159" i="27"/>
  <c r="Z158" i="27"/>
  <c r="Y157" i="27"/>
  <c r="X156" i="27"/>
  <c r="W155" i="27"/>
  <c r="V154" i="27"/>
  <c r="U153" i="27"/>
  <c r="AB152" i="27"/>
  <c r="T152" i="27"/>
  <c r="AA151" i="27"/>
  <c r="S151" i="27"/>
  <c r="Z150" i="27"/>
  <c r="Y149" i="27"/>
  <c r="X148" i="27"/>
  <c r="W147" i="27"/>
  <c r="V146" i="27"/>
  <c r="U145" i="27"/>
  <c r="AB144" i="27"/>
  <c r="T144" i="27"/>
  <c r="AA143" i="27"/>
  <c r="S143" i="27"/>
  <c r="Z142" i="27"/>
  <c r="Z141" i="27"/>
  <c r="Y140" i="27"/>
  <c r="X139" i="27"/>
  <c r="W138" i="27"/>
  <c r="V137" i="27"/>
  <c r="U136" i="27"/>
  <c r="AB135" i="27"/>
  <c r="T135" i="27"/>
  <c r="AA134" i="27"/>
  <c r="S134" i="27"/>
  <c r="Z133" i="27"/>
  <c r="Y132" i="27"/>
  <c r="X131" i="27"/>
  <c r="W130" i="27"/>
  <c r="V129" i="27"/>
  <c r="U128" i="27"/>
  <c r="AB127" i="27"/>
  <c r="T127" i="27"/>
  <c r="AA126" i="27"/>
  <c r="S126" i="27"/>
  <c r="Z125" i="27"/>
  <c r="Y124" i="27"/>
  <c r="X123" i="27"/>
  <c r="W122" i="27"/>
  <c r="V121" i="27"/>
  <c r="U120" i="27"/>
  <c r="AB119" i="27"/>
  <c r="T119" i="27"/>
  <c r="AA118" i="27"/>
  <c r="S118" i="27"/>
  <c r="Z117" i="27"/>
  <c r="Y116" i="27"/>
  <c r="X115" i="27"/>
  <c r="W114" i="27"/>
  <c r="V113" i="27"/>
  <c r="U112" i="27"/>
  <c r="AB111" i="27"/>
  <c r="T111" i="27"/>
  <c r="AA110" i="27"/>
  <c r="S110" i="27"/>
  <c r="Z109" i="27"/>
  <c r="Y108" i="27"/>
  <c r="X107" i="27"/>
  <c r="AA522" i="27"/>
  <c r="U503" i="27"/>
  <c r="V484" i="27"/>
  <c r="S469" i="27"/>
  <c r="V454" i="27"/>
  <c r="T435" i="27"/>
  <c r="U418" i="27"/>
  <c r="S375" i="27"/>
  <c r="AB348" i="27"/>
  <c r="X343" i="27"/>
  <c r="V321" i="27"/>
  <c r="X313" i="27"/>
  <c r="S308" i="27"/>
  <c r="Z303" i="27"/>
  <c r="V296" i="27"/>
  <c r="T291" i="27"/>
  <c r="Z283" i="27"/>
  <c r="AB272" i="27"/>
  <c r="U269" i="27"/>
  <c r="W266" i="27"/>
  <c r="Y262" i="27"/>
  <c r="X257" i="27"/>
  <c r="T256" i="27"/>
  <c r="AB252" i="27"/>
  <c r="Z251" i="27"/>
  <c r="Z246" i="27"/>
  <c r="X241" i="27"/>
  <c r="T240" i="27"/>
  <c r="AB236" i="27"/>
  <c r="Z235" i="27"/>
  <c r="Z230" i="27"/>
  <c r="V229" i="27"/>
  <c r="T228" i="27"/>
  <c r="T227" i="27"/>
  <c r="S226" i="27"/>
  <c r="AB208" i="27"/>
  <c r="AB207" i="27"/>
  <c r="AA206" i="27"/>
  <c r="Y205" i="27"/>
  <c r="W204" i="27"/>
  <c r="Z203" i="27"/>
  <c r="AB202" i="27"/>
  <c r="S199" i="27"/>
  <c r="U198" i="27"/>
  <c r="X197" i="27"/>
  <c r="X196" i="27"/>
  <c r="X195" i="27"/>
  <c r="U192" i="27"/>
  <c r="X191" i="27"/>
  <c r="Z190" i="27"/>
  <c r="W188" i="27"/>
  <c r="AB187" i="27"/>
  <c r="T186" i="27"/>
  <c r="AA185" i="27"/>
  <c r="S184" i="27"/>
  <c r="Y183" i="27"/>
  <c r="W181" i="27"/>
  <c r="Z180" i="27"/>
  <c r="W178" i="27"/>
  <c r="V176" i="27"/>
  <c r="AB175" i="27"/>
  <c r="T174" i="27"/>
  <c r="Z173" i="27"/>
  <c r="U171" i="27"/>
  <c r="AA170" i="27"/>
  <c r="T169" i="27"/>
  <c r="Z168" i="27"/>
  <c r="X166" i="27"/>
  <c r="U164" i="27"/>
  <c r="X163" i="27"/>
  <c r="W161" i="27"/>
  <c r="U159" i="27"/>
  <c r="AA158" i="27"/>
  <c r="S157" i="27"/>
  <c r="W156" i="27"/>
  <c r="AB155" i="27"/>
  <c r="T154" i="27"/>
  <c r="AA153" i="27"/>
  <c r="S152" i="27"/>
  <c r="Y151" i="27"/>
  <c r="W149" i="27"/>
  <c r="Z148" i="27"/>
  <c r="W146" i="27"/>
  <c r="V144" i="27"/>
  <c r="AB143" i="27"/>
  <c r="T142" i="27"/>
  <c r="AA141" i="27"/>
  <c r="S140" i="27"/>
  <c r="W139" i="27"/>
  <c r="AB138" i="27"/>
  <c r="T137" i="27"/>
  <c r="AA136" i="27"/>
  <c r="S135" i="27"/>
  <c r="Y134" i="27"/>
  <c r="W132" i="27"/>
  <c r="Z131" i="27"/>
  <c r="W129" i="27"/>
  <c r="V127" i="27"/>
  <c r="AB126" i="27"/>
  <c r="T125" i="27"/>
  <c r="Z124" i="27"/>
  <c r="U122" i="27"/>
  <c r="AA121" i="27"/>
  <c r="W120" i="27"/>
  <c r="X118" i="27"/>
  <c r="S117" i="27"/>
  <c r="X116" i="27"/>
  <c r="T115" i="27"/>
  <c r="Y114" i="27"/>
  <c r="U113" i="27"/>
  <c r="AB112" i="27"/>
  <c r="X111" i="27"/>
  <c r="X109" i="27"/>
  <c r="S108" i="27"/>
  <c r="Y107" i="27"/>
  <c r="V106" i="27"/>
  <c r="AB105" i="27"/>
  <c r="S105" i="27"/>
  <c r="Z104" i="27"/>
  <c r="W103" i="27"/>
  <c r="U102" i="27"/>
  <c r="AB101" i="27"/>
  <c r="S101" i="27"/>
  <c r="Z100" i="27"/>
  <c r="W99" i="27"/>
  <c r="T98" i="27"/>
  <c r="Y97" i="27"/>
  <c r="W96" i="27"/>
  <c r="U95" i="27"/>
  <c r="AB94" i="27"/>
  <c r="S94" i="27"/>
  <c r="Z93" i="27"/>
  <c r="X92" i="27"/>
  <c r="U91" i="27"/>
  <c r="Z90" i="27"/>
  <c r="W89" i="27"/>
  <c r="U88" i="27"/>
  <c r="AB87" i="27"/>
  <c r="S87" i="27"/>
  <c r="Z86" i="27"/>
  <c r="X85" i="27"/>
  <c r="V84" i="27"/>
  <c r="AA83" i="27"/>
  <c r="X82" i="27"/>
  <c r="U81" i="27"/>
  <c r="AB80" i="27"/>
  <c r="S80" i="27"/>
  <c r="Z79" i="27"/>
  <c r="X78" i="27"/>
  <c r="U77" i="27"/>
  <c r="AB76" i="27"/>
  <c r="T76" i="27"/>
  <c r="AA75" i="27"/>
  <c r="S75" i="27"/>
  <c r="Z74" i="27"/>
  <c r="Y73" i="27"/>
  <c r="X72" i="27"/>
  <c r="W71" i="27"/>
  <c r="V70" i="27"/>
  <c r="U69" i="27"/>
  <c r="AB68" i="27"/>
  <c r="T68" i="27"/>
  <c r="AA67" i="27"/>
  <c r="S67" i="27"/>
  <c r="Z66" i="27"/>
  <c r="Y65" i="27"/>
  <c r="X64" i="27"/>
  <c r="W63" i="27"/>
  <c r="V62" i="27"/>
  <c r="U61" i="27"/>
  <c r="AB60" i="27"/>
  <c r="T60" i="27"/>
  <c r="AA59" i="27"/>
  <c r="S59" i="27"/>
  <c r="Z58" i="27"/>
  <c r="Y57" i="27"/>
  <c r="X56" i="27"/>
  <c r="W55" i="27"/>
  <c r="V54" i="27"/>
  <c r="U53" i="27"/>
  <c r="AB52" i="27"/>
  <c r="T52" i="27"/>
  <c r="AA51" i="27"/>
  <c r="S51" i="27"/>
  <c r="Z50" i="27"/>
  <c r="Y49" i="27"/>
  <c r="X48" i="27"/>
  <c r="W47" i="27"/>
  <c r="V46" i="27"/>
  <c r="AB45" i="27"/>
  <c r="W44" i="27"/>
  <c r="Y43" i="27"/>
  <c r="AA42" i="27"/>
  <c r="S42" i="27"/>
  <c r="U41" i="27"/>
  <c r="W40" i="27"/>
  <c r="Y39" i="27"/>
  <c r="AA38" i="27"/>
  <c r="S38" i="27"/>
  <c r="U37" i="27"/>
  <c r="W36" i="27"/>
  <c r="Y35" i="27"/>
  <c r="AA34" i="27"/>
  <c r="S34" i="27"/>
  <c r="U33" i="27"/>
  <c r="W32" i="27"/>
  <c r="Y31" i="27"/>
  <c r="AA30" i="27"/>
  <c r="S30" i="27"/>
  <c r="U29" i="27"/>
  <c r="W28" i="27"/>
  <c r="Y27" i="27"/>
  <c r="AA26" i="27"/>
  <c r="S26" i="27"/>
  <c r="U25" i="27"/>
  <c r="W24" i="27"/>
  <c r="Y23" i="27"/>
  <c r="AA22" i="27"/>
  <c r="S22" i="27"/>
  <c r="U21" i="27"/>
  <c r="W20" i="27"/>
  <c r="Y19" i="27"/>
  <c r="AA18" i="27"/>
  <c r="S18" i="27"/>
  <c r="U17" i="27"/>
  <c r="W16" i="27"/>
  <c r="Y15" i="27"/>
  <c r="AA14" i="27"/>
  <c r="S14" i="27"/>
  <c r="U13" i="27"/>
  <c r="W12" i="27"/>
  <c r="Y11" i="27"/>
  <c r="AA10" i="27"/>
  <c r="S10" i="27"/>
  <c r="U9" i="27"/>
  <c r="W8" i="27"/>
  <c r="Y7" i="27"/>
  <c r="AA6" i="27"/>
  <c r="S6" i="27"/>
  <c r="U5" i="27"/>
  <c r="Y2" i="27"/>
  <c r="S607" i="27"/>
  <c r="V518" i="27"/>
  <c r="X431" i="27"/>
  <c r="T383" i="27"/>
  <c r="V380" i="27"/>
  <c r="AA363" i="27"/>
  <c r="Z356" i="27"/>
  <c r="S351" i="27"/>
  <c r="Z338" i="27"/>
  <c r="AA331" i="27"/>
  <c r="AB316" i="27"/>
  <c r="X311" i="27"/>
  <c r="V286" i="27"/>
  <c r="W278" i="27"/>
  <c r="V275" i="27"/>
  <c r="S272" i="27"/>
  <c r="AA263" i="27"/>
  <c r="W262" i="27"/>
  <c r="V257" i="27"/>
  <c r="V252" i="27"/>
  <c r="T251" i="27"/>
  <c r="AB247" i="27"/>
  <c r="X246" i="27"/>
  <c r="V241" i="27"/>
  <c r="V236" i="27"/>
  <c r="T235" i="27"/>
  <c r="AB231" i="27"/>
  <c r="X230" i="27"/>
  <c r="AB212" i="27"/>
  <c r="AB211" i="27"/>
  <c r="AA210" i="27"/>
  <c r="Y209" i="27"/>
  <c r="W208" i="27"/>
  <c r="Z207" i="27"/>
  <c r="Z206" i="27"/>
  <c r="X205" i="27"/>
  <c r="V204" i="27"/>
  <c r="U203" i="27"/>
  <c r="AA202" i="27"/>
  <c r="T198" i="27"/>
  <c r="W197" i="27"/>
  <c r="V196" i="27"/>
  <c r="W195" i="27"/>
  <c r="AB194" i="27"/>
  <c r="T192" i="27"/>
  <c r="W191" i="27"/>
  <c r="Y190" i="27"/>
  <c r="V188" i="27"/>
  <c r="Y187" i="27"/>
  <c r="S186" i="27"/>
  <c r="Z185" i="27"/>
  <c r="X183" i="27"/>
  <c r="AB182" i="27"/>
  <c r="V181" i="27"/>
  <c r="Y180" i="27"/>
  <c r="U178" i="27"/>
  <c r="AB177" i="27"/>
  <c r="U176" i="27"/>
  <c r="Z175" i="27"/>
  <c r="S174" i="27"/>
  <c r="X173" i="27"/>
  <c r="T171" i="27"/>
  <c r="X170" i="27"/>
  <c r="S169" i="27"/>
  <c r="Y168" i="27"/>
  <c r="W166" i="27"/>
  <c r="AA165" i="27"/>
  <c r="V163" i="27"/>
  <c r="AB162" i="27"/>
  <c r="V161" i="27"/>
  <c r="AA160" i="27"/>
  <c r="T159" i="27"/>
  <c r="Y158" i="27"/>
  <c r="V156" i="27"/>
  <c r="Y155" i="27"/>
  <c r="S154" i="27"/>
  <c r="Z153" i="27"/>
  <c r="X151" i="27"/>
  <c r="AB150" i="27"/>
  <c r="V149" i="27"/>
  <c r="Y148" i="27"/>
  <c r="U146" i="27"/>
  <c r="AB145" i="27"/>
  <c r="U144" i="27"/>
  <c r="Z143" i="27"/>
  <c r="S142" i="27"/>
  <c r="Y141" i="27"/>
  <c r="V139" i="27"/>
  <c r="Y138" i="27"/>
  <c r="S137" i="27"/>
  <c r="Z136" i="27"/>
  <c r="X134" i="27"/>
  <c r="AB133" i="27"/>
  <c r="V132" i="27"/>
  <c r="Y131" i="27"/>
  <c r="U129" i="27"/>
  <c r="AB128" i="27"/>
  <c r="U127" i="27"/>
  <c r="Z126" i="27"/>
  <c r="S125" i="27"/>
  <c r="X124" i="27"/>
  <c r="T122" i="27"/>
  <c r="Z121" i="27"/>
  <c r="V120" i="27"/>
  <c r="AA119" i="27"/>
  <c r="W118" i="27"/>
  <c r="AB117" i="27"/>
  <c r="W116" i="27"/>
  <c r="X114" i="27"/>
  <c r="T113" i="27"/>
  <c r="AA112" i="27"/>
  <c r="V111" i="27"/>
  <c r="AB110" i="27"/>
  <c r="W109" i="27"/>
  <c r="W107" i="27"/>
  <c r="U106" i="27"/>
  <c r="AA105" i="27"/>
  <c r="X104" i="27"/>
  <c r="V103" i="27"/>
  <c r="T102" i="27"/>
  <c r="AA101" i="27"/>
  <c r="Y100" i="27"/>
  <c r="V99" i="27"/>
  <c r="AB98" i="27"/>
  <c r="X97" i="27"/>
  <c r="V96" i="27"/>
  <c r="T95" i="27"/>
  <c r="AA94" i="27"/>
  <c r="Y93" i="27"/>
  <c r="W92" i="27"/>
  <c r="S91" i="27"/>
  <c r="Y90" i="27"/>
  <c r="V89" i="27"/>
  <c r="T88" i="27"/>
  <c r="AA87" i="27"/>
  <c r="Y86" i="27"/>
  <c r="W85" i="27"/>
  <c r="T84" i="27"/>
  <c r="Z83" i="27"/>
  <c r="W82" i="27"/>
  <c r="T81" i="27"/>
  <c r="AA80" i="27"/>
  <c r="Y79" i="27"/>
  <c r="V78" i="27"/>
  <c r="T77" i="27"/>
  <c r="AA76" i="27"/>
  <c r="S76" i="27"/>
  <c r="Z75" i="27"/>
  <c r="Y74" i="27"/>
  <c r="X73" i="27"/>
  <c r="W72" i="27"/>
  <c r="V71" i="27"/>
  <c r="U70" i="27"/>
  <c r="AB69" i="27"/>
  <c r="T69" i="27"/>
  <c r="AA68" i="27"/>
  <c r="S68" i="27"/>
  <c r="Z67" i="27"/>
  <c r="Y66" i="27"/>
  <c r="X65" i="27"/>
  <c r="W64" i="27"/>
  <c r="V63" i="27"/>
  <c r="T427" i="27"/>
  <c r="W386" i="27"/>
  <c r="U373" i="27"/>
  <c r="W366" i="27"/>
  <c r="S359" i="27"/>
  <c r="V354" i="27"/>
  <c r="X346" i="27"/>
  <c r="AB341" i="27"/>
  <c r="T336" i="27"/>
  <c r="T329" i="27"/>
  <c r="Z324" i="27"/>
  <c r="S319" i="27"/>
  <c r="Z306" i="27"/>
  <c r="AA299" i="27"/>
  <c r="AB289" i="27"/>
  <c r="X281" i="27"/>
  <c r="AA264" i="27"/>
  <c r="Y263" i="27"/>
  <c r="Z258" i="27"/>
  <c r="X253" i="27"/>
  <c r="T252" i="27"/>
  <c r="AB248" i="27"/>
  <c r="Z247" i="27"/>
  <c r="Z242" i="27"/>
  <c r="X237" i="27"/>
  <c r="T236" i="27"/>
  <c r="AB232" i="27"/>
  <c r="Z231" i="27"/>
  <c r="AB216" i="27"/>
  <c r="AB215" i="27"/>
  <c r="AA214" i="27"/>
  <c r="Y213" i="27"/>
  <c r="W212" i="27"/>
  <c r="Z211" i="27"/>
  <c r="Z210" i="27"/>
  <c r="X209" i="27"/>
  <c r="V208" i="27"/>
  <c r="U207" i="27"/>
  <c r="X206" i="27"/>
  <c r="V205" i="27"/>
  <c r="T204" i="27"/>
  <c r="T203" i="27"/>
  <c r="Y202" i="27"/>
  <c r="Z201" i="27"/>
  <c r="S197" i="27"/>
  <c r="U196" i="27"/>
  <c r="U195" i="27"/>
  <c r="AA194" i="27"/>
  <c r="S191" i="27"/>
  <c r="W190" i="27"/>
  <c r="W548" i="27"/>
  <c r="X423" i="27"/>
  <c r="W404" i="27"/>
  <c r="W349" i="27"/>
  <c r="V322" i="27"/>
  <c r="X314" i="27"/>
  <c r="AB309" i="27"/>
  <c r="T304" i="27"/>
  <c r="T297" i="27"/>
  <c r="Z292" i="27"/>
  <c r="T284" i="27"/>
  <c r="V273" i="27"/>
  <c r="W270" i="27"/>
  <c r="Y267" i="27"/>
  <c r="U264" i="27"/>
  <c r="S263" i="27"/>
  <c r="AA259" i="27"/>
  <c r="X258" i="27"/>
  <c r="V253" i="27"/>
  <c r="V248" i="27"/>
  <c r="T247" i="27"/>
  <c r="AB243" i="27"/>
  <c r="X242" i="27"/>
  <c r="V237" i="27"/>
  <c r="V232" i="27"/>
  <c r="T231" i="27"/>
  <c r="AB220" i="27"/>
  <c r="AB219" i="27"/>
  <c r="AA218" i="27"/>
  <c r="Y217" i="27"/>
  <c r="W216" i="27"/>
  <c r="Z215" i="27"/>
  <c r="Z214" i="27"/>
  <c r="X213" i="27"/>
  <c r="V212" i="27"/>
  <c r="U211" i="27"/>
  <c r="X210" i="27"/>
  <c r="V209" i="27"/>
  <c r="T208" i="27"/>
  <c r="T207" i="27"/>
  <c r="S206" i="27"/>
  <c r="X202" i="27"/>
  <c r="Y201" i="27"/>
  <c r="Y200" i="27"/>
  <c r="AB199" i="27"/>
  <c r="T195" i="27"/>
  <c r="W194" i="27"/>
  <c r="AA193" i="27"/>
  <c r="V190" i="27"/>
  <c r="Z189" i="27"/>
  <c r="V187" i="27"/>
  <c r="AB186" i="27"/>
  <c r="V185" i="27"/>
  <c r="AA184" i="27"/>
  <c r="T183" i="27"/>
  <c r="Y182" i="27"/>
  <c r="V180" i="27"/>
  <c r="Y179" i="27"/>
  <c r="S178" i="27"/>
  <c r="Z177" i="27"/>
  <c r="X175" i="27"/>
  <c r="AB174" i="27"/>
  <c r="V173" i="27"/>
  <c r="Y172" i="27"/>
  <c r="U170" i="27"/>
  <c r="AB169" i="27"/>
  <c r="U168" i="27"/>
  <c r="Z167" i="27"/>
  <c r="S166" i="27"/>
  <c r="X165" i="27"/>
  <c r="T163" i="27"/>
  <c r="X162" i="27"/>
  <c r="S161" i="27"/>
  <c r="Y160" i="27"/>
  <c r="W158" i="27"/>
  <c r="AA157" i="27"/>
  <c r="V155" i="27"/>
  <c r="AB154" i="27"/>
  <c r="V153" i="27"/>
  <c r="AA152" i="27"/>
  <c r="T151" i="27"/>
  <c r="Y150" i="27"/>
  <c r="V148" i="27"/>
  <c r="Y147" i="27"/>
  <c r="S146" i="27"/>
  <c r="Z145" i="27"/>
  <c r="X143" i="27"/>
  <c r="AB142" i="27"/>
  <c r="W141" i="27"/>
  <c r="AA140" i="27"/>
  <c r="V138" i="27"/>
  <c r="AB137" i="27"/>
  <c r="V136" i="27"/>
  <c r="AA135" i="27"/>
  <c r="T134" i="27"/>
  <c r="Y133" i="27"/>
  <c r="V131" i="27"/>
  <c r="Y130" i="27"/>
  <c r="S129" i="27"/>
  <c r="Z128" i="27"/>
  <c r="X126" i="27"/>
  <c r="AB125" i="27"/>
  <c r="V124" i="27"/>
  <c r="Y123" i="27"/>
  <c r="W121" i="27"/>
  <c r="S120" i="27"/>
  <c r="Y119" i="27"/>
  <c r="T118" i="27"/>
  <c r="Y117" i="27"/>
  <c r="U116" i="27"/>
  <c r="Z115" i="27"/>
  <c r="U114" i="27"/>
  <c r="AB113" i="27"/>
  <c r="Y112" i="27"/>
  <c r="S111" i="27"/>
  <c r="Y110" i="27"/>
  <c r="T109" i="27"/>
  <c r="Z108" i="27"/>
  <c r="U107" i="27"/>
  <c r="AB106" i="27"/>
  <c r="X105" i="27"/>
  <c r="V104" i="27"/>
  <c r="T103" i="27"/>
  <c r="AA102" i="27"/>
  <c r="Y101" i="27"/>
  <c r="W100" i="27"/>
  <c r="S99" i="27"/>
  <c r="Y98" i="27"/>
  <c r="V97" i="27"/>
  <c r="T96" i="27"/>
  <c r="AA95" i="27"/>
  <c r="Y94" i="27"/>
  <c r="W93" i="27"/>
  <c r="T92" i="27"/>
  <c r="Z91" i="27"/>
  <c r="W90" i="27"/>
  <c r="T89" i="27"/>
  <c r="AA88" i="27"/>
  <c r="Y87" i="27"/>
  <c r="V86" i="27"/>
  <c r="T85" i="27"/>
  <c r="AA84" i="27"/>
  <c r="X83" i="27"/>
  <c r="U82" i="27"/>
  <c r="AA81" i="27"/>
  <c r="X80" i="27"/>
  <c r="V79" i="27"/>
  <c r="T78" i="27"/>
  <c r="AA77" i="27"/>
  <c r="Y76" i="27"/>
  <c r="X75" i="27"/>
  <c r="W74" i="27"/>
  <c r="V73" i="27"/>
  <c r="U72" i="27"/>
  <c r="AB71" i="27"/>
  <c r="T71" i="27"/>
  <c r="AA70" i="27"/>
  <c r="S70" i="27"/>
  <c r="Z69" i="27"/>
  <c r="Y68" i="27"/>
  <c r="X67" i="27"/>
  <c r="W66" i="27"/>
  <c r="V65" i="27"/>
  <c r="U64" i="27"/>
  <c r="AB63" i="27"/>
  <c r="T63" i="27"/>
  <c r="AA62" i="27"/>
  <c r="S62" i="27"/>
  <c r="Z61" i="27"/>
  <c r="Y60" i="27"/>
  <c r="X59" i="27"/>
  <c r="W58" i="27"/>
  <c r="V57" i="27"/>
  <c r="U56" i="27"/>
  <c r="AB55" i="27"/>
  <c r="T55" i="27"/>
  <c r="AA54" i="27"/>
  <c r="S54" i="27"/>
  <c r="Z53" i="27"/>
  <c r="Y52" i="27"/>
  <c r="X51" i="27"/>
  <c r="W50" i="27"/>
  <c r="V49" i="27"/>
  <c r="U48" i="27"/>
  <c r="AB47" i="27"/>
  <c r="T47" i="27"/>
  <c r="AA46" i="27"/>
  <c r="S46" i="27"/>
  <c r="Y45" i="27"/>
  <c r="AB44" i="27"/>
  <c r="T44" i="27"/>
  <c r="V43" i="27"/>
  <c r="X42" i="27"/>
  <c r="Z41" i="27"/>
  <c r="AB40" i="27"/>
  <c r="T40" i="27"/>
  <c r="V39" i="27"/>
  <c r="X38" i="27"/>
  <c r="Z37" i="27"/>
  <c r="AB36" i="27"/>
  <c r="T36" i="27"/>
  <c r="V35" i="27"/>
  <c r="X34" i="27"/>
  <c r="Z33" i="27"/>
  <c r="AB32" i="27"/>
  <c r="T32" i="27"/>
  <c r="V31" i="27"/>
  <c r="X30" i="27"/>
  <c r="Z29" i="27"/>
  <c r="AB28" i="27"/>
  <c r="T28" i="27"/>
  <c r="V27" i="27"/>
  <c r="X26" i="27"/>
  <c r="Z25" i="27"/>
  <c r="AB24" i="27"/>
  <c r="T24" i="27"/>
  <c r="V23" i="27"/>
  <c r="X22" i="27"/>
  <c r="Z21" i="27"/>
  <c r="AB20" i="27"/>
  <c r="T20" i="27"/>
  <c r="V19" i="27"/>
  <c r="X18" i="27"/>
  <c r="Z17" i="27"/>
  <c r="AB16" i="27"/>
  <c r="T16" i="27"/>
  <c r="V15" i="27"/>
  <c r="X14" i="27"/>
  <c r="Z13" i="27"/>
  <c r="AB12" i="27"/>
  <c r="T12" i="27"/>
  <c r="V11" i="27"/>
  <c r="X10" i="27"/>
  <c r="Z9" i="27"/>
  <c r="AB8" i="27"/>
  <c r="T8" i="27"/>
  <c r="V7" i="27"/>
  <c r="X6" i="27"/>
  <c r="Z5" i="27"/>
  <c r="V2" i="27"/>
  <c r="W698" i="27"/>
  <c r="T400" i="27"/>
  <c r="Y387" i="27"/>
  <c r="W384" i="27"/>
  <c r="Y381" i="27"/>
  <c r="AA371" i="27"/>
  <c r="U364" i="27"/>
  <c r="U357" i="27"/>
  <c r="AA352" i="27"/>
  <c r="Y339" i="27"/>
  <c r="U332" i="27"/>
  <c r="AB327" i="27"/>
  <c r="W317" i="27"/>
  <c r="AB287" i="27"/>
  <c r="AA279" i="27"/>
  <c r="Y276" i="27"/>
  <c r="S264" i="27"/>
  <c r="AA260" i="27"/>
  <c r="Y259" i="27"/>
  <c r="Z254" i="27"/>
  <c r="X249" i="27"/>
  <c r="T248" i="27"/>
  <c r="AB244" i="27"/>
  <c r="Z243" i="27"/>
  <c r="Z238" i="27"/>
  <c r="X233" i="27"/>
  <c r="T232" i="27"/>
  <c r="AB224" i="27"/>
  <c r="AB223" i="27"/>
  <c r="AA222" i="27"/>
  <c r="Y221" i="27"/>
  <c r="W220" i="27"/>
  <c r="Z219" i="27"/>
  <c r="Z218" i="27"/>
  <c r="X217" i="27"/>
  <c r="V216" i="27"/>
  <c r="U215" i="27"/>
  <c r="X214" i="27"/>
  <c r="V213" i="27"/>
  <c r="T212" i="27"/>
  <c r="T211" i="27"/>
  <c r="S210" i="27"/>
  <c r="T202" i="27"/>
  <c r="W201" i="27"/>
  <c r="X200" i="27"/>
  <c r="AA199" i="27"/>
  <c r="V194" i="27"/>
  <c r="Z193" i="27"/>
  <c r="U190" i="27"/>
  <c r="Y189" i="27"/>
  <c r="U187" i="27"/>
  <c r="AA186" i="27"/>
  <c r="T185" i="27"/>
  <c r="Z184" i="27"/>
  <c r="X182" i="27"/>
  <c r="U180" i="27"/>
  <c r="X179" i="27"/>
  <c r="W177" i="27"/>
  <c r="U175" i="27"/>
  <c r="AA174" i="27"/>
  <c r="S173" i="27"/>
  <c r="W172" i="27"/>
  <c r="AB171" i="27"/>
  <c r="T170" i="27"/>
  <c r="AA169" i="27"/>
  <c r="S168" i="27"/>
  <c r="Y167" i="27"/>
  <c r="W165" i="27"/>
  <c r="Z164" i="27"/>
  <c r="W162" i="27"/>
  <c r="V160" i="27"/>
  <c r="AB159" i="27"/>
  <c r="T158" i="27"/>
  <c r="Z157" i="27"/>
  <c r="U155" i="27"/>
  <c r="AA154" i="27"/>
  <c r="T153" i="27"/>
  <c r="Z152" i="27"/>
  <c r="X150" i="27"/>
  <c r="U148" i="27"/>
  <c r="X147" i="27"/>
  <c r="W145" i="27"/>
  <c r="U143" i="27"/>
  <c r="AA142" i="27"/>
  <c r="T141" i="27"/>
  <c r="Z140" i="27"/>
  <c r="U138" i="27"/>
  <c r="AA137" i="27"/>
  <c r="T136" i="27"/>
  <c r="Z135" i="27"/>
  <c r="X133" i="27"/>
  <c r="U131" i="27"/>
  <c r="X130" i="27"/>
  <c r="W128" i="27"/>
  <c r="U126" i="27"/>
  <c r="AA125" i="27"/>
  <c r="S124" i="27"/>
  <c r="W123" i="27"/>
  <c r="AB122" i="27"/>
  <c r="U121" i="27"/>
  <c r="AB120" i="27"/>
  <c r="X119" i="27"/>
  <c r="X117" i="27"/>
  <c r="S116" i="27"/>
  <c r="Y115" i="27"/>
  <c r="T114" i="27"/>
  <c r="AA113" i="27"/>
  <c r="W112" i="27"/>
  <c r="X110" i="27"/>
  <c r="S109" i="27"/>
  <c r="X108" i="27"/>
  <c r="T107" i="27"/>
  <c r="Z106" i="27"/>
  <c r="W105" i="27"/>
  <c r="U104" i="27"/>
  <c r="AB103" i="27"/>
  <c r="S103" i="27"/>
  <c r="Z102" i="27"/>
  <c r="X101" i="27"/>
  <c r="V100" i="27"/>
  <c r="AA99" i="27"/>
  <c r="X98" i="27"/>
  <c r="U97" i="27"/>
  <c r="AB96" i="27"/>
  <c r="S96" i="27"/>
  <c r="Z95" i="27"/>
  <c r="X94" i="27"/>
  <c r="U93" i="27"/>
  <c r="AB92" i="27"/>
  <c r="S92" i="27"/>
  <c r="Y91" i="27"/>
  <c r="V90" i="27"/>
  <c r="AB89" i="27"/>
  <c r="S89" i="27"/>
  <c r="Z88" i="27"/>
  <c r="W87" i="27"/>
  <c r="U86" i="27"/>
  <c r="AB85" i="27"/>
  <c r="S85" i="27"/>
  <c r="Z84" i="27"/>
  <c r="W83" i="27"/>
  <c r="T82" i="27"/>
  <c r="Y81" i="27"/>
  <c r="W80" i="27"/>
  <c r="U79" i="27"/>
  <c r="AB78" i="27"/>
  <c r="S78" i="27"/>
  <c r="Z77" i="27"/>
  <c r="X76" i="27"/>
  <c r="W75" i="27"/>
  <c r="V74" i="27"/>
  <c r="U73" i="27"/>
  <c r="AB72" i="27"/>
  <c r="T72" i="27"/>
  <c r="AA71" i="27"/>
  <c r="S71" i="27"/>
  <c r="Z70" i="27"/>
  <c r="Y69" i="27"/>
  <c r="X68" i="27"/>
  <c r="W67" i="27"/>
  <c r="V66" i="27"/>
  <c r="U65" i="27"/>
  <c r="AB64" i="27"/>
  <c r="T64" i="27"/>
  <c r="AA63" i="27"/>
  <c r="S63" i="27"/>
  <c r="Z62" i="27"/>
  <c r="Y61" i="27"/>
  <c r="X60" i="27"/>
  <c r="W59" i="27"/>
  <c r="V58" i="27"/>
  <c r="U57" i="27"/>
  <c r="AB56" i="27"/>
  <c r="T56" i="27"/>
  <c r="AA55" i="27"/>
  <c r="S55" i="27"/>
  <c r="Z54" i="27"/>
  <c r="Y53" i="27"/>
  <c r="X52" i="27"/>
  <c r="W51" i="27"/>
  <c r="V50" i="27"/>
  <c r="U49" i="27"/>
  <c r="AB48" i="27"/>
  <c r="T48" i="27"/>
  <c r="AA47" i="27"/>
  <c r="S47" i="27"/>
  <c r="Z46" i="27"/>
  <c r="X45" i="27"/>
  <c r="AA44" i="27"/>
  <c r="S44" i="27"/>
  <c r="U43" i="27"/>
  <c r="W42" i="27"/>
  <c r="Y41" i="27"/>
  <c r="AA40" i="27"/>
  <c r="S40" i="27"/>
  <c r="U39" i="27"/>
  <c r="W38" i="27"/>
  <c r="Y37" i="27"/>
  <c r="AA36" i="27"/>
  <c r="S36" i="27"/>
  <c r="U35" i="27"/>
  <c r="W34" i="27"/>
  <c r="Y33" i="27"/>
  <c r="AA32" i="27"/>
  <c r="S32" i="27"/>
  <c r="U31" i="27"/>
  <c r="W30" i="27"/>
  <c r="Y29" i="27"/>
  <c r="AA28" i="27"/>
  <c r="S28" i="27"/>
  <c r="U27" i="27"/>
  <c r="W26" i="27"/>
  <c r="Y25" i="27"/>
  <c r="AA24" i="27"/>
  <c r="S24" i="27"/>
  <c r="U23" i="27"/>
  <c r="W22" i="27"/>
  <c r="Y21" i="27"/>
  <c r="AA20" i="27"/>
  <c r="S20" i="27"/>
  <c r="U19" i="27"/>
  <c r="W18" i="27"/>
  <c r="Y17" i="27"/>
  <c r="AA16" i="27"/>
  <c r="S16" i="27"/>
  <c r="U15" i="27"/>
  <c r="W14" i="27"/>
  <c r="Y13" i="27"/>
  <c r="AA12" i="27"/>
  <c r="S12" i="27"/>
  <c r="U11" i="27"/>
  <c r="W10" i="27"/>
  <c r="Y9" i="27"/>
  <c r="AA8" i="27"/>
  <c r="S8" i="27"/>
  <c r="U7" i="27"/>
  <c r="W6" i="27"/>
  <c r="Y5" i="27"/>
  <c r="U2" i="27"/>
  <c r="V496" i="27"/>
  <c r="AA481" i="27"/>
  <c r="V466" i="27"/>
  <c r="Z447" i="27"/>
  <c r="T413" i="27"/>
  <c r="U396" i="27"/>
  <c r="W374" i="27"/>
  <c r="S367" i="27"/>
  <c r="T347" i="27"/>
  <c r="Y342" i="27"/>
  <c r="U325" i="27"/>
  <c r="AA320" i="27"/>
  <c r="Y307" i="27"/>
  <c r="U300" i="27"/>
  <c r="AB295" i="27"/>
  <c r="X290" i="27"/>
  <c r="T282" i="27"/>
  <c r="AA268" i="27"/>
  <c r="U265" i="27"/>
  <c r="U260" i="27"/>
  <c r="S259" i="27"/>
  <c r="AB255" i="27"/>
  <c r="X254" i="27"/>
  <c r="V249" i="27"/>
  <c r="V244" i="27"/>
  <c r="T243" i="27"/>
  <c r="AB239" i="27"/>
  <c r="X238" i="27"/>
  <c r="V233" i="27"/>
  <c r="AB228" i="27"/>
  <c r="AB227" i="27"/>
  <c r="AA226" i="27"/>
  <c r="Y225" i="27"/>
  <c r="W224" i="27"/>
  <c r="Z223" i="27"/>
  <c r="Z222" i="27"/>
  <c r="X221" i="27"/>
  <c r="V220" i="27"/>
  <c r="U219" i="27"/>
  <c r="X218" i="27"/>
  <c r="V217" i="27"/>
  <c r="T216" i="27"/>
  <c r="T215" i="27"/>
  <c r="S214" i="27"/>
  <c r="S202" i="27"/>
  <c r="V201" i="27"/>
  <c r="V200" i="27"/>
  <c r="W199" i="27"/>
  <c r="AB198" i="27"/>
  <c r="T194" i="27"/>
  <c r="V193" i="27"/>
  <c r="AB192" i="27"/>
  <c r="W189" i="27"/>
  <c r="T187" i="27"/>
  <c r="X186" i="27"/>
  <c r="S185" i="27"/>
  <c r="Y184" i="27"/>
  <c r="W182" i="27"/>
  <c r="AA181" i="27"/>
  <c r="V179" i="27"/>
  <c r="AB178" i="27"/>
  <c r="V177" i="27"/>
  <c r="AA176" i="27"/>
  <c r="T175" i="27"/>
  <c r="Y174" i="27"/>
  <c r="V172" i="27"/>
  <c r="Y171" i="27"/>
  <c r="S170" i="27"/>
  <c r="Z169" i="27"/>
  <c r="X167" i="27"/>
  <c r="AB166" i="27"/>
  <c r="V165" i="27"/>
  <c r="Y164" i="27"/>
  <c r="U162" i="27"/>
  <c r="AB161" i="27"/>
  <c r="U160" i="27"/>
  <c r="Z159" i="27"/>
  <c r="S158" i="27"/>
  <c r="X157" i="27"/>
  <c r="T155" i="27"/>
  <c r="X154" i="27"/>
  <c r="S153" i="27"/>
  <c r="Y152" i="27"/>
  <c r="W150" i="27"/>
  <c r="AA149" i="27"/>
  <c r="V147" i="27"/>
  <c r="AB146" i="27"/>
  <c r="V145" i="27"/>
  <c r="AA144" i="27"/>
  <c r="T143" i="27"/>
  <c r="Y142" i="27"/>
  <c r="S141" i="27"/>
  <c r="X140" i="27"/>
  <c r="T138" i="27"/>
  <c r="X137" i="27"/>
  <c r="S136" i="27"/>
  <c r="Y135" i="27"/>
  <c r="W133" i="27"/>
  <c r="AA132" i="27"/>
  <c r="V130" i="27"/>
  <c r="AB129" i="27"/>
  <c r="V128" i="27"/>
  <c r="AA127" i="27"/>
  <c r="T126" i="27"/>
  <c r="Y125" i="27"/>
  <c r="V123" i="27"/>
  <c r="Y122" i="27"/>
  <c r="T121" i="27"/>
  <c r="AA120" i="27"/>
  <c r="V119" i="27"/>
  <c r="AB118" i="27"/>
  <c r="W117" i="27"/>
  <c r="W115" i="27"/>
  <c r="S114" i="27"/>
  <c r="Z113" i="27"/>
  <c r="V112" i="27"/>
  <c r="AA111" i="27"/>
  <c r="W110" i="27"/>
  <c r="AB109" i="27"/>
  <c r="W108" i="27"/>
  <c r="Y106" i="27"/>
  <c r="V105" i="27"/>
  <c r="T104" i="27"/>
  <c r="AA103" i="27"/>
  <c r="Y102" i="27"/>
  <c r="W101" i="27"/>
  <c r="T100" i="27"/>
  <c r="Z99" i="27"/>
  <c r="W98" i="27"/>
  <c r="T97" i="27"/>
  <c r="AA96" i="27"/>
  <c r="Y95" i="27"/>
  <c r="V94" i="27"/>
  <c r="T93" i="27"/>
  <c r="AA92" i="27"/>
  <c r="X91" i="27"/>
  <c r="U90" i="27"/>
  <c r="AA89" i="27"/>
  <c r="X88" i="27"/>
  <c r="V87" i="27"/>
  <c r="T86" i="27"/>
  <c r="AA85" i="27"/>
  <c r="Y84" i="27"/>
  <c r="V83" i="27"/>
  <c r="AB82" i="27"/>
  <c r="X81" i="27"/>
  <c r="V80" i="27"/>
  <c r="T79" i="27"/>
  <c r="AA78" i="27"/>
  <c r="Y77" i="27"/>
  <c r="W76" i="27"/>
  <c r="V75" i="27"/>
  <c r="U74" i="27"/>
  <c r="AB73" i="27"/>
  <c r="T73" i="27"/>
  <c r="AA72" i="27"/>
  <c r="S72" i="27"/>
  <c r="Z71" i="27"/>
  <c r="Y70" i="27"/>
  <c r="X69" i="27"/>
  <c r="W68" i="27"/>
  <c r="V67" i="27"/>
  <c r="U66" i="27"/>
  <c r="AB65" i="27"/>
  <c r="T65" i="27"/>
  <c r="AA64" i="27"/>
  <c r="S64" i="27"/>
  <c r="Z63" i="27"/>
  <c r="Y62" i="27"/>
  <c r="X61" i="27"/>
  <c r="W60" i="27"/>
  <c r="V59" i="27"/>
  <c r="U58" i="27"/>
  <c r="AB57" i="27"/>
  <c r="T57" i="27"/>
  <c r="AA56" i="27"/>
  <c r="S56" i="27"/>
  <c r="Z55" i="27"/>
  <c r="Y54" i="27"/>
  <c r="X53" i="27"/>
  <c r="W52" i="27"/>
  <c r="V51" i="27"/>
  <c r="U50" i="27"/>
  <c r="AB49" i="27"/>
  <c r="T49" i="27"/>
  <c r="AA48" i="27"/>
  <c r="S48" i="27"/>
  <c r="Z47" i="27"/>
  <c r="Y46" i="27"/>
  <c r="W45" i="27"/>
  <c r="Z44" i="27"/>
  <c r="AB43" i="27"/>
  <c r="T43" i="27"/>
  <c r="V42" i="27"/>
  <c r="X41" i="27"/>
  <c r="Z40" i="27"/>
  <c r="AB39" i="27"/>
  <c r="T39" i="27"/>
  <c r="V38" i="27"/>
  <c r="X37" i="27"/>
  <c r="Z36" i="27"/>
  <c r="AB35" i="27"/>
  <c r="T35" i="27"/>
  <c r="V34" i="27"/>
  <c r="X33" i="27"/>
  <c r="Z32" i="27"/>
  <c r="AB31" i="27"/>
  <c r="T31" i="27"/>
  <c r="V30" i="27"/>
  <c r="X29" i="27"/>
  <c r="Z28" i="27"/>
  <c r="AB27" i="27"/>
  <c r="T27" i="27"/>
  <c r="V26" i="27"/>
  <c r="X25" i="27"/>
  <c r="Z24" i="27"/>
  <c r="AB23" i="27"/>
  <c r="T23" i="27"/>
  <c r="V22" i="27"/>
  <c r="X21" i="27"/>
  <c r="Z20" i="27"/>
  <c r="AB19" i="27"/>
  <c r="T19" i="27"/>
  <c r="V18" i="27"/>
  <c r="X17" i="27"/>
  <c r="Z16" i="27"/>
  <c r="AB15" i="27"/>
  <c r="T15" i="27"/>
  <c r="V14" i="27"/>
  <c r="X13" i="27"/>
  <c r="Z12" i="27"/>
  <c r="AB11" i="27"/>
  <c r="T11" i="27"/>
  <c r="V10" i="27"/>
  <c r="X9" i="27"/>
  <c r="Z8" i="27"/>
  <c r="AB7" i="27"/>
  <c r="T7" i="27"/>
  <c r="V6" i="27"/>
  <c r="X5" i="27"/>
  <c r="AB2" i="27"/>
  <c r="X537" i="27"/>
  <c r="Z511" i="27"/>
  <c r="AA492" i="27"/>
  <c r="X477" i="27"/>
  <c r="AA462" i="27"/>
  <c r="X443" i="27"/>
  <c r="Y409" i="27"/>
  <c r="AA392" i="27"/>
  <c r="W350" i="27"/>
  <c r="T315" i="27"/>
  <c r="Y310" i="27"/>
  <c r="U293" i="27"/>
  <c r="X285" i="27"/>
  <c r="AB277" i="27"/>
  <c r="Z274" i="27"/>
  <c r="Y271" i="27"/>
  <c r="S268" i="27"/>
  <c r="W261" i="27"/>
  <c r="S260" i="27"/>
  <c r="AB256" i="27"/>
  <c r="Z255" i="27"/>
  <c r="Z250" i="27"/>
  <c r="X245" i="27"/>
  <c r="T244" i="27"/>
  <c r="AB240" i="27"/>
  <c r="Z239" i="27"/>
  <c r="Z234" i="27"/>
  <c r="Y229" i="27"/>
  <c r="W228" i="27"/>
  <c r="Z227" i="27"/>
  <c r="Z226" i="27"/>
  <c r="X225" i="27"/>
  <c r="V224" i="27"/>
  <c r="U223" i="27"/>
  <c r="X222" i="27"/>
  <c r="V221" i="27"/>
  <c r="T220" i="27"/>
  <c r="T219" i="27"/>
  <c r="S218" i="27"/>
  <c r="U200" i="27"/>
  <c r="V199" i="27"/>
  <c r="Z198" i="27"/>
  <c r="AA197" i="27"/>
  <c r="S194" i="27"/>
  <c r="U193" i="27"/>
  <c r="Z192" i="27"/>
  <c r="AA191" i="27"/>
  <c r="V189" i="27"/>
  <c r="Z188" i="27"/>
  <c r="W186" i="27"/>
  <c r="V184" i="27"/>
  <c r="AB183" i="27"/>
  <c r="T182" i="27"/>
  <c r="Z181" i="27"/>
  <c r="U179" i="27"/>
  <c r="AA178" i="27"/>
  <c r="T177" i="27"/>
  <c r="Z176" i="27"/>
  <c r="X174" i="27"/>
  <c r="U172" i="27"/>
  <c r="X171" i="27"/>
  <c r="W169" i="27"/>
  <c r="U167" i="27"/>
  <c r="AA166" i="27"/>
  <c r="S165" i="27"/>
  <c r="W164" i="27"/>
  <c r="AB163" i="27"/>
  <c r="T162" i="27"/>
  <c r="AA161" i="27"/>
  <c r="S160" i="27"/>
  <c r="Y159" i="27"/>
  <c r="W157" i="27"/>
  <c r="Z156" i="27"/>
  <c r="W154" i="27"/>
  <c r="V152" i="27"/>
  <c r="AB151" i="27"/>
  <c r="T150" i="27"/>
  <c r="Z149" i="27"/>
  <c r="U147" i="27"/>
  <c r="AA146" i="27"/>
  <c r="T145" i="27"/>
  <c r="Z144" i="27"/>
  <c r="X142" i="27"/>
  <c r="W140" i="27"/>
  <c r="Z139" i="27"/>
  <c r="W137" i="27"/>
  <c r="V135" i="27"/>
  <c r="AB134" i="27"/>
  <c r="T133" i="27"/>
  <c r="Z132" i="27"/>
  <c r="U130" i="27"/>
  <c r="AA129" i="27"/>
  <c r="T128" i="27"/>
  <c r="Z127" i="27"/>
  <c r="X125" i="27"/>
  <c r="U123" i="27"/>
  <c r="X122" i="27"/>
  <c r="S121" i="27"/>
  <c r="Z120" i="27"/>
  <c r="U119" i="27"/>
  <c r="Z118" i="27"/>
  <c r="V117" i="27"/>
  <c r="AA116" i="27"/>
  <c r="V115" i="27"/>
  <c r="AB114" i="27"/>
  <c r="X113" i="27"/>
  <c r="T112" i="27"/>
  <c r="Z111" i="27"/>
  <c r="U110" i="27"/>
  <c r="AA109" i="27"/>
  <c r="V108" i="27"/>
  <c r="AB107" i="27"/>
  <c r="X106" i="27"/>
  <c r="U105" i="27"/>
  <c r="AB104" i="27"/>
  <c r="S104" i="27"/>
  <c r="Z103" i="27"/>
  <c r="X102" i="27"/>
  <c r="U101" i="27"/>
  <c r="AB100" i="27"/>
  <c r="S100" i="27"/>
  <c r="Y99" i="27"/>
  <c r="V98" i="27"/>
  <c r="AB97" i="27"/>
  <c r="S97" i="27"/>
  <c r="Z96" i="27"/>
  <c r="W95" i="27"/>
  <c r="U94" i="27"/>
  <c r="AB93" i="27"/>
  <c r="S93" i="27"/>
  <c r="Z92" i="27"/>
  <c r="W91" i="27"/>
  <c r="T90" i="27"/>
  <c r="Y89" i="27"/>
  <c r="W88" i="27"/>
  <c r="U87" i="27"/>
  <c r="AB86" i="27"/>
  <c r="S86" i="27"/>
  <c r="Z85" i="27"/>
  <c r="X84" i="27"/>
  <c r="U83" i="27"/>
  <c r="Z82" i="27"/>
  <c r="W81" i="27"/>
  <c r="U80" i="27"/>
  <c r="AB79" i="27"/>
  <c r="S79" i="27"/>
  <c r="Z78" i="27"/>
  <c r="X77" i="27"/>
  <c r="V76" i="27"/>
  <c r="U75" i="27"/>
  <c r="AB74" i="27"/>
  <c r="T74" i="27"/>
  <c r="AA73" i="27"/>
  <c r="S73" i="27"/>
  <c r="Z72" i="27"/>
  <c r="Y71" i="27"/>
  <c r="X70" i="27"/>
  <c r="W69" i="27"/>
  <c r="V68" i="27"/>
  <c r="U67" i="27"/>
  <c r="AB66" i="27"/>
  <c r="T66" i="27"/>
  <c r="AA65" i="27"/>
  <c r="S65" i="27"/>
  <c r="Z64" i="27"/>
  <c r="Y63" i="27"/>
  <c r="X62" i="27"/>
  <c r="W61" i="27"/>
  <c r="V60" i="27"/>
  <c r="U59" i="27"/>
  <c r="AB58" i="27"/>
  <c r="T58" i="27"/>
  <c r="AA57" i="27"/>
  <c r="S57" i="27"/>
  <c r="Z56" i="27"/>
  <c r="Y55" i="27"/>
  <c r="X54" i="27"/>
  <c r="W53" i="27"/>
  <c r="V52" i="27"/>
  <c r="U51" i="27"/>
  <c r="AB50" i="27"/>
  <c r="T50" i="27"/>
  <c r="AA49" i="27"/>
  <c r="S49" i="27"/>
  <c r="Z48" i="27"/>
  <c r="Y47" i="27"/>
  <c r="X46" i="27"/>
  <c r="S45" i="27"/>
  <c r="Y44" i="27"/>
  <c r="AA43" i="27"/>
  <c r="S43" i="27"/>
  <c r="U42" i="27"/>
  <c r="W41" i="27"/>
  <c r="Y40" i="27"/>
  <c r="AA39" i="27"/>
  <c r="S39" i="27"/>
  <c r="U38" i="27"/>
  <c r="W37" i="27"/>
  <c r="Y36" i="27"/>
  <c r="AA35" i="27"/>
  <c r="S35" i="27"/>
  <c r="U34" i="27"/>
  <c r="W33" i="27"/>
  <c r="Y32" i="27"/>
  <c r="AA31" i="27"/>
  <c r="S31" i="27"/>
  <c r="U30" i="27"/>
  <c r="W29" i="27"/>
  <c r="Y28" i="27"/>
  <c r="AA27" i="27"/>
  <c r="S27" i="27"/>
  <c r="U26" i="27"/>
  <c r="W25" i="27"/>
  <c r="Y24" i="27"/>
  <c r="AA23" i="27"/>
  <c r="S23" i="27"/>
  <c r="U22" i="27"/>
  <c r="W21" i="27"/>
  <c r="Y20" i="27"/>
  <c r="AA19" i="27"/>
  <c r="S19" i="27"/>
  <c r="U18" i="27"/>
  <c r="W17" i="27"/>
  <c r="Y16" i="27"/>
  <c r="AA15" i="27"/>
  <c r="S15" i="27"/>
  <c r="U14" i="27"/>
  <c r="W13" i="27"/>
  <c r="Y12" i="27"/>
  <c r="AA11" i="27"/>
  <c r="S11" i="27"/>
  <c r="U10" i="27"/>
  <c r="W9" i="27"/>
  <c r="Y8" i="27"/>
  <c r="AA7" i="27"/>
  <c r="S7" i="27"/>
  <c r="U6" i="27"/>
  <c r="W5" i="27"/>
  <c r="AA2" i="27"/>
  <c r="S2" i="27"/>
  <c r="X558" i="27"/>
  <c r="AA540" i="27"/>
  <c r="W526" i="27"/>
  <c r="X507" i="27"/>
  <c r="AA488" i="27"/>
  <c r="U473" i="27"/>
  <c r="AA458" i="27"/>
  <c r="U439" i="27"/>
  <c r="AB388" i="27"/>
  <c r="T385" i="27"/>
  <c r="U382" i="27"/>
  <c r="AB379" i="27"/>
  <c r="U372" i="27"/>
  <c r="U365" i="27"/>
  <c r="W358" i="27"/>
  <c r="V353" i="27"/>
  <c r="X345" i="27"/>
  <c r="S340" i="27"/>
  <c r="Z335" i="27"/>
  <c r="V328" i="27"/>
  <c r="W318" i="27"/>
  <c r="V288" i="27"/>
  <c r="U280" i="27"/>
  <c r="S277" i="27"/>
  <c r="U261" i="27"/>
  <c r="V256" i="27"/>
  <c r="T255" i="27"/>
  <c r="AB251" i="27"/>
  <c r="X250" i="27"/>
  <c r="V245" i="27"/>
  <c r="V240" i="27"/>
  <c r="T239" i="27"/>
  <c r="AB235" i="27"/>
  <c r="X234" i="27"/>
  <c r="X229" i="27"/>
  <c r="V228" i="27"/>
  <c r="U227" i="27"/>
  <c r="X226" i="27"/>
  <c r="V225" i="27"/>
  <c r="T224" i="27"/>
  <c r="T223" i="27"/>
  <c r="S222" i="27"/>
  <c r="AB204" i="27"/>
  <c r="AB203" i="27"/>
  <c r="T199" i="27"/>
  <c r="Y198" i="27"/>
  <c r="Z197" i="27"/>
  <c r="Y196" i="27"/>
  <c r="AB195" i="27"/>
  <c r="S193" i="27"/>
  <c r="Y192" i="27"/>
  <c r="Z191" i="27"/>
  <c r="U189" i="27"/>
  <c r="Y188" i="27"/>
  <c r="U186" i="27"/>
  <c r="AB185" i="27"/>
  <c r="U184" i="27"/>
  <c r="Z183" i="27"/>
  <c r="S182" i="27"/>
  <c r="X181" i="27"/>
  <c r="T179" i="27"/>
  <c r="X178" i="27"/>
  <c r="S177" i="27"/>
  <c r="Y176" i="27"/>
  <c r="W174" i="27"/>
  <c r="AA173" i="27"/>
  <c r="V171" i="27"/>
  <c r="AB170" i="27"/>
  <c r="V169" i="27"/>
  <c r="AA168" i="27"/>
  <c r="T167" i="27"/>
  <c r="Y166" i="27"/>
  <c r="V164" i="27"/>
  <c r="Y163" i="27"/>
  <c r="S162" i="27"/>
  <c r="Z161" i="27"/>
  <c r="X159" i="27"/>
  <c r="AB158" i="27"/>
  <c r="V157" i="27"/>
  <c r="Y156" i="27"/>
  <c r="U154" i="27"/>
  <c r="AB153" i="27"/>
  <c r="U152" i="27"/>
  <c r="Z151" i="27"/>
  <c r="S150" i="27"/>
  <c r="X149" i="27"/>
  <c r="T147" i="27"/>
  <c r="X146" i="27"/>
  <c r="S145" i="27"/>
  <c r="Y144" i="27"/>
  <c r="W142" i="27"/>
  <c r="AB141" i="27"/>
  <c r="V140" i="27"/>
  <c r="Y139" i="27"/>
  <c r="U137" i="27"/>
  <c r="AB136" i="27"/>
  <c r="U135" i="27"/>
  <c r="Z134" i="27"/>
  <c r="S133" i="27"/>
  <c r="X132" i="27"/>
  <c r="T130" i="27"/>
  <c r="X129" i="27"/>
  <c r="S128" i="27"/>
  <c r="Y127" i="27"/>
  <c r="W125" i="27"/>
  <c r="AA124" i="27"/>
  <c r="V122" i="27"/>
  <c r="AB121" i="27"/>
  <c r="Y120" i="27"/>
  <c r="S119" i="27"/>
  <c r="Y118" i="27"/>
  <c r="T117" i="27"/>
  <c r="Z116" i="27"/>
  <c r="U115" i="27"/>
  <c r="AA114" i="27"/>
  <c r="W113" i="27"/>
  <c r="S112" i="27"/>
  <c r="Y111" i="27"/>
  <c r="T110" i="27"/>
  <c r="Y109" i="27"/>
  <c r="U108" i="27"/>
  <c r="Z107" i="27"/>
  <c r="W106" i="27"/>
  <c r="T105" i="27"/>
  <c r="AA104" i="27"/>
  <c r="Y103" i="27"/>
  <c r="V102" i="27"/>
  <c r="T101" i="27"/>
  <c r="AA100" i="27"/>
  <c r="X99" i="27"/>
  <c r="U98" i="27"/>
  <c r="AA97" i="27"/>
  <c r="X96" i="27"/>
  <c r="V95" i="27"/>
  <c r="T94" i="27"/>
  <c r="AA93" i="27"/>
  <c r="Y92" i="27"/>
  <c r="V91" i="27"/>
  <c r="AB90" i="27"/>
  <c r="X89" i="27"/>
  <c r="V88" i="27"/>
  <c r="T87" i="27"/>
  <c r="AA86" i="27"/>
  <c r="Y85" i="27"/>
  <c r="W84" i="27"/>
  <c r="S83" i="27"/>
  <c r="Y82" i="27"/>
  <c r="V81" i="27"/>
  <c r="T80" i="27"/>
  <c r="AA79" i="27"/>
  <c r="Y78" i="27"/>
  <c r="W77" i="27"/>
  <c r="U76" i="27"/>
  <c r="AB75" i="27"/>
  <c r="T75" i="27"/>
  <c r="AA74" i="27"/>
  <c r="S74" i="27"/>
  <c r="Z73" i="27"/>
  <c r="Y72" i="27"/>
  <c r="X71" i="27"/>
  <c r="W70" i="27"/>
  <c r="V69" i="27"/>
  <c r="U68" i="27"/>
  <c r="AB67" i="27"/>
  <c r="T67" i="27"/>
  <c r="AA66" i="27"/>
  <c r="S66" i="27"/>
  <c r="Z65" i="27"/>
  <c r="Y64" i="27"/>
  <c r="X63" i="27"/>
  <c r="W62" i="27"/>
  <c r="V61" i="27"/>
  <c r="U60" i="27"/>
  <c r="AB59" i="27"/>
  <c r="T59" i="27"/>
  <c r="AA58" i="27"/>
  <c r="S58" i="27"/>
  <c r="Z57" i="27"/>
  <c r="Y56" i="27"/>
  <c r="X55" i="27"/>
  <c r="W54" i="27"/>
  <c r="V53" i="27"/>
  <c r="U52" i="27"/>
  <c r="AB51" i="27"/>
  <c r="T51" i="27"/>
  <c r="AA50" i="27"/>
  <c r="S50" i="27"/>
  <c r="Z49" i="27"/>
  <c r="Y48" i="27"/>
  <c r="X47" i="27"/>
  <c r="W46" i="27"/>
  <c r="X44" i="27"/>
  <c r="Z43" i="27"/>
  <c r="AB42" i="27"/>
  <c r="T42" i="27"/>
  <c r="V41" i="27"/>
  <c r="X40" i="27"/>
  <c r="Z39" i="27"/>
  <c r="AB38" i="27"/>
  <c r="T38" i="27"/>
  <c r="V37" i="27"/>
  <c r="X36" i="27"/>
  <c r="Z35" i="27"/>
  <c r="AB34" i="27"/>
  <c r="T34" i="27"/>
  <c r="V33" i="27"/>
  <c r="X32" i="27"/>
  <c r="Z31" i="27"/>
  <c r="AB30" i="27"/>
  <c r="T30" i="27"/>
  <c r="V29" i="27"/>
  <c r="X28" i="27"/>
  <c r="Z27" i="27"/>
  <c r="AB26" i="27"/>
  <c r="T26" i="27"/>
  <c r="V25" i="27"/>
  <c r="X24" i="27"/>
  <c r="Z23" i="27"/>
  <c r="AB22" i="27"/>
  <c r="T22" i="27"/>
  <c r="V21" i="27"/>
  <c r="X20" i="27"/>
  <c r="Z19" i="27"/>
  <c r="AB18" i="27"/>
  <c r="T18" i="27"/>
  <c r="V17" i="27"/>
  <c r="X16" i="27"/>
  <c r="Z15" i="27"/>
  <c r="AB14" i="27"/>
  <c r="T14" i="27"/>
  <c r="V13" i="27"/>
  <c r="X12" i="27"/>
  <c r="Z11" i="27"/>
  <c r="AB10" i="27"/>
  <c r="T10" i="27"/>
  <c r="V9" i="27"/>
  <c r="X8" i="27"/>
  <c r="Z7" i="27"/>
  <c r="AB6" i="27"/>
  <c r="T6" i="27"/>
  <c r="V5" i="27"/>
  <c r="Z2" i="27"/>
  <c r="Z172" i="27"/>
  <c r="Z165" i="27"/>
  <c r="X158" i="27"/>
  <c r="T106" i="27"/>
  <c r="AB102" i="27"/>
  <c r="X93" i="27"/>
  <c r="U89" i="27"/>
  <c r="S84" i="27"/>
  <c r="Y75" i="27"/>
  <c r="U71" i="27"/>
  <c r="X66" i="27"/>
  <c r="AB62" i="27"/>
  <c r="AB61" i="27"/>
  <c r="Y58" i="27"/>
  <c r="W57" i="27"/>
  <c r="AB46" i="27"/>
  <c r="Z45" i="27"/>
  <c r="W43" i="27"/>
  <c r="U40" i="27"/>
  <c r="S37" i="27"/>
  <c r="AA33" i="27"/>
  <c r="Y30" i="27"/>
  <c r="W27" i="27"/>
  <c r="U24" i="27"/>
  <c r="S21" i="27"/>
  <c r="AA17" i="27"/>
  <c r="Y14" i="27"/>
  <c r="W11" i="27"/>
  <c r="U8" i="27"/>
  <c r="S5" i="27"/>
  <c r="K4" i="26"/>
  <c r="X187" i="27"/>
  <c r="W180" i="27"/>
  <c r="S176" i="27"/>
  <c r="AA162" i="27"/>
  <c r="X155" i="27"/>
  <c r="W148" i="27"/>
  <c r="S144" i="27"/>
  <c r="U134" i="27"/>
  <c r="AB130" i="27"/>
  <c r="Y126" i="27"/>
  <c r="Z119" i="27"/>
  <c r="AB115" i="27"/>
  <c r="U111" i="27"/>
  <c r="V107" i="27"/>
  <c r="S102" i="27"/>
  <c r="Z98" i="27"/>
  <c r="U85" i="27"/>
  <c r="Z80" i="27"/>
  <c r="U62" i="27"/>
  <c r="AA61" i="27"/>
  <c r="AA60" i="27"/>
  <c r="Z59" i="27"/>
  <c r="X58" i="27"/>
  <c r="V47" i="27"/>
  <c r="U46" i="27"/>
  <c r="Z42" i="27"/>
  <c r="X39" i="27"/>
  <c r="V36" i="27"/>
  <c r="T33" i="27"/>
  <c r="AB29" i="27"/>
  <c r="Z26" i="27"/>
  <c r="X23" i="27"/>
  <c r="V20" i="27"/>
  <c r="T17" i="27"/>
  <c r="AB13" i="27"/>
  <c r="Z10" i="27"/>
  <c r="X7" i="27"/>
  <c r="W173" i="27"/>
  <c r="T166" i="27"/>
  <c r="X141" i="27"/>
  <c r="Z123" i="27"/>
  <c r="U103" i="27"/>
  <c r="Z94" i="27"/>
  <c r="X90" i="27"/>
  <c r="AB81" i="27"/>
  <c r="Z76" i="27"/>
  <c r="V72" i="27"/>
  <c r="Y67" i="27"/>
  <c r="U63" i="27"/>
  <c r="T62" i="27"/>
  <c r="T61" i="27"/>
  <c r="Z60" i="27"/>
  <c r="Y59" i="27"/>
  <c r="W48" i="27"/>
  <c r="U47" i="27"/>
  <c r="T46" i="27"/>
  <c r="Y42" i="27"/>
  <c r="W39" i="27"/>
  <c r="U36" i="27"/>
  <c r="S33" i="27"/>
  <c r="AA29" i="27"/>
  <c r="Y26" i="27"/>
  <c r="W23" i="27"/>
  <c r="U20" i="27"/>
  <c r="S17" i="27"/>
  <c r="AA13" i="27"/>
  <c r="Y10" i="27"/>
  <c r="W7" i="27"/>
  <c r="X2" i="27"/>
  <c r="U188" i="27"/>
  <c r="S181" i="27"/>
  <c r="AA177" i="27"/>
  <c r="W170" i="27"/>
  <c r="U163" i="27"/>
  <c r="U156" i="27"/>
  <c r="S149" i="27"/>
  <c r="AA145" i="27"/>
  <c r="X138" i="27"/>
  <c r="W131" i="27"/>
  <c r="S127" i="27"/>
  <c r="T120" i="27"/>
  <c r="V116" i="27"/>
  <c r="Z112" i="27"/>
  <c r="AA108" i="27"/>
  <c r="U99" i="27"/>
  <c r="AB95" i="27"/>
  <c r="X86" i="27"/>
  <c r="S81" i="27"/>
  <c r="AB77" i="27"/>
  <c r="S61" i="27"/>
  <c r="S60" i="27"/>
  <c r="X49" i="27"/>
  <c r="V48" i="27"/>
  <c r="AB41" i="27"/>
  <c r="Z38" i="27"/>
  <c r="X35" i="27"/>
  <c r="V32" i="27"/>
  <c r="T29" i="27"/>
  <c r="AB25" i="27"/>
  <c r="Z22" i="27"/>
  <c r="X19" i="27"/>
  <c r="V16" i="27"/>
  <c r="T13" i="27"/>
  <c r="AB9" i="27"/>
  <c r="Z6" i="27"/>
  <c r="W2" i="27"/>
  <c r="W185" i="27"/>
  <c r="AB167" i="27"/>
  <c r="W153" i="27"/>
  <c r="W124" i="27"/>
  <c r="W104" i="27"/>
  <c r="S95" i="27"/>
  <c r="AA91" i="27"/>
  <c r="V82" i="27"/>
  <c r="S77" i="27"/>
  <c r="W73" i="27"/>
  <c r="Z68" i="27"/>
  <c r="V64" i="27"/>
  <c r="AB54" i="27"/>
  <c r="AB53" i="27"/>
  <c r="Y50" i="27"/>
  <c r="W49" i="27"/>
  <c r="AA41" i="27"/>
  <c r="Y38" i="27"/>
  <c r="W35" i="27"/>
  <c r="U32" i="27"/>
  <c r="S29" i="27"/>
  <c r="AA25" i="27"/>
  <c r="Y22" i="27"/>
  <c r="W19" i="27"/>
  <c r="U16" i="27"/>
  <c r="S13" i="27"/>
  <c r="AA9" i="27"/>
  <c r="Y6" i="27"/>
  <c r="AA182" i="27"/>
  <c r="T178" i="27"/>
  <c r="Z160" i="27"/>
  <c r="AA150" i="27"/>
  <c r="T146" i="27"/>
  <c r="U139" i="27"/>
  <c r="S132" i="27"/>
  <c r="AA128" i="27"/>
  <c r="X121" i="27"/>
  <c r="AA117" i="27"/>
  <c r="S113" i="27"/>
  <c r="V109" i="27"/>
  <c r="X100" i="27"/>
  <c r="U96" i="27"/>
  <c r="Z87" i="27"/>
  <c r="U78" i="27"/>
  <c r="AA69" i="27"/>
  <c r="V55" i="27"/>
  <c r="U54" i="27"/>
  <c r="AA53" i="27"/>
  <c r="AA52" i="27"/>
  <c r="Z51" i="27"/>
  <c r="X50" i="27"/>
  <c r="V44" i="27"/>
  <c r="T41" i="27"/>
  <c r="AB37" i="27"/>
  <c r="Z34" i="27"/>
  <c r="X31" i="27"/>
  <c r="V28" i="27"/>
  <c r="T25" i="27"/>
  <c r="AB21" i="27"/>
  <c r="Z18" i="27"/>
  <c r="X15" i="27"/>
  <c r="V12" i="27"/>
  <c r="T9" i="27"/>
  <c r="AB5" i="27"/>
  <c r="V168" i="27"/>
  <c r="W136" i="27"/>
  <c r="Y105" i="27"/>
  <c r="V92" i="27"/>
  <c r="AB88" i="27"/>
  <c r="Y83" i="27"/>
  <c r="X74" i="27"/>
  <c r="AB70" i="27"/>
  <c r="S69" i="27"/>
  <c r="W65" i="27"/>
  <c r="W56" i="27"/>
  <c r="U55" i="27"/>
  <c r="T54" i="27"/>
  <c r="T53" i="27"/>
  <c r="Z52" i="27"/>
  <c r="Y51" i="27"/>
  <c r="U44" i="27"/>
  <c r="S41" i="27"/>
  <c r="AA37" i="27"/>
  <c r="Y34" i="27"/>
  <c r="W31" i="27"/>
  <c r="U28" i="27"/>
  <c r="S25" i="27"/>
  <c r="AA21" i="27"/>
  <c r="Y18" i="27"/>
  <c r="W15" i="27"/>
  <c r="U12" i="27"/>
  <c r="S9" i="27"/>
  <c r="AA5" i="27"/>
  <c r="U183" i="27"/>
  <c r="AB179" i="27"/>
  <c r="Y175" i="27"/>
  <c r="T161" i="27"/>
  <c r="U151" i="27"/>
  <c r="AB147" i="27"/>
  <c r="Y143" i="27"/>
  <c r="AA133" i="27"/>
  <c r="T129" i="27"/>
  <c r="U118" i="27"/>
  <c r="V114" i="27"/>
  <c r="Z110" i="27"/>
  <c r="Z101" i="27"/>
  <c r="W97" i="27"/>
  <c r="S88" i="27"/>
  <c r="AB84" i="27"/>
  <c r="W79" i="27"/>
  <c r="T70" i="27"/>
  <c r="X57" i="27"/>
  <c r="V56" i="27"/>
  <c r="S53" i="27"/>
  <c r="S52" i="27"/>
  <c r="AA45" i="27"/>
  <c r="X43" i="27"/>
  <c r="V40" i="27"/>
  <c r="T37" i="27"/>
  <c r="AB33" i="27"/>
  <c r="Z30" i="27"/>
  <c r="X27" i="27"/>
  <c r="V24" i="27"/>
  <c r="T21" i="27"/>
  <c r="AB17" i="27"/>
  <c r="Z14" i="27"/>
  <c r="X11" i="27"/>
  <c r="V8" i="27"/>
  <c r="T5" i="27"/>
  <c r="H5" i="43"/>
  <c r="K5" i="43" s="1"/>
  <c r="I10" i="43"/>
  <c r="H13" i="43"/>
  <c r="K13" i="43" s="1"/>
  <c r="I18" i="43"/>
  <c r="H21" i="43"/>
  <c r="K21" i="43" s="1"/>
  <c r="I26" i="43"/>
  <c r="H29" i="43"/>
  <c r="K29" i="43" s="1"/>
  <c r="I34" i="43"/>
  <c r="H37" i="43"/>
  <c r="K37" i="43" s="1"/>
  <c r="I42" i="43"/>
  <c r="H45" i="43"/>
  <c r="K45" i="43" s="1"/>
  <c r="I50" i="43"/>
  <c r="H53" i="43"/>
  <c r="K53" i="43" s="1"/>
  <c r="I58" i="43"/>
  <c r="H61" i="43"/>
  <c r="K61" i="43" s="1"/>
  <c r="I66" i="43"/>
  <c r="H69" i="43"/>
  <c r="K69" i="43" s="1"/>
  <c r="I74" i="43"/>
  <c r="H77" i="43"/>
  <c r="K77" i="43" s="1"/>
  <c r="I82" i="43"/>
  <c r="H85" i="43"/>
  <c r="K85" i="43" s="1"/>
  <c r="I90" i="43"/>
  <c r="H93" i="43"/>
  <c r="K93" i="43" s="1"/>
  <c r="I98" i="43"/>
  <c r="H101" i="43"/>
  <c r="K101" i="43" s="1"/>
  <c r="I106" i="43"/>
  <c r="H109" i="43"/>
  <c r="K109" i="43" s="1"/>
  <c r="I114" i="43"/>
  <c r="H117" i="43"/>
  <c r="K117" i="43" s="1"/>
  <c r="I122" i="43"/>
  <c r="H125" i="43"/>
  <c r="K125" i="43" s="1"/>
  <c r="I130" i="43"/>
  <c r="H133" i="43"/>
  <c r="K133" i="43" s="1"/>
  <c r="I138" i="43"/>
  <c r="H141" i="43"/>
  <c r="K141" i="43" s="1"/>
  <c r="I146" i="43"/>
  <c r="H149" i="43"/>
  <c r="K149" i="43" s="1"/>
  <c r="I154" i="43"/>
  <c r="H157" i="43"/>
  <c r="K157" i="43" s="1"/>
  <c r="I162" i="43"/>
  <c r="H165" i="43"/>
  <c r="K165" i="43" s="1"/>
  <c r="I170" i="43"/>
  <c r="H173" i="43"/>
  <c r="K173" i="43" s="1"/>
  <c r="H176" i="43"/>
  <c r="K176" i="43" s="1"/>
  <c r="H179" i="43"/>
  <c r="I182" i="43"/>
  <c r="I185" i="43"/>
  <c r="I188" i="43"/>
  <c r="I191" i="43"/>
  <c r="I194" i="43"/>
  <c r="I197" i="43"/>
  <c r="I200" i="43"/>
  <c r="H225" i="43"/>
  <c r="K225" i="43" s="1"/>
  <c r="H228" i="43"/>
  <c r="K228" i="43" s="1"/>
  <c r="H231" i="43"/>
  <c r="K231" i="43" s="1"/>
  <c r="H234" i="43"/>
  <c r="K234" i="43" s="1"/>
  <c r="H237" i="43"/>
  <c r="K237" i="43" s="1"/>
  <c r="H240" i="43"/>
  <c r="K240" i="43" s="1"/>
  <c r="H243" i="43"/>
  <c r="I246" i="43"/>
  <c r="I249" i="43"/>
  <c r="I252" i="43"/>
  <c r="I255" i="43"/>
  <c r="I258" i="43"/>
  <c r="I261" i="43"/>
  <c r="I264" i="43"/>
  <c r="H289" i="43"/>
  <c r="K289" i="43" s="1"/>
  <c r="H292" i="43"/>
  <c r="K292" i="43" s="1"/>
  <c r="H295" i="43"/>
  <c r="K295" i="43" s="1"/>
  <c r="H298" i="43"/>
  <c r="K298" i="43" s="1"/>
  <c r="H301" i="43"/>
  <c r="K301" i="43" s="1"/>
  <c r="H304" i="43"/>
  <c r="K304" i="43" s="1"/>
  <c r="H307" i="43"/>
  <c r="I310" i="43"/>
  <c r="I313" i="43"/>
  <c r="I316" i="43"/>
  <c r="I319" i="43"/>
  <c r="I322" i="43"/>
  <c r="I325" i="43"/>
  <c r="I328" i="43"/>
  <c r="H353" i="43"/>
  <c r="K353" i="43" s="1"/>
  <c r="H356" i="43"/>
  <c r="K356" i="43" s="1"/>
  <c r="H359" i="43"/>
  <c r="K359" i="43" s="1"/>
  <c r="H362" i="43"/>
  <c r="K362" i="43" s="1"/>
  <c r="H365" i="43"/>
  <c r="K365" i="43" s="1"/>
  <c r="H368" i="43"/>
  <c r="K368" i="43" s="1"/>
  <c r="H371" i="43"/>
  <c r="K371" i="43" s="1"/>
  <c r="H378" i="43"/>
  <c r="K378" i="43" s="1"/>
  <c r="I381" i="43"/>
  <c r="H385" i="43"/>
  <c r="K385" i="43" s="1"/>
  <c r="I388" i="43"/>
  <c r="H399" i="43"/>
  <c r="K399" i="43" s="1"/>
  <c r="I402" i="43"/>
  <c r="I409" i="43"/>
  <c r="H416" i="43"/>
  <c r="K416" i="43" s="1"/>
  <c r="H420" i="43"/>
  <c r="K420" i="43" s="1"/>
  <c r="I423" i="43"/>
  <c r="I430" i="43"/>
  <c r="H437" i="43"/>
  <c r="K437" i="43" s="1"/>
  <c r="I440" i="43"/>
  <c r="I444" i="43"/>
  <c r="H451" i="43"/>
  <c r="H458" i="43"/>
  <c r="K458" i="43" s="1"/>
  <c r="I461" i="43"/>
  <c r="H465" i="43"/>
  <c r="H472" i="43"/>
  <c r="K472" i="43" s="1"/>
  <c r="H479" i="43"/>
  <c r="K479" i="43" s="1"/>
  <c r="I482" i="43"/>
  <c r="I489" i="43"/>
  <c r="H493" i="43"/>
  <c r="K493" i="43" s="1"/>
  <c r="I496" i="43"/>
  <c r="H500" i="43"/>
  <c r="K500" i="43" s="1"/>
  <c r="I503" i="43"/>
  <c r="I510" i="43"/>
  <c r="I517" i="43"/>
  <c r="H521" i="43"/>
  <c r="K521" i="43" s="1"/>
  <c r="I524" i="43"/>
  <c r="H531" i="43"/>
  <c r="H538" i="43"/>
  <c r="K538" i="43" s="1"/>
  <c r="I545" i="43"/>
  <c r="H552" i="43"/>
  <c r="K552" i="43" s="1"/>
  <c r="H559" i="43"/>
  <c r="K559" i="43" s="1"/>
  <c r="I562" i="43"/>
  <c r="I566" i="43"/>
  <c r="H573" i="43"/>
  <c r="K573" i="43" s="1"/>
  <c r="I576" i="43"/>
  <c r="H580" i="43"/>
  <c r="K580" i="43" s="1"/>
  <c r="I583" i="43"/>
  <c r="H594" i="43"/>
  <c r="K594" i="43" s="1"/>
  <c r="I597" i="43"/>
  <c r="H601" i="43"/>
  <c r="K601" i="43" s="1"/>
  <c r="I604" i="43"/>
  <c r="N37" i="42"/>
  <c r="N75" i="42"/>
  <c r="N259" i="42"/>
  <c r="N267" i="42"/>
  <c r="N275" i="42"/>
  <c r="N293" i="42"/>
  <c r="H3" i="43"/>
  <c r="K3" i="43" s="1"/>
  <c r="I8" i="43"/>
  <c r="K8" i="43" s="1"/>
  <c r="H11" i="43"/>
  <c r="K11" i="43" s="1"/>
  <c r="I16" i="43"/>
  <c r="H19" i="43"/>
  <c r="K19" i="43" s="1"/>
  <c r="I24" i="43"/>
  <c r="K24" i="43" s="1"/>
  <c r="H27" i="43"/>
  <c r="K27" i="43" s="1"/>
  <c r="I32" i="43"/>
  <c r="H35" i="43"/>
  <c r="K35" i="43" s="1"/>
  <c r="I40" i="43"/>
  <c r="K40" i="43" s="1"/>
  <c r="H43" i="43"/>
  <c r="K43" i="43" s="1"/>
  <c r="I48" i="43"/>
  <c r="H51" i="43"/>
  <c r="K51" i="43" s="1"/>
  <c r="I56" i="43"/>
  <c r="K56" i="43" s="1"/>
  <c r="H59" i="43"/>
  <c r="K59" i="43" s="1"/>
  <c r="I64" i="43"/>
  <c r="H67" i="43"/>
  <c r="K67" i="43" s="1"/>
  <c r="I72" i="43"/>
  <c r="K72" i="43" s="1"/>
  <c r="H75" i="43"/>
  <c r="K75" i="43" s="1"/>
  <c r="I80" i="43"/>
  <c r="H83" i="43"/>
  <c r="K83" i="43" s="1"/>
  <c r="I88" i="43"/>
  <c r="K88" i="43" s="1"/>
  <c r="H91" i="43"/>
  <c r="K91" i="43" s="1"/>
  <c r="I96" i="43"/>
  <c r="H99" i="43"/>
  <c r="K99" i="43" s="1"/>
  <c r="I104" i="43"/>
  <c r="K104" i="43" s="1"/>
  <c r="H107" i="43"/>
  <c r="K107" i="43" s="1"/>
  <c r="I112" i="43"/>
  <c r="H115" i="43"/>
  <c r="K115" i="43" s="1"/>
  <c r="I120" i="43"/>
  <c r="K120" i="43" s="1"/>
  <c r="H123" i="43"/>
  <c r="K123" i="43" s="1"/>
  <c r="I128" i="43"/>
  <c r="H131" i="43"/>
  <c r="K131" i="43" s="1"/>
  <c r="I136" i="43"/>
  <c r="K136" i="43" s="1"/>
  <c r="H139" i="43"/>
  <c r="K139" i="43" s="1"/>
  <c r="I144" i="43"/>
  <c r="H147" i="43"/>
  <c r="K147" i="43" s="1"/>
  <c r="I152" i="43"/>
  <c r="K152" i="43" s="1"/>
  <c r="H155" i="43"/>
  <c r="K155" i="43" s="1"/>
  <c r="I160" i="43"/>
  <c r="H163" i="43"/>
  <c r="K163" i="43" s="1"/>
  <c r="I168" i="43"/>
  <c r="K168" i="43" s="1"/>
  <c r="H171" i="43"/>
  <c r="K171" i="43" s="1"/>
  <c r="H177" i="43"/>
  <c r="K177" i="43" s="1"/>
  <c r="H180" i="43"/>
  <c r="K180" i="43" s="1"/>
  <c r="H183" i="43"/>
  <c r="K183" i="43" s="1"/>
  <c r="H186" i="43"/>
  <c r="K186" i="43" s="1"/>
  <c r="H189" i="43"/>
  <c r="K189" i="43" s="1"/>
  <c r="H192" i="43"/>
  <c r="K192" i="43" s="1"/>
  <c r="H195" i="43"/>
  <c r="I198" i="43"/>
  <c r="I201" i="43"/>
  <c r="I204" i="43"/>
  <c r="K204" i="43" s="1"/>
  <c r="I207" i="43"/>
  <c r="I210" i="43"/>
  <c r="K210" i="43" s="1"/>
  <c r="I213" i="43"/>
  <c r="I216" i="43"/>
  <c r="K216" i="43" s="1"/>
  <c r="H241" i="43"/>
  <c r="K241" i="43" s="1"/>
  <c r="H244" i="43"/>
  <c r="K244" i="43" s="1"/>
  <c r="H247" i="43"/>
  <c r="K247" i="43" s="1"/>
  <c r="H250" i="43"/>
  <c r="K250" i="43" s="1"/>
  <c r="H253" i="43"/>
  <c r="K253" i="43" s="1"/>
  <c r="H256" i="43"/>
  <c r="K256" i="43" s="1"/>
  <c r="H259" i="43"/>
  <c r="I262" i="43"/>
  <c r="I265" i="43"/>
  <c r="K265" i="43" s="1"/>
  <c r="I268" i="43"/>
  <c r="I271" i="43"/>
  <c r="K271" i="43" s="1"/>
  <c r="I274" i="43"/>
  <c r="I277" i="43"/>
  <c r="K277" i="43" s="1"/>
  <c r="I280" i="43"/>
  <c r="H305" i="43"/>
  <c r="K305" i="43" s="1"/>
  <c r="H308" i="43"/>
  <c r="K308" i="43" s="1"/>
  <c r="H311" i="43"/>
  <c r="K311" i="43" s="1"/>
  <c r="H314" i="43"/>
  <c r="K314" i="43" s="1"/>
  <c r="H317" i="43"/>
  <c r="K317" i="43" s="1"/>
  <c r="H320" i="43"/>
  <c r="K320" i="43" s="1"/>
  <c r="H323" i="43"/>
  <c r="K323" i="43" s="1"/>
  <c r="I326" i="43"/>
  <c r="I329" i="43"/>
  <c r="I332" i="43"/>
  <c r="K332" i="43" s="1"/>
  <c r="I335" i="43"/>
  <c r="I338" i="43"/>
  <c r="K338" i="43" s="1"/>
  <c r="I341" i="43"/>
  <c r="I344" i="43"/>
  <c r="K344" i="43" s="1"/>
  <c r="H369" i="43"/>
  <c r="K369" i="43" s="1"/>
  <c r="H372" i="43"/>
  <c r="K372" i="43" s="1"/>
  <c r="I375" i="43"/>
  <c r="K375" i="43" s="1"/>
  <c r="I382" i="43"/>
  <c r="I389" i="43"/>
  <c r="H393" i="43"/>
  <c r="K393" i="43" s="1"/>
  <c r="I396" i="43"/>
  <c r="H403" i="43"/>
  <c r="K403" i="43" s="1"/>
  <c r="H410" i="43"/>
  <c r="K410" i="43" s="1"/>
  <c r="I417" i="43"/>
  <c r="H424" i="43"/>
  <c r="K424" i="43" s="1"/>
  <c r="H431" i="43"/>
  <c r="K431" i="43" s="1"/>
  <c r="I434" i="43"/>
  <c r="I438" i="43"/>
  <c r="H445" i="43"/>
  <c r="K445" i="43" s="1"/>
  <c r="I448" i="43"/>
  <c r="H452" i="43"/>
  <c r="K452" i="43" s="1"/>
  <c r="I455" i="43"/>
  <c r="H466" i="43"/>
  <c r="K466" i="43" s="1"/>
  <c r="I469" i="43"/>
  <c r="H473" i="43"/>
  <c r="K473" i="43" s="1"/>
  <c r="I476" i="43"/>
  <c r="H483" i="43"/>
  <c r="H487" i="43"/>
  <c r="K487" i="43" s="1"/>
  <c r="I490" i="43"/>
  <c r="I497" i="43"/>
  <c r="H504" i="43"/>
  <c r="K504" i="43" s="1"/>
  <c r="I511" i="43"/>
  <c r="I518" i="43"/>
  <c r="H525" i="43"/>
  <c r="K525" i="43" s="1"/>
  <c r="I528" i="43"/>
  <c r="H532" i="43"/>
  <c r="K532" i="43" s="1"/>
  <c r="H539" i="43"/>
  <c r="K539" i="43" s="1"/>
  <c r="H546" i="43"/>
  <c r="K546" i="43" s="1"/>
  <c r="I549" i="43"/>
  <c r="H553" i="43"/>
  <c r="K553" i="43" s="1"/>
  <c r="I556" i="43"/>
  <c r="H560" i="43"/>
  <c r="K560" i="43" s="1"/>
  <c r="H567" i="43"/>
  <c r="K567" i="43" s="1"/>
  <c r="I570" i="43"/>
  <c r="K570" i="43" s="1"/>
  <c r="I577" i="43"/>
  <c r="I584" i="43"/>
  <c r="H588" i="43"/>
  <c r="K588" i="43" s="1"/>
  <c r="I591" i="43"/>
  <c r="I598" i="43"/>
  <c r="N27" i="42"/>
  <c r="N73" i="42"/>
  <c r="N265" i="42"/>
  <c r="N273" i="42"/>
  <c r="N281" i="42"/>
  <c r="I6" i="43"/>
  <c r="H9" i="43"/>
  <c r="K9" i="43" s="1"/>
  <c r="I14" i="43"/>
  <c r="H17" i="43"/>
  <c r="K17" i="43" s="1"/>
  <c r="I22" i="43"/>
  <c r="H25" i="43"/>
  <c r="K25" i="43" s="1"/>
  <c r="I30" i="43"/>
  <c r="H33" i="43"/>
  <c r="K33" i="43" s="1"/>
  <c r="I38" i="43"/>
  <c r="H41" i="43"/>
  <c r="K41" i="43" s="1"/>
  <c r="I46" i="43"/>
  <c r="H49" i="43"/>
  <c r="K49" i="43" s="1"/>
  <c r="I54" i="43"/>
  <c r="H57" i="43"/>
  <c r="K57" i="43" s="1"/>
  <c r="I62" i="43"/>
  <c r="H65" i="43"/>
  <c r="K65" i="43" s="1"/>
  <c r="I70" i="43"/>
  <c r="H73" i="43"/>
  <c r="K73" i="43" s="1"/>
  <c r="I78" i="43"/>
  <c r="H81" i="43"/>
  <c r="K81" i="43" s="1"/>
  <c r="I86" i="43"/>
  <c r="H89" i="43"/>
  <c r="K89" i="43" s="1"/>
  <c r="I94" i="43"/>
  <c r="H97" i="43"/>
  <c r="K97" i="43" s="1"/>
  <c r="I102" i="43"/>
  <c r="H105" i="43"/>
  <c r="K105" i="43" s="1"/>
  <c r="I110" i="43"/>
  <c r="H113" i="43"/>
  <c r="K113" i="43" s="1"/>
  <c r="I118" i="43"/>
  <c r="H121" i="43"/>
  <c r="K121" i="43" s="1"/>
  <c r="I126" i="43"/>
  <c r="H129" i="43"/>
  <c r="K129" i="43" s="1"/>
  <c r="I134" i="43"/>
  <c r="H137" i="43"/>
  <c r="K137" i="43" s="1"/>
  <c r="I142" i="43"/>
  <c r="H145" i="43"/>
  <c r="K145" i="43" s="1"/>
  <c r="I150" i="43"/>
  <c r="H153" i="43"/>
  <c r="K153" i="43" s="1"/>
  <c r="I158" i="43"/>
  <c r="H161" i="43"/>
  <c r="K161" i="43" s="1"/>
  <c r="I166" i="43"/>
  <c r="H169" i="43"/>
  <c r="K169" i="43" s="1"/>
  <c r="H193" i="43"/>
  <c r="K193" i="43" s="1"/>
  <c r="H196" i="43"/>
  <c r="K196" i="43" s="1"/>
  <c r="H199" i="43"/>
  <c r="K199" i="43" s="1"/>
  <c r="H202" i="43"/>
  <c r="K202" i="43" s="1"/>
  <c r="H205" i="43"/>
  <c r="K205" i="43" s="1"/>
  <c r="H208" i="43"/>
  <c r="K208" i="43" s="1"/>
  <c r="H211" i="43"/>
  <c r="I214" i="43"/>
  <c r="I217" i="43"/>
  <c r="I220" i="43"/>
  <c r="I223" i="43"/>
  <c r="I226" i="43"/>
  <c r="I229" i="43"/>
  <c r="I232" i="43"/>
  <c r="H257" i="43"/>
  <c r="K257" i="43" s="1"/>
  <c r="H260" i="43"/>
  <c r="K260" i="43" s="1"/>
  <c r="H263" i="43"/>
  <c r="K263" i="43" s="1"/>
  <c r="H266" i="43"/>
  <c r="K266" i="43" s="1"/>
  <c r="H269" i="43"/>
  <c r="K269" i="43" s="1"/>
  <c r="H272" i="43"/>
  <c r="K272" i="43" s="1"/>
  <c r="H275" i="43"/>
  <c r="I278" i="43"/>
  <c r="I281" i="43"/>
  <c r="I284" i="43"/>
  <c r="I287" i="43"/>
  <c r="I290" i="43"/>
  <c r="I293" i="43"/>
  <c r="I296" i="43"/>
  <c r="H321" i="43"/>
  <c r="K321" i="43" s="1"/>
  <c r="H324" i="43"/>
  <c r="K324" i="43" s="1"/>
  <c r="H327" i="43"/>
  <c r="K327" i="43" s="1"/>
  <c r="H330" i="43"/>
  <c r="K330" i="43" s="1"/>
  <c r="H333" i="43"/>
  <c r="K333" i="43" s="1"/>
  <c r="H336" i="43"/>
  <c r="K336" i="43" s="1"/>
  <c r="H339" i="43"/>
  <c r="K339" i="43" s="1"/>
  <c r="I342" i="43"/>
  <c r="I345" i="43"/>
  <c r="I348" i="43"/>
  <c r="I351" i="43"/>
  <c r="I354" i="43"/>
  <c r="I357" i="43"/>
  <c r="I360" i="43"/>
  <c r="H376" i="43"/>
  <c r="K376" i="43" s="1"/>
  <c r="I383" i="43"/>
  <c r="I390" i="43"/>
  <c r="H397" i="43"/>
  <c r="K397" i="43" s="1"/>
  <c r="I400" i="43"/>
  <c r="H404" i="43"/>
  <c r="H411" i="43"/>
  <c r="K411" i="43" s="1"/>
  <c r="H418" i="43"/>
  <c r="K418" i="43" s="1"/>
  <c r="I421" i="43"/>
  <c r="K421" i="43" s="1"/>
  <c r="H425" i="43"/>
  <c r="K425" i="43" s="1"/>
  <c r="I428" i="43"/>
  <c r="H432" i="43"/>
  <c r="K432" i="43" s="1"/>
  <c r="H439" i="43"/>
  <c r="K439" i="43" s="1"/>
  <c r="I442" i="43"/>
  <c r="I449" i="43"/>
  <c r="K449" i="43" s="1"/>
  <c r="I456" i="43"/>
  <c r="H460" i="43"/>
  <c r="K460" i="43" s="1"/>
  <c r="I463" i="43"/>
  <c r="I470" i="43"/>
  <c r="H477" i="43"/>
  <c r="H481" i="43"/>
  <c r="K481" i="43" s="1"/>
  <c r="I484" i="43"/>
  <c r="H491" i="43"/>
  <c r="H498" i="43"/>
  <c r="K498" i="43" s="1"/>
  <c r="I501" i="43"/>
  <c r="I505" i="43"/>
  <c r="H512" i="43"/>
  <c r="K512" i="43" s="1"/>
  <c r="H519" i="43"/>
  <c r="K519" i="43" s="1"/>
  <c r="I522" i="43"/>
  <c r="H533" i="43"/>
  <c r="K533" i="43" s="1"/>
  <c r="I536" i="43"/>
  <c r="H540" i="43"/>
  <c r="K540" i="43" s="1"/>
  <c r="I543" i="43"/>
  <c r="I550" i="43"/>
  <c r="H554" i="43"/>
  <c r="K554" i="43" s="1"/>
  <c r="I557" i="43"/>
  <c r="H561" i="43"/>
  <c r="K561" i="43" s="1"/>
  <c r="I564" i="43"/>
  <c r="H571" i="43"/>
  <c r="K571" i="43" s="1"/>
  <c r="I578" i="43"/>
  <c r="I585" i="43"/>
  <c r="H592" i="43"/>
  <c r="K592" i="43" s="1"/>
  <c r="H599" i="43"/>
  <c r="H606" i="43"/>
  <c r="K606" i="43" s="1"/>
  <c r="I603" i="43"/>
  <c r="K603" i="43" s="1"/>
  <c r="H598" i="43"/>
  <c r="K598" i="43" s="1"/>
  <c r="I595" i="43"/>
  <c r="K595" i="43" s="1"/>
  <c r="H590" i="43"/>
  <c r="I587" i="43"/>
  <c r="H582" i="43"/>
  <c r="K582" i="43" s="1"/>
  <c r="I579" i="43"/>
  <c r="H574" i="43"/>
  <c r="K574" i="43" s="1"/>
  <c r="I571" i="43"/>
  <c r="H566" i="43"/>
  <c r="K566" i="43" s="1"/>
  <c r="I563" i="43"/>
  <c r="H558" i="43"/>
  <c r="K558" i="43" s="1"/>
  <c r="I555" i="43"/>
  <c r="H550" i="43"/>
  <c r="K550" i="43" s="1"/>
  <c r="I547" i="43"/>
  <c r="H542" i="43"/>
  <c r="K542" i="43" s="1"/>
  <c r="I539" i="43"/>
  <c r="H534" i="43"/>
  <c r="K534" i="43" s="1"/>
  <c r="I531" i="43"/>
  <c r="H526" i="43"/>
  <c r="I523" i="43"/>
  <c r="H518" i="43"/>
  <c r="K518" i="43" s="1"/>
  <c r="I515" i="43"/>
  <c r="H510" i="43"/>
  <c r="K510" i="43" s="1"/>
  <c r="I507" i="43"/>
  <c r="H502" i="43"/>
  <c r="K502" i="43" s="1"/>
  <c r="I499" i="43"/>
  <c r="H494" i="43"/>
  <c r="K494" i="43" s="1"/>
  <c r="I491" i="43"/>
  <c r="H486" i="43"/>
  <c r="K486" i="43" s="1"/>
  <c r="I483" i="43"/>
  <c r="H478" i="43"/>
  <c r="K478" i="43" s="1"/>
  <c r="I475" i="43"/>
  <c r="H470" i="43"/>
  <c r="I467" i="43"/>
  <c r="K467" i="43" s="1"/>
  <c r="H462" i="43"/>
  <c r="I459" i="43"/>
  <c r="H454" i="43"/>
  <c r="K454" i="43" s="1"/>
  <c r="I451" i="43"/>
  <c r="H446" i="43"/>
  <c r="K446" i="43" s="1"/>
  <c r="I443" i="43"/>
  <c r="H438" i="43"/>
  <c r="I435" i="43"/>
  <c r="H430" i="43"/>
  <c r="K430" i="43" s="1"/>
  <c r="I427" i="43"/>
  <c r="H422" i="43"/>
  <c r="K422" i="43" s="1"/>
  <c r="I419" i="43"/>
  <c r="H414" i="43"/>
  <c r="K414" i="43" s="1"/>
  <c r="I411" i="43"/>
  <c r="H406" i="43"/>
  <c r="K406" i="43" s="1"/>
  <c r="I403" i="43"/>
  <c r="H398" i="43"/>
  <c r="I395" i="43"/>
  <c r="H390" i="43"/>
  <c r="K390" i="43" s="1"/>
  <c r="I387" i="43"/>
  <c r="H382" i="43"/>
  <c r="K382" i="43" s="1"/>
  <c r="I379" i="43"/>
  <c r="H374" i="43"/>
  <c r="K374" i="43" s="1"/>
  <c r="I371" i="43"/>
  <c r="H366" i="43"/>
  <c r="K366" i="43" s="1"/>
  <c r="I363" i="43"/>
  <c r="H358" i="43"/>
  <c r="K358" i="43" s="1"/>
  <c r="I355" i="43"/>
  <c r="H350" i="43"/>
  <c r="K350" i="43" s="1"/>
  <c r="I347" i="43"/>
  <c r="H342" i="43"/>
  <c r="I339" i="43"/>
  <c r="H334" i="43"/>
  <c r="K334" i="43" s="1"/>
  <c r="I331" i="43"/>
  <c r="H326" i="43"/>
  <c r="K326" i="43" s="1"/>
  <c r="I323" i="43"/>
  <c r="H318" i="43"/>
  <c r="K318" i="43" s="1"/>
  <c r="I315" i="43"/>
  <c r="H310" i="43"/>
  <c r="K310" i="43" s="1"/>
  <c r="I307" i="43"/>
  <c r="H302" i="43"/>
  <c r="K302" i="43" s="1"/>
  <c r="I299" i="43"/>
  <c r="H294" i="43"/>
  <c r="K294" i="43" s="1"/>
  <c r="I291" i="43"/>
  <c r="H286" i="43"/>
  <c r="K286" i="43" s="1"/>
  <c r="I283" i="43"/>
  <c r="K283" i="43" s="1"/>
  <c r="H278" i="43"/>
  <c r="K278" i="43" s="1"/>
  <c r="I275" i="43"/>
  <c r="H270" i="43"/>
  <c r="K270" i="43" s="1"/>
  <c r="I267" i="43"/>
  <c r="H262" i="43"/>
  <c r="K262" i="43" s="1"/>
  <c r="I259" i="43"/>
  <c r="H254" i="43"/>
  <c r="K254" i="43" s="1"/>
  <c r="I251" i="43"/>
  <c r="H246" i="43"/>
  <c r="K246" i="43" s="1"/>
  <c r="I243" i="43"/>
  <c r="H238" i="43"/>
  <c r="K238" i="43" s="1"/>
  <c r="I235" i="43"/>
  <c r="H230" i="43"/>
  <c r="K230" i="43" s="1"/>
  <c r="I227" i="43"/>
  <c r="H222" i="43"/>
  <c r="K222" i="43" s="1"/>
  <c r="I219" i="43"/>
  <c r="H214" i="43"/>
  <c r="K214" i="43" s="1"/>
  <c r="I211" i="43"/>
  <c r="H206" i="43"/>
  <c r="K206" i="43" s="1"/>
  <c r="I203" i="43"/>
  <c r="H198" i="43"/>
  <c r="K198" i="43" s="1"/>
  <c r="I195" i="43"/>
  <c r="H190" i="43"/>
  <c r="K190" i="43" s="1"/>
  <c r="I187" i="43"/>
  <c r="H182" i="43"/>
  <c r="K182" i="43" s="1"/>
  <c r="I179" i="43"/>
  <c r="H174" i="43"/>
  <c r="K174" i="43" s="1"/>
  <c r="I605" i="43"/>
  <c r="I602" i="43"/>
  <c r="I599" i="43"/>
  <c r="I596" i="43"/>
  <c r="I593" i="43"/>
  <c r="I590" i="43"/>
  <c r="H587" i="43"/>
  <c r="H584" i="43"/>
  <c r="K584" i="43" s="1"/>
  <c r="H581" i="43"/>
  <c r="K581" i="43" s="1"/>
  <c r="H578" i="43"/>
  <c r="K578" i="43" s="1"/>
  <c r="H575" i="43"/>
  <c r="K575" i="43" s="1"/>
  <c r="H572" i="43"/>
  <c r="K572" i="43" s="1"/>
  <c r="H569" i="43"/>
  <c r="K569" i="43" s="1"/>
  <c r="I544" i="43"/>
  <c r="I541" i="43"/>
  <c r="I538" i="43"/>
  <c r="I535" i="43"/>
  <c r="I532" i="43"/>
  <c r="I529" i="43"/>
  <c r="I526" i="43"/>
  <c r="H523" i="43"/>
  <c r="H520" i="43"/>
  <c r="K520" i="43" s="1"/>
  <c r="H517" i="43"/>
  <c r="K517" i="43" s="1"/>
  <c r="H514" i="43"/>
  <c r="K514" i="43" s="1"/>
  <c r="H511" i="43"/>
  <c r="K511" i="43" s="1"/>
  <c r="H508" i="43"/>
  <c r="K508" i="43" s="1"/>
  <c r="H505" i="43"/>
  <c r="I480" i="43"/>
  <c r="I477" i="43"/>
  <c r="I474" i="43"/>
  <c r="I471" i="43"/>
  <c r="I468" i="43"/>
  <c r="I465" i="43"/>
  <c r="I462" i="43"/>
  <c r="H459" i="43"/>
  <c r="H456" i="43"/>
  <c r="K456" i="43" s="1"/>
  <c r="H453" i="43"/>
  <c r="K453" i="43" s="1"/>
  <c r="H450" i="43"/>
  <c r="K450" i="43" s="1"/>
  <c r="H447" i="43"/>
  <c r="K447" i="43" s="1"/>
  <c r="H444" i="43"/>
  <c r="K444" i="43" s="1"/>
  <c r="H441" i="43"/>
  <c r="K441" i="43" s="1"/>
  <c r="I416" i="43"/>
  <c r="I413" i="43"/>
  <c r="I410" i="43"/>
  <c r="I407" i="43"/>
  <c r="I404" i="43"/>
  <c r="I401" i="43"/>
  <c r="I398" i="43"/>
  <c r="H395" i="43"/>
  <c r="K395" i="43" s="1"/>
  <c r="H392" i="43"/>
  <c r="K392" i="43" s="1"/>
  <c r="H389" i="43"/>
  <c r="K389" i="43" s="1"/>
  <c r="H386" i="43"/>
  <c r="K386" i="43" s="1"/>
  <c r="H383" i="43"/>
  <c r="H380" i="43"/>
  <c r="K380" i="43" s="1"/>
  <c r="H377" i="43"/>
  <c r="K377" i="43" s="1"/>
  <c r="N9" i="42"/>
  <c r="N122" i="42"/>
  <c r="N165" i="42"/>
  <c r="N194" i="42"/>
  <c r="N263" i="42"/>
  <c r="N271" i="42"/>
  <c r="N279" i="42"/>
  <c r="N535" i="42"/>
  <c r="N584" i="42"/>
  <c r="I1591" i="39"/>
  <c r="I1655" i="39"/>
  <c r="I1719" i="39"/>
  <c r="I1783" i="39"/>
  <c r="I1847" i="39"/>
  <c r="I1911" i="39"/>
  <c r="E55" i="40"/>
  <c r="E119" i="40"/>
  <c r="E183" i="40"/>
  <c r="E247" i="40"/>
  <c r="E311" i="40"/>
  <c r="N525" i="42"/>
  <c r="I1873" i="39"/>
  <c r="N367" i="42"/>
  <c r="E354" i="40"/>
  <c r="N116" i="42"/>
  <c r="N169" i="42"/>
  <c r="N476" i="42"/>
  <c r="D353" i="40"/>
  <c r="I1580" i="39"/>
  <c r="I1644" i="39"/>
  <c r="I1708" i="39"/>
  <c r="I1772" i="39"/>
  <c r="I1836" i="39"/>
  <c r="I1900" i="39"/>
  <c r="E124" i="40"/>
  <c r="E188" i="40"/>
  <c r="E276" i="40"/>
  <c r="H1574" i="39"/>
  <c r="I1574" i="39" s="1"/>
  <c r="H1582" i="39"/>
  <c r="I1582" i="39" s="1"/>
  <c r="H1590" i="39"/>
  <c r="I1590" i="39" s="1"/>
  <c r="H1598" i="39"/>
  <c r="I1598" i="39" s="1"/>
  <c r="H1606" i="39"/>
  <c r="I1606" i="39" s="1"/>
  <c r="H1614" i="39"/>
  <c r="I1614" i="39" s="1"/>
  <c r="H1622" i="39"/>
  <c r="I1622" i="39" s="1"/>
  <c r="H1630" i="39"/>
  <c r="I1630" i="39" s="1"/>
  <c r="H1638" i="39"/>
  <c r="I1638" i="39" s="1"/>
  <c r="H1646" i="39"/>
  <c r="I1646" i="39" s="1"/>
  <c r="H1654" i="39"/>
  <c r="I1654" i="39" s="1"/>
  <c r="H1662" i="39"/>
  <c r="I1662" i="39" s="1"/>
  <c r="H1670" i="39"/>
  <c r="I1670" i="39" s="1"/>
  <c r="H1678" i="39"/>
  <c r="I1678" i="39" s="1"/>
  <c r="H1686" i="39"/>
  <c r="I1686" i="39" s="1"/>
  <c r="H1694" i="39"/>
  <c r="I1694" i="39" s="1"/>
  <c r="H1702" i="39"/>
  <c r="I1702" i="39" s="1"/>
  <c r="H1710" i="39"/>
  <c r="I1710" i="39" s="1"/>
  <c r="H1718" i="39"/>
  <c r="I1718" i="39" s="1"/>
  <c r="H1726" i="39"/>
  <c r="I1726" i="39" s="1"/>
  <c r="H1734" i="39"/>
  <c r="I1734" i="39" s="1"/>
  <c r="H1742" i="39"/>
  <c r="I1742" i="39" s="1"/>
  <c r="H1750" i="39"/>
  <c r="I1750" i="39" s="1"/>
  <c r="H1758" i="39"/>
  <c r="I1758" i="39" s="1"/>
  <c r="H1766" i="39"/>
  <c r="I1766" i="39" s="1"/>
  <c r="H1774" i="39"/>
  <c r="I1774" i="39" s="1"/>
  <c r="H1782" i="39"/>
  <c r="I1782" i="39" s="1"/>
  <c r="H1790" i="39"/>
  <c r="I1790" i="39" s="1"/>
  <c r="H1798" i="39"/>
  <c r="I1798" i="39" s="1"/>
  <c r="H1806" i="39"/>
  <c r="I1806" i="39" s="1"/>
  <c r="H1814" i="39"/>
  <c r="I1814" i="39" s="1"/>
  <c r="H1822" i="39"/>
  <c r="I1822" i="39" s="1"/>
  <c r="H1830" i="39"/>
  <c r="I1830" i="39" s="1"/>
  <c r="H1838" i="39"/>
  <c r="I1838" i="39" s="1"/>
  <c r="H1846" i="39"/>
  <c r="I1846" i="39" s="1"/>
  <c r="H1854" i="39"/>
  <c r="I1854" i="39" s="1"/>
  <c r="H1862" i="39"/>
  <c r="I1862" i="39" s="1"/>
  <c r="H1870" i="39"/>
  <c r="I1870" i="39" s="1"/>
  <c r="H1878" i="39"/>
  <c r="I1878" i="39" s="1"/>
  <c r="H1886" i="39"/>
  <c r="I1886" i="39" s="1"/>
  <c r="H1894" i="39"/>
  <c r="I1894" i="39" s="1"/>
  <c r="H1902" i="39"/>
  <c r="I1902" i="39" s="1"/>
  <c r="H1910" i="39"/>
  <c r="I1910" i="39" s="1"/>
  <c r="H1918" i="39"/>
  <c r="I1918" i="39" s="1"/>
  <c r="D9" i="40"/>
  <c r="D17" i="40"/>
  <c r="D25" i="40"/>
  <c r="D33" i="40"/>
  <c r="D41" i="40"/>
  <c r="D49" i="40"/>
  <c r="E49" i="40" s="1"/>
  <c r="D57" i="40"/>
  <c r="D65" i="40"/>
  <c r="D73" i="40"/>
  <c r="D81" i="40"/>
  <c r="D89" i="40"/>
  <c r="D97" i="40"/>
  <c r="D105" i="40"/>
  <c r="E105" i="40" s="1"/>
  <c r="D113" i="40"/>
  <c r="E113" i="40" s="1"/>
  <c r="D121" i="40"/>
  <c r="D129" i="40"/>
  <c r="D137" i="40"/>
  <c r="D145" i="40"/>
  <c r="E145" i="40" s="1"/>
  <c r="D153" i="40"/>
  <c r="D161" i="40"/>
  <c r="E161" i="40" s="1"/>
  <c r="D169" i="40"/>
  <c r="E169" i="40" s="1"/>
  <c r="D177" i="40"/>
  <c r="D185" i="40"/>
  <c r="D193" i="40"/>
  <c r="D201" i="40"/>
  <c r="D209" i="40"/>
  <c r="D217" i="40"/>
  <c r="D225" i="40"/>
  <c r="D233" i="40"/>
  <c r="D241" i="40"/>
  <c r="D249" i="40"/>
  <c r="D257" i="40"/>
  <c r="D265" i="40"/>
  <c r="D273" i="40"/>
  <c r="D281" i="40"/>
  <c r="D289" i="40"/>
  <c r="D297" i="40"/>
  <c r="D305" i="40"/>
  <c r="D308" i="40"/>
  <c r="D316" i="40"/>
  <c r="D324" i="40"/>
  <c r="D332" i="40"/>
  <c r="D340" i="40"/>
  <c r="D348" i="40"/>
  <c r="D356" i="40"/>
  <c r="F83" i="41"/>
  <c r="F139" i="41"/>
  <c r="F163" i="41"/>
  <c r="F273" i="41"/>
  <c r="F423" i="41"/>
  <c r="F431" i="41"/>
  <c r="F455" i="41"/>
  <c r="F479" i="41"/>
  <c r="F507" i="41"/>
  <c r="F535" i="41"/>
  <c r="H1569" i="39"/>
  <c r="H1577" i="39"/>
  <c r="I1577" i="39" s="1"/>
  <c r="H1585" i="39"/>
  <c r="I1585" i="39" s="1"/>
  <c r="H1593" i="39"/>
  <c r="I1593" i="39" s="1"/>
  <c r="H1601" i="39"/>
  <c r="I1601" i="39" s="1"/>
  <c r="H1609" i="39"/>
  <c r="I1609" i="39" s="1"/>
  <c r="H1617" i="39"/>
  <c r="I1617" i="39" s="1"/>
  <c r="H1625" i="39"/>
  <c r="I1625" i="39" s="1"/>
  <c r="H1633" i="39"/>
  <c r="I1633" i="39" s="1"/>
  <c r="H1641" i="39"/>
  <c r="I1641" i="39" s="1"/>
  <c r="H1649" i="39"/>
  <c r="I1649" i="39" s="1"/>
  <c r="H1657" i="39"/>
  <c r="I1657" i="39" s="1"/>
  <c r="H1665" i="39"/>
  <c r="I1665" i="39" s="1"/>
  <c r="H1673" i="39"/>
  <c r="I1673" i="39" s="1"/>
  <c r="H1681" i="39"/>
  <c r="I1681" i="39" s="1"/>
  <c r="H1689" i="39"/>
  <c r="I1689" i="39" s="1"/>
  <c r="H1697" i="39"/>
  <c r="I1697" i="39" s="1"/>
  <c r="H1705" i="39"/>
  <c r="I1705" i="39" s="1"/>
  <c r="H1713" i="39"/>
  <c r="I1713" i="39" s="1"/>
  <c r="H1721" i="39"/>
  <c r="I1721" i="39" s="1"/>
  <c r="H1729" i="39"/>
  <c r="I1729" i="39" s="1"/>
  <c r="H1737" i="39"/>
  <c r="I1737" i="39" s="1"/>
  <c r="H1745" i="39"/>
  <c r="I1745" i="39" s="1"/>
  <c r="H1753" i="39"/>
  <c r="I1753" i="39" s="1"/>
  <c r="H1761" i="39"/>
  <c r="I1761" i="39" s="1"/>
  <c r="H1769" i="39"/>
  <c r="I1769" i="39" s="1"/>
  <c r="H1777" i="39"/>
  <c r="I1777" i="39" s="1"/>
  <c r="H1785" i="39"/>
  <c r="I1785" i="39" s="1"/>
  <c r="H1793" i="39"/>
  <c r="I1793" i="39" s="1"/>
  <c r="H1801" i="39"/>
  <c r="I1801" i="39" s="1"/>
  <c r="H1809" i="39"/>
  <c r="I1809" i="39" s="1"/>
  <c r="H1817" i="39"/>
  <c r="I1817" i="39" s="1"/>
  <c r="H1825" i="39"/>
  <c r="I1825" i="39" s="1"/>
  <c r="H1833" i="39"/>
  <c r="I1833" i="39" s="1"/>
  <c r="H1841" i="39"/>
  <c r="I1841" i="39" s="1"/>
  <c r="H1849" i="39"/>
  <c r="I1849" i="39" s="1"/>
  <c r="H1857" i="39"/>
  <c r="I1857" i="39" s="1"/>
  <c r="H1865" i="39"/>
  <c r="I1865" i="39" s="1"/>
  <c r="H1873" i="39"/>
  <c r="H1881" i="39"/>
  <c r="I1881" i="39" s="1"/>
  <c r="H1889" i="39"/>
  <c r="I1889" i="39" s="1"/>
  <c r="H1897" i="39"/>
  <c r="I1897" i="39" s="1"/>
  <c r="H1905" i="39"/>
  <c r="I1905" i="39" s="1"/>
  <c r="H1913" i="39"/>
  <c r="I1913" i="39" s="1"/>
  <c r="H1921" i="39"/>
  <c r="I1921" i="39" s="1"/>
  <c r="D4" i="40"/>
  <c r="D12" i="40"/>
  <c r="D20" i="40"/>
  <c r="D28" i="40"/>
  <c r="D36" i="40"/>
  <c r="D44" i="40"/>
  <c r="D52" i="40"/>
  <c r="D60" i="40"/>
  <c r="D68" i="40"/>
  <c r="D76" i="40"/>
  <c r="D84" i="40"/>
  <c r="E84" i="40" s="1"/>
  <c r="D92" i="40"/>
  <c r="E92" i="40" s="1"/>
  <c r="D100" i="40"/>
  <c r="E100" i="40" s="1"/>
  <c r="D108" i="40"/>
  <c r="E108" i="40" s="1"/>
  <c r="D116" i="40"/>
  <c r="E116" i="40" s="1"/>
  <c r="D124" i="40"/>
  <c r="D132" i="40"/>
  <c r="D140" i="40"/>
  <c r="E140" i="40" s="1"/>
  <c r="D148" i="40"/>
  <c r="E148" i="40" s="1"/>
  <c r="D156" i="40"/>
  <c r="E156" i="40" s="1"/>
  <c r="D164" i="40"/>
  <c r="E164" i="40" s="1"/>
  <c r="D172" i="40"/>
  <c r="E172" i="40" s="1"/>
  <c r="D180" i="40"/>
  <c r="E180" i="40" s="1"/>
  <c r="D188" i="40"/>
  <c r="D196" i="40"/>
  <c r="E196" i="40" s="1"/>
  <c r="D204" i="40"/>
  <c r="E204" i="40" s="1"/>
  <c r="D212" i="40"/>
  <c r="E212" i="40" s="1"/>
  <c r="D220" i="40"/>
  <c r="E220" i="40" s="1"/>
  <c r="D228" i="40"/>
  <c r="E228" i="40" s="1"/>
  <c r="D236" i="40"/>
  <c r="D244" i="40"/>
  <c r="D252" i="40"/>
  <c r="D260" i="40"/>
  <c r="D268" i="40"/>
  <c r="E268" i="40" s="1"/>
  <c r="D276" i="40"/>
  <c r="D284" i="40"/>
  <c r="D292" i="40"/>
  <c r="D300" i="40"/>
  <c r="D311" i="40"/>
  <c r="D319" i="40"/>
  <c r="D327" i="40"/>
  <c r="D335" i="40"/>
  <c r="E335" i="40" s="1"/>
  <c r="D343" i="40"/>
  <c r="E343" i="40" s="1"/>
  <c r="D351" i="40"/>
  <c r="E351" i="40" s="1"/>
  <c r="H1572" i="39"/>
  <c r="I1572" i="39" s="1"/>
  <c r="H1580" i="39"/>
  <c r="H1588" i="39"/>
  <c r="I1588" i="39" s="1"/>
  <c r="H1596" i="39"/>
  <c r="I1596" i="39" s="1"/>
  <c r="H1604" i="39"/>
  <c r="I1604" i="39" s="1"/>
  <c r="H1612" i="39"/>
  <c r="I1612" i="39" s="1"/>
  <c r="H1620" i="39"/>
  <c r="I1620" i="39" s="1"/>
  <c r="H1628" i="39"/>
  <c r="I1628" i="39" s="1"/>
  <c r="H1636" i="39"/>
  <c r="I1636" i="39" s="1"/>
  <c r="H1644" i="39"/>
  <c r="H1652" i="39"/>
  <c r="I1652" i="39" s="1"/>
  <c r="H1660" i="39"/>
  <c r="I1660" i="39" s="1"/>
  <c r="H1668" i="39"/>
  <c r="I1668" i="39" s="1"/>
  <c r="H1676" i="39"/>
  <c r="I1676" i="39" s="1"/>
  <c r="H1684" i="39"/>
  <c r="I1684" i="39" s="1"/>
  <c r="H1692" i="39"/>
  <c r="I1692" i="39" s="1"/>
  <c r="H1700" i="39"/>
  <c r="I1700" i="39" s="1"/>
  <c r="H1708" i="39"/>
  <c r="H1716" i="39"/>
  <c r="I1716" i="39" s="1"/>
  <c r="H1724" i="39"/>
  <c r="I1724" i="39" s="1"/>
  <c r="H1732" i="39"/>
  <c r="I1732" i="39" s="1"/>
  <c r="H1740" i="39"/>
  <c r="I1740" i="39" s="1"/>
  <c r="H1748" i="39"/>
  <c r="I1748" i="39" s="1"/>
  <c r="H1756" i="39"/>
  <c r="I1756" i="39" s="1"/>
  <c r="H1764" i="39"/>
  <c r="I1764" i="39" s="1"/>
  <c r="H1772" i="39"/>
  <c r="H1780" i="39"/>
  <c r="I1780" i="39" s="1"/>
  <c r="H1788" i="39"/>
  <c r="I1788" i="39" s="1"/>
  <c r="H1796" i="39"/>
  <c r="I1796" i="39" s="1"/>
  <c r="H1804" i="39"/>
  <c r="I1804" i="39" s="1"/>
  <c r="H1812" i="39"/>
  <c r="I1812" i="39" s="1"/>
  <c r="H1820" i="39"/>
  <c r="I1820" i="39" s="1"/>
  <c r="H1828" i="39"/>
  <c r="I1828" i="39" s="1"/>
  <c r="H1836" i="39"/>
  <c r="H1844" i="39"/>
  <c r="I1844" i="39" s="1"/>
  <c r="H1852" i="39"/>
  <c r="I1852" i="39" s="1"/>
  <c r="H1860" i="39"/>
  <c r="I1860" i="39" s="1"/>
  <c r="H1868" i="39"/>
  <c r="I1868" i="39" s="1"/>
  <c r="H1876" i="39"/>
  <c r="I1876" i="39" s="1"/>
  <c r="H1884" i="39"/>
  <c r="I1884" i="39" s="1"/>
  <c r="H1892" i="39"/>
  <c r="I1892" i="39" s="1"/>
  <c r="H1900" i="39"/>
  <c r="H1908" i="39"/>
  <c r="I1908" i="39" s="1"/>
  <c r="H1916" i="39"/>
  <c r="I1916" i="39" s="1"/>
  <c r="D7" i="40"/>
  <c r="D15" i="40"/>
  <c r="D23" i="40"/>
  <c r="E23" i="40" s="1"/>
  <c r="D31" i="40"/>
  <c r="E31" i="40" s="1"/>
  <c r="D39" i="40"/>
  <c r="E39" i="40" s="1"/>
  <c r="D47" i="40"/>
  <c r="E47" i="40" s="1"/>
  <c r="D55" i="40"/>
  <c r="D63" i="40"/>
  <c r="D71" i="40"/>
  <c r="D79" i="40"/>
  <c r="D87" i="40"/>
  <c r="E87" i="40" s="1"/>
  <c r="D95" i="40"/>
  <c r="E95" i="40" s="1"/>
  <c r="D103" i="40"/>
  <c r="E103" i="40" s="1"/>
  <c r="D111" i="40"/>
  <c r="E111" i="40" s="1"/>
  <c r="D119" i="40"/>
  <c r="D127" i="40"/>
  <c r="D135" i="40"/>
  <c r="D143" i="40"/>
  <c r="E143" i="40" s="1"/>
  <c r="D151" i="40"/>
  <c r="E151" i="40" s="1"/>
  <c r="D159" i="40"/>
  <c r="E159" i="40" s="1"/>
  <c r="D167" i="40"/>
  <c r="E167" i="40" s="1"/>
  <c r="D175" i="40"/>
  <c r="E175" i="40" s="1"/>
  <c r="D183" i="40"/>
  <c r="D191" i="40"/>
  <c r="D199" i="40"/>
  <c r="D207" i="40"/>
  <c r="D215" i="40"/>
  <c r="E215" i="40" s="1"/>
  <c r="D223" i="40"/>
  <c r="E223" i="40" s="1"/>
  <c r="D231" i="40"/>
  <c r="E231" i="40" s="1"/>
  <c r="D239" i="40"/>
  <c r="E239" i="40" s="1"/>
  <c r="D247" i="40"/>
  <c r="D255" i="40"/>
  <c r="D263" i="40"/>
  <c r="D271" i="40"/>
  <c r="D279" i="40"/>
  <c r="E279" i="40" s="1"/>
  <c r="D287" i="40"/>
  <c r="E287" i="40" s="1"/>
  <c r="D295" i="40"/>
  <c r="E295" i="40" s="1"/>
  <c r="D303" i="40"/>
  <c r="E303" i="40" s="1"/>
  <c r="D314" i="40"/>
  <c r="D322" i="40"/>
  <c r="D330" i="40"/>
  <c r="D338" i="40"/>
  <c r="D346" i="40"/>
  <c r="E346" i="40" s="1"/>
  <c r="D354" i="40"/>
  <c r="D28" i="38"/>
  <c r="R142" i="27"/>
  <c r="Q3" i="27"/>
  <c r="Q1" i="27" s="1"/>
  <c r="H1575" i="39"/>
  <c r="I1575" i="39" s="1"/>
  <c r="H1583" i="39"/>
  <c r="I1583" i="39" s="1"/>
  <c r="H1591" i="39"/>
  <c r="H1599" i="39"/>
  <c r="I1599" i="39" s="1"/>
  <c r="H1607" i="39"/>
  <c r="I1607" i="39" s="1"/>
  <c r="H1615" i="39"/>
  <c r="I1615" i="39" s="1"/>
  <c r="H1623" i="39"/>
  <c r="I1623" i="39" s="1"/>
  <c r="H1631" i="39"/>
  <c r="I1631" i="39" s="1"/>
  <c r="H1639" i="39"/>
  <c r="I1639" i="39" s="1"/>
  <c r="H1647" i="39"/>
  <c r="I1647" i="39" s="1"/>
  <c r="H1655" i="39"/>
  <c r="H1663" i="39"/>
  <c r="I1663" i="39" s="1"/>
  <c r="H1671" i="39"/>
  <c r="I1671" i="39" s="1"/>
  <c r="H1679" i="39"/>
  <c r="I1679" i="39" s="1"/>
  <c r="H1687" i="39"/>
  <c r="I1687" i="39" s="1"/>
  <c r="H1695" i="39"/>
  <c r="I1695" i="39" s="1"/>
  <c r="H1703" i="39"/>
  <c r="I1703" i="39" s="1"/>
  <c r="H1711" i="39"/>
  <c r="I1711" i="39" s="1"/>
  <c r="H1719" i="39"/>
  <c r="H1727" i="39"/>
  <c r="I1727" i="39" s="1"/>
  <c r="H1735" i="39"/>
  <c r="I1735" i="39" s="1"/>
  <c r="H1743" i="39"/>
  <c r="I1743" i="39" s="1"/>
  <c r="H1751" i="39"/>
  <c r="I1751" i="39" s="1"/>
  <c r="H1759" i="39"/>
  <c r="I1759" i="39" s="1"/>
  <c r="H1767" i="39"/>
  <c r="I1767" i="39" s="1"/>
  <c r="H1775" i="39"/>
  <c r="I1775" i="39" s="1"/>
  <c r="H1783" i="39"/>
  <c r="H1791" i="39"/>
  <c r="I1791" i="39" s="1"/>
  <c r="H1799" i="39"/>
  <c r="I1799" i="39" s="1"/>
  <c r="H1807" i="39"/>
  <c r="I1807" i="39" s="1"/>
  <c r="H1815" i="39"/>
  <c r="I1815" i="39" s="1"/>
  <c r="H1823" i="39"/>
  <c r="I1823" i="39" s="1"/>
  <c r="H1831" i="39"/>
  <c r="I1831" i="39" s="1"/>
  <c r="H1839" i="39"/>
  <c r="I1839" i="39" s="1"/>
  <c r="H1847" i="39"/>
  <c r="H1855" i="39"/>
  <c r="I1855" i="39" s="1"/>
  <c r="H1863" i="39"/>
  <c r="I1863" i="39" s="1"/>
  <c r="H1871" i="39"/>
  <c r="I1871" i="39" s="1"/>
  <c r="H1879" i="39"/>
  <c r="I1879" i="39" s="1"/>
  <c r="H1887" i="39"/>
  <c r="I1887" i="39" s="1"/>
  <c r="H1895" i="39"/>
  <c r="I1895" i="39" s="1"/>
  <c r="H1903" i="39"/>
  <c r="I1903" i="39" s="1"/>
  <c r="H1911" i="39"/>
  <c r="H1919" i="39"/>
  <c r="I1919" i="39" s="1"/>
  <c r="D10" i="40"/>
  <c r="D18" i="40"/>
  <c r="D26" i="40"/>
  <c r="E26" i="40" s="1"/>
  <c r="D34" i="40"/>
  <c r="E34" i="40" s="1"/>
  <c r="D42" i="40"/>
  <c r="D50" i="40"/>
  <c r="D58" i="40"/>
  <c r="D66" i="40"/>
  <c r="D74" i="40"/>
  <c r="D82" i="40"/>
  <c r="D90" i="40"/>
  <c r="E90" i="40" s="1"/>
  <c r="D98" i="40"/>
  <c r="D106" i="40"/>
  <c r="E106" i="40" s="1"/>
  <c r="D114" i="40"/>
  <c r="E114" i="40" s="1"/>
  <c r="D122" i="40"/>
  <c r="D130" i="40"/>
  <c r="D138" i="40"/>
  <c r="E138" i="40" s="1"/>
  <c r="D146" i="40"/>
  <c r="E146" i="40" s="1"/>
  <c r="D154" i="40"/>
  <c r="E154" i="40" s="1"/>
  <c r="D162" i="40"/>
  <c r="E162" i="40" s="1"/>
  <c r="D170" i="40"/>
  <c r="E170" i="40" s="1"/>
  <c r="D178" i="40"/>
  <c r="D186" i="40"/>
  <c r="D194" i="40"/>
  <c r="D202" i="40"/>
  <c r="D210" i="40"/>
  <c r="D218" i="40"/>
  <c r="E218" i="40" s="1"/>
  <c r="D226" i="40"/>
  <c r="D234" i="40"/>
  <c r="D242" i="40"/>
  <c r="D250" i="40"/>
  <c r="D258" i="40"/>
  <c r="D266" i="40"/>
  <c r="D274" i="40"/>
  <c r="D282" i="40"/>
  <c r="E282" i="40" s="1"/>
  <c r="D290" i="40"/>
  <c r="D298" i="40"/>
  <c r="D309" i="40"/>
  <c r="D317" i="40"/>
  <c r="D325" i="40"/>
  <c r="D333" i="40"/>
  <c r="D341" i="40"/>
  <c r="D349" i="40"/>
  <c r="E349" i="40" s="1"/>
  <c r="D357" i="40"/>
  <c r="F87" i="41"/>
  <c r="F261" i="41"/>
  <c r="F281" i="41"/>
  <c r="F439" i="41"/>
  <c r="F495" i="41"/>
  <c r="H1570" i="39"/>
  <c r="I1570" i="39" s="1"/>
  <c r="H1578" i="39"/>
  <c r="I1578" i="39" s="1"/>
  <c r="H1586" i="39"/>
  <c r="I1586" i="39" s="1"/>
  <c r="H1594" i="39"/>
  <c r="I1594" i="39" s="1"/>
  <c r="H1602" i="39"/>
  <c r="I1602" i="39" s="1"/>
  <c r="H1610" i="39"/>
  <c r="I1610" i="39" s="1"/>
  <c r="H1618" i="39"/>
  <c r="I1618" i="39" s="1"/>
  <c r="H1626" i="39"/>
  <c r="I1626" i="39" s="1"/>
  <c r="H1634" i="39"/>
  <c r="I1634" i="39" s="1"/>
  <c r="H1642" i="39"/>
  <c r="I1642" i="39" s="1"/>
  <c r="H1650" i="39"/>
  <c r="I1650" i="39" s="1"/>
  <c r="H1658" i="39"/>
  <c r="I1658" i="39" s="1"/>
  <c r="H1666" i="39"/>
  <c r="I1666" i="39" s="1"/>
  <c r="H1674" i="39"/>
  <c r="I1674" i="39" s="1"/>
  <c r="H1682" i="39"/>
  <c r="I1682" i="39" s="1"/>
  <c r="H1690" i="39"/>
  <c r="I1690" i="39" s="1"/>
  <c r="H1698" i="39"/>
  <c r="I1698" i="39" s="1"/>
  <c r="H1706" i="39"/>
  <c r="I1706" i="39" s="1"/>
  <c r="H1714" i="39"/>
  <c r="I1714" i="39" s="1"/>
  <c r="H1722" i="39"/>
  <c r="I1722" i="39" s="1"/>
  <c r="H1730" i="39"/>
  <c r="I1730" i="39" s="1"/>
  <c r="H1738" i="39"/>
  <c r="I1738" i="39" s="1"/>
  <c r="H1746" i="39"/>
  <c r="I1746" i="39" s="1"/>
  <c r="H1754" i="39"/>
  <c r="I1754" i="39" s="1"/>
  <c r="H1762" i="39"/>
  <c r="I1762" i="39" s="1"/>
  <c r="H1770" i="39"/>
  <c r="I1770" i="39" s="1"/>
  <c r="H1778" i="39"/>
  <c r="I1778" i="39" s="1"/>
  <c r="H1786" i="39"/>
  <c r="I1786" i="39" s="1"/>
  <c r="H1794" i="39"/>
  <c r="I1794" i="39" s="1"/>
  <c r="H1802" i="39"/>
  <c r="I1802" i="39" s="1"/>
  <c r="H1810" i="39"/>
  <c r="I1810" i="39" s="1"/>
  <c r="H1818" i="39"/>
  <c r="I1818" i="39" s="1"/>
  <c r="H1826" i="39"/>
  <c r="I1826" i="39" s="1"/>
  <c r="H1834" i="39"/>
  <c r="I1834" i="39" s="1"/>
  <c r="H1842" i="39"/>
  <c r="I1842" i="39" s="1"/>
  <c r="H1850" i="39"/>
  <c r="I1850" i="39" s="1"/>
  <c r="H1858" i="39"/>
  <c r="I1858" i="39" s="1"/>
  <c r="H1866" i="39"/>
  <c r="I1866" i="39" s="1"/>
  <c r="H1874" i="39"/>
  <c r="I1874" i="39" s="1"/>
  <c r="H1882" i="39"/>
  <c r="I1882" i="39" s="1"/>
  <c r="H1890" i="39"/>
  <c r="I1890" i="39" s="1"/>
  <c r="H1898" i="39"/>
  <c r="I1898" i="39" s="1"/>
  <c r="H1906" i="39"/>
  <c r="I1906" i="39" s="1"/>
  <c r="H1914" i="39"/>
  <c r="I1914" i="39" s="1"/>
  <c r="H1922" i="39"/>
  <c r="I1922" i="39" s="1"/>
  <c r="D5" i="40"/>
  <c r="D13" i="40"/>
  <c r="D21" i="40"/>
  <c r="D29" i="40"/>
  <c r="D37" i="40"/>
  <c r="D45" i="40"/>
  <c r="D53" i="40"/>
  <c r="D61" i="40"/>
  <c r="D69" i="40"/>
  <c r="D77" i="40"/>
  <c r="D85" i="40"/>
  <c r="D93" i="40"/>
  <c r="D101" i="40"/>
  <c r="D109" i="40"/>
  <c r="E109" i="40" s="1"/>
  <c r="D117" i="40"/>
  <c r="D125" i="40"/>
  <c r="D133" i="40"/>
  <c r="D141" i="40"/>
  <c r="E141" i="40" s="1"/>
  <c r="D149" i="40"/>
  <c r="D157" i="40"/>
  <c r="D165" i="40"/>
  <c r="E165" i="40" s="1"/>
  <c r="D173" i="40"/>
  <c r="D181" i="40"/>
  <c r="D189" i="40"/>
  <c r="D197" i="40"/>
  <c r="D205" i="40"/>
  <c r="D213" i="40"/>
  <c r="D221" i="40"/>
  <c r="D229" i="40"/>
  <c r="D237" i="40"/>
  <c r="D245" i="40"/>
  <c r="D253" i="40"/>
  <c r="D261" i="40"/>
  <c r="D269" i="40"/>
  <c r="D277" i="40"/>
  <c r="D285" i="40"/>
  <c r="D293" i="40"/>
  <c r="D301" i="40"/>
  <c r="D312" i="40"/>
  <c r="D320" i="40"/>
  <c r="D328" i="40"/>
  <c r="D336" i="40"/>
  <c r="D344" i="40"/>
  <c r="D352" i="40"/>
  <c r="F115" i="41"/>
  <c r="F247" i="41"/>
  <c r="F297" i="41"/>
  <c r="F529" i="41"/>
  <c r="H1573" i="39"/>
  <c r="I1573" i="39" s="1"/>
  <c r="H1581" i="39"/>
  <c r="I1581" i="39" s="1"/>
  <c r="H1589" i="39"/>
  <c r="I1589" i="39" s="1"/>
  <c r="H1597" i="39"/>
  <c r="I1597" i="39" s="1"/>
  <c r="H1605" i="39"/>
  <c r="I1605" i="39" s="1"/>
  <c r="H1613" i="39"/>
  <c r="I1613" i="39" s="1"/>
  <c r="H1621" i="39"/>
  <c r="I1621" i="39" s="1"/>
  <c r="H1629" i="39"/>
  <c r="I1629" i="39" s="1"/>
  <c r="H1637" i="39"/>
  <c r="I1637" i="39" s="1"/>
  <c r="H1645" i="39"/>
  <c r="I1645" i="39" s="1"/>
  <c r="H1653" i="39"/>
  <c r="I1653" i="39" s="1"/>
  <c r="H1661" i="39"/>
  <c r="I1661" i="39" s="1"/>
  <c r="H1669" i="39"/>
  <c r="I1669" i="39" s="1"/>
  <c r="H1677" i="39"/>
  <c r="I1677" i="39" s="1"/>
  <c r="H1685" i="39"/>
  <c r="I1685" i="39" s="1"/>
  <c r="H1693" i="39"/>
  <c r="I1693" i="39" s="1"/>
  <c r="H1701" i="39"/>
  <c r="I1701" i="39" s="1"/>
  <c r="H1709" i="39"/>
  <c r="I1709" i="39" s="1"/>
  <c r="H1717" i="39"/>
  <c r="I1717" i="39" s="1"/>
  <c r="H1725" i="39"/>
  <c r="I1725" i="39" s="1"/>
  <c r="H1733" i="39"/>
  <c r="I1733" i="39" s="1"/>
  <c r="H1741" i="39"/>
  <c r="I1741" i="39" s="1"/>
  <c r="H1749" i="39"/>
  <c r="I1749" i="39" s="1"/>
  <c r="H1757" i="39"/>
  <c r="I1757" i="39" s="1"/>
  <c r="H1765" i="39"/>
  <c r="I1765" i="39" s="1"/>
  <c r="H1773" i="39"/>
  <c r="I1773" i="39" s="1"/>
  <c r="H1781" i="39"/>
  <c r="I1781" i="39" s="1"/>
  <c r="H1789" i="39"/>
  <c r="I1789" i="39" s="1"/>
  <c r="H1797" i="39"/>
  <c r="I1797" i="39" s="1"/>
  <c r="H1805" i="39"/>
  <c r="I1805" i="39" s="1"/>
  <c r="H1813" i="39"/>
  <c r="I1813" i="39" s="1"/>
  <c r="H1821" i="39"/>
  <c r="I1821" i="39" s="1"/>
  <c r="H1829" i="39"/>
  <c r="I1829" i="39" s="1"/>
  <c r="H1837" i="39"/>
  <c r="I1837" i="39" s="1"/>
  <c r="H1845" i="39"/>
  <c r="I1845" i="39" s="1"/>
  <c r="H1853" i="39"/>
  <c r="I1853" i="39" s="1"/>
  <c r="H1861" i="39"/>
  <c r="I1861" i="39" s="1"/>
  <c r="H1869" i="39"/>
  <c r="I1869" i="39" s="1"/>
  <c r="H1877" i="39"/>
  <c r="I1877" i="39" s="1"/>
  <c r="H1885" i="39"/>
  <c r="I1885" i="39" s="1"/>
  <c r="H1893" i="39"/>
  <c r="I1893" i="39" s="1"/>
  <c r="H1901" i="39"/>
  <c r="I1901" i="39" s="1"/>
  <c r="H1909" i="39"/>
  <c r="I1909" i="39" s="1"/>
  <c r="H1917" i="39"/>
  <c r="I1917" i="39" s="1"/>
  <c r="D8" i="40"/>
  <c r="D16" i="40"/>
  <c r="D24" i="40"/>
  <c r="D32" i="40"/>
  <c r="D40" i="40"/>
  <c r="D48" i="40"/>
  <c r="D56" i="40"/>
  <c r="D64" i="40"/>
  <c r="D72" i="40"/>
  <c r="D80" i="40"/>
  <c r="D88" i="40"/>
  <c r="D96" i="40"/>
  <c r="E96" i="40" s="1"/>
  <c r="D104" i="40"/>
  <c r="D112" i="40"/>
  <c r="E112" i="40" s="1"/>
  <c r="D120" i="40"/>
  <c r="D128" i="40"/>
  <c r="D136" i="40"/>
  <c r="D144" i="40"/>
  <c r="E144" i="40" s="1"/>
  <c r="D152" i="40"/>
  <c r="D160" i="40"/>
  <c r="D168" i="40"/>
  <c r="E168" i="40" s="1"/>
  <c r="D176" i="40"/>
  <c r="D184" i="40"/>
  <c r="D192" i="40"/>
  <c r="D200" i="40"/>
  <c r="D208" i="40"/>
  <c r="D216" i="40"/>
  <c r="D224" i="40"/>
  <c r="D232" i="40"/>
  <c r="D240" i="40"/>
  <c r="D248" i="40"/>
  <c r="D256" i="40"/>
  <c r="D264" i="40"/>
  <c r="D272" i="40"/>
  <c r="D280" i="40"/>
  <c r="D288" i="40"/>
  <c r="D296" i="40"/>
  <c r="D304" i="40"/>
  <c r="D307" i="40"/>
  <c r="D315" i="40"/>
  <c r="D323" i="40"/>
  <c r="D331" i="40"/>
  <c r="D339" i="40"/>
  <c r="D347" i="40"/>
  <c r="D355" i="40"/>
  <c r="F79" i="41"/>
  <c r="F91" i="41"/>
  <c r="F103" i="41"/>
  <c r="F125" i="41"/>
  <c r="F265" i="41"/>
  <c r="F415" i="41"/>
  <c r="F579" i="41"/>
  <c r="H1576" i="39"/>
  <c r="I1576" i="39" s="1"/>
  <c r="H1584" i="39"/>
  <c r="I1584" i="39" s="1"/>
  <c r="H1592" i="39"/>
  <c r="I1592" i="39" s="1"/>
  <c r="H1600" i="39"/>
  <c r="I1600" i="39" s="1"/>
  <c r="H1608" i="39"/>
  <c r="I1608" i="39" s="1"/>
  <c r="H1616" i="39"/>
  <c r="I1616" i="39" s="1"/>
  <c r="H1624" i="39"/>
  <c r="I1624" i="39" s="1"/>
  <c r="H1632" i="39"/>
  <c r="I1632" i="39" s="1"/>
  <c r="H1640" i="39"/>
  <c r="I1640" i="39" s="1"/>
  <c r="H1648" i="39"/>
  <c r="I1648" i="39" s="1"/>
  <c r="H1656" i="39"/>
  <c r="I1656" i="39" s="1"/>
  <c r="H1664" i="39"/>
  <c r="I1664" i="39" s="1"/>
  <c r="H1672" i="39"/>
  <c r="I1672" i="39" s="1"/>
  <c r="H1680" i="39"/>
  <c r="I1680" i="39" s="1"/>
  <c r="H1688" i="39"/>
  <c r="I1688" i="39" s="1"/>
  <c r="H1696" i="39"/>
  <c r="I1696" i="39" s="1"/>
  <c r="H1704" i="39"/>
  <c r="I1704" i="39" s="1"/>
  <c r="H1712" i="39"/>
  <c r="I1712" i="39" s="1"/>
  <c r="H1720" i="39"/>
  <c r="I1720" i="39" s="1"/>
  <c r="H1728" i="39"/>
  <c r="I1728" i="39" s="1"/>
  <c r="H1736" i="39"/>
  <c r="I1736" i="39" s="1"/>
  <c r="H1744" i="39"/>
  <c r="I1744" i="39" s="1"/>
  <c r="H1752" i="39"/>
  <c r="I1752" i="39" s="1"/>
  <c r="H1760" i="39"/>
  <c r="I1760" i="39" s="1"/>
  <c r="H1768" i="39"/>
  <c r="I1768" i="39" s="1"/>
  <c r="H1776" i="39"/>
  <c r="I1776" i="39" s="1"/>
  <c r="H1784" i="39"/>
  <c r="I1784" i="39" s="1"/>
  <c r="H1792" i="39"/>
  <c r="I1792" i="39" s="1"/>
  <c r="H1800" i="39"/>
  <c r="I1800" i="39" s="1"/>
  <c r="H1808" i="39"/>
  <c r="I1808" i="39" s="1"/>
  <c r="H1816" i="39"/>
  <c r="I1816" i="39" s="1"/>
  <c r="H1824" i="39"/>
  <c r="I1824" i="39" s="1"/>
  <c r="H1832" i="39"/>
  <c r="I1832" i="39" s="1"/>
  <c r="H1840" i="39"/>
  <c r="I1840" i="39" s="1"/>
  <c r="H1848" i="39"/>
  <c r="I1848" i="39" s="1"/>
  <c r="H1856" i="39"/>
  <c r="I1856" i="39" s="1"/>
  <c r="H1864" i="39"/>
  <c r="I1864" i="39" s="1"/>
  <c r="H1872" i="39"/>
  <c r="I1872" i="39" s="1"/>
  <c r="H1880" i="39"/>
  <c r="I1880" i="39" s="1"/>
  <c r="H1888" i="39"/>
  <c r="I1888" i="39" s="1"/>
  <c r="H1896" i="39"/>
  <c r="I1896" i="39" s="1"/>
  <c r="H1904" i="39"/>
  <c r="I1904" i="39" s="1"/>
  <c r="H1912" i="39"/>
  <c r="I1912" i="39" s="1"/>
  <c r="H1920" i="39"/>
  <c r="I1920" i="39" s="1"/>
  <c r="D11" i="40"/>
  <c r="D19" i="40"/>
  <c r="D27" i="40"/>
  <c r="D35" i="40"/>
  <c r="D43" i="40"/>
  <c r="D51" i="40"/>
  <c r="E51" i="40" s="1"/>
  <c r="D59" i="40"/>
  <c r="E59" i="40" s="1"/>
  <c r="D67" i="40"/>
  <c r="E67" i="40" s="1"/>
  <c r="D75" i="40"/>
  <c r="D83" i="40"/>
  <c r="D91" i="40"/>
  <c r="D99" i="40"/>
  <c r="D107" i="40"/>
  <c r="E107" i="40" s="1"/>
  <c r="D115" i="40"/>
  <c r="E115" i="40" s="1"/>
  <c r="D123" i="40"/>
  <c r="E123" i="40" s="1"/>
  <c r="D131" i="40"/>
  <c r="E131" i="40" s="1"/>
  <c r="D139" i="40"/>
  <c r="E139" i="40" s="1"/>
  <c r="D147" i="40"/>
  <c r="E147" i="40" s="1"/>
  <c r="D155" i="40"/>
  <c r="D163" i="40"/>
  <c r="E163" i="40" s="1"/>
  <c r="D171" i="40"/>
  <c r="E171" i="40" s="1"/>
  <c r="D179" i="40"/>
  <c r="E179" i="40" s="1"/>
  <c r="D187" i="40"/>
  <c r="E187" i="40" s="1"/>
  <c r="D195" i="40"/>
  <c r="E195" i="40" s="1"/>
  <c r="D203" i="40"/>
  <c r="D211" i="40"/>
  <c r="D219" i="40"/>
  <c r="D227" i="40"/>
  <c r="D235" i="40"/>
  <c r="E235" i="40" s="1"/>
  <c r="D243" i="40"/>
  <c r="E243" i="40" s="1"/>
  <c r="D251" i="40"/>
  <c r="E251" i="40" s="1"/>
  <c r="D259" i="40"/>
  <c r="E259" i="40" s="1"/>
  <c r="D267" i="40"/>
  <c r="D275" i="40"/>
  <c r="D283" i="40"/>
  <c r="D291" i="40"/>
  <c r="D299" i="40"/>
  <c r="E299" i="40" s="1"/>
  <c r="D310" i="40"/>
  <c r="E310" i="40" s="1"/>
  <c r="D318" i="40"/>
  <c r="E318" i="40" s="1"/>
  <c r="D326" i="40"/>
  <c r="E326" i="40" s="1"/>
  <c r="D334" i="40"/>
  <c r="E334" i="40" s="1"/>
  <c r="D342" i="40"/>
  <c r="D350" i="40"/>
  <c r="D358" i="40"/>
  <c r="H1571" i="39"/>
  <c r="I1571" i="39" s="1"/>
  <c r="H1579" i="39"/>
  <c r="I1579" i="39" s="1"/>
  <c r="H1587" i="39"/>
  <c r="I1587" i="39" s="1"/>
  <c r="H1595" i="39"/>
  <c r="I1595" i="39" s="1"/>
  <c r="H1603" i="39"/>
  <c r="I1603" i="39" s="1"/>
  <c r="H1611" i="39"/>
  <c r="I1611" i="39" s="1"/>
  <c r="H1619" i="39"/>
  <c r="I1619" i="39" s="1"/>
  <c r="H1627" i="39"/>
  <c r="I1627" i="39" s="1"/>
  <c r="H1635" i="39"/>
  <c r="I1635" i="39" s="1"/>
  <c r="H1643" i="39"/>
  <c r="I1643" i="39" s="1"/>
  <c r="H1651" i="39"/>
  <c r="I1651" i="39" s="1"/>
  <c r="H1659" i="39"/>
  <c r="I1659" i="39" s="1"/>
  <c r="H1667" i="39"/>
  <c r="I1667" i="39" s="1"/>
  <c r="H1675" i="39"/>
  <c r="I1675" i="39" s="1"/>
  <c r="H1683" i="39"/>
  <c r="I1683" i="39" s="1"/>
  <c r="H1691" i="39"/>
  <c r="I1691" i="39" s="1"/>
  <c r="H1699" i="39"/>
  <c r="I1699" i="39" s="1"/>
  <c r="H1707" i="39"/>
  <c r="I1707" i="39" s="1"/>
  <c r="H1715" i="39"/>
  <c r="I1715" i="39" s="1"/>
  <c r="H1723" i="39"/>
  <c r="I1723" i="39" s="1"/>
  <c r="H1731" i="39"/>
  <c r="I1731" i="39" s="1"/>
  <c r="H1739" i="39"/>
  <c r="I1739" i="39" s="1"/>
  <c r="H1747" i="39"/>
  <c r="I1747" i="39" s="1"/>
  <c r="H1755" i="39"/>
  <c r="I1755" i="39" s="1"/>
  <c r="H1763" i="39"/>
  <c r="I1763" i="39" s="1"/>
  <c r="H1771" i="39"/>
  <c r="I1771" i="39" s="1"/>
  <c r="H1779" i="39"/>
  <c r="I1779" i="39" s="1"/>
  <c r="H1787" i="39"/>
  <c r="I1787" i="39" s="1"/>
  <c r="H1795" i="39"/>
  <c r="I1795" i="39" s="1"/>
  <c r="H1803" i="39"/>
  <c r="I1803" i="39" s="1"/>
  <c r="H1811" i="39"/>
  <c r="I1811" i="39" s="1"/>
  <c r="H1819" i="39"/>
  <c r="I1819" i="39" s="1"/>
  <c r="H1827" i="39"/>
  <c r="I1827" i="39" s="1"/>
  <c r="H1835" i="39"/>
  <c r="I1835" i="39" s="1"/>
  <c r="H1843" i="39"/>
  <c r="I1843" i="39" s="1"/>
  <c r="H1851" i="39"/>
  <c r="I1851" i="39" s="1"/>
  <c r="H1859" i="39"/>
  <c r="I1859" i="39" s="1"/>
  <c r="H1867" i="39"/>
  <c r="I1867" i="39" s="1"/>
  <c r="H1875" i="39"/>
  <c r="I1875" i="39" s="1"/>
  <c r="H1883" i="39"/>
  <c r="I1883" i="39" s="1"/>
  <c r="H1891" i="39"/>
  <c r="I1891" i="39" s="1"/>
  <c r="H1899" i="39"/>
  <c r="I1899" i="39" s="1"/>
  <c r="H1907" i="39"/>
  <c r="I1907" i="39" s="1"/>
  <c r="H1915" i="39"/>
  <c r="I1915" i="39" s="1"/>
  <c r="H1923" i="39"/>
  <c r="I1923" i="39" s="1"/>
  <c r="D6" i="40"/>
  <c r="E6" i="40" s="1"/>
  <c r="D14" i="40"/>
  <c r="E14" i="40" s="1"/>
  <c r="D22" i="40"/>
  <c r="D30" i="40"/>
  <c r="E30" i="40" s="1"/>
  <c r="D38" i="40"/>
  <c r="E38" i="40" s="1"/>
  <c r="D46" i="40"/>
  <c r="E46" i="40" s="1"/>
  <c r="D54" i="40"/>
  <c r="E54" i="40" s="1"/>
  <c r="D62" i="40"/>
  <c r="E62" i="40" s="1"/>
  <c r="D70" i="40"/>
  <c r="E70" i="40" s="1"/>
  <c r="D78" i="40"/>
  <c r="E78" i="40" s="1"/>
  <c r="D86" i="40"/>
  <c r="D94" i="40"/>
  <c r="E94" i="40" s="1"/>
  <c r="D102" i="40"/>
  <c r="E102" i="40" s="1"/>
  <c r="D110" i="40"/>
  <c r="E110" i="40" s="1"/>
  <c r="D118" i="40"/>
  <c r="E118" i="40" s="1"/>
  <c r="D126" i="40"/>
  <c r="E126" i="40" s="1"/>
  <c r="D134" i="40"/>
  <c r="E134" i="40" s="1"/>
  <c r="D142" i="40"/>
  <c r="E142" i="40" s="1"/>
  <c r="D150" i="40"/>
  <c r="D158" i="40"/>
  <c r="E158" i="40" s="1"/>
  <c r="D166" i="40"/>
  <c r="E166" i="40" s="1"/>
  <c r="D174" i="40"/>
  <c r="E174" i="40" s="1"/>
  <c r="D182" i="40"/>
  <c r="E182" i="40" s="1"/>
  <c r="D190" i="40"/>
  <c r="E190" i="40" s="1"/>
  <c r="D198" i="40"/>
  <c r="E198" i="40" s="1"/>
  <c r="D206" i="40"/>
  <c r="E206" i="40" s="1"/>
  <c r="D214" i="40"/>
  <c r="D222" i="40"/>
  <c r="E222" i="40" s="1"/>
  <c r="D230" i="40"/>
  <c r="E230" i="40" s="1"/>
  <c r="D238" i="40"/>
  <c r="E238" i="40" s="1"/>
  <c r="D246" i="40"/>
  <c r="E246" i="40" s="1"/>
  <c r="D254" i="40"/>
  <c r="E254" i="40" s="1"/>
  <c r="D262" i="40"/>
  <c r="E262" i="40" s="1"/>
  <c r="D270" i="40"/>
  <c r="E270" i="40" s="1"/>
  <c r="D278" i="40"/>
  <c r="D286" i="40"/>
  <c r="E286" i="40" s="1"/>
  <c r="D294" i="40"/>
  <c r="E294" i="40" s="1"/>
  <c r="D302" i="40"/>
  <c r="E302" i="40" s="1"/>
  <c r="D313" i="40"/>
  <c r="E313" i="40" s="1"/>
  <c r="D321" i="40"/>
  <c r="D329" i="40"/>
  <c r="D337" i="40"/>
  <c r="D345" i="40"/>
  <c r="F131" i="41"/>
  <c r="R201" i="27"/>
  <c r="D62" i="38"/>
  <c r="R259" i="27"/>
  <c r="D101" i="38"/>
  <c r="R536" i="27"/>
  <c r="D103" i="38"/>
  <c r="R544" i="27"/>
  <c r="D109" i="38"/>
  <c r="R568" i="27"/>
  <c r="D140" i="38"/>
  <c r="R777" i="27"/>
  <c r="D67" i="38"/>
  <c r="D102" i="38"/>
  <c r="D112" i="38"/>
  <c r="D137" i="38"/>
  <c r="R762" i="27"/>
  <c r="D166" i="38"/>
  <c r="R826" i="27"/>
  <c r="R823" i="27"/>
  <c r="D108" i="38"/>
  <c r="D104" i="38"/>
  <c r="R552" i="27"/>
  <c r="D107" i="38"/>
  <c r="R564" i="27"/>
  <c r="R548" i="27"/>
  <c r="D113" i="38"/>
  <c r="R592" i="27"/>
  <c r="D145" i="38"/>
  <c r="R795" i="27"/>
  <c r="D142" i="38"/>
  <c r="D176" i="38"/>
  <c r="R852" i="27"/>
  <c r="D144" i="38"/>
  <c r="D143" i="38"/>
  <c r="R787" i="27"/>
  <c r="R791" i="27"/>
  <c r="D169" i="38"/>
  <c r="R839" i="27"/>
  <c r="D179" i="38"/>
  <c r="R865" i="27"/>
  <c r="D146" i="38"/>
  <c r="D177" i="38"/>
  <c r="R853" i="27"/>
  <c r="R911" i="27"/>
  <c r="D222" i="38"/>
  <c r="R944" i="27"/>
  <c r="R840" i="27"/>
  <c r="D138" i="38"/>
  <c r="R812" i="27"/>
  <c r="D198" i="38"/>
  <c r="R916" i="27"/>
  <c r="D178" i="38"/>
  <c r="D167" i="38"/>
  <c r="D168" i="38"/>
  <c r="D261" i="38"/>
  <c r="R1272" i="27"/>
  <c r="R1215" i="27"/>
  <c r="D262" i="38"/>
  <c r="R1262" i="27"/>
  <c r="D251" i="38"/>
  <c r="R1206" i="27"/>
  <c r="D246" i="38"/>
  <c r="D303" i="38"/>
  <c r="R1322" i="27"/>
  <c r="D252" i="38"/>
  <c r="D263" i="38"/>
  <c r="R1279" i="27"/>
  <c r="R1464" i="27"/>
  <c r="D325" i="38"/>
  <c r="R1546" i="27"/>
  <c r="R1587" i="27"/>
  <c r="D352" i="38"/>
  <c r="R1632" i="27"/>
  <c r="D351" i="38"/>
  <c r="R1628" i="27"/>
  <c r="AA173" i="1"/>
  <c r="AA180" i="1" s="1"/>
  <c r="Y180" i="1"/>
  <c r="Y185" i="1" s="1"/>
  <c r="C29" i="31"/>
  <c r="E490" i="41" l="1"/>
  <c r="F490" i="41" s="1"/>
  <c r="M490" i="42"/>
  <c r="N490" i="42" s="1"/>
  <c r="E501" i="41"/>
  <c r="F501" i="41" s="1"/>
  <c r="M501" i="42"/>
  <c r="N501" i="42" s="1"/>
  <c r="E377" i="41"/>
  <c r="F377" i="41" s="1"/>
  <c r="M377" i="42"/>
  <c r="N377" i="42" s="1"/>
  <c r="M235" i="42"/>
  <c r="N235" i="42" s="1"/>
  <c r="E235" i="41"/>
  <c r="F235" i="41" s="1"/>
  <c r="E35" i="40"/>
  <c r="E107" i="41"/>
  <c r="F107" i="41" s="1"/>
  <c r="M107" i="42"/>
  <c r="N107" i="42" s="1"/>
  <c r="E526" i="41"/>
  <c r="F526" i="41" s="1"/>
  <c r="E307" i="40"/>
  <c r="M526" i="42"/>
  <c r="N526" i="42" s="1"/>
  <c r="E248" i="40"/>
  <c r="E472" i="41"/>
  <c r="F472" i="41" s="1"/>
  <c r="M472" i="42"/>
  <c r="N472" i="42" s="1"/>
  <c r="E337" i="41"/>
  <c r="F337" i="41" s="1"/>
  <c r="E184" i="40"/>
  <c r="M337" i="42"/>
  <c r="N337" i="42" s="1"/>
  <c r="E120" i="40"/>
  <c r="E215" i="41"/>
  <c r="F215" i="41" s="1"/>
  <c r="M215" i="42"/>
  <c r="N215" i="42" s="1"/>
  <c r="E151" i="41"/>
  <c r="F151" i="41" s="1"/>
  <c r="E56" i="40"/>
  <c r="M151" i="42"/>
  <c r="N151" i="42" s="1"/>
  <c r="E511" i="41"/>
  <c r="F511" i="41" s="1"/>
  <c r="M511" i="42"/>
  <c r="N511" i="42" s="1"/>
  <c r="E293" i="40"/>
  <c r="E379" i="41"/>
  <c r="F379" i="41" s="1"/>
  <c r="E229" i="40"/>
  <c r="M379" i="42"/>
  <c r="N379" i="42" s="1"/>
  <c r="E230" i="41"/>
  <c r="F230" i="41" s="1"/>
  <c r="E101" i="40"/>
  <c r="M230" i="42"/>
  <c r="N230" i="42" s="1"/>
  <c r="E37" i="40"/>
  <c r="E109" i="41"/>
  <c r="F109" i="41" s="1"/>
  <c r="M109" i="42"/>
  <c r="N109" i="42" s="1"/>
  <c r="E572" i="41"/>
  <c r="F572" i="41" s="1"/>
  <c r="M572" i="42"/>
  <c r="N572" i="42" s="1"/>
  <c r="E481" i="41"/>
  <c r="F481" i="41" s="1"/>
  <c r="M481" i="42"/>
  <c r="N481" i="42" s="1"/>
  <c r="E361" i="41"/>
  <c r="F361" i="41" s="1"/>
  <c r="M361" i="42"/>
  <c r="N361" i="42" s="1"/>
  <c r="E200" i="41"/>
  <c r="F200" i="41" s="1"/>
  <c r="M200" i="42"/>
  <c r="N200" i="42" s="1"/>
  <c r="E63" i="41"/>
  <c r="F63" i="41" s="1"/>
  <c r="M63" i="42"/>
  <c r="N63" i="42" s="1"/>
  <c r="M565" i="42"/>
  <c r="N565" i="42" s="1"/>
  <c r="E565" i="41"/>
  <c r="F565" i="41" s="1"/>
  <c r="E470" i="41"/>
  <c r="F470" i="41" s="1"/>
  <c r="M470" i="42"/>
  <c r="N470" i="42" s="1"/>
  <c r="E358" i="41"/>
  <c r="F358" i="41" s="1"/>
  <c r="M358" i="42"/>
  <c r="N358" i="42" s="1"/>
  <c r="E197" i="41"/>
  <c r="F197" i="41" s="1"/>
  <c r="M197" i="42"/>
  <c r="N197" i="42" s="1"/>
  <c r="E30" i="41"/>
  <c r="F30" i="41" s="1"/>
  <c r="M30" i="42"/>
  <c r="N30" i="42" s="1"/>
  <c r="E569" i="41"/>
  <c r="F569" i="41" s="1"/>
  <c r="M569" i="42"/>
  <c r="N569" i="42" s="1"/>
  <c r="E411" i="41"/>
  <c r="F411" i="41" s="1"/>
  <c r="M411" i="42"/>
  <c r="N411" i="42" s="1"/>
  <c r="E240" i="41"/>
  <c r="F240" i="41" s="1"/>
  <c r="M240" i="42"/>
  <c r="N240" i="42" s="1"/>
  <c r="E161" i="41"/>
  <c r="F161" i="41" s="1"/>
  <c r="E68" i="40"/>
  <c r="M161" i="42"/>
  <c r="N161" i="42" s="1"/>
  <c r="D2" i="40"/>
  <c r="D1" i="40" s="1"/>
  <c r="E4" i="41"/>
  <c r="E4" i="40"/>
  <c r="E2" i="40" s="1"/>
  <c r="M4" i="42"/>
  <c r="E558" i="41"/>
  <c r="F558" i="41" s="1"/>
  <c r="E324" i="40"/>
  <c r="M558" i="42"/>
  <c r="N558" i="42" s="1"/>
  <c r="E409" i="41"/>
  <c r="F409" i="41" s="1"/>
  <c r="E265" i="40"/>
  <c r="M409" i="42"/>
  <c r="N409" i="42" s="1"/>
  <c r="E351" i="41"/>
  <c r="F351" i="41" s="1"/>
  <c r="E201" i="40"/>
  <c r="M351" i="42"/>
  <c r="N351" i="42" s="1"/>
  <c r="E258" i="41"/>
  <c r="F258" i="41" s="1"/>
  <c r="E137" i="40"/>
  <c r="M258" i="42"/>
  <c r="N258" i="42" s="1"/>
  <c r="E188" i="41"/>
  <c r="F188" i="41" s="1"/>
  <c r="E73" i="40"/>
  <c r="M188" i="42"/>
  <c r="N188" i="42" s="1"/>
  <c r="E12" i="41"/>
  <c r="F12" i="41" s="1"/>
  <c r="E9" i="40"/>
  <c r="M12" i="42"/>
  <c r="N12" i="42" s="1"/>
  <c r="K1" i="26"/>
  <c r="L4" i="26"/>
  <c r="K543" i="43"/>
  <c r="K413" i="43"/>
  <c r="K401" i="43"/>
  <c r="K319" i="43"/>
  <c r="K252" i="43"/>
  <c r="K489" i="43"/>
  <c r="K576" i="43"/>
  <c r="K423" i="43"/>
  <c r="K597" i="43"/>
  <c r="K373" i="43"/>
  <c r="K306" i="43"/>
  <c r="K233" i="43"/>
  <c r="K501" i="43"/>
  <c r="K348" i="43"/>
  <c r="K220" i="43"/>
  <c r="K556" i="43"/>
  <c r="K407" i="43"/>
  <c r="K280" i="43"/>
  <c r="K396" i="43"/>
  <c r="K150" i="43"/>
  <c r="K6" i="43"/>
  <c r="K32" i="43"/>
  <c r="K16" i="43"/>
  <c r="K68" i="43"/>
  <c r="K261" i="43"/>
  <c r="K194" i="43"/>
  <c r="K122" i="43"/>
  <c r="K58" i="43"/>
  <c r="K591" i="43"/>
  <c r="K187" i="43"/>
  <c r="E366" i="41"/>
  <c r="F366" i="41" s="1"/>
  <c r="M366" i="42"/>
  <c r="N366" i="42" s="1"/>
  <c r="M203" i="42"/>
  <c r="N203" i="42" s="1"/>
  <c r="E203" i="41"/>
  <c r="F203" i="41" s="1"/>
  <c r="E53" i="41"/>
  <c r="F53" i="41" s="1"/>
  <c r="M53" i="42"/>
  <c r="N53" i="42" s="1"/>
  <c r="M607" i="42"/>
  <c r="N607" i="42" s="1"/>
  <c r="E607" i="41"/>
  <c r="F607" i="41" s="1"/>
  <c r="E564" i="41"/>
  <c r="F564" i="41" s="1"/>
  <c r="M564" i="42"/>
  <c r="N564" i="42" s="1"/>
  <c r="E427" i="41"/>
  <c r="F427" i="41" s="1"/>
  <c r="M427" i="42"/>
  <c r="N427" i="42" s="1"/>
  <c r="E357" i="41"/>
  <c r="F357" i="41" s="1"/>
  <c r="M357" i="42"/>
  <c r="N357" i="42" s="1"/>
  <c r="E283" i="41"/>
  <c r="F283" i="41" s="1"/>
  <c r="M283" i="42"/>
  <c r="N283" i="42" s="1"/>
  <c r="E196" i="41"/>
  <c r="F196" i="41" s="1"/>
  <c r="M196" i="42"/>
  <c r="N196" i="42" s="1"/>
  <c r="E29" i="41"/>
  <c r="F29" i="41" s="1"/>
  <c r="M29" i="42"/>
  <c r="N29" i="42" s="1"/>
  <c r="E597" i="41"/>
  <c r="F597" i="41" s="1"/>
  <c r="M597" i="42"/>
  <c r="N597" i="42" s="1"/>
  <c r="E484" i="41"/>
  <c r="F484" i="41" s="1"/>
  <c r="M484" i="42"/>
  <c r="N484" i="42" s="1"/>
  <c r="E369" i="41"/>
  <c r="F369" i="41" s="1"/>
  <c r="M369" i="42"/>
  <c r="N369" i="42" s="1"/>
  <c r="E284" i="41"/>
  <c r="F284" i="41" s="1"/>
  <c r="M284" i="42"/>
  <c r="N284" i="42" s="1"/>
  <c r="E209" i="41"/>
  <c r="F209" i="41" s="1"/>
  <c r="M209" i="42"/>
  <c r="N209" i="42" s="1"/>
  <c r="E27" i="40"/>
  <c r="E94" i="41"/>
  <c r="F94" i="41" s="1"/>
  <c r="M94" i="42"/>
  <c r="N94" i="42" s="1"/>
  <c r="E523" i="41"/>
  <c r="F523" i="41" s="1"/>
  <c r="E304" i="40"/>
  <c r="M523" i="42"/>
  <c r="N523" i="42" s="1"/>
  <c r="E389" i="41"/>
  <c r="F389" i="41" s="1"/>
  <c r="E240" i="40"/>
  <c r="M389" i="42"/>
  <c r="N389" i="42" s="1"/>
  <c r="E326" i="41"/>
  <c r="F326" i="41" s="1"/>
  <c r="E176" i="40"/>
  <c r="M326" i="42"/>
  <c r="N326" i="42" s="1"/>
  <c r="E172" i="41"/>
  <c r="F172" i="41" s="1"/>
  <c r="E48" i="40"/>
  <c r="M172" i="42"/>
  <c r="N172" i="42" s="1"/>
  <c r="E599" i="41"/>
  <c r="F599" i="41" s="1"/>
  <c r="E352" i="40"/>
  <c r="M599" i="42"/>
  <c r="N599" i="42" s="1"/>
  <c r="E486" i="41"/>
  <c r="F486" i="41" s="1"/>
  <c r="E285" i="40"/>
  <c r="M486" i="42"/>
  <c r="N486" i="42" s="1"/>
  <c r="E371" i="41"/>
  <c r="F371" i="41" s="1"/>
  <c r="E221" i="40"/>
  <c r="M371" i="42"/>
  <c r="N371" i="42" s="1"/>
  <c r="E286" i="41"/>
  <c r="F286" i="41" s="1"/>
  <c r="E157" i="40"/>
  <c r="M286" i="42"/>
  <c r="N286" i="42" s="1"/>
  <c r="E93" i="40"/>
  <c r="M211" i="42"/>
  <c r="N211" i="42" s="1"/>
  <c r="E211" i="41"/>
  <c r="F211" i="41" s="1"/>
  <c r="E29" i="40"/>
  <c r="E90" i="41"/>
  <c r="F90" i="41" s="1"/>
  <c r="M90" i="42"/>
  <c r="N90" i="42" s="1"/>
  <c r="E576" i="41"/>
  <c r="F576" i="41" s="1"/>
  <c r="M576" i="42"/>
  <c r="N576" i="42" s="1"/>
  <c r="E471" i="41"/>
  <c r="F471" i="41" s="1"/>
  <c r="M471" i="42"/>
  <c r="N471" i="42" s="1"/>
  <c r="E352" i="41"/>
  <c r="F352" i="41" s="1"/>
  <c r="M352" i="42"/>
  <c r="N352" i="42" s="1"/>
  <c r="E189" i="41"/>
  <c r="F189" i="41" s="1"/>
  <c r="M189" i="42"/>
  <c r="N189" i="42" s="1"/>
  <c r="M11" i="42"/>
  <c r="N11" i="42" s="1"/>
  <c r="E11" i="41"/>
  <c r="F11" i="41" s="1"/>
  <c r="E573" i="41"/>
  <c r="F573" i="41" s="1"/>
  <c r="M573" i="42"/>
  <c r="N573" i="42" s="1"/>
  <c r="E407" i="41"/>
  <c r="F407" i="41" s="1"/>
  <c r="M407" i="42"/>
  <c r="N407" i="42" s="1"/>
  <c r="E349" i="41"/>
  <c r="F349" i="41" s="1"/>
  <c r="M349" i="42"/>
  <c r="N349" i="42" s="1"/>
  <c r="M243" i="42"/>
  <c r="N243" i="42" s="1"/>
  <c r="E243" i="41"/>
  <c r="F243" i="41" s="1"/>
  <c r="E186" i="41"/>
  <c r="F186" i="41" s="1"/>
  <c r="M186" i="42"/>
  <c r="N186" i="42" s="1"/>
  <c r="E10" i="41"/>
  <c r="F10" i="41" s="1"/>
  <c r="M10" i="42"/>
  <c r="N10" i="42" s="1"/>
  <c r="E543" i="41"/>
  <c r="F543" i="41" s="1"/>
  <c r="M543" i="42"/>
  <c r="N543" i="42" s="1"/>
  <c r="E402" i="41"/>
  <c r="F402" i="41" s="1"/>
  <c r="M402" i="42"/>
  <c r="N402" i="42" s="1"/>
  <c r="E252" i="40"/>
  <c r="E341" i="41"/>
  <c r="F341" i="41" s="1"/>
  <c r="M341" i="42"/>
  <c r="N341" i="42" s="1"/>
  <c r="E223" i="41"/>
  <c r="F223" i="41" s="1"/>
  <c r="M223" i="42"/>
  <c r="N223" i="42" s="1"/>
  <c r="E155" i="41"/>
  <c r="F155" i="41" s="1"/>
  <c r="M155" i="42"/>
  <c r="N155" i="42" s="1"/>
  <c r="E60" i="40"/>
  <c r="E542" i="41"/>
  <c r="F542" i="41" s="1"/>
  <c r="M542" i="42"/>
  <c r="N542" i="42" s="1"/>
  <c r="E316" i="40"/>
  <c r="E465" i="41"/>
  <c r="F465" i="41" s="1"/>
  <c r="E257" i="40"/>
  <c r="M465" i="42"/>
  <c r="N465" i="42" s="1"/>
  <c r="E344" i="41"/>
  <c r="F344" i="41" s="1"/>
  <c r="M344" i="42"/>
  <c r="N344" i="42" s="1"/>
  <c r="E193" i="40"/>
  <c r="E237" i="41"/>
  <c r="F237" i="41" s="1"/>
  <c r="E129" i="40"/>
  <c r="M237" i="42"/>
  <c r="N237" i="42" s="1"/>
  <c r="E158" i="41"/>
  <c r="F158" i="41" s="1"/>
  <c r="E65" i="40"/>
  <c r="M158" i="42"/>
  <c r="N158" i="42" s="1"/>
  <c r="E341" i="40"/>
  <c r="E274" i="40"/>
  <c r="E210" i="40"/>
  <c r="E82" i="40"/>
  <c r="E18" i="40"/>
  <c r="K398" i="43"/>
  <c r="K462" i="43"/>
  <c r="K526" i="43"/>
  <c r="K590" i="43"/>
  <c r="K483" i="43"/>
  <c r="K531" i="43"/>
  <c r="K451" i="43"/>
  <c r="K291" i="43"/>
  <c r="K394" i="43"/>
  <c r="K110" i="43"/>
  <c r="K46" i="43"/>
  <c r="K313" i="43"/>
  <c r="K162" i="43"/>
  <c r="K98" i="43"/>
  <c r="K34" i="43"/>
  <c r="K496" i="43"/>
  <c r="K583" i="43"/>
  <c r="K440" i="43"/>
  <c r="K524" i="43"/>
  <c r="K604" i="43"/>
  <c r="K484" i="43"/>
  <c r="K367" i="43"/>
  <c r="K300" i="43"/>
  <c r="K156" i="43"/>
  <c r="K92" i="43"/>
  <c r="K28" i="43"/>
  <c r="K86" i="43"/>
  <c r="K379" i="43"/>
  <c r="K268" i="43"/>
  <c r="K370" i="43"/>
  <c r="K547" i="43"/>
  <c r="K299" i="43"/>
  <c r="K134" i="43"/>
  <c r="K602" i="43"/>
  <c r="K207" i="43"/>
  <c r="K536" i="43"/>
  <c r="K415" i="43"/>
  <c r="K328" i="43"/>
  <c r="K255" i="43"/>
  <c r="K188" i="43"/>
  <c r="K563" i="43"/>
  <c r="K364" i="43"/>
  <c r="K164" i="43"/>
  <c r="E591" i="41"/>
  <c r="F591" i="41" s="1"/>
  <c r="M591" i="42"/>
  <c r="N591" i="42" s="1"/>
  <c r="E252" i="41"/>
  <c r="F252" i="41" s="1"/>
  <c r="M252" i="42"/>
  <c r="N252" i="42" s="1"/>
  <c r="E568" i="41"/>
  <c r="F568" i="41" s="1"/>
  <c r="M568" i="42"/>
  <c r="N568" i="42" s="1"/>
  <c r="E406" i="41"/>
  <c r="F406" i="41" s="1"/>
  <c r="M406" i="42"/>
  <c r="N406" i="42" s="1"/>
  <c r="E348" i="41"/>
  <c r="F348" i="41" s="1"/>
  <c r="M348" i="42"/>
  <c r="N348" i="42" s="1"/>
  <c r="E242" i="41"/>
  <c r="F242" i="41" s="1"/>
  <c r="M242" i="42"/>
  <c r="N242" i="42" s="1"/>
  <c r="E182" i="41"/>
  <c r="F182" i="41" s="1"/>
  <c r="M182" i="42"/>
  <c r="N182" i="42" s="1"/>
  <c r="E8" i="41"/>
  <c r="F8" i="41" s="1"/>
  <c r="M8" i="42"/>
  <c r="N8" i="42" s="1"/>
  <c r="M587" i="42"/>
  <c r="N587" i="42" s="1"/>
  <c r="E587" i="41"/>
  <c r="F587" i="41" s="1"/>
  <c r="E482" i="41"/>
  <c r="F482" i="41" s="1"/>
  <c r="M482" i="42"/>
  <c r="N482" i="42" s="1"/>
  <c r="E362" i="41"/>
  <c r="F362" i="41" s="1"/>
  <c r="M362" i="42"/>
  <c r="N362" i="42" s="1"/>
  <c r="E201" i="41"/>
  <c r="F201" i="41" s="1"/>
  <c r="M201" i="42"/>
  <c r="N201" i="42" s="1"/>
  <c r="E19" i="40"/>
  <c r="E51" i="41"/>
  <c r="F51" i="41" s="1"/>
  <c r="M51" i="42"/>
  <c r="N51" i="42" s="1"/>
  <c r="E602" i="41"/>
  <c r="F602" i="41" s="1"/>
  <c r="E355" i="40"/>
  <c r="M602" i="42"/>
  <c r="N602" i="42" s="1"/>
  <c r="E546" i="41"/>
  <c r="F546" i="41" s="1"/>
  <c r="M546" i="42"/>
  <c r="N546" i="42" s="1"/>
  <c r="E296" i="40"/>
  <c r="E382" i="41"/>
  <c r="F382" i="41" s="1"/>
  <c r="E232" i="40"/>
  <c r="M382" i="42"/>
  <c r="N382" i="42" s="1"/>
  <c r="E104" i="40"/>
  <c r="E233" i="41"/>
  <c r="F233" i="41" s="1"/>
  <c r="M233" i="42"/>
  <c r="N233" i="42" s="1"/>
  <c r="E112" i="41"/>
  <c r="F112" i="41" s="1"/>
  <c r="E40" i="40"/>
  <c r="M112" i="42"/>
  <c r="N112" i="42" s="1"/>
  <c r="E586" i="41"/>
  <c r="F586" i="41" s="1"/>
  <c r="E344" i="40"/>
  <c r="M586" i="42"/>
  <c r="N586" i="42" s="1"/>
  <c r="E497" i="41"/>
  <c r="F497" i="41" s="1"/>
  <c r="E277" i="40"/>
  <c r="M497" i="42"/>
  <c r="N497" i="42" s="1"/>
  <c r="E213" i="40"/>
  <c r="E364" i="41"/>
  <c r="F364" i="41" s="1"/>
  <c r="M364" i="42"/>
  <c r="N364" i="42" s="1"/>
  <c r="E234" i="41"/>
  <c r="F234" i="41" s="1"/>
  <c r="E149" i="40"/>
  <c r="M234" i="42"/>
  <c r="N234" i="42" s="1"/>
  <c r="E204" i="41"/>
  <c r="F204" i="41" s="1"/>
  <c r="E85" i="40"/>
  <c r="M204" i="42"/>
  <c r="N204" i="42" s="1"/>
  <c r="E21" i="40"/>
  <c r="E52" i="41"/>
  <c r="F52" i="41" s="1"/>
  <c r="M52" i="42"/>
  <c r="N52" i="42" s="1"/>
  <c r="M544" i="42"/>
  <c r="N544" i="42" s="1"/>
  <c r="E544" i="41"/>
  <c r="F544" i="41" s="1"/>
  <c r="E460" i="41"/>
  <c r="F460" i="41" s="1"/>
  <c r="M460" i="42"/>
  <c r="N460" i="42" s="1"/>
  <c r="E345" i="41"/>
  <c r="F345" i="41" s="1"/>
  <c r="M345" i="42"/>
  <c r="N345" i="42" s="1"/>
  <c r="E238" i="41"/>
  <c r="F238" i="41" s="1"/>
  <c r="M238" i="42"/>
  <c r="N238" i="42" s="1"/>
  <c r="E159" i="41"/>
  <c r="F159" i="41" s="1"/>
  <c r="M159" i="42"/>
  <c r="N159" i="42" s="1"/>
  <c r="E556" i="41"/>
  <c r="F556" i="41" s="1"/>
  <c r="M556" i="42"/>
  <c r="N556" i="42" s="1"/>
  <c r="E401" i="41"/>
  <c r="F401" i="41" s="1"/>
  <c r="M401" i="42"/>
  <c r="N401" i="42" s="1"/>
  <c r="E354" i="41"/>
  <c r="F354" i="41" s="1"/>
  <c r="M354" i="42"/>
  <c r="N354" i="42" s="1"/>
  <c r="E226" i="41"/>
  <c r="F226" i="41" s="1"/>
  <c r="M226" i="42"/>
  <c r="N226" i="42" s="1"/>
  <c r="E156" i="41"/>
  <c r="F156" i="41" s="1"/>
  <c r="M156" i="42"/>
  <c r="N156" i="42" s="1"/>
  <c r="E537" i="41"/>
  <c r="F537" i="41" s="1"/>
  <c r="M537" i="42"/>
  <c r="N537" i="42" s="1"/>
  <c r="E399" i="41"/>
  <c r="F399" i="41" s="1"/>
  <c r="E244" i="40"/>
  <c r="M399" i="42"/>
  <c r="N399" i="42" s="1"/>
  <c r="E327" i="41"/>
  <c r="F327" i="41" s="1"/>
  <c r="M327" i="42"/>
  <c r="N327" i="42" s="1"/>
  <c r="E218" i="41"/>
  <c r="F218" i="41" s="1"/>
  <c r="M218" i="42"/>
  <c r="N218" i="42" s="1"/>
  <c r="E147" i="41"/>
  <c r="F147" i="41" s="1"/>
  <c r="M147" i="42"/>
  <c r="N147" i="42" s="1"/>
  <c r="E52" i="40"/>
  <c r="E527" i="41"/>
  <c r="F527" i="41" s="1"/>
  <c r="E308" i="40"/>
  <c r="M527" i="42"/>
  <c r="N527" i="42" s="1"/>
  <c r="E400" i="41"/>
  <c r="F400" i="41" s="1"/>
  <c r="M400" i="42"/>
  <c r="N400" i="42" s="1"/>
  <c r="E249" i="40"/>
  <c r="E338" i="41"/>
  <c r="F338" i="41" s="1"/>
  <c r="E185" i="40"/>
  <c r="M338" i="42"/>
  <c r="N338" i="42" s="1"/>
  <c r="E214" i="41"/>
  <c r="F214" i="41" s="1"/>
  <c r="E121" i="40"/>
  <c r="M214" i="42"/>
  <c r="N214" i="42" s="1"/>
  <c r="E152" i="41"/>
  <c r="F152" i="41" s="1"/>
  <c r="E57" i="40"/>
  <c r="M152" i="42"/>
  <c r="N152" i="42" s="1"/>
  <c r="E333" i="40"/>
  <c r="E260" i="40"/>
  <c r="E600" i="41"/>
  <c r="F600" i="41" s="1"/>
  <c r="M600" i="42"/>
  <c r="N600" i="42" s="1"/>
  <c r="E338" i="40"/>
  <c r="E266" i="40"/>
  <c r="E202" i="40"/>
  <c r="E74" i="40"/>
  <c r="E10" i="40"/>
  <c r="K587" i="43"/>
  <c r="K491" i="43"/>
  <c r="K179" i="43"/>
  <c r="K515" i="43"/>
  <c r="K235" i="43"/>
  <c r="K605" i="43"/>
  <c r="K476" i="43"/>
  <c r="K577" i="43"/>
  <c r="K474" i="43"/>
  <c r="K361" i="43"/>
  <c r="K455" i="43"/>
  <c r="K70" i="43"/>
  <c r="K537" i="43"/>
  <c r="K80" i="43"/>
  <c r="K287" i="43"/>
  <c r="K118" i="43"/>
  <c r="K148" i="43"/>
  <c r="K322" i="43"/>
  <c r="K249" i="43"/>
  <c r="K170" i="43"/>
  <c r="K106" i="43"/>
  <c r="K42" i="43"/>
  <c r="K535" i="43"/>
  <c r="K132" i="43"/>
  <c r="E555" i="41"/>
  <c r="F555" i="41" s="1"/>
  <c r="M555" i="42"/>
  <c r="N555" i="42" s="1"/>
  <c r="E404" i="41"/>
  <c r="F404" i="41" s="1"/>
  <c r="M404" i="42"/>
  <c r="N404" i="42" s="1"/>
  <c r="E342" i="41"/>
  <c r="F342" i="41" s="1"/>
  <c r="M342" i="42"/>
  <c r="N342" i="42" s="1"/>
  <c r="E225" i="41"/>
  <c r="F225" i="41" s="1"/>
  <c r="M225" i="42"/>
  <c r="N225" i="42" s="1"/>
  <c r="E171" i="41"/>
  <c r="F171" i="41" s="1"/>
  <c r="M171" i="42"/>
  <c r="N171" i="42" s="1"/>
  <c r="E577" i="41"/>
  <c r="F577" i="41" s="1"/>
  <c r="M577" i="42"/>
  <c r="N577" i="42" s="1"/>
  <c r="E478" i="41"/>
  <c r="F478" i="41" s="1"/>
  <c r="M478" i="42"/>
  <c r="N478" i="42" s="1"/>
  <c r="E353" i="41"/>
  <c r="F353" i="41" s="1"/>
  <c r="M353" i="42"/>
  <c r="N353" i="42" s="1"/>
  <c r="E190" i="41"/>
  <c r="F190" i="41" s="1"/>
  <c r="M190" i="42"/>
  <c r="N190" i="42" s="1"/>
  <c r="E11" i="40"/>
  <c r="E15" i="41"/>
  <c r="F15" i="41" s="1"/>
  <c r="M15" i="42"/>
  <c r="N15" i="42" s="1"/>
  <c r="E593" i="41"/>
  <c r="F593" i="41" s="1"/>
  <c r="E347" i="40"/>
  <c r="M593" i="42"/>
  <c r="N593" i="42" s="1"/>
  <c r="E288" i="40"/>
  <c r="E499" i="41"/>
  <c r="F499" i="41" s="1"/>
  <c r="M499" i="42"/>
  <c r="N499" i="42" s="1"/>
  <c r="E392" i="41"/>
  <c r="F392" i="41" s="1"/>
  <c r="E224" i="40"/>
  <c r="M392" i="42"/>
  <c r="N392" i="42" s="1"/>
  <c r="E160" i="40"/>
  <c r="E289" i="41"/>
  <c r="F289" i="41" s="1"/>
  <c r="M289" i="42"/>
  <c r="N289" i="42" s="1"/>
  <c r="E88" i="41"/>
  <c r="F88" i="41" s="1"/>
  <c r="E32" i="40"/>
  <c r="M88" i="42"/>
  <c r="N88" i="42" s="1"/>
  <c r="E563" i="41"/>
  <c r="F563" i="41" s="1"/>
  <c r="E336" i="40"/>
  <c r="M563" i="42"/>
  <c r="N563" i="42" s="1"/>
  <c r="E428" i="41"/>
  <c r="F428" i="41" s="1"/>
  <c r="E269" i="40"/>
  <c r="M428" i="42"/>
  <c r="N428" i="42" s="1"/>
  <c r="E205" i="40"/>
  <c r="E356" i="41"/>
  <c r="F356" i="41" s="1"/>
  <c r="M356" i="42"/>
  <c r="N356" i="42" s="1"/>
  <c r="E77" i="40"/>
  <c r="M195" i="42"/>
  <c r="N195" i="42" s="1"/>
  <c r="E195" i="41"/>
  <c r="F195" i="41" s="1"/>
  <c r="E67" i="41"/>
  <c r="F67" i="41" s="1"/>
  <c r="E13" i="40"/>
  <c r="M67" i="42"/>
  <c r="N67" i="42" s="1"/>
  <c r="E588" i="41"/>
  <c r="F588" i="41" s="1"/>
  <c r="M588" i="42"/>
  <c r="N588" i="42" s="1"/>
  <c r="E410" i="41"/>
  <c r="F410" i="41" s="1"/>
  <c r="M410" i="42"/>
  <c r="N410" i="42" s="1"/>
  <c r="E339" i="41"/>
  <c r="F339" i="41" s="1"/>
  <c r="M339" i="42"/>
  <c r="N339" i="42" s="1"/>
  <c r="E220" i="41"/>
  <c r="F220" i="41" s="1"/>
  <c r="M220" i="42"/>
  <c r="N220" i="42" s="1"/>
  <c r="E153" i="41"/>
  <c r="F153" i="41" s="1"/>
  <c r="M153" i="42"/>
  <c r="N153" i="42" s="1"/>
  <c r="E540" i="41"/>
  <c r="F540" i="41" s="1"/>
  <c r="M540" i="42"/>
  <c r="N540" i="42" s="1"/>
  <c r="E396" i="41"/>
  <c r="F396" i="41" s="1"/>
  <c r="M396" i="42"/>
  <c r="N396" i="42" s="1"/>
  <c r="E336" i="41"/>
  <c r="F336" i="41" s="1"/>
  <c r="M336" i="42"/>
  <c r="N336" i="42" s="1"/>
  <c r="E216" i="41"/>
  <c r="F216" i="41" s="1"/>
  <c r="M216" i="42"/>
  <c r="N216" i="42" s="1"/>
  <c r="E150" i="41"/>
  <c r="F150" i="41" s="1"/>
  <c r="M150" i="42"/>
  <c r="N150" i="42" s="1"/>
  <c r="E550" i="41"/>
  <c r="F550" i="41" s="1"/>
  <c r="M550" i="42"/>
  <c r="N550" i="42" s="1"/>
  <c r="E300" i="40"/>
  <c r="E236" i="40"/>
  <c r="E385" i="41"/>
  <c r="F385" i="41" s="1"/>
  <c r="M385" i="42"/>
  <c r="N385" i="42" s="1"/>
  <c r="E323" i="41"/>
  <c r="F323" i="41" s="1"/>
  <c r="M323" i="42"/>
  <c r="N323" i="42" s="1"/>
  <c r="E44" i="40"/>
  <c r="E180" i="41"/>
  <c r="F180" i="41" s="1"/>
  <c r="M180" i="42"/>
  <c r="N180" i="42" s="1"/>
  <c r="E524" i="41"/>
  <c r="F524" i="41" s="1"/>
  <c r="E305" i="40"/>
  <c r="M524" i="42"/>
  <c r="N524" i="42" s="1"/>
  <c r="E393" i="41"/>
  <c r="F393" i="41" s="1"/>
  <c r="E241" i="40"/>
  <c r="M393" i="42"/>
  <c r="N393" i="42" s="1"/>
  <c r="E468" i="41"/>
  <c r="F468" i="41" s="1"/>
  <c r="E177" i="40"/>
  <c r="M468" i="42"/>
  <c r="N468" i="42" s="1"/>
  <c r="E173" i="41"/>
  <c r="F173" i="41" s="1"/>
  <c r="M173" i="42"/>
  <c r="N173" i="42" s="1"/>
  <c r="E325" i="40"/>
  <c r="E330" i="40"/>
  <c r="E258" i="40"/>
  <c r="E194" i="40"/>
  <c r="E130" i="40"/>
  <c r="E66" i="40"/>
  <c r="E353" i="40"/>
  <c r="K342" i="43"/>
  <c r="K438" i="43"/>
  <c r="K470" i="43"/>
  <c r="K404" i="43"/>
  <c r="K195" i="43"/>
  <c r="K593" i="43"/>
  <c r="K471" i="43"/>
  <c r="K355" i="43"/>
  <c r="K497" i="43"/>
  <c r="K229" i="43"/>
  <c r="K158" i="43"/>
  <c r="K94" i="43"/>
  <c r="K30" i="43"/>
  <c r="K596" i="43"/>
  <c r="K146" i="43"/>
  <c r="K82" i="43"/>
  <c r="K18" i="43"/>
  <c r="K461" i="43"/>
  <c r="K545" i="43"/>
  <c r="K140" i="43"/>
  <c r="K76" i="43"/>
  <c r="K12" i="43"/>
  <c r="K436" i="43"/>
  <c r="K293" i="43"/>
  <c r="K166" i="43"/>
  <c r="K54" i="43"/>
  <c r="K509" i="43"/>
  <c r="K347" i="43"/>
  <c r="K219" i="43"/>
  <c r="K64" i="43"/>
  <c r="K315" i="43"/>
  <c r="K102" i="43"/>
  <c r="K528" i="43"/>
  <c r="K335" i="43"/>
  <c r="K213" i="43"/>
  <c r="K248" i="43"/>
  <c r="K4" i="43"/>
  <c r="K387" i="43"/>
  <c r="K316" i="43"/>
  <c r="K516" i="43"/>
  <c r="E539" i="41"/>
  <c r="F539" i="41" s="1"/>
  <c r="M539" i="42"/>
  <c r="N539" i="42" s="1"/>
  <c r="E395" i="41"/>
  <c r="F395" i="41" s="1"/>
  <c r="M395" i="42"/>
  <c r="N395" i="42" s="1"/>
  <c r="E329" i="41"/>
  <c r="F329" i="41" s="1"/>
  <c r="M329" i="42"/>
  <c r="N329" i="42" s="1"/>
  <c r="E217" i="41"/>
  <c r="F217" i="41" s="1"/>
  <c r="M217" i="42"/>
  <c r="N217" i="42" s="1"/>
  <c r="E149" i="41"/>
  <c r="F149" i="41" s="1"/>
  <c r="M149" i="42"/>
  <c r="N149" i="42" s="1"/>
  <c r="E466" i="41"/>
  <c r="F466" i="41" s="1"/>
  <c r="M466" i="42"/>
  <c r="N466" i="42" s="1"/>
  <c r="E346" i="41"/>
  <c r="F346" i="41" s="1"/>
  <c r="M346" i="42"/>
  <c r="N346" i="42" s="1"/>
  <c r="E239" i="41"/>
  <c r="F239" i="41" s="1"/>
  <c r="M239" i="42"/>
  <c r="N239" i="42" s="1"/>
  <c r="E160" i="41"/>
  <c r="F160" i="41" s="1"/>
  <c r="M160" i="42"/>
  <c r="N160" i="42" s="1"/>
  <c r="E566" i="41"/>
  <c r="F566" i="41" s="1"/>
  <c r="E339" i="40"/>
  <c r="M566" i="42"/>
  <c r="N566" i="42" s="1"/>
  <c r="E488" i="41"/>
  <c r="F488" i="41" s="1"/>
  <c r="E280" i="40"/>
  <c r="M488" i="42"/>
  <c r="N488" i="42" s="1"/>
  <c r="E390" i="41"/>
  <c r="F390" i="41" s="1"/>
  <c r="E216" i="40"/>
  <c r="M390" i="42"/>
  <c r="N390" i="42" s="1"/>
  <c r="E254" i="41"/>
  <c r="F254" i="41" s="1"/>
  <c r="E152" i="40"/>
  <c r="M254" i="42"/>
  <c r="N254" i="42" s="1"/>
  <c r="E88" i="40"/>
  <c r="E206" i="41"/>
  <c r="F206" i="41" s="1"/>
  <c r="M206" i="42"/>
  <c r="N206" i="42" s="1"/>
  <c r="E55" i="41"/>
  <c r="F55" i="41" s="1"/>
  <c r="E24" i="40"/>
  <c r="M55" i="42"/>
  <c r="N55" i="42" s="1"/>
  <c r="E567" i="41"/>
  <c r="F567" i="41" s="1"/>
  <c r="M567" i="42"/>
  <c r="N567" i="42" s="1"/>
  <c r="E328" i="40"/>
  <c r="E405" i="41"/>
  <c r="F405" i="41" s="1"/>
  <c r="E261" i="40"/>
  <c r="M405" i="42"/>
  <c r="N405" i="42" s="1"/>
  <c r="E347" i="41"/>
  <c r="F347" i="41" s="1"/>
  <c r="E197" i="40"/>
  <c r="M347" i="42"/>
  <c r="N347" i="42" s="1"/>
  <c r="E133" i="40"/>
  <c r="E241" i="41"/>
  <c r="F241" i="41" s="1"/>
  <c r="M241" i="42"/>
  <c r="N241" i="42" s="1"/>
  <c r="E69" i="40"/>
  <c r="E162" i="41"/>
  <c r="F162" i="41" s="1"/>
  <c r="M162" i="42"/>
  <c r="N162" i="42" s="1"/>
  <c r="E5" i="40"/>
  <c r="E5" i="41"/>
  <c r="F5" i="41" s="1"/>
  <c r="M5" i="42"/>
  <c r="N5" i="42" s="1"/>
  <c r="E528" i="41"/>
  <c r="F528" i="41" s="1"/>
  <c r="M528" i="42"/>
  <c r="N528" i="42" s="1"/>
  <c r="E397" i="41"/>
  <c r="F397" i="41" s="1"/>
  <c r="M397" i="42"/>
  <c r="N397" i="42" s="1"/>
  <c r="E319" i="41"/>
  <c r="F319" i="41" s="1"/>
  <c r="M319" i="42"/>
  <c r="N319" i="42" s="1"/>
  <c r="E174" i="41"/>
  <c r="F174" i="41" s="1"/>
  <c r="M174" i="42"/>
  <c r="N174" i="42" s="1"/>
  <c r="E531" i="41"/>
  <c r="F531" i="41" s="1"/>
  <c r="M531" i="42"/>
  <c r="N531" i="42" s="1"/>
  <c r="E388" i="41"/>
  <c r="F388" i="41" s="1"/>
  <c r="M388" i="42"/>
  <c r="N388" i="42" s="1"/>
  <c r="E325" i="41"/>
  <c r="F325" i="41" s="1"/>
  <c r="M325" i="42"/>
  <c r="N325" i="42" s="1"/>
  <c r="E257" i="41"/>
  <c r="F257" i="41" s="1"/>
  <c r="M257" i="42"/>
  <c r="N257" i="42" s="1"/>
  <c r="E145" i="41"/>
  <c r="F145" i="41" s="1"/>
  <c r="M145" i="42"/>
  <c r="N145" i="42" s="1"/>
  <c r="M502" i="42"/>
  <c r="N502" i="42" s="1"/>
  <c r="E502" i="41"/>
  <c r="F502" i="41" s="1"/>
  <c r="E292" i="40"/>
  <c r="E378" i="41"/>
  <c r="F378" i="41" s="1"/>
  <c r="M378" i="42"/>
  <c r="N378" i="42" s="1"/>
  <c r="E229" i="41"/>
  <c r="F229" i="41" s="1"/>
  <c r="M229" i="42"/>
  <c r="N229" i="42" s="1"/>
  <c r="E108" i="41"/>
  <c r="F108" i="41" s="1"/>
  <c r="E36" i="40"/>
  <c r="M108" i="42"/>
  <c r="N108" i="42" s="1"/>
  <c r="E605" i="41"/>
  <c r="F605" i="41" s="1"/>
  <c r="E356" i="40"/>
  <c r="M605" i="42"/>
  <c r="N605" i="42" s="1"/>
  <c r="E547" i="41"/>
  <c r="F547" i="41" s="1"/>
  <c r="E297" i="40"/>
  <c r="M547" i="42"/>
  <c r="N547" i="42" s="1"/>
  <c r="E383" i="41"/>
  <c r="F383" i="41" s="1"/>
  <c r="E233" i="40"/>
  <c r="M383" i="42"/>
  <c r="N383" i="42" s="1"/>
  <c r="E143" i="41"/>
  <c r="F143" i="41" s="1"/>
  <c r="E41" i="40"/>
  <c r="M143" i="42"/>
  <c r="N143" i="42" s="1"/>
  <c r="E317" i="40"/>
  <c r="E291" i="40"/>
  <c r="E227" i="40"/>
  <c r="E99" i="40"/>
  <c r="E322" i="40"/>
  <c r="E250" i="40"/>
  <c r="E186" i="40"/>
  <c r="E122" i="40"/>
  <c r="E58" i="40"/>
  <c r="E345" i="40"/>
  <c r="K383" i="43"/>
  <c r="K523" i="43"/>
  <c r="K211" i="43"/>
  <c r="K243" i="43"/>
  <c r="K589" i="43"/>
  <c r="K363" i="43"/>
  <c r="K296" i="43"/>
  <c r="K223" i="43"/>
  <c r="K568" i="43"/>
  <c r="K457" i="43"/>
  <c r="K203" i="43"/>
  <c r="K468" i="43"/>
  <c r="K555" i="43"/>
  <c r="K549" i="43"/>
  <c r="K585" i="43"/>
  <c r="K408" i="43"/>
  <c r="K281" i="43"/>
  <c r="K38" i="43"/>
  <c r="K341" i="43"/>
  <c r="K201" i="43"/>
  <c r="K297" i="43"/>
  <c r="K427" i="43"/>
  <c r="K309" i="43"/>
  <c r="K100" i="43"/>
  <c r="K128" i="43"/>
  <c r="K175" i="43"/>
  <c r="K490" i="43"/>
  <c r="K154" i="43"/>
  <c r="K90" i="43"/>
  <c r="K26" i="43"/>
  <c r="K488" i="43"/>
  <c r="K303" i="43"/>
  <c r="K84" i="43"/>
  <c r="E552" i="41"/>
  <c r="F552" i="41" s="1"/>
  <c r="M552" i="42"/>
  <c r="N552" i="42" s="1"/>
  <c r="E374" i="41"/>
  <c r="F374" i="41" s="1"/>
  <c r="M374" i="42"/>
  <c r="N374" i="42" s="1"/>
  <c r="M321" i="42"/>
  <c r="N321" i="42" s="1"/>
  <c r="E321" i="41"/>
  <c r="F321" i="41" s="1"/>
  <c r="E117" i="41"/>
  <c r="F117" i="41" s="1"/>
  <c r="M117" i="42"/>
  <c r="N117" i="42" s="1"/>
  <c r="E589" i="41"/>
  <c r="F589" i="41" s="1"/>
  <c r="M589" i="42"/>
  <c r="N589" i="42" s="1"/>
  <c r="E473" i="41"/>
  <c r="F473" i="41" s="1"/>
  <c r="M473" i="42"/>
  <c r="N473" i="42" s="1"/>
  <c r="E340" i="41"/>
  <c r="F340" i="41" s="1"/>
  <c r="M340" i="42"/>
  <c r="N340" i="42" s="1"/>
  <c r="E222" i="41"/>
  <c r="F222" i="41" s="1"/>
  <c r="M222" i="42"/>
  <c r="N222" i="42" s="1"/>
  <c r="E154" i="41"/>
  <c r="F154" i="41" s="1"/>
  <c r="M154" i="42"/>
  <c r="N154" i="42" s="1"/>
  <c r="M574" i="42"/>
  <c r="N574" i="42" s="1"/>
  <c r="E331" i="40"/>
  <c r="E574" i="41"/>
  <c r="F574" i="41" s="1"/>
  <c r="E272" i="40"/>
  <c r="E426" i="41"/>
  <c r="F426" i="41" s="1"/>
  <c r="M426" i="42"/>
  <c r="N426" i="42" s="1"/>
  <c r="E359" i="41"/>
  <c r="F359" i="41" s="1"/>
  <c r="E208" i="40"/>
  <c r="M359" i="42"/>
  <c r="N359" i="42" s="1"/>
  <c r="E80" i="40"/>
  <c r="E198" i="41"/>
  <c r="F198" i="41" s="1"/>
  <c r="M198" i="42"/>
  <c r="N198" i="42" s="1"/>
  <c r="E16" i="40"/>
  <c r="E31" i="41"/>
  <c r="F31" i="41" s="1"/>
  <c r="M31" i="42"/>
  <c r="N31" i="42" s="1"/>
  <c r="E554" i="41"/>
  <c r="F554" i="41" s="1"/>
  <c r="E320" i="40"/>
  <c r="M554" i="42"/>
  <c r="N554" i="42" s="1"/>
  <c r="E403" i="41"/>
  <c r="F403" i="41" s="1"/>
  <c r="E253" i="40"/>
  <c r="M403" i="42"/>
  <c r="N403" i="42" s="1"/>
  <c r="E334" i="41"/>
  <c r="F334" i="41" s="1"/>
  <c r="E189" i="40"/>
  <c r="M334" i="42"/>
  <c r="N334" i="42" s="1"/>
  <c r="E224" i="41"/>
  <c r="F224" i="41" s="1"/>
  <c r="E125" i="40"/>
  <c r="M224" i="42"/>
  <c r="N224" i="42" s="1"/>
  <c r="E61" i="40"/>
  <c r="E170" i="41"/>
  <c r="F170" i="41" s="1"/>
  <c r="M170" i="42"/>
  <c r="N170" i="42" s="1"/>
  <c r="E548" i="41"/>
  <c r="F548" i="41" s="1"/>
  <c r="M548" i="42"/>
  <c r="N548" i="42" s="1"/>
  <c r="E386" i="41"/>
  <c r="F386" i="41" s="1"/>
  <c r="M386" i="42"/>
  <c r="N386" i="42" s="1"/>
  <c r="E167" i="41"/>
  <c r="F167" i="41" s="1"/>
  <c r="M167" i="42"/>
  <c r="N167" i="42" s="1"/>
  <c r="E545" i="41"/>
  <c r="F545" i="41" s="1"/>
  <c r="M545" i="42"/>
  <c r="N545" i="42" s="1"/>
  <c r="E381" i="41"/>
  <c r="F381" i="41" s="1"/>
  <c r="M381" i="42"/>
  <c r="N381" i="42" s="1"/>
  <c r="E232" i="41"/>
  <c r="F232" i="41" s="1"/>
  <c r="M232" i="42"/>
  <c r="N232" i="42" s="1"/>
  <c r="E111" i="41"/>
  <c r="F111" i="41" s="1"/>
  <c r="M111" i="42"/>
  <c r="N111" i="42" s="1"/>
  <c r="E598" i="41"/>
  <c r="F598" i="41" s="1"/>
  <c r="M598" i="42"/>
  <c r="N598" i="42" s="1"/>
  <c r="E485" i="41"/>
  <c r="F485" i="41" s="1"/>
  <c r="E284" i="40"/>
  <c r="M485" i="42"/>
  <c r="N485" i="42" s="1"/>
  <c r="E370" i="41"/>
  <c r="F370" i="41" s="1"/>
  <c r="M370" i="42"/>
  <c r="N370" i="42" s="1"/>
  <c r="E285" i="41"/>
  <c r="F285" i="41" s="1"/>
  <c r="M285" i="42"/>
  <c r="N285" i="42" s="1"/>
  <c r="E210" i="41"/>
  <c r="F210" i="41" s="1"/>
  <c r="M210" i="42"/>
  <c r="N210" i="42" s="1"/>
  <c r="E93" i="41"/>
  <c r="F93" i="41" s="1"/>
  <c r="E28" i="40"/>
  <c r="M93" i="42"/>
  <c r="N93" i="42" s="1"/>
  <c r="H1924" i="39"/>
  <c r="I1924" i="39" s="1"/>
  <c r="I1569" i="39"/>
  <c r="E594" i="41"/>
  <c r="F594" i="41" s="1"/>
  <c r="M594" i="42"/>
  <c r="N594" i="42" s="1"/>
  <c r="E348" i="40"/>
  <c r="E581" i="41"/>
  <c r="F581" i="41" s="1"/>
  <c r="E289" i="40"/>
  <c r="M581" i="42"/>
  <c r="N581" i="42" s="1"/>
  <c r="E375" i="41"/>
  <c r="F375" i="41" s="1"/>
  <c r="E225" i="40"/>
  <c r="M375" i="42"/>
  <c r="N375" i="42" s="1"/>
  <c r="E249" i="41"/>
  <c r="F249" i="41" s="1"/>
  <c r="E97" i="40"/>
  <c r="M249" i="42"/>
  <c r="N249" i="42" s="1"/>
  <c r="E89" i="41"/>
  <c r="F89" i="41" s="1"/>
  <c r="E33" i="40"/>
  <c r="M89" i="42"/>
  <c r="N89" i="42" s="1"/>
  <c r="E309" i="40"/>
  <c r="E283" i="40"/>
  <c r="E219" i="40"/>
  <c r="E155" i="40"/>
  <c r="E91" i="40"/>
  <c r="E314" i="40"/>
  <c r="E242" i="40"/>
  <c r="E178" i="40"/>
  <c r="E50" i="40"/>
  <c r="E337" i="40"/>
  <c r="E271" i="40"/>
  <c r="E207" i="40"/>
  <c r="E79" i="40"/>
  <c r="E15" i="40"/>
  <c r="E358" i="40"/>
  <c r="K477" i="43"/>
  <c r="K259" i="43"/>
  <c r="K544" i="43"/>
  <c r="K499" i="43"/>
  <c r="K469" i="43"/>
  <c r="K357" i="43"/>
  <c r="K290" i="43"/>
  <c r="K217" i="43"/>
  <c r="K142" i="43"/>
  <c r="K78" i="43"/>
  <c r="K14" i="43"/>
  <c r="K448" i="43"/>
  <c r="K197" i="43"/>
  <c r="K130" i="43"/>
  <c r="K66" i="43"/>
  <c r="K541" i="43"/>
  <c r="K402" i="43"/>
  <c r="K562" i="43"/>
  <c r="K530" i="43"/>
  <c r="K428" i="43"/>
  <c r="K251" i="43"/>
  <c r="K184" i="43"/>
  <c r="K124" i="43"/>
  <c r="K60" i="43"/>
  <c r="K463" i="43"/>
  <c r="K329" i="43"/>
  <c r="K507" i="43"/>
  <c r="K232" i="43"/>
  <c r="K112" i="43"/>
  <c r="K96" i="43"/>
  <c r="K480" i="43"/>
  <c r="E510" i="41"/>
  <c r="F510" i="41" s="1"/>
  <c r="M510" i="42"/>
  <c r="N510" i="42" s="1"/>
  <c r="E380" i="41"/>
  <c r="F380" i="41" s="1"/>
  <c r="M380" i="42"/>
  <c r="N380" i="42" s="1"/>
  <c r="E231" i="41"/>
  <c r="F231" i="41" s="1"/>
  <c r="M231" i="42"/>
  <c r="N231" i="42" s="1"/>
  <c r="E110" i="41"/>
  <c r="F110" i="41" s="1"/>
  <c r="M110" i="42"/>
  <c r="N110" i="42" s="1"/>
  <c r="E536" i="41"/>
  <c r="F536" i="41" s="1"/>
  <c r="M536" i="42"/>
  <c r="N536" i="42" s="1"/>
  <c r="E398" i="41"/>
  <c r="F398" i="41" s="1"/>
  <c r="M398" i="42"/>
  <c r="N398" i="42" s="1"/>
  <c r="E320" i="41"/>
  <c r="F320" i="41" s="1"/>
  <c r="M320" i="42"/>
  <c r="N320" i="42" s="1"/>
  <c r="E236" i="41"/>
  <c r="F236" i="41" s="1"/>
  <c r="M236" i="42"/>
  <c r="N236" i="42" s="1"/>
  <c r="E146" i="41"/>
  <c r="F146" i="41" s="1"/>
  <c r="M146" i="42"/>
  <c r="N146" i="42" s="1"/>
  <c r="E557" i="41"/>
  <c r="F557" i="41" s="1"/>
  <c r="E323" i="40"/>
  <c r="M557" i="42"/>
  <c r="N557" i="42" s="1"/>
  <c r="E408" i="41"/>
  <c r="F408" i="41" s="1"/>
  <c r="E264" i="40"/>
  <c r="M408" i="42"/>
  <c r="N408" i="42" s="1"/>
  <c r="E350" i="41"/>
  <c r="F350" i="41" s="1"/>
  <c r="E200" i="40"/>
  <c r="M350" i="42"/>
  <c r="N350" i="42" s="1"/>
  <c r="E136" i="40"/>
  <c r="E244" i="41"/>
  <c r="F244" i="41" s="1"/>
  <c r="M244" i="42"/>
  <c r="N244" i="42" s="1"/>
  <c r="E187" i="41"/>
  <c r="F187" i="41" s="1"/>
  <c r="E72" i="40"/>
  <c r="M187" i="42"/>
  <c r="N187" i="42" s="1"/>
  <c r="E8" i="40"/>
  <c r="E13" i="41"/>
  <c r="F13" i="41" s="1"/>
  <c r="M13" i="42"/>
  <c r="N13" i="42" s="1"/>
  <c r="E538" i="41"/>
  <c r="F538" i="41" s="1"/>
  <c r="M538" i="42"/>
  <c r="N538" i="42" s="1"/>
  <c r="E312" i="40"/>
  <c r="E394" i="41"/>
  <c r="F394" i="41" s="1"/>
  <c r="E245" i="40"/>
  <c r="M394" i="42"/>
  <c r="N394" i="42" s="1"/>
  <c r="E328" i="41"/>
  <c r="F328" i="41" s="1"/>
  <c r="E181" i="40"/>
  <c r="M328" i="42"/>
  <c r="N328" i="42" s="1"/>
  <c r="E117" i="40"/>
  <c r="M219" i="42"/>
  <c r="N219" i="42" s="1"/>
  <c r="E219" i="41"/>
  <c r="F219" i="41" s="1"/>
  <c r="E148" i="41"/>
  <c r="F148" i="41" s="1"/>
  <c r="E53" i="40"/>
  <c r="M148" i="42"/>
  <c r="N148" i="42" s="1"/>
  <c r="E606" i="41"/>
  <c r="F606" i="41" s="1"/>
  <c r="M606" i="42"/>
  <c r="N606" i="42" s="1"/>
  <c r="E500" i="41"/>
  <c r="F500" i="41" s="1"/>
  <c r="M500" i="42"/>
  <c r="N500" i="42" s="1"/>
  <c r="E376" i="41"/>
  <c r="F376" i="41" s="1"/>
  <c r="M376" i="42"/>
  <c r="N376" i="42" s="1"/>
  <c r="E250" i="41"/>
  <c r="F250" i="41" s="1"/>
  <c r="M250" i="42"/>
  <c r="N250" i="42" s="1"/>
  <c r="M601" i="42"/>
  <c r="N601" i="42" s="1"/>
  <c r="E601" i="41"/>
  <c r="F601" i="41" s="1"/>
  <c r="E498" i="41"/>
  <c r="F498" i="41" s="1"/>
  <c r="M498" i="42"/>
  <c r="N498" i="42" s="1"/>
  <c r="E373" i="41"/>
  <c r="F373" i="41" s="1"/>
  <c r="M373" i="42"/>
  <c r="N373" i="42" s="1"/>
  <c r="E288" i="41"/>
  <c r="F288" i="41" s="1"/>
  <c r="M288" i="42"/>
  <c r="N288" i="42" s="1"/>
  <c r="E213" i="41"/>
  <c r="F213" i="41" s="1"/>
  <c r="M213" i="42"/>
  <c r="N213" i="42" s="1"/>
  <c r="E92" i="41"/>
  <c r="F92" i="41" s="1"/>
  <c r="M92" i="42"/>
  <c r="N92" i="42" s="1"/>
  <c r="E585" i="41"/>
  <c r="F585" i="41" s="1"/>
  <c r="M585" i="42"/>
  <c r="N585" i="42" s="1"/>
  <c r="E491" i="41"/>
  <c r="F491" i="41" s="1"/>
  <c r="M491" i="42"/>
  <c r="N491" i="42" s="1"/>
  <c r="E363" i="41"/>
  <c r="F363" i="41" s="1"/>
  <c r="M363" i="42"/>
  <c r="N363" i="42" s="1"/>
  <c r="E245" i="41"/>
  <c r="F245" i="41" s="1"/>
  <c r="M245" i="42"/>
  <c r="N245" i="42" s="1"/>
  <c r="E202" i="41"/>
  <c r="F202" i="41" s="1"/>
  <c r="M202" i="42"/>
  <c r="N202" i="42" s="1"/>
  <c r="E56" i="41"/>
  <c r="F56" i="41" s="1"/>
  <c r="E20" i="40"/>
  <c r="M56" i="42"/>
  <c r="N56" i="42" s="1"/>
  <c r="E571" i="41"/>
  <c r="F571" i="41" s="1"/>
  <c r="E340" i="40"/>
  <c r="M571" i="42"/>
  <c r="N571" i="42" s="1"/>
  <c r="E492" i="41"/>
  <c r="F492" i="41" s="1"/>
  <c r="E281" i="40"/>
  <c r="M492" i="42"/>
  <c r="N492" i="42" s="1"/>
  <c r="E368" i="41"/>
  <c r="F368" i="41" s="1"/>
  <c r="M368" i="42"/>
  <c r="N368" i="42" s="1"/>
  <c r="E217" i="40"/>
  <c r="E291" i="41"/>
  <c r="F291" i="41" s="1"/>
  <c r="E153" i="40"/>
  <c r="M291" i="42"/>
  <c r="N291" i="42" s="1"/>
  <c r="E207" i="41"/>
  <c r="F207" i="41" s="1"/>
  <c r="E89" i="40"/>
  <c r="M207" i="42"/>
  <c r="N207" i="42" s="1"/>
  <c r="E71" i="41"/>
  <c r="F71" i="41" s="1"/>
  <c r="E25" i="40"/>
  <c r="M71" i="42"/>
  <c r="N71" i="42" s="1"/>
  <c r="E275" i="40"/>
  <c r="E211" i="40"/>
  <c r="E83" i="40"/>
  <c r="E298" i="40"/>
  <c r="E234" i="40"/>
  <c r="E42" i="40"/>
  <c r="E329" i="40"/>
  <c r="E327" i="40"/>
  <c r="E263" i="40"/>
  <c r="E199" i="40"/>
  <c r="E135" i="40"/>
  <c r="E71" i="40"/>
  <c r="E7" i="40"/>
  <c r="E350" i="40"/>
  <c r="K459" i="43"/>
  <c r="K505" i="43"/>
  <c r="K599" i="43"/>
  <c r="K275" i="43"/>
  <c r="K465" i="43"/>
  <c r="K307" i="43"/>
  <c r="K579" i="43"/>
  <c r="K351" i="43"/>
  <c r="K284" i="43"/>
  <c r="K429" i="43"/>
  <c r="K331" i="43"/>
  <c r="K264" i="43"/>
  <c r="K191" i="43"/>
  <c r="K381" i="43"/>
  <c r="K475" i="43"/>
  <c r="K409" i="43"/>
  <c r="K245" i="43"/>
  <c r="K178" i="43"/>
  <c r="K557" i="43"/>
  <c r="K435" i="43"/>
  <c r="K160" i="43"/>
  <c r="K274" i="43"/>
  <c r="K52" i="43"/>
  <c r="K116" i="43"/>
  <c r="K138" i="43"/>
  <c r="K74" i="43"/>
  <c r="K10" i="43"/>
  <c r="K242" i="43"/>
  <c r="K36" i="43"/>
  <c r="E487" i="41"/>
  <c r="F487" i="41" s="1"/>
  <c r="M487" i="42"/>
  <c r="N487" i="42" s="1"/>
  <c r="E372" i="41"/>
  <c r="F372" i="41" s="1"/>
  <c r="M372" i="42"/>
  <c r="N372" i="42" s="1"/>
  <c r="E287" i="41"/>
  <c r="F287" i="41" s="1"/>
  <c r="M287" i="42"/>
  <c r="N287" i="42" s="1"/>
  <c r="E212" i="41"/>
  <c r="F212" i="41" s="1"/>
  <c r="M212" i="42"/>
  <c r="N212" i="42" s="1"/>
  <c r="E95" i="41"/>
  <c r="F95" i="41" s="1"/>
  <c r="M95" i="42"/>
  <c r="N95" i="42" s="1"/>
  <c r="E549" i="41"/>
  <c r="F549" i="41" s="1"/>
  <c r="M549" i="42"/>
  <c r="N549" i="42" s="1"/>
  <c r="E384" i="41"/>
  <c r="F384" i="41" s="1"/>
  <c r="M384" i="42"/>
  <c r="N384" i="42" s="1"/>
  <c r="E324" i="41"/>
  <c r="F324" i="41" s="1"/>
  <c r="M324" i="42"/>
  <c r="N324" i="42" s="1"/>
  <c r="E256" i="41"/>
  <c r="F256" i="41" s="1"/>
  <c r="M256" i="42"/>
  <c r="N256" i="42" s="1"/>
  <c r="E43" i="40"/>
  <c r="E168" i="41"/>
  <c r="F168" i="41" s="1"/>
  <c r="M168" i="42"/>
  <c r="N168" i="42" s="1"/>
  <c r="E315" i="40"/>
  <c r="E541" i="41"/>
  <c r="F541" i="41" s="1"/>
  <c r="M541" i="42"/>
  <c r="N541" i="42" s="1"/>
  <c r="E474" i="41"/>
  <c r="F474" i="41" s="1"/>
  <c r="E256" i="40"/>
  <c r="M474" i="42"/>
  <c r="N474" i="42" s="1"/>
  <c r="E343" i="41"/>
  <c r="F343" i="41" s="1"/>
  <c r="E192" i="40"/>
  <c r="M343" i="42"/>
  <c r="N343" i="42" s="1"/>
  <c r="E128" i="40"/>
  <c r="E227" i="41"/>
  <c r="F227" i="41" s="1"/>
  <c r="M227" i="42"/>
  <c r="N227" i="42" s="1"/>
  <c r="E157" i="41"/>
  <c r="F157" i="41" s="1"/>
  <c r="E64" i="40"/>
  <c r="M157" i="42"/>
  <c r="N157" i="42" s="1"/>
  <c r="E551" i="41"/>
  <c r="F551" i="41" s="1"/>
  <c r="E301" i="40"/>
  <c r="M551" i="42"/>
  <c r="N551" i="42" s="1"/>
  <c r="E387" i="41"/>
  <c r="F387" i="41" s="1"/>
  <c r="E237" i="40"/>
  <c r="M387" i="42"/>
  <c r="N387" i="42" s="1"/>
  <c r="E322" i="41"/>
  <c r="F322" i="41" s="1"/>
  <c r="E173" i="40"/>
  <c r="M322" i="42"/>
  <c r="N322" i="42" s="1"/>
  <c r="E181" i="41"/>
  <c r="F181" i="41" s="1"/>
  <c r="E45" i="40"/>
  <c r="M181" i="42"/>
  <c r="N181" i="42" s="1"/>
  <c r="E595" i="41"/>
  <c r="F595" i="41" s="1"/>
  <c r="M595" i="42"/>
  <c r="N595" i="42" s="1"/>
  <c r="E483" i="41"/>
  <c r="F483" i="41" s="1"/>
  <c r="M483" i="42"/>
  <c r="N483" i="42" s="1"/>
  <c r="E303" i="41"/>
  <c r="F303" i="41" s="1"/>
  <c r="M303" i="42"/>
  <c r="N303" i="42" s="1"/>
  <c r="E292" i="41"/>
  <c r="F292" i="41" s="1"/>
  <c r="M292" i="42"/>
  <c r="N292" i="42" s="1"/>
  <c r="E208" i="41"/>
  <c r="F208" i="41" s="1"/>
  <c r="M208" i="42"/>
  <c r="N208" i="42" s="1"/>
  <c r="E72" i="41"/>
  <c r="F72" i="41" s="1"/>
  <c r="M72" i="42"/>
  <c r="N72" i="42" s="1"/>
  <c r="E592" i="41"/>
  <c r="F592" i="41" s="1"/>
  <c r="M592" i="42"/>
  <c r="N592" i="42" s="1"/>
  <c r="E489" i="41"/>
  <c r="F489" i="41" s="1"/>
  <c r="M489" i="42"/>
  <c r="N489" i="42" s="1"/>
  <c r="E391" i="41"/>
  <c r="F391" i="41" s="1"/>
  <c r="M391" i="42"/>
  <c r="N391" i="42" s="1"/>
  <c r="E253" i="41"/>
  <c r="F253" i="41" s="1"/>
  <c r="M253" i="42"/>
  <c r="N253" i="42" s="1"/>
  <c r="E205" i="41"/>
  <c r="F205" i="41" s="1"/>
  <c r="M205" i="42"/>
  <c r="N205" i="42" s="1"/>
  <c r="E54" i="41"/>
  <c r="F54" i="41" s="1"/>
  <c r="M54" i="42"/>
  <c r="N54" i="42" s="1"/>
  <c r="E578" i="41"/>
  <c r="F578" i="41" s="1"/>
  <c r="M578" i="42"/>
  <c r="N578" i="42" s="1"/>
  <c r="E469" i="41"/>
  <c r="F469" i="41" s="1"/>
  <c r="M469" i="42"/>
  <c r="N469" i="42" s="1"/>
  <c r="E355" i="41"/>
  <c r="F355" i="41" s="1"/>
  <c r="M355" i="42"/>
  <c r="N355" i="42" s="1"/>
  <c r="E255" i="41"/>
  <c r="F255" i="41" s="1"/>
  <c r="M255" i="42"/>
  <c r="N255" i="42" s="1"/>
  <c r="E191" i="41"/>
  <c r="F191" i="41" s="1"/>
  <c r="E76" i="40"/>
  <c r="M191" i="42"/>
  <c r="N191" i="42" s="1"/>
  <c r="E66" i="41"/>
  <c r="F66" i="41" s="1"/>
  <c r="E12" i="40"/>
  <c r="M66" i="42"/>
  <c r="N66" i="42" s="1"/>
  <c r="E575" i="41"/>
  <c r="F575" i="41" s="1"/>
  <c r="E332" i="40"/>
  <c r="M575" i="42"/>
  <c r="N575" i="42" s="1"/>
  <c r="E429" i="41"/>
  <c r="F429" i="41" s="1"/>
  <c r="E273" i="40"/>
  <c r="M429" i="42"/>
  <c r="N429" i="42" s="1"/>
  <c r="E360" i="41"/>
  <c r="F360" i="41" s="1"/>
  <c r="M360" i="42"/>
  <c r="N360" i="42" s="1"/>
  <c r="E209" i="40"/>
  <c r="E199" i="41"/>
  <c r="F199" i="41" s="1"/>
  <c r="E81" i="40"/>
  <c r="M199" i="42"/>
  <c r="N199" i="42" s="1"/>
  <c r="E32" i="41"/>
  <c r="F32" i="41" s="1"/>
  <c r="E17" i="40"/>
  <c r="M32" i="42"/>
  <c r="N32" i="42" s="1"/>
  <c r="E357" i="40"/>
  <c r="E132" i="40"/>
  <c r="E267" i="40"/>
  <c r="E203" i="40"/>
  <c r="E75" i="40"/>
  <c r="E290" i="40"/>
  <c r="E226" i="40"/>
  <c r="E98" i="40"/>
  <c r="E321" i="40"/>
  <c r="E319" i="40"/>
  <c r="E255" i="40"/>
  <c r="E191" i="40"/>
  <c r="E127" i="40"/>
  <c r="E63" i="40"/>
  <c r="E342" i="40"/>
  <c r="E278" i="40"/>
  <c r="E214" i="40"/>
  <c r="E150" i="40"/>
  <c r="E86" i="40"/>
  <c r="E22" i="40"/>
  <c r="K443" i="43"/>
  <c r="K227" i="43"/>
  <c r="K345" i="43"/>
  <c r="K126" i="43"/>
  <c r="K62" i="43"/>
  <c r="K522" i="43"/>
  <c r="K325" i="43"/>
  <c r="K258" i="43"/>
  <c r="K185" i="43"/>
  <c r="K114" i="43"/>
  <c r="K50" i="43"/>
  <c r="K388" i="43"/>
  <c r="K482" i="43"/>
  <c r="K419" i="43"/>
  <c r="K503" i="43"/>
  <c r="K400" i="43"/>
  <c r="K312" i="43"/>
  <c r="K239" i="43"/>
  <c r="K172" i="43"/>
  <c r="K108" i="43"/>
  <c r="K44" i="43"/>
  <c r="K529" i="43"/>
  <c r="K360" i="43"/>
  <c r="K226" i="43"/>
  <c r="K144" i="43"/>
  <c r="K442" i="43"/>
  <c r="K181" i="43"/>
  <c r="K354" i="43"/>
  <c r="K22" i="43"/>
  <c r="K417" i="43"/>
  <c r="K236" i="43"/>
  <c r="K20" i="43"/>
  <c r="K48" i="43"/>
  <c r="K564" i="43"/>
  <c r="K434" i="43"/>
  <c r="K267" i="43"/>
  <c r="K200" i="43"/>
  <c r="M2" i="42" l="1"/>
  <c r="N4" i="42"/>
  <c r="F4" i="41"/>
  <c r="E2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M141" authorId="0" shapeId="0" xr:uid="{00000000-0006-0000-0E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ORILLOS</t>
        </r>
      </text>
    </comment>
    <comment ref="AG141" authorId="0" shapeId="0" xr:uid="{00000000-0006-0000-0E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42" authorId="0" shapeId="0" xr:uid="{00000000-0006-0000-0E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
JAMERO, W.</t>
        </r>
      </text>
    </comment>
    <comment ref="AG142" authorId="0" shapeId="0" xr:uid="{00000000-0006-0000-0E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M143" authorId="0" shapeId="0" xr:uid="{00000000-0006-0000-0E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AG143" authorId="0" shapeId="0" xr:uid="{00000000-0006-0000-0E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AG146" authorId="0" shapeId="0" xr:uid="{00000000-0006-0000-0E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M147" authorId="0" shapeId="0" xr:uid="{00000000-0006-0000-0E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FAD - SUGANO</t>
        </r>
      </text>
    </comment>
    <comment ref="AG147" authorId="0" shapeId="0" xr:uid="{00000000-0006-0000-0E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M148" authorId="0" shapeId="0" xr:uid="{00000000-0006-0000-0E00-00000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SSF - FEVI
</t>
        </r>
      </text>
    </comment>
    <comment ref="AG148" authorId="0" shapeId="0" xr:uid="{00000000-0006-0000-0E00-00000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149" authorId="0" shapeId="0" xr:uid="{00000000-0006-0000-0E00-00000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AG149" authorId="0" shapeId="0" xr:uid="{00000000-0006-0000-0E00-00000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150" authorId="0" shapeId="0" xr:uid="{00000000-0006-0000-0E00-00000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FORTUN</t>
        </r>
      </text>
    </comment>
    <comment ref="AG150" authorId="0" shapeId="0" xr:uid="{00000000-0006-0000-0E00-00000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M151" authorId="0" shapeId="0" xr:uid="{00000000-0006-0000-0E00-00001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AG151" authorId="0" shapeId="0" xr:uid="{00000000-0006-0000-0E00-00001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I380" authorId="0" shapeId="0" xr:uid="{00000000-0006-0000-0E00-00001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Chamaine
</t>
        </r>
      </text>
    </comment>
    <comment ref="I381" authorId="0" shapeId="0" xr:uid="{00000000-0006-0000-0E00-00001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
</t>
        </r>
      </text>
    </comment>
    <comment ref="M381" authorId="0" shapeId="0" xr:uid="{00000000-0006-0000-0E00-00001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 SSF</t>
        </r>
      </text>
    </comment>
    <comment ref="I382" authorId="0" shapeId="0" xr:uid="{00000000-0006-0000-0E00-00001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I383" authorId="0" shapeId="0" xr:uid="{00000000-0006-0000-0E00-00001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Rina
</t>
        </r>
      </text>
    </comment>
    <comment ref="M383" authorId="0" shapeId="0" xr:uid="{00000000-0006-0000-0E00-00001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CALO</t>
        </r>
      </text>
    </comment>
    <comment ref="I384" authorId="0" shapeId="0" xr:uid="{00000000-0006-0000-0E00-00001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384" authorId="0" shapeId="0" xr:uid="{00000000-0006-0000-0E00-00001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</t>
        </r>
      </text>
    </comment>
    <comment ref="I385" authorId="0" shapeId="0" xr:uid="{00000000-0006-0000-0E00-00001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
</t>
        </r>
      </text>
    </comment>
    <comment ref="M385" authorId="0" shapeId="0" xr:uid="{00000000-0006-0000-0E00-00001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SUGANO
</t>
        </r>
      </text>
    </comment>
    <comment ref="I386" authorId="0" shapeId="0" xr:uid="{00000000-0006-0000-0E00-00001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</t>
        </r>
      </text>
    </comment>
    <comment ref="M386" authorId="0" shapeId="0" xr:uid="{00000000-0006-0000-0E00-00001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I387" authorId="0" shapeId="0" xr:uid="{00000000-0006-0000-0E00-00001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Nik</t>
        </r>
      </text>
    </comment>
    <comment ref="M387" authorId="0" shapeId="0" xr:uid="{00000000-0006-0000-0E00-00001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 &amp; REY</t>
        </r>
      </text>
    </comment>
    <comment ref="I388" authorId="0" shapeId="0" xr:uid="{00000000-0006-0000-0E00-00002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388" authorId="0" shapeId="0" xr:uid="{00000000-0006-0000-0E00-00002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</t>
        </r>
      </text>
    </comment>
    <comment ref="I391" authorId="0" shapeId="0" xr:uid="{00000000-0006-0000-0E00-00002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391" authorId="0" shapeId="0" xr:uid="{00000000-0006-0000-0E00-00002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
</t>
        </r>
      </text>
    </comment>
    <comment ref="I392" authorId="0" shapeId="0" xr:uid="{00000000-0006-0000-0E00-00002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</t>
        </r>
      </text>
    </comment>
    <comment ref="M392" authorId="0" shapeId="0" xr:uid="{00000000-0006-0000-0E00-00002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- NICHOL
</t>
        </r>
      </text>
    </comment>
    <comment ref="I393" authorId="0" shapeId="0" xr:uid="{00000000-0006-0000-0E00-00002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</t>
        </r>
      </text>
    </comment>
    <comment ref="M393" authorId="0" shapeId="0" xr:uid="{00000000-0006-0000-0E00-00002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 MSSU</t>
        </r>
      </text>
    </comment>
    <comment ref="M848" authorId="0" shapeId="0" xr:uid="{00000000-0006-0000-0E00-00002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849" authorId="0" shapeId="0" xr:uid="{00000000-0006-0000-0E00-00002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872" authorId="0" shapeId="0" xr:uid="{00000000-0006-0000-0E00-00002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
</t>
        </r>
      </text>
    </comment>
    <comment ref="M876" authorId="0" shapeId="0" xr:uid="{00000000-0006-0000-0E00-00002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877" authorId="0" shapeId="0" xr:uid="{00000000-0006-0000-0E00-00002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FORTUN</t>
        </r>
      </text>
    </comment>
    <comment ref="M1270" authorId="0" shapeId="0" xr:uid="{00000000-0006-0000-0E00-00002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271" authorId="0" shapeId="0" xr:uid="{00000000-0006-0000-0E00-00002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272" authorId="0" shapeId="0" xr:uid="{00000000-0006-0000-0E00-00002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273" authorId="0" shapeId="0" xr:uid="{00000000-0006-0000-0E00-00003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274" authorId="0" shapeId="0" xr:uid="{00000000-0006-0000-0E00-00003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275" authorId="0" shapeId="0" xr:uid="{00000000-0006-0000-0E00-00003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1498" authorId="0" shapeId="0" xr:uid="{00000000-0006-0000-0E00-00003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 &amp; JAMERO
</t>
        </r>
      </text>
    </comment>
    <comment ref="M1499" authorId="0" shapeId="0" xr:uid="{00000000-0006-0000-0E00-00003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
</t>
        </r>
      </text>
    </comment>
    <comment ref="M1500" authorId="0" shapeId="0" xr:uid="{00000000-0006-0000-0E00-00003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501" authorId="0" shapeId="0" xr:uid="{00000000-0006-0000-0E00-00003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502" authorId="0" shapeId="0" xr:uid="{00000000-0006-0000-0E00-00003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503" authorId="0" shapeId="0" xr:uid="{00000000-0006-0000-0E00-00003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548" authorId="0" shapeId="0" xr:uid="{00000000-0006-0000-0E00-00003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ARELLANO
GONZALEZ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Q103" authorId="0" shapeId="0" xr:uid="{00000000-0006-0000-18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Q104" authorId="0" shapeId="0" xr:uid="{00000000-0006-0000-18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Q105" authorId="0" shapeId="0" xr:uid="{00000000-0006-0000-18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Q108" authorId="0" shapeId="0" xr:uid="{00000000-0006-0000-18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Q109" authorId="0" shapeId="0" xr:uid="{00000000-0006-0000-18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Q110" authorId="0" shapeId="0" xr:uid="{00000000-0006-0000-18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Q111" authorId="0" shapeId="0" xr:uid="{00000000-0006-0000-18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Q112" authorId="0" shapeId="0" xr:uid="{00000000-0006-0000-18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Q113" authorId="0" shapeId="0" xr:uid="{00000000-0006-0000-18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46" authorId="0" shapeId="0" xr:uid="{00000000-0006-0000-1A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46" authorId="0" shapeId="0" xr:uid="{00000000-0006-0000-1A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47" authorId="0" shapeId="0" xr:uid="{00000000-0006-0000-1A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B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B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B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O33" authorId="0" shapeId="0" xr:uid="{00000000-0006-0000-1C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O34" authorId="0" shapeId="0" xr:uid="{00000000-0006-0000-1C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O35" authorId="0" shapeId="0" xr:uid="{00000000-0006-0000-1C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O38" authorId="0" shapeId="0" xr:uid="{00000000-0006-0000-1C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O39" authorId="0" shapeId="0" xr:uid="{00000000-0006-0000-1C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D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BM10" authorId="1" shapeId="0" xr:uid="{00000000-0006-0000-1D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D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D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E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BM10" authorId="1" shapeId="0" xr:uid="{00000000-0006-0000-1E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E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E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F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BM10" authorId="1" shapeId="0" xr:uid="{00000000-0006-0000-1F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F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F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0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0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0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21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BM10" authorId="1" shapeId="0" xr:uid="{00000000-0006-0000-21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21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21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2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2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2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3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3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3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4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4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4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5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5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5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6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6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6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sharedStrings.xml><?xml version="1.0" encoding="utf-8"?>
<sst xmlns="http://schemas.openxmlformats.org/spreadsheetml/2006/main" count="63885" uniqueCount="4740">
  <si>
    <t>REG 101</t>
  </si>
  <si>
    <t>PS 101</t>
  </si>
  <si>
    <t>01</t>
  </si>
  <si>
    <t>GMS</t>
  </si>
  <si>
    <t>003</t>
  </si>
  <si>
    <t>SSF</t>
  </si>
  <si>
    <t>EDWIN O. BANQUERIGO</t>
  </si>
  <si>
    <t>LSP NSB</t>
  </si>
  <si>
    <t>002</t>
  </si>
  <si>
    <t>CARP MOOE</t>
  </si>
  <si>
    <t>LBP F/O DTI-RO</t>
  </si>
  <si>
    <t>001</t>
  </si>
  <si>
    <t>PS</t>
  </si>
  <si>
    <t>MOOE</t>
  </si>
  <si>
    <t>Balance as of</t>
  </si>
  <si>
    <t>101 PS</t>
  </si>
  <si>
    <t>CNA  SAA</t>
  </si>
  <si>
    <t>101 MOOE OTHERS</t>
  </si>
  <si>
    <t>NEGOSYO CENTER</t>
  </si>
  <si>
    <t>OTOP NEXT GEN</t>
  </si>
  <si>
    <t>50102020 00</t>
  </si>
  <si>
    <t>50102030 01</t>
  </si>
  <si>
    <t>50103020 01</t>
  </si>
  <si>
    <t>50103030 01</t>
  </si>
  <si>
    <t>50103040 01</t>
  </si>
  <si>
    <t>50101010 01</t>
  </si>
  <si>
    <t>50104030 01</t>
  </si>
  <si>
    <t>701</t>
  </si>
  <si>
    <t>706</t>
  </si>
  <si>
    <t>711</t>
  </si>
  <si>
    <t>713</t>
  </si>
  <si>
    <t>714</t>
  </si>
  <si>
    <t>715</t>
  </si>
  <si>
    <t>717</t>
  </si>
  <si>
    <t>722</t>
  </si>
  <si>
    <t>724</t>
  </si>
  <si>
    <t>725</t>
  </si>
  <si>
    <t>731</t>
  </si>
  <si>
    <t>732</t>
  </si>
  <si>
    <t>733</t>
  </si>
  <si>
    <t>734</t>
  </si>
  <si>
    <t>749</t>
  </si>
  <si>
    <t>742</t>
  </si>
  <si>
    <t>751</t>
  </si>
  <si>
    <t>753</t>
  </si>
  <si>
    <t>755-CO</t>
  </si>
  <si>
    <t>755</t>
  </si>
  <si>
    <t>756</t>
  </si>
  <si>
    <t>765</t>
  </si>
  <si>
    <t>766</t>
  </si>
  <si>
    <t>771</t>
  </si>
  <si>
    <t>772</t>
  </si>
  <si>
    <t>773</t>
  </si>
  <si>
    <t>774</t>
  </si>
  <si>
    <t>775</t>
  </si>
  <si>
    <t>778</t>
  </si>
  <si>
    <t>780</t>
  </si>
  <si>
    <t>781</t>
  </si>
  <si>
    <t>782</t>
  </si>
  <si>
    <t>783</t>
  </si>
  <si>
    <t>784</t>
  </si>
  <si>
    <t>785</t>
  </si>
  <si>
    <t>786</t>
  </si>
  <si>
    <t>791</t>
  </si>
  <si>
    <t>792</t>
  </si>
  <si>
    <t>799</t>
  </si>
  <si>
    <t>820</t>
  </si>
  <si>
    <t>821</t>
  </si>
  <si>
    <t>822</t>
  </si>
  <si>
    <t>823</t>
  </si>
  <si>
    <t>840</t>
  </si>
  <si>
    <t>841</t>
  </si>
  <si>
    <t>883</t>
  </si>
  <si>
    <t>850</t>
  </si>
  <si>
    <t>884</t>
  </si>
  <si>
    <t>891</t>
  </si>
  <si>
    <t>892</t>
  </si>
  <si>
    <t>893</t>
  </si>
  <si>
    <t>971</t>
  </si>
  <si>
    <t>969</t>
  </si>
  <si>
    <t>ALLOT</t>
  </si>
  <si>
    <t>PROJECT</t>
  </si>
  <si>
    <t>TOTAL</t>
  </si>
  <si>
    <t>REF</t>
  </si>
  <si>
    <t>ACCT</t>
  </si>
  <si>
    <t>RECEIVEDD</t>
  </si>
  <si>
    <t>MFO</t>
  </si>
  <si>
    <t>OBLGNS</t>
  </si>
  <si>
    <t xml:space="preserve">CO </t>
  </si>
  <si>
    <t>CO BALANCE</t>
  </si>
  <si>
    <t>FUNDS</t>
  </si>
  <si>
    <t>MUST</t>
  </si>
  <si>
    <t>RO</t>
  </si>
  <si>
    <t>ADN</t>
  </si>
  <si>
    <t>ADS</t>
  </si>
  <si>
    <t>PDI</t>
  </si>
  <si>
    <t>SDN</t>
  </si>
  <si>
    <t>SDS</t>
  </si>
  <si>
    <t>A.I.a</t>
  </si>
  <si>
    <t>A.III.a</t>
  </si>
  <si>
    <t>TRAVEL</t>
  </si>
  <si>
    <t>TRNG</t>
  </si>
  <si>
    <t>TRAVEL
FOREIGN</t>
  </si>
  <si>
    <t>S/M</t>
  </si>
  <si>
    <t>ACCTBL</t>
  </si>
  <si>
    <t>G/O/L</t>
  </si>
  <si>
    <t>O SUP</t>
  </si>
  <si>
    <t>WATER</t>
  </si>
  <si>
    <t>POWER</t>
  </si>
  <si>
    <t>POST</t>
  </si>
  <si>
    <t>TEL</t>
  </si>
  <si>
    <t>MOB</t>
  </si>
  <si>
    <t>INTNET</t>
  </si>
  <si>
    <t>CABLE</t>
  </si>
  <si>
    <t>MEM</t>
  </si>
  <si>
    <t>ADV</t>
  </si>
  <si>
    <t>PRTNG</t>
  </si>
  <si>
    <t>RENT</t>
  </si>
  <si>
    <t>RENT-MVEHICLE</t>
  </si>
  <si>
    <t>REP</t>
  </si>
  <si>
    <t>TRANS</t>
  </si>
  <si>
    <t>STOR</t>
  </si>
  <si>
    <t>SUBS</t>
  </si>
  <si>
    <t>LEGAL</t>
  </si>
  <si>
    <t>AUD</t>
  </si>
  <si>
    <t>CONSUL</t>
  </si>
  <si>
    <t>GS</t>
  </si>
  <si>
    <t>JANI</t>
  </si>
  <si>
    <t>SEC</t>
  </si>
  <si>
    <t>OPS</t>
  </si>
  <si>
    <t>R-BLDG</t>
  </si>
  <si>
    <t>R-OE</t>
  </si>
  <si>
    <t>R-F/F</t>
  </si>
  <si>
    <t>R-IT</t>
  </si>
  <si>
    <t>R-OME</t>
  </si>
  <si>
    <t>R-VEH</t>
  </si>
  <si>
    <t>EXT</t>
  </si>
  <si>
    <t>R-OPPE</t>
  </si>
  <si>
    <t>MISC</t>
  </si>
  <si>
    <t>SUBSIDIES</t>
  </si>
  <si>
    <t>TAXES</t>
  </si>
  <si>
    <t>FIDL</t>
  </si>
  <si>
    <t>INS</t>
  </si>
  <si>
    <t>INT</t>
  </si>
  <si>
    <t>OMOE</t>
  </si>
  <si>
    <t>CO</t>
  </si>
  <si>
    <t>DATE</t>
  </si>
  <si>
    <t>NO.</t>
  </si>
  <si>
    <t>IN</t>
  </si>
  <si>
    <t>OUT</t>
  </si>
  <si>
    <t>FUND</t>
  </si>
  <si>
    <t>PPA</t>
  </si>
  <si>
    <t>CODE</t>
  </si>
  <si>
    <t>MOE</t>
  </si>
  <si>
    <t>RC</t>
  </si>
  <si>
    <t>PAYEE</t>
  </si>
  <si>
    <t>PARTICULARS</t>
  </si>
  <si>
    <t>INCURRED</t>
  </si>
  <si>
    <t>OBLIGATIONS</t>
  </si>
  <si>
    <t>OBGNS INCURRED</t>
  </si>
  <si>
    <t>ALLOTMENT</t>
  </si>
  <si>
    <t>BALANCES</t>
  </si>
  <si>
    <t>BALANCE</t>
  </si>
  <si>
    <t>SALARY</t>
  </si>
  <si>
    <t>SALARY/CASUAL</t>
  </si>
  <si>
    <t>pera</t>
  </si>
  <si>
    <t>ra</t>
  </si>
  <si>
    <t>ta</t>
  </si>
  <si>
    <t>ca</t>
  </si>
  <si>
    <t>PIB</t>
  </si>
  <si>
    <t>SI</t>
  </si>
  <si>
    <t>cg</t>
  </si>
  <si>
    <t>bonus</t>
  </si>
  <si>
    <t>rlip</t>
  </si>
  <si>
    <t>hdmf</t>
  </si>
  <si>
    <t>phic</t>
  </si>
  <si>
    <t>ecip</t>
  </si>
  <si>
    <t>Other B</t>
  </si>
  <si>
    <t>TermLeaveB</t>
  </si>
  <si>
    <t>PEI</t>
  </si>
  <si>
    <t>004.1</t>
  </si>
  <si>
    <t>004.2</t>
  </si>
  <si>
    <t>DIFF</t>
  </si>
  <si>
    <t>UNIFIED ACCOUNTING CODES STRUCTURE</t>
  </si>
  <si>
    <t>C.1 ASSETS</t>
  </si>
  <si>
    <t>C.1.1 Cash and Cash Equivalents</t>
  </si>
  <si>
    <t>Cash On Hand</t>
  </si>
  <si>
    <t>10101010 00</t>
  </si>
  <si>
    <t>Cash - Collecting Officers</t>
  </si>
  <si>
    <t>10101020 00</t>
  </si>
  <si>
    <t>Petty Cash Fund</t>
  </si>
  <si>
    <t>Cash In Bank - Local Currency</t>
  </si>
  <si>
    <t>10102010 00</t>
  </si>
  <si>
    <t>Cash In Bank - Local Currency - BSP</t>
  </si>
  <si>
    <t>Cash In Bank - Local Currency, Current Account</t>
  </si>
  <si>
    <t>10102020 24</t>
  </si>
  <si>
    <t>Cash In Bank - Local Currency - Current Account</t>
  </si>
  <si>
    <t>Cash In Bank - Local Currency, Savings Account</t>
  </si>
  <si>
    <t>Cash In Bank - Local Currency, Time Deposits</t>
  </si>
  <si>
    <t>Cash In Bank - Foreign Currency</t>
  </si>
  <si>
    <t>Cash In Bank - Foreign Currency, Savings Account</t>
  </si>
  <si>
    <t>Cash In Bank - Foreign Currency, Time Deposits</t>
  </si>
  <si>
    <t>Treasury/Agency Cash Accounts</t>
  </si>
  <si>
    <t>10104040 00</t>
  </si>
  <si>
    <t>Cash - Modified Disbursement System (MDS), Regular</t>
  </si>
  <si>
    <t>10104050 00</t>
  </si>
  <si>
    <t>Cash - Modified Disbursement System (MDS), Special Account</t>
  </si>
  <si>
    <t>10104060 00</t>
  </si>
  <si>
    <t>Cash - Modified Disbursement System (MDS), Trust</t>
  </si>
  <si>
    <t>Cash Equivalents</t>
  </si>
  <si>
    <t>10105010 00</t>
  </si>
  <si>
    <t>Treasury Bills</t>
  </si>
  <si>
    <t>C.1.2 Investments</t>
  </si>
  <si>
    <t>C.1.3 Receivables</t>
  </si>
  <si>
    <t>Loans and Receivables Accounts</t>
  </si>
  <si>
    <t>10301010 00</t>
  </si>
  <si>
    <t>Accounts Receivable</t>
  </si>
  <si>
    <t>10301011 00</t>
  </si>
  <si>
    <t>Allowance for Impairment - Accounts Receivable</t>
  </si>
  <si>
    <t>10301020 00</t>
  </si>
  <si>
    <t>Notes Receivable</t>
  </si>
  <si>
    <t>10301021 00</t>
  </si>
  <si>
    <t>Allowance for Impairment - Notes Receivable</t>
  </si>
  <si>
    <t>10301030 00</t>
  </si>
  <si>
    <t>Loans Receivable - GOCCs</t>
  </si>
  <si>
    <t>10301031 00</t>
  </si>
  <si>
    <t>Allowance for Impairment - Loans Receivable - GOCCs</t>
  </si>
  <si>
    <t>10301040 00</t>
  </si>
  <si>
    <t>Loans Receivable - LGUs</t>
  </si>
  <si>
    <t>10301041 00</t>
  </si>
  <si>
    <t>Allowance for Impairment - Loans Receivable - LGUs</t>
  </si>
  <si>
    <t>10301050 00</t>
  </si>
  <si>
    <t>Interests Receivable</t>
  </si>
  <si>
    <t>10301051 00</t>
  </si>
  <si>
    <t>Allowance for Impairment - Interest Receivable</t>
  </si>
  <si>
    <t>10301060 00</t>
  </si>
  <si>
    <t>Dividends Receivable</t>
  </si>
  <si>
    <t>10301990 00</t>
  </si>
  <si>
    <t>Loans Receivable - Others</t>
  </si>
  <si>
    <t>10301991 00</t>
  </si>
  <si>
    <t>Inter-Agency Receivables</t>
  </si>
  <si>
    <t>10303010 00</t>
  </si>
  <si>
    <t>Due from NGAs</t>
  </si>
  <si>
    <t>10303020 00</t>
  </si>
  <si>
    <t>Due from GOCCs</t>
  </si>
  <si>
    <t>10303030 00</t>
  </si>
  <si>
    <t>Due from LGUs</t>
  </si>
  <si>
    <t>10303040 00</t>
  </si>
  <si>
    <t>Due from Joint Venture</t>
  </si>
  <si>
    <t>Intra-Agency Receivables</t>
  </si>
  <si>
    <t>10304010 00</t>
  </si>
  <si>
    <t>Due from Central Office</t>
  </si>
  <si>
    <t>10304020 00</t>
  </si>
  <si>
    <t>Due from Bureaus</t>
  </si>
  <si>
    <t>10304030 00</t>
  </si>
  <si>
    <t>Due from Regional Office</t>
  </si>
  <si>
    <t>10304040 00</t>
  </si>
  <si>
    <t>Due from Operating Units</t>
  </si>
  <si>
    <t>Other Receivables</t>
  </si>
  <si>
    <t>10305010 00</t>
  </si>
  <si>
    <t>Receivables - Disallowances/Charges</t>
  </si>
  <si>
    <t>10305020 00</t>
  </si>
  <si>
    <t>Due from Officers &amp; Employees</t>
  </si>
  <si>
    <t>10305030 00</t>
  </si>
  <si>
    <t>Due from NGOs/People's Organizations</t>
  </si>
  <si>
    <t>10305990 00</t>
  </si>
  <si>
    <t>103055991 00</t>
  </si>
  <si>
    <t>Allowance for Impairment - Other Receivables</t>
  </si>
  <si>
    <t>C.1.4 Inventories</t>
  </si>
  <si>
    <t>Merchandise Inventory</t>
  </si>
  <si>
    <t>10401010 00</t>
  </si>
  <si>
    <t>10401010 01</t>
  </si>
  <si>
    <t>Supplies and Materials Inventory</t>
  </si>
  <si>
    <t>10401010 02</t>
  </si>
  <si>
    <t>Drugs and Medicines Inventory</t>
  </si>
  <si>
    <t>10401010 99</t>
  </si>
  <si>
    <t xml:space="preserve">Other Supplies Inventory </t>
  </si>
  <si>
    <t>Inventory Held for Consumption</t>
  </si>
  <si>
    <t>10404010 00</t>
  </si>
  <si>
    <t>Office Supplies Inventory</t>
  </si>
  <si>
    <t>10404020 00</t>
  </si>
  <si>
    <t>Accountable Forms, Plates, Stickers Inventory</t>
  </si>
  <si>
    <t>10404030 00</t>
  </si>
  <si>
    <t>Non-accountable Forms Inventory</t>
  </si>
  <si>
    <t>10404040 00</t>
  </si>
  <si>
    <t>Animal/Zoological Supplies Inventory</t>
  </si>
  <si>
    <t>10404050 00</t>
  </si>
  <si>
    <t>Food Supplies Inventory</t>
  </si>
  <si>
    <t>10404060 00</t>
  </si>
  <si>
    <t>10404070 00</t>
  </si>
  <si>
    <t>Medical, Dental and Laboratory Supplies Inventory</t>
  </si>
  <si>
    <t>10404080 00</t>
  </si>
  <si>
    <t>Fuel, Oil and Lubricants Inventory</t>
  </si>
  <si>
    <t>10404090 00</t>
  </si>
  <si>
    <t>Agricultural and Marine Supplies Inventory</t>
  </si>
  <si>
    <t>10404100 00</t>
  </si>
  <si>
    <t>Textbooks and Instructional Materials Inventory</t>
  </si>
  <si>
    <t>10404110 00</t>
  </si>
  <si>
    <t>Military, Police and Traffic Supplies Inventory</t>
  </si>
  <si>
    <t>10404120 00</t>
  </si>
  <si>
    <t>Chemical and Filtering Supplies Inventory</t>
  </si>
  <si>
    <t>10404130 00</t>
  </si>
  <si>
    <t>Construction Materials Inventory</t>
  </si>
  <si>
    <t>10404990 00</t>
  </si>
  <si>
    <t>C.1.5 Investment Property</t>
  </si>
  <si>
    <t>C.1.6 Property, Plant and Equipment</t>
  </si>
  <si>
    <t>10605010 00</t>
  </si>
  <si>
    <t>Machineries</t>
  </si>
  <si>
    <t>10605011 00</t>
  </si>
  <si>
    <t>Accumulated Depreciation - Machinery</t>
  </si>
  <si>
    <t>10605020 00</t>
  </si>
  <si>
    <t>Office Equipment</t>
  </si>
  <si>
    <t>10605021 00</t>
  </si>
  <si>
    <t>Accumulated Depreciation - Office Equipment</t>
  </si>
  <si>
    <t>10605030 00</t>
  </si>
  <si>
    <t>Information and Communication Technology Equipment</t>
  </si>
  <si>
    <t>10605031 00</t>
  </si>
  <si>
    <t>Accumulated Depreciation - Information and Communication Technology Equipment</t>
  </si>
  <si>
    <t>10606010 00</t>
  </si>
  <si>
    <t>Motor Vehicles</t>
  </si>
  <si>
    <t>10606011 00</t>
  </si>
  <si>
    <t>Accumulated Depreciation - Motor Vehicles</t>
  </si>
  <si>
    <t>10605990 00</t>
  </si>
  <si>
    <t>Other Machineries and Equipment</t>
  </si>
  <si>
    <t>10605991 00</t>
  </si>
  <si>
    <t xml:space="preserve">Accumulated Depreciation - Other Machinery and Equipment      </t>
  </si>
  <si>
    <t>Other Property and Equipment</t>
  </si>
  <si>
    <t>Accumulated Depreciation - Other Property and Equipment</t>
  </si>
  <si>
    <t>10607010 00</t>
  </si>
  <si>
    <t>Furniture and Fixtures</t>
  </si>
  <si>
    <t>10607011 00</t>
  </si>
  <si>
    <t>Accumulated Depreciation - Furniture and Fixture</t>
  </si>
  <si>
    <t>C.1.7 Biological Assets</t>
  </si>
  <si>
    <t>C.1.8 Intangible Assets</t>
  </si>
  <si>
    <t>C.1.9 Other Assets</t>
  </si>
  <si>
    <t>Advances</t>
  </si>
  <si>
    <t>19901010 00</t>
  </si>
  <si>
    <t>Advances for Operating Expenses</t>
  </si>
  <si>
    <t>19901020 00</t>
  </si>
  <si>
    <t>Advances for Payroll</t>
  </si>
  <si>
    <t>19901030 00</t>
  </si>
  <si>
    <t>Advances for Special Disbursing Officer</t>
  </si>
  <si>
    <t>19901040 00</t>
  </si>
  <si>
    <t>Advances to Officers &amp; Employees</t>
  </si>
  <si>
    <t>Prepayments</t>
  </si>
  <si>
    <t>19902010 00</t>
  </si>
  <si>
    <t>Advances to Contractors</t>
  </si>
  <si>
    <t>19902020 00</t>
  </si>
  <si>
    <t>Prepaid Rent</t>
  </si>
  <si>
    <t>19902030 00</t>
  </si>
  <si>
    <t>Prepaid Registration</t>
  </si>
  <si>
    <t>19902040 00</t>
  </si>
  <si>
    <t>Prepaid Interest</t>
  </si>
  <si>
    <t>19902050 00</t>
  </si>
  <si>
    <t>Prepaid Insurance</t>
  </si>
  <si>
    <t>19902990 00</t>
  </si>
  <si>
    <t>Other Prepayments</t>
  </si>
  <si>
    <t>Deposits</t>
  </si>
  <si>
    <t>19903010 00</t>
  </si>
  <si>
    <t>Deposit on Letters of Credit</t>
  </si>
  <si>
    <t>19903020 00</t>
  </si>
  <si>
    <t>Guaranty Deposits</t>
  </si>
  <si>
    <t>19903990 00</t>
  </si>
  <si>
    <t>Other Deposits</t>
  </si>
  <si>
    <t>Other Assets</t>
  </si>
  <si>
    <t>19999010 00</t>
  </si>
  <si>
    <t>Acquired Assets</t>
  </si>
  <si>
    <t>19999011 00</t>
  </si>
  <si>
    <t>Accumulated Impairment Losses - Acquired Assets</t>
  </si>
  <si>
    <t>19999020 00</t>
  </si>
  <si>
    <t>Foreclosed Property/Assets</t>
  </si>
  <si>
    <t>19999021 00</t>
  </si>
  <si>
    <t>Accumulated Impairment Losses - Foreclosed Property/Assets</t>
  </si>
  <si>
    <t>19999030 00</t>
  </si>
  <si>
    <t>Forfeited Property/Assets</t>
  </si>
  <si>
    <t>19999031 00</t>
  </si>
  <si>
    <t>Accumulated Impairment Losses - Forfeited Property/Assets</t>
  </si>
  <si>
    <t>19999040 00</t>
  </si>
  <si>
    <t>Confiscated Property/Assets</t>
  </si>
  <si>
    <t>19999041 00</t>
  </si>
  <si>
    <t>Accumulated Impairment Losses - Confiscated Property/Assets</t>
  </si>
  <si>
    <t>19999050 00</t>
  </si>
  <si>
    <t>Abandoned Property/Assets</t>
  </si>
  <si>
    <t>19999051 00</t>
  </si>
  <si>
    <t>Accumulated Impairment Losses - Abandoned Property/Assets</t>
  </si>
  <si>
    <t>19999990 00</t>
  </si>
  <si>
    <t>19999991 00</t>
  </si>
  <si>
    <t>Accumulated Impairment Losses - Other Assets</t>
  </si>
  <si>
    <t>C.2 LIABILITIES</t>
  </si>
  <si>
    <t>C.2.1 Financial Liabilities</t>
  </si>
  <si>
    <t>Payables</t>
  </si>
  <si>
    <t>20101010 00</t>
  </si>
  <si>
    <t>Accounts Payable</t>
  </si>
  <si>
    <t>20101020 00</t>
  </si>
  <si>
    <t>Due to Officers and Employees</t>
  </si>
  <si>
    <t>20101030 00</t>
  </si>
  <si>
    <t>Internal Revenue Allotment Payable</t>
  </si>
  <si>
    <t>20101040 00</t>
  </si>
  <si>
    <t>Notes Payable</t>
  </si>
  <si>
    <t>20101050 00</t>
  </si>
  <si>
    <t>Interest Payable</t>
  </si>
  <si>
    <t>20101060 00</t>
  </si>
  <si>
    <t>Operating Lease Payable</t>
  </si>
  <si>
    <t>20101070 00</t>
  </si>
  <si>
    <t>Finance Lease Payable</t>
  </si>
  <si>
    <t>20101080 00</t>
  </si>
  <si>
    <t>Awards and Rewards Payable</t>
  </si>
  <si>
    <t>C.2.2 Inter-Agency Payables</t>
  </si>
  <si>
    <t>Due to BIR</t>
  </si>
  <si>
    <t>20201010 00</t>
  </si>
  <si>
    <t>Due to GSIS</t>
  </si>
  <si>
    <t>20201020 00</t>
  </si>
  <si>
    <t>20201020 01</t>
  </si>
  <si>
    <t>Due to GSIS - Life Retirement and Premium</t>
  </si>
  <si>
    <t>20201020 02</t>
  </si>
  <si>
    <t>Due to GSIS - ECC</t>
  </si>
  <si>
    <t>20201020 03</t>
  </si>
  <si>
    <t>Due to GSIS - Salary Loan</t>
  </si>
  <si>
    <t>20201020 04</t>
  </si>
  <si>
    <t>Due to GSIS - Policy Loan</t>
  </si>
  <si>
    <t>Due to Pag-IBIG</t>
  </si>
  <si>
    <t>20201030 00</t>
  </si>
  <si>
    <t>Due to PAG-IBIG</t>
  </si>
  <si>
    <t>20201030 01</t>
  </si>
  <si>
    <t>Due to PAG-IBIG - Premium</t>
  </si>
  <si>
    <t>20201030 02</t>
  </si>
  <si>
    <t>Due to PAG-IBIG - Mulit-Purpose Loan</t>
  </si>
  <si>
    <t>20201030 03</t>
  </si>
  <si>
    <t>Due to PAG-IBIG - Housing Loan</t>
  </si>
  <si>
    <t>Others</t>
  </si>
  <si>
    <t>20201040 00</t>
  </si>
  <si>
    <t>Due to PHILHEALTH</t>
  </si>
  <si>
    <t>20201050 00</t>
  </si>
  <si>
    <t>Due to NGAs</t>
  </si>
  <si>
    <t>20201060 00</t>
  </si>
  <si>
    <t>Due to GOCCs</t>
  </si>
  <si>
    <t>20201070 00</t>
  </si>
  <si>
    <t>Due to LGUs</t>
  </si>
  <si>
    <t>20201080 00</t>
  </si>
  <si>
    <t>Due to Joint Venture</t>
  </si>
  <si>
    <t>C.2.3 Intra-Agency Payables</t>
  </si>
  <si>
    <t>20301010 00</t>
  </si>
  <si>
    <t>Due to Central Office</t>
  </si>
  <si>
    <t>20301020 00</t>
  </si>
  <si>
    <t>Due to Bureaus</t>
  </si>
  <si>
    <t>20301030 00</t>
  </si>
  <si>
    <t>Due to Regional Offices</t>
  </si>
  <si>
    <t>20301040 00</t>
  </si>
  <si>
    <t>Due to Operating Units</t>
  </si>
  <si>
    <t>C.2.4 Trust Liabilities</t>
  </si>
  <si>
    <t>C.2.5 Deferred Credits/Unearned Income</t>
  </si>
  <si>
    <t>C.2.6 Provisions</t>
  </si>
  <si>
    <t>C.2.7 Other Payables</t>
  </si>
  <si>
    <t>29999990 00</t>
  </si>
  <si>
    <t>Other Payables</t>
  </si>
  <si>
    <t>C.3 EQUITY</t>
  </si>
  <si>
    <t>C.3.1 Equity</t>
  </si>
  <si>
    <t>30101010 00</t>
  </si>
  <si>
    <t>Government Equity</t>
  </si>
  <si>
    <t>Accumulated Surplus/Deficit</t>
  </si>
  <si>
    <t>C.3.2 Revaluation Surplus</t>
  </si>
  <si>
    <t>30201010 00</t>
  </si>
  <si>
    <t>Revaluation Surplus</t>
  </si>
  <si>
    <t>C.3.3 Intermediate Accounts</t>
  </si>
  <si>
    <t>30301010 00</t>
  </si>
  <si>
    <t>Income and Expense Summary</t>
  </si>
  <si>
    <t>C.3.4 Equity in Joint Venture</t>
  </si>
  <si>
    <t>30401010 00</t>
  </si>
  <si>
    <t>Equity in Joint Venture</t>
  </si>
  <si>
    <t>C.4 INCOME</t>
  </si>
  <si>
    <t>C.4.1 Tax Revenue</t>
  </si>
  <si>
    <t>C.4.2 Service and Business Income</t>
  </si>
  <si>
    <t>C.4.3 Assistance and Subsidy</t>
  </si>
  <si>
    <t>40301010 00</t>
  </si>
  <si>
    <t>Subsidy from National Government</t>
  </si>
  <si>
    <t>40301020 00</t>
  </si>
  <si>
    <t>Subsidy from Other National Government Agencies</t>
  </si>
  <si>
    <t>40301030 00</t>
  </si>
  <si>
    <t>Subsidy from Local Government Units</t>
  </si>
  <si>
    <t>40301040 00</t>
  </si>
  <si>
    <t>Subsidy from GOCCs</t>
  </si>
  <si>
    <t>40301050 00</t>
  </si>
  <si>
    <t>Subsidy from Other Funds</t>
  </si>
  <si>
    <t>C.4.4 Shares, Grants and Donations</t>
  </si>
  <si>
    <t>C.4.5 Gains</t>
  </si>
  <si>
    <t>40501010 00</t>
  </si>
  <si>
    <t>Gain on Foreign Exchange (FOREX)</t>
  </si>
  <si>
    <t>40501020 00</t>
  </si>
  <si>
    <t>Gain on Sale of Investments</t>
  </si>
  <si>
    <t>40501030 00</t>
  </si>
  <si>
    <t>Gain on Sale of Investment Property</t>
  </si>
  <si>
    <t>40501040 00</t>
  </si>
  <si>
    <t>Gain on Sale of Property, Plant and Equipment</t>
  </si>
  <si>
    <t>40501990 00</t>
  </si>
  <si>
    <t>Other Gains</t>
  </si>
  <si>
    <t>C.4.6 Other Operating Income</t>
  </si>
  <si>
    <t>C.5 EXPENSES</t>
  </si>
  <si>
    <t>C.5.1 Personnel Expenses</t>
  </si>
  <si>
    <t>Salaries and Wages</t>
  </si>
  <si>
    <t>Basic Salary - Civilian</t>
  </si>
  <si>
    <t>50101020 00</t>
  </si>
  <si>
    <t>Basic Salary - Contractual</t>
  </si>
  <si>
    <t>Other Compensation</t>
  </si>
  <si>
    <t>50102010 01</t>
  </si>
  <si>
    <t>PERA - Civilian</t>
  </si>
  <si>
    <t>Representation Allowance</t>
  </si>
  <si>
    <t xml:space="preserve">Transportation Allowance  </t>
  </si>
  <si>
    <t>50102040 01</t>
  </si>
  <si>
    <t>Clothing/Uniform Allowance - Civilian</t>
  </si>
  <si>
    <t>Productivity Incentive Allowance</t>
  </si>
  <si>
    <t>50102080 01</t>
  </si>
  <si>
    <t>Productivity Incentive Allowance - Civilian</t>
  </si>
  <si>
    <t>Longevity Pay</t>
  </si>
  <si>
    <t>50102120 01</t>
  </si>
  <si>
    <t>Longevity Pay - Civilian</t>
  </si>
  <si>
    <t>Overtime and Night Pay</t>
  </si>
  <si>
    <t>50102130 01</t>
  </si>
  <si>
    <t>Overtime Pay</t>
  </si>
  <si>
    <t>50102130 02</t>
  </si>
  <si>
    <t>Night Shift Differential Pay</t>
  </si>
  <si>
    <t>Year End Bonus</t>
  </si>
  <si>
    <t>50102140 01</t>
  </si>
  <si>
    <t>Bonus - Civilian</t>
  </si>
  <si>
    <t>Cash Gift</t>
  </si>
  <si>
    <t>50102150 01</t>
  </si>
  <si>
    <t>Cash Gift - Civilian</t>
  </si>
  <si>
    <t>Personnel Benefits Contribution</t>
  </si>
  <si>
    <t>50103010 00</t>
  </si>
  <si>
    <t>Retirement and Life Insurance Premiums</t>
  </si>
  <si>
    <t>Pag-IBIG Contributions</t>
  </si>
  <si>
    <t>Pag-IBIG - Civilian</t>
  </si>
  <si>
    <t>PhilHealth Contributions</t>
  </si>
  <si>
    <t>PhilHealth - Civilian</t>
  </si>
  <si>
    <t>Employees Compensation Insurance Premium</t>
  </si>
  <si>
    <t>ECIP - Civilian</t>
  </si>
  <si>
    <t>Other Personnel Benefits</t>
  </si>
  <si>
    <t>50104010 01</t>
  </si>
  <si>
    <t>Pension Benefits - Civilian</t>
  </si>
  <si>
    <t>50104010 02</t>
  </si>
  <si>
    <t>Pension Benefits - Military/Uniformed</t>
  </si>
  <si>
    <t>50104010 03</t>
  </si>
  <si>
    <t>Pension Benefits - Veterans</t>
  </si>
  <si>
    <t>Retirement Gratuity</t>
  </si>
  <si>
    <t>50104020 01</t>
  </si>
  <si>
    <t>Retirement Gratuity - Civilian</t>
  </si>
  <si>
    <t>50104020 02</t>
  </si>
  <si>
    <t>Retirement Gratuity - Military/Uniformed Personnel</t>
  </si>
  <si>
    <t>Terminal Leave Benefits</t>
  </si>
  <si>
    <t>Terminal Leave Benefits - Civilian</t>
  </si>
  <si>
    <t>50104030 02</t>
  </si>
  <si>
    <t>Terminal Leave Benefits - Military/Uniformed Personnel</t>
  </si>
  <si>
    <t>50104990 99</t>
  </si>
  <si>
    <t>C.5.2 Maintenance and Other Operating Expenses</t>
  </si>
  <si>
    <t>Traveling Expenses</t>
  </si>
  <si>
    <t>50201010 00</t>
  </si>
  <si>
    <t>Traveling Expenses - Local</t>
  </si>
  <si>
    <t>50201020 00</t>
  </si>
  <si>
    <t>Traveling Expenses - Foreign</t>
  </si>
  <si>
    <t>Training and Scholarship Expenses</t>
  </si>
  <si>
    <t>50202010 00</t>
  </si>
  <si>
    <t>Training Expenses</t>
  </si>
  <si>
    <t>50202020 00</t>
  </si>
  <si>
    <t>Scholarship Grants/Expenses</t>
  </si>
  <si>
    <t>Supplies and Materials Expenses</t>
  </si>
  <si>
    <t>50203010 00</t>
  </si>
  <si>
    <t>Office Supplies Expenses</t>
  </si>
  <si>
    <t>50203020 00</t>
  </si>
  <si>
    <t xml:space="preserve">Accountable Forms Expenses </t>
  </si>
  <si>
    <t>50203030 00</t>
  </si>
  <si>
    <t xml:space="preserve">Non-Accountable Forms Expenses </t>
  </si>
  <si>
    <t>50203040 00</t>
  </si>
  <si>
    <t>Animal/Zoological Supplies Expenses</t>
  </si>
  <si>
    <t>50203050 00</t>
  </si>
  <si>
    <t>Food Supplies Expenses</t>
  </si>
  <si>
    <t>50203060 00</t>
  </si>
  <si>
    <t>Welfare Goods Expenses</t>
  </si>
  <si>
    <t>50203070 00</t>
  </si>
  <si>
    <t>Drugs and Medicines Expenses</t>
  </si>
  <si>
    <t>50203080 00</t>
  </si>
  <si>
    <t>Medical, Dental and Laboratory Supplies Expenses</t>
  </si>
  <si>
    <t>50203090 00</t>
  </si>
  <si>
    <t>Fuel, Oil and Lubricants Expenses</t>
  </si>
  <si>
    <t>50203100 00</t>
  </si>
  <si>
    <t>Agricultural and Marine Supplies Expenses</t>
  </si>
  <si>
    <t>Textbooks and Instructional Materials Expenses</t>
  </si>
  <si>
    <t>50203110 01</t>
  </si>
  <si>
    <t>50203110 02</t>
  </si>
  <si>
    <t>Chalk Allowance</t>
  </si>
  <si>
    <t>50203120 00</t>
  </si>
  <si>
    <t>Military, Police and Traffic Supplies Expenses</t>
  </si>
  <si>
    <t>50203130 00</t>
  </si>
  <si>
    <t>Chemical and Filtering Supplies Expenses</t>
  </si>
  <si>
    <t>50203990 00</t>
  </si>
  <si>
    <t>Other Supplies and Materials Expenses</t>
  </si>
  <si>
    <t>Utility Expenses</t>
  </si>
  <si>
    <t>50204010 00</t>
  </si>
  <si>
    <t>Water Expenses</t>
  </si>
  <si>
    <t>50204020 00</t>
  </si>
  <si>
    <t>Electricity Expense</t>
  </si>
  <si>
    <t>Communication Expenses</t>
  </si>
  <si>
    <t>50205010 00</t>
  </si>
  <si>
    <t>Postage and Courier Services</t>
  </si>
  <si>
    <t>50205020 01</t>
  </si>
  <si>
    <t xml:space="preserve">Telephone Expenses - Mobile </t>
  </si>
  <si>
    <t>50205020 02</t>
  </si>
  <si>
    <t xml:space="preserve">Telephone Expenses - Landline </t>
  </si>
  <si>
    <t>50205030 00</t>
  </si>
  <si>
    <t>Internet Subscription Expenses</t>
  </si>
  <si>
    <t>50205040 00</t>
  </si>
  <si>
    <t>Cable, Satellite, Telegraph, and Radio Expenses</t>
  </si>
  <si>
    <t>Awards/Rewards and Prizes</t>
  </si>
  <si>
    <t>AWARDS</t>
  </si>
  <si>
    <t>50206010 01</t>
  </si>
  <si>
    <t>Awards/Rewards Expenses</t>
  </si>
  <si>
    <t>50206010 02</t>
  </si>
  <si>
    <t>Rewards and Incentives</t>
  </si>
  <si>
    <t>50206020 00</t>
  </si>
  <si>
    <t>Prizes</t>
  </si>
  <si>
    <t>Confidential, Intelligence and Extraordinary Expense</t>
  </si>
  <si>
    <t>50210010 00</t>
  </si>
  <si>
    <t>Confidential Expenses</t>
  </si>
  <si>
    <t>50210020 00</t>
  </si>
  <si>
    <t>Intelligence Expenses</t>
  </si>
  <si>
    <t>50210030 00</t>
  </si>
  <si>
    <t>Extraordinary and Miscellaneous Expense</t>
  </si>
  <si>
    <t>Professional Services</t>
  </si>
  <si>
    <t>50211010 00</t>
  </si>
  <si>
    <t>Legal Services</t>
  </si>
  <si>
    <t>50211020 00</t>
  </si>
  <si>
    <t>Auditing Services</t>
  </si>
  <si>
    <t>50211030 00</t>
  </si>
  <si>
    <t>Consultancy Services</t>
  </si>
  <si>
    <t>50211990 00</t>
  </si>
  <si>
    <t>Other Professional Services</t>
  </si>
  <si>
    <t>General Services</t>
  </si>
  <si>
    <t>50212010 00</t>
  </si>
  <si>
    <t>Environment/Sanitary Services</t>
  </si>
  <si>
    <t>50212020 00</t>
  </si>
  <si>
    <t>Janitorial Services</t>
  </si>
  <si>
    <t>50212030 00</t>
  </si>
  <si>
    <t>Security Services</t>
  </si>
  <si>
    <t>50212990 00</t>
  </si>
  <si>
    <t>Other General Services</t>
  </si>
  <si>
    <t>Repairs and Maintenance</t>
  </si>
  <si>
    <t xml:space="preserve">   Repairs and Maintenance - Machinery and Equipment</t>
  </si>
  <si>
    <t>50213040 01</t>
  </si>
  <si>
    <t>Buildings</t>
  </si>
  <si>
    <t>50213050 01</t>
  </si>
  <si>
    <t>Machinery</t>
  </si>
  <si>
    <t>50213050 02</t>
  </si>
  <si>
    <t>50213050 03</t>
  </si>
  <si>
    <t>ICT Equipment</t>
  </si>
  <si>
    <t>50213050 99</t>
  </si>
  <si>
    <t>Other Machinery and Equipment</t>
  </si>
  <si>
    <t>50213990 99</t>
  </si>
  <si>
    <t>Other PPE</t>
  </si>
  <si>
    <t xml:space="preserve">   Repairs and Maintenance - Transportation Equipment</t>
  </si>
  <si>
    <t>50213060 01</t>
  </si>
  <si>
    <t>50213060 99</t>
  </si>
  <si>
    <t>Other Transportation Equipment</t>
  </si>
  <si>
    <t xml:space="preserve">   Repairs and Maintenance - Furniture and Fixture</t>
  </si>
  <si>
    <t>50213070 00</t>
  </si>
  <si>
    <t>Furniture and Fixture</t>
  </si>
  <si>
    <t>Taxes, Insurance Premiums and Others Fees</t>
  </si>
  <si>
    <t>50215010 01</t>
  </si>
  <si>
    <t>Taxes, Duties and Licenses</t>
  </si>
  <si>
    <t>50215010 02</t>
  </si>
  <si>
    <t>Tax Refund</t>
  </si>
  <si>
    <t>50215020 00</t>
  </si>
  <si>
    <t>Fidelity Bond Premiums</t>
  </si>
  <si>
    <t>50215030 00</t>
  </si>
  <si>
    <t>Insurance Expense</t>
  </si>
  <si>
    <t>Other Maintenance and Operating Expenses</t>
  </si>
  <si>
    <t>50299010 00</t>
  </si>
  <si>
    <t>Advertising Expenses</t>
  </si>
  <si>
    <t>50299020 00</t>
  </si>
  <si>
    <t>Printing and Binding Expenses</t>
  </si>
  <si>
    <t>50299030 00</t>
  </si>
  <si>
    <t>Representation Expenses</t>
  </si>
  <si>
    <t>50299040 00</t>
  </si>
  <si>
    <t>Transportation and Delivery Expenses</t>
  </si>
  <si>
    <t>Rent/Lease Expense</t>
  </si>
  <si>
    <t>50299050 01</t>
  </si>
  <si>
    <t>Rent - Buildings and Structures</t>
  </si>
  <si>
    <t>782-1</t>
  </si>
  <si>
    <t>50299050 04</t>
  </si>
  <si>
    <t>Rent - Equipment</t>
  </si>
  <si>
    <t>782-VEH</t>
  </si>
  <si>
    <t>50299050 03</t>
  </si>
  <si>
    <t>Rent - Motor Vehicle</t>
  </si>
  <si>
    <t>50299060 00</t>
  </si>
  <si>
    <t>Membership Dues and Contributions to Organizations</t>
  </si>
  <si>
    <t>50299070 00</t>
  </si>
  <si>
    <t>Subscriptions Expenses</t>
  </si>
  <si>
    <t>50299080 00</t>
  </si>
  <si>
    <t>Donations</t>
  </si>
  <si>
    <t>50214990 00</t>
  </si>
  <si>
    <t>Subsidy - Others</t>
  </si>
  <si>
    <t>50299990 01</t>
  </si>
  <si>
    <t>Website Maintenance</t>
  </si>
  <si>
    <t>50299990 99</t>
  </si>
  <si>
    <t>C.5.3 Financial Expenses</t>
  </si>
  <si>
    <t>50301040 00</t>
  </si>
  <si>
    <t>Bank Charge</t>
  </si>
  <si>
    <t>C.5.4 Direct Costs</t>
  </si>
  <si>
    <t>C.5.5 Non-Cash Expenses</t>
  </si>
  <si>
    <t>Depreciation - Buildings and Other Sturctures</t>
  </si>
  <si>
    <t>50501040 01</t>
  </si>
  <si>
    <t>50501040 99</t>
  </si>
  <si>
    <t>Other Structures</t>
  </si>
  <si>
    <t>Depreciation - Machinery and Equipment</t>
  </si>
  <si>
    <t>50501050 01</t>
  </si>
  <si>
    <t>50501050 02</t>
  </si>
  <si>
    <t>50501050 03</t>
  </si>
  <si>
    <t>50501050 99</t>
  </si>
  <si>
    <t>Depreciation - Transportation Equipment</t>
  </si>
  <si>
    <t>50501060 01</t>
  </si>
  <si>
    <t>50501060 99</t>
  </si>
  <si>
    <t>Depreciation - Furnitures, Fixtures and Books</t>
  </si>
  <si>
    <t>50501070 01</t>
  </si>
  <si>
    <t>50501070 02</t>
  </si>
  <si>
    <t>Books</t>
  </si>
  <si>
    <t>Losses</t>
  </si>
  <si>
    <t>50504010 00</t>
  </si>
  <si>
    <t>Loss on Foreign Exchange (FOREX)</t>
  </si>
  <si>
    <t>50504020 00</t>
  </si>
  <si>
    <t>Loss on Sale of Investments</t>
  </si>
  <si>
    <t>50504030 00</t>
  </si>
  <si>
    <t>Loss on Sale of Investment Property</t>
  </si>
  <si>
    <t>50504040 00</t>
  </si>
  <si>
    <t>Loss on Sale of Property, Plant and Equipment</t>
  </si>
  <si>
    <t>50504080 00</t>
  </si>
  <si>
    <t>Loss on Sale of Assets</t>
  </si>
  <si>
    <t>50504990 00</t>
  </si>
  <si>
    <t>Other Losses</t>
  </si>
  <si>
    <t>C.5.6 Capital Outlays</t>
  </si>
  <si>
    <t>Property, Plant and Equipment Outlay</t>
  </si>
  <si>
    <t xml:space="preserve">    Buildings and Other Sturctures Outlay</t>
  </si>
  <si>
    <t>50604040 01</t>
  </si>
  <si>
    <t>50604040 99</t>
  </si>
  <si>
    <t xml:space="preserve">    Machinery and Equipment Outlay</t>
  </si>
  <si>
    <t>50604050 01</t>
  </si>
  <si>
    <t>50604050 02</t>
  </si>
  <si>
    <t>223 CO</t>
  </si>
  <si>
    <t>50604050 03</t>
  </si>
  <si>
    <t>50604050 99</t>
  </si>
  <si>
    <t xml:space="preserve">    Transportation and Equipment Outlay</t>
  </si>
  <si>
    <t>50604060 01</t>
  </si>
  <si>
    <t>50604060 99</t>
  </si>
  <si>
    <t xml:space="preserve">    Furnitures, Fixtures and Books Outlay</t>
  </si>
  <si>
    <t>50604070 01</t>
  </si>
  <si>
    <t>50604070 02</t>
  </si>
  <si>
    <t xml:space="preserve"> </t>
  </si>
  <si>
    <t>SSF CO</t>
  </si>
  <si>
    <t>SSF CO - BALIK PROBINSIYA</t>
  </si>
  <si>
    <t>ENDING JANUARY 31, 2021</t>
  </si>
  <si>
    <t>Beginning Balance</t>
  </si>
  <si>
    <t>CARP PS 2021</t>
  </si>
  <si>
    <t>JANUARY 2021</t>
  </si>
  <si>
    <t>21-1</t>
  </si>
  <si>
    <t>RATA FOR JANUARY 2021</t>
  </si>
  <si>
    <t>EXTRAORDINARY EXPENSES FOR JANUARY 2021</t>
  </si>
  <si>
    <t>SALARIES AND ALLOWANCES OF REGULAR EMPLOYEES FOR THE MONTH OF JANUARY 2021</t>
  </si>
  <si>
    <t>004</t>
  </si>
  <si>
    <t>LBP F/O DTI-SDN</t>
  </si>
  <si>
    <t>LBP F/O DTI-PDI</t>
  </si>
  <si>
    <t>005</t>
  </si>
  <si>
    <t>006</t>
  </si>
  <si>
    <t>LBP F/O DTI-SDS</t>
  </si>
  <si>
    <t>68</t>
  </si>
  <si>
    <t>85</t>
  </si>
  <si>
    <t>67</t>
  </si>
  <si>
    <t>007</t>
  </si>
  <si>
    <t>ARLEEN P. PAHAMTANG</t>
  </si>
  <si>
    <t>PETTY CASH FUND FOR 2021</t>
  </si>
  <si>
    <t>008</t>
  </si>
  <si>
    <t>03</t>
  </si>
  <si>
    <t>LBP F/O DTI-ADS</t>
  </si>
  <si>
    <t>009</t>
  </si>
  <si>
    <t>D.O. PLAZA HOLDINGS CORP.</t>
  </si>
  <si>
    <t>FULL PAYMENT OF OFFICE RENTAL FOR THE MONTH OF JANUARY 2021</t>
  </si>
  <si>
    <t>010</t>
  </si>
  <si>
    <t>BUREAU OF THE TREASURY</t>
  </si>
  <si>
    <t>RENEWAL OF APPLICATION FOR BOND OF ACCOUNTABLE OFFICERS AND EMPLOYEES - MALP</t>
  </si>
  <si>
    <t>PERSONAL SERVICES AND MOOE</t>
  </si>
  <si>
    <t>DEPARTMENT OF TRADE &amp; INDUSTRY - CARAGA</t>
  </si>
  <si>
    <t xml:space="preserve">2021 REGISTRY OF ALLOTMENTS AND OBLIGATIONS </t>
  </si>
  <si>
    <t>011</t>
  </si>
  <si>
    <t>02</t>
  </si>
  <si>
    <t xml:space="preserve">LBP F/O DTI-ADN </t>
  </si>
  <si>
    <t>012</t>
  </si>
  <si>
    <t>GAY A . TIDALGO</t>
  </si>
  <si>
    <t>REIM OF POST PAID SUBSCRIPTION PLAN 65087463-09173049729 FOR NOVEMBER 16-DECEMBER 15, 2021</t>
  </si>
  <si>
    <t>013</t>
  </si>
  <si>
    <t>FIL PRODUCTS SERVICE TV BUTUAN, INC.</t>
  </si>
  <si>
    <t>PAYMENT FOR CABLE SUBSCRIPTION FOR DEC. 28-JAN. 27, 2021</t>
  </si>
  <si>
    <t>GAY A. TIDALGO</t>
  </si>
  <si>
    <t>ELYNUR H. GAMBET-MINGLANA</t>
  </si>
  <si>
    <t>JASMIN B. FAELNAR</t>
  </si>
  <si>
    <t>LORIJANE D. SACOTE</t>
  </si>
  <si>
    <t>MARSON JAN S. DOLENDO</t>
  </si>
  <si>
    <t>BRENDA B. CORVERA</t>
  </si>
  <si>
    <t>STEPHEN L. KINTANAR</t>
  </si>
  <si>
    <t>ARCILY C. GONZAGA</t>
  </si>
  <si>
    <t>ROMEL M. ORIBE</t>
  </si>
  <si>
    <t>BEMA THERESA M. VASQUEZ</t>
  </si>
  <si>
    <t>ARNOLD D. FAELNAR</t>
  </si>
  <si>
    <t>014</t>
  </si>
  <si>
    <t>REPLENISHMENT OF PETTY CASH FUND</t>
  </si>
  <si>
    <t>015</t>
  </si>
  <si>
    <t>JWL SOURCING GROUP, INC.</t>
  </si>
  <si>
    <t>FUEL CONSUMPTION FOR THE PERIOD DECEMBER 1-31, 2020</t>
  </si>
  <si>
    <t>MSSU</t>
  </si>
  <si>
    <t>SDD</t>
  </si>
  <si>
    <t>IDD</t>
  </si>
  <si>
    <t>CPD</t>
  </si>
  <si>
    <t>FAD</t>
  </si>
  <si>
    <t>016</t>
  </si>
  <si>
    <t>PD, DTI-ADN</t>
  </si>
  <si>
    <t>ADVANCES FOR THE CONDUCT OF FAD FTM ON JANUARY 25, 2021</t>
  </si>
  <si>
    <t>OIC, DTI-ADS</t>
  </si>
  <si>
    <t>OIC, DTI-SDN</t>
  </si>
  <si>
    <t>PD, DTI-SDS</t>
  </si>
  <si>
    <t>PD, DTI-PDI</t>
  </si>
  <si>
    <t>017</t>
  </si>
  <si>
    <t>018</t>
  </si>
  <si>
    <t>019</t>
  </si>
  <si>
    <t>020</t>
  </si>
  <si>
    <t>223 co</t>
  </si>
  <si>
    <t>021</t>
  </si>
  <si>
    <t>LG SUPPLIES AND GENERAL MERCHANDISE</t>
  </si>
  <si>
    <t>PAYMENT FOR 1 UNIT LAPTOP COMPUTER FOR IDD USE</t>
  </si>
  <si>
    <t>022</t>
  </si>
  <si>
    <t>MARIBEL P. TIMOGAN</t>
  </si>
  <si>
    <t>INITIAL SALARY OF AA VI FOR THE MONTH OF JANUARY 4-31, 2021</t>
  </si>
  <si>
    <t>023</t>
  </si>
  <si>
    <t>A&amp;C YELO SUBMARINE CORP.</t>
  </si>
  <si>
    <t>PAYMENT FOR DRINKING WATER USAGE FOR NOVEMBER TO DECEMBER 2020</t>
  </si>
  <si>
    <t>024</t>
  </si>
  <si>
    <t>BUTUAN CITY WATER DISTRICT</t>
  </si>
  <si>
    <t>PAYMENT FOR UTILITIES - WATER FOR THE MONTHS OF DECEMBER TO JANUARY 2021</t>
  </si>
  <si>
    <t>025</t>
  </si>
  <si>
    <t>PAYMENT FOR JO FOR THE PERIOD JANUARY 5, 15, 2021</t>
  </si>
  <si>
    <t>LBP, F/O DTI-JO</t>
  </si>
  <si>
    <t>OO3</t>
  </si>
  <si>
    <t>NC</t>
  </si>
  <si>
    <t>026</t>
  </si>
  <si>
    <t>MARRY ANN L. PASCUAL</t>
  </si>
  <si>
    <t>REIMBURSEMENT, DECORATIONS AND SUPPLIES RE: OAT-TAKING CEREMON CUM ORIENTATION FOR NEWLY-HIRED AND PROMOTED LAST JANUARY 11, 2021</t>
  </si>
  <si>
    <t>009A</t>
  </si>
  <si>
    <t>PARTIAL PAYMENT FOR OFFICE RENTAL FOR THE MONTH OF JANUARY 2021</t>
  </si>
  <si>
    <t>027</t>
  </si>
  <si>
    <t>JOCELYN ANG</t>
  </si>
  <si>
    <t>SPACE RENTAL, DTI-STORAGE AREA FOR JANUARY 2021</t>
  </si>
  <si>
    <t>028</t>
  </si>
  <si>
    <t>PAYMENT FOR JO FOR THE PERIOD JANUARY 5-15, 2021</t>
  </si>
  <si>
    <t>029</t>
  </si>
  <si>
    <t>OTOP NG</t>
  </si>
  <si>
    <t>030</t>
  </si>
  <si>
    <t>RALPH O. GORGONIO</t>
  </si>
  <si>
    <t>REIM FOR THE PAYMENT OF PORTABLE WIFI MODEM FOR ORD USE</t>
  </si>
  <si>
    <t>031</t>
  </si>
  <si>
    <t>PS CARP</t>
  </si>
  <si>
    <t>JOSELITO B. PALER</t>
  </si>
  <si>
    <t>SALARIES AND ALLOWANCES OF CARP EMPLOYEES FOR THE MONTH OF JANUARY 2021</t>
  </si>
  <si>
    <t>032</t>
  </si>
  <si>
    <t>033</t>
  </si>
  <si>
    <t>LEMUEL D. ROBOCA</t>
  </si>
  <si>
    <t>034</t>
  </si>
  <si>
    <t>MA. MALEN B. CATAMORA</t>
  </si>
  <si>
    <t>035</t>
  </si>
  <si>
    <t>036</t>
  </si>
  <si>
    <t>JUMAR H. LLORENTE</t>
  </si>
  <si>
    <t>Document Received</t>
  </si>
  <si>
    <t>Funding Code</t>
  </si>
  <si>
    <t>Fund Source</t>
  </si>
  <si>
    <t>Amount Received</t>
  </si>
  <si>
    <t>Obligation Incurred</t>
  </si>
  <si>
    <t>Balance</t>
  </si>
  <si>
    <t>UACS Accounts</t>
  </si>
  <si>
    <t>Account Title</t>
  </si>
  <si>
    <t>GAA</t>
  </si>
  <si>
    <t>No.</t>
  </si>
  <si>
    <t>FY2021, RA11518</t>
  </si>
  <si>
    <t>100000100001000</t>
  </si>
  <si>
    <t>MFO/PAP Number</t>
  </si>
  <si>
    <t>MFO-PAP Acronym</t>
  </si>
  <si>
    <t>01101101</t>
  </si>
  <si>
    <t>GOP</t>
  </si>
  <si>
    <t>OLD Account</t>
  </si>
  <si>
    <t>Personnel Services</t>
  </si>
  <si>
    <t>Maintenance and Other Operating Expenses</t>
  </si>
  <si>
    <t>GAS(GMS)</t>
  </si>
  <si>
    <t>GAS(ABP)</t>
  </si>
  <si>
    <t>OO1</t>
  </si>
  <si>
    <t>310100100002000</t>
  </si>
  <si>
    <t>Development,Facilitation, and promotion of exports and investment, domestic and foreign</t>
  </si>
  <si>
    <t>OO2</t>
  </si>
  <si>
    <t>Capital Outlay</t>
  </si>
  <si>
    <t>320100100001000</t>
  </si>
  <si>
    <t>Formulation of Strategic plans,programs, and policies to develop competitve industries</t>
  </si>
  <si>
    <t>330100100002000</t>
  </si>
  <si>
    <t>Implementation of the MSME Development Plan and other initiatives to promote the growth of Micro, Small and Medium Enterprises</t>
  </si>
  <si>
    <t>330100200001000</t>
  </si>
  <si>
    <t>Establishment of Negosyo Centers</t>
  </si>
  <si>
    <t>OTOP</t>
  </si>
  <si>
    <t>330100200003000</t>
  </si>
  <si>
    <t>Shared Service Facilities Project</t>
  </si>
  <si>
    <t>330100200002000</t>
  </si>
  <si>
    <t>OTOP - Next Generation</t>
  </si>
  <si>
    <t>LSP-PBG</t>
  </si>
  <si>
    <t>330100200004000</t>
  </si>
  <si>
    <t>MSME Development Program : Livelihood Seeding Program and Pangkabuhayan sa Pagbangon at Ginhawa</t>
  </si>
  <si>
    <t>OO4.1(FTL)</t>
  </si>
  <si>
    <t>OO4.1(Acc)</t>
  </si>
  <si>
    <t>340100100002000</t>
  </si>
  <si>
    <t>Monitoring and Enforcement of FTL including consumer complaints handling</t>
  </si>
  <si>
    <t>340100100003000</t>
  </si>
  <si>
    <t>Accreditation and Issuance of Business Licenses, Permits, registration and authorities</t>
  </si>
  <si>
    <t>340200100002000</t>
  </si>
  <si>
    <t>Implementation of Plans, projects and activities on consumer awareness, education, and advocacy</t>
  </si>
  <si>
    <t>OO 4.2</t>
  </si>
  <si>
    <t>Allotment Class</t>
  </si>
  <si>
    <t>CARP</t>
  </si>
  <si>
    <t>2021-01-0037</t>
  </si>
  <si>
    <t>2021-01-0015</t>
  </si>
  <si>
    <t>330100100003000</t>
  </si>
  <si>
    <t>MSME Development Program : Program Beneficiaries Development Component of the Comprehensive Agrarian Reform Program</t>
  </si>
  <si>
    <t>RLIP</t>
  </si>
  <si>
    <t>50103010-00</t>
  </si>
  <si>
    <t>MFO/PAP Description</t>
  </si>
  <si>
    <t>General Administration and Supervision - General Management and Supervision</t>
  </si>
  <si>
    <t>General Administration and Supervision - Administration of Personnel Benefits</t>
  </si>
  <si>
    <t>SAA37</t>
  </si>
  <si>
    <t>SAA15</t>
  </si>
  <si>
    <t>Summary - Fund Utilization Report</t>
  </si>
  <si>
    <t>OBLIGATION INCURRED</t>
  </si>
  <si>
    <t>ALLOMENT RECEIVED</t>
  </si>
  <si>
    <t>Old Code</t>
  </si>
  <si>
    <t>UACS Code</t>
  </si>
  <si>
    <t>Reporting Period</t>
  </si>
  <si>
    <t>Cluster</t>
  </si>
  <si>
    <t>MDS 101</t>
  </si>
  <si>
    <t>01 January 2021</t>
  </si>
  <si>
    <t>Concatenate</t>
  </si>
  <si>
    <t>02 February 2021</t>
  </si>
  <si>
    <t>03 March 2021</t>
  </si>
  <si>
    <t>04 April 2021</t>
  </si>
  <si>
    <t>05 May 2021</t>
  </si>
  <si>
    <t>06 June 2021</t>
  </si>
  <si>
    <t>07 July 2021</t>
  </si>
  <si>
    <t>08 August 2021</t>
  </si>
  <si>
    <t>09 September 2021</t>
  </si>
  <si>
    <t>10 October 2021</t>
  </si>
  <si>
    <t>11 November 2021</t>
  </si>
  <si>
    <t>12 December 2021</t>
  </si>
  <si>
    <t>GAS</t>
  </si>
  <si>
    <t xml:space="preserve">REGISTRY OF ALLOTMENTS AND OBLIGATIONS </t>
  </si>
  <si>
    <t>PERSONAL SERVICES, MOOE AND CO</t>
  </si>
  <si>
    <t>Fund Utilization Rate</t>
  </si>
  <si>
    <t>GAA-GAS(GMS)-PS-GOP</t>
  </si>
  <si>
    <t>GAA-GAS(GMS)-MOOE-GOP</t>
  </si>
  <si>
    <t>GAA-GAS(GMS)-RLIP-GOP</t>
  </si>
  <si>
    <t>GAA-GAS(ABP)-742-GOP</t>
  </si>
  <si>
    <t>GAA-OO1-PS-GOP</t>
  </si>
  <si>
    <t>GAA-OO1-MOOE-GOP</t>
  </si>
  <si>
    <t>GAA-OO1-RLIP-GOP</t>
  </si>
  <si>
    <t>GAA-OO2-PS-GOP</t>
  </si>
  <si>
    <t>GAA-OO2-MOOE-GOP</t>
  </si>
  <si>
    <t>GAA-OO2-RLIP-GOP</t>
  </si>
  <si>
    <t>GAA-OO3-PS-GOP</t>
  </si>
  <si>
    <t>GAA-OO3-MOOE-GOP</t>
  </si>
  <si>
    <t>GAA-OO3-RLIP-GOP</t>
  </si>
  <si>
    <t>GAA-OO4.1(FTL)-PS-GOP</t>
  </si>
  <si>
    <t>GAA-OO4.1(FTL)-MOOE-GOP</t>
  </si>
  <si>
    <t>GAA-OO4.1(FTL)-RLIP-GOP</t>
  </si>
  <si>
    <t>GAA-OO4.1(Acc)-PS-GOP</t>
  </si>
  <si>
    <t>GAA-OO4.1(Acc)-MOOE-GOP</t>
  </si>
  <si>
    <t>GAA-OO4.1(Acc)-RLIP-GOP</t>
  </si>
  <si>
    <t>GAA-OO 4.2-MOOE-GOP</t>
  </si>
  <si>
    <t>GAA-NC-MOOE-GOP</t>
  </si>
  <si>
    <t>GAA-NC-CO-GOP</t>
  </si>
  <si>
    <t>GAA-OTOP-MOOE-GOP</t>
  </si>
  <si>
    <t>GAA-SSF-MOOE-GOP</t>
  </si>
  <si>
    <t>GAA-SSF-CO-GOP</t>
  </si>
  <si>
    <t>GAA-LSP-PBG-MOOE-GOP</t>
  </si>
  <si>
    <t>SAA37-CARP-751-GOP</t>
  </si>
  <si>
    <t>SAA37-CARP-753-GOP</t>
  </si>
  <si>
    <t>SAA37-CARP-755-GOP</t>
  </si>
  <si>
    <t>SAA37-CARP-761-GOP</t>
  </si>
  <si>
    <t>SAA37-CARP-771-GOP</t>
  </si>
  <si>
    <t>SAA37-CARP-773-GOP</t>
  </si>
  <si>
    <t>SAA37-CARP-793-GOP</t>
  </si>
  <si>
    <t>SAA37-CARP-799-GOP</t>
  </si>
  <si>
    <t>SAA37-CARP-795-GOP</t>
  </si>
  <si>
    <t>SAA37-CARP-781-GOP</t>
  </si>
  <si>
    <t>SAA37-CARP-783-GOP</t>
  </si>
  <si>
    <t>SAA37-CARP-784-GOP</t>
  </si>
  <si>
    <t>SAA37-CARP-969-GOP</t>
  </si>
  <si>
    <t>SAA15-CARP-706-GOP</t>
  </si>
  <si>
    <t>GAA CY2021</t>
  </si>
  <si>
    <t>General Administration and Supervision</t>
  </si>
  <si>
    <t>OO 1</t>
  </si>
  <si>
    <t>OO 2</t>
  </si>
  <si>
    <t>OO 3</t>
  </si>
  <si>
    <t>BSMD (YEP)</t>
  </si>
  <si>
    <t>MSME Development Program : Bureau of Small Med. Dev. (YEP)</t>
  </si>
  <si>
    <t>330100100005000</t>
  </si>
  <si>
    <t>LSP-NSB</t>
  </si>
  <si>
    <t>MSME Development Program : Livelihood Seeding Program and Negosyo sa Barangay</t>
  </si>
  <si>
    <t>330100300003000</t>
  </si>
  <si>
    <t>RAPID</t>
  </si>
  <si>
    <t>Rural Agro Enterprise Partnership for Inclusive Development (RAPID) Growth</t>
  </si>
  <si>
    <t>OO 4.1 - FTL</t>
  </si>
  <si>
    <t>OO 4.1 - Acc</t>
  </si>
  <si>
    <t>MFO/PAP Code</t>
  </si>
  <si>
    <t>MFO/PAP Short Name</t>
  </si>
  <si>
    <t>Column1</t>
  </si>
  <si>
    <t>No.2</t>
  </si>
  <si>
    <t>Fund Source3</t>
  </si>
  <si>
    <t>(All)</t>
  </si>
  <si>
    <t>(blank)</t>
  </si>
  <si>
    <t>Grand Total</t>
  </si>
  <si>
    <t>50102020 00 - Representation Allowance (713)</t>
  </si>
  <si>
    <t>50102030 01 - Transportation Allowance   (714)</t>
  </si>
  <si>
    <t>Data</t>
  </si>
  <si>
    <t>Sum of ALLOMENT RECEIVED</t>
  </si>
  <si>
    <t>Sum of OBLIGATION INCURRED</t>
  </si>
  <si>
    <t>21-2</t>
  </si>
  <si>
    <t>037</t>
  </si>
  <si>
    <t>LAND BANK OF THE PHILIPPINES</t>
  </si>
  <si>
    <t>RATA, FEBRUARY 2021</t>
  </si>
  <si>
    <t>038</t>
  </si>
  <si>
    <t>EXTRAORDINARY EXPENSES FOR FEBRUARY 2021</t>
  </si>
  <si>
    <t>039</t>
  </si>
  <si>
    <t>RATA, JANUARY 2021</t>
  </si>
  <si>
    <t>PROCUREMENT SERVICE</t>
  </si>
  <si>
    <t>PAYMENT FOR OFFICE SUPPLIES FOR IDD USE - 1ST QTR 2021</t>
  </si>
  <si>
    <t>ROYELEN B. TAALA</t>
  </si>
  <si>
    <t>REIMBURSEMENT, PURCHASE OF 2021 PLANNER FOR IDD USE</t>
  </si>
  <si>
    <t>ADVANCES TO SSF MOOE 2021 FOR CONSULTANCY AND REPAIR OF DEFECTIVE SSF EQUIPMENT</t>
  </si>
  <si>
    <t>REIMBURSEMENT, TE RE: SSF MONITORING AND VALIDATION VISIT TO VARARBEMCO AND ASSAT LAST JANUARY 20, 2021</t>
  </si>
  <si>
    <t>IRA S. MANTILLA</t>
  </si>
  <si>
    <t>REY B. ACABO</t>
  </si>
  <si>
    <t>ADVANCES TO IDD REGULAR MOOE 002 FOR 1ST QUARTER 2021</t>
  </si>
  <si>
    <t>ADVANCES TO IDD REGULAR MOOE 001 FOR 1ST QUARTER 2021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</si>
  <si>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</si>
  <si>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</si>
  <si>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</si>
  <si>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</si>
  <si>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</si>
  <si>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</si>
  <si>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</si>
  <si>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</si>
  <si>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</si>
  <si>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</si>
  <si>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</si>
  <si>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</si>
  <si>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</si>
  <si>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</si>
  <si>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</si>
  <si>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</si>
  <si>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FREEDCARMARIAM GONZAGA</t>
  </si>
  <si>
    <t>056</t>
  </si>
  <si>
    <t>PETTY CASH FUND REPLENISHMENT FOR JAN. 21-FEB 3, 2021</t>
  </si>
  <si>
    <t>50101010 01 - Basic Salary - Civilian (701)</t>
  </si>
  <si>
    <t>50102010 01 - PERA - Civilian (711)</t>
  </si>
  <si>
    <t>50103010 00 - Retirement and Life Insurance Premiums (731)</t>
  </si>
  <si>
    <t>50103020 01 - Pag-IBIG - Civilian (732)</t>
  </si>
  <si>
    <t>50103030 01 - PhilHealth - Civilian (733)</t>
  </si>
  <si>
    <t>50103040 01 - ECIP - Civilian (734)</t>
  </si>
  <si>
    <t>(Multiple Items)</t>
  </si>
  <si>
    <t>BUSA INTERBIZ CENTER</t>
  </si>
  <si>
    <t>PAYMENT FOR NEWSPAPER SUBSCRIPTION FOR JANUARY 2021</t>
  </si>
  <si>
    <t>ADVANCES TO REGULAR MOOE FOR JAN-FEB 2021</t>
  </si>
  <si>
    <t>LBP F/O DTI-JO</t>
  </si>
  <si>
    <t>PAYMENT FOR JO FOR THE PERIOD JANUARY 16-31, 2021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</si>
  <si>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</si>
  <si>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</si>
  <si>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</si>
  <si>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</si>
  <si>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</si>
  <si>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</si>
  <si>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</si>
  <si>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</si>
  <si>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</si>
  <si>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SALARY DIFFERENTIAL DUE TO CES SALARY ADJUSTMENT FOR DEC. 3-JAN. 31, 2021</t>
  </si>
  <si>
    <t>066</t>
  </si>
  <si>
    <t>067</t>
  </si>
  <si>
    <t>FT, NC IMPLEMENTATION FOR JANUARY 2021</t>
  </si>
  <si>
    <t>068</t>
  </si>
  <si>
    <t>069</t>
  </si>
  <si>
    <t>070</t>
  </si>
  <si>
    <t>071</t>
  </si>
  <si>
    <t>072</t>
  </si>
  <si>
    <t>SALARY DIFFERENTIAL DUE TO SSL 5 FOR THE MONTH OF JANUARY 2021</t>
  </si>
  <si>
    <t>073</t>
  </si>
  <si>
    <t>074</t>
  </si>
  <si>
    <t>075</t>
  </si>
  <si>
    <t>076</t>
  </si>
  <si>
    <t>077</t>
  </si>
  <si>
    <t>078</t>
  </si>
  <si>
    <t>GLOBE TELECOM, INC.</t>
  </si>
  <si>
    <t>PAYMENT OF POSTPAID PLAN SUBSCRIPTION 49017022-09177036798 FOR THE MONTH OF DECEMBER  2020</t>
  </si>
  <si>
    <t>079</t>
  </si>
  <si>
    <t>GSIS</t>
  </si>
  <si>
    <t>VEHICLE INSURANCE FOR TOYOTA HILUX FOR MARCH 1, 2021-MARCH 1, 2022</t>
  </si>
  <si>
    <t>080</t>
  </si>
  <si>
    <t>TRUE BREW GOURMET COFFEE SHOP</t>
  </si>
  <si>
    <t>MEALS DURING THE SDD FUNCTIONAL TEAM MEETING LAST JAN. 19, 2021</t>
  </si>
  <si>
    <t>081</t>
  </si>
  <si>
    <t>PAYMENT OF POSTPAID PLAN SUBSCRIPTION 1094019348-09178656567 FOR THE MONTH OF NOVEMBER 16-JANUARY 15, 2021</t>
  </si>
  <si>
    <t>082</t>
  </si>
  <si>
    <t>SALARIES AND ALLOWANCES OF REGULAR EMPLOYEES FOR THE MONTH OF FEBRUARY 2021</t>
  </si>
  <si>
    <t>083</t>
  </si>
  <si>
    <t>084</t>
  </si>
  <si>
    <t>085</t>
  </si>
  <si>
    <t>SALARY DIFFERENTIAL DUE TO STEP INCREMENT JAN. 4-31, 2021</t>
  </si>
  <si>
    <t>086</t>
  </si>
  <si>
    <t>MARIAN  CORAZON P. TOGONON</t>
  </si>
  <si>
    <t>087</t>
  </si>
  <si>
    <t>SALARY DIFFERENTIAL DUE TO STEP INCREMENT JANUARY 2021</t>
  </si>
  <si>
    <t>088</t>
  </si>
  <si>
    <t>SALARY DIFFERENTIAL DUE TO PROMOTION FOR JANUARY 2021</t>
  </si>
  <si>
    <t>089</t>
  </si>
  <si>
    <t>SALARIES AND ALLOWANCES  FOR THE MONTH OF FEBRUARY 2021 - CARP</t>
  </si>
  <si>
    <t>090</t>
  </si>
  <si>
    <t>091</t>
  </si>
  <si>
    <t>TRI-TECH AIRCON SERVICES</t>
  </si>
  <si>
    <t>OFFICE AIRCON MAINTENANCE FOR 2ND SEMESTER</t>
  </si>
  <si>
    <t>092</t>
  </si>
  <si>
    <t>FERBENCOM TECHNOLOGIES</t>
  </si>
  <si>
    <t>INTERNET SUBSCRIPTION FOR THE MONTH OF JANUARY 2021</t>
  </si>
  <si>
    <t>093</t>
  </si>
  <si>
    <t>A &amp; C YELO SUBMARINE CORP.</t>
  </si>
  <si>
    <t>DRINKING WATER USAGE FOR THE MONTH OF JANUARY 2021</t>
  </si>
  <si>
    <t>094</t>
  </si>
  <si>
    <t>OFFICE RENTAL FOR THE MONTH OF FEBRUARY 2021</t>
  </si>
  <si>
    <t>095</t>
  </si>
  <si>
    <t>FT, LSP-NSB IMPLEMENTATION FOR THE 1ST QUARTER OF 2021</t>
  </si>
  <si>
    <t>096</t>
  </si>
  <si>
    <t>097</t>
  </si>
  <si>
    <t>098</t>
  </si>
  <si>
    <t>099</t>
  </si>
  <si>
    <t>100</t>
  </si>
  <si>
    <t>FT, SSF MOOE - 1ST QUARTER 2021</t>
  </si>
  <si>
    <t>101</t>
  </si>
  <si>
    <t>102</t>
  </si>
  <si>
    <t>103</t>
  </si>
  <si>
    <t>104</t>
  </si>
  <si>
    <t>FT, CARP IMPLEMENTATION FOR THE 1ST QUARTER OF 2021</t>
  </si>
  <si>
    <t>105</t>
  </si>
  <si>
    <t>106</t>
  </si>
  <si>
    <t>107</t>
  </si>
  <si>
    <t>108</t>
  </si>
  <si>
    <t>109</t>
  </si>
  <si>
    <t>110</t>
  </si>
  <si>
    <t>NEILAB'Z EXPRESS</t>
  </si>
  <si>
    <t>VAN RENTAL RE: OTOP PH HUB BRIEFING IN TANDAG CITY - SURIGAO CITY LAST JAN. 21 AND 29, 2021</t>
  </si>
  <si>
    <t>111</t>
  </si>
  <si>
    <t>112</t>
  </si>
  <si>
    <t>113</t>
  </si>
  <si>
    <t>114</t>
  </si>
  <si>
    <t>115</t>
  </si>
  <si>
    <t>116</t>
  </si>
  <si>
    <t>LOIDA C. GUMAHIN</t>
  </si>
  <si>
    <t>INITIAL SALARY AS TIDA COS UNDER NC PROGRAM FOR JANUARY 18-31, 2021</t>
  </si>
  <si>
    <t>117</t>
  </si>
  <si>
    <t>118</t>
  </si>
  <si>
    <t>119</t>
  </si>
  <si>
    <t>REZEL MAY C. GOLORAN</t>
  </si>
  <si>
    <t>120</t>
  </si>
  <si>
    <t>ELYN ROSE A. RANARIO</t>
  </si>
  <si>
    <t>121</t>
  </si>
  <si>
    <t>CARL MARS RAVELO</t>
  </si>
  <si>
    <t>122</t>
  </si>
  <si>
    <t>OLIMAR O. SULAPAS</t>
  </si>
  <si>
    <t>123</t>
  </si>
  <si>
    <t>SALARY AS TIDA COS UNDER NC PROGRAM FOR FEBRUARY 2021</t>
  </si>
  <si>
    <t>124</t>
  </si>
  <si>
    <t>PLDT, INC.</t>
  </si>
  <si>
    <t>INTERNET AND LANDLINE SUBSCRIPTION, 0606033214 (815-1271) FOR THE PERIOD NOV. 17-FEB. 16, 2021</t>
  </si>
  <si>
    <t>125</t>
  </si>
  <si>
    <t>LANDLINE SUBSCRIPTION, 0216371283 (816-3136) FOR THE PERIOD NOVEMBER 17-FEBRUARY 16, 2021</t>
  </si>
  <si>
    <t>126</t>
  </si>
  <si>
    <t>LANDLINE SUBSCRIPTION, 0606028075 (816-0079) FOR THE PERIOD JANUARY 16-FEBRUARY 14, 2021</t>
  </si>
  <si>
    <t>127</t>
  </si>
  <si>
    <t>LANDLINE SUBSCRIPTION, 0197015144 (225-5955) FOR THE PERIOD JANUARY-FEB 2021</t>
  </si>
  <si>
    <t>128</t>
  </si>
  <si>
    <t>JANIKKA'S CATERING SERVICES</t>
  </si>
  <si>
    <t>MEALS DURING THE OATH-TAKING CEREMONY CM ORIENTATION FOR NEWLY HIRED AND PROMOTED EMPLOYEES LAST JAN. 11, 2021</t>
  </si>
  <si>
    <t>129</t>
  </si>
  <si>
    <t>MANILA AUTO CARE</t>
  </si>
  <si>
    <t>LABOR AND MATERIALS FOR TOYOTA INNOVA (SKT 513)</t>
  </si>
  <si>
    <t>130</t>
  </si>
  <si>
    <t>REY ACABO</t>
  </si>
  <si>
    <t>REIM. OF TE RE: FETCH PD FAELNAR FROM SURIGAO TO BUTUAN AND PARTICIPATION TO TYPHOON VICKY REHAB ACTIVITIES</t>
  </si>
  <si>
    <t>131</t>
  </si>
  <si>
    <t>132</t>
  </si>
  <si>
    <t>133</t>
  </si>
  <si>
    <t>134</t>
  </si>
  <si>
    <t>135</t>
  </si>
  <si>
    <t>136</t>
  </si>
  <si>
    <t>137</t>
  </si>
  <si>
    <t>138</t>
  </si>
  <si>
    <t>REIM OF FUEL CONSUMPTION RE: SITE VISIT TO SSF COOPERATOR/COFFEE PRODUCER IN BUENAVISTA LAST FEB. 6, 2021</t>
  </si>
  <si>
    <t>FT, MOOE FOR CPD IMPLEMENTATION, 1ST QUARTER OF 2021</t>
  </si>
  <si>
    <t>OFFICE SUPPLIES FOR FAD USE, 1STQUARTER 2021</t>
  </si>
  <si>
    <t>139</t>
  </si>
  <si>
    <t>140</t>
  </si>
  <si>
    <t>141</t>
  </si>
  <si>
    <t>142</t>
  </si>
  <si>
    <t>143</t>
  </si>
  <si>
    <t>FT, OTOP FOR THE MONTH OF JANUARY &amp; FEB 2021</t>
  </si>
  <si>
    <t>NEED INK SALES AND SERVICES</t>
  </si>
  <si>
    <t>TONERS FOR IDD USE - 1ST QUARTER 2021</t>
  </si>
  <si>
    <t>SAA040</t>
  </si>
  <si>
    <t>21-02-0040</t>
  </si>
  <si>
    <t>RAPID GOP</t>
  </si>
  <si>
    <t>330100300001000</t>
  </si>
  <si>
    <t>Rural Agro Enterprise Partnership for Inclusive Development (RAPID) Growth GOP Continuing</t>
  </si>
  <si>
    <t>SAA040-RAPID GOP-799-GOP</t>
  </si>
  <si>
    <t>144</t>
  </si>
  <si>
    <t>SALARIES RAPID RCU STAFF - JANUARY 1-31, 2021</t>
  </si>
  <si>
    <t>145</t>
  </si>
  <si>
    <t>SALARIES RAPID PCU ADN STAFF - JANUARY 1-31, 2021</t>
  </si>
  <si>
    <t>146</t>
  </si>
  <si>
    <t>SALARIES RAPID PCU SDS STAFF - JANUARY 1-31, 2021</t>
  </si>
  <si>
    <t>147</t>
  </si>
  <si>
    <t>148</t>
  </si>
  <si>
    <t>LIME AND ZEST KITCHEN</t>
  </si>
  <si>
    <t>MEALS RE: IDD FTM FOR 1ST QUARTER LAST JAN. 26, 2021</t>
  </si>
  <si>
    <t>149</t>
  </si>
  <si>
    <t>POSTPAID PLAN SUBSCRIPTION PER ACCOUNT NUMBER 65087463</t>
  </si>
  <si>
    <t>150</t>
  </si>
  <si>
    <t>FEVI V. SILVOSA</t>
  </si>
  <si>
    <t>PAYMENT FOR JO FOR FEBRUARY 1-15, 2021</t>
  </si>
  <si>
    <t>151</t>
  </si>
  <si>
    <t>152</t>
  </si>
  <si>
    <t>153</t>
  </si>
  <si>
    <t>154</t>
  </si>
  <si>
    <t>155</t>
  </si>
  <si>
    <t>REYNOLD C. GULDE</t>
  </si>
  <si>
    <t>OVERTIME SERVICES FOR DECEMBER AND JANUARY 2021</t>
  </si>
  <si>
    <t>156</t>
  </si>
  <si>
    <t>JMN MULTIMEDIA SALES AND SERVICES</t>
  </si>
  <si>
    <t>LOAD ALLOWANCE FOR FAD USE-1ST QUARTER 2021</t>
  </si>
  <si>
    <t>157</t>
  </si>
  <si>
    <t>LOAD ALLOWANCE FOR ORD USE</t>
  </si>
  <si>
    <t>158</t>
  </si>
  <si>
    <t>PHIC PREMIUM (ER SHARE) FOR FEBRUARY 2021</t>
  </si>
  <si>
    <t>159</t>
  </si>
  <si>
    <t>ADVANCES TO SDO'S RE: RCU PROFESSIONAL SERVICES FOR FEBRUARY 1-28, 2020</t>
  </si>
  <si>
    <t>160</t>
  </si>
  <si>
    <t>161</t>
  </si>
  <si>
    <t>162</t>
  </si>
  <si>
    <t>HR</t>
  </si>
  <si>
    <t>JULIETA B. OGOY</t>
  </si>
  <si>
    <t>REIM FOR THE PAYMENT OF REGISTRATION FEE FOR PUBLIC SERVICE VALUES IN TIMES OF ADVERSITIES FOR THE MONTH OF FEB. 2021</t>
  </si>
  <si>
    <t>163</t>
  </si>
  <si>
    <t>INITIAL SALARY AS TIDA COS UNDER NC PROGRAM FOR FEBRUARY, 2021</t>
  </si>
  <si>
    <t>164</t>
  </si>
  <si>
    <t>165</t>
  </si>
  <si>
    <t>PAYMENT FOR RAPID RCU STAFF FOR FEB 2021</t>
  </si>
  <si>
    <t>041A</t>
  </si>
  <si>
    <t>ENDING FEBRUARY 28, 2021</t>
  </si>
  <si>
    <t>RAPID GOP Cont.</t>
  </si>
  <si>
    <t>21-3</t>
  </si>
  <si>
    <t>166</t>
  </si>
  <si>
    <t>167</t>
  </si>
  <si>
    <t>168</t>
  </si>
  <si>
    <t>169</t>
  </si>
  <si>
    <t>LBP, F/O DTI-JOB ORDERS</t>
  </si>
  <si>
    <t>JOB-ORDERS FOR THE PERIOD FEBRUARY 16-28, 2021</t>
  </si>
  <si>
    <t>170</t>
  </si>
  <si>
    <t>HAZEL O. GALVE</t>
  </si>
  <si>
    <t>REIM OF TE RE: OTOP PH HUB AND E-COMMERCE PLATFORM OF DTI CARAGA IN ADS LAST JAN. 15 AND 29, 2021</t>
  </si>
  <si>
    <t>171</t>
  </si>
  <si>
    <t>172</t>
  </si>
  <si>
    <t>173</t>
  </si>
  <si>
    <t>174</t>
  </si>
  <si>
    <t>175</t>
  </si>
  <si>
    <t>176</t>
  </si>
  <si>
    <t>POSTPAID PLAN SUBSCRIPTION PER ACCOUNT NUMBER 65087463, JANUARY 16-FEB. 15, 2021</t>
  </si>
  <si>
    <t>177</t>
  </si>
  <si>
    <t>PETTY CASH FUND REPLENISHMENT FOR FEB 9-24, 2021</t>
  </si>
  <si>
    <t>178</t>
  </si>
  <si>
    <t>179</t>
  </si>
  <si>
    <t>PAYMENT FOR JO FOR FEBRUARY 16-28, 2021</t>
  </si>
  <si>
    <t>180</t>
  </si>
  <si>
    <t>ARMANDO G. TABID</t>
  </si>
  <si>
    <t>SALARIES FOR RAPID PCU ADS STAFF (DRIVER) FOR FEB 1-28, 2021</t>
  </si>
  <si>
    <t>181</t>
  </si>
  <si>
    <t>182</t>
  </si>
  <si>
    <t>183</t>
  </si>
  <si>
    <t>RATA FOR FEBRUARY 2021</t>
  </si>
  <si>
    <t>184</t>
  </si>
  <si>
    <t>NORMAN JHON G. BUTALON</t>
  </si>
  <si>
    <t xml:space="preserve">PAYMENT FOR JANUARY AND FEBRUARY 2021 JOB ORDER </t>
  </si>
  <si>
    <t>185</t>
  </si>
  <si>
    <t>BERNIE P. CURATO</t>
  </si>
  <si>
    <t>SALARIES FOR RAPID PCU ADN STAFF (DRIVER) FOR FEB 1-28, 2021</t>
  </si>
  <si>
    <t>186</t>
  </si>
  <si>
    <t>MERCADO'S SUDLANAN ATBP.</t>
  </si>
  <si>
    <t>PAYMENT FOR JOURNAL/PLANNER RE: 2021 CPD FUNCTIONAL TEAM MEETING LAST FEB. 2-3, 2021</t>
  </si>
  <si>
    <t>187</t>
  </si>
  <si>
    <t>188</t>
  </si>
  <si>
    <t>LAND TRANSPORTATION OFFICE</t>
  </si>
  <si>
    <t>MOTOR VEHICLE REGISTRATION RENEWAL-TOYOTA INNOVA</t>
  </si>
  <si>
    <t>MOTOR VEHICLE INSURANCE RENEWAL-TOYOTA INNOVA</t>
  </si>
  <si>
    <t>189</t>
  </si>
  <si>
    <t>REIMBURSEMENT OF 2021 PLANNER FOR IDD USE</t>
  </si>
  <si>
    <t>190</t>
  </si>
  <si>
    <t>PAYMENT FOR LOAD ALLOWANCE - IDD 1ST QUARTER OF 2021</t>
  </si>
  <si>
    <t>191</t>
  </si>
  <si>
    <t>ANECO, INC.</t>
  </si>
  <si>
    <t>PAYMENT FOR ELECTRICITY EXPENSE FOR OCT 20-NOV. 19, 2021</t>
  </si>
  <si>
    <t>192</t>
  </si>
  <si>
    <t>CABLE TV SUBSCRIPTION FOR JAN. 28-MAR 27, 2021</t>
  </si>
  <si>
    <t>193</t>
  </si>
  <si>
    <t>RECORDS ROOM RENTAL FOR MARCH 2021</t>
  </si>
  <si>
    <t>194</t>
  </si>
  <si>
    <t>195</t>
  </si>
  <si>
    <t>KIMSON COMMERCIAL</t>
  </si>
  <si>
    <t>196</t>
  </si>
  <si>
    <t>COMPAÑERO COMMERCIAL</t>
  </si>
  <si>
    <t>197</t>
  </si>
  <si>
    <t>TAMMY EMPORIUM</t>
  </si>
  <si>
    <t>198</t>
  </si>
  <si>
    <t>INNOVE COMMUNICATIONS, INC.</t>
  </si>
  <si>
    <t>ZOOM APPLICATION SUBSCRIPTION FOR NOV. 2020 TO JAN 2021</t>
  </si>
  <si>
    <t>199</t>
  </si>
  <si>
    <t>REIM FOR THE PAYMENT FO ALCOHOL SUPPLIES</t>
  </si>
  <si>
    <t>200</t>
  </si>
  <si>
    <t>ROAD WAY AUTO SUPPLY AND CAR ACCESSORIES</t>
  </si>
  <si>
    <t>VEHICLE REAR BUMPER FOR TOYOTA HILUX FOR DTI CARAGA MV</t>
  </si>
  <si>
    <t>201</t>
  </si>
  <si>
    <t>EDEN D. BURNEA</t>
  </si>
  <si>
    <t>202</t>
  </si>
  <si>
    <t>EFREN J. TUBA-ON</t>
  </si>
  <si>
    <t>PAYMENT FOR JO FOR JANUARY AND FEBRUARY 2021</t>
  </si>
  <si>
    <t>203</t>
  </si>
  <si>
    <t>AL A. OLIVERIO</t>
  </si>
  <si>
    <t>204</t>
  </si>
  <si>
    <t>CSC TRAINING FUND</t>
  </si>
  <si>
    <t>REGISTRATION FEE FOR ONLINE COURSE ON COACHING AND MENTORING ON APRIL 20, 27 AND 30, 2021</t>
  </si>
  <si>
    <t>PAYMENT FOR MEALS RE: 2021 CPD FTM LAST FEB. 2-3, 2021</t>
  </si>
  <si>
    <t>PAYMENT FOR MEALS RE: GENDERWEE SUBCOMMITTEE MEETING LAST FEB. 5, 2021</t>
  </si>
  <si>
    <t>PAYMENT FOR TONERS FOR FAD USE - 1ST QUARTER</t>
  </si>
  <si>
    <t>BUTUAN GLASS SUPPLY, INC.</t>
  </si>
  <si>
    <t>PAYMENT FOR FROSTED STICKER FOR IDD OFFICE</t>
  </si>
  <si>
    <t>REIMBURSEMENT, TOKENS/AWARDS/PRIZES RE: IDD FUNCTIONAL FTM 1ST QTR MEETING LAST JAN. 26, 2021</t>
  </si>
  <si>
    <t>MERCADO'S SUDLANAN ATBP</t>
  </si>
  <si>
    <t>PAYMENT FOR CUSTOMIZED 2021 PLANNER</t>
  </si>
  <si>
    <t>NEW ARISTOCRAT ENTERPRISES, INC.</t>
  </si>
  <si>
    <t>PAYMENT FOR FLUSH LOCKS AND REINSTALLATION OF GLASS BOARD FOR DTI-CARAGA OFFICE USE</t>
  </si>
  <si>
    <t>PAYMENT FOR LOAD ALLOWANCE FOR FAD USE - 1ST QUARTER 2021</t>
  </si>
  <si>
    <t>PAYMENT FOR FUEL CONSUMPTION FOR JAN 1-31, 2021</t>
  </si>
  <si>
    <t>PAYMENT FOR DRINKING WATER FOR FEB 2021</t>
  </si>
  <si>
    <t>JRS BUSINESS CORPORATION</t>
  </si>
  <si>
    <t>PAYMENT FOR COURIER SERVICES FOR THE MONTH OF JANUARY 2021</t>
  </si>
  <si>
    <t>PAYMENT FOR NEWSPAPER SUBSCRIPTION FOR FEB 2021</t>
  </si>
  <si>
    <t>D.O PLAZA HOLDINGS CORP.</t>
  </si>
  <si>
    <t>PAYMENT FOR OFFICE RENTAL FOR THE MONTH OF MARCH 2021</t>
  </si>
  <si>
    <t>205</t>
  </si>
  <si>
    <t>206</t>
  </si>
  <si>
    <t>GAD</t>
  </si>
  <si>
    <t>207</t>
  </si>
  <si>
    <t>208</t>
  </si>
  <si>
    <t xml:space="preserve"> FAD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</si>
  <si>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</si>
  <si>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</si>
  <si>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</si>
  <si>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</si>
  <si>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</si>
  <si>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</si>
  <si>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</si>
  <si>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</si>
  <si>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</si>
  <si>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</si>
  <si>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MIKE ARIEL P. PLAZA</t>
  </si>
  <si>
    <t>REIMBURSMENT, FOOD AND NON-FOOD PRODUCTS RE: 2020 DTI PASALOVE YOUTUBE PROJECT</t>
  </si>
  <si>
    <t>CRESAL GRACE C. MALABANAN</t>
  </si>
  <si>
    <t>219</t>
  </si>
  <si>
    <t>SALARIES AND ALLOWANCES OF REGULAR EMPLOYEES FOR THE MONTH OF MARCH 2021</t>
  </si>
  <si>
    <t>220</t>
  </si>
  <si>
    <t>221</t>
  </si>
  <si>
    <t>222</t>
  </si>
  <si>
    <t>223</t>
  </si>
  <si>
    <t>224</t>
  </si>
  <si>
    <t>SALARIES AND ALLOWANCES  FOR THE MONTH OF MARCH 2021 - CARP</t>
  </si>
  <si>
    <t>225</t>
  </si>
  <si>
    <t>226</t>
  </si>
  <si>
    <t>227</t>
  </si>
  <si>
    <t>SALARIES AND ALLOWANCES  FOR NC STAFF FOR THE MONTH OF MARCH 2021</t>
  </si>
  <si>
    <t>228</t>
  </si>
  <si>
    <t>229</t>
  </si>
  <si>
    <t>230</t>
  </si>
  <si>
    <t>231</t>
  </si>
  <si>
    <t>SALARIES AND ALLOWANCES  FOR NC STAFF FOR THE MONTH OF FERUARY 2021</t>
  </si>
  <si>
    <t>232</t>
  </si>
  <si>
    <t>233</t>
  </si>
  <si>
    <t>234</t>
  </si>
  <si>
    <t>235</t>
  </si>
  <si>
    <t>COA</t>
  </si>
  <si>
    <t>236</t>
  </si>
  <si>
    <t>SALARIES AND ALLOWANCES  FOR NC STAFF FOR THE MONTH OF FEBRUARY 2021</t>
  </si>
  <si>
    <t>237</t>
  </si>
  <si>
    <t>LOAD ALLOWANCE FOR CPD USE-1ST QUARTER</t>
  </si>
  <si>
    <t>238</t>
  </si>
  <si>
    <t>239</t>
  </si>
  <si>
    <t>OFFICE SUPPLIES FOR CPD USE - 1ST QUARTER</t>
  </si>
  <si>
    <t>240</t>
  </si>
  <si>
    <t>241</t>
  </si>
  <si>
    <t>242</t>
  </si>
  <si>
    <t>243</t>
  </si>
  <si>
    <t>FT, SUPPORT TO AREAS AFFECTED BY TS AURING</t>
  </si>
  <si>
    <t>244</t>
  </si>
  <si>
    <t>ERMARK TRADING</t>
  </si>
  <si>
    <t>VEHICLE TIRES FOR DTI CARAGA MV MAINTENANCE</t>
  </si>
  <si>
    <t>245</t>
  </si>
  <si>
    <t>REGISTRATION FEE FOR PUB;LIC SERVICE VALUES OF ADVERSITIES FOR THE MONTH OF JUNE 2021</t>
  </si>
  <si>
    <t>246</t>
  </si>
  <si>
    <t>COURIER SERVICES FOR THE MONTH OF FEBRUARY 2021</t>
  </si>
  <si>
    <t>247</t>
  </si>
  <si>
    <t>248</t>
  </si>
  <si>
    <t>249</t>
  </si>
  <si>
    <t>250</t>
  </si>
  <si>
    <t>251</t>
  </si>
  <si>
    <t>MEALS DURING THE FAD FTM LAST JANUARY 25, 2021</t>
  </si>
  <si>
    <t>252</t>
  </si>
  <si>
    <t>SUPPLIES AND MATERIALS RE: 2021 MEDIA AND CSO BRIEFING LAST FEB. 3, 2021</t>
  </si>
  <si>
    <t>253</t>
  </si>
  <si>
    <t>HI-5 SIGNAGES FABRICATOR</t>
  </si>
  <si>
    <t>TARPAULIN PRINTING RE: 2021 MEDIA AND CSO BRIEFING LAST FEB. 3, 2021</t>
  </si>
  <si>
    <t>254</t>
  </si>
  <si>
    <t>ALMONT INLAND RESORT</t>
  </si>
  <si>
    <t>MEALS AND VENUE RE: 2021 MEDIA AND CSO BRIEFING LAST FEB. 3, 2021</t>
  </si>
  <si>
    <t>255</t>
  </si>
  <si>
    <t>CY 2021 CLOTHING ALLOWANCE</t>
  </si>
  <si>
    <t>256</t>
  </si>
  <si>
    <t>257</t>
  </si>
  <si>
    <t>258</t>
  </si>
  <si>
    <t>259</t>
  </si>
  <si>
    <t>260</t>
  </si>
  <si>
    <t>261</t>
  </si>
  <si>
    <t>POST PAID PLAN SUBSCRIPTION 091770054687 FOR JAN. 13-FEB. 2021</t>
  </si>
  <si>
    <t>50102040 01 - Clothing/Uniform Allowance - Civilian (715)</t>
  </si>
  <si>
    <t>262</t>
  </si>
  <si>
    <t>PRINCE WAREHOUSE CLUB, INC.</t>
  </si>
  <si>
    <t>LIVELIHOOD KITS FOR AFFECTED MSME'S BY TS AURING IN TANDAG SDS</t>
  </si>
  <si>
    <t>263</t>
  </si>
  <si>
    <t>FUEL CONSUMPTION RE: PICK UP DTI CARAGA MV (RAPID) IN CDO</t>
  </si>
  <si>
    <t>264</t>
  </si>
  <si>
    <t>SALARIES FOR RAPID PCU ADN STAFF FOR MARCH 1-15, 2021</t>
  </si>
  <si>
    <t>265</t>
  </si>
  <si>
    <t>SALARIES FOR RAPID RCU STAFF FOR MARCH 1-15, 2021</t>
  </si>
  <si>
    <t>266</t>
  </si>
  <si>
    <t>REG FEE FOR ONLINE COURSE ON BASIC CUSTOMER SERVICE SKILLS (BCSS) ON MAY 2021</t>
  </si>
  <si>
    <t>267</t>
  </si>
  <si>
    <t>EXTRAORDINARY EXPENSES FOR MARCH 2021</t>
  </si>
  <si>
    <t>268</t>
  </si>
  <si>
    <t>FEVI SILVOSA</t>
  </si>
  <si>
    <t>JO FOR THE PERIOD MARCH 1-15</t>
  </si>
  <si>
    <t>269</t>
  </si>
  <si>
    <t>COMPUTER ACCESORIES FOR IDD USE</t>
  </si>
  <si>
    <t>270</t>
  </si>
  <si>
    <t>MID-TOWN COMPUTERS AND SERVICES</t>
  </si>
  <si>
    <t>271</t>
  </si>
  <si>
    <t>272</t>
  </si>
  <si>
    <t>273</t>
  </si>
  <si>
    <t>274</t>
  </si>
  <si>
    <t>275</t>
  </si>
  <si>
    <t>276</t>
  </si>
  <si>
    <t>POST PAID PLAN SUBSCRIPTION 09177054627 - 37487363 FOR OCT. 13-DEC. 12, 2020</t>
  </si>
  <si>
    <t>OFFICE SUPPLIES FOR IDD USE - 1ST QUARTER</t>
  </si>
  <si>
    <t>PAYMENT FOR JO FOR MARCH 1-15, 2021</t>
  </si>
  <si>
    <t>FUEL CONSUMPTION FOR FEB. 2021</t>
  </si>
  <si>
    <t>PRINTING SERVICES RE: DSWD AND POPCOM RELATED ACTIVITIES</t>
  </si>
  <si>
    <t>277</t>
  </si>
  <si>
    <t>CREATE FOOD INC.</t>
  </si>
  <si>
    <t>TOKENS RE: WOMEN HONOREES/ENTREPRENEURS</t>
  </si>
  <si>
    <t>278</t>
  </si>
  <si>
    <t>PAYMENT FOR POST PAID PLAN SUBSCRIPTION, 09178656567, FOR SDD USE FOR FEB 2021</t>
  </si>
  <si>
    <t>279</t>
  </si>
  <si>
    <t>280</t>
  </si>
  <si>
    <t>281</t>
  </si>
  <si>
    <t>PAYMENT FOR POST PAID PLAN SUBSCRIPTION, 09177036798, FOR CPD USE FOR FEB 2021</t>
  </si>
  <si>
    <t>282</t>
  </si>
  <si>
    <t>REIM FOR CASH GIFT OF REV. ORBUS RE: RAPID MV BLESSINGS</t>
  </si>
  <si>
    <t>283</t>
  </si>
  <si>
    <t>REIM FOR FLOWERS FOR SUCCESSFUL WOMAN ENTREP</t>
  </si>
  <si>
    <t>284</t>
  </si>
  <si>
    <t>PAYMENT FOR PLAQUES FOR WOMAN ENTREP RE: 2021 WOMENS SUMMIT</t>
  </si>
  <si>
    <t>285</t>
  </si>
  <si>
    <t xml:space="preserve">MEALS RE: 2021 WOMEN'S MONTH SUMMIT </t>
  </si>
  <si>
    <t>286</t>
  </si>
  <si>
    <t>PRINTING SERVICES RE: NATIONAL WOMENS MONTH CELEBRATION</t>
  </si>
  <si>
    <t>287</t>
  </si>
  <si>
    <t>LBP F/O CARP EMPLOYEES</t>
  </si>
  <si>
    <t>2021 CLOTHING ALLOWANCE</t>
  </si>
  <si>
    <t>288</t>
  </si>
  <si>
    <t>SALARIES FOR RAPID PCU ADS STAFF FOR MARCH 1-15, 2021</t>
  </si>
  <si>
    <t>289</t>
  </si>
  <si>
    <t>SALARIES FOR RAPID PCU SDS STAFF FOR MARCH 1-15, 2021</t>
  </si>
  <si>
    <t>290</t>
  </si>
  <si>
    <t>COLUMBIA COMPUTER CENTER, INC.</t>
  </si>
  <si>
    <t>PAYMENT OF DESKTOP COMPUTER FOR ORD USE</t>
  </si>
  <si>
    <t>291</t>
  </si>
  <si>
    <t>REIM FOR JANITORIAL SUPPLIES</t>
  </si>
  <si>
    <t>292</t>
  </si>
  <si>
    <t>BUREAU OF TREASURY</t>
  </si>
  <si>
    <t>BOND PREMIUM - RENEWAL OF APPLICATION FOR ACCOUNTABLE OFFICERS - MJSD</t>
  </si>
  <si>
    <t>293</t>
  </si>
  <si>
    <t xml:space="preserve">CPD </t>
  </si>
  <si>
    <t>CA FOR THE CONDUCT OF FTL ENFORCEMENT AND MONITORING IN ADS ON APRIL 6-7, 2021</t>
  </si>
  <si>
    <t>294</t>
  </si>
  <si>
    <t>LOAD ALLOWANCE FOR SDD USE-1ST QUARTER OF 2021</t>
  </si>
  <si>
    <t>295</t>
  </si>
  <si>
    <t>OFFICE SUPPLIES - GLASS BOARD FOR IDD USE</t>
  </si>
  <si>
    <t>296</t>
  </si>
  <si>
    <t>TARPAULIN PRINTING RE: 2021  WORLD CONSUMER RIGHTS DAY</t>
  </si>
  <si>
    <t>297</t>
  </si>
  <si>
    <t>JT AUTO SHOP</t>
  </si>
  <si>
    <t>REPAIR AND MAINTENANCE OF MOTOR VEHICLE - INNOVA</t>
  </si>
  <si>
    <t>298</t>
  </si>
  <si>
    <t>PETTY CASH FUND REPLENISHMENT - MARCH 3-22, 2021</t>
  </si>
  <si>
    <t>299</t>
  </si>
  <si>
    <t>300</t>
  </si>
  <si>
    <t>301</t>
  </si>
  <si>
    <t>302</t>
  </si>
  <si>
    <t>303</t>
  </si>
  <si>
    <t>ADVANCES TO REGULAR MOOE FOR MAR-MAY 2021</t>
  </si>
  <si>
    <t>Fund Utilization tally</t>
  </si>
  <si>
    <t>304</t>
  </si>
  <si>
    <t>FT, LSP-NSB IMPLEMENTATION FOR THE JANUARY TO SEPT. 2021</t>
  </si>
  <si>
    <t>305</t>
  </si>
  <si>
    <t>CPD MUST</t>
  </si>
  <si>
    <t xml:space="preserve">FT, CPD IMPLEMENTATION FOR 2ND AND 3RD QUARTER OF 2021 </t>
  </si>
  <si>
    <t>PD, DTI-SDN</t>
  </si>
  <si>
    <t>OIC, DTI-PDI</t>
  </si>
  <si>
    <t>306</t>
  </si>
  <si>
    <t>307</t>
  </si>
  <si>
    <t xml:space="preserve">FT, CPD IMPLEMENTATION FOR 1ST, 2ND AND 3RD QUARTER OF 2021 </t>
  </si>
  <si>
    <t>308</t>
  </si>
  <si>
    <t>FT, SSF MOOE - 1ST TO 3RD QUARTER OF 2021</t>
  </si>
  <si>
    <t>309</t>
  </si>
  <si>
    <t>310</t>
  </si>
  <si>
    <t>311</t>
  </si>
  <si>
    <t>312</t>
  </si>
  <si>
    <t>313</t>
  </si>
  <si>
    <t>PAYMENT FOR JO FOR MARCH 16-31, 2021</t>
  </si>
  <si>
    <t>314</t>
  </si>
  <si>
    <t>POSTPAID PLAN FOR JANUARY 2021</t>
  </si>
  <si>
    <t>315</t>
  </si>
  <si>
    <t>SDD MUST</t>
  </si>
  <si>
    <t>FT, SDD MUST FOR 1ST - 3RD QUARTER OF 2021</t>
  </si>
  <si>
    <t>316</t>
  </si>
  <si>
    <t>317</t>
  </si>
  <si>
    <t>318</t>
  </si>
  <si>
    <t>319</t>
  </si>
  <si>
    <t>320</t>
  </si>
  <si>
    <t>BALANGHAI HOTEL</t>
  </si>
  <si>
    <t>MEALS RE: 8TH DAR-DTI-DOST SYNCHRONIZED ASSESSMENT AND PLANNING SESSION LAST MARCH 1-2, 2021</t>
  </si>
  <si>
    <t>321</t>
  </si>
  <si>
    <t>LYZA D. TRAPAL</t>
  </si>
  <si>
    <t>REIM FOR THE PURCHASE OF LIVELIHOOD KITS RE: BEST BOOTCAMP (3A) GRADUATES LAST FEB. 19, 2021</t>
  </si>
  <si>
    <t>322</t>
  </si>
  <si>
    <t>ELECTRICITY FOR DEC. 20-JAN. 19, 2021</t>
  </si>
  <si>
    <t>323</t>
  </si>
  <si>
    <t>JO FOR MARCH 16-31, 2021</t>
  </si>
  <si>
    <t>324</t>
  </si>
  <si>
    <t>MANDAUE FOAM</t>
  </si>
  <si>
    <t>MOBILE PEDESTAL FOR ORD USE</t>
  </si>
  <si>
    <t>325</t>
  </si>
  <si>
    <t>POST PAID PLAN SUBSCRIPTION, 65087463 FOR FEB. 16-MAR. 15, 2021</t>
  </si>
  <si>
    <t>326</t>
  </si>
  <si>
    <t>PRPCUREMENT SERVICE</t>
  </si>
  <si>
    <t>OFFICE SUPPLIES FOR SDD USE-1ST QUARTER 2021</t>
  </si>
  <si>
    <t>327</t>
  </si>
  <si>
    <t>328</t>
  </si>
  <si>
    <t>OFFICE RENTAL FOR JANUARY 2021</t>
  </si>
  <si>
    <t>329</t>
  </si>
  <si>
    <t>WATER CONSUMPTION FOR FEB. 2021</t>
  </si>
  <si>
    <t>330</t>
  </si>
  <si>
    <t>ELECTRICITY FOR NOV. 20-DEC. 19, 2020</t>
  </si>
  <si>
    <t>331</t>
  </si>
  <si>
    <t>FT, 2021 GAD ACTIVITIES</t>
  </si>
  <si>
    <t>332</t>
  </si>
  <si>
    <t>333</t>
  </si>
  <si>
    <t>FT, 2021 WOMEN'S SUMMIT</t>
  </si>
  <si>
    <t>334</t>
  </si>
  <si>
    <t>335</t>
  </si>
  <si>
    <t>REIM OF EXCESS EXPENSES FROM CASH ADVANCE OF VARIOUS EMPLOYEES</t>
  </si>
  <si>
    <t>336</t>
  </si>
  <si>
    <t>PAYMENT FOR SALARIES FOR RAPID PCU SDS STAFF (DRIVER) FOR MARCH 1-15, 2021</t>
  </si>
  <si>
    <t>337</t>
  </si>
  <si>
    <t>SERVICES RENDERED FOR JOB ORDERS FOR MARCH 16-31, 2021</t>
  </si>
  <si>
    <t>338</t>
  </si>
  <si>
    <t>339</t>
  </si>
  <si>
    <t>FT, CARP IMPLEMENTATION FOR THE 1ST - 3RD QUARTER OF 2021</t>
  </si>
  <si>
    <t>340</t>
  </si>
  <si>
    <t>FT, NC IMPLEMENTATION FOR FEB. TO APRIL 2021</t>
  </si>
  <si>
    <t>341</t>
  </si>
  <si>
    <t>342</t>
  </si>
  <si>
    <t xml:space="preserve">FT, OTOP NG FOR FEB TO APRIL 2021 </t>
  </si>
  <si>
    <t>343</t>
  </si>
  <si>
    <t>344</t>
  </si>
  <si>
    <t>345</t>
  </si>
  <si>
    <t>346</t>
  </si>
  <si>
    <t>ADVANCES TO IDD REGULAR MOOE 002 FOR 2ND AND 3RD QUARTER 2021</t>
  </si>
  <si>
    <t>347</t>
  </si>
  <si>
    <t>348</t>
  </si>
  <si>
    <t>IDD MUST</t>
  </si>
  <si>
    <t>349</t>
  </si>
  <si>
    <t>ADVANCES TO LSP-NSB IMPLEMENTATION FOR 1ST QTR 2021</t>
  </si>
  <si>
    <t>350</t>
  </si>
  <si>
    <t>PAYMENT FOR POST-PAID SUBSCRIPTION, 09177054627 - 37487363, FOR THE FEB 13 - MAR 12, 2021</t>
  </si>
  <si>
    <t>351</t>
  </si>
  <si>
    <t>352</t>
  </si>
  <si>
    <t>REIMBURSEMENT, QUARTER ALLOWANCE FOR DEC. 12-  MAR 15, 2021</t>
  </si>
  <si>
    <t>REIMBURSEMENT, LOAD ALLOWANCE FOR NIOV. 24 - MAR 23, 2021</t>
  </si>
  <si>
    <t>353</t>
  </si>
  <si>
    <t>ENDING MARCH 31, 2021</t>
  </si>
  <si>
    <t>NEGOSYO CENTER-CO</t>
  </si>
  <si>
    <t>50211990 00 - Other Professional Services (799)</t>
  </si>
  <si>
    <t>50299030 00 - Representation Expenses (783)</t>
  </si>
  <si>
    <t>50201010 00 - Traveling Expenses - Local (751)</t>
  </si>
  <si>
    <t>50202010 00 - Training Expenses (753)</t>
  </si>
  <si>
    <t>50203010 00 - Office Supplies Expenses (755)</t>
  </si>
  <si>
    <t>50205020 01 - Telephone Expenses - Mobile  (773)</t>
  </si>
  <si>
    <t>50211030 00 - Consultancy Services (793)</t>
  </si>
  <si>
    <t>50299990 99 - Other Maintenance and Operating Expenses (969)</t>
  </si>
  <si>
    <t>50213050 99 - Other Machinery and Equipment (840)</t>
  </si>
  <si>
    <t>SSF Total</t>
  </si>
  <si>
    <t>GARO</t>
  </si>
  <si>
    <t>SAA/Sub-ARO</t>
  </si>
  <si>
    <t>Fund Cluster Code</t>
  </si>
  <si>
    <t>Financing Source Code</t>
  </si>
  <si>
    <t>Authorization Code</t>
  </si>
  <si>
    <t>Fund Classification Code</t>
  </si>
  <si>
    <t>Legend: those columns highlighted in yellow means these are required fields, while those with no highlight serves for reference only</t>
  </si>
  <si>
    <t xml:space="preserve">  </t>
  </si>
  <si>
    <t xml:space="preserve">Land Bank of the Philippines </t>
  </si>
  <si>
    <t>Enable</t>
  </si>
  <si>
    <t>as is</t>
  </si>
  <si>
    <t>#</t>
  </si>
  <si>
    <t>ID</t>
  </si>
  <si>
    <t>Account Name</t>
  </si>
  <si>
    <t>TIN</t>
  </si>
  <si>
    <t>Registered Name</t>
  </si>
  <si>
    <t>Contact Person</t>
  </si>
  <si>
    <t>Registered Address</t>
  </si>
  <si>
    <t>Enable/ disable</t>
  </si>
  <si>
    <t>Change to</t>
  </si>
  <si>
    <t>OIC, DTI-AGUSAN DEL SUR</t>
  </si>
  <si>
    <t>(not set)</t>
  </si>
  <si>
    <t>Disable</t>
  </si>
  <si>
    <t>PD, DTI-SURIGAO DEL SUR</t>
  </si>
  <si>
    <t>9497 BUSINESS VENTURES CORP.</t>
  </si>
  <si>
    <t>CROSS LUG TRADING</t>
  </si>
  <si>
    <t>DREAMCO</t>
  </si>
  <si>
    <t>Sub30 Events and Print</t>
  </si>
  <si>
    <t>JWL Sourcing Group, Inc.</t>
  </si>
  <si>
    <t>GSIS- Butuan City</t>
  </si>
  <si>
    <t>OIC, DTI- Agusan del Sur</t>
  </si>
  <si>
    <t>OIC, DTI- SDN</t>
  </si>
  <si>
    <t>SUNLIFE OF CANADA PHILIPPINES, INC.</t>
  </si>
  <si>
    <t>GLAD, MPC</t>
  </si>
  <si>
    <t>Bureau of Treasury</t>
  </si>
  <si>
    <t>SUREDEV COOPERATIVE</t>
  </si>
  <si>
    <t>DTI-EMPLOYEES UNION</t>
  </si>
  <si>
    <t>DTI-MUTUAL DEATH BENEFIT FUND</t>
  </si>
  <si>
    <t>DTI-PROVIDENT FUND</t>
  </si>
  <si>
    <t>PD, DTI Surigao del Sur</t>
  </si>
  <si>
    <t>New Aristocrat Enterprises</t>
  </si>
  <si>
    <t>Fil Products Service TV Butuan, Inc.</t>
  </si>
  <si>
    <t>Busa Interbiz Center</t>
  </si>
  <si>
    <t>JMN Multimedia Sales &amp; Services</t>
  </si>
  <si>
    <t>PHIC</t>
  </si>
  <si>
    <t>Need Ink Sales and Services</t>
  </si>
  <si>
    <t>HOPE RADIO PHILS., DXHR, INC.</t>
  </si>
  <si>
    <t>PD, DTI-AD N</t>
  </si>
  <si>
    <t>PD, DTI-DTI</t>
  </si>
  <si>
    <t>Tammy Emporium</t>
  </si>
  <si>
    <t>HOPE RADIO PHILIPPINES DXHR, INC.</t>
  </si>
  <si>
    <t>PD , DTI-PDI</t>
  </si>
  <si>
    <t>PD , DTI-ADN</t>
  </si>
  <si>
    <t>PD , DTI-SDS</t>
  </si>
  <si>
    <t>SINOGRAPIKO ART SERVICES</t>
  </si>
  <si>
    <t>GLAD MPC</t>
  </si>
  <si>
    <t>PHIC- Butuan City</t>
  </si>
  <si>
    <t>SUREDEV COOP</t>
  </si>
  <si>
    <t>BUTUAN EXPRESS HARDWARE WORKSHOP, INC.</t>
  </si>
  <si>
    <t>GSIS-BUTUAN</t>
  </si>
  <si>
    <t>RAMIL J. LEONGAS</t>
  </si>
  <si>
    <t>WYN A. PALMA</t>
  </si>
  <si>
    <t>EDUARDO Y. CANTUTAY</t>
  </si>
  <si>
    <t>FOUNDATION FOR RURAL ENTERPRISE AND ECOLOGY DEVELOPMENT FOR MINDANAO (FREEDOM), INC.</t>
  </si>
  <si>
    <t>LANDBANK OF THE PHILIPPINES</t>
  </si>
  <si>
    <t>MARIBETH V. ESTACION</t>
  </si>
  <si>
    <t>JOSE T. BARON, JR.</t>
  </si>
  <si>
    <t>ELMER M. NATAD</t>
  </si>
  <si>
    <t>PLDT INC.</t>
  </si>
  <si>
    <t>LBP, F/O DTI-RO</t>
  </si>
  <si>
    <t>LBP, F/O DTI-AD N</t>
  </si>
  <si>
    <t>LBP, F/O DTI-ADS</t>
  </si>
  <si>
    <t>LBP, F/O DTI-SDS</t>
  </si>
  <si>
    <t>LBP, F/O DTI-PDI</t>
  </si>
  <si>
    <t>LBP, F/O DTI-CARP</t>
  </si>
  <si>
    <t>APPLE R. MERZA</t>
  </si>
  <si>
    <t>VISAYAN NORTHSTAR ENTERPRISES</t>
  </si>
  <si>
    <t>Elaine Food Center</t>
  </si>
  <si>
    <t>MARION T. MONROID</t>
  </si>
  <si>
    <t>MELPHOMENIE C. MAGTIBAY</t>
  </si>
  <si>
    <t>CHAMAINE B. ARELLANO</t>
  </si>
  <si>
    <t>MARIA FE FAITH L. SILVANO</t>
  </si>
  <si>
    <t>BERFAB ARTS AND CRAFTS MANUFACTURING</t>
  </si>
  <si>
    <t>MAHANEH GARMENTS</t>
  </si>
  <si>
    <t>COLUMBIA COMPUTER CENTER</t>
  </si>
  <si>
    <t>MA. TERESITA DIMACULANGAN</t>
  </si>
  <si>
    <t>MAYLENE S. NAVALTA</t>
  </si>
  <si>
    <t>KAMILLE ANGELIE N. MABANO</t>
  </si>
  <si>
    <t>STORIES - J. ESTORE DIGITAL SERVICES</t>
  </si>
  <si>
    <t>enable</t>
  </si>
  <si>
    <t>DATALAN COMMUNICATION SERVICES</t>
  </si>
  <si>
    <t>COLLIDEFILMS VIDEO PRODUCTION</t>
  </si>
  <si>
    <t>John Paul Lanot</t>
  </si>
  <si>
    <t>JCB EXPRESS SOLUTION</t>
  </si>
  <si>
    <t>VIRGIN MARY A. NICOLAS</t>
  </si>
  <si>
    <t>ANDRY K. LIM</t>
  </si>
  <si>
    <t>RECON TRADING</t>
  </si>
  <si>
    <t>NEW ARISTOCRAT ENTERPRISES</t>
  </si>
  <si>
    <t>LBP, F/O DTI- Job Orders</t>
  </si>
  <si>
    <t>Rad's Enterprises</t>
  </si>
  <si>
    <t>KIM BRYAN ASIS</t>
  </si>
  <si>
    <t>JOHN ONES GALLEGO</t>
  </si>
  <si>
    <t>JOLIROSE CALLANTA</t>
  </si>
  <si>
    <t>CECILE BUSTAMANTE</t>
  </si>
  <si>
    <t>ARNOLD SUAYBAGUIO</t>
  </si>
  <si>
    <t>APRIL A. DABALOS</t>
  </si>
  <si>
    <t>ANNE MARIE B. FRANCISCO</t>
  </si>
  <si>
    <t>RONALD SOLIS</t>
  </si>
  <si>
    <t>DOK ALTERNATIBO BROTHERHOOD INVESTORS GUILD CONSUMER COOPERATIVE</t>
  </si>
  <si>
    <t>INCA PHILIPPINES, INC.</t>
  </si>
  <si>
    <t>DEVELOPMENT DIMENSIONS INTERNATIONAL PHILS., INC.</t>
  </si>
  <si>
    <t>MAXIMO YAP</t>
  </si>
  <si>
    <t>VANGUARD ASSESSMENT AND BEHAVIORAL DYNAMICS INTERNATIONAL CORP.</t>
  </si>
  <si>
    <t>LIFEWORKS PRINTHUB</t>
  </si>
  <si>
    <t>VIRGILIO ESPELETA</t>
  </si>
  <si>
    <t>FRITZIE ROSE ILAGAN</t>
  </si>
  <si>
    <t>LBP, F/O DTI-SDN</t>
  </si>
  <si>
    <t>FOR THE MONTH OF DECEMBER 2020</t>
  </si>
  <si>
    <t>FOR THE MONTH OF DECEMBER, 2019</t>
  </si>
  <si>
    <t>Tidalgo, Gay A.</t>
  </si>
  <si>
    <t>RHOSALLEE V. ESPINOZA</t>
  </si>
  <si>
    <t>Ma. Malen B. Catamora</t>
  </si>
  <si>
    <t>Jumar H. Llorente</t>
  </si>
  <si>
    <t>ATOY PAINT CENTER</t>
  </si>
  <si>
    <t>HDMF-Butuan City</t>
  </si>
  <si>
    <t>TOYOTA BUTUAN CITY</t>
  </si>
  <si>
    <t>Maribel P. Timogan</t>
  </si>
  <si>
    <t>A &amp; C Yelo Submarine Corporation</t>
  </si>
  <si>
    <t>PD, DTI-ADS</t>
  </si>
  <si>
    <t>0367176601</t>
  </si>
  <si>
    <t xml:space="preserve">ACABO, REY B.             </t>
  </si>
  <si>
    <t>0367007516</t>
  </si>
  <si>
    <t xml:space="preserve">ALQUIZAR, RUEL P.         </t>
  </si>
  <si>
    <t>0367007559</t>
  </si>
  <si>
    <t xml:space="preserve">ANDUYAN, ANNETTE F.       </t>
  </si>
  <si>
    <t>0367135174</t>
  </si>
  <si>
    <t xml:space="preserve">BURNEA, EDEN D.           </t>
  </si>
  <si>
    <t>0367138700</t>
  </si>
  <si>
    <t xml:space="preserve">CORVERA, BANAWE B.        </t>
  </si>
  <si>
    <t>0367135204</t>
  </si>
  <si>
    <t xml:space="preserve">CURATO, AVELINO JR. A.    </t>
  </si>
  <si>
    <t>0367135182</t>
  </si>
  <si>
    <t xml:space="preserve">ESTAREJA, MARIA NUNILA L. </t>
  </si>
  <si>
    <t>0367007583</t>
  </si>
  <si>
    <t xml:space="preserve">FAELNAR, JASMIN B.        </t>
  </si>
  <si>
    <t>0367064781</t>
  </si>
  <si>
    <t>GAMBET-MINGLANA, ELYNUR H.</t>
  </si>
  <si>
    <t>0367137363</t>
  </si>
  <si>
    <t xml:space="preserve">GENERAL, ELMER A.         </t>
  </si>
  <si>
    <t>0367019484</t>
  </si>
  <si>
    <t xml:space="preserve">GONZAGA, ARCILY C.        </t>
  </si>
  <si>
    <t>0367133147</t>
  </si>
  <si>
    <t xml:space="preserve">GORGONIO, RALPH O.        </t>
  </si>
  <si>
    <t>0367135220</t>
  </si>
  <si>
    <t xml:space="preserve">GULLE, FRITZIE ROSE L.    </t>
  </si>
  <si>
    <t>0367023147</t>
  </si>
  <si>
    <t xml:space="preserve">DOLENDO, MARSON JAN S.    </t>
  </si>
  <si>
    <t>0366363726</t>
  </si>
  <si>
    <t xml:space="preserve">FELIAS, TRYZTAN IAN A.    </t>
  </si>
  <si>
    <t>0367007524</t>
  </si>
  <si>
    <t xml:space="preserve">JAMERO, ERNESTO O.        </t>
  </si>
  <si>
    <t>0367100613</t>
  </si>
  <si>
    <t xml:space="preserve">LAGAS, ANA ROSELYN C.     </t>
  </si>
  <si>
    <t>0367053577</t>
  </si>
  <si>
    <t xml:space="preserve">LEONGAS, RAMIL J.         </t>
  </si>
  <si>
    <t>0367027649</t>
  </si>
  <si>
    <t xml:space="preserve">LUMONGSOD, RIECHELLE S.   </t>
  </si>
  <si>
    <t>0977004985</t>
  </si>
  <si>
    <t xml:space="preserve">MACHECA, IRENE L.         </t>
  </si>
  <si>
    <t>0367140690</t>
  </si>
  <si>
    <t xml:space="preserve">MANTILLA, IRA S.          </t>
  </si>
  <si>
    <t>0367019875</t>
  </si>
  <si>
    <t xml:space="preserve">OGOY, JULIETA B.          </t>
  </si>
  <si>
    <t>0367007591</t>
  </si>
  <si>
    <t xml:space="preserve">PAGARAN, BRIELGO O.       </t>
  </si>
  <si>
    <t>0367007419</t>
  </si>
  <si>
    <t xml:space="preserve">PAHAMTANG, ARLEEN P.      </t>
  </si>
  <si>
    <t>0987048085</t>
  </si>
  <si>
    <t xml:space="preserve">PASCUAL, MARRY ANN L.     </t>
  </si>
  <si>
    <t>0367007788</t>
  </si>
  <si>
    <t xml:space="preserve">TAN, CRISTINA R.          </t>
  </si>
  <si>
    <t>0367007397</t>
  </si>
  <si>
    <t xml:space="preserve">SACOTE, LORIJANE D.       </t>
  </si>
  <si>
    <t>0367027541</t>
  </si>
  <si>
    <t xml:space="preserve">SILAGA, JERNALITA P.      </t>
  </si>
  <si>
    <t>0367135247</t>
  </si>
  <si>
    <t xml:space="preserve">SOLIS, DENNIS D.          </t>
  </si>
  <si>
    <t>0367151099</t>
  </si>
  <si>
    <t xml:space="preserve">TAALA, ROYELEN B.         </t>
  </si>
  <si>
    <t>0367007826</t>
  </si>
  <si>
    <t xml:space="preserve">TIDALGO, GAY A.           </t>
  </si>
  <si>
    <t>2166231178</t>
  </si>
  <si>
    <t xml:space="preserve">PALER, JOSELITO           </t>
  </si>
  <si>
    <t>0986209476</t>
  </si>
  <si>
    <t xml:space="preserve">TRAPAL, LYZA R.           </t>
  </si>
  <si>
    <t>0367007567</t>
  </si>
  <si>
    <t xml:space="preserve">BAGASBAS, CHARLITO F.     </t>
  </si>
  <si>
    <t>0366281290</t>
  </si>
  <si>
    <t xml:space="preserve">ACHACOSO, JUNE PEARL P.   </t>
  </si>
  <si>
    <t>0367207671</t>
  </si>
  <si>
    <t xml:space="preserve">BACADON, JADE P.          </t>
  </si>
  <si>
    <t>0366365567</t>
  </si>
  <si>
    <t xml:space="preserve">GALVE, HAZEL O.           </t>
  </si>
  <si>
    <t>3156141789</t>
  </si>
  <si>
    <t xml:space="preserve">MAGSIGAY, RYAN KIM P.     </t>
  </si>
  <si>
    <t>0367219092</t>
  </si>
  <si>
    <t xml:space="preserve">MONTERO, KURT CHINO A.    </t>
  </si>
  <si>
    <t>0367201363</t>
  </si>
  <si>
    <t xml:space="preserve">PLAZA, MIKE ARIEL P.      </t>
  </si>
  <si>
    <t>0367007770</t>
  </si>
  <si>
    <t xml:space="preserve">BANGUIS, CARMELITA B.     </t>
  </si>
  <si>
    <t>0367007745</t>
  </si>
  <si>
    <t xml:space="preserve">CLARIN, GEMMA L.          </t>
  </si>
  <si>
    <t>0367007486</t>
  </si>
  <si>
    <t xml:space="preserve">CORVERA, BRENDA B.        </t>
  </si>
  <si>
    <t>0367023473</t>
  </si>
  <si>
    <t xml:space="preserve">CORVERA, RENATO S.        </t>
  </si>
  <si>
    <t>0367007842</t>
  </si>
  <si>
    <t xml:space="preserve">ESTACION, MARIBETH DV     </t>
  </si>
  <si>
    <t>0367007818</t>
  </si>
  <si>
    <t xml:space="preserve">GAVERO, MYRA LUZ A.       </t>
  </si>
  <si>
    <t>0976178696</t>
  </si>
  <si>
    <t xml:space="preserve">GRADO, CHONA MARIE L.     </t>
  </si>
  <si>
    <t>0367007796</t>
  </si>
  <si>
    <t xml:space="preserve">KINTANAR, STEPHEN L.      </t>
  </si>
  <si>
    <t>0367007850</t>
  </si>
  <si>
    <t xml:space="preserve">MONTILLA, RAMABE D.       </t>
  </si>
  <si>
    <t>0367007800</t>
  </si>
  <si>
    <t xml:space="preserve">OGOC, LUISA M.            </t>
  </si>
  <si>
    <t>0367020024</t>
  </si>
  <si>
    <t xml:space="preserve">PALMA, WYN A.             </t>
  </si>
  <si>
    <t>0367007753</t>
  </si>
  <si>
    <t xml:space="preserve">ROBLES, SHELLAH A.        </t>
  </si>
  <si>
    <t>0367018992</t>
  </si>
  <si>
    <t xml:space="preserve">VELLESCO, ROSIE R.        </t>
  </si>
  <si>
    <t>0977009693</t>
  </si>
  <si>
    <t xml:space="preserve">ANINON, REONEL R.         </t>
  </si>
  <si>
    <t>0976179153</t>
  </si>
  <si>
    <t xml:space="preserve">ARENAL, JAMAICA B.        </t>
  </si>
  <si>
    <t>0977005019</t>
  </si>
  <si>
    <t xml:space="preserve">BARON, JOSE T.            </t>
  </si>
  <si>
    <t>0367181257</t>
  </si>
  <si>
    <t xml:space="preserve">CAGADAS, JESSON P.        </t>
  </si>
  <si>
    <t>0977004950</t>
  </si>
  <si>
    <t xml:space="preserve">DELA PENA, CORAZON P.     </t>
  </si>
  <si>
    <t>0977005043</t>
  </si>
  <si>
    <t xml:space="preserve">INSON, CERILA P.          </t>
  </si>
  <si>
    <t>0977005027</t>
  </si>
  <si>
    <t>LADEMORA, MA. PRESCYLIN C.</t>
  </si>
  <si>
    <t>0976199812</t>
  </si>
  <si>
    <t>NABIO, CHARMAINE JONINE B.</t>
  </si>
  <si>
    <t>0367135190</t>
  </si>
  <si>
    <t xml:space="preserve">NARVASA, JARDYNNE R.      </t>
  </si>
  <si>
    <t>0976187725</t>
  </si>
  <si>
    <t>TOGONON, MARIANNE CORAZON R.</t>
  </si>
  <si>
    <t>0977005124</t>
  </si>
  <si>
    <t xml:space="preserve">URSOS, GIDEON B.          </t>
  </si>
  <si>
    <t>0987000791</t>
  </si>
  <si>
    <t xml:space="preserve">ARLAN, EVELYN C.          </t>
  </si>
  <si>
    <t>0986209468</t>
  </si>
  <si>
    <t xml:space="preserve">BALIGHOT, NINEBETH R.     </t>
  </si>
  <si>
    <t>0987000686</t>
  </si>
  <si>
    <t xml:space="preserve">CALANG, MA. THERESA Z.    </t>
  </si>
  <si>
    <t>0987000775</t>
  </si>
  <si>
    <t xml:space="preserve">CANTUTAY, EDUARDO Y.      </t>
  </si>
  <si>
    <t>0987000694</t>
  </si>
  <si>
    <t xml:space="preserve">CHUA, MARIA LOURDES A.    </t>
  </si>
  <si>
    <t>0367118504</t>
  </si>
  <si>
    <t xml:space="preserve">DALAGAN, RENNEL C.        </t>
  </si>
  <si>
    <t>3786001071</t>
  </si>
  <si>
    <t xml:space="preserve">DELANTO, MARDEL ALLEN G.  </t>
  </si>
  <si>
    <t>0987099631</t>
  </si>
  <si>
    <t xml:space="preserve">FAZON, FAME M.            </t>
  </si>
  <si>
    <t>0976143019</t>
  </si>
  <si>
    <t xml:space="preserve">INRES, FERDINAND R.       </t>
  </si>
  <si>
    <t>0367007435</t>
  </si>
  <si>
    <t xml:space="preserve">NATAD, ELMER M.           </t>
  </si>
  <si>
    <t>2166206190</t>
  </si>
  <si>
    <t xml:space="preserve">BAUTISTA, ROSAMEA L.      </t>
  </si>
  <si>
    <t>2166033643</t>
  </si>
  <si>
    <t xml:space="preserve">CASER, MARLINDA R.        </t>
  </si>
  <si>
    <t>0797001767</t>
  </si>
  <si>
    <t xml:space="preserve">DISCA, EMMANUEL P.        </t>
  </si>
  <si>
    <t>0796208155</t>
  </si>
  <si>
    <t xml:space="preserve">DUERO, LEO FROILAN M.     </t>
  </si>
  <si>
    <t>0796067527</t>
  </si>
  <si>
    <t xml:space="preserve">ESPINOZA, RHOSALLEE V.    </t>
  </si>
  <si>
    <t>0797002801</t>
  </si>
  <si>
    <t xml:space="preserve">ESTRADA, SARAH P.         </t>
  </si>
  <si>
    <t>0796001658</t>
  </si>
  <si>
    <t xml:space="preserve">LAGANG, JONATHAN V.       </t>
  </si>
  <si>
    <t>0796208147</t>
  </si>
  <si>
    <t xml:space="preserve">LAYNO, MARIE KHRISTINE A. </t>
  </si>
  <si>
    <t>0796003006</t>
  </si>
  <si>
    <t xml:space="preserve">ORIBE, ROMEL M.           </t>
  </si>
  <si>
    <t>0797049212</t>
  </si>
  <si>
    <t xml:space="preserve">USARES, FRITZIE N.        </t>
  </si>
  <si>
    <t>0797001791</t>
  </si>
  <si>
    <t xml:space="preserve">VASQUEZ, BEMA THERESA M.  </t>
  </si>
  <si>
    <t>3786008955</t>
  </si>
  <si>
    <t xml:space="preserve">BLIGHOT, ESTELA MARIE S.  </t>
  </si>
  <si>
    <t>3787011593</t>
  </si>
  <si>
    <t xml:space="preserve">CUSTODIO, VENUS A.        </t>
  </si>
  <si>
    <t>0367007478</t>
  </si>
  <si>
    <t xml:space="preserve">FAELNAR, ARNOLD D.        </t>
  </si>
  <si>
    <t>3787011542</t>
  </si>
  <si>
    <t xml:space="preserve">GALLOGO, SAIRA SHADE M.   </t>
  </si>
  <si>
    <t>0367055200</t>
  </si>
  <si>
    <t>GONZAGA, FREEDCARMARIAM D.</t>
  </si>
  <si>
    <t>3787016587</t>
  </si>
  <si>
    <t xml:space="preserve">LARIOSA, AILA B.          </t>
  </si>
  <si>
    <t>0367135212</t>
  </si>
  <si>
    <t xml:space="preserve">MALAWI, RICHELLE JOY P.   </t>
  </si>
  <si>
    <t>3787012018</t>
  </si>
  <si>
    <t xml:space="preserve">TUBO, JONAH FE M.         </t>
  </si>
  <si>
    <t>0366399399</t>
  </si>
  <si>
    <t xml:space="preserve">DAPAT, NIEL JOHN B.       </t>
  </si>
  <si>
    <t>0366332570</t>
  </si>
  <si>
    <t xml:space="preserve">ORBITA, VALENTINA ROSE O. </t>
  </si>
  <si>
    <t>0796176610</t>
  </si>
  <si>
    <t xml:space="preserve">MERZA, APPLE R.           </t>
  </si>
  <si>
    <t>0981169476</t>
  </si>
  <si>
    <t xml:space="preserve">URIARTE, ABRAM B.         </t>
  </si>
  <si>
    <t>0976225821</t>
  </si>
  <si>
    <t xml:space="preserve">ROBOCA, LEMUEL D.         </t>
  </si>
  <si>
    <t>0986218262</t>
  </si>
  <si>
    <t xml:space="preserve">CATAMORA, MA. MALEN B.    </t>
  </si>
  <si>
    <t>0797074861</t>
  </si>
  <si>
    <t xml:space="preserve">MANTIZA, JAN LEHVEN G.    </t>
  </si>
  <si>
    <t>3787011917</t>
  </si>
  <si>
    <t xml:space="preserve">LLORENTE, JUMAR H.        </t>
  </si>
  <si>
    <t>0367102845</t>
  </si>
  <si>
    <t xml:space="preserve">ANCLA, JOHN VOLTAIRE S.   </t>
  </si>
  <si>
    <t>0367231890</t>
  </si>
  <si>
    <t xml:space="preserve">DECHOS, CHARLIE C.        </t>
  </si>
  <si>
    <t>0167173063</t>
  </si>
  <si>
    <t xml:space="preserve">BANQUERIGO, EDWIN O.      </t>
  </si>
  <si>
    <t>0366391118</t>
  </si>
  <si>
    <t xml:space="preserve">CALA, ABEGAIL Q.          </t>
  </si>
  <si>
    <t>0987077611</t>
  </si>
  <si>
    <t xml:space="preserve">MARTINEZ, RANAH MAY G.    </t>
  </si>
  <si>
    <t>0362107814</t>
  </si>
  <si>
    <t xml:space="preserve">DREAMCO                   </t>
  </si>
  <si>
    <t>0987000740</t>
  </si>
  <si>
    <t xml:space="preserve">GABUTIN, JOSEPHINE D.     </t>
  </si>
  <si>
    <t>0366373322</t>
  </si>
  <si>
    <t xml:space="preserve">TUBAON, EFREN J.          </t>
  </si>
  <si>
    <t>0366451951</t>
  </si>
  <si>
    <t xml:space="preserve">ARELLANO, CHAMAINE B.     </t>
  </si>
  <si>
    <t>0367111984</t>
  </si>
  <si>
    <t xml:space="preserve">MAMASU, CHERRY MAY A.     </t>
  </si>
  <si>
    <t>0367007834</t>
  </si>
  <si>
    <t xml:space="preserve">NEGAPATAN, CELESTINO L.   </t>
  </si>
  <si>
    <t>0366365141</t>
  </si>
  <si>
    <t xml:space="preserve">TIMOGAN, MARIBEL P.       </t>
  </si>
  <si>
    <t>RAO</t>
  </si>
  <si>
    <t>Responsibi</t>
  </si>
  <si>
    <t>Responsibility Center</t>
  </si>
  <si>
    <t>Amount</t>
  </si>
  <si>
    <t>Machinery and Equipment Outlay - Office Equipment</t>
  </si>
  <si>
    <t>5021003000</t>
  </si>
  <si>
    <t>5029902000</t>
  </si>
  <si>
    <t>5021299000</t>
  </si>
  <si>
    <t>5021199000</t>
  </si>
  <si>
    <t>5029999099</t>
  </si>
  <si>
    <t>5029905001</t>
  </si>
  <si>
    <t>5021502000</t>
  </si>
  <si>
    <t>5020502001</t>
  </si>
  <si>
    <t>5020504000</t>
  </si>
  <si>
    <t>5021102000</t>
  </si>
  <si>
    <t>5029903000</t>
  </si>
  <si>
    <t>5060405003</t>
  </si>
  <si>
    <t>5021202000</t>
  </si>
  <si>
    <t>5021305099</t>
  </si>
  <si>
    <t>5029904000</t>
  </si>
  <si>
    <t>5029907000</t>
  </si>
  <si>
    <t>5020502002</t>
  </si>
  <si>
    <t>5021101000</t>
  </si>
  <si>
    <t>5021305002</t>
  </si>
  <si>
    <t>5021305003</t>
  </si>
  <si>
    <t>5021307000</t>
  </si>
  <si>
    <t>5021306001</t>
  </si>
  <si>
    <t>5021501001</t>
  </si>
  <si>
    <t>5021503000</t>
  </si>
  <si>
    <t>5021304001</t>
  </si>
  <si>
    <t>5020503000</t>
  </si>
  <si>
    <t>5021103000</t>
  </si>
  <si>
    <t>5029905003</t>
  </si>
  <si>
    <t>5029901000</t>
  </si>
  <si>
    <t>5010202000</t>
  </si>
  <si>
    <t>5010203001</t>
  </si>
  <si>
    <t>5010101001</t>
  </si>
  <si>
    <t>5010201001</t>
  </si>
  <si>
    <t>5010301000</t>
  </si>
  <si>
    <t>5010302001</t>
  </si>
  <si>
    <t>5010303001</t>
  </si>
  <si>
    <t>5010304001</t>
  </si>
  <si>
    <t>5020301000</t>
  </si>
  <si>
    <t>5020399000</t>
  </si>
  <si>
    <t>5020309000</t>
  </si>
  <si>
    <t>5020401000</t>
  </si>
  <si>
    <t>5010102000</t>
  </si>
  <si>
    <t>5020101000</t>
  </si>
  <si>
    <t>5020302000</t>
  </si>
  <si>
    <t>5020201000</t>
  </si>
  <si>
    <t>5020402000</t>
  </si>
  <si>
    <t>5020501000</t>
  </si>
  <si>
    <t>5010204001</t>
  </si>
  <si>
    <t>from UACS Code</t>
  </si>
  <si>
    <t>Allotment Number</t>
  </si>
  <si>
    <t>Transaction Number</t>
  </si>
  <si>
    <t>from Transaction Number</t>
  </si>
  <si>
    <t>Payroll Number</t>
  </si>
  <si>
    <t>DISBURSED</t>
  </si>
  <si>
    <t>Tax on VAT / Non-VAT</t>
  </si>
  <si>
    <t>Expanded WT</t>
  </si>
  <si>
    <t>Tax on Compensation</t>
  </si>
  <si>
    <t>DV Number</t>
  </si>
  <si>
    <t>Trust Liabilities</t>
  </si>
  <si>
    <t>0001</t>
  </si>
  <si>
    <t>0002</t>
  </si>
  <si>
    <t>0005</t>
  </si>
  <si>
    <t>0007</t>
  </si>
  <si>
    <t>0010</t>
  </si>
  <si>
    <t>0009</t>
  </si>
  <si>
    <t>0008</t>
  </si>
  <si>
    <t>0012</t>
  </si>
  <si>
    <t>0063</t>
  </si>
  <si>
    <t>0064</t>
  </si>
  <si>
    <t>0026</t>
  </si>
  <si>
    <t>0027</t>
  </si>
  <si>
    <t>0028</t>
  </si>
  <si>
    <t>0029</t>
  </si>
  <si>
    <t>0048</t>
  </si>
  <si>
    <t>0049</t>
  </si>
  <si>
    <t>0050</t>
  </si>
  <si>
    <t>0051</t>
  </si>
  <si>
    <t>0052</t>
  </si>
  <si>
    <t>0053</t>
  </si>
  <si>
    <t>0069</t>
  </si>
  <si>
    <t>0091</t>
  </si>
  <si>
    <t>0090</t>
  </si>
  <si>
    <t>0087</t>
  </si>
  <si>
    <t>0092</t>
  </si>
  <si>
    <t>0089</t>
  </si>
  <si>
    <t>0085</t>
  </si>
  <si>
    <t>0086</t>
  </si>
  <si>
    <t>0104</t>
  </si>
  <si>
    <t>0105</t>
  </si>
  <si>
    <t>0106</t>
  </si>
  <si>
    <t>0107</t>
  </si>
  <si>
    <t>0108</t>
  </si>
  <si>
    <t>0109</t>
  </si>
  <si>
    <t>0133</t>
  </si>
  <si>
    <t>0157</t>
  </si>
  <si>
    <t>0158</t>
  </si>
  <si>
    <t>0170</t>
  </si>
  <si>
    <t>0171</t>
  </si>
  <si>
    <t>0135</t>
  </si>
  <si>
    <t>0162</t>
  </si>
  <si>
    <t>0163</t>
  </si>
  <si>
    <t>0164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</si>
  <si>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</si>
  <si>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</si>
  <si>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</si>
  <si>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</si>
  <si>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</si>
  <si>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</si>
  <si>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</si>
  <si>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</si>
  <si>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</si>
  <si>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</si>
  <si>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0160</t>
  </si>
  <si>
    <t>0161</t>
  </si>
  <si>
    <t>0146</t>
  </si>
  <si>
    <t>0147</t>
  </si>
  <si>
    <t>0148</t>
  </si>
  <si>
    <t>0149</t>
  </si>
  <si>
    <t>0150</t>
  </si>
  <si>
    <t>0151</t>
  </si>
  <si>
    <t>0152</t>
  </si>
  <si>
    <t>0172</t>
  </si>
  <si>
    <t>0176</t>
  </si>
  <si>
    <t>0177</t>
  </si>
  <si>
    <t>0178</t>
  </si>
  <si>
    <t>0179</t>
  </si>
  <si>
    <t>0180</t>
  </si>
  <si>
    <t>0181</t>
  </si>
  <si>
    <t>0185</t>
  </si>
  <si>
    <t>0186</t>
  </si>
  <si>
    <t>0187</t>
  </si>
  <si>
    <t>0188</t>
  </si>
  <si>
    <t>0189</t>
  </si>
  <si>
    <t>0190</t>
  </si>
  <si>
    <t>0191</t>
  </si>
  <si>
    <t>0192</t>
  </si>
  <si>
    <t>0194</t>
  </si>
  <si>
    <t>0193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</si>
  <si>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</si>
  <si>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</si>
  <si>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</si>
  <si>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</si>
  <si>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</si>
  <si>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</si>
  <si>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</si>
  <si>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</si>
  <si>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</si>
  <si>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0238</t>
  </si>
  <si>
    <t>0239</t>
  </si>
  <si>
    <t>0224</t>
  </si>
  <si>
    <t>0218</t>
  </si>
  <si>
    <t>0219</t>
  </si>
  <si>
    <t>0220</t>
  </si>
  <si>
    <t>0221</t>
  </si>
  <si>
    <t>0222</t>
  </si>
  <si>
    <t>0245</t>
  </si>
  <si>
    <t>0246</t>
  </si>
  <si>
    <t>0225</t>
  </si>
  <si>
    <t>0208</t>
  </si>
  <si>
    <t>0209</t>
  </si>
  <si>
    <t>0207</t>
  </si>
  <si>
    <t>0206</t>
  </si>
  <si>
    <t>0205</t>
  </si>
  <si>
    <t>0204</t>
  </si>
  <si>
    <t>0210</t>
  </si>
  <si>
    <t>0211</t>
  </si>
  <si>
    <t>0212</t>
  </si>
  <si>
    <t>0213</t>
  </si>
  <si>
    <t>0214</t>
  </si>
  <si>
    <t>0215</t>
  </si>
  <si>
    <t>0216</t>
  </si>
  <si>
    <t>0226</t>
  </si>
  <si>
    <t>0227</t>
  </si>
  <si>
    <t>0228</t>
  </si>
  <si>
    <t>0229</t>
  </si>
  <si>
    <t>0230</t>
  </si>
  <si>
    <t>0231</t>
  </si>
  <si>
    <t>0232</t>
  </si>
  <si>
    <t>0233</t>
  </si>
  <si>
    <t>0247</t>
  </si>
  <si>
    <t>0244</t>
  </si>
  <si>
    <t>0272</t>
  </si>
  <si>
    <t>0234</t>
  </si>
  <si>
    <t>0223</t>
  </si>
  <si>
    <t>0241</t>
  </si>
  <si>
    <t>0242</t>
  </si>
  <si>
    <t>0243</t>
  </si>
  <si>
    <t>0280</t>
  </si>
  <si>
    <t>0281</t>
  </si>
  <si>
    <t>0273</t>
  </si>
  <si>
    <t>0274</t>
  </si>
  <si>
    <t>0275</t>
  </si>
  <si>
    <t>0276</t>
  </si>
  <si>
    <t>0277</t>
  </si>
  <si>
    <t>0278</t>
  </si>
  <si>
    <t>0313</t>
  </si>
  <si>
    <t>0312</t>
  </si>
  <si>
    <t>0311</t>
  </si>
  <si>
    <t>0310</t>
  </si>
  <si>
    <t>0314</t>
  </si>
  <si>
    <t>0315</t>
  </si>
  <si>
    <t>0457</t>
  </si>
  <si>
    <t>0308</t>
  </si>
  <si>
    <t>0309</t>
  </si>
  <si>
    <t>0316</t>
  </si>
  <si>
    <t>0317</t>
  </si>
  <si>
    <t>0318</t>
  </si>
  <si>
    <t>0325</t>
  </si>
  <si>
    <t>0326</t>
  </si>
  <si>
    <t>0327</t>
  </si>
  <si>
    <t>0328</t>
  </si>
  <si>
    <t>0329</t>
  </si>
  <si>
    <t>0330</t>
  </si>
  <si>
    <t>0323</t>
  </si>
  <si>
    <t>0331</t>
  </si>
  <si>
    <t>0343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</si>
  <si>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</si>
  <si>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</si>
  <si>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</si>
  <si>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</si>
  <si>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</si>
  <si>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</si>
  <si>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</si>
  <si>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</si>
  <si>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</si>
  <si>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</si>
  <si>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</si>
  <si>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</si>
  <si>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</si>
  <si>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</si>
  <si>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</si>
  <si>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</si>
  <si>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</si>
  <si>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</si>
  <si>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</si>
  <si>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</si>
  <si>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</si>
  <si>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0355</t>
  </si>
  <si>
    <t>0380</t>
  </si>
  <si>
    <t>0379</t>
  </si>
  <si>
    <t>0357</t>
  </si>
  <si>
    <t>0292</t>
  </si>
  <si>
    <t>0358</t>
  </si>
  <si>
    <t>0359</t>
  </si>
  <si>
    <t>0360</t>
  </si>
  <si>
    <t>0361</t>
  </si>
  <si>
    <t>0362</t>
  </si>
  <si>
    <t>0381</t>
  </si>
  <si>
    <t>0364</t>
  </si>
  <si>
    <t>0365</t>
  </si>
  <si>
    <t>0366</t>
  </si>
  <si>
    <t>0367</t>
  </si>
  <si>
    <t>0368</t>
  </si>
  <si>
    <t>0370</t>
  </si>
  <si>
    <t>0371</t>
  </si>
  <si>
    <t>0372</t>
  </si>
  <si>
    <t>0375</t>
  </si>
  <si>
    <t>0373</t>
  </si>
  <si>
    <t>0374</t>
  </si>
  <si>
    <t>0376</t>
  </si>
  <si>
    <t>0363</t>
  </si>
  <si>
    <t>0377</t>
  </si>
  <si>
    <t>0378</t>
  </si>
  <si>
    <t>0382</t>
  </si>
  <si>
    <t>0386</t>
  </si>
  <si>
    <t>0387</t>
  </si>
  <si>
    <t>0388</t>
  </si>
  <si>
    <t>0383</t>
  </si>
  <si>
    <t>0384</t>
  </si>
  <si>
    <t>0385</t>
  </si>
  <si>
    <t>0461</t>
  </si>
  <si>
    <t>0389</t>
  </si>
  <si>
    <t>0399</t>
  </si>
  <si>
    <t>0462</t>
  </si>
  <si>
    <t>0391</t>
  </si>
  <si>
    <t>0392</t>
  </si>
  <si>
    <t>0393</t>
  </si>
  <si>
    <t>0390</t>
  </si>
  <si>
    <t>0463</t>
  </si>
  <si>
    <t>0454</t>
  </si>
  <si>
    <t>0449</t>
  </si>
  <si>
    <t>0455</t>
  </si>
  <si>
    <t>0369</t>
  </si>
  <si>
    <t>0394</t>
  </si>
  <si>
    <t>0395</t>
  </si>
  <si>
    <t>0396</t>
  </si>
  <si>
    <t>0397</t>
  </si>
  <si>
    <t>0398</t>
  </si>
  <si>
    <t>0460</t>
  </si>
  <si>
    <t>0467</t>
  </si>
  <si>
    <t>0458</t>
  </si>
  <si>
    <t>0417</t>
  </si>
  <si>
    <t>0416</t>
  </si>
  <si>
    <t>0459</t>
  </si>
  <si>
    <t>0415</t>
  </si>
  <si>
    <t>0418</t>
  </si>
  <si>
    <t>0470</t>
  </si>
  <si>
    <t>0471</t>
  </si>
  <si>
    <t>0480</t>
  </si>
  <si>
    <t>0486</t>
  </si>
  <si>
    <t>0479</t>
  </si>
  <si>
    <t>0478</t>
  </si>
  <si>
    <t>0477</t>
  </si>
  <si>
    <t>0481</t>
  </si>
  <si>
    <t>0472</t>
  </si>
  <si>
    <t>0473</t>
  </si>
  <si>
    <t>0474</t>
  </si>
  <si>
    <t>0475</t>
  </si>
  <si>
    <t>0476</t>
  </si>
  <si>
    <t>0487</t>
  </si>
  <si>
    <t>0488</t>
  </si>
  <si>
    <t>0570</t>
  </si>
  <si>
    <t>0489</t>
  </si>
  <si>
    <t>0490</t>
  </si>
  <si>
    <t>0491</t>
  </si>
  <si>
    <t>0500</t>
  </si>
  <si>
    <t>0499</t>
  </si>
  <si>
    <t>0534</t>
  </si>
  <si>
    <t>0535</t>
  </si>
  <si>
    <t>0536</t>
  </si>
  <si>
    <t>0537</t>
  </si>
  <si>
    <t>0538</t>
  </si>
  <si>
    <t>0539</t>
  </si>
  <si>
    <t>0540</t>
  </si>
  <si>
    <t>0541</t>
  </si>
  <si>
    <t>0520</t>
  </si>
  <si>
    <t>0512</t>
  </si>
  <si>
    <t>0513</t>
  </si>
  <si>
    <t>0515</t>
  </si>
  <si>
    <t>0516</t>
  </si>
  <si>
    <t>0517</t>
  </si>
  <si>
    <t>0525</t>
  </si>
  <si>
    <t>0526</t>
  </si>
  <si>
    <t>0527</t>
  </si>
  <si>
    <t>0528</t>
  </si>
  <si>
    <t>0529</t>
  </si>
  <si>
    <t>0530</t>
  </si>
  <si>
    <t>0531</t>
  </si>
  <si>
    <t>0577</t>
  </si>
  <si>
    <t>0578</t>
  </si>
  <si>
    <t>0532</t>
  </si>
  <si>
    <t>0543</t>
  </si>
  <si>
    <t>0544</t>
  </si>
  <si>
    <t>0545</t>
  </si>
  <si>
    <t>0546</t>
  </si>
  <si>
    <t>0547</t>
  </si>
  <si>
    <t>0533</t>
  </si>
  <si>
    <t>0558</t>
  </si>
  <si>
    <t>0556</t>
  </si>
  <si>
    <t>0557</t>
  </si>
  <si>
    <t>0562</t>
  </si>
  <si>
    <t>0563</t>
  </si>
  <si>
    <t>0564</t>
  </si>
  <si>
    <t>0565</t>
  </si>
  <si>
    <t>0566</t>
  </si>
  <si>
    <t>0567</t>
  </si>
  <si>
    <t>0552</t>
  </si>
  <si>
    <t>0553</t>
  </si>
  <si>
    <t>0554</t>
  </si>
  <si>
    <t>0555</t>
  </si>
  <si>
    <t>0560</t>
  </si>
  <si>
    <t>0561</t>
  </si>
  <si>
    <t>0576</t>
  </si>
  <si>
    <t>0574</t>
  </si>
  <si>
    <t>0575</t>
  </si>
  <si>
    <t>0580</t>
  </si>
  <si>
    <t>0581</t>
  </si>
  <si>
    <t>0582</t>
  </si>
  <si>
    <t>0583</t>
  </si>
  <si>
    <t>0584</t>
  </si>
  <si>
    <t>0586</t>
  </si>
  <si>
    <t>0587</t>
  </si>
  <si>
    <t>0588</t>
  </si>
  <si>
    <t>0589</t>
  </si>
  <si>
    <t>0590</t>
  </si>
  <si>
    <t>0591</t>
  </si>
  <si>
    <t>0594</t>
  </si>
  <si>
    <t>0595</t>
  </si>
  <si>
    <t>0596</t>
  </si>
  <si>
    <t>ORS#</t>
  </si>
  <si>
    <t>DV#</t>
  </si>
  <si>
    <t>ORS Amount</t>
  </si>
  <si>
    <t>DV Amount</t>
  </si>
  <si>
    <t>0003</t>
  </si>
  <si>
    <t>0004</t>
  </si>
  <si>
    <t>0006</t>
  </si>
  <si>
    <t>0011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</si>
  <si>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</si>
  <si>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</si>
  <si>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</si>
  <si>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</si>
  <si>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</si>
  <si>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</si>
  <si>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</si>
  <si>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</si>
  <si>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</si>
  <si>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</si>
  <si>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</si>
  <si>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</si>
  <si>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</si>
  <si>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</si>
  <si>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</si>
  <si>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</si>
  <si>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</si>
  <si>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</si>
  <si>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</si>
  <si>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</si>
  <si>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</si>
  <si>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</si>
  <si>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</si>
  <si>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</si>
  <si>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</si>
  <si>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</si>
  <si>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</si>
  <si>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</si>
  <si>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</si>
  <si>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</si>
  <si>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</si>
  <si>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</si>
  <si>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</si>
  <si>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</si>
  <si>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</si>
  <si>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</si>
  <si>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</si>
  <si>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</si>
  <si>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</si>
  <si>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</si>
  <si>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0065</t>
  </si>
  <si>
    <t>0066</t>
  </si>
  <si>
    <t>0067</t>
  </si>
  <si>
    <t>0068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</si>
  <si>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</si>
  <si>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</si>
  <si>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</si>
  <si>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</si>
  <si>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</si>
  <si>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</si>
  <si>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</si>
  <si>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</si>
  <si>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</si>
  <si>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</si>
  <si>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</si>
  <si>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</si>
  <si>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</si>
  <si>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</si>
  <si>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</si>
  <si>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0088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</si>
  <si>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</si>
  <si>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</si>
  <si>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</si>
  <si>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</si>
  <si>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</si>
  <si>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</si>
  <si>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</si>
  <si>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</si>
  <si>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</si>
  <si>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</si>
  <si>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</si>
  <si>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0110</t>
  </si>
  <si>
    <t>0111</t>
  </si>
  <si>
    <t>0112</t>
  </si>
  <si>
    <t>0113</t>
  </si>
  <si>
    <t>0113A</t>
  </si>
  <si>
    <t>0113B</t>
  </si>
  <si>
    <t>0113C</t>
  </si>
  <si>
    <t>0113D</t>
  </si>
  <si>
    <t>0113E</t>
  </si>
  <si>
    <t>0113F</t>
  </si>
  <si>
    <t>0113G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</si>
  <si>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</si>
  <si>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</si>
  <si>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</si>
  <si>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</si>
  <si>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</si>
  <si>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</si>
  <si>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</si>
  <si>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</si>
  <si>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</si>
  <si>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</si>
  <si>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</si>
  <si>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</si>
  <si>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</si>
  <si>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</si>
  <si>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</si>
  <si>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</si>
  <si>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</si>
  <si>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</si>
  <si>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</si>
  <si>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0134</t>
  </si>
  <si>
    <t>0153</t>
  </si>
  <si>
    <t>0154</t>
  </si>
  <si>
    <t>0155</t>
  </si>
  <si>
    <t>0156</t>
  </si>
  <si>
    <t>0159</t>
  </si>
  <si>
    <t>0165</t>
  </si>
  <si>
    <t>0166</t>
  </si>
  <si>
    <t>0167</t>
  </si>
  <si>
    <t>0168</t>
  </si>
  <si>
    <t>0169</t>
  </si>
  <si>
    <t>0173</t>
  </si>
  <si>
    <t>0174</t>
  </si>
  <si>
    <t>0175</t>
  </si>
  <si>
    <t>0182</t>
  </si>
  <si>
    <t>0183</t>
  </si>
  <si>
    <t>0184</t>
  </si>
  <si>
    <t>0210A</t>
  </si>
  <si>
    <t>0217</t>
  </si>
  <si>
    <t>0235</t>
  </si>
  <si>
    <t>0236</t>
  </si>
  <si>
    <t>0237</t>
  </si>
  <si>
    <t>0240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</si>
  <si>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</si>
  <si>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</si>
  <si>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</si>
  <si>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</si>
  <si>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</si>
  <si>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</si>
  <si>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</si>
  <si>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</si>
  <si>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</si>
  <si>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</si>
  <si>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</si>
  <si>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</si>
  <si>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</si>
  <si>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</si>
  <si>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</si>
  <si>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</si>
  <si>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</si>
  <si>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</si>
  <si>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</si>
  <si>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</si>
  <si>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</si>
  <si>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</si>
  <si>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</si>
  <si>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</si>
  <si>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0279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</si>
  <si>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</si>
  <si>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</si>
  <si>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</si>
  <si>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</si>
  <si>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</si>
  <si>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</si>
  <si>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</si>
  <si>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</si>
  <si>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</si>
  <si>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</si>
  <si>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</si>
  <si>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</si>
  <si>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</si>
  <si>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</si>
  <si>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</si>
  <si>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</si>
  <si>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</si>
  <si>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</si>
  <si>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</si>
  <si>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</si>
  <si>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</si>
  <si>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</si>
  <si>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</si>
  <si>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</si>
  <si>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</si>
  <si>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0319</t>
  </si>
  <si>
    <t>0320</t>
  </si>
  <si>
    <t>0321</t>
  </si>
  <si>
    <t>0322</t>
  </si>
  <si>
    <t>0324</t>
  </si>
  <si>
    <t>0354</t>
  </si>
  <si>
    <t>0356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</si>
  <si>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</si>
  <si>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</si>
  <si>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</si>
  <si>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</si>
  <si>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</si>
  <si>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</si>
  <si>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</si>
  <si>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</si>
  <si>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</si>
  <si>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</si>
  <si>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</si>
  <si>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</si>
  <si>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</si>
  <si>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</si>
  <si>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</si>
  <si>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</si>
  <si>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</si>
  <si>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</si>
  <si>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</si>
  <si>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</si>
  <si>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</si>
  <si>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</si>
  <si>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</si>
  <si>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</si>
  <si>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</si>
  <si>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</si>
  <si>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</si>
  <si>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</si>
  <si>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</si>
  <si>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</si>
  <si>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</si>
  <si>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</si>
  <si>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</si>
  <si>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</si>
  <si>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</si>
  <si>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</si>
  <si>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</si>
  <si>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</si>
  <si>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</si>
  <si>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</si>
  <si>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</si>
  <si>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</si>
  <si>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</si>
  <si>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</si>
  <si>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</si>
  <si>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0450</t>
  </si>
  <si>
    <t>0451</t>
  </si>
  <si>
    <t>0452</t>
  </si>
  <si>
    <t>0453</t>
  </si>
  <si>
    <t>0456</t>
  </si>
  <si>
    <t>0464</t>
  </si>
  <si>
    <t>0465</t>
  </si>
  <si>
    <t>0466</t>
  </si>
  <si>
    <t>0468</t>
  </si>
  <si>
    <t>0469</t>
  </si>
  <si>
    <t>0482</t>
  </si>
  <si>
    <t>0483</t>
  </si>
  <si>
    <t>0484</t>
  </si>
  <si>
    <t>0485</t>
  </si>
  <si>
    <t>0492</t>
  </si>
  <si>
    <t>0493</t>
  </si>
  <si>
    <t>0494</t>
  </si>
  <si>
    <t>0495</t>
  </si>
  <si>
    <t>0496</t>
  </si>
  <si>
    <t>0497</t>
  </si>
  <si>
    <t>0498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</si>
  <si>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</si>
  <si>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</si>
  <si>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</si>
  <si>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</si>
  <si>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</si>
  <si>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</si>
  <si>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</si>
  <si>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</si>
  <si>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</si>
  <si>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</si>
  <si>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</si>
  <si>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0514</t>
  </si>
  <si>
    <t>0518</t>
  </si>
  <si>
    <t>0519</t>
  </si>
  <si>
    <t>0521</t>
  </si>
  <si>
    <t>0522</t>
  </si>
  <si>
    <t>0523</t>
  </si>
  <si>
    <t>0524</t>
  </si>
  <si>
    <t>0542</t>
  </si>
  <si>
    <t>0548</t>
  </si>
  <si>
    <t>0549</t>
  </si>
  <si>
    <t>0550</t>
  </si>
  <si>
    <t>0551</t>
  </si>
  <si>
    <t>0559</t>
  </si>
  <si>
    <t>0568</t>
  </si>
  <si>
    <t>0569</t>
  </si>
  <si>
    <t>0571</t>
  </si>
  <si>
    <t>0572</t>
  </si>
  <si>
    <t>0573</t>
  </si>
  <si>
    <t>0579</t>
  </si>
  <si>
    <t>0585</t>
  </si>
  <si>
    <t>0592</t>
  </si>
  <si>
    <t>0593</t>
  </si>
  <si>
    <t>Remittance</t>
  </si>
  <si>
    <t>Refund</t>
  </si>
  <si>
    <t>Salaries for 2nd Quincena</t>
  </si>
  <si>
    <t>ORS Number</t>
  </si>
  <si>
    <t>0000-00-0000</t>
  </si>
  <si>
    <t>Obligation Number</t>
  </si>
  <si>
    <t>Fund 01-2021-01-009</t>
  </si>
  <si>
    <t>Fund 01-2021-01-009A</t>
  </si>
  <si>
    <t>Fund 01-2021-01-021</t>
  </si>
  <si>
    <t>Fund 01-2021-01-028</t>
  </si>
  <si>
    <t>Fund 01-2021-01-025</t>
  </si>
  <si>
    <t>DV</t>
  </si>
  <si>
    <t>January, 2021</t>
  </si>
  <si>
    <t>February, 2021</t>
  </si>
  <si>
    <t>March, 2021</t>
  </si>
  <si>
    <t>Transaction Type</t>
  </si>
  <si>
    <t>Single ORS / BURS</t>
  </si>
  <si>
    <t>PY Accounts Payable</t>
  </si>
  <si>
    <t>Multiple ORS / BURS</t>
  </si>
  <si>
    <t>Prior Year Accounts Payable</t>
  </si>
  <si>
    <t>MRD Classification</t>
  </si>
  <si>
    <t>Current Year Budget</t>
  </si>
  <si>
    <t>Nature of Transaction</t>
  </si>
  <si>
    <t>CA to SDOs/OPEX</t>
  </si>
  <si>
    <t>CA to Employees</t>
  </si>
  <si>
    <t>Incurred</t>
  </si>
  <si>
    <t>Fund 01-2021-01-0001</t>
  </si>
  <si>
    <t>Fund 01-2021-01-001</t>
  </si>
  <si>
    <t>Payment for RATA for January 2021</t>
  </si>
  <si>
    <t>Fund 01-2021-01-0002</t>
  </si>
  <si>
    <t>Fund 01-2021-01-002</t>
  </si>
  <si>
    <t>Edwin O. Banquerigo</t>
  </si>
  <si>
    <t>Payment for extradordinary expenses</t>
  </si>
  <si>
    <t>Fund 01-2021-01-0003</t>
  </si>
  <si>
    <t>Remittance coop deductions from RATA for January 2021</t>
  </si>
  <si>
    <t>Fund 01-2021-01-0004</t>
  </si>
  <si>
    <t>Remittance, JO coop deductions forr the period December 16-31, 2020</t>
  </si>
  <si>
    <t>Fund 01-2021-01-0005</t>
  </si>
  <si>
    <t>Fund 01-2021-01-003</t>
  </si>
  <si>
    <t>Payment for the salaries and allowances of regular employees for the period of January 1-15, 2021</t>
  </si>
  <si>
    <t>Fund 01-2021-01-0006</t>
  </si>
  <si>
    <t>DREAMCO- MPC</t>
  </si>
  <si>
    <t>Remittance coop deductions for the month of Januray 2021</t>
  </si>
  <si>
    <t>Fund 01-2021-01-0007</t>
  </si>
  <si>
    <t>Fund 01-2021-01-004</t>
  </si>
  <si>
    <t>Fund 01-2021-01-0008</t>
  </si>
  <si>
    <t>Fund 01-2021-01-007</t>
  </si>
  <si>
    <t>Arleen P. Pahamtang</t>
  </si>
  <si>
    <t>Set up the Petty Cash Fund, 2021</t>
  </si>
  <si>
    <t>Fund 01-2021-01-0009</t>
  </si>
  <si>
    <t>Fund 01-2021-01-006</t>
  </si>
  <si>
    <t>Fund 01-2021-01-0010</t>
  </si>
  <si>
    <t>Fund 01-2021-01-005</t>
  </si>
  <si>
    <t>Fund 01-2021-01-0011</t>
  </si>
  <si>
    <t>Remittance of Coop deductions from RATA for the month of October &amp; December 2020</t>
  </si>
  <si>
    <t>Fund 01-2021-01-0012</t>
  </si>
  <si>
    <t>Fund 01-2021-01-008</t>
  </si>
  <si>
    <t>Fund 01-2021-01-0013</t>
  </si>
  <si>
    <t>Hi-5 Signages Fabricator</t>
  </si>
  <si>
    <t>DTI- Caraga Motor Vehicle Marketing and Trapaulin Printing(ISOand Deaf awareness Week Campaign)</t>
  </si>
  <si>
    <t>Fund 01-2021-01-0014</t>
  </si>
  <si>
    <t>Fil Products Service TV Butuan, Inc</t>
  </si>
  <si>
    <t>Payment for subscription expense- cable TV subscription for the period November 28- December 27, 2020</t>
  </si>
  <si>
    <t>Fund 01-2021-01-0015</t>
  </si>
  <si>
    <t>Lime &amp; Zest Kitchen</t>
  </si>
  <si>
    <t>Payment for the provision of snacks and meal for the Salamat Mabuhay Awardee</t>
  </si>
  <si>
    <t>Fund 01-2021-01-0016</t>
  </si>
  <si>
    <t>Reversion of tax withheld on 2020 salaries of RAPID Growth Project Staff</t>
  </si>
  <si>
    <t>Fund 01-2021-01-0017</t>
  </si>
  <si>
    <t>Globe Telecom, Inc</t>
  </si>
  <si>
    <t>Payment of Globe Postpaid Plan Subscription for the month of December 16-January 15, 2021</t>
  </si>
  <si>
    <t>Fund 01-2021-01-0018</t>
  </si>
  <si>
    <t>Payment for postpaid plan subscription with cell no. 09177036798 acct. 49017022 for the period October- November 2020</t>
  </si>
  <si>
    <t>Fund 01-2021-01-0019</t>
  </si>
  <si>
    <t>Atoy Paint Center</t>
  </si>
  <si>
    <t>Payment of paint materials for repainting of IDD office shelves and cabinets.</t>
  </si>
  <si>
    <t>Fund 01-2021-01-0020</t>
  </si>
  <si>
    <t>Compañero Commercial</t>
  </si>
  <si>
    <t>Payment of  IDD office supplies- 4th quarter 2020</t>
  </si>
  <si>
    <t>Fund 01-2021-01-0021</t>
  </si>
  <si>
    <t>Kimson Commercial</t>
  </si>
  <si>
    <t>Fund 01-2021-01-0022</t>
  </si>
  <si>
    <t>Payment for the meals during the SSF RTWG Deliberation on November 26, 2020</t>
  </si>
  <si>
    <t>Fund 01-2021-01-0023</t>
  </si>
  <si>
    <t>True Brew Gourmet Coffee Shop</t>
  </si>
  <si>
    <t>Payment for the provision of meals during level 1 planning on December 10, 2020</t>
  </si>
  <si>
    <t>Fund 01-2021-01-0024</t>
  </si>
  <si>
    <t>Payment for the provision of meals during level 0 planning on December 04, 2020</t>
  </si>
  <si>
    <t>Fund 01-2021-01-0025</t>
  </si>
  <si>
    <t>LG Supplies and General Merchandise</t>
  </si>
  <si>
    <t>Payment for IT Supplies for ORD use.</t>
  </si>
  <si>
    <t>Fund 01-2021-01-0026</t>
  </si>
  <si>
    <t>Fund 01-2021-01-010</t>
  </si>
  <si>
    <t>Bond Premium for the renewal of Application for bond of accountable officers and employees- Marry Ann L. Pascual</t>
  </si>
  <si>
    <t>Fund 01-2021-01-0027</t>
  </si>
  <si>
    <t>Fund 01-2021-01-011</t>
  </si>
  <si>
    <t>LBPF/O DTI-AD N</t>
  </si>
  <si>
    <t>Fund 01-2021-01-0028</t>
  </si>
  <si>
    <t>Fund 01-2021-01-012</t>
  </si>
  <si>
    <t>Gay A. Tidalgo</t>
  </si>
  <si>
    <t>To reimburse the payment for globe postpaid plan subscription for the month of November 16- December 15, 2020 for the acct # 65087463</t>
  </si>
  <si>
    <t>Fund 01-2021-01-0029</t>
  </si>
  <si>
    <t>Fund 01-2021-01-013</t>
  </si>
  <si>
    <t>Payment for subscription expense- cable TV subscription for the period December 28- January 27, 2021</t>
  </si>
  <si>
    <t>Fund 01-2021-01-0030</t>
  </si>
  <si>
    <t>Toyota Butuan City</t>
  </si>
  <si>
    <t>Labor and materials for the DTI- Caraga Motor Vehicle 50km periodic maintenance- toyota Hilux</t>
  </si>
  <si>
    <t>Fund 01-2021-01-0031</t>
  </si>
  <si>
    <t>Payment for the 4th quarter 2020 FAD Office supplies</t>
  </si>
  <si>
    <t>Fund 01-2021-01-0032</t>
  </si>
  <si>
    <t>Hope Radio Phils DXHR Inc.</t>
  </si>
  <si>
    <t>Payment for radio subscription for the month of October to December 2020</t>
  </si>
  <si>
    <t>Fund 01-2021-01-0033</t>
  </si>
  <si>
    <t>JMN Multimedia Sales and Services</t>
  </si>
  <si>
    <t>Fund 01-2021-01-0034</t>
  </si>
  <si>
    <t>Ramil J. Leongas</t>
  </si>
  <si>
    <t>Full payment of Terminal Leave Benefits of Mr. Ramil J. Leongas</t>
  </si>
  <si>
    <t>Fund 01-2021-01-0035</t>
  </si>
  <si>
    <t>Payment for the tarpaulins during the conduct of Cooperative Month, 18-day campaign to end VAW and International Day of PWD's</t>
  </si>
  <si>
    <t>Fund 01-2021-01-0036</t>
  </si>
  <si>
    <t>Mahaneh Garments</t>
  </si>
  <si>
    <t>Payment for customized poloshirt during KMME Online sesssion batch 2 tokens for graduation</t>
  </si>
  <si>
    <t>Fund 01-2021-01-0037</t>
  </si>
  <si>
    <t>Payment of meals during LSP-NSB and PPG Year end assessment on December 22, 2020</t>
  </si>
  <si>
    <t>Fund 01-2021-01-0038</t>
  </si>
  <si>
    <t>Payment of meals during NC Year end Assessment and planning on December 9, 2020</t>
  </si>
  <si>
    <t>Fund 01-2021-01-0039</t>
  </si>
  <si>
    <t>Efren Sotto</t>
  </si>
  <si>
    <t>Payment of Honorariumj of panelist during BIP Presentation on September 21-23, 2020(KMME Online Session Batch 1</t>
  </si>
  <si>
    <t>Fund 01-2021-01-0040</t>
  </si>
  <si>
    <t>Angelito Cagulada</t>
  </si>
  <si>
    <t>Payment of Honorarium of panelist during BIP Presentation on September 21-23, 2020(KMME Online Session Batch 1</t>
  </si>
  <si>
    <t>Fund 01-2021-01-0041</t>
  </si>
  <si>
    <t>Maximo R. Yap</t>
  </si>
  <si>
    <t>Fund 01-2021-01-0042</t>
  </si>
  <si>
    <t>Kamile Angelie  Mabano</t>
  </si>
  <si>
    <t>Fund 01-2021-01-0043</t>
  </si>
  <si>
    <t>Renato Gatchalian</t>
  </si>
  <si>
    <t>Fund 01-2021-01-0044</t>
  </si>
  <si>
    <t>Cherille Ann Marie Mulawan</t>
  </si>
  <si>
    <t>Fund 01-2021-01-0045</t>
  </si>
  <si>
    <t>Vonne Vincent Gador</t>
  </si>
  <si>
    <t>Fund 01-2021-01-0046</t>
  </si>
  <si>
    <t>Gesila Laput</t>
  </si>
  <si>
    <t>Fund 01-2021-01-0047</t>
  </si>
  <si>
    <t>April Dabalos</t>
  </si>
  <si>
    <t>Payment of coaching session during KMME Online session batch 2(mentees: Ladlad, Galinato, Ranoa) on November 16-27, 2020</t>
  </si>
  <si>
    <t>Fund 01-2021-01-0048</t>
  </si>
  <si>
    <t>Fund 01-2021-01-015</t>
  </si>
  <si>
    <t>JWL Sourcing Group, Inc</t>
  </si>
  <si>
    <t>Fuel comsumption for the period December 1-31, 2020</t>
  </si>
  <si>
    <t>Fund 01-2021-01-0049</t>
  </si>
  <si>
    <t>Fund 01-2021-01-017</t>
  </si>
  <si>
    <t>Advances for the conduct of FAD Functional Team Meeting on January 25, 2021</t>
  </si>
  <si>
    <t>Fund 01-2021-01-0050</t>
  </si>
  <si>
    <t>Fund 01-2021-01-018</t>
  </si>
  <si>
    <t>Fund 01-2021-01-0051</t>
  </si>
  <si>
    <t>Fund 01-2021-01-019</t>
  </si>
  <si>
    <t>OIC, DTI-SDS</t>
  </si>
  <si>
    <t>Fund 01-2021-01-0052</t>
  </si>
  <si>
    <t>Fund 01-2021-01-020</t>
  </si>
  <si>
    <t>PD,DTI-PDI</t>
  </si>
  <si>
    <t>Fund 01-2021-01-0053</t>
  </si>
  <si>
    <t>Fund 01-2021-01-016</t>
  </si>
  <si>
    <t>PD,DTI-AND</t>
  </si>
  <si>
    <t>Fund 01-2021-01-0054</t>
  </si>
  <si>
    <t>Payment for the salaries and allowances of regular employees for the period of January 16-31, 2021</t>
  </si>
  <si>
    <t>Fund 01-2021-01-0055</t>
  </si>
  <si>
    <t>Fund 01-2021-01-0056</t>
  </si>
  <si>
    <t>Fund 01-2021-01-0057</t>
  </si>
  <si>
    <t>Fund 01-2021-01-0058</t>
  </si>
  <si>
    <t>Fund 01-2021-01-0059</t>
  </si>
  <si>
    <t>LBP F/O DTI-AD N</t>
  </si>
  <si>
    <t>Fund 01-2021-01-0060</t>
  </si>
  <si>
    <t>Fund 01-2021-01-014</t>
  </si>
  <si>
    <t>Petty cash Fund Replenishment (2021-01-001, Jan 18-20, 2021</t>
  </si>
  <si>
    <t>Fund 01-2021-01-0061</t>
  </si>
  <si>
    <t>ANECO, Inc.</t>
  </si>
  <si>
    <t>Payment for utilities expense- electricity for the period September 20- October 19, 2020</t>
  </si>
  <si>
    <t>Fund 01-2021-01-0062</t>
  </si>
  <si>
    <t>Payment for the lunch during the soft launching of OTOP PH Hub at SM City Butuan on November 13, 2020.</t>
  </si>
  <si>
    <t>Fund 01-2021-01-0063</t>
  </si>
  <si>
    <t>D.O Plaza Holdings Corp.</t>
  </si>
  <si>
    <t>Partial payment for office rental for the month of January 2021</t>
  </si>
  <si>
    <t>Fund 01-2021-01-0064</t>
  </si>
  <si>
    <t>Full payment for office rental for the month of January 2021</t>
  </si>
  <si>
    <t>Fund 01-2021-01-0065</t>
  </si>
  <si>
    <t xml:space="preserve">JRS Business Corporation </t>
  </si>
  <si>
    <t>Payment for courier services for the month December 2020</t>
  </si>
  <si>
    <t>Fund 01-2021-01-0066</t>
  </si>
  <si>
    <t xml:space="preserve">Payment for the plaque of recognition for Salamat Mabuhay Awardee </t>
  </si>
  <si>
    <t>Fund 01-2021-01-0067</t>
  </si>
  <si>
    <t>Payment for subscription expense- Newspaper for the period December 2020</t>
  </si>
  <si>
    <t>Fund 01-2021-01-0068</t>
  </si>
  <si>
    <t>Payment of Laptop (JPPA) for IDD office use.</t>
  </si>
  <si>
    <t>Fund 01-2021-01-0069</t>
  </si>
  <si>
    <t>Fund 01-2021-01-022</t>
  </si>
  <si>
    <t>Payment for initial salary as Admin Aide VI of DTI-RO for the period Jan 4-31, 2021</t>
  </si>
  <si>
    <t>Fund 01-2021-01-0070</t>
  </si>
  <si>
    <t>Visual Arts &amp; scenography</t>
  </si>
  <si>
    <t>Payment for the tokens during the soft launching of OTOP PH Hub at SM City Butuan on November 13, 2020</t>
  </si>
  <si>
    <t>Fund 01-2021-01-0071</t>
  </si>
  <si>
    <t>Joseph Arnold de Guzman</t>
  </si>
  <si>
    <t>Payment of coaching session during KMME Online session batch 2(mentees:Ragas, Magtibay, Nojara) on November 16-27, 2020</t>
  </si>
  <si>
    <t>Fund 01-2021-01-0072</t>
  </si>
  <si>
    <t>Payment for 4th quarter 2020 office supplies for ORD office use</t>
  </si>
  <si>
    <t>Fund 01-2021-01-0073</t>
  </si>
  <si>
    <t>Payment for RAPID office supplies-4th quarter</t>
  </si>
  <si>
    <t>Fund 01-2021-01-0074</t>
  </si>
  <si>
    <t>Datalan Communications</t>
  </si>
  <si>
    <t>Payment for wifi adapter, usb 2.0 for ORD and RAPID Office</t>
  </si>
  <si>
    <t>Fund 01-2021-01-0075</t>
  </si>
  <si>
    <t>Payment for the purchase of laptop computer for CPD Office use</t>
  </si>
  <si>
    <t>Fund 01-2021-01-0076</t>
  </si>
  <si>
    <t>Berfabs Arts and Crafts Manufacturing</t>
  </si>
  <si>
    <t>Payment of token (customized tumbler) for mentees during the KMME Graduation Batch 2 on December 7, 2020.</t>
  </si>
  <si>
    <t>Fund 01-2021-01-0077</t>
  </si>
  <si>
    <t>Mercado's Sudlanan Atbp</t>
  </si>
  <si>
    <t>Payment for the committee tshirts during the grand launching of OTOP PH Hub at SM City Butuan on December 18, 2020</t>
  </si>
  <si>
    <t>Fund 01-2021-01-0078</t>
  </si>
  <si>
    <t>Create Food, Inc</t>
  </si>
  <si>
    <t>Payment for the tokens during the conduct of grand launching of OTOP PH Hub at SM City Butuan on December 18, 2020</t>
  </si>
  <si>
    <t>Fund 01-2021-01-0079</t>
  </si>
  <si>
    <t>Sinograpiko Art Services</t>
  </si>
  <si>
    <t>Payment for the customized leis during the grand launching of OTOP PH Hub at SM City Butuan on December 18, 2020</t>
  </si>
  <si>
    <t>Fund 01-2021-01-0080</t>
  </si>
  <si>
    <t>Essential Vows Weddings &amp; Events</t>
  </si>
  <si>
    <t>Payment for the event organizer during the conduct of Grand Launching of OTOP PH Hub at SM City Butuan on December 18, 2020</t>
  </si>
  <si>
    <t>Fund 01-2021-01-0081</t>
  </si>
  <si>
    <t>New Era Audio and Light Sales &amp; Rental</t>
  </si>
  <si>
    <t>Payment for the sounds and lights during the conduct of grand launching of OTOP PH Hub at SM City Butuan on Dec 18, 2020.</t>
  </si>
  <si>
    <t>Fund 01-2021-01-0082</t>
  </si>
  <si>
    <t>JCB Express Solution</t>
  </si>
  <si>
    <t>Payment for the tarpaulins during the grand launching of OTOP PH Hub at SM City Butuan Cityon December 18, 2020</t>
  </si>
  <si>
    <t>Fund 01-2021-01-0083</t>
  </si>
  <si>
    <t>Payment for customized invitations for the OTOP PH Hub Launching last December 18, 2020</t>
  </si>
  <si>
    <t>Fund 01-2021-01-0084</t>
  </si>
  <si>
    <t>Ralph O. Gorgonio</t>
  </si>
  <si>
    <t>Reimbursement  portable wifi modem for office of the RD</t>
  </si>
  <si>
    <t>Fund 01-2021-01-0085</t>
  </si>
  <si>
    <t>LBP, F/O DTI- JO</t>
  </si>
  <si>
    <t>Payment of Jor orders for the period January 5-15, 2021</t>
  </si>
  <si>
    <t>Fund 01-2021-01-0086</t>
  </si>
  <si>
    <t>Fund 01-2021-01-029</t>
  </si>
  <si>
    <t>Fund 01-2021-01-0087</t>
  </si>
  <si>
    <t>Fund 01-2021-01-0088</t>
  </si>
  <si>
    <t>PHIC-Butuan City</t>
  </si>
  <si>
    <t>Remittance of PHIC premiums (EE &amp; ER) for the month of January 2021</t>
  </si>
  <si>
    <t>Fund 01-2021-01-0089</t>
  </si>
  <si>
    <t>Fund 01-2021-01-027</t>
  </si>
  <si>
    <t>Joselyn  Ang</t>
  </si>
  <si>
    <t>Space rental DTI Storage area</t>
  </si>
  <si>
    <t>Fund 01-2021-01-0090</t>
  </si>
  <si>
    <t>Fund 01-2021-01-024</t>
  </si>
  <si>
    <t>Butuan City Water District</t>
  </si>
  <si>
    <t>Payment for utilities expense- water for the period December ,2020- January 2021</t>
  </si>
  <si>
    <t>Fund 01-2021-01-0091</t>
  </si>
  <si>
    <t>Fund 01-2021-01-023</t>
  </si>
  <si>
    <t>Payment of drinking water for the period November to December 2020</t>
  </si>
  <si>
    <t>Fund 01-2021-01-0092</t>
  </si>
  <si>
    <t>Fund 01-2021-01-026</t>
  </si>
  <si>
    <t>Marry Ann L. Pascual</t>
  </si>
  <si>
    <t>Reimbursement  for the decorations and supplies during the oath taking ceremony cum orientation for newly hired and promoted employees on Januray 11, 2021</t>
  </si>
  <si>
    <t>Fund 01-2021-01-0093</t>
  </si>
  <si>
    <t>Remittance of refund on disallowance of Mr. JonathanLagang for the month of January 2021</t>
  </si>
  <si>
    <t>Fund 01-2021-01-0094</t>
  </si>
  <si>
    <t>Remittance of payment of refund on wtx on compensation for the year 2020 deducted from the full payment of Terminal Leave Benefits of Ramil Leongas</t>
  </si>
  <si>
    <t>Fund 01-2021-01-0095</t>
  </si>
  <si>
    <t xml:space="preserve">DTI-Employees Union </t>
  </si>
  <si>
    <t>Remittance of HMO premium for principal &amp; dependents for the month of January 2021</t>
  </si>
  <si>
    <t>Fund 01-2021-01-0096</t>
  </si>
  <si>
    <t>DTI-Provident Fund</t>
  </si>
  <si>
    <t>Remittance of Provident premium &amp; loan payment for the month of January 2021</t>
  </si>
  <si>
    <t>Fund 01-2021-01-0097</t>
  </si>
  <si>
    <t>DTI-MDBF</t>
  </si>
  <si>
    <t>Remittance of MDBF premium for the month of January 2021</t>
  </si>
  <si>
    <t>Fund 01-2021-01-0098</t>
  </si>
  <si>
    <t>Sunlife of Canada Phils. Inc</t>
  </si>
  <si>
    <t>Remittance of insurance premium for the month of January 2021</t>
  </si>
  <si>
    <t>Fund 01-2021-01-0099</t>
  </si>
  <si>
    <t>HDMF- Butuan City</t>
  </si>
  <si>
    <t>Remittance of HDMF premiums and loans payment of regular employees for the month of Januray 2021</t>
  </si>
  <si>
    <t>Fund 01-2021-01-0100</t>
  </si>
  <si>
    <t>Sure Dev't Cooperative</t>
  </si>
  <si>
    <t>Remittance of Regular employees coop deductions for the month of January 2021</t>
  </si>
  <si>
    <t>Fund 01-2021-01-0101</t>
  </si>
  <si>
    <t>Fund 01-2021-01-0102</t>
  </si>
  <si>
    <t>DREAMCO MPC</t>
  </si>
  <si>
    <t>Fund 01-2021-01-0103</t>
  </si>
  <si>
    <t>Rhosallee V. Espinoza</t>
  </si>
  <si>
    <t>Refund of HDMF Multi[purpose loan deducted from January payrol</t>
  </si>
  <si>
    <t>Fund 01-2021-01-0104</t>
  </si>
  <si>
    <t>Fund 01-2021-01-031</t>
  </si>
  <si>
    <t>Joselito B.Paler</t>
  </si>
  <si>
    <t>Payment of CARP staff salaries &amp; allowances for the month of January 2021</t>
  </si>
  <si>
    <t>Fund 01-2021-01-0105</t>
  </si>
  <si>
    <t>Fund 01-2021-01-032</t>
  </si>
  <si>
    <t>LBP F/O DTI AND</t>
  </si>
  <si>
    <t>Fund 01-2021-01-0106</t>
  </si>
  <si>
    <t>Fund 01-2021-01-033</t>
  </si>
  <si>
    <t>Lemuel D. Roboca</t>
  </si>
  <si>
    <t>Fund 01-2021-01-0107</t>
  </si>
  <si>
    <t>Fund 01-2021-01-034</t>
  </si>
  <si>
    <t>Fund 01-2021-01-0108</t>
  </si>
  <si>
    <t>Fund 01-2021-01-035</t>
  </si>
  <si>
    <t>LBP F/O DTI SDS</t>
  </si>
  <si>
    <t>Fund 01-2021-01-0109</t>
  </si>
  <si>
    <t>Fund 01-2021-01-036</t>
  </si>
  <si>
    <t>Fund 01-2021-01-0110</t>
  </si>
  <si>
    <t>Innove Communications, Inc</t>
  </si>
  <si>
    <t>Payment of zoom application for the month of July- Oct 2020</t>
  </si>
  <si>
    <t>Fund 01-2021-01-0111</t>
  </si>
  <si>
    <t>LBP F/O Honoraria of the KMME Panelist</t>
  </si>
  <si>
    <t>Honoraria of panelist during KMME Online class session batch 1 BIP presentation on September 21-23, 2020 thru zoom app</t>
  </si>
  <si>
    <t>Fund 01-2021-02-0112</t>
  </si>
  <si>
    <t>Remittance of GSIS Premiums (EE &amp; ER Share) and loans payment for the month of January 2021.</t>
  </si>
  <si>
    <t>Fund 01-2021-02-0113</t>
  </si>
  <si>
    <t>Lyza D. Trapal</t>
  </si>
  <si>
    <t>Reimb of tokens/prizes during LSP-NSB and PPG Year end asessment on December 22, 2020</t>
  </si>
  <si>
    <t>Fund 01-2021-02-0113A</t>
  </si>
  <si>
    <t>Fund 01-2021-02-041A</t>
  </si>
  <si>
    <t>Fund 01-2021-02-0113B</t>
  </si>
  <si>
    <t>Fund 01-2021-02-0113C</t>
  </si>
  <si>
    <t>Fund 01-2021-02-0113D</t>
  </si>
  <si>
    <t>Fund 01-2021-02-0113E</t>
  </si>
  <si>
    <t>Fund 01-2021-02-0113F</t>
  </si>
  <si>
    <t>Fund 01-2021-02-0113G</t>
  </si>
  <si>
    <t>Fund 01-2021-02-0114</t>
  </si>
  <si>
    <t>Fund 01-2021-02-0115</t>
  </si>
  <si>
    <t>Fund 01-2021-02-0116</t>
  </si>
  <si>
    <t>Fund 01-2021-02-0117</t>
  </si>
  <si>
    <t>Fund 01-2021-02-0118</t>
  </si>
  <si>
    <t>Dreamco MPC</t>
  </si>
  <si>
    <t xml:space="preserve">Remittance of coop deductions from PDI( additional remittance) for the month of January 2021 </t>
  </si>
  <si>
    <t>Fund 01-2021-02-0119</t>
  </si>
  <si>
    <t>Remittance of PHIC premiums ( EE &amp; ER share) of newly hired employee, Ms. Maribel P. Timogan for the month of January 2021</t>
  </si>
  <si>
    <t>Fund 01-2021-02-0120</t>
  </si>
  <si>
    <t>Remittance of HDMF premiums ( EE &amp; ER share) of newly hired employee, Ms. Maribel P. Timogan for the month of January 2021</t>
  </si>
  <si>
    <t>Fund 01-2021-02-0121</t>
  </si>
  <si>
    <t>Land Bank of the Philippines</t>
  </si>
  <si>
    <t>Gratuity Pay for RAPID Staff</t>
  </si>
  <si>
    <t>Fund 01-2021-02-0122</t>
  </si>
  <si>
    <t>Fund 01-2021-02-0123</t>
  </si>
  <si>
    <t>DTI-Employees Union</t>
  </si>
  <si>
    <t>Remittance of DTI EU membership and EU dues premium of newly hired employee, Ms. Maribel P. Timogan for the month of January 2021</t>
  </si>
  <si>
    <t>Fund 01-2021-02-0124</t>
  </si>
  <si>
    <t>Remittance of provident fund premium and membership fee of newly hired employee, Ms. Maribel P. Timogan for the month of January 2021</t>
  </si>
  <si>
    <t>Fund 01-2021-02-0125</t>
  </si>
  <si>
    <t>Remittance of MDBF premium of newly hired employee, Ms. Maribel P. Timogan for the month of January 2021</t>
  </si>
  <si>
    <t>Fund 01-2021-02-0126</t>
  </si>
  <si>
    <t>Almont Hotel Inc.</t>
  </si>
  <si>
    <t>Payment for packed lunched re: OTOP Ph Hub (Food) launching last December 18, 2020</t>
  </si>
  <si>
    <t>Fund 01-2021-02-0127</t>
  </si>
  <si>
    <t>Remittance of premiums (EE &amp; ER share) and loans payment for the month of January 2021</t>
  </si>
  <si>
    <t>Fund 01-2021-02-0128</t>
  </si>
  <si>
    <t>Fund 01-2021-02-0129</t>
  </si>
  <si>
    <t>Remittance of premiums and loans payment for the month of January 2021</t>
  </si>
  <si>
    <t>Fund 01-2021-02-0130</t>
  </si>
  <si>
    <t>Remittance of DTI-EU dues of CARP employees for the month of January 2021</t>
  </si>
  <si>
    <t>Fund 01-2021-02-0131</t>
  </si>
  <si>
    <t>Remittance of MDBF of CARP employees for the month of January 2021</t>
  </si>
  <si>
    <t>Fund 01-2021-02-0132</t>
  </si>
  <si>
    <t xml:space="preserve">Remittance of coop deductions ( additional remittance) for the month of January 2021 </t>
  </si>
  <si>
    <t>Fund 01-2021-02-0133</t>
  </si>
  <si>
    <t>Fund 01-2021-02-037</t>
  </si>
  <si>
    <t>Payment for RATA for February 2021</t>
  </si>
  <si>
    <t>Fund 01-2021-02-0134</t>
  </si>
  <si>
    <t>Remittance coop deductions from RATA for February 2021</t>
  </si>
  <si>
    <t>Fund 01-2021-02-0135</t>
  </si>
  <si>
    <t>Fund 01-2021-02-042</t>
  </si>
  <si>
    <t>Advances to the SSF MOOE 2021 for the cosultancy/ repair of defective SSF Equipments</t>
  </si>
  <si>
    <t>Fund 01-2021-02-0136</t>
  </si>
  <si>
    <t>Fund 01-2021-02-046</t>
  </si>
  <si>
    <t>Advances to the IDD Regular MOOE OO2 2021-1st quarter 2021</t>
  </si>
  <si>
    <t>Fund 01-2021-02-0137</t>
  </si>
  <si>
    <t>Fund 01-2021-02-047</t>
  </si>
  <si>
    <t>Fund 01-2021-02-0138</t>
  </si>
  <si>
    <t>Fund 01-2021-02-048</t>
  </si>
  <si>
    <t>Fund 01-2021-02-0139</t>
  </si>
  <si>
    <t>Fund 01-2021-02-049</t>
  </si>
  <si>
    <t>Fund 01-2021-02-0140</t>
  </si>
  <si>
    <t>Fund 01-2021-02-050</t>
  </si>
  <si>
    <t>Fund 01-2021-02-0141</t>
  </si>
  <si>
    <t>Fund 01-2021-02-051</t>
  </si>
  <si>
    <t>Advances to the IDD Regular MOOE OO1 2021-1st quarter 2021</t>
  </si>
  <si>
    <t>Fund 01-2021-02-0142</t>
  </si>
  <si>
    <t>Fund 01-2021-02-052</t>
  </si>
  <si>
    <t>Fund 01-2021-02-0143</t>
  </si>
  <si>
    <t>Fund 01-2021-02-053</t>
  </si>
  <si>
    <t>Fund 01-2021-02-0144</t>
  </si>
  <si>
    <t>Fund 01-2021-02-054</t>
  </si>
  <si>
    <t>Fund 01-2021-02-0145</t>
  </si>
  <si>
    <t>Fund 01-2021-02-055</t>
  </si>
  <si>
    <t>Fund 01-2021-02-0146</t>
  </si>
  <si>
    <t>Fund 01-2021-02-058</t>
  </si>
  <si>
    <t>Advances, regular MOOE for January and February 2021</t>
  </si>
  <si>
    <t>Fund 01-2021-02-0147</t>
  </si>
  <si>
    <t>Fund 01-2021-02-059</t>
  </si>
  <si>
    <t>Fund 01-2021-02-0148</t>
  </si>
  <si>
    <t>Fund 01-2021-02-060</t>
  </si>
  <si>
    <t>Fund 01-2021-02-0149</t>
  </si>
  <si>
    <t>Fund 01-2021-02-061</t>
  </si>
  <si>
    <t>Fund 01-2021-02-0150</t>
  </si>
  <si>
    <t>Fund 01-2021-02-062</t>
  </si>
  <si>
    <t>Fund 01-2021-02-0151</t>
  </si>
  <si>
    <t>Fund 01-2021-02-063</t>
  </si>
  <si>
    <t>Payment for JO for the period January 16-31, 2021</t>
  </si>
  <si>
    <t>Fund 01-2021-02-0152</t>
  </si>
  <si>
    <t>Fund 01-2021-02-064</t>
  </si>
  <si>
    <t>Fund 01-2021-02-0153</t>
  </si>
  <si>
    <t>Fund 01-2021-02-0154</t>
  </si>
  <si>
    <t>Fund 01-2021-02-0155</t>
  </si>
  <si>
    <t>Fund 01-2021-02-0156</t>
  </si>
  <si>
    <t>Renato S. Corvera Jr.</t>
  </si>
  <si>
    <t>Refund of GSIS-Emergency Loan deduction for the month of January 2021</t>
  </si>
  <si>
    <t>Fund 01-2021-02-0157</t>
  </si>
  <si>
    <t>Fund 01-2021-02-038</t>
  </si>
  <si>
    <t>Payment for the  extraordinary expenses</t>
  </si>
  <si>
    <t>Fund 01-2021-02-0158</t>
  </si>
  <si>
    <t>Fund 01-2021-02-039</t>
  </si>
  <si>
    <t>Reimbursement of RATA for January 2021</t>
  </si>
  <si>
    <t>Fund 01-2021-02-0159</t>
  </si>
  <si>
    <t>Papelemento Visual Arts &amp; scenography</t>
  </si>
  <si>
    <t>Fund 01-2021-02-0160</t>
  </si>
  <si>
    <t>Fund 01-2021-02-056</t>
  </si>
  <si>
    <t>Petty cash fund replenishment 2021-02-002 Jan 21- Feb 3, 2021</t>
  </si>
  <si>
    <t>Fund 01-2021-02-0161</t>
  </si>
  <si>
    <t>Fund 01-2021-02-057</t>
  </si>
  <si>
    <t>Payment for subscription expense- newspaper for the period January 2021</t>
  </si>
  <si>
    <t>Fund 01-2021-02-0162</t>
  </si>
  <si>
    <t>Fund 01-2021-02-043</t>
  </si>
  <si>
    <t>Freedcarmariam D. Gonzaga</t>
  </si>
  <si>
    <t>Travel expenses incurred during the SSF Monitoring and validation visit in VARARBEMCO and ASSAT last January 20, 2021</t>
  </si>
  <si>
    <t>Fund 01-2021-02-0163</t>
  </si>
  <si>
    <t>Fund 01-2021-02-044</t>
  </si>
  <si>
    <t>Ira S. Mantilla</t>
  </si>
  <si>
    <t>Fund 01-2021-02-0164</t>
  </si>
  <si>
    <t>Fund 01-2021-02-045</t>
  </si>
  <si>
    <t>Rey B. Acabo</t>
  </si>
  <si>
    <t>Fund 01-2021-02-0165</t>
  </si>
  <si>
    <t>Fund 01-2021-02-0166</t>
  </si>
  <si>
    <t>Fund 01-2021-02-0167</t>
  </si>
  <si>
    <t>Payment for printer toners for ORD use</t>
  </si>
  <si>
    <t>Fund 01-2021-02-0168</t>
  </si>
  <si>
    <t>ZJ Trading and Services</t>
  </si>
  <si>
    <t>Payment of Combinations Blinds for IDD Office use</t>
  </si>
  <si>
    <t>Fund 01-2021-02-0169</t>
  </si>
  <si>
    <t>Payment for the 4th quarter office supplies for RAPID office use.</t>
  </si>
  <si>
    <t>Fund 01-2021-02-0170</t>
  </si>
  <si>
    <t>Fund 01-2021-02-040</t>
  </si>
  <si>
    <t>Procurement Service</t>
  </si>
  <si>
    <t>Payment for IDD Office supplies for 1st quarter 2021, for IDD office use</t>
  </si>
  <si>
    <t>Fund 01-2021-02-0171</t>
  </si>
  <si>
    <t>Fund 01-2021-02-041</t>
  </si>
  <si>
    <t>Royelen B. Taala</t>
  </si>
  <si>
    <t>Reimbursement for the payment of the Planner 2021 for IDD office use.</t>
  </si>
  <si>
    <t>Fund 01-2021-02-0172</t>
  </si>
  <si>
    <t>Fund 01-2021-02-065</t>
  </si>
  <si>
    <t>Payment for salary differential due to CES salary adjustment for the period Dec. 3, 2020 to Jan 31, 2021.</t>
  </si>
  <si>
    <t>Fund 01-2021-02-0173</t>
  </si>
  <si>
    <t>Remittance of GSIS Premiums (SIC &amp; RLIP) deducted from the salary of ARD Gay A. Tidalgom for the month of Jan 2021</t>
  </si>
  <si>
    <t>Fund 01-2021-02-0174</t>
  </si>
  <si>
    <t>Remittance of GSIS Premiums (SIC) deducted from the salary of ARD Gay A. Tidalgom for the month of Jan 2021</t>
  </si>
  <si>
    <t>Fund 01-2021-02-0175</t>
  </si>
  <si>
    <t>Remittance Job orders coop deductions for the period January 5-31, 2020</t>
  </si>
  <si>
    <t>Fund 01-2021-02-0176</t>
  </si>
  <si>
    <t>Fund 01-2021-02-066</t>
  </si>
  <si>
    <t>Payment of Job orders for the period January 16-31, 2021</t>
  </si>
  <si>
    <t>Fund 01-2021-02-0177</t>
  </si>
  <si>
    <t>Fund 01-2021-02-067</t>
  </si>
  <si>
    <t>FT transfer for NC implementation- January 2021</t>
  </si>
  <si>
    <t>Fund 01-2021-02-0178</t>
  </si>
  <si>
    <t>Fund 01-2021-02-068</t>
  </si>
  <si>
    <t>Fund 01-2021-02-0179</t>
  </si>
  <si>
    <t>Fund 01-2021-02-069</t>
  </si>
  <si>
    <t>Fund 01-2021-02-0180</t>
  </si>
  <si>
    <t>Fund 01-2021-02-070</t>
  </si>
  <si>
    <t>Fund 01-2021-02-0181</t>
  </si>
  <si>
    <t>Fund 01-2021-02-071</t>
  </si>
  <si>
    <t>Fund 01-2021-02-0182</t>
  </si>
  <si>
    <t>Fund 01-2021-02-0183</t>
  </si>
  <si>
    <t>Jasmin B. Faelnar</t>
  </si>
  <si>
    <t>Reimbursement for the prizes for teambuilding activities during the 2020 Negosyo Center Year end and Planning.</t>
  </si>
  <si>
    <t>Fund 01-2021-02-0184</t>
  </si>
  <si>
    <t>Fund 01-2021-02-0185</t>
  </si>
  <si>
    <t>Fund 01-2021-02-072</t>
  </si>
  <si>
    <t>Payment for salary differential due to SSL 5 for the month of January 2021</t>
  </si>
  <si>
    <t>Fund 01-2021-02-0186</t>
  </si>
  <si>
    <t>Fund 01-2021-02-073</t>
  </si>
  <si>
    <t>LBP F/O DTI-AND</t>
  </si>
  <si>
    <t>Fund 01-2021-02-0187</t>
  </si>
  <si>
    <t>Fund 01-2021-02-074</t>
  </si>
  <si>
    <t>Fund 01-2021-02-0188</t>
  </si>
  <si>
    <t>Fund 01-2021-02-075</t>
  </si>
  <si>
    <t>Fund 01-2021-02-0189</t>
  </si>
  <si>
    <t>Fund 01-2021-02-076</t>
  </si>
  <si>
    <t>Fund 01-2021-02-0190</t>
  </si>
  <si>
    <t>Fund 01-2021-02-077</t>
  </si>
  <si>
    <t>Fund 01-2021-02-0191</t>
  </si>
  <si>
    <t>Fund 01-2021-02-078</t>
  </si>
  <si>
    <t>Globe Telecom, Inc.</t>
  </si>
  <si>
    <t>Payment for postpaid plan with cell no. 091770367098 acct no. 49017022</t>
  </si>
  <si>
    <t>Fund 01-2021-02-0192</t>
  </si>
  <si>
    <t>Fund 01-2021-02-079</t>
  </si>
  <si>
    <t>Vehicle insurance for Toyota Hilux for the period March 1, 2021-March 1, 2022</t>
  </si>
  <si>
    <t>Fund 01-2021-02-0193</t>
  </si>
  <si>
    <t>Fund 01-2021-02-081</t>
  </si>
  <si>
    <t>Payment for postpaid plan with cell no. 09178656567-acct no.1094019348</t>
  </si>
  <si>
    <t>Fund 01-2021-02-0194</t>
  </si>
  <si>
    <t>Fund 01-2021-02-080</t>
  </si>
  <si>
    <t>Payment of meals during the SDD Functional Team Meeting on January 19, 2021</t>
  </si>
  <si>
    <t>Fund 01-2021-02-0195</t>
  </si>
  <si>
    <t>Fund 01-2021-02-082</t>
  </si>
  <si>
    <t>Payment for salaries and allowances for Regular employees for the month of February 2021</t>
  </si>
  <si>
    <t>Fund 01-2021-02-0196</t>
  </si>
  <si>
    <t>Fund 01-2021-02-083</t>
  </si>
  <si>
    <t>Fund 01-2021-02-0197</t>
  </si>
  <si>
    <t>Fund 01-2021-02-084</t>
  </si>
  <si>
    <t>Fund 01-2021-02-0198</t>
  </si>
  <si>
    <t>Fund 01-2021-02-085</t>
  </si>
  <si>
    <t>Payment for salary differential due to step increment from Jan 4-31, 2021</t>
  </si>
  <si>
    <t>Fund 01-2021-02-0199</t>
  </si>
  <si>
    <t>Fund 01-2021-02-086</t>
  </si>
  <si>
    <t>Marian Corazon R. Togonon</t>
  </si>
  <si>
    <t>Fund 01-2021-02-0200</t>
  </si>
  <si>
    <t>Fund 01-2021-02-087</t>
  </si>
  <si>
    <t>Fund 01-2021-02-0201</t>
  </si>
  <si>
    <t>Fund 01-2021-02-088</t>
  </si>
  <si>
    <t>Payment for salary differential due to promotion from Jan 4-31, 2021</t>
  </si>
  <si>
    <t>Fund 01-2021-02-0202</t>
  </si>
  <si>
    <t>Fund 01-2021-02-089</t>
  </si>
  <si>
    <t>Fund 01-2021-02-0203</t>
  </si>
  <si>
    <t>Fund 01-2021-02-090</t>
  </si>
  <si>
    <t>Joselito B. Paler</t>
  </si>
  <si>
    <t>Fund 01-2021-02-0204</t>
  </si>
  <si>
    <t>Fund 01-2021-02-116</t>
  </si>
  <si>
    <t>Fund 01-2021-02-0205</t>
  </si>
  <si>
    <t>Fund 01-2021-02-115</t>
  </si>
  <si>
    <t>Fund 01-2021-02-0206</t>
  </si>
  <si>
    <t>Fund 01-2021-02-114</t>
  </si>
  <si>
    <t>Fund 01-2021-02-0207</t>
  </si>
  <si>
    <t>Fund 01-2021-02-113</t>
  </si>
  <si>
    <t>Fund 01-2021-02-0208</t>
  </si>
  <si>
    <t>Fund 01-2021-02-111</t>
  </si>
  <si>
    <t>Fund 01-2021-02-0209</t>
  </si>
  <si>
    <t>Fund 01-2021-02-112</t>
  </si>
  <si>
    <t>Fund 01-2021-02-0210</t>
  </si>
  <si>
    <t>Fund 01-2021-02-117</t>
  </si>
  <si>
    <t>Fund 01-2021-02-0210A</t>
  </si>
  <si>
    <t>Fund 01-2021-02-0211</t>
  </si>
  <si>
    <t>Fund 01-2021-02-118</t>
  </si>
  <si>
    <t>Loida C. Gumahin</t>
  </si>
  <si>
    <t>Payment for initial salary as Contractual Staff under NC PROGRAM for January 18-31, 2021</t>
  </si>
  <si>
    <t>Fund 01-2021-02-0212</t>
  </si>
  <si>
    <t>Fund 01-2021-02-119</t>
  </si>
  <si>
    <t>Rezel May C. Goloran</t>
  </si>
  <si>
    <t>Fund 01-2021-02-0213</t>
  </si>
  <si>
    <t>Fund 01-2021-02-120</t>
  </si>
  <si>
    <t>Elyn Rose A. Ranario</t>
  </si>
  <si>
    <t>Fund 01-2021-02-0214</t>
  </si>
  <si>
    <t>Fund 01-2021-02-121</t>
  </si>
  <si>
    <t>Carl Mars P. Ravelo</t>
  </si>
  <si>
    <t>Fund 01-2021-02-0215</t>
  </si>
  <si>
    <t>Fund 01-2021-02-122</t>
  </si>
  <si>
    <t>Olimar O. Sulapas</t>
  </si>
  <si>
    <t>Fund 01-2021-02-0216</t>
  </si>
  <si>
    <t>Fund 01-2021-02-123</t>
  </si>
  <si>
    <t>Payment for salary of NC staff for the month of February 2021</t>
  </si>
  <si>
    <t>Fund 01-2021-02-0217</t>
  </si>
  <si>
    <t>Remittance of COOP deductions for the month of February 2021</t>
  </si>
  <si>
    <t>Fund 01-2021-02-0218</t>
  </si>
  <si>
    <t>Fund 01-2021-02-095</t>
  </si>
  <si>
    <t>PD, DTI-AND</t>
  </si>
  <si>
    <t>Advances for LSP-NSB Implementation for 1st qtr 2021</t>
  </si>
  <si>
    <t>Fund 01-2021-02-0219</t>
  </si>
  <si>
    <t>Fund 01-2021-02-096</t>
  </si>
  <si>
    <t>Fund 01-2021-02-0220</t>
  </si>
  <si>
    <t>Fund 01-2021-02-097</t>
  </si>
  <si>
    <t>Fund 01-2021-02-0221</t>
  </si>
  <si>
    <t>Fund 01-2021-02-098</t>
  </si>
  <si>
    <t>Fund 01-2021-02-0222</t>
  </si>
  <si>
    <t>Fund 01-2021-02-099</t>
  </si>
  <si>
    <t>Fund 01-2021-02-0223</t>
  </si>
  <si>
    <t>Fund 01-2021-02-144</t>
  </si>
  <si>
    <t>Salaries paid RAPID RCU Staff- January 1-31, 2021</t>
  </si>
  <si>
    <t>Fund 01-2021-02-0224</t>
  </si>
  <si>
    <t>Fund 01-2021-02-094</t>
  </si>
  <si>
    <t>Payment for office rental for the month of February 2021</t>
  </si>
  <si>
    <t>Fund 01-2021-02-0225</t>
  </si>
  <si>
    <t>Fund 01-2021-02-110</t>
  </si>
  <si>
    <t>Neilab'z Express</t>
  </si>
  <si>
    <t>Payment for van rental during the conduct of OTOP PH Hub briefing in Tandag City on Januray 21, 2021 and Surigao City on January 29, 2021.</t>
  </si>
  <si>
    <t>Fund 01-2021-02-0226</t>
  </si>
  <si>
    <t>Fund 01-2021-02-124</t>
  </si>
  <si>
    <t>PLDT Inc.</t>
  </si>
  <si>
    <t>Payment for landline subsciprion acct no. 0606033214(815-1271)</t>
  </si>
  <si>
    <t>Fund 01-2021-02-0227</t>
  </si>
  <si>
    <t>Fund 01-2021-02-125</t>
  </si>
  <si>
    <t>Payment for landline subsciprion acct no. 0216371283(816-3136)</t>
  </si>
  <si>
    <t>Fund 01-2021-02-0228</t>
  </si>
  <si>
    <t>Fund 01-2021-02-126</t>
  </si>
  <si>
    <t>Payment for landline subsciprion acct no. 0606028075(816-0079)</t>
  </si>
  <si>
    <t>Fund 01-2021-02-0229</t>
  </si>
  <si>
    <t>Fund 01-2021-02-127</t>
  </si>
  <si>
    <t>Payment for landline subsciprion acct no. 0197015144(225-5955)</t>
  </si>
  <si>
    <t>Fund 01-2021-02-0230</t>
  </si>
  <si>
    <t>Fund 01-2021-02-128</t>
  </si>
  <si>
    <t>Janikka's Catering Services</t>
  </si>
  <si>
    <t>Payment for meals during the oath taking ceremony cum orientation for newly hired and prmoted employees on January 11, 2021</t>
  </si>
  <si>
    <t>Fund 01-2021-02-0231</t>
  </si>
  <si>
    <t>Fund 01-2021-02-129</t>
  </si>
  <si>
    <t>Manila Auto Care</t>
  </si>
  <si>
    <t>Payment for labor and Materials for DTI Caraga Motor Vehicle Periodic Maintenance of Toyota Innova(SKT-513)</t>
  </si>
  <si>
    <t>Fund 01-2021-02-0232</t>
  </si>
  <si>
    <t>Fund 01-2021-02-130</t>
  </si>
  <si>
    <t>Reimbursement , TE RE: To fetch PD from Surigao to Butuan and paricipation to typhoon Vicky Rehab Activities</t>
  </si>
  <si>
    <t>Fund 01-2021-02-0233</t>
  </si>
  <si>
    <t>Fund 01-2021-02-131</t>
  </si>
  <si>
    <t xml:space="preserve">Reimb. Motor vehicle fuel (diesel for toyota hilux) ferry staff during the site visit SSF </t>
  </si>
  <si>
    <t>Fund 01-2021-02-0234</t>
  </si>
  <si>
    <t>Fund 01-2021-02-143</t>
  </si>
  <si>
    <t>Payment for toner cartridge for IDD 1st quarter 2021 office supplies</t>
  </si>
  <si>
    <t>Fund 01-2021-02-0235</t>
  </si>
  <si>
    <t>Payment for ZOOM application for the month of Julty to Oct 2020</t>
  </si>
  <si>
    <t>Fund 01-2021-02-0236</t>
  </si>
  <si>
    <t>Fund 01-2021-02-0237</t>
  </si>
  <si>
    <t>Roland A. Ignacio</t>
  </si>
  <si>
    <t>Reimbursement for tokens re: Project Steering Meeting last December 15, 2020</t>
  </si>
  <si>
    <t>Fund 01-2021-02-0238</t>
  </si>
  <si>
    <t>Fund 01-2021-02-092</t>
  </si>
  <si>
    <t>Ferbencom Technologies</t>
  </si>
  <si>
    <t>Payment for subscription expense- internet(FT20200175) for the month of January 2021</t>
  </si>
  <si>
    <t>Fund 01-2021-02-0239</t>
  </si>
  <si>
    <t>Fund 01-2021-02-093</t>
  </si>
  <si>
    <t>A&amp;C Yelo Submarine Corporation</t>
  </si>
  <si>
    <t>Payment for drinking water for the month of January 2021</t>
  </si>
  <si>
    <t>Fund 01-2021-02-0240</t>
  </si>
  <si>
    <t>Tri- Tech Aircon Services</t>
  </si>
  <si>
    <t>Office aircon maintenance for the 2nd semester</t>
  </si>
  <si>
    <t>Fund 01-2021-02-0241</t>
  </si>
  <si>
    <t>Fund 01-2021-02-145</t>
  </si>
  <si>
    <t>Fund 01-2021-02-0242</t>
  </si>
  <si>
    <t>Fund 01-2021-02-146</t>
  </si>
  <si>
    <t>Fund 01-2021-02-0243</t>
  </si>
  <si>
    <t>Fund 01-2021-02-147</t>
  </si>
  <si>
    <t>Fund 01-2021-02-0244</t>
  </si>
  <si>
    <t>Fund 01-2021-02-135</t>
  </si>
  <si>
    <t>Transfer of funds to cover implementation of CPD activities for 1st quarter budget 2021.</t>
  </si>
  <si>
    <t>Fund 01-2021-02-0245</t>
  </si>
  <si>
    <t>Fund 01-2021-02-102</t>
  </si>
  <si>
    <t>OIC, DTI-sdn</t>
  </si>
  <si>
    <t>Advances to the SSF MOOE- 1ST QUARTER 2021</t>
  </si>
  <si>
    <t>Fund 01-2021-02-0246</t>
  </si>
  <si>
    <t>Fund 01-2021-02-106</t>
  </si>
  <si>
    <t>FT for DTI-CARP implementation for Q1 2021</t>
  </si>
  <si>
    <t>Fund 01-2021-02-0247</t>
  </si>
  <si>
    <t>Fund 01-2021-02-132</t>
  </si>
  <si>
    <t>Fund 01-2021-02-0248</t>
  </si>
  <si>
    <t>Payment for salaries and allowances for Regular employees for the period of February 16-28, 2021</t>
  </si>
  <si>
    <t>Fund 01-2021-02-0249</t>
  </si>
  <si>
    <t>Refund of  overdeduction oF GSIS-ECIP from February payroll</t>
  </si>
  <si>
    <t>Fund 01-2021-02-0250</t>
  </si>
  <si>
    <t>Fund 01-2021-02-0251</t>
  </si>
  <si>
    <t>Fund 01-2021-02-0252</t>
  </si>
  <si>
    <t>Fund 01-2021-02-0253</t>
  </si>
  <si>
    <t>Fund 01-2021-02-0254</t>
  </si>
  <si>
    <t>Fund 01-2021-02-0255</t>
  </si>
  <si>
    <t>Payment for salaries and allowances for CARP employees for the period of February 16-28, 2021</t>
  </si>
  <si>
    <t>Fund 01-2021-02-0256</t>
  </si>
  <si>
    <t>Fund 01-2021-02-0257</t>
  </si>
  <si>
    <t>Fund 01-2021-02-0258</t>
  </si>
  <si>
    <t>Fund 01-2021-02-0259</t>
  </si>
  <si>
    <t>Fund 01-2021-02-0260</t>
  </si>
  <si>
    <t>Fund 01-2021-02-0261</t>
  </si>
  <si>
    <t>Refund of HDMF-MPL and Provident MPL for the month of February 2021</t>
  </si>
  <si>
    <t>Fund 01-2021-02-0262</t>
  </si>
  <si>
    <t>Remittance of GSIS premiums (RLIP &amp;SIC) for employees with salary differential due to to step increment (Pascual &amp; Togonon) and SSL 5 (Timogan) for the period January 4-31,2021</t>
  </si>
  <si>
    <t>Fund 01-2021-02-0263</t>
  </si>
  <si>
    <t>Remittance of GSIS premiums and loan payment of CARP employees for the month of February 2021</t>
  </si>
  <si>
    <t>Fund 01-2021-02-0264</t>
  </si>
  <si>
    <t>Remittance of HDMF premiums and loan payment of CARP employees for the month of February 2021</t>
  </si>
  <si>
    <t>Fund 01-2021-02-0265</t>
  </si>
  <si>
    <t>Fund 01-2021-02-0266</t>
  </si>
  <si>
    <t xml:space="preserve">Remittance of provident premium of CARP employees for the month of January 2021 </t>
  </si>
  <si>
    <t>Fund 01-2021-02-0267</t>
  </si>
  <si>
    <t>DTI-Mutual Death Benefit Fund</t>
  </si>
  <si>
    <t>Remittance of MDBF Premium of CARP employee for the period January- December 2021</t>
  </si>
  <si>
    <t>Fund 01-2021-02-0268</t>
  </si>
  <si>
    <t xml:space="preserve">DREAMCO MPC </t>
  </si>
  <si>
    <t>Fund 01-2021-02-0269</t>
  </si>
  <si>
    <t>Remitance of CARP employees coop deductions for the month of Feb 2021</t>
  </si>
  <si>
    <t>Fund 01-2021-02-0270</t>
  </si>
  <si>
    <t>SURE DEV'T COOPERATIVE</t>
  </si>
  <si>
    <t>Remittance of coop deduction of CARP staff for the month of February 2021</t>
  </si>
  <si>
    <t>Fund 01-2021-02-0271</t>
  </si>
  <si>
    <t>Refund of DTI-EU dues deduction for the month of February 2021.</t>
  </si>
  <si>
    <t>Fund 01-2021-02-0272</t>
  </si>
  <si>
    <t>Fund 01-2021-02-137</t>
  </si>
  <si>
    <t>FAD Office use for the 1st quarter 2021.</t>
  </si>
  <si>
    <t>Fund 01-2021-02-0273</t>
  </si>
  <si>
    <t>Fund 01-2021-02-150</t>
  </si>
  <si>
    <t>Fevi V. Silvosa</t>
  </si>
  <si>
    <t>Payment for job orders for the period  February 1-15,2021</t>
  </si>
  <si>
    <t>Fund 01-2021-02-0274</t>
  </si>
  <si>
    <t>Fund 01-2021-02-151</t>
  </si>
  <si>
    <t>Fund 01-2021-02-0275</t>
  </si>
  <si>
    <t>Fund 01-2021-02-152</t>
  </si>
  <si>
    <t>Fund 01-2021-02-0276</t>
  </si>
  <si>
    <t>Fund 01-2021-02-153</t>
  </si>
  <si>
    <t>Fund 01-2021-02-0277</t>
  </si>
  <si>
    <t>Fund 01-2021-02-154</t>
  </si>
  <si>
    <t>Fund 01-2021-02-0278</t>
  </si>
  <si>
    <t>Fund 01-2021-02-155</t>
  </si>
  <si>
    <t>Reynold C. Gulde</t>
  </si>
  <si>
    <t>Payment of overtime services for December and January 2021.</t>
  </si>
  <si>
    <t>Fund 01-2021-02-0279</t>
  </si>
  <si>
    <t>Remittance job orders coop deductions for the period February 1-15, 2021</t>
  </si>
  <si>
    <t>Fund 01-2021-02-0280</t>
  </si>
  <si>
    <t>Fund 01-2021-02-148</t>
  </si>
  <si>
    <t>Lime and Zest Kitchen</t>
  </si>
  <si>
    <t>Payment of meals during the IDD Functional Team Meeting on January 26, 2021</t>
  </si>
  <si>
    <t>Fund 01-2021-02-0281</t>
  </si>
  <si>
    <t>Fund 01-2021-02-149</t>
  </si>
  <si>
    <t>Payment of Globe postpaid plan subscription for the month of January 16-February 15, 2021 for acct 65087463</t>
  </si>
  <si>
    <t>Fund 01-2021-02-0282</t>
  </si>
  <si>
    <t>Remittance of insurance premiums for the month of February 2021</t>
  </si>
  <si>
    <t>Fund 01-2021-02-0283</t>
  </si>
  <si>
    <t>Fund 01-2021-03-0284</t>
  </si>
  <si>
    <t>DTI- Provident Fund</t>
  </si>
  <si>
    <t>Remittance of Provident premiums and loans of regular employees for the month of February 2021</t>
  </si>
  <si>
    <t>Fund 01-2021-03-0285</t>
  </si>
  <si>
    <t>Mutual Death Benefit Fund</t>
  </si>
  <si>
    <t>Remittance of MDBF premiums and loans of regular employees for the month of February 2021</t>
  </si>
  <si>
    <t>Fund 01-2021-03-0286</t>
  </si>
  <si>
    <t>PHIC Butuan City</t>
  </si>
  <si>
    <t>Remittance, PHIC premiums (EE and ER share) for Jan 2021.</t>
  </si>
  <si>
    <t>Fund 01-2021-03-0287</t>
  </si>
  <si>
    <t>Remittance of  GSIS Premiums(RLIP &amp; SIC) for employees with salary differential due to step increment (Pascual &amp; Togonon) and SSL5 Timogan for the period January 4-31, 2021</t>
  </si>
  <si>
    <t>Fund 01-2021-03-0288</t>
  </si>
  <si>
    <t>Remittance of PHIC premiums of regular employees for the month of February 2021</t>
  </si>
  <si>
    <t>Fund 01-2021-03-0289</t>
  </si>
  <si>
    <t xml:space="preserve">Bureau of Treasury </t>
  </si>
  <si>
    <t>Remittance on refund of disallowance on salaries and allowances of Jonathan Lagang and disallowance of other employees withheld for the month of February 2021</t>
  </si>
  <si>
    <t>Fund 01-2021-03-0290</t>
  </si>
  <si>
    <t>Payment for salaries and allowances of DTI-ADS NC staff for the period February 16-28, 2021</t>
  </si>
  <si>
    <t>Fund 01-2021-03-0291</t>
  </si>
  <si>
    <t>Payment for salaries and allowances of DTI-RO NC staff for the period February 16-28, 2021</t>
  </si>
  <si>
    <t>Fund 01-2021-03-0292</t>
  </si>
  <si>
    <t>Fund 01-2021-03-213</t>
  </si>
  <si>
    <t>Payment for prepaid load cards for FAD Load allowance for 1st quarter of 2021</t>
  </si>
  <si>
    <t>Fund 01-2021-03-0293</t>
  </si>
  <si>
    <t>Jardynne R. Narvasa</t>
  </si>
  <si>
    <t>Refund of GSIS-Conso Loan deduction for the month of February 2021</t>
  </si>
  <si>
    <t>Fund 01-2021-03-0294</t>
  </si>
  <si>
    <t>Remittance of GSIS premiums and loans of regular employees for the month of February 2021</t>
  </si>
  <si>
    <t>Fund 01-2021-03-0295</t>
  </si>
  <si>
    <t>DTI-EU</t>
  </si>
  <si>
    <t>Remittance of EU Dues and participation of regular employees for the month of February 2021</t>
  </si>
  <si>
    <t>Fund 01-2021-03-0296</t>
  </si>
  <si>
    <t>Remittance of HMO premiums on principal of regular employees for the month of February 2021</t>
  </si>
  <si>
    <t>Fund 01-2021-03-0297</t>
  </si>
  <si>
    <t>Remittance of PHIC premiums for employees with salary differential due to promotion for the period January 4-31, 2021</t>
  </si>
  <si>
    <t>Fund 01-2021-03-0298</t>
  </si>
  <si>
    <t>Remittance of GSIS premiums from employees with salary diff due to promotion for the period January 4-31, 2021</t>
  </si>
  <si>
    <t>Fund 01-2021-03-0299</t>
  </si>
  <si>
    <t>Fund 01-2021-03-0300</t>
  </si>
  <si>
    <t>Fund 01-2021-03-0301</t>
  </si>
  <si>
    <t>Remittance of HDMF premium of NC staff for the month of January, 2021</t>
  </si>
  <si>
    <t>Fund 01-2021-03-0302</t>
  </si>
  <si>
    <t>Remittance of PHIC premium of NC staff for the month of January, 2021</t>
  </si>
  <si>
    <t>Fund 01-2021-03-0303</t>
  </si>
  <si>
    <t>Remittance of GSIS premium of NC staff for the month of Jnauary, 2021</t>
  </si>
  <si>
    <t>Fund 01-2021-03-0304</t>
  </si>
  <si>
    <t>Remittance of NC staff EU dues and membership fee for the month of January, 2021</t>
  </si>
  <si>
    <t>Fund 01-2021-03-0305</t>
  </si>
  <si>
    <t>DTI MDBF</t>
  </si>
  <si>
    <t>Remittance of NC staff MDBF for the month of January, 2021</t>
  </si>
  <si>
    <t>Fund 01-2021-03-0306</t>
  </si>
  <si>
    <t>DTI-PF</t>
  </si>
  <si>
    <t>Remittance of NC staff PF Premiums for the month of January, 2021</t>
  </si>
  <si>
    <t>Fund 01-2021-03-0307</t>
  </si>
  <si>
    <t>Remittance of HDMF premium of Reg. for the month of Feb., 2021</t>
  </si>
  <si>
    <t>Fund 01-2021-03-0308</t>
  </si>
  <si>
    <t>Fund 01-2021-03-173</t>
  </si>
  <si>
    <t>Payment for Salaries and allowances of NC staff for the month of February, 2021</t>
  </si>
  <si>
    <t>Fund 01-2021-03-0309</t>
  </si>
  <si>
    <t>Fund 01-2021-03-174</t>
  </si>
  <si>
    <t>Fund 01-2021-03-0310</t>
  </si>
  <si>
    <t>Fund 01-2021-03-169</t>
  </si>
  <si>
    <t>LBP, F/O DTI-Job Orders</t>
  </si>
  <si>
    <t>Payment of Job Orders for the period February 16-28, 2021</t>
  </si>
  <si>
    <t>Fund 01-2021-03-0311</t>
  </si>
  <si>
    <t>Fund 01-2021-03-168</t>
  </si>
  <si>
    <t>Fund 01-2021-03-0312</t>
  </si>
  <si>
    <t>Fund 01-2021-03-167</t>
  </si>
  <si>
    <t>Landbank of the Philippines</t>
  </si>
  <si>
    <t>Salaries for RAPID RCU Staff - February 16-28, 2021</t>
  </si>
  <si>
    <t>Fund 01-2021-03-0313</t>
  </si>
  <si>
    <t>Fund 01-2021-03-166</t>
  </si>
  <si>
    <t>Salaries for RAPID RCU Staff - February 1-15, 2021</t>
  </si>
  <si>
    <t>Fund 01-2021-03-0314</t>
  </si>
  <si>
    <t>Fund 01-2021-03-170</t>
  </si>
  <si>
    <t>Hazel O. Galve</t>
  </si>
  <si>
    <t>Reimbursement, TEV during the conudct of orientation on OTOP PH Hub and e-commerce platform of DTI-Caraga in ADS on January 15, 2021 &amp; in Surigao City on January 29, 2021</t>
  </si>
  <si>
    <t>Fund 01-2021-03-0315</t>
  </si>
  <si>
    <t>Fund 01-2021-03-171</t>
  </si>
  <si>
    <t>FAD Office use for the 1st quarter 2021</t>
  </si>
  <si>
    <t>Fund 01-2021-03-0316</t>
  </si>
  <si>
    <t>Fund 01-2021-03-175</t>
  </si>
  <si>
    <t>Fund 01-2021-03-0317</t>
  </si>
  <si>
    <t>Fund 01-2021-03-176</t>
  </si>
  <si>
    <t>Fund 01-2021-03-0318</t>
  </si>
  <si>
    <t>Fund 01-2021-03-177</t>
  </si>
  <si>
    <t>Petty cash fund replenishment 2021-02-003 Feb 9-24,2021</t>
  </si>
  <si>
    <t>Fund 01-2021-03-0319</t>
  </si>
  <si>
    <t>Jamaica Arenal</t>
  </si>
  <si>
    <t>Refund of HDMF-MPL deducted from February 2021</t>
  </si>
  <si>
    <t>Fund 01-2021-03-0320</t>
  </si>
  <si>
    <t>Chona Marie L. Grado</t>
  </si>
  <si>
    <t>Fund 01-2021-03-0321</t>
  </si>
  <si>
    <t>Remittance, coop deductions from RATA for March 2021.</t>
  </si>
  <si>
    <t>Fund 01-2021-03-0322</t>
  </si>
  <si>
    <t>Remittance, Job Orders coop deductions for the period February 1-28, 2021</t>
  </si>
  <si>
    <t>Fund 01-2021-03-0323</t>
  </si>
  <si>
    <t>Fund 01-2021-03-184</t>
  </si>
  <si>
    <t>Norman Jhon G. Butalon</t>
  </si>
  <si>
    <t>Payment of Job Orders for the period January and February, 2021</t>
  </si>
  <si>
    <t>Fund 01-2021-03-0324</t>
  </si>
  <si>
    <t>Arnold D. Faelnar</t>
  </si>
  <si>
    <t>Fund 01-2021-03-0325</t>
  </si>
  <si>
    <t>Fund 01-2021-03-178</t>
  </si>
  <si>
    <t>Payment of JO for the period February 16-28, 2021</t>
  </si>
  <si>
    <t>Fund 01-2021-03-0326</t>
  </si>
  <si>
    <t>Fund 01-2021-03-179</t>
  </si>
  <si>
    <t>Payment for JO for February 16-28, 2021</t>
  </si>
  <si>
    <t>Fund 01-2021-03-0327</t>
  </si>
  <si>
    <t>Fund 01-2021-03-180</t>
  </si>
  <si>
    <t>Armando G. Tabid</t>
  </si>
  <si>
    <t>Salaries for RAPID PCU ADS staff (driver)- February 1-28, 2021</t>
  </si>
  <si>
    <t>Fund 01-2021-03-0328</t>
  </si>
  <si>
    <t>Fund 01-2021-03-181</t>
  </si>
  <si>
    <t>Fund 01-2021-03-0329</t>
  </si>
  <si>
    <t>Fund 01-2021-03-182</t>
  </si>
  <si>
    <t>Fund 01-2021-03-0330</t>
  </si>
  <si>
    <t>Fund 01-2021-03-183</t>
  </si>
  <si>
    <t>Payment for RATA for March 2021</t>
  </si>
  <si>
    <t>Fund 01-2021-03-0331</t>
  </si>
  <si>
    <t>Fund 01-2021-03-185</t>
  </si>
  <si>
    <t>Bernie P. Curato</t>
  </si>
  <si>
    <t>Salaries for RAPID PCU ADN staff (driver)- February 1-28, 2021</t>
  </si>
  <si>
    <t>Fund 01-2021-03-0332</t>
  </si>
  <si>
    <t>Fund 01-2021-03-187</t>
  </si>
  <si>
    <t>Payment for motor vehicle insurance  renewal  Toyota Innova</t>
  </si>
  <si>
    <t>Fund 01-2021-03-0333</t>
  </si>
  <si>
    <t>Fund 01-2021-03-188</t>
  </si>
  <si>
    <t>Land Transportation Office</t>
  </si>
  <si>
    <t>DTI Caraga Motor vehicle Registration- Toyota Innova</t>
  </si>
  <si>
    <t>Fund 01-2021-03-0334</t>
  </si>
  <si>
    <t>Fund 01-2021-03-189</t>
  </si>
  <si>
    <t>Royelen B.Taala</t>
  </si>
  <si>
    <t>Reimbursement for the payment of the planner 2021 for IDD office use</t>
  </si>
  <si>
    <t>Fund 01-2021-03-0335</t>
  </si>
  <si>
    <t>Fund 01-2021-03-190</t>
  </si>
  <si>
    <t>Payment for the prepaid loadcards- IDD load allowance for the 1st quarter 2021</t>
  </si>
  <si>
    <t>Fund 01-2021-03-0336</t>
  </si>
  <si>
    <t>Fund 01-2021-03-192</t>
  </si>
  <si>
    <t>Payment for cable TV subscription for Jan 28-March 27, 2021</t>
  </si>
  <si>
    <t>Fund 01-2021-03-0337</t>
  </si>
  <si>
    <t>Fund 01-2021-03-193</t>
  </si>
  <si>
    <t>Jocelyn Ang</t>
  </si>
  <si>
    <t>Payment for records room rental for March 2021</t>
  </si>
  <si>
    <t>Fund 01-2021-03-0338</t>
  </si>
  <si>
    <t>Fund 01-2021-03-194</t>
  </si>
  <si>
    <t>Reimbursement, RATA for Feb 2021</t>
  </si>
  <si>
    <t>Fund 01-2021-03-0339</t>
  </si>
  <si>
    <t>Fund 01-2021-03-195</t>
  </si>
  <si>
    <t xml:space="preserve">Kimson Commercial </t>
  </si>
  <si>
    <t>Payment for FAD 1st quarter 2021 office supplies</t>
  </si>
  <si>
    <t>Fund 01-2021-03-0340</t>
  </si>
  <si>
    <t>Fund 01-2021-03-196</t>
  </si>
  <si>
    <t>Fund 01-2021-03-0341</t>
  </si>
  <si>
    <t>Fund 01-2021-03-197</t>
  </si>
  <si>
    <t>Fund 01-2021-03-0342</t>
  </si>
  <si>
    <t>Fund 01-2021-03-198</t>
  </si>
  <si>
    <t>Innove Communiations, Inc</t>
  </si>
  <si>
    <t>Payment of Zoom Application for the month of November 2020- January 2021</t>
  </si>
  <si>
    <t>Fund 01-2021-03-0343</t>
  </si>
  <si>
    <t>Fund 01-2021-03-186</t>
  </si>
  <si>
    <t>Mercado's Sudlanan ATBP</t>
  </si>
  <si>
    <t>Payment for the journal/planners during the conduct of the 2021 CPD Functional Meeting Team meeting on February 2-3, 2021</t>
  </si>
  <si>
    <t>Fund 01-2021-03-0344</t>
  </si>
  <si>
    <t>Fund 01-2021-03-199</t>
  </si>
  <si>
    <t>Reimbursement , alcohol for the for the DTI Caraga implementation of workplace safety and healthy amid COVID19 Pandemic</t>
  </si>
  <si>
    <t>Fund 01-2021-03-0345</t>
  </si>
  <si>
    <t>Fund 01-2021-03-200</t>
  </si>
  <si>
    <t>Road Way Auto Supply and Car Accessories</t>
  </si>
  <si>
    <t>Payment for Vehicle rear bumper of Toyota Hilux for DTI Caraga Motor Vehicle</t>
  </si>
  <si>
    <t>Fund 01-2021-03-0346</t>
  </si>
  <si>
    <t>Fund 01-2021-03-201</t>
  </si>
  <si>
    <t>Eden D. Burnea</t>
  </si>
  <si>
    <t>TEV during the conduct of Orientation PH Hub and e-commerce platform of DTI-Caraga in ADS on Jan 15, 2021, Tandag City on Jan 21, 2021 and Surigao City on January 29, 2021</t>
  </si>
  <si>
    <t>Fund 01-2021-03-0347</t>
  </si>
  <si>
    <t>Fund 01-2021-03-202</t>
  </si>
  <si>
    <t>Efren J. Tubaon</t>
  </si>
  <si>
    <t>Payment for JO for January and February 2021</t>
  </si>
  <si>
    <t>Fund 01-2021-03-0348</t>
  </si>
  <si>
    <t>Fund 01-2021-03-203</t>
  </si>
  <si>
    <t>Al A. Oliverio</t>
  </si>
  <si>
    <t>Payment for salaries for RAPID PCU AND Staff driver for Feb 1-28, 2021</t>
  </si>
  <si>
    <t>Fund 01-2021-03-0349</t>
  </si>
  <si>
    <t>Fund 01-2021-03-204</t>
  </si>
  <si>
    <t>CSC Training Fund</t>
  </si>
  <si>
    <t>Payment for the Registration Fee for online course on coaching and mentoring on April 20, 27 and 30, 2021</t>
  </si>
  <si>
    <t>Fund 01-2021-03-0350</t>
  </si>
  <si>
    <t>Fund 01-2021-03-205</t>
  </si>
  <si>
    <t>Payment for meals re: 2021 CPD Functional Team Meeting on February 2-3, 2021</t>
  </si>
  <si>
    <t>Fund 01-2021-03-0351</t>
  </si>
  <si>
    <t>Fund 01-2021-03-206</t>
  </si>
  <si>
    <t>Payment of meals during the gender WEE Subcommittee Meeting on February 5, 2021</t>
  </si>
  <si>
    <t>Fund 01-2021-03-0352</t>
  </si>
  <si>
    <t>Fund 01-2021-03-207</t>
  </si>
  <si>
    <t>Payment for  the office supplies of IDD office use- 1st quarter 2021</t>
  </si>
  <si>
    <t>Fund 01-2021-03-0353</t>
  </si>
  <si>
    <t>Fund 01-2021-03-208</t>
  </si>
  <si>
    <t>Need Ink Sales &amp; Services</t>
  </si>
  <si>
    <t>Payment for toner cartridge for FAD 1st quarter 2021 office supplies.</t>
  </si>
  <si>
    <t>Fund 01-2021-03-0354</t>
  </si>
  <si>
    <t>Remittance of coop deductions for the month of March 2021</t>
  </si>
  <si>
    <t>Fund 01-2021-03-0355</t>
  </si>
  <si>
    <t>Fund 01-2021-03-209</t>
  </si>
  <si>
    <t>Butuan Glass Supply, Inc.</t>
  </si>
  <si>
    <t>Payment for frosted sticker for IDD Office</t>
  </si>
  <si>
    <t>Fund 01-2021-03-0356</t>
  </si>
  <si>
    <t>Refund of over deduction of EU dues &amp; GSIS- ECIP for the month of February 2021</t>
  </si>
  <si>
    <t>Fund 01-2021-03-0357</t>
  </si>
  <si>
    <t>Fund 01-2021-03-212</t>
  </si>
  <si>
    <t>New Aristocrat Enterprises,Inc.</t>
  </si>
  <si>
    <t>Payment for flush locks and reinstallation of glass board for DTI Caraga Office use.</t>
  </si>
  <si>
    <t>Fund 01-2021-03-0358</t>
  </si>
  <si>
    <t>Fund 01-2021-03-214</t>
  </si>
  <si>
    <t>Payment for fuel consumption for Jan 1-31, 2021</t>
  </si>
  <si>
    <t>Fund 01-2021-03-0359</t>
  </si>
  <si>
    <t>Fund 01-2021-03-215</t>
  </si>
  <si>
    <t>A&amp;C Yelo Submarine Corp.</t>
  </si>
  <si>
    <t>Payment for drinking water for Feb 2021</t>
  </si>
  <si>
    <t>Fund 01-2021-03-0360</t>
  </si>
  <si>
    <t>Fund 01-2021-03-216</t>
  </si>
  <si>
    <t>JRS Business Corporation</t>
  </si>
  <si>
    <t>Payment for courier services for the month of January 2021</t>
  </si>
  <si>
    <t>Fund 01-2021-03-0361</t>
  </si>
  <si>
    <t>Fund 01-2021-03-217</t>
  </si>
  <si>
    <t xml:space="preserve">Busa Interbiz Center </t>
  </si>
  <si>
    <t>Payment for subscription expense- newspaper for the period February 2021</t>
  </si>
  <si>
    <t>Fund 01-2021-03-0362</t>
  </si>
  <si>
    <t>Fund 01-2021-03-218</t>
  </si>
  <si>
    <t>Payment for office rental for the month of March 2021.</t>
  </si>
  <si>
    <t>Fund 01-2021-03-0363</t>
  </si>
  <si>
    <t>Fund 01-2021-03-233</t>
  </si>
  <si>
    <t>Payment for salaries and allowances for regular employees for the month of March 2021</t>
  </si>
  <si>
    <t>Fund 01-2021-03-0364</t>
  </si>
  <si>
    <t>Fund 01-2021-03-220</t>
  </si>
  <si>
    <t>Fund 01-2021-03-0365</t>
  </si>
  <si>
    <t>Fund 01-2021-03-221</t>
  </si>
  <si>
    <t>Fund 01-2021-03-0366</t>
  </si>
  <si>
    <t>Fund 01-2021-03-222</t>
  </si>
  <si>
    <t>Fund 01-2021-03-0367</t>
  </si>
  <si>
    <t>Fund 01-2021-03-223</t>
  </si>
  <si>
    <t>Payment for salaries and allowances for CARP employees for the month of March 2021</t>
  </si>
  <si>
    <t>Fund 01-2021-03-0368</t>
  </si>
  <si>
    <t>Fund 01-2021-03-224</t>
  </si>
  <si>
    <t>Fund 01-2021-03-0369</t>
  </si>
  <si>
    <t>Fund 01-2021-03-225</t>
  </si>
  <si>
    <t>LBP, FO DTI-SDS</t>
  </si>
  <si>
    <t>Fund 01-2021-03-0370</t>
  </si>
  <si>
    <t>Fund 01-2021-03-226</t>
  </si>
  <si>
    <t>Fund 01-2021-03-0371</t>
  </si>
  <si>
    <t>Fund 01-2021-03-227</t>
  </si>
  <si>
    <t>Payment for salaries and allowances for NC Staff for the month of March 2021</t>
  </si>
  <si>
    <t>Fund 01-2021-03-0372</t>
  </si>
  <si>
    <t>Fund 01-2021-03-228</t>
  </si>
  <si>
    <t>Fund 01-2021-03-0373</t>
  </si>
  <si>
    <t>Fund 01-2021-03-230</t>
  </si>
  <si>
    <t>Fund 01-2021-03-0374</t>
  </si>
  <si>
    <t>Fund 01-2021-03-231</t>
  </si>
  <si>
    <t xml:space="preserve">Cresal Grace C. Malabanan </t>
  </si>
  <si>
    <t>Payment for salaries and allowances for NC Staff for the month of Feb2021</t>
  </si>
  <si>
    <t>Fund 01-2021-03-0375</t>
  </si>
  <si>
    <t>Fund 01-2021-03-229</t>
  </si>
  <si>
    <t>Fund 01-2021-03-0376</t>
  </si>
  <si>
    <t>Fund 01-2021-03-232</t>
  </si>
  <si>
    <t>Fund 01-2021-03-0377</t>
  </si>
  <si>
    <t>Fund 01-2021-03-234</t>
  </si>
  <si>
    <t>LBP, FO DTI-SDN</t>
  </si>
  <si>
    <t>Fund 01-2021-03-0378</t>
  </si>
  <si>
    <t>Fund 01-2021-03-235</t>
  </si>
  <si>
    <t>Fund 01-2021-03-0379</t>
  </si>
  <si>
    <t>Fund 01-2021-03-211</t>
  </si>
  <si>
    <t>Payment for the customized 2021 planner</t>
  </si>
  <si>
    <t>Fund 01-2021-03-0380</t>
  </si>
  <si>
    <t>Fund 01-2021-03-210</t>
  </si>
  <si>
    <t>Reimbursement for the payment of tokens (prepaid loadcards) for the IDD Functional Team 1st quarter meeting on January 26, 2021</t>
  </si>
  <si>
    <t>Fund 01-2021-03-0381</t>
  </si>
  <si>
    <t>Fund 01-2021-03-219</t>
  </si>
  <si>
    <t>Mike Ariel P. Plaza</t>
  </si>
  <si>
    <t>Payment for the food and non food products featured in the 2020 DTI Pasalove Youtube Project</t>
  </si>
  <si>
    <t>Fund 01-2021-03-0382</t>
  </si>
  <si>
    <t>Fund 01-2021-03-236</t>
  </si>
  <si>
    <t>Payment for salaries and allowances for NC Staff for the month of February 2021</t>
  </si>
  <si>
    <t>Fund 01-2021-03-0383</t>
  </si>
  <si>
    <t>Fund 01-2021-03-240</t>
  </si>
  <si>
    <t>Fund 01-2021-03-0384</t>
  </si>
  <si>
    <t>Fund 01-2021-03-241</t>
  </si>
  <si>
    <t>Fund 01-2021-03-0385</t>
  </si>
  <si>
    <t>Fund 01-2021-03-242</t>
  </si>
  <si>
    <t>Fund 01-2021-03-0386</t>
  </si>
  <si>
    <t>Fund 01-2021-03-237</t>
  </si>
  <si>
    <t>Payment for load allowance for CPD use- 1st quarter 2021</t>
  </si>
  <si>
    <t>Fund 01-2021-03-0387</t>
  </si>
  <si>
    <t>Fund 01-2021-03-238</t>
  </si>
  <si>
    <t>Payment for prepaid load cards for ORD Load allowance for Director use.</t>
  </si>
  <si>
    <t>Fund 01-2021-03-0388</t>
  </si>
  <si>
    <t>Fund 01-2021-03-239</t>
  </si>
  <si>
    <t>Payment for CPD 1st quarter 2021 office supplies</t>
  </si>
  <si>
    <t>Fund 01-2021-03-0389</t>
  </si>
  <si>
    <t>Fund 01-2021-03-244</t>
  </si>
  <si>
    <t>Ermak Trading</t>
  </si>
  <si>
    <t xml:space="preserve">Payment for vehicle tires for DTI Caraga MV Maiintenance </t>
  </si>
  <si>
    <t>Fund 01-2021-03-0390</t>
  </si>
  <si>
    <t>Fund 01-2021-03-250</t>
  </si>
  <si>
    <t>Advances to the SSF MOOE - 1st Quarter 2021</t>
  </si>
  <si>
    <t>Fund 01-2021-03-0391</t>
  </si>
  <si>
    <t>Fund 01-2021-03-247</t>
  </si>
  <si>
    <t>Fund Transfer for LSP-NSB Implementation for the 1st quarter 2021</t>
  </si>
  <si>
    <t>Fund 01-2021-03-0392</t>
  </si>
  <si>
    <t>Fund 01-2021-03-248</t>
  </si>
  <si>
    <t>Transfer of funds to cover implementation of CPD activities for 1st Quarter Budget 2021</t>
  </si>
  <si>
    <t>Fund 01-2021-03-0393</t>
  </si>
  <si>
    <t>Fund 01-2021-03-249</t>
  </si>
  <si>
    <t>Fund Transfer for DTI-CARP implementation for Q1 2021</t>
  </si>
  <si>
    <t>Fund 01-2021-03-0394</t>
  </si>
  <si>
    <t>Fund 01-2021-03-256</t>
  </si>
  <si>
    <t>Payment for regular employees' clothing allowance for CY2021</t>
  </si>
  <si>
    <t>Fund 01-2021-03-0395</t>
  </si>
  <si>
    <t>Fund 01-2021-03-257</t>
  </si>
  <si>
    <t>Fund 01-2021-03-0396</t>
  </si>
  <si>
    <t>Fund 01-2021-03-258</t>
  </si>
  <si>
    <t xml:space="preserve">LBP F/O DTI-SDN </t>
  </si>
  <si>
    <t>Fund 01-2021-03-0397</t>
  </si>
  <si>
    <t>Fund 01-2021-03-259</t>
  </si>
  <si>
    <t>Fund 01-2021-03-0398</t>
  </si>
  <si>
    <t>Fund 01-2021-03-260</t>
  </si>
  <si>
    <t>Fund 01-2021-03-0399</t>
  </si>
  <si>
    <t>Fund 01-2021-03-245</t>
  </si>
  <si>
    <t>Payment of Registration Fee for the "Public Service Values in Times of Adversities" on June 8, 10, 15, 17, 22 and 24, 2021</t>
  </si>
  <si>
    <t>Fund 01-2021-03-0400</t>
  </si>
  <si>
    <t>Fund 01-2021-03-255</t>
  </si>
  <si>
    <t>Fund 01-2021-03-0401</t>
  </si>
  <si>
    <t>Gideon B. Ursos</t>
  </si>
  <si>
    <t>Refund, GSIS-conso loan from Marc 2021 payrol</t>
  </si>
  <si>
    <t>Fund 01-2021-03-0402</t>
  </si>
  <si>
    <t>Remittance for HDMF premiums and loans payment of regular employees for the month of March 2021</t>
  </si>
  <si>
    <t>Fund 01-2021-03-0403</t>
  </si>
  <si>
    <t>Remittance for PHIC premiums and loans payment of regular employees for the month of March 2021</t>
  </si>
  <si>
    <t>Fund 01-2021-03-0404</t>
  </si>
  <si>
    <t>Remittance for PF premiums and loans payment of regular employees for the month of March 2021</t>
  </si>
  <si>
    <t>Fund 01-2021-03-0405</t>
  </si>
  <si>
    <t>Remittance for MDBF  premiums payment of regular employees for the month of March 2021</t>
  </si>
  <si>
    <t>Fund 01-2021-03-0406</t>
  </si>
  <si>
    <t>Remittance for HMO  premiums payment of regular employees for the month of March 2021</t>
  </si>
  <si>
    <t>Fund 01-2021-03-0407</t>
  </si>
  <si>
    <t>Remittance for Coop deductions from PO's for the month of March, 2021</t>
  </si>
  <si>
    <t>Fund 01-2021-03-0408</t>
  </si>
  <si>
    <t>Fund 01-2021-03-0409</t>
  </si>
  <si>
    <t>Fund 01-2021-03-0410</t>
  </si>
  <si>
    <t>Remittance for insurance premium of Regular employees for the month of March, 2021</t>
  </si>
  <si>
    <t>Fund 01-2021-03-0411</t>
  </si>
  <si>
    <t xml:space="preserve">Remittance for disallowances from regular employees for the month of March 2021 </t>
  </si>
  <si>
    <t>Fund 01-2021-03-0412</t>
  </si>
  <si>
    <t>Refund of over deduction of PHIC premium from initial salary Jan 2021</t>
  </si>
  <si>
    <t>Fund 01-2021-03-0413</t>
  </si>
  <si>
    <t>Remittance for coop deductions from PO's for the month of Februar, 2021</t>
  </si>
  <si>
    <t>Fund 01-2021-03-0414</t>
  </si>
  <si>
    <t>Remittance for GSIS premiums of regular employees for the month of March 2021</t>
  </si>
  <si>
    <t>Fund 01-2021-03-0415</t>
  </si>
  <si>
    <t>Fund 01-2021-03-267</t>
  </si>
  <si>
    <t>Payment for extraordinary expenses for March 2021</t>
  </si>
  <si>
    <t>Fund 01-2021-03-0416</t>
  </si>
  <si>
    <t>Fund 01-2021-03-265</t>
  </si>
  <si>
    <t>Payment for salaries for RAPID PCU AND Staff driver for March 1-15, 2021</t>
  </si>
  <si>
    <t>Fund 01-2021-03-0417</t>
  </si>
  <si>
    <t>Fund 01-2021-03-264</t>
  </si>
  <si>
    <t>Fund 01-2021-03-0418</t>
  </si>
  <si>
    <t>Fund 01-2021-03-268</t>
  </si>
  <si>
    <t>Payment for JO for the period March 1-15, 2021</t>
  </si>
  <si>
    <t>Fund 01-2021-03-0419</t>
  </si>
  <si>
    <t>Remittance of GSIS premiums of CARP employees for the month of March 2021</t>
  </si>
  <si>
    <t>Fund 01-2021-03-0420</t>
  </si>
  <si>
    <t>Remittance of HDMF premiums of CARP employees for the month of March 2021</t>
  </si>
  <si>
    <t>Fund 01-2021-03-0421</t>
  </si>
  <si>
    <t>Remittance of CARP employees PHIC premium for the month of March 2021</t>
  </si>
  <si>
    <t>Fund 01-2021-03-0422</t>
  </si>
  <si>
    <t>Remittance of PF premiums of CARP employees for the month of March 2021</t>
  </si>
  <si>
    <t>Fund 01-2021-03-0423</t>
  </si>
  <si>
    <t>Remittance of MDBF premiums of CARP employees for the month of March 2021</t>
  </si>
  <si>
    <t>Fund 01-2021-03-0424</t>
  </si>
  <si>
    <t>Remittance of DTI-EU dues of Mr. Roboca for the month of March 2021</t>
  </si>
  <si>
    <t>Fund 01-2021-03-0425</t>
  </si>
  <si>
    <t>Dreamco</t>
  </si>
  <si>
    <t>Remittance of coop deduction of CARP employees for the month of March 2021</t>
  </si>
  <si>
    <t>Fund 01-2021-03-0426</t>
  </si>
  <si>
    <t>Fund 01-2021-03-0427</t>
  </si>
  <si>
    <t>Remittance of CARP employees for the month of March 2021</t>
  </si>
  <si>
    <t>Fund 01-2021-03-0428</t>
  </si>
  <si>
    <t>Remittance of EU dues and Membership fee premium of NC staff for the month of February 2021.</t>
  </si>
  <si>
    <t>Fund 01-2021-03-0429</t>
  </si>
  <si>
    <t>Remittance of MDBF premium of NC Staff for the month of February, 2021</t>
  </si>
  <si>
    <t>Fund 01-2021-03-0430</t>
  </si>
  <si>
    <t>Remittance of Provident premium of NC Staff for the month of February, 2021</t>
  </si>
  <si>
    <t>Fund 01-2021-03-0431</t>
  </si>
  <si>
    <t>Remittance of PHIC PREMIUMS OF NC staff for the month of Feb 2021</t>
  </si>
  <si>
    <t>Fund 01-2021-03-0432</t>
  </si>
  <si>
    <t>Remittance of HDMF PREMIUMS OF NC staff for the month of Feb 2021</t>
  </si>
  <si>
    <t>Fund 01-2021-03-0433</t>
  </si>
  <si>
    <t>Remittance of GSIS premium of NC staff for the month of February, 2021</t>
  </si>
  <si>
    <t>Fund 01-2021-03-0434</t>
  </si>
  <si>
    <t>Remittance of COOP deduction of NC staff for the month of February, 2021</t>
  </si>
  <si>
    <t>Fund 01-2021-03-0435</t>
  </si>
  <si>
    <t>Remittance of MDBF premium of NC staff for the month of March, 2021</t>
  </si>
  <si>
    <t>Fund 01-2021-03-0436</t>
  </si>
  <si>
    <t>Remittance of PF premium of NC staff for the month of March, 2021</t>
  </si>
  <si>
    <t>Fund 01-2021-03-0437</t>
  </si>
  <si>
    <t>Remittance of PHIC premium of NC staff for the month of March, 2021</t>
  </si>
  <si>
    <t>Fund 01-2021-03-0438</t>
  </si>
  <si>
    <t>Remittance of HDMF premium of NC staff for the month of March, 2021</t>
  </si>
  <si>
    <t>Fund 01-2021-03-0439</t>
  </si>
  <si>
    <t>Remittance of GSIS premium of NC staff for the month of March, 2021</t>
  </si>
  <si>
    <t>Fund 01-2021-03-0440</t>
  </si>
  <si>
    <t xml:space="preserve">Caraga Realty Corporation </t>
  </si>
  <si>
    <t>Payment for office rental for the month of December 2020.</t>
  </si>
  <si>
    <t>Fund 01-2021-03-0441</t>
  </si>
  <si>
    <t>CMIJ Green Scenery Garden and Accessories</t>
  </si>
  <si>
    <t>Payment for interior plants rental for DTI AND Office use for ecember 2020.</t>
  </si>
  <si>
    <t>Fund 01-2021-03-0442</t>
  </si>
  <si>
    <t>Alba's Copy Center and Office  Supplies</t>
  </si>
  <si>
    <t>Payment for printing services for DTI-AND Office use for Dec. 7-28, 2020</t>
  </si>
  <si>
    <t>Fund 01-2021-03-0443</t>
  </si>
  <si>
    <t>Rosie R. Vellesco</t>
  </si>
  <si>
    <t>Reimbursement, petty fare expenses for DTI- AD.N messengerial for October 29- November 11, 2020</t>
  </si>
  <si>
    <t>Fund 01-2021-03-0444</t>
  </si>
  <si>
    <t>News Multi-Purpose Cooperative</t>
  </si>
  <si>
    <t>Payment for meals re: DTI-PDI 2020 Level 2 planning cum GAD forum, PRAISE Awards for meritorious employees last Dec.14-15, 2020</t>
  </si>
  <si>
    <t>Fund 01-2021-03-0445</t>
  </si>
  <si>
    <t>Mahayahay Multi-Purpose Cooperative</t>
  </si>
  <si>
    <t>Payment for computer accessories for DTI-PDI webinars and meeting use</t>
  </si>
  <si>
    <t>Fund 01-2021-03-0446</t>
  </si>
  <si>
    <t>Payment for post-paid plan subscription, 09178177806 , for the period Jan 27- February 26, 2020 for DTI- PDI Office use</t>
  </si>
  <si>
    <t>Fund 01-2021-03-0447</t>
  </si>
  <si>
    <t>Isports Enterprise</t>
  </si>
  <si>
    <t>Payment for treadmill for DTI-PDI office use</t>
  </si>
  <si>
    <t>Fund 01-2021-03-0448</t>
  </si>
  <si>
    <t xml:space="preserve">Fast Tech Computers </t>
  </si>
  <si>
    <t>Payment for desktop computer for DTI-PDI Office use</t>
  </si>
  <si>
    <t>Fund 01-2021-03-0449</t>
  </si>
  <si>
    <t>Fund 01-2021-03-253</t>
  </si>
  <si>
    <t>Payment for tarpaulin printing services re: 2021 media and CSO briefing last Feb 3, 2021</t>
  </si>
  <si>
    <t>Fund 01-2021-03-0450</t>
  </si>
  <si>
    <t>Payment for 5 units CISS Printer for DTI-PDI Office use</t>
  </si>
  <si>
    <t>Fund 01-2021-03-0451</t>
  </si>
  <si>
    <t>Robinsons Appliances Corporation</t>
  </si>
  <si>
    <t>Payment for 1 unit laptop for DTI-PDI SSF use</t>
  </si>
  <si>
    <t>Fund 01-2021-03-0452</t>
  </si>
  <si>
    <t>Integrated Services for development of Aquaculture and Fisheries Inc.</t>
  </si>
  <si>
    <t>Payment for PF as technical support to DTI-PDI and the cooperator of the SSF on crab Hatchery and Grow out Facility</t>
  </si>
  <si>
    <t>Fund 01-2021-03-0453</t>
  </si>
  <si>
    <t>Fund 01-2021-03-0454</t>
  </si>
  <si>
    <t>Fund 01-2021-03-252</t>
  </si>
  <si>
    <t>Payment for the 2020 Media AND CSO briefing training kits</t>
  </si>
  <si>
    <t>Fund 01-2021-03-0455</t>
  </si>
  <si>
    <t>Fund 01-2021-03-254</t>
  </si>
  <si>
    <t>Almont Inland Resort</t>
  </si>
  <si>
    <t>Payment for the provision of meals and venue during the 2020 media and cso briefing on Feb 3, 2021</t>
  </si>
  <si>
    <t>Fund 01-2021-03-0456</t>
  </si>
  <si>
    <t xml:space="preserve">G-Hoven Solutions </t>
  </si>
  <si>
    <t>Payment for online video conference and subscription of RPSB activities for 2020 Oct-Dec</t>
  </si>
  <si>
    <t>Fund 01-2021-03-0457</t>
  </si>
  <si>
    <t>Fund 01-2021-03-172</t>
  </si>
  <si>
    <t>Julieta B. Ogoy</t>
  </si>
  <si>
    <t>Reimbursement, Registration fee for Public Service Values in times of adversities for the month of Feb 2021.</t>
  </si>
  <si>
    <t>Fund 01-2021-03-0458</t>
  </si>
  <si>
    <t>Fund 01-2021-03-263</t>
  </si>
  <si>
    <t>Reimbursment, fuel consumption re: pick up DTI-CARAGA MV (Rapid) in CDO</t>
  </si>
  <si>
    <t>Fund 01-2021-03-0459</t>
  </si>
  <si>
    <t>Fund 01-2021-03-266</t>
  </si>
  <si>
    <t>Payment of registration fee for the "Online Course on Basic Customer Service Skills(BCSS) on May 4, 7, and 11, 2021</t>
  </si>
  <si>
    <t>Fund 01-2021-03-0460</t>
  </si>
  <si>
    <t>Fund 01-2021-03-261</t>
  </si>
  <si>
    <t>Globe Telecpm, Inc.</t>
  </si>
  <si>
    <t>Payment for post paid plan subscription, DTIU95050-091770054687, for the month of Jan 13- Feb 12, 2021</t>
  </si>
  <si>
    <t>Fund 01-2021-03-0461</t>
  </si>
  <si>
    <t>Fund 01-2021-03-243</t>
  </si>
  <si>
    <t>Advances , in support to areas affected by TS Auring</t>
  </si>
  <si>
    <t>Fund 01-2021-03-0462</t>
  </si>
  <si>
    <t>Fund 01-2021-03-246</t>
  </si>
  <si>
    <t>Payment for courier services for the month of February 2021</t>
  </si>
  <si>
    <t>Fund 01-2021-03-0463</t>
  </si>
  <si>
    <t>Fund 01-2021-03-251</t>
  </si>
  <si>
    <t>Payment for meals re: FAD Functional Team meetinglast January 25, 2021</t>
  </si>
  <si>
    <t>Fund 01-2021-03-0464</t>
  </si>
  <si>
    <t>Payment for prepaid loadcards for OTOP Ph Hub launching last December 18,2020</t>
  </si>
  <si>
    <t>Fund 01-2021-03-0465</t>
  </si>
  <si>
    <t>Payment for the online video conference and subscription of RPSB Activities for 2020 June to August</t>
  </si>
  <si>
    <t>Fund 01-2021-03-0466</t>
  </si>
  <si>
    <t>Payment for poloshirts for rapid use</t>
  </si>
  <si>
    <t>Fund 01-2021-03-0467</t>
  </si>
  <si>
    <t>Fund 01-2021-03-262</t>
  </si>
  <si>
    <t>Prince Warehouse Club, Inc.</t>
  </si>
  <si>
    <t>Livelihood kits for TS Auring affected MSME's in Tandag, Surigao del Sur</t>
  </si>
  <si>
    <t>Fund 01-2021-03-0468</t>
  </si>
  <si>
    <t>RK Internet Café and Prints</t>
  </si>
  <si>
    <t>Payment for Sintra Board with sticker for OTOP Ph Hub- Caraga</t>
  </si>
  <si>
    <t>Fund 01-2021-03-0469</t>
  </si>
  <si>
    <t>Wyn A. Palma</t>
  </si>
  <si>
    <t>Full payment of terminal leave benefits of Mr. Wyn A. Palma</t>
  </si>
  <si>
    <t>Fund 01-2021-03-0470</t>
  </si>
  <si>
    <t>Fund 01-2021-03-269</t>
  </si>
  <si>
    <t>Payment for the IT supplies for IDD office use</t>
  </si>
  <si>
    <t>Fund 01-2021-03-0471</t>
  </si>
  <si>
    <t>Fund 01-2021-03-270</t>
  </si>
  <si>
    <t>Mid- Town Computers and Services</t>
  </si>
  <si>
    <t>Payment for computer accessories for IDD use</t>
  </si>
  <si>
    <t>Fund 01-2021-03-0472</t>
  </si>
  <si>
    <t>Fund 01-2021-03-277</t>
  </si>
  <si>
    <t>Payment for tokens re: Women Honorees/entrepreneurs</t>
  </si>
  <si>
    <t>Fund 01-2021-03-0473</t>
  </si>
  <si>
    <t>Fund 01-2021-03-278</t>
  </si>
  <si>
    <t>Payment for post paid plan subscription, 09178656567, for SDD use for Feb 2021.</t>
  </si>
  <si>
    <t>Fund 01-2021-03-0474</t>
  </si>
  <si>
    <t>Fund 01-2021-03-279</t>
  </si>
  <si>
    <t>Payment of job orders for the period March 1- 15, 2021</t>
  </si>
  <si>
    <t>Fund 01-2021-03-0475</t>
  </si>
  <si>
    <t>Fund 01-2021-03-280</t>
  </si>
  <si>
    <t>Fund 01-2021-03-0476</t>
  </si>
  <si>
    <t>Fund 01-2021-03-281</t>
  </si>
  <si>
    <t>Payment for post paid plan subscription, 09177036798, for CPD use for Feb 2021.</t>
  </si>
  <si>
    <t>Fund 01-2021-03-0477</t>
  </si>
  <si>
    <t>Fund 01-2021-03-275</t>
  </si>
  <si>
    <t>Payment for DTI Caraga Motor Vehicle Fuel for the period Feb 1-28,2021</t>
  </si>
  <si>
    <t>Fund 01-2021-03-0478</t>
  </si>
  <si>
    <t>Fund 01-2021-03-274</t>
  </si>
  <si>
    <t>Fund 01-2021-03-0479</t>
  </si>
  <si>
    <t>Fund 01-2021-03-273</t>
  </si>
  <si>
    <t>Payment for JO for March 1-15, 2021</t>
  </si>
  <si>
    <t>Fund 01-2021-03-0480</t>
  </si>
  <si>
    <t>Fund 01-2021-03-271</t>
  </si>
  <si>
    <t>Payment for globe post paid plan bills for 2mos. Of RD Banquerigo with cp 09177054627</t>
  </si>
  <si>
    <t>Fund 01-2021-03-0481</t>
  </si>
  <si>
    <t>Fund 01-2021-03-276</t>
  </si>
  <si>
    <t>Payment for tarpaulin printing services in observance to DSWD's awareness on Legal Adoption Activities</t>
  </si>
  <si>
    <t>Fund 01-2021-03-0482</t>
  </si>
  <si>
    <t>Jon Harley Famador</t>
  </si>
  <si>
    <t>Honorarium of panelist on KMME online BIP Presentation- batch 2 Dec 1-3, 2021.</t>
  </si>
  <si>
    <t>Fund 01-2021-03-0483</t>
  </si>
  <si>
    <t>Rene P. Villagantol</t>
  </si>
  <si>
    <t>Fund 01-2021-03-0484</t>
  </si>
  <si>
    <t>Fund 01-2021-03-0485</t>
  </si>
  <si>
    <t>Kamille Angelie N. Mabano</t>
  </si>
  <si>
    <t>Fund 01-2021-03-0486</t>
  </si>
  <si>
    <t>Fund 01-2021-03-272</t>
  </si>
  <si>
    <t>Payment for the office supplies of IDD office use -1st quarter 2021</t>
  </si>
  <si>
    <t>Fund 01-2021-03-0487</t>
  </si>
  <si>
    <t>Fund 01-2021-03-282</t>
  </si>
  <si>
    <t>Marson Jan S. Dolendo</t>
  </si>
  <si>
    <t>Reimbursement of the payment for the cash gift og Rev. Fr. Nercipino C. Orbus during the blessing of the new DTI Vehicle</t>
  </si>
  <si>
    <t>Fund 01-2021-03-0488</t>
  </si>
  <si>
    <t>Fund 01-2021-03-283</t>
  </si>
  <si>
    <t>Reimb. For the purchase of bouquet of flowers for the successful woman entrepreneur of DTI-AD N</t>
  </si>
  <si>
    <t>Fund 01-2021-03-0489</t>
  </si>
  <si>
    <t>Fund 01-2021-03-285</t>
  </si>
  <si>
    <t xml:space="preserve">Payment for the meals and snacks during the 2021 Women's Summit </t>
  </si>
  <si>
    <t>Fund 01-2021-03-0490</t>
  </si>
  <si>
    <t>Fund 01-2021-03-286</t>
  </si>
  <si>
    <t>Payment for printing services re: National Women's Month Celebration</t>
  </si>
  <si>
    <t>Fund 01-2021-03-0491</t>
  </si>
  <si>
    <t>Fund 01-2021-03-287</t>
  </si>
  <si>
    <t>LBP F/O-CARP employee</t>
  </si>
  <si>
    <t>Payment for CARP employees cothing allowance for CY 2021</t>
  </si>
  <si>
    <t>Fund 01-2021-03-0492</t>
  </si>
  <si>
    <t>Payment for salaries and allowances for regular employees for the month of March 16-31, 2021.</t>
  </si>
  <si>
    <t>Fund 01-2021-03-0493</t>
  </si>
  <si>
    <t>LBP F/O DTI-ads</t>
  </si>
  <si>
    <t>Fund 01-2021-03-0494</t>
  </si>
  <si>
    <t>Fund 01-2021-03-0495</t>
  </si>
  <si>
    <t>Fund 01-2021-03-0496</t>
  </si>
  <si>
    <t>Fund 01-2021-03-0497</t>
  </si>
  <si>
    <t>Fund 01-2021-03-0498</t>
  </si>
  <si>
    <t>Payment for salaries and allowances for CARP employees for the month of March 16-31, 2021.</t>
  </si>
  <si>
    <t>Fund 01-2021-03-0499</t>
  </si>
  <si>
    <t>Fund 01-2021-03-289</t>
  </si>
  <si>
    <t>Payment for RAPID PCU SDS staff for March 1-15, 2021</t>
  </si>
  <si>
    <t>Fund 01-2021-03-0500</t>
  </si>
  <si>
    <t>Fund 01-2021-03-288</t>
  </si>
  <si>
    <t>Payment for RAPID PCU ADS staff for March 1-15, 2021</t>
  </si>
  <si>
    <t>Fund 01-2021-03-0501</t>
  </si>
  <si>
    <t>Fund 01-2021-03-0502</t>
  </si>
  <si>
    <t>Fund 01-2021-03-0503</t>
  </si>
  <si>
    <t>Fund 01-2021-03-0504</t>
  </si>
  <si>
    <t>Fund 01-2021-03-0505</t>
  </si>
  <si>
    <t>Fund 01-2021-03-0506</t>
  </si>
  <si>
    <t>Payment for salaries and allowances for NC employees for the month of March 16-31, 2021.</t>
  </si>
  <si>
    <t>Fund 01-2021-03-0507</t>
  </si>
  <si>
    <t>Fund 01-2021-03-0508</t>
  </si>
  <si>
    <t>Fund 01-2021-03-0509</t>
  </si>
  <si>
    <t>Fund 01-2021-03-0510</t>
  </si>
  <si>
    <t>Fund 01-2021-03-0511</t>
  </si>
  <si>
    <t>Fund 01-2021-03-0512</t>
  </si>
  <si>
    <t>Fund 01-2021-03-299</t>
  </si>
  <si>
    <t>FT for regular transfer MOOE for the month of March- May2021</t>
  </si>
  <si>
    <t>Fund 01-2021-03-0513</t>
  </si>
  <si>
    <t>Fund 01-2021-03-300</t>
  </si>
  <si>
    <t>Fund 01-2021-03-0514</t>
  </si>
  <si>
    <t>Fund 01-2021-03-301</t>
  </si>
  <si>
    <t>Fund 01-2021-03-0515</t>
  </si>
  <si>
    <t>Fund 01-2021-03-302</t>
  </si>
  <si>
    <t>Fund 01-2021-03-0516</t>
  </si>
  <si>
    <t>Fund 01-2021-03-303</t>
  </si>
  <si>
    <t>Fund 01-2021-03-0517</t>
  </si>
  <si>
    <t>Fund 01-2021-03-304</t>
  </si>
  <si>
    <t>PD,DTI-SDN</t>
  </si>
  <si>
    <t>FT for LSP-NSB implementation for Jan- Spet, 2021.</t>
  </si>
  <si>
    <t>Fund 01-2021-03-0518</t>
  </si>
  <si>
    <t>Payment for post paid plan subscription 09178177806 for the period May 27- June 26, 2020</t>
  </si>
  <si>
    <t>Fund 01-2021-03-0519</t>
  </si>
  <si>
    <t>Payment for post paid plan subscription 09178177806 for the period June 27- H=July 26, 2020 for DTI-PDI Office</t>
  </si>
  <si>
    <t>Fund 01-2021-03-0520</t>
  </si>
  <si>
    <t>Fund 01-2021-03-298</t>
  </si>
  <si>
    <t>Petty cash fund replenishment 2021-02-004 Mach 2-22,2021</t>
  </si>
  <si>
    <t>Fund 01-2021-03-0521</t>
  </si>
  <si>
    <t>Mary Mhel Decamotan</t>
  </si>
  <si>
    <t>Reimb. Of the freight for the Rattan Bags as tokens for the PSC Meeting last December 15, 2020</t>
  </si>
  <si>
    <t>Fund 01-2021-03-0522</t>
  </si>
  <si>
    <t>Myra Luz A. Gavero</t>
  </si>
  <si>
    <t>Payment of terminal leave benefits of Ms. Myra Luz A. Gavero</t>
  </si>
  <si>
    <t>Fund 01-2021-03-0523</t>
  </si>
  <si>
    <t>Payment for ORD Load allowance- 4th q 2020</t>
  </si>
  <si>
    <t>Fund 01-2021-03-0524</t>
  </si>
  <si>
    <t>Payment for Toner cartridge for FAD office use.</t>
  </si>
  <si>
    <t>Fund 01-2021-03-0525</t>
  </si>
  <si>
    <t>Fund 01-2021-03-305</t>
  </si>
  <si>
    <t>Transfer of funds to cover implementation of CPD activities for 2nd and 3rd quarters budget 2021.</t>
  </si>
  <si>
    <t>Fund 01-2021-03-0526</t>
  </si>
  <si>
    <t>Fund 01-2021-03-306</t>
  </si>
  <si>
    <t>Fund 01-2021-03-0527</t>
  </si>
  <si>
    <t>Fund 01-2021-03-307</t>
  </si>
  <si>
    <t>Fund 01-2021-03-0528</t>
  </si>
  <si>
    <t>Fund 01-2021-03-308</t>
  </si>
  <si>
    <t>Advances to the SSF MOOE - 1st-3rd Quarter 2021</t>
  </si>
  <si>
    <t>Fund 01-2021-03-0529</t>
  </si>
  <si>
    <t>Fund 01-2021-03-309</t>
  </si>
  <si>
    <t>Advances to the SSF MOOE - 2nd-3rd Quarter 2021</t>
  </si>
  <si>
    <t>Fund 01-2021-03-0530</t>
  </si>
  <si>
    <t>Fund 01-2021-03-310</t>
  </si>
  <si>
    <t>Fund 01-2021-03-0531</t>
  </si>
  <si>
    <t>Fund 01-2021-03-311</t>
  </si>
  <si>
    <t xml:space="preserve">OIC, DTI- PDI </t>
  </si>
  <si>
    <t>Fund 01-2021-03-0532</t>
  </si>
  <si>
    <t>Fund 01-2021-03-314</t>
  </si>
  <si>
    <t>Payment for globe post paid plan subscription for the month of January 2021</t>
  </si>
  <si>
    <t>Fund 01-2021-03-0533</t>
  </si>
  <si>
    <t>Fund 01-2021-03-320</t>
  </si>
  <si>
    <t xml:space="preserve">Balanhai Hotel </t>
  </si>
  <si>
    <t>Payment for meals re: 8th DAR-DTI-DOST synchronized assessment and planning session last March 1-2, 2021</t>
  </si>
  <si>
    <t>Fund 01-2021-03-0534</t>
  </si>
  <si>
    <t>Fund 01-2021-03-290</t>
  </si>
  <si>
    <t>Columbia Computer Center, Inc</t>
  </si>
  <si>
    <t>Payment for desktop computer for ORD use.</t>
  </si>
  <si>
    <t>Fund 01-2021-03-0535</t>
  </si>
  <si>
    <t>Fund 01-2021-03-291</t>
  </si>
  <si>
    <t>Reimbursment,for the procurement of Janitorial Supplies</t>
  </si>
  <si>
    <t>Fund 01-2021-03-0536</t>
  </si>
  <si>
    <t>Fund 01-2021-03-292</t>
  </si>
  <si>
    <t>Paymen for bond premium -renewal of application for accountable officers and employees</t>
  </si>
  <si>
    <t>Fund 01-2021-03-0537</t>
  </si>
  <si>
    <t>Fund 01-2021-03-293</t>
  </si>
  <si>
    <t>Lorijane D. Sacote</t>
  </si>
  <si>
    <t>CA for the conduct of FTL enforcement and monitoring in Agusan del Sur on April 6-7, 2021</t>
  </si>
  <si>
    <t>Fund 01-2021-03-0538</t>
  </si>
  <si>
    <t>Fund 01-2021-03-294</t>
  </si>
  <si>
    <t>Payment for the SDD 1st quarter prepaid loadcards</t>
  </si>
  <si>
    <t>Fund 01-2021-03-0539</t>
  </si>
  <si>
    <t>Fund 01-2021-03-295</t>
  </si>
  <si>
    <t>Payment for office supplies-glass board for IDD use.</t>
  </si>
  <si>
    <t>Fund 01-2021-03-0540</t>
  </si>
  <si>
    <t>Fund 01-2021-03-296</t>
  </si>
  <si>
    <t>Payment for the tarpaulin printing in celebration of the 2021 World Consumer Rights Day</t>
  </si>
  <si>
    <t>Fund 01-2021-03-0541</t>
  </si>
  <si>
    <t>Fund 01-2021-03-297</t>
  </si>
  <si>
    <t>JT Auto Shop</t>
  </si>
  <si>
    <t>DTI Caraga Motor vehicle repair and maintenance</t>
  </si>
  <si>
    <t>Fund 01-2021-03-0542</t>
  </si>
  <si>
    <t>Payment for IT Supplies- ORD use</t>
  </si>
  <si>
    <t>Fund 01-2021-03-0543</t>
  </si>
  <si>
    <t>Fund 01-2021-03-315</t>
  </si>
  <si>
    <t>FT re: under OO3 programs</t>
  </si>
  <si>
    <t>Fund 01-2021-03-0544</t>
  </si>
  <si>
    <t>Fund 01-2021-03-316</t>
  </si>
  <si>
    <t>Fund 01-2021-03-0545</t>
  </si>
  <si>
    <t>Fund 01-2021-03-317</t>
  </si>
  <si>
    <t>Fund 01-2021-03-0546</t>
  </si>
  <si>
    <t>Fund 01-2021-03-318</t>
  </si>
  <si>
    <t>Fund 01-2021-03-0547</t>
  </si>
  <si>
    <t>Fund 01-2021-03-319</t>
  </si>
  <si>
    <t>Fund 01-2021-03-0548</t>
  </si>
  <si>
    <t>OIC-DTI-SDN</t>
  </si>
  <si>
    <t>Advances, Regular MOOE for the month of November- December 2020</t>
  </si>
  <si>
    <t>Fund 01-2021-03-0549</t>
  </si>
  <si>
    <t>Fund 01-2021-03-0550</t>
  </si>
  <si>
    <t>Fund 01-2021-03-0551</t>
  </si>
  <si>
    <t>Elynur H. Gambet-Minglana</t>
  </si>
  <si>
    <t>Payment for salary and allowances for March 16-31, 2021</t>
  </si>
  <si>
    <t>Fund 01-2021-03-0552</t>
  </si>
  <si>
    <t>Fund 01-2021-03-331</t>
  </si>
  <si>
    <t>FT for 2021 GAD activities OO1</t>
  </si>
  <si>
    <t>Fund 01-2021-03-0553</t>
  </si>
  <si>
    <t>Fund 01-2021-03-332</t>
  </si>
  <si>
    <t>Fund 01-2021-03-0554</t>
  </si>
  <si>
    <t>Fund 01-2021-03-333</t>
  </si>
  <si>
    <t>Fund 01-2021-03-0555</t>
  </si>
  <si>
    <t>Fund 01-2021-03-334</t>
  </si>
  <si>
    <t>Fund 01-2021-03-0556</t>
  </si>
  <si>
    <t>Fund 01-2021-03-323</t>
  </si>
  <si>
    <t>Payment of Job orders for the period March 16-31, 2021</t>
  </si>
  <si>
    <t>Fund 01-2021-03-0557</t>
  </si>
  <si>
    <t>Fund 01-2021-03-324</t>
  </si>
  <si>
    <t>Mandaue Foam</t>
  </si>
  <si>
    <t>Payment for the mobile pedestal for the office of the RD</t>
  </si>
  <si>
    <t>Fund 01-2021-03-0558</t>
  </si>
  <si>
    <t>Fund 01-2021-03-322</t>
  </si>
  <si>
    <t>Aneco, Inc.</t>
  </si>
  <si>
    <t>Payment for electricity for Dec 20-Jan 19, 2021</t>
  </si>
  <si>
    <t>Fund 01-2021-03-0559</t>
  </si>
  <si>
    <t>Payment for electricity for Oct 20-Nov 9, 2020</t>
  </si>
  <si>
    <t>Fund 01-2021-03-0560</t>
  </si>
  <si>
    <t>Fund 01-2021-03-335</t>
  </si>
  <si>
    <t>Reimb. Of excess expenses from cash advances of various employees</t>
  </si>
  <si>
    <t>Fund 01-2021-03-0561</t>
  </si>
  <si>
    <t>Fund 01-2021-03-336</t>
  </si>
  <si>
    <t>Al. A. Oliverio</t>
  </si>
  <si>
    <t xml:space="preserve">Salaries for RAPID PCU SDS staff(driver)-March 1-15, 2021 </t>
  </si>
  <si>
    <t>Fund 01-2021-03-0562</t>
  </si>
  <si>
    <t>Fund 01-2021-03-325</t>
  </si>
  <si>
    <t>To payment of Globe postpaid plan subscription for the month of February 6-March 15, 2021</t>
  </si>
  <si>
    <t>Fund 01-2021-03-0563</t>
  </si>
  <si>
    <t>Fund 01-2021-03-326</t>
  </si>
  <si>
    <t>Payment for SDD 1ST QUARTER 2021 Office supplies</t>
  </si>
  <si>
    <t>Fund 01-2021-03-0564</t>
  </si>
  <si>
    <t>Fund 01-2021-03-327</t>
  </si>
  <si>
    <t>Fund 01-2021-03-0565</t>
  </si>
  <si>
    <t>Fund 01-2021-03-328</t>
  </si>
  <si>
    <t>Payment for office rental for the month of January 2021</t>
  </si>
  <si>
    <t>Fund 01-2021-03-0566</t>
  </si>
  <si>
    <t>Fund 01-2021-03-329</t>
  </si>
  <si>
    <t>Payment for water consumption for Feb 2021</t>
  </si>
  <si>
    <t>Fund 01-2021-03-0567</t>
  </si>
  <si>
    <t>Fund 01-2021-03-330</t>
  </si>
  <si>
    <t>Payment for electricity for November 20-Dec 19, 2020</t>
  </si>
  <si>
    <t>Fund 01-2021-03-0568</t>
  </si>
  <si>
    <t>Partial payment for utilities expenses -electricity for the period November 20- December 19, 2020</t>
  </si>
  <si>
    <t>Fund 01-2021-03-0569</t>
  </si>
  <si>
    <t>Fund 01-2021-03-0570</t>
  </si>
  <si>
    <t>Fund 01-2021-03-284</t>
  </si>
  <si>
    <t xml:space="preserve">Payment for the plaques for the successful women entreprenuers during the 2021 Women's Summit </t>
  </si>
  <si>
    <t>Fund 01-2021-03-0571</t>
  </si>
  <si>
    <t>Land Bank of Philippines</t>
  </si>
  <si>
    <t>Payment of leave monetizations for DTI Caraga Employees for CY 2020.</t>
  </si>
  <si>
    <t>Fund 01-2021-03-0572</t>
  </si>
  <si>
    <t>Fruitful Enterprises</t>
  </si>
  <si>
    <t>Payment for supply, delivery and installation of the SSF Project on Cacao processing by Dinagat Island Pure Organic Farmers Association Lot 1 with PO no. (20-12-23-007). 1unit Multi Commodity Solar Tunnel Dryer, 2 units of Fermentation Box, 2units Stainless Steel Table.</t>
  </si>
  <si>
    <t>Fund 01-2021-03-0573</t>
  </si>
  <si>
    <t>Davao Technocraft</t>
  </si>
  <si>
    <t>Payment for supply, delivery and installation of the SSF Project on Cacao processing by Dinagat Island Pure Organic Farmers Association Lot 1 with PO no. (20-12-23-008). 1unit Cacao Roaster, 1 unit of Cacao Grinder, 1 unit cacao sheller with Sifter.</t>
  </si>
  <si>
    <t>Fund 01-2021-03-0574</t>
  </si>
  <si>
    <t>Fund 01-2021-03-338</t>
  </si>
  <si>
    <t xml:space="preserve">FT for DTI-CARP implementation for 1st-3rd Quarter </t>
  </si>
  <si>
    <t>Fund 01-2021-03-0575</t>
  </si>
  <si>
    <t>Fund 01-2021-03-339</t>
  </si>
  <si>
    <t>Fund 01-2021-03-0576</t>
  </si>
  <si>
    <t>Fund 01-2021-03-337</t>
  </si>
  <si>
    <t>Payment of JO for period March 16-31, 2021</t>
  </si>
  <si>
    <t>Fund 01-2021-03-0577</t>
  </si>
  <si>
    <t>Fund 01-2021-03-312</t>
  </si>
  <si>
    <t>Fund 01-2021-03-0578</t>
  </si>
  <si>
    <t>Fund 01-2021-03-313</t>
  </si>
  <si>
    <t>Fund 01-2021-03-0579</t>
  </si>
  <si>
    <t>Fund 01-2021-03-0580</t>
  </si>
  <si>
    <t>Fund 01-2021-03-340</t>
  </si>
  <si>
    <t>FT for NC implementation (Feb-Sept 2021)</t>
  </si>
  <si>
    <t>Fund 01-2021-03-0581</t>
  </si>
  <si>
    <t>Fund 01-2021-03-341</t>
  </si>
  <si>
    <t>PD, D TI-SDN</t>
  </si>
  <si>
    <t>Fund 01-2021-03-0582</t>
  </si>
  <si>
    <t>Fund 01-2021-03-342</t>
  </si>
  <si>
    <t>PD, D TI-ADN</t>
  </si>
  <si>
    <t>FT(FEB-APRIL, Partial) for the implementation of OTOP NG.</t>
  </si>
  <si>
    <t>Fund 01-2021-03-0583</t>
  </si>
  <si>
    <t>Fund 01-2021-03-343</t>
  </si>
  <si>
    <t>Fund 01-2021-03-0584</t>
  </si>
  <si>
    <t>Fund 01-2021-03-344</t>
  </si>
  <si>
    <t>OIC, DTI-pdi</t>
  </si>
  <si>
    <t>Fund 01-2021-03-0585</t>
  </si>
  <si>
    <t>Remittance of NC staff GSIS (ECIP) premium for the month of January 2021</t>
  </si>
  <si>
    <t>Fund 01-2021-03-0586</t>
  </si>
  <si>
    <t>Fund 01-2021-03-345</t>
  </si>
  <si>
    <t>FT for NC implementation (Feb-April 2021)</t>
  </si>
  <si>
    <t>Fund 01-2021-03-0587</t>
  </si>
  <si>
    <t>Fund 01-2021-03-346</t>
  </si>
  <si>
    <t>Advances to IDD Regular MOOE-OO2 2021-2nd and 3rd quarter 2021</t>
  </si>
  <si>
    <t>Fund 01-2021-03-0588</t>
  </si>
  <si>
    <t>Fund 01-2021-03-347</t>
  </si>
  <si>
    <t>Fund 01-2021-03-0589</t>
  </si>
  <si>
    <t>Fund 01-2021-03-348</t>
  </si>
  <si>
    <t>Fund 01-2021-03-0590</t>
  </si>
  <si>
    <t>Fund 01-2021-03-349</t>
  </si>
  <si>
    <t>FT for LSP-NSB implementation for 1ST quarter, 2021.</t>
  </si>
  <si>
    <t>Fund 01-2021-03-0591</t>
  </si>
  <si>
    <t>Fund 01-2021-03-350</t>
  </si>
  <si>
    <t>Advances to the SSF MOOE-1st quarter 2021, 2nd and 3rd quarter 2021</t>
  </si>
  <si>
    <t>Fund 01-2021-03-0592</t>
  </si>
  <si>
    <t>Megamight Enterprises</t>
  </si>
  <si>
    <t>Payment fir the supply, delivery and installation of the SSF on Palaw Processing of Liberty Women Association Lot 1 with PO No. (20-09-02-003) 1 unit Palaw/Cassava Grater Machine , 1unit coconut grater, 1 unit pulverizer</t>
  </si>
  <si>
    <t>Fund 01-2021-03-0593</t>
  </si>
  <si>
    <t>MDBF</t>
  </si>
  <si>
    <t>Additional remittance for NC staff for the month of February 2021</t>
  </si>
  <si>
    <t>Fund 01-2021-03-0594</t>
  </si>
  <si>
    <t>Fund 01-2021-03-351</t>
  </si>
  <si>
    <t>Payment for globe plan subscription for the Feb 13,- March 12, 2021 with cp no. 09177054627</t>
  </si>
  <si>
    <t>Fund 01-2021-03-0595</t>
  </si>
  <si>
    <t>Fund 01-2021-03-352</t>
  </si>
  <si>
    <t>Reimbursement Quarter allowance for the period Dec 15- March 15, 2021.</t>
  </si>
  <si>
    <t>Fund 01-2021-03-0596</t>
  </si>
  <si>
    <t>Fund 01-2021-03-353</t>
  </si>
  <si>
    <t>Reimb. Load allowance for Nov, 2020- March 23, 2021</t>
  </si>
  <si>
    <t>2306
(VAT / Non-Vat)</t>
  </si>
  <si>
    <t>2307
(EWT Goods / Services)</t>
  </si>
  <si>
    <t>1601C
(Compensation)</t>
  </si>
  <si>
    <t>Total Tax Withheld</t>
  </si>
  <si>
    <t>Other Trust Liabilities</t>
  </si>
  <si>
    <t>Tax Type</t>
  </si>
  <si>
    <t>TRA Number</t>
  </si>
  <si>
    <t>Tax Amount Withheld</t>
  </si>
  <si>
    <t>Tax Amount Remitted</t>
  </si>
  <si>
    <t>will be filled when accomplishing DV</t>
  </si>
  <si>
    <t>filled when accomplishing  TRA</t>
  </si>
  <si>
    <t>Fund 01-2021-01-030</t>
  </si>
  <si>
    <t>Fund 01-2021-02-091</t>
  </si>
  <si>
    <t>Fund 01-2021-02-100</t>
  </si>
  <si>
    <t>Fund 01-2021-02-101</t>
  </si>
  <si>
    <t>Fund 01-2021-02-103</t>
  </si>
  <si>
    <t>Fund 01-2021-02-104</t>
  </si>
  <si>
    <t>Fund 01-2021-02-105</t>
  </si>
  <si>
    <t>Fund 01-2021-02-107</t>
  </si>
  <si>
    <t>Fund 01-2021-02-108</t>
  </si>
  <si>
    <t>Fund 01-2021-02-109</t>
  </si>
  <si>
    <t>Fund 01-2021-02-133</t>
  </si>
  <si>
    <t>Fund 01-2021-02-134</t>
  </si>
  <si>
    <t>Fund 01-2021-02-136</t>
  </si>
  <si>
    <t>Fund 01-2021-02-138</t>
  </si>
  <si>
    <t>Fund 01-2021-02-139</t>
  </si>
  <si>
    <t>Fund 01-2021-02-140</t>
  </si>
  <si>
    <t>Fund 01-2021-02-141</t>
  </si>
  <si>
    <t>Fund 01-2021-02-142</t>
  </si>
  <si>
    <t>Fund 01-2021-02-156</t>
  </si>
  <si>
    <t>Fund 01-2021-02-157</t>
  </si>
  <si>
    <t>Fund 01-2021-02-158</t>
  </si>
  <si>
    <t>Fund 01-2021-02-159</t>
  </si>
  <si>
    <t>Fund 01-2021-02-160</t>
  </si>
  <si>
    <t>Fund 01-2021-02-161</t>
  </si>
  <si>
    <t>Fund 01-2021-02-162</t>
  </si>
  <si>
    <t>Fund 01-2021-02-163</t>
  </si>
  <si>
    <t>Fund 01-2021-02-164</t>
  </si>
  <si>
    <t>Fund 01-2021-02-165</t>
  </si>
  <si>
    <t>Fund 01-2021-03-191</t>
  </si>
  <si>
    <t>Fund 01-2021-03-321</t>
  </si>
  <si>
    <t>Allotment 
UACS Code</t>
  </si>
  <si>
    <t>Obligation UACS Code</t>
  </si>
  <si>
    <t>Obligation UACS Account Title</t>
  </si>
  <si>
    <t>FAD-2021-01-001</t>
  </si>
  <si>
    <t>ORD-2021-01-002</t>
  </si>
  <si>
    <t>FAD-2021-01-003</t>
  </si>
  <si>
    <t>FAD-2021-01-004</t>
  </si>
  <si>
    <t>FAD-2021-01-005</t>
  </si>
  <si>
    <t>FAD-2021-01-006</t>
  </si>
  <si>
    <t>FAD-2021-01-007</t>
  </si>
  <si>
    <t>FAD-2021-01-008</t>
  </si>
  <si>
    <t>FAD-2021-01-009</t>
  </si>
  <si>
    <t>FAD-2021-01-010</t>
  </si>
  <si>
    <t>FAD-2021-01-011</t>
  </si>
  <si>
    <t>FAD-2021-01-012</t>
  </si>
  <si>
    <t>FAD-2021-01-013</t>
  </si>
  <si>
    <t>FAD-2021-01-014</t>
  </si>
  <si>
    <t>FAD-2021-01-015</t>
  </si>
  <si>
    <t>FAD-2021-01-016</t>
  </si>
  <si>
    <t>FAD-2021-01-017</t>
  </si>
  <si>
    <t>FAD-2021-01-018</t>
  </si>
  <si>
    <t>FAD-2021-01-019</t>
  </si>
  <si>
    <t>FAD-2021-01-020</t>
  </si>
  <si>
    <t>FAD-2021-01-021</t>
  </si>
  <si>
    <t>IDD-2021-01-022</t>
  </si>
  <si>
    <t>FAD-2021-01-023</t>
  </si>
  <si>
    <t>FAD-2021-01-024</t>
  </si>
  <si>
    <t>FAD-2021-01-025</t>
  </si>
  <si>
    <t>FAD-2021-01-026</t>
  </si>
  <si>
    <t>FAD-2021-01-027</t>
  </si>
  <si>
    <t>FAD-2021-01-028</t>
  </si>
  <si>
    <t>FAD-2021-01-029</t>
  </si>
  <si>
    <t>FAD-2021-01-030</t>
  </si>
  <si>
    <t>ORD-2021-01-031</t>
  </si>
  <si>
    <t>FAD-2021-01-032</t>
  </si>
  <si>
    <t>FAD-2021-01-033</t>
  </si>
  <si>
    <t>FAD-2021-01-034</t>
  </si>
  <si>
    <t>FAD-2021-01-035</t>
  </si>
  <si>
    <t>FAD-2021-01-036</t>
  </si>
  <si>
    <t>FAD-2021-01-037</t>
  </si>
  <si>
    <t>FAD-2021-01-038</t>
  </si>
  <si>
    <t>ORD-2021-01-039</t>
  </si>
  <si>
    <t>FAD-2021-01-040</t>
  </si>
  <si>
    <t>IDD-2021-01-041</t>
  </si>
  <si>
    <t>IDD-2021-01-042</t>
  </si>
  <si>
    <t>FAD-2021-01-043</t>
  </si>
  <si>
    <t>FAD-2021-01-044</t>
  </si>
  <si>
    <t>FAD-2021-01-045</t>
  </si>
  <si>
    <t>FAD-2021-01-046</t>
  </si>
  <si>
    <t>FAD-2021-01-047</t>
  </si>
  <si>
    <t>IDD-2021-01-048</t>
  </si>
  <si>
    <t>IDD-2021-01-049</t>
  </si>
  <si>
    <t>IDD-2021-01-050</t>
  </si>
  <si>
    <t>IDD-2021-01-051</t>
  </si>
  <si>
    <t>IDD-2021-01-052</t>
  </si>
  <si>
    <t>IDD-2021-01-053</t>
  </si>
  <si>
    <t>IDD-2021-01-054</t>
  </si>
  <si>
    <t>IDD-2021-01-055</t>
  </si>
  <si>
    <t>IDD-2021-01-056</t>
  </si>
  <si>
    <t>IDD-2021-01-057</t>
  </si>
  <si>
    <t>FAD-2021-01-058</t>
  </si>
  <si>
    <t>FAD-2021-01-059</t>
  </si>
  <si>
    <t>FAD-2021-01-060</t>
  </si>
  <si>
    <t>FAD-2021-01-061</t>
  </si>
  <si>
    <t>FAD-2021-01-062</t>
  </si>
  <si>
    <t>FAD-2021-01-063</t>
  </si>
  <si>
    <t>FAD-2021-01-064</t>
  </si>
  <si>
    <t>FAD-2021-01-065</t>
  </si>
  <si>
    <t>FAD-2021-01-066</t>
  </si>
  <si>
    <t>FAD-2021-01-067</t>
  </si>
  <si>
    <t>FAD-2021-01-068</t>
  </si>
  <si>
    <t>FAD-2021-01-069</t>
  </si>
  <si>
    <t>FAD-2021-01-070</t>
  </si>
  <si>
    <t>FAD-2021-01-071</t>
  </si>
  <si>
    <t>FAD-2021-01-072</t>
  </si>
  <si>
    <t>FAD-2021-01-073</t>
  </si>
  <si>
    <t>FAD-2021-01-074</t>
  </si>
  <si>
    <t>FAD-2021-01-075</t>
  </si>
  <si>
    <t>FAD-2021-01-076</t>
  </si>
  <si>
    <t>FAD-2021-01-077</t>
  </si>
  <si>
    <t>FAD-2021-01-078</t>
  </si>
  <si>
    <t>FAD-2021-01-079</t>
  </si>
  <si>
    <t>FAD-2021-01-080</t>
  </si>
  <si>
    <t>FAD-2021-01-081</t>
  </si>
  <si>
    <t>FAD-2021-01-082</t>
  </si>
  <si>
    <t>FAD-2021-01-083</t>
  </si>
  <si>
    <t>FAD-2021-01-084</t>
  </si>
  <si>
    <t>FAD-2021-01-085</t>
  </si>
  <si>
    <t>FAD-2021-01-086</t>
  </si>
  <si>
    <t>FAD-2021-01-087</t>
  </si>
  <si>
    <t>FAD-2021-01-088</t>
  </si>
  <si>
    <t>FAD-2021-01-089</t>
  </si>
  <si>
    <t>FAD-2021-01-090</t>
  </si>
  <si>
    <t>FAD-2021-01-091</t>
  </si>
  <si>
    <t>FAD-2021-01-092</t>
  </si>
  <si>
    <t>FAD-2021-01-093</t>
  </si>
  <si>
    <t>FAD-2021-01-094</t>
  </si>
  <si>
    <t>FAD-2021-01-095</t>
  </si>
  <si>
    <t>FAD-2021-01-096</t>
  </si>
  <si>
    <t>FAD-2021-01-097</t>
  </si>
  <si>
    <t>FAD-2021-01-098</t>
  </si>
  <si>
    <t>FAD-2021-01-099</t>
  </si>
  <si>
    <t>FAD-2021-01-100</t>
  </si>
  <si>
    <t>FAD-2021-01-101</t>
  </si>
  <si>
    <t>FAD-2021-01-102</t>
  </si>
  <si>
    <t>FAD-2021-01-103</t>
  </si>
  <si>
    <t>FAD-2021-01-104</t>
  </si>
  <si>
    <t>FAD-2021-01-105</t>
  </si>
  <si>
    <t>FAD-2021-01-106</t>
  </si>
  <si>
    <t>FAD-2021-01-107</t>
  </si>
  <si>
    <t>FAD-2021-01-108</t>
  </si>
  <si>
    <t>FAD-2021-01-109</t>
  </si>
  <si>
    <t>FAD-2021-01-110</t>
  </si>
  <si>
    <t>FAD-2021-01-111</t>
  </si>
  <si>
    <t>FAD-2021-01-112</t>
  </si>
  <si>
    <t>FAD-2021-01-113</t>
  </si>
  <si>
    <t>FAD-2021-01-114</t>
  </si>
  <si>
    <t>FAD-2021-01-115</t>
  </si>
  <si>
    <t>FAD-2021-01-116</t>
  </si>
  <si>
    <t>FAD-2021-01-117</t>
  </si>
  <si>
    <t>FAD-2021-01-118</t>
  </si>
  <si>
    <t>FAD-2021-01-119</t>
  </si>
  <si>
    <t>FAD-2021-01-120</t>
  </si>
  <si>
    <t>FAD-2021-01-121</t>
  </si>
  <si>
    <t>FAD-2021-01-122</t>
  </si>
  <si>
    <t>FAD-2021-01-123</t>
  </si>
  <si>
    <t>FAD-2021-01-124</t>
  </si>
  <si>
    <t>FAD-2021-01-125</t>
  </si>
  <si>
    <t>FAD-2021-01-126</t>
  </si>
  <si>
    <t>FAD-2021-01-127</t>
  </si>
  <si>
    <t>FAD-2021-01-128</t>
  </si>
  <si>
    <t>FAD-2021-01-129</t>
  </si>
  <si>
    <t>FAD-2021-01-130</t>
  </si>
  <si>
    <t>FAD-2021-01-131</t>
  </si>
  <si>
    <t>FAD-2021-01-132</t>
  </si>
  <si>
    <t>FAD-2021-01-133</t>
  </si>
  <si>
    <t>CPD-2021-01-134</t>
  </si>
  <si>
    <t>CPD-2021-01-135</t>
  </si>
  <si>
    <t>CPD-2021-01-136</t>
  </si>
  <si>
    <t>CPD-2021-01-137</t>
  </si>
  <si>
    <t>CPD-2021-01-138</t>
  </si>
  <si>
    <t>FAD-2021-01-139</t>
  </si>
  <si>
    <t>SDD-2021-01-140</t>
  </si>
  <si>
    <t>SDD-2021-01-141</t>
  </si>
  <si>
    <t>SDD-2021-01-142</t>
  </si>
  <si>
    <t>SDD-2021-01-143</t>
  </si>
  <si>
    <t>SDD-2021-01-144</t>
  </si>
  <si>
    <t>IDD-2021-01-145</t>
  </si>
  <si>
    <t>FAD-2021-01-146</t>
  </si>
  <si>
    <t>FAD-2021-01-147</t>
  </si>
  <si>
    <t>FAD-2021-01-148</t>
  </si>
  <si>
    <t>FAD-2021-01-149</t>
  </si>
  <si>
    <t>IDD-2021-01-150</t>
  </si>
  <si>
    <t>FAD-2021-01-151</t>
  </si>
  <si>
    <t>FAD-2021-01-152</t>
  </si>
  <si>
    <t>FAD-2021-01-153</t>
  </si>
  <si>
    <t>FAD-2021-01-154</t>
  </si>
  <si>
    <t>FAD-2021-01-155</t>
  </si>
  <si>
    <t>FAD-2021-01-156</t>
  </si>
  <si>
    <t>FAD-2021-01-157</t>
  </si>
  <si>
    <t>FAD-2021-01-158</t>
  </si>
  <si>
    <t>ORD-2021-01-159</t>
  </si>
  <si>
    <t>FAD-2021-01-160</t>
  </si>
  <si>
    <t>FAD-2021-01-161</t>
  </si>
  <si>
    <t>FAD-2021-01-162</t>
  </si>
  <si>
    <t>FAD-2021-01-163</t>
  </si>
  <si>
    <t>FAD-2021-01-164</t>
  </si>
  <si>
    <t>FAD-2021-01-165</t>
  </si>
  <si>
    <t>FAD-2021-01-166</t>
  </si>
  <si>
    <t>FAD-2021-01-167</t>
  </si>
  <si>
    <t>FAD-2021-01-168</t>
  </si>
  <si>
    <t>FAD-2021-01-169</t>
  </si>
  <si>
    <t>FAD-2021-01-170</t>
  </si>
  <si>
    <t>FAD-2021-01-171</t>
  </si>
  <si>
    <t>FAD-2021-01-172</t>
  </si>
  <si>
    <t>FAD-2021-01-173</t>
  </si>
  <si>
    <t>FAD-2021-01-174</t>
  </si>
  <si>
    <t>FAD-2021-01-175</t>
  </si>
  <si>
    <t>FAD-2021-01-176</t>
  </si>
  <si>
    <t>IDD-2021-01-177</t>
  </si>
  <si>
    <t>FAD-2021-01-178</t>
  </si>
  <si>
    <t>FAD-2021-01-179</t>
  </si>
  <si>
    <t>FAD-2021-01-180</t>
  </si>
  <si>
    <t>FAD-2021-01-181</t>
  </si>
  <si>
    <t>FAD-2021-01-182</t>
  </si>
  <si>
    <t>FAD-2021-01-183</t>
  </si>
  <si>
    <t>FAD-2021-01-184</t>
  </si>
  <si>
    <t>FAD-2021-01-185</t>
  </si>
  <si>
    <t>FAD-2021-01-186</t>
  </si>
  <si>
    <t>FAD-2021-01-187</t>
  </si>
  <si>
    <t>CPD-2021-01-188</t>
  </si>
  <si>
    <t>FAD-2021-01-189</t>
  </si>
  <si>
    <t>FAD-2021-01-190</t>
  </si>
  <si>
    <t>IDD-2021-01-191</t>
  </si>
  <si>
    <t>IDD-2021-01-192</t>
  </si>
  <si>
    <t>FAD-2021-01-193</t>
  </si>
  <si>
    <t>FAD-2021-01-194</t>
  </si>
  <si>
    <t>FAD-2021-01-195</t>
  </si>
  <si>
    <t>FAD-2021-01-196</t>
  </si>
  <si>
    <t>FAD-2021-01-197</t>
  </si>
  <si>
    <t>FAD-2021-01-198</t>
  </si>
  <si>
    <t>FAD-2021-01-199</t>
  </si>
  <si>
    <t>FAD-2021-01-200</t>
  </si>
  <si>
    <t>FAD-2021-01-201</t>
  </si>
  <si>
    <t>FAD-2021-01-202</t>
  </si>
  <si>
    <t>FAD-2021-01-203</t>
  </si>
  <si>
    <t>FAD-2021-01-204</t>
  </si>
  <si>
    <t>FAD-2021-01-205</t>
  </si>
  <si>
    <t>FAD-2021-01-206</t>
  </si>
  <si>
    <t>CPD-2021-01-207</t>
  </si>
  <si>
    <t>FAD-2021-01-208</t>
  </si>
  <si>
    <t>IDD-2021-01-209</t>
  </si>
  <si>
    <t>FAD-2021-01-210</t>
  </si>
  <si>
    <t>IDD-2021-01-211</t>
  </si>
  <si>
    <t>IDD-2021-01-212</t>
  </si>
  <si>
    <t>FAD-2021-01-213</t>
  </si>
  <si>
    <t>FAD-2021-01-214</t>
  </si>
  <si>
    <t>FAD-2021-01-215</t>
  </si>
  <si>
    <t>FAD-2021-01-216</t>
  </si>
  <si>
    <t>FAD-2021-01-217</t>
  </si>
  <si>
    <t>FAD-2021-01-218</t>
  </si>
  <si>
    <t>FAD-2021-01-219</t>
  </si>
  <si>
    <t>FAD-2021-01-220</t>
  </si>
  <si>
    <t>FAD-2021-01-221</t>
  </si>
  <si>
    <t>FAD-2021-01-222</t>
  </si>
  <si>
    <t>FAD-2021-01-223</t>
  </si>
  <si>
    <t>FAD-2021-01-224</t>
  </si>
  <si>
    <t>FAD-2021-01-225</t>
  </si>
  <si>
    <t>FAD-2021-01-226</t>
  </si>
  <si>
    <t>FAD-2021-01-227</t>
  </si>
  <si>
    <t>FAD-2021-01-228</t>
  </si>
  <si>
    <t>FAD-2021-01-229</t>
  </si>
  <si>
    <t>FAD-2021-01-230</t>
  </si>
  <si>
    <t>FAD-2021-01-231</t>
  </si>
  <si>
    <t>FAD-2021-01-232</t>
  </si>
  <si>
    <t>FAD-2021-01-233</t>
  </si>
  <si>
    <t>FAD-2021-01-234</t>
  </si>
  <si>
    <t>FAD-2021-01-235</t>
  </si>
  <si>
    <t>FAD-2021-01-236</t>
  </si>
  <si>
    <t>FAD-2021-01-237</t>
  </si>
  <si>
    <t>FAD-2021-01-238</t>
  </si>
  <si>
    <t>CPD-2021-01-239</t>
  </si>
  <si>
    <t>FAD-2021-01-240</t>
  </si>
  <si>
    <t>CPD-2021-01-241</t>
  </si>
  <si>
    <t>FAD-2021-01-242</t>
  </si>
  <si>
    <t>FAD-2021-01-243</t>
  </si>
  <si>
    <t>FAD-2021-01-244</t>
  </si>
  <si>
    <t>FAD-2021-01-245</t>
  </si>
  <si>
    <t>FAD-2021-01-246</t>
  </si>
  <si>
    <t>FAD-2021-01-247</t>
  </si>
  <si>
    <t>FAD-2021-01-248</t>
  </si>
  <si>
    <t>FAD-2021-01-249</t>
  </si>
  <si>
    <t>CPD-2021-01-250</t>
  </si>
  <si>
    <t>FAD-2021-01-251</t>
  </si>
  <si>
    <t>FAD-2021-01-252</t>
  </si>
  <si>
    <t>FAD-2021-01-253</t>
  </si>
  <si>
    <t>FAD-2021-01-254</t>
  </si>
  <si>
    <t>FAD-2021-01-255</t>
  </si>
  <si>
    <t>FAD-2021-01-256</t>
  </si>
  <si>
    <t>FAD-2021-01-257</t>
  </si>
  <si>
    <t>FAD-2021-01-258</t>
  </si>
  <si>
    <t>FAD-2021-01-259</t>
  </si>
  <si>
    <t>FAD-2021-01-260</t>
  </si>
  <si>
    <t>FAD-2021-01-261</t>
  </si>
  <si>
    <t>FAD-2021-01-262</t>
  </si>
  <si>
    <t>FAD-2021-01-263</t>
  </si>
  <si>
    <t>FAD-2021-01-264</t>
  </si>
  <si>
    <t>FAD-2021-01-265</t>
  </si>
  <si>
    <t>FAD-2021-01-266</t>
  </si>
  <si>
    <t>FAD-2021-01-267</t>
  </si>
  <si>
    <t>FAD-2021-01-268</t>
  </si>
  <si>
    <t>ORD-2021-01-269</t>
  </si>
  <si>
    <t>FAD-2021-01-270</t>
  </si>
  <si>
    <t>IDD-2021-01-271</t>
  </si>
  <si>
    <t>IDD-2021-01-272</t>
  </si>
  <si>
    <t>FAD-2021-01-273</t>
  </si>
  <si>
    <t>IDD-2021-01-274</t>
  </si>
  <si>
    <t>FAD-2021-01-275</t>
  </si>
  <si>
    <t>FAD-2021-01-276</t>
  </si>
  <si>
    <t>FAD-2021-01-277</t>
  </si>
  <si>
    <t>FAD-2021-01-278</t>
  </si>
  <si>
    <t>FAD-2021-01-279</t>
  </si>
  <si>
    <t>FAD-2021-01-280</t>
  </si>
  <si>
    <t>FAD-2021-01-281</t>
  </si>
  <si>
    <t>FAD-2021-01-282</t>
  </si>
  <si>
    <t>CPD-2021-01-283</t>
  </si>
  <si>
    <t>FAD-2021-01-284</t>
  </si>
  <si>
    <t>FAD-2021-01-285</t>
  </si>
  <si>
    <t>FAD-2021-01-286</t>
  </si>
  <si>
    <t>FAD-2021-01-287</t>
  </si>
  <si>
    <t>FAD-2021-01-288</t>
  </si>
  <si>
    <t>FAD-2021-01-289</t>
  </si>
  <si>
    <t>FAD-2021-01-290</t>
  </si>
  <si>
    <t>FAD-2021-01-291</t>
  </si>
  <si>
    <t>ORD-2021-01-292</t>
  </si>
  <si>
    <t>FAD-2021-01-293</t>
  </si>
  <si>
    <t>FAD-2021-01-294</t>
  </si>
  <si>
    <t>FAD-2021-01-295</t>
  </si>
  <si>
    <t>FAD-2021-01-296</t>
  </si>
  <si>
    <t>IDD-2021-01-297</t>
  </si>
  <si>
    <t>FAD-2021-01-298</t>
  </si>
  <si>
    <t>FAD-2021-01-299</t>
  </si>
  <si>
    <t>FAD-2021-01-300</t>
  </si>
  <si>
    <t>FAD-2021-01-301</t>
  </si>
  <si>
    <t>FAD-2021-01-302</t>
  </si>
  <si>
    <t>FAD-2021-01-303</t>
  </si>
  <si>
    <t>FAD-2021-01-304</t>
  </si>
  <si>
    <t>FAD-2021-01-305</t>
  </si>
  <si>
    <t>FAD-2021-01-306</t>
  </si>
  <si>
    <t>CPD-2021-01-307</t>
  </si>
  <si>
    <t>CPD-2021-01-308</t>
  </si>
  <si>
    <t>CPD-2021-01-309</t>
  </si>
  <si>
    <t>FAD-2021-01-310</t>
  </si>
  <si>
    <t>FAD-2021-01-311</t>
  </si>
  <si>
    <t>FAD-2021-01-312</t>
  </si>
  <si>
    <t>FAD-2021-01-313</t>
  </si>
  <si>
    <t>FAD-2021-01-314</t>
  </si>
  <si>
    <t>FAD-2021-01-315</t>
  </si>
  <si>
    <t>FAD-2021-01-316</t>
  </si>
  <si>
    <t>FAD-2021-01-317</t>
  </si>
  <si>
    <t>FAD-2021-01-318</t>
  </si>
  <si>
    <t>FAD-2021-01-319</t>
  </si>
  <si>
    <t>FAD-2021-01-320</t>
  </si>
  <si>
    <t>FAD-2021-01-321</t>
  </si>
  <si>
    <t>FAD-2021-01-322</t>
  </si>
  <si>
    <t>FAD-2021-01-323</t>
  </si>
  <si>
    <t>FAD-2021-01-324</t>
  </si>
  <si>
    <t>FAD-2021-01-325</t>
  </si>
  <si>
    <t>ORD-2021-01-326</t>
  </si>
  <si>
    <t>FAD-2021-01-327</t>
  </si>
  <si>
    <t>FAD-2021-01-328</t>
  </si>
  <si>
    <t>FAD-2021-01-329</t>
  </si>
  <si>
    <t>FAD-2021-01-330</t>
  </si>
  <si>
    <t>FAD-2021-01-331</t>
  </si>
  <si>
    <t>FAD-2021-01-332</t>
  </si>
  <si>
    <t>FAD-2021-01-333</t>
  </si>
  <si>
    <t>FAD-2021-01-334</t>
  </si>
  <si>
    <t>FAD-2021-01-335</t>
  </si>
  <si>
    <t>FAD-2021-01-336</t>
  </si>
  <si>
    <t>FAD-2021-01-337</t>
  </si>
  <si>
    <t>FAD-2021-01-338</t>
  </si>
  <si>
    <t>FAD-2021-01-339</t>
  </si>
  <si>
    <t>FAD-2021-01-340</t>
  </si>
  <si>
    <t>FAD-2021-01-341</t>
  </si>
  <si>
    <t>FAD-2021-01-342</t>
  </si>
  <si>
    <t>FAD-2021-01-343</t>
  </si>
  <si>
    <t>SDD-2021-01-344</t>
  </si>
  <si>
    <t>SDD-2021-01-345</t>
  </si>
  <si>
    <t>SDD-2021-01-346</t>
  </si>
  <si>
    <t>FAD-2021-01-347</t>
  </si>
  <si>
    <t>IDD-2021-01-348</t>
  </si>
  <si>
    <t>IDD-2021-01-349</t>
  </si>
  <si>
    <t>IDD-2021-01-350</t>
  </si>
  <si>
    <t>FAD-2021-01-351</t>
  </si>
  <si>
    <t>FAD-2021-01-352</t>
  </si>
  <si>
    <t>FAD-2021-01-353</t>
  </si>
  <si>
    <t>ORD-2021-01-354</t>
  </si>
  <si>
    <t>FAD-2021-01-355</t>
  </si>
  <si>
    <t>ORD</t>
  </si>
  <si>
    <t>Month</t>
  </si>
  <si>
    <t>Payee</t>
  </si>
  <si>
    <t>Gross Amount</t>
  </si>
  <si>
    <t>Net Amount</t>
  </si>
  <si>
    <t>January</t>
  </si>
  <si>
    <t>February</t>
  </si>
  <si>
    <t>Alvizo, Perla B.</t>
  </si>
  <si>
    <t>Budtan, Liza B.</t>
  </si>
  <si>
    <t>Bug-os, Lucille Glenda T.</t>
  </si>
  <si>
    <t>Caeg, Enrique P.</t>
  </si>
  <si>
    <t>Camarin, Mary Jean</t>
  </si>
  <si>
    <t>Capulong, Ma. Karina Rosario S.</t>
  </si>
  <si>
    <t xml:space="preserve">Del Rosario, Jonilo Javier </t>
  </si>
  <si>
    <t>Jamero, Julius Sol O.</t>
  </si>
  <si>
    <t>Magpayo, Voltaire</t>
  </si>
  <si>
    <t>Makinano, Carmela</t>
  </si>
  <si>
    <t>Montero, Jade M.</t>
  </si>
  <si>
    <t>Mulig, Lorevic P.</t>
  </si>
  <si>
    <t>Ocampo, Isabelita L.</t>
  </si>
  <si>
    <t>Varela, Ricardo N.</t>
  </si>
  <si>
    <t>March</t>
  </si>
  <si>
    <t>FROM TAX WITHHELD</t>
  </si>
  <si>
    <t>not ok</t>
  </si>
  <si>
    <t>DV Reporting Period</t>
  </si>
  <si>
    <t>processed for refund to JWL</t>
  </si>
  <si>
    <t>DV not processed thus remittance was over by P1,580</t>
  </si>
  <si>
    <t>DV not processed thus remittance was over by P4,500</t>
  </si>
  <si>
    <t>DV not processed thus remittance was over by P2,077.07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</si>
  <si>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</si>
  <si>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</si>
  <si>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</si>
  <si>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</si>
  <si>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</si>
  <si>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</si>
  <si>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</si>
  <si>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</si>
  <si>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</si>
  <si>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</si>
  <si>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</si>
  <si>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</si>
  <si>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</si>
  <si>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</si>
  <si>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</si>
  <si>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</si>
  <si>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</si>
  <si>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</si>
  <si>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</si>
  <si>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</si>
  <si>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</si>
  <si>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</si>
  <si>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</si>
  <si>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</si>
  <si>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</si>
  <si>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</si>
  <si>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</si>
  <si>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</si>
  <si>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FT, CARP IMPLEMENTATION FOR THE 1ST - 3RD QUARTER OF 2021 (ADJUSTMENT TO CARP FT)</t>
  </si>
  <si>
    <t>FT, REGULAR MOOE ADDITIONAL (ADJUSTMENT TO CARP FT)</t>
  </si>
  <si>
    <t>LAND BANK OF THE PHILIPPINES - RAPID RO</t>
  </si>
  <si>
    <t>SALARIES FOR RAPID RCU STAFF FOR MARCH 16-31, 2021</t>
  </si>
  <si>
    <t>LAND BANK OF THE PHILIPPINES - RAPID ADS</t>
  </si>
  <si>
    <t>SALARIES FOR RAPID PCU ADS STAFF FOR MARCH 16-31, 2021</t>
  </si>
  <si>
    <t>LAND BANK OF THE PHILIPPINES - RAPID SDS</t>
  </si>
  <si>
    <t xml:space="preserve">LAND BANK OF THE PHILIPPINES - RAPID ADN </t>
  </si>
  <si>
    <t>2 BOOKLETS CHECKBOOKS</t>
  </si>
  <si>
    <t>RATA FOR APRIL 2021</t>
  </si>
  <si>
    <t>SALARIES AND ALLOWANCES OF REGULAR EMPLOYEES FOR THE MONTH OF APRIL 2021</t>
  </si>
  <si>
    <t>SALARIES AND ALLOWANCES  FOR THE MONTH OF APRIL 2021 - CARP</t>
  </si>
  <si>
    <t>OFFICE RENTAL FOR APRIL 2021</t>
  </si>
  <si>
    <t>RECORDS ROOM RENTAL FOR APRIL 2021</t>
  </si>
  <si>
    <t>LBP F/O TIDA NC STAFF</t>
  </si>
  <si>
    <t>SALARY AS TIDA COS UNDER NC PROGRAM FOR APRIL, 2021</t>
  </si>
  <si>
    <t>CA FOR THE DTI CARAGA ORGANIZATIONAL CULTURE INITIATIVE ON APRIL 16-17, 2021</t>
  </si>
  <si>
    <t>JOSE T. BARON</t>
  </si>
  <si>
    <t>RATA, MARCH 2021</t>
  </si>
  <si>
    <t>SALARIES FOR RAPID PCU SDS STAFF FOR MARCH 16-31, 2021</t>
  </si>
  <si>
    <t>SALARIES FOR RAPID PCU ADN STAFF FOR MARCH 16-31, 2021</t>
  </si>
  <si>
    <t>364A</t>
  </si>
  <si>
    <t>SDD-2021-356</t>
  </si>
  <si>
    <t>SDD-2021-357</t>
  </si>
  <si>
    <t>FAD-2021-358</t>
  </si>
  <si>
    <t>FAD-2021-359</t>
  </si>
  <si>
    <t>FAD-2021-360</t>
  </si>
  <si>
    <t>FAD-2021-361</t>
  </si>
  <si>
    <t>FAD-2021-362</t>
  </si>
  <si>
    <t>FAD-2021-363</t>
  </si>
  <si>
    <t>FAD-2021-364</t>
  </si>
  <si>
    <t>FAD-2021-365</t>
  </si>
  <si>
    <t>ORD-2021-366</t>
  </si>
  <si>
    <t>FAD-2021-367</t>
  </si>
  <si>
    <t>FAD-2021-368</t>
  </si>
  <si>
    <t>FAD-2021-369</t>
  </si>
  <si>
    <t>FAD-2021-370</t>
  </si>
  <si>
    <t>FAD-2021-371</t>
  </si>
  <si>
    <t>FAD-2021-372</t>
  </si>
  <si>
    <t>FAD-2021-373</t>
  </si>
  <si>
    <t>FAD-2021-374</t>
  </si>
  <si>
    <t>FAD-2021-375</t>
  </si>
  <si>
    <t>FAD-2021-376</t>
  </si>
  <si>
    <t>FAD-2021-377</t>
  </si>
  <si>
    <t>FAD-2021-378</t>
  </si>
  <si>
    <t>FAD-2021-379</t>
  </si>
  <si>
    <t>FAD-2021-380</t>
  </si>
  <si>
    <t>SDD-2021-381</t>
  </si>
  <si>
    <t>FAD-2021-382</t>
  </si>
  <si>
    <t>FAD-2021-383</t>
  </si>
  <si>
    <t>ORD-2021-384</t>
  </si>
  <si>
    <t>Fund 01-2021-04-354</t>
  </si>
  <si>
    <t>Fund 01-2021-04-355</t>
  </si>
  <si>
    <t>Fund 01-2021-04-356</t>
  </si>
  <si>
    <t>Fund 01-2021-04-357</t>
  </si>
  <si>
    <t>Fund 01-2021-04-358</t>
  </si>
  <si>
    <t>Fund 01-2021-04-359</t>
  </si>
  <si>
    <t>Fund 01-2021-04-360</t>
  </si>
  <si>
    <t>Fund 01-2021-04-361</t>
  </si>
  <si>
    <t>Fund 01-2021-04-362</t>
  </si>
  <si>
    <t>Fund 01-2021-04-363</t>
  </si>
  <si>
    <t>Fund 01-2021-04-364</t>
  </si>
  <si>
    <t>Fund 01-2021-04-364A</t>
  </si>
  <si>
    <t>Fund 01-2021-04-365</t>
  </si>
  <si>
    <t>Fund 01-2021-04-366</t>
  </si>
  <si>
    <t>Fund 01-2021-04-367</t>
  </si>
  <si>
    <t>Fund 01-2021-04-368</t>
  </si>
  <si>
    <t>Fund 01-2021-04-369</t>
  </si>
  <si>
    <t>Fund 01-2021-04-370</t>
  </si>
  <si>
    <t>Fund 01-2021-04-371</t>
  </si>
  <si>
    <t>Fund 01-2021-04-372</t>
  </si>
  <si>
    <t>Fund 01-2021-04-373</t>
  </si>
  <si>
    <t>Fund 01-2021-04-374</t>
  </si>
  <si>
    <t>Fund 01-2021-04-375</t>
  </si>
  <si>
    <t>Fund 01-2021-04-376</t>
  </si>
  <si>
    <t>Fund 01-2021-04-377</t>
  </si>
  <si>
    <t>Fund 01-2021-04-378</t>
  </si>
  <si>
    <t>Fund 01-2021-04-379</t>
  </si>
  <si>
    <t>Fund 01-2021-04-380</t>
  </si>
  <si>
    <t>Fund 01-2021-04-381</t>
  </si>
  <si>
    <t xml:space="preserve">LAND BANK OF THE PHILIPPINES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</si>
</sst>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(* #,##0.00_);_(* \(#,##0.00\);_(* &quot;-&quot;??_);_(@_)"/>
    <numFmt numFmtId="171" formatCode="_-* #,##0.00_-;\-* #,##0.00_-;_-* &quot;-&quot;??_-;_-@_-"/>
    <numFmt numFmtId="178" formatCode="_(* #,##0_);_(* \(#,##0\);_(* &quot;-&quot;??_);_(@_)"/>
    <numFmt numFmtId="179" formatCode="0_);\(0\)"/>
    <numFmt numFmtId="180" formatCode="[$-409]h:mm\ AM/PM"/>
    <numFmt numFmtId="181" formatCode="[$-409]d\-mmm\-yy"/>
    <numFmt numFmtId="195" formatCode="mmmm\ dd\,\ yyyy"/>
  </numFmts>
  <fonts count="50">
    <font>
      <sz val="11"/>
      <color theme="1"/>
      <name val="Calibri"/>
      <family val="2"/>
    </font>
    <font>
      <sz val="10"/>
      <name val="Arial Narrow"/>
      <family val="2"/>
    </font>
    <font>
      <b/>
      <sz val="9"/>
      <name val="Tahoma"/>
      <family val="2"/>
    </font>
    <font>
      <sz val="9"/>
      <name val="Tahoma"/>
      <family val="2"/>
    </font>
    <font>
      <sz val="10"/>
      <name val="Arimo"/>
    </font>
    <font>
      <sz val="11"/>
      <name val="Calibri"/>
      <family val="2"/>
    </font>
    <font>
      <sz val="10"/>
      <color theme="1" tint="4.9989318521683403E-2"/>
      <name val="Arial Narrow"/>
      <family val="2"/>
    </font>
    <font>
      <b/>
      <sz val="10"/>
      <color theme="1" tint="4.9989318521683403E-2"/>
      <name val="Arial Narrow"/>
      <family val="2"/>
    </font>
    <font>
      <sz val="10"/>
      <color rgb="FFFF0000"/>
      <name val="Arial Narrow"/>
      <family val="2"/>
    </font>
    <font>
      <b/>
      <sz val="10"/>
      <color theme="1"/>
      <name val="Arial Narrow"/>
      <family val="2"/>
    </font>
    <font>
      <b/>
      <sz val="10"/>
      <color theme="1"/>
      <name val="Calibri"/>
      <family val="2"/>
    </font>
    <font>
      <sz val="10"/>
      <color rgb="FF000000"/>
      <name val="Arimo"/>
    </font>
    <font>
      <b/>
      <sz val="11"/>
      <color theme="1"/>
      <name val="Calibri"/>
      <family val="2"/>
    </font>
    <font>
      <b/>
      <sz val="11"/>
      <color rgb="FFFF0000"/>
      <name val="Calibri"/>
      <family val="2"/>
    </font>
    <font>
      <sz val="10"/>
      <color theme="1"/>
      <name val="Calibri"/>
      <family val="2"/>
    </font>
    <font>
      <sz val="11"/>
      <color rgb="FF333333"/>
      <name val="Arial"/>
      <family val="2"/>
    </font>
    <font>
      <sz val="11"/>
      <color rgb="FFFF0000"/>
      <name val="Calibri"/>
      <family val="2"/>
    </font>
    <font>
      <sz val="10"/>
      <color theme="1"/>
      <name val="Arial Narrow"/>
      <family val="2"/>
    </font>
    <font>
      <b/>
      <sz val="10"/>
      <color rgb="FFFF0000"/>
      <name val="Arial Narrow"/>
      <family val="2"/>
    </font>
    <font>
      <b/>
      <sz val="9"/>
      <color rgb="FFFF0000"/>
      <name val="Arial Narrow"/>
      <family val="2"/>
    </font>
    <font>
      <sz val="11"/>
      <color rgb="FF7030A0"/>
      <name val="Calibri"/>
      <family val="2"/>
    </font>
    <font>
      <sz val="10"/>
      <color rgb="FF7030A0"/>
      <name val="Arial Narrow"/>
      <family val="2"/>
    </font>
    <font>
      <sz val="11"/>
      <color theme="1" tint="4.9989318521683403E-2"/>
      <name val="Calibri"/>
      <family val="2"/>
    </font>
    <font>
      <b/>
      <sz val="14"/>
      <color theme="1" tint="4.9989318521683403E-2"/>
      <name val="Arial Narrow"/>
      <family val="2"/>
    </font>
    <font>
      <sz val="11"/>
      <color theme="1" tint="4.9989318521683403E-2"/>
      <name val="Arial Narrow"/>
      <family val="2"/>
    </font>
    <font>
      <b/>
      <sz val="16"/>
      <color theme="1" tint="4.9989318521683403E-2"/>
      <name val="Arial Narrow"/>
      <family val="2"/>
    </font>
    <font>
      <b/>
      <sz val="18"/>
      <color theme="1" tint="4.9989318521683403E-2"/>
      <name val="Arial Narrow"/>
      <family val="2"/>
    </font>
    <font>
      <b/>
      <sz val="24"/>
      <color theme="1"/>
      <name val="Calibri"/>
      <family val="2"/>
    </font>
    <font>
      <sz val="11"/>
      <color theme="1"/>
      <name val="Arial Narrow"/>
      <family val="2"/>
    </font>
    <font>
      <sz val="10"/>
      <color theme="1"/>
      <name val="Arimo"/>
    </font>
    <font>
      <sz val="10"/>
      <color rgb="FFFF0000"/>
      <name val="Arimo"/>
    </font>
    <font>
      <i/>
      <sz val="10"/>
      <color theme="1"/>
      <name val="Calibri"/>
      <family val="2"/>
    </font>
    <font>
      <b/>
      <i/>
      <sz val="10"/>
      <color theme="1"/>
      <name val="Calibri"/>
      <family val="2"/>
    </font>
    <font>
      <b/>
      <sz val="9"/>
      <color theme="1"/>
      <name val="Arial Narrow"/>
      <family val="2"/>
    </font>
    <font>
      <sz val="10"/>
      <color rgb="FF000000"/>
      <name val="Arial Narrow"/>
      <family val="2"/>
    </font>
    <font>
      <sz val="18"/>
      <color theme="3"/>
      <name val="Calibri Light"/>
      <family val="2"/>
    </font>
    <font>
      <b/>
      <sz val="11"/>
      <color rgb="FF3F3F3F"/>
      <name val="Calibri"/>
      <family val="2"/>
    </font>
    <font>
      <sz val="11"/>
      <color rgb="FF9C6500"/>
      <name val="Calibri"/>
      <family val="2"/>
    </font>
    <font>
      <sz val="11"/>
      <color rgb="FFFA7D00"/>
      <name val="Calibri"/>
      <family val="2"/>
    </font>
    <font>
      <sz val="11"/>
      <color rgb="FF3F3F76"/>
      <name val="Calibri"/>
      <family val="2"/>
    </font>
    <font>
      <b/>
      <sz val="11"/>
      <color theme="3"/>
      <name val="Calibri"/>
      <family val="2"/>
    </font>
    <font>
      <b/>
      <sz val="13"/>
      <color theme="3"/>
      <name val="Calibri"/>
      <family val="2"/>
    </font>
    <font>
      <b/>
      <sz val="15"/>
      <color theme="3"/>
      <name val="Calibri"/>
      <family val="2"/>
    </font>
    <font>
      <sz val="11"/>
      <color rgb="FF006100"/>
      <name val="Calibri"/>
      <family val="2"/>
    </font>
    <font>
      <i/>
      <sz val="11"/>
      <color rgb="FF7F7F7F"/>
      <name val="Calibri"/>
      <family val="2"/>
    </font>
    <font>
      <b/>
      <sz val="11"/>
      <color theme="0"/>
      <name val="Calibri"/>
      <family val="2"/>
    </font>
    <font>
      <b/>
      <sz val="11"/>
      <color rgb="FFFA7D00"/>
      <name val="Calibri"/>
      <family val="2"/>
    </font>
    <font>
      <sz val="11"/>
      <color rgb="FF9C0006"/>
      <name val="Calibri"/>
      <family val="2"/>
    </font>
    <font>
      <sz val="11"/>
      <color theme="0"/>
      <name val="Calibri"/>
      <family val="2"/>
    </font>
    <font>
      <sz val="11"/>
      <color theme="1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00"/>
        <bgColor indexed="64"/>
      </patternFill>
    </fill>
  </fills>
  <borders count="5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double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rgb="FF00000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auto="1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auto="1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45">
    <xf numFmtId="0" fontId="0" fillId="0" borderId="0"/>
    <xf numFmtId="0" fontId="49" fillId="2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21" borderId="0" applyNumberFormat="0" applyBorder="0" applyAlignment="0" applyProtection="0"/>
    <xf numFmtId="0" fontId="48" fillId="22" borderId="0" applyNumberFormat="0" applyBorder="0" applyAlignment="0" applyProtection="0"/>
    <xf numFmtId="0" fontId="48" fillId="23" borderId="0" applyNumberFormat="0" applyBorder="0" applyAlignment="0" applyProtection="0"/>
    <xf numFmtId="0" fontId="48" fillId="24" borderId="0" applyNumberFormat="0" applyBorder="0" applyAlignment="0" applyProtection="0"/>
    <xf numFmtId="0" fontId="48" fillId="25" borderId="0" applyNumberFormat="0" applyBorder="0" applyAlignment="0" applyProtection="0"/>
    <xf numFmtId="0" fontId="47" fillId="26" borderId="0" applyNumberFormat="0" applyBorder="0" applyAlignment="0" applyProtection="0"/>
    <xf numFmtId="0" fontId="46" fillId="27" borderId="1" applyNumberFormat="0" applyAlignment="0" applyProtection="0"/>
    <xf numFmtId="0" fontId="45" fillId="28" borderId="2" applyNumberFormat="0" applyAlignment="0" applyProtection="0"/>
    <xf numFmtId="43" fontId="49" fillId="0" borderId="0" applyFill="0" applyBorder="0" applyAlignment="0" applyProtection="0"/>
    <xf numFmtId="0" fontId="44" fillId="0" borderId="0" applyNumberFormat="0" applyFill="0" applyBorder="0" applyAlignment="0" applyProtection="0"/>
    <xf numFmtId="0" fontId="43" fillId="29" borderId="0" applyNumberFormat="0" applyBorder="0" applyAlignment="0" applyProtection="0"/>
    <xf numFmtId="0" fontId="42" fillId="0" borderId="3" applyNumberFormat="0" applyFill="0" applyAlignment="0" applyProtection="0"/>
    <xf numFmtId="0" fontId="41" fillId="0" borderId="4" applyNumberFormat="0" applyFill="0" applyAlignment="0" applyProtection="0"/>
    <xf numFmtId="0" fontId="40" fillId="0" borderId="5" applyNumberFormat="0" applyFill="0" applyAlignment="0" applyProtection="0"/>
    <xf numFmtId="0" fontId="40" fillId="0" borderId="0" applyNumberFormat="0" applyFill="0" applyBorder="0" applyAlignment="0" applyProtection="0"/>
    <xf numFmtId="0" fontId="39" fillId="30" borderId="1" applyNumberFormat="0" applyAlignment="0" applyProtection="0"/>
    <xf numFmtId="0" fontId="38" fillId="0" borderId="6" applyNumberFormat="0" applyFill="0" applyAlignment="0" applyProtection="0"/>
    <xf numFmtId="0" fontId="37" fillId="31" borderId="0" applyNumberFormat="0" applyBorder="0" applyAlignment="0" applyProtection="0"/>
    <xf numFmtId="0" fontId="11" fillId="0" borderId="0"/>
    <xf numFmtId="0" fontId="49" fillId="32" borderId="7" applyNumberFormat="0" applyAlignment="0" applyProtection="0"/>
    <xf numFmtId="0" fontId="36" fillId="27" borderId="8" applyNumberFormat="0" applyAlignment="0" applyProtection="0"/>
    <xf numFmtId="9" fontId="49" fillId="0" borderId="0" applyFill="0" applyBorder="0" applyAlignment="0" applyProtection="0"/>
    <xf numFmtId="0" fontId="35" fillId="0" borderId="0" applyNumberFormat="0" applyFill="0" applyBorder="0" applyAlignment="0" applyProtection="0"/>
    <xf numFmtId="0" fontId="12" fillId="0" borderId="9" applyNumberFormat="0" applyFill="0" applyAlignment="0" applyProtection="0"/>
    <xf numFmtId="0" fontId="16" fillId="0" borderId="0" applyNumberFormat="0" applyFill="0" applyBorder="0" applyAlignment="0" applyProtection="0"/>
  </cellStyleXfs>
  <cellXfs count="591">
    <xf numFmtId="0" fontId="0" fillId="0" borderId="0" xfId="0" applyFont="1" applyAlignment="1"/>
    <xf numFmtId="0" fontId="1" fillId="0" borderId="26" xfId="0" applyFont="1" applyBorder="1" applyAlignment="1"/>
    <xf numFmtId="0" fontId="1" fillId="0" borderId="25" xfId="0" applyFont="1" applyBorder="1" applyAlignment="1"/>
    <xf numFmtId="9" fontId="9" fillId="0" borderId="50" xfId="0" applyNumberFormat="1" applyFont="1" applyBorder="1" applyAlignment="1">
      <alignment horizontal="center"/>
    </xf>
    <xf numFmtId="0" fontId="4" fillId="0" borderId="0" xfId="38" applyFont="1" applyBorder="1"/>
    <xf numFmtId="0" fontId="10" fillId="39" borderId="0" xfId="38" applyFont="1" applyFill="1" applyBorder="1" applyAlignment="1">
      <alignment horizontal="center"/>
    </xf>
    <xf numFmtId="0" fontId="11" fillId="0" borderId="0" xfId="38" applyFont="1" applyAlignment="1"/>
    <xf numFmtId="0" fontId="10" fillId="0" borderId="0" xfId="38" applyFont="1" applyAlignment="1">
      <alignment horizontal="center"/>
    </xf>
    <xf numFmtId="0" fontId="0" fillId="0" borderId="0" xfId="0" applyFont="1" applyAlignment="1">
      <alignment horizontal="center"/>
    </xf>
    <xf numFmtId="0" fontId="0" fillId="38" borderId="0" xfId="0" applyFont="1" applyFill="1" applyAlignment="1">
      <alignment horizontal="center"/>
    </xf>
    <xf numFmtId="0" fontId="0" fillId="34" borderId="0" xfId="0" applyFont="1" applyFill="1" applyAlignment="1">
      <alignment horizontal="center"/>
    </xf>
    <xf numFmtId="16" fontId="9" fillId="0" borderId="10" xfId="0" quotePrefix="1" applyNumberFormat="1" applyFont="1" applyBorder="1" applyAlignment="1"/>
    <xf numFmtId="178" fontId="17" fillId="0" borderId="10" xfId="0" applyNumberFormat="1" applyFont="1" applyBorder="1" applyAlignment="1"/>
    <xf numFmtId="179" fontId="17" fillId="0" borderId="10" xfId="0" applyNumberFormat="1" applyFont="1" applyBorder="1" applyAlignment="1"/>
    <xf numFmtId="180" fontId="17" fillId="0" borderId="10" xfId="0" applyNumberFormat="1" applyFont="1" applyBorder="1" applyAlignment="1"/>
    <xf numFmtId="178" fontId="1" fillId="0" borderId="10" xfId="0" applyNumberFormat="1" applyFont="1" applyFill="1" applyBorder="1" applyAlignment="1">
      <alignment wrapText="1"/>
    </xf>
    <xf numFmtId="178" fontId="1" fillId="0" borderId="10" xfId="0" applyNumberFormat="1" applyFont="1" applyFill="1" applyBorder="1" applyAlignment="1"/>
    <xf numFmtId="178" fontId="17" fillId="0" borderId="10" xfId="0" applyNumberFormat="1" applyFont="1" applyBorder="1" applyAlignment="1">
      <alignment wrapText="1"/>
    </xf>
    <xf numFmtId="178" fontId="1" fillId="0" borderId="10" xfId="0" applyNumberFormat="1" applyFont="1" applyBorder="1" applyAlignment="1">
      <alignment wrapText="1"/>
    </xf>
    <xf numFmtId="178" fontId="17" fillId="0" borderId="10" xfId="0" quotePrefix="1" applyNumberFormat="1" applyFont="1" applyBorder="1" applyAlignment="1">
      <alignment horizontal="center" wrapText="1"/>
    </xf>
    <xf numFmtId="178" fontId="17" fillId="0" borderId="10" xfId="0" applyNumberFormat="1" applyFont="1" applyBorder="1" applyAlignment="1">
      <alignment horizontal="center" wrapText="1"/>
    </xf>
    <xf numFmtId="0" fontId="17" fillId="0" borderId="10" xfId="0" quotePrefix="1" applyFont="1" applyBorder="1" applyAlignment="1">
      <alignment horizontal="center"/>
    </xf>
    <xf numFmtId="43" fontId="1" fillId="0" borderId="10" xfId="0" applyNumberFormat="1" applyFont="1" applyBorder="1" applyAlignment="1">
      <alignment wrapText="1"/>
    </xf>
    <xf numFmtId="43" fontId="1" fillId="0" borderId="10" xfId="0" applyNumberFormat="1" applyFont="1" applyBorder="1" applyAlignment="1"/>
    <xf numFmtId="43" fontId="1" fillId="0" borderId="10" xfId="0" applyNumberFormat="1" applyFont="1" applyBorder="1" applyAlignment="1">
      <alignment horizontal="left"/>
    </xf>
    <xf numFmtId="43" fontId="1" fillId="0" borderId="11" xfId="0" applyNumberFormat="1" applyFont="1" applyBorder="1" applyAlignment="1"/>
    <xf numFmtId="43" fontId="8" fillId="0" borderId="10" xfId="0" applyNumberFormat="1" applyFont="1" applyBorder="1" applyAlignment="1">
      <alignment horizontal="center"/>
    </xf>
    <xf numFmtId="43" fontId="8" fillId="0" borderId="10" xfId="0" applyNumberFormat="1" applyFont="1" applyBorder="1" applyAlignment="1">
      <alignment horizontal="left"/>
    </xf>
    <xf numFmtId="43" fontId="17" fillId="0" borderId="10" xfId="0" applyNumberFormat="1" applyFont="1" applyBorder="1" applyAlignment="1">
      <alignment horizontal="center"/>
    </xf>
    <xf numFmtId="43" fontId="17" fillId="0" borderId="10" xfId="0" applyNumberFormat="1" applyFont="1" applyBorder="1" applyAlignment="1"/>
    <xf numFmtId="43" fontId="17" fillId="0" borderId="12" xfId="0" applyNumberFormat="1" applyFont="1" applyBorder="1" applyAlignment="1"/>
    <xf numFmtId="43" fontId="17" fillId="0" borderId="11" xfId="0" applyNumberFormat="1" applyFont="1" applyBorder="1" applyAlignment="1"/>
    <xf numFmtId="0" fontId="0" fillId="0" borderId="0" xfId="0" applyFont="1" applyAlignment="1"/>
    <xf numFmtId="16" fontId="17" fillId="0" borderId="13" xfId="0" applyNumberFormat="1" applyFont="1" applyBorder="1" applyAlignment="1"/>
    <xf numFmtId="178" fontId="17" fillId="0" borderId="13" xfId="0" applyNumberFormat="1" applyFont="1" applyBorder="1" applyAlignment="1"/>
    <xf numFmtId="179" fontId="17" fillId="0" borderId="13" xfId="0" applyNumberFormat="1" applyFont="1" applyBorder="1" applyAlignment="1"/>
    <xf numFmtId="180" fontId="17" fillId="0" borderId="13" xfId="0" applyNumberFormat="1" applyFont="1" applyBorder="1" applyAlignment="1"/>
    <xf numFmtId="178" fontId="1" fillId="0" borderId="13" xfId="0" applyNumberFormat="1" applyFont="1" applyFill="1" applyBorder="1" applyAlignment="1">
      <alignment wrapText="1"/>
    </xf>
    <xf numFmtId="178" fontId="1" fillId="0" borderId="13" xfId="0" applyNumberFormat="1" applyFont="1" applyFill="1" applyBorder="1" applyAlignment="1"/>
    <xf numFmtId="178" fontId="17" fillId="0" borderId="13" xfId="0" applyNumberFormat="1" applyFont="1" applyBorder="1" applyAlignment="1">
      <alignment wrapText="1"/>
    </xf>
    <xf numFmtId="178" fontId="17" fillId="0" borderId="13" xfId="0" applyNumberFormat="1" applyFont="1" applyBorder="1" applyAlignment="1">
      <alignment horizontal="center" wrapText="1"/>
    </xf>
    <xf numFmtId="0" fontId="17" fillId="0" borderId="13" xfId="0" quotePrefix="1" applyFont="1" applyBorder="1" applyAlignment="1">
      <alignment horizontal="center"/>
    </xf>
    <xf numFmtId="43" fontId="17" fillId="0" borderId="13" xfId="0" applyNumberFormat="1" applyFont="1" applyBorder="1" applyAlignment="1">
      <alignment wrapText="1"/>
    </xf>
    <xf numFmtId="43" fontId="17" fillId="0" borderId="13" xfId="0" applyNumberFormat="1" applyFont="1" applyFill="1" applyBorder="1" applyAlignment="1"/>
    <xf numFmtId="43" fontId="17" fillId="0" borderId="13" xfId="0" applyNumberFormat="1" applyFont="1" applyBorder="1" applyAlignment="1"/>
    <xf numFmtId="43" fontId="8" fillId="0" borderId="13" xfId="0" applyNumberFormat="1" applyFont="1" applyBorder="1" applyAlignment="1">
      <alignment horizontal="center"/>
    </xf>
    <xf numFmtId="43" fontId="8" fillId="0" borderId="13" xfId="0" applyNumberFormat="1" applyFont="1" applyBorder="1" applyAlignment="1">
      <alignment horizontal="left"/>
    </xf>
    <xf numFmtId="43" fontId="17" fillId="0" borderId="13" xfId="0" applyNumberFormat="1" applyFont="1" applyBorder="1" applyAlignment="1">
      <alignment horizontal="center"/>
    </xf>
    <xf numFmtId="43" fontId="17" fillId="0" borderId="14" xfId="0" applyNumberFormat="1" applyFont="1" applyBorder="1" applyAlignment="1"/>
    <xf numFmtId="43" fontId="17" fillId="0" borderId="0" xfId="0" applyNumberFormat="1" applyFont="1" applyAlignment="1"/>
    <xf numFmtId="43" fontId="1" fillId="0" borderId="13" xfId="0" applyNumberFormat="1" applyFont="1" applyBorder="1" applyAlignment="1"/>
    <xf numFmtId="178" fontId="1" fillId="0" borderId="13" xfId="0" applyNumberFormat="1" applyFont="1" applyBorder="1" applyAlignment="1">
      <alignment wrapText="1"/>
    </xf>
    <xf numFmtId="43" fontId="17" fillId="0" borderId="13" xfId="0" applyNumberFormat="1" applyFont="1" applyBorder="1" applyAlignment="1">
      <alignment horizontal="left"/>
    </xf>
    <xf numFmtId="178" fontId="17" fillId="0" borderId="13" xfId="0" quotePrefix="1" applyNumberFormat="1" applyFont="1" applyBorder="1" applyAlignment="1">
      <alignment horizontal="center" wrapText="1"/>
    </xf>
    <xf numFmtId="0" fontId="1" fillId="0" borderId="13" xfId="0" quotePrefix="1" applyFont="1" applyFill="1" applyBorder="1" applyAlignment="1">
      <alignment horizontal="center"/>
    </xf>
    <xf numFmtId="178" fontId="17" fillId="0" borderId="13" xfId="0" applyNumberFormat="1" applyFont="1" applyFill="1" applyBorder="1" applyAlignment="1">
      <alignment wrapText="1"/>
    </xf>
    <xf numFmtId="178" fontId="17" fillId="0" borderId="13" xfId="0" applyNumberFormat="1" applyFont="1" applyFill="1" applyBorder="1" applyAlignment="1"/>
    <xf numFmtId="178" fontId="17" fillId="0" borderId="13" xfId="0" quotePrefix="1" applyNumberFormat="1" applyFont="1" applyFill="1" applyBorder="1" applyAlignment="1">
      <alignment horizontal="center" wrapText="1"/>
    </xf>
    <xf numFmtId="43" fontId="17" fillId="0" borderId="13" xfId="0" applyNumberFormat="1" applyFont="1" applyFill="1" applyBorder="1" applyAlignment="1">
      <alignment wrapText="1"/>
    </xf>
    <xf numFmtId="43" fontId="1" fillId="0" borderId="13" xfId="0" applyNumberFormat="1" applyFont="1" applyBorder="1" applyAlignment="1">
      <alignment horizontal="center"/>
    </xf>
    <xf numFmtId="179" fontId="17" fillId="0" borderId="13" xfId="0" applyNumberFormat="1" applyFont="1" applyFill="1" applyBorder="1" applyAlignment="1"/>
    <xf numFmtId="180" fontId="17" fillId="0" borderId="13" xfId="0" applyNumberFormat="1" applyFont="1" applyFill="1" applyBorder="1" applyAlignment="1"/>
    <xf numFmtId="0" fontId="0" fillId="0" borderId="13" xfId="0" applyFont="1" applyBorder="1" applyAlignment="1"/>
    <xf numFmtId="43" fontId="8" fillId="0" borderId="13" xfId="0" applyNumberFormat="1" applyFont="1" applyFill="1" applyBorder="1" applyAlignment="1"/>
    <xf numFmtId="43" fontId="8" fillId="0" borderId="0" xfId="0" applyNumberFormat="1" applyFont="1" applyAlignment="1"/>
    <xf numFmtId="43" fontId="8" fillId="0" borderId="13" xfId="0" applyNumberFormat="1" applyFont="1" applyBorder="1" applyAlignment="1"/>
    <xf numFmtId="0" fontId="17" fillId="0" borderId="13" xfId="0" quotePrefix="1" applyFont="1" applyFill="1" applyBorder="1" applyAlignment="1">
      <alignment horizontal="center"/>
    </xf>
    <xf numFmtId="43" fontId="17" fillId="0" borderId="13" xfId="0" applyNumberFormat="1" applyFont="1" applyFill="1" applyBorder="1" applyAlignment="1">
      <alignment horizontal="left"/>
    </xf>
    <xf numFmtId="43" fontId="17" fillId="0" borderId="0" xfId="0" applyNumberFormat="1" applyFont="1" applyFill="1" applyBorder="1" applyAlignment="1"/>
    <xf numFmtId="43" fontId="8" fillId="0" borderId="13" xfId="0" applyNumberFormat="1" applyFont="1" applyFill="1" applyBorder="1" applyAlignment="1">
      <alignment horizontal="center"/>
    </xf>
    <xf numFmtId="43" fontId="8" fillId="0" borderId="13" xfId="0" applyNumberFormat="1" applyFont="1" applyFill="1" applyBorder="1" applyAlignment="1">
      <alignment horizontal="left"/>
    </xf>
    <xf numFmtId="43" fontId="17" fillId="0" borderId="13" xfId="0" applyNumberFormat="1" applyFont="1" applyFill="1" applyBorder="1" applyAlignment="1">
      <alignment horizontal="center"/>
    </xf>
    <xf numFmtId="0" fontId="0" fillId="0" borderId="13" xfId="0" applyFont="1" applyFill="1" applyBorder="1" applyAlignment="1"/>
    <xf numFmtId="0" fontId="0" fillId="0" borderId="14" xfId="0" applyFont="1" applyFill="1" applyBorder="1" applyAlignment="1"/>
    <xf numFmtId="43" fontId="17" fillId="0" borderId="0" xfId="0" applyNumberFormat="1" applyFont="1" applyFill="1" applyAlignment="1"/>
    <xf numFmtId="0" fontId="0" fillId="0" borderId="0" xfId="0" applyFont="1" applyFill="1" applyAlignment="1"/>
    <xf numFmtId="16" fontId="17" fillId="0" borderId="13" xfId="0" quotePrefix="1" applyNumberFormat="1" applyFont="1" applyFill="1" applyBorder="1" applyAlignment="1"/>
    <xf numFmtId="178" fontId="1" fillId="0" borderId="13" xfId="0" quotePrefix="1" applyNumberFormat="1" applyFont="1" applyFill="1" applyBorder="1" applyAlignment="1">
      <alignment horizontal="center" wrapText="1"/>
    </xf>
    <xf numFmtId="0" fontId="17" fillId="0" borderId="13" xfId="0" applyFont="1" applyBorder="1" applyAlignment="1">
      <alignment horizontal="center"/>
    </xf>
    <xf numFmtId="43" fontId="9" fillId="0" borderId="13" xfId="0" applyNumberFormat="1" applyFont="1" applyBorder="1" applyAlignment="1">
      <alignment wrapText="1"/>
    </xf>
    <xf numFmtId="43" fontId="9" fillId="0" borderId="13" xfId="0" applyNumberFormat="1" applyFont="1" applyBorder="1" applyAlignment="1">
      <alignment horizontal="center"/>
    </xf>
    <xf numFmtId="43" fontId="19" fillId="0" borderId="13" xfId="0" applyNumberFormat="1" applyFont="1" applyBorder="1" applyAlignment="1">
      <alignment horizontal="center"/>
    </xf>
    <xf numFmtId="43" fontId="18" fillId="0" borderId="13" xfId="0" applyNumberFormat="1" applyFont="1" applyBorder="1" applyAlignment="1">
      <alignment horizontal="center"/>
    </xf>
    <xf numFmtId="43" fontId="9" fillId="0" borderId="15" xfId="0" applyNumberFormat="1" applyFont="1" applyBorder="1" applyAlignment="1"/>
    <xf numFmtId="43" fontId="9" fillId="0" borderId="13" xfId="0" applyNumberFormat="1" applyFont="1" applyBorder="1" applyAlignment="1"/>
    <xf numFmtId="43" fontId="17" fillId="0" borderId="16" xfId="0" applyNumberFormat="1" applyFont="1" applyBorder="1" applyAlignment="1"/>
    <xf numFmtId="43" fontId="17" fillId="0" borderId="16" xfId="0" applyNumberFormat="1" applyFont="1" applyBorder="1" applyAlignment="1">
      <alignment horizontal="left"/>
    </xf>
    <xf numFmtId="16" fontId="9" fillId="0" borderId="15" xfId="0" applyNumberFormat="1" applyFont="1" applyBorder="1" applyAlignment="1"/>
    <xf numFmtId="178" fontId="9" fillId="0" borderId="15" xfId="0" applyNumberFormat="1" applyFont="1" applyBorder="1" applyAlignment="1"/>
    <xf numFmtId="179" fontId="9" fillId="0" borderId="15" xfId="0" applyNumberFormat="1" applyFont="1" applyBorder="1" applyAlignment="1"/>
    <xf numFmtId="180" fontId="9" fillId="0" borderId="15" xfId="0" applyNumberFormat="1" applyFont="1" applyBorder="1" applyAlignment="1"/>
    <xf numFmtId="178" fontId="9" fillId="0" borderId="15" xfId="0" applyNumberFormat="1" applyFont="1" applyBorder="1" applyAlignment="1">
      <alignment wrapText="1"/>
    </xf>
    <xf numFmtId="178" fontId="9" fillId="0" borderId="15" xfId="0" applyNumberFormat="1" applyFont="1" applyBorder="1" applyAlignment="1">
      <alignment horizontal="center" wrapText="1"/>
    </xf>
    <xf numFmtId="0" fontId="9" fillId="0" borderId="15" xfId="0" applyFont="1" applyBorder="1" applyAlignment="1">
      <alignment horizontal="center"/>
    </xf>
    <xf numFmtId="43" fontId="9" fillId="0" borderId="15" xfId="0" applyNumberFormat="1" applyFont="1" applyBorder="1" applyAlignment="1">
      <alignment wrapText="1"/>
    </xf>
    <xf numFmtId="43" fontId="9" fillId="0" borderId="15" xfId="0" applyNumberFormat="1" applyFont="1" applyBorder="1" applyAlignment="1">
      <alignment horizontal="left"/>
    </xf>
    <xf numFmtId="43" fontId="9" fillId="0" borderId="17" xfId="0" applyNumberFormat="1" applyFont="1" applyBorder="1" applyAlignment="1"/>
    <xf numFmtId="43" fontId="17" fillId="0" borderId="17" xfId="0" applyNumberFormat="1" applyFont="1" applyBorder="1" applyAlignment="1">
      <alignment horizontal="left"/>
    </xf>
    <xf numFmtId="43" fontId="17" fillId="0" borderId="17" xfId="0" applyNumberFormat="1" applyFont="1" applyBorder="1" applyAlignment="1"/>
    <xf numFmtId="16" fontId="17" fillId="0" borderId="16" xfId="0" applyNumberFormat="1" applyFont="1" applyBorder="1" applyAlignment="1"/>
    <xf numFmtId="178" fontId="17" fillId="0" borderId="16" xfId="0" applyNumberFormat="1" applyFont="1" applyBorder="1" applyAlignment="1"/>
    <xf numFmtId="179" fontId="17" fillId="0" borderId="16" xfId="0" applyNumberFormat="1" applyFont="1" applyBorder="1" applyAlignment="1"/>
    <xf numFmtId="180" fontId="17" fillId="0" borderId="16" xfId="0" applyNumberFormat="1" applyFont="1" applyBorder="1" applyAlignment="1"/>
    <xf numFmtId="178" fontId="17" fillId="0" borderId="16" xfId="0" applyNumberFormat="1" applyFont="1" applyBorder="1" applyAlignment="1">
      <alignment wrapText="1"/>
    </xf>
    <xf numFmtId="178" fontId="17" fillId="0" borderId="16" xfId="0" applyNumberFormat="1" applyFont="1" applyBorder="1" applyAlignment="1">
      <alignment horizontal="center" wrapText="1"/>
    </xf>
    <xf numFmtId="0" fontId="17" fillId="0" borderId="16" xfId="0" applyFont="1" applyBorder="1" applyAlignment="1">
      <alignment horizontal="center"/>
    </xf>
    <xf numFmtId="43" fontId="17" fillId="0" borderId="16" xfId="0" applyNumberFormat="1" applyFont="1" applyBorder="1" applyAlignment="1">
      <alignment wrapText="1"/>
    </xf>
    <xf numFmtId="43" fontId="17" fillId="0" borderId="18" xfId="0" applyNumberFormat="1" applyFont="1" applyBorder="1" applyAlignment="1"/>
    <xf numFmtId="43" fontId="8" fillId="0" borderId="16" xfId="0" applyNumberFormat="1" applyFont="1" applyBorder="1" applyAlignment="1">
      <alignment horizontal="center"/>
    </xf>
    <xf numFmtId="43" fontId="8" fillId="0" borderId="16" xfId="0" applyNumberFormat="1" applyFont="1" applyBorder="1" applyAlignment="1">
      <alignment horizontal="left"/>
    </xf>
    <xf numFmtId="43" fontId="17" fillId="0" borderId="16" xfId="0" applyNumberFormat="1" applyFont="1" applyBorder="1" applyAlignment="1">
      <alignment horizontal="center"/>
    </xf>
    <xf numFmtId="43" fontId="17" fillId="0" borderId="19" xfId="0" applyNumberFormat="1" applyFont="1" applyBorder="1" applyAlignment="1"/>
    <xf numFmtId="16" fontId="17" fillId="0" borderId="0" xfId="0" applyNumberFormat="1" applyFont="1" applyAlignment="1"/>
    <xf numFmtId="178" fontId="17" fillId="0" borderId="0" xfId="0" applyNumberFormat="1" applyFont="1" applyAlignment="1"/>
    <xf numFmtId="179" fontId="17" fillId="0" borderId="0" xfId="0" applyNumberFormat="1" applyFont="1" applyAlignment="1"/>
    <xf numFmtId="180" fontId="17" fillId="0" borderId="0" xfId="0" applyNumberFormat="1" applyFont="1" applyAlignment="1"/>
    <xf numFmtId="178" fontId="17" fillId="0" borderId="0" xfId="0" applyNumberFormat="1" applyFont="1" applyAlignment="1">
      <alignment wrapText="1"/>
    </xf>
    <xf numFmtId="178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/>
    </xf>
    <xf numFmtId="43" fontId="17" fillId="0" borderId="0" xfId="0" applyNumberFormat="1" applyFont="1" applyAlignment="1">
      <alignment wrapText="1"/>
    </xf>
    <xf numFmtId="43" fontId="8" fillId="0" borderId="0" xfId="0" applyNumberFormat="1" applyFont="1" applyAlignment="1">
      <alignment horizontal="left"/>
    </xf>
    <xf numFmtId="43" fontId="8" fillId="0" borderId="0" xfId="0" applyNumberFormat="1" applyFont="1" applyAlignment="1">
      <alignment horizontal="center"/>
    </xf>
    <xf numFmtId="43" fontId="17" fillId="0" borderId="0" xfId="0" applyNumberFormat="1" applyFont="1" applyAlignment="1">
      <alignment horizontal="center"/>
    </xf>
    <xf numFmtId="16" fontId="1" fillId="0" borderId="10" xfId="0" quotePrefix="1" applyNumberFormat="1" applyFont="1" applyFill="1" applyBorder="1" applyAlignment="1"/>
    <xf numFmtId="179" fontId="1" fillId="0" borderId="10" xfId="0" quotePrefix="1" applyNumberFormat="1" applyFont="1" applyBorder="1" applyAlignment="1">
      <alignment horizontal="right"/>
    </xf>
    <xf numFmtId="178" fontId="17" fillId="0" borderId="10" xfId="0" applyNumberFormat="1" applyFont="1" applyFill="1" applyBorder="1" applyAlignment="1">
      <alignment wrapText="1"/>
    </xf>
    <xf numFmtId="178" fontId="17" fillId="0" borderId="10" xfId="0" applyNumberFormat="1" applyFont="1" applyFill="1" applyBorder="1" applyAlignment="1"/>
    <xf numFmtId="43" fontId="17" fillId="0" borderId="10" xfId="0" applyNumberFormat="1" applyFont="1" applyBorder="1" applyAlignment="1">
      <alignment wrapText="1"/>
    </xf>
    <xf numFmtId="43" fontId="17" fillId="0" borderId="10" xfId="0" applyNumberFormat="1" applyFont="1" applyBorder="1" applyAlignment="1">
      <alignment horizontal="left"/>
    </xf>
    <xf numFmtId="43" fontId="17" fillId="0" borderId="0" xfId="0" applyNumberFormat="1" applyFont="1" applyBorder="1" applyAlignment="1"/>
    <xf numFmtId="16" fontId="17" fillId="0" borderId="13" xfId="0" applyNumberFormat="1" applyFont="1" applyFill="1" applyBorder="1" applyAlignment="1"/>
    <xf numFmtId="178" fontId="17" fillId="0" borderId="13" xfId="0" applyNumberFormat="1" applyFont="1" applyFill="1" applyBorder="1" applyAlignment="1">
      <alignment horizontal="center" wrapText="1"/>
    </xf>
    <xf numFmtId="0" fontId="17" fillId="0" borderId="13" xfId="0" applyFont="1" applyFill="1" applyBorder="1" applyAlignment="1">
      <alignment horizontal="center"/>
    </xf>
    <xf numFmtId="43" fontId="17" fillId="0" borderId="16" xfId="0" applyNumberFormat="1" applyFont="1" applyFill="1" applyBorder="1" applyAlignment="1"/>
    <xf numFmtId="43" fontId="17" fillId="0" borderId="16" xfId="0" applyNumberFormat="1" applyFont="1" applyFill="1" applyBorder="1" applyAlignment="1">
      <alignment horizontal="left"/>
    </xf>
    <xf numFmtId="43" fontId="17" fillId="0" borderId="14" xfId="0" applyNumberFormat="1" applyFont="1" applyFill="1" applyBorder="1" applyAlignment="1"/>
    <xf numFmtId="0" fontId="34" fillId="0" borderId="0" xfId="0" applyFont="1" applyFill="1" applyAlignment="1"/>
    <xf numFmtId="16" fontId="9" fillId="0" borderId="15" xfId="0" applyNumberFormat="1" applyFont="1" applyFill="1" applyBorder="1" applyAlignment="1"/>
    <xf numFmtId="178" fontId="9" fillId="0" borderId="15" xfId="0" applyNumberFormat="1" applyFont="1" applyFill="1" applyBorder="1" applyAlignment="1"/>
    <xf numFmtId="179" fontId="9" fillId="0" borderId="15" xfId="0" applyNumberFormat="1" applyFont="1" applyFill="1" applyBorder="1" applyAlignment="1"/>
    <xf numFmtId="180" fontId="9" fillId="0" borderId="15" xfId="0" applyNumberFormat="1" applyFont="1" applyFill="1" applyBorder="1" applyAlignment="1"/>
    <xf numFmtId="178" fontId="9" fillId="0" borderId="15" xfId="0" applyNumberFormat="1" applyFont="1" applyFill="1" applyBorder="1" applyAlignment="1">
      <alignment wrapText="1"/>
    </xf>
    <xf numFmtId="178" fontId="9" fillId="0" borderId="15" xfId="0" applyNumberFormat="1" applyFont="1" applyFill="1" applyBorder="1" applyAlignment="1">
      <alignment horizontal="center" wrapText="1"/>
    </xf>
    <xf numFmtId="0" fontId="9" fillId="0" borderId="15" xfId="0" applyFont="1" applyFill="1" applyBorder="1" applyAlignment="1">
      <alignment horizontal="center"/>
    </xf>
    <xf numFmtId="43" fontId="9" fillId="0" borderId="15" xfId="0" applyNumberFormat="1" applyFont="1" applyFill="1" applyBorder="1" applyAlignment="1">
      <alignment wrapText="1"/>
    </xf>
    <xf numFmtId="43" fontId="9" fillId="0" borderId="20" xfId="0" applyNumberFormat="1" applyFont="1" applyFill="1" applyBorder="1" applyAlignment="1"/>
    <xf numFmtId="43" fontId="9" fillId="0" borderId="15" xfId="0" applyNumberFormat="1" applyFont="1" applyFill="1" applyBorder="1" applyAlignment="1">
      <alignment horizontal="left"/>
    </xf>
    <xf numFmtId="43" fontId="9" fillId="0" borderId="15" xfId="0" applyNumberFormat="1" applyFont="1" applyFill="1" applyBorder="1" applyAlignment="1"/>
    <xf numFmtId="181" fontId="17" fillId="0" borderId="0" xfId="0" applyNumberFormat="1" applyFont="1" applyFill="1" applyAlignment="1">
      <alignment horizontal="right"/>
    </xf>
    <xf numFmtId="178" fontId="17" fillId="0" borderId="0" xfId="0" applyNumberFormat="1" applyFont="1" applyFill="1" applyAlignment="1"/>
    <xf numFmtId="179" fontId="17" fillId="0" borderId="0" xfId="0" applyNumberFormat="1" applyFont="1" applyFill="1" applyAlignment="1"/>
    <xf numFmtId="180" fontId="17" fillId="0" borderId="0" xfId="0" applyNumberFormat="1" applyFont="1" applyFill="1" applyAlignment="1"/>
    <xf numFmtId="178" fontId="17" fillId="0" borderId="0" xfId="0" applyNumberFormat="1" applyFont="1" applyFill="1" applyAlignment="1">
      <alignment wrapText="1"/>
    </xf>
    <xf numFmtId="178" fontId="17" fillId="0" borderId="0" xfId="0" applyNumberFormat="1" applyFont="1" applyFill="1" applyAlignment="1">
      <alignment horizontal="center" wrapText="1"/>
    </xf>
    <xf numFmtId="0" fontId="17" fillId="0" borderId="0" xfId="0" applyFont="1" applyFill="1" applyAlignment="1">
      <alignment horizontal="center"/>
    </xf>
    <xf numFmtId="43" fontId="17" fillId="0" borderId="0" xfId="0" applyNumberFormat="1" applyFont="1" applyFill="1" applyAlignment="1">
      <alignment wrapText="1"/>
    </xf>
    <xf numFmtId="43" fontId="9" fillId="0" borderId="0" xfId="0" applyNumberFormat="1" applyFont="1" applyFill="1" applyAlignment="1">
      <alignment horizontal="center"/>
    </xf>
    <xf numFmtId="43" fontId="17" fillId="0" borderId="0" xfId="0" applyNumberFormat="1" applyFont="1" applyFill="1" applyAlignment="1">
      <alignment horizontal="left"/>
    </xf>
    <xf numFmtId="43" fontId="8" fillId="0" borderId="0" xfId="0" applyNumberFormat="1" applyFont="1" applyFill="1" applyAlignment="1">
      <alignment horizontal="center"/>
    </xf>
    <xf numFmtId="43" fontId="17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0" fontId="17" fillId="0" borderId="0" xfId="0" applyFont="1" applyFill="1" applyAlignment="1"/>
    <xf numFmtId="43" fontId="9" fillId="0" borderId="0" xfId="0" applyNumberFormat="1" applyFont="1" applyFill="1" applyBorder="1" applyAlignment="1">
      <alignment horizontal="center" vertical="center"/>
    </xf>
    <xf numFmtId="43" fontId="9" fillId="0" borderId="0" xfId="0" applyNumberFormat="1" applyFont="1" applyFill="1" applyBorder="1" applyAlignment="1">
      <alignment horizontal="center"/>
    </xf>
    <xf numFmtId="43" fontId="17" fillId="0" borderId="0" xfId="0" applyNumberFormat="1" applyFont="1" applyFill="1" applyBorder="1" applyAlignment="1">
      <alignment horizontal="center"/>
    </xf>
    <xf numFmtId="3" fontId="9" fillId="0" borderId="0" xfId="0" applyNumberFormat="1" applyFont="1" applyFill="1" applyBorder="1" applyAlignment="1">
      <alignment horizontal="center"/>
    </xf>
    <xf numFmtId="0" fontId="34" fillId="0" borderId="0" xfId="0" applyFont="1" applyFill="1" applyBorder="1" applyAlignment="1"/>
    <xf numFmtId="43" fontId="17" fillId="0" borderId="0" xfId="0" applyNumberFormat="1" applyFont="1" applyFill="1" applyBorder="1" applyAlignment="1">
      <alignment horizontal="center" vertical="center"/>
    </xf>
    <xf numFmtId="178" fontId="9" fillId="0" borderId="0" xfId="0" applyNumberFormat="1" applyFont="1" applyFill="1" applyBorder="1" applyAlignment="1">
      <alignment horizontal="center" vertical="center"/>
    </xf>
    <xf numFmtId="0" fontId="34" fillId="0" borderId="0" xfId="0" applyFont="1" applyAlignment="1"/>
    <xf numFmtId="43" fontId="34" fillId="0" borderId="0" xfId="0" applyNumberFormat="1" applyFont="1" applyAlignment="1"/>
    <xf numFmtId="43" fontId="34" fillId="0" borderId="0" xfId="28" applyFont="1" applyAlignment="1"/>
    <xf numFmtId="181" fontId="9" fillId="0" borderId="21" xfId="0" applyNumberFormat="1" applyFont="1" applyBorder="1" applyAlignment="1">
      <alignment horizontal="right"/>
    </xf>
    <xf numFmtId="178" fontId="9" fillId="0" borderId="22" xfId="0" applyNumberFormat="1" applyFont="1" applyBorder="1" applyAlignment="1">
      <alignment horizontal="center"/>
    </xf>
    <xf numFmtId="179" fontId="9" fillId="0" borderId="23" xfId="0" applyNumberFormat="1" applyFont="1" applyBorder="1" applyAlignment="1">
      <alignment horizontal="center"/>
    </xf>
    <xf numFmtId="180" fontId="9" fillId="0" borderId="23" xfId="0" applyNumberFormat="1" applyFont="1" applyBorder="1" applyAlignment="1">
      <alignment horizontal="center"/>
    </xf>
    <xf numFmtId="178" fontId="17" fillId="0" borderId="21" xfId="0" applyNumberFormat="1" applyFont="1" applyBorder="1" applyAlignment="1">
      <alignment wrapText="1"/>
    </xf>
    <xf numFmtId="178" fontId="9" fillId="0" borderId="21" xfId="0" applyNumberFormat="1" applyFont="1" applyBorder="1" applyAlignment="1">
      <alignment horizontal="center"/>
    </xf>
    <xf numFmtId="178" fontId="9" fillId="0" borderId="21" xfId="0" applyNumberFormat="1" applyFont="1" applyBorder="1" applyAlignment="1">
      <alignment horizontal="center" wrapText="1"/>
    </xf>
    <xf numFmtId="178" fontId="17" fillId="0" borderId="21" xfId="0" applyNumberFormat="1" applyFont="1" applyBorder="1" applyAlignment="1">
      <alignment horizontal="center"/>
    </xf>
    <xf numFmtId="178" fontId="17" fillId="0" borderId="21" xfId="0" applyNumberFormat="1" applyFont="1" applyBorder="1" applyAlignment="1">
      <alignment horizontal="center" wrapText="1"/>
    </xf>
    <xf numFmtId="0" fontId="17" fillId="0" borderId="21" xfId="0" applyFont="1" applyBorder="1" applyAlignment="1">
      <alignment horizontal="center"/>
    </xf>
    <xf numFmtId="43" fontId="9" fillId="0" borderId="21" xfId="0" applyNumberFormat="1" applyFont="1" applyBorder="1" applyAlignment="1">
      <alignment wrapText="1"/>
    </xf>
    <xf numFmtId="43" fontId="17" fillId="0" borderId="21" xfId="0" applyNumberFormat="1" applyFont="1" applyBorder="1" applyAlignment="1">
      <alignment horizontal="center"/>
    </xf>
    <xf numFmtId="43" fontId="17" fillId="0" borderId="21" xfId="0" applyNumberFormat="1" applyFont="1" applyBorder="1" applyAlignment="1">
      <alignment horizontal="left"/>
    </xf>
    <xf numFmtId="43" fontId="8" fillId="0" borderId="21" xfId="0" applyNumberFormat="1" applyFont="1" applyBorder="1" applyAlignment="1">
      <alignment horizontal="center"/>
    </xf>
    <xf numFmtId="43" fontId="18" fillId="0" borderId="21" xfId="0" applyNumberFormat="1" applyFont="1" applyBorder="1" applyAlignment="1">
      <alignment horizontal="center"/>
    </xf>
    <xf numFmtId="43" fontId="9" fillId="0" borderId="21" xfId="0" applyNumberFormat="1" applyFont="1" applyBorder="1" applyAlignment="1">
      <alignment horizontal="center"/>
    </xf>
    <xf numFmtId="43" fontId="9" fillId="0" borderId="21" xfId="0" applyNumberFormat="1" applyFont="1" applyBorder="1" applyAlignment="1"/>
    <xf numFmtId="43" fontId="9" fillId="0" borderId="22" xfId="0" applyNumberFormat="1" applyFont="1" applyBorder="1" applyAlignment="1">
      <alignment horizontal="center"/>
    </xf>
    <xf numFmtId="9" fontId="9" fillId="0" borderId="24" xfId="0" applyNumberFormat="1" applyFont="1" applyBorder="1" applyAlignment="1">
      <alignment horizontal="center"/>
    </xf>
    <xf numFmtId="43" fontId="17" fillId="0" borderId="22" xfId="0" applyNumberFormat="1" applyFont="1" applyBorder="1" applyAlignment="1">
      <alignment horizontal="center"/>
    </xf>
    <xf numFmtId="43" fontId="9" fillId="0" borderId="25" xfId="0" applyNumberFormat="1" applyFont="1" applyBorder="1" applyAlignment="1">
      <alignment horizontal="center"/>
    </xf>
    <xf numFmtId="43" fontId="9" fillId="0" borderId="26" xfId="0" applyNumberFormat="1" applyFont="1" applyBorder="1" applyAlignment="1">
      <alignment horizontal="center"/>
    </xf>
    <xf numFmtId="43" fontId="9" fillId="0" borderId="24" xfId="0" applyNumberFormat="1" applyFont="1" applyBorder="1" applyAlignment="1">
      <alignment horizontal="center"/>
    </xf>
    <xf numFmtId="181" fontId="9" fillId="0" borderId="13" xfId="0" applyNumberFormat="1" applyFont="1" applyBorder="1" applyAlignment="1">
      <alignment horizontal="center" vertical="center"/>
    </xf>
    <xf numFmtId="178" fontId="9" fillId="0" borderId="0" xfId="0" applyNumberFormat="1" applyFont="1" applyAlignment="1">
      <alignment horizontal="center" vertical="center"/>
    </xf>
    <xf numFmtId="179" fontId="9" fillId="0" borderId="27" xfId="0" applyNumberFormat="1" applyFont="1" applyBorder="1" applyAlignment="1">
      <alignment horizontal="center" vertical="center"/>
    </xf>
    <xf numFmtId="180" fontId="9" fillId="0" borderId="27" xfId="0" applyNumberFormat="1" applyFont="1" applyBorder="1" applyAlignment="1">
      <alignment horizontal="center" vertical="center"/>
    </xf>
    <xf numFmtId="178" fontId="9" fillId="0" borderId="13" xfId="0" applyNumberFormat="1" applyFont="1" applyBorder="1" applyAlignment="1">
      <alignment horizontal="center" vertical="center"/>
    </xf>
    <xf numFmtId="178" fontId="9" fillId="0" borderId="13" xfId="0" applyNumberFormat="1" applyFont="1" applyBorder="1" applyAlignment="1">
      <alignment horizontal="center" vertical="center" wrapText="1"/>
    </xf>
    <xf numFmtId="178" fontId="17" fillId="0" borderId="13" xfId="0" applyNumberFormat="1" applyFont="1" applyBorder="1" applyAlignment="1">
      <alignment horizontal="center" vertical="center"/>
    </xf>
    <xf numFmtId="43" fontId="9" fillId="0" borderId="13" xfId="0" applyNumberFormat="1" applyFont="1" applyBorder="1" applyAlignment="1">
      <alignment horizontal="center" wrapText="1"/>
    </xf>
    <xf numFmtId="43" fontId="17" fillId="0" borderId="13" xfId="0" applyNumberFormat="1" applyFont="1" applyBorder="1" applyAlignment="1">
      <alignment horizontal="center" vertical="center"/>
    </xf>
    <xf numFmtId="43" fontId="17" fillId="0" borderId="13" xfId="0" applyNumberFormat="1" applyFont="1" applyBorder="1" applyAlignment="1">
      <alignment horizontal="left" vertical="center"/>
    </xf>
    <xf numFmtId="43" fontId="18" fillId="0" borderId="13" xfId="0" applyNumberFormat="1" applyFont="1" applyBorder="1" applyAlignment="1">
      <alignment horizontal="center" vertical="center"/>
    </xf>
    <xf numFmtId="43" fontId="9" fillId="0" borderId="13" xfId="0" applyNumberFormat="1" applyFont="1" applyBorder="1" applyAlignment="1">
      <alignment horizontal="center" vertical="center"/>
    </xf>
    <xf numFmtId="3" fontId="9" fillId="0" borderId="13" xfId="0" applyNumberFormat="1" applyFont="1" applyBorder="1" applyAlignment="1">
      <alignment horizontal="center"/>
    </xf>
    <xf numFmtId="9" fontId="9" fillId="0" borderId="21" xfId="0" applyNumberFormat="1" applyFont="1" applyBorder="1" applyAlignment="1">
      <alignment horizontal="center" vertical="center"/>
    </xf>
    <xf numFmtId="43" fontId="17" fillId="0" borderId="21" xfId="0" applyNumberFormat="1" applyFont="1" applyBorder="1" applyAlignment="1">
      <alignment horizontal="center" vertical="center"/>
    </xf>
    <xf numFmtId="43" fontId="9" fillId="0" borderId="21" xfId="0" applyNumberFormat="1" applyFont="1" applyBorder="1" applyAlignment="1">
      <alignment horizontal="center" vertical="center"/>
    </xf>
    <xf numFmtId="43" fontId="9" fillId="0" borderId="21" xfId="0" applyNumberFormat="1" applyFont="1" applyBorder="1" applyAlignment="1">
      <alignment horizontal="center" vertical="center" wrapText="1"/>
    </xf>
    <xf numFmtId="43" fontId="33" fillId="0" borderId="21" xfId="0" applyNumberFormat="1" applyFont="1" applyBorder="1" applyAlignment="1">
      <alignment horizontal="center" vertical="center"/>
    </xf>
    <xf numFmtId="178" fontId="9" fillId="0" borderId="16" xfId="0" applyNumberFormat="1" applyFont="1" applyBorder="1" applyAlignment="1">
      <alignment horizontal="center" vertical="center"/>
    </xf>
    <xf numFmtId="178" fontId="9" fillId="0" borderId="18" xfId="0" applyNumberFormat="1" applyFont="1" applyBorder="1" applyAlignment="1">
      <alignment horizontal="center" vertical="center"/>
    </xf>
    <xf numFmtId="178" fontId="9" fillId="0" borderId="28" xfId="0" applyNumberFormat="1" applyFont="1" applyBorder="1" applyAlignment="1">
      <alignment horizontal="center" vertical="center"/>
    </xf>
    <xf numFmtId="180" fontId="9" fillId="0" borderId="28" xfId="0" applyNumberFormat="1" applyFont="1" applyBorder="1" applyAlignment="1">
      <alignment horizontal="center" vertical="center"/>
    </xf>
    <xf numFmtId="178" fontId="9" fillId="0" borderId="16" xfId="0" applyNumberFormat="1" applyFont="1" applyBorder="1" applyAlignment="1">
      <alignment horizontal="center" vertical="center" wrapText="1"/>
    </xf>
    <xf numFmtId="178" fontId="17" fillId="0" borderId="16" xfId="0" applyNumberFormat="1" applyFont="1" applyBorder="1" applyAlignment="1">
      <alignment horizontal="center" vertical="center"/>
    </xf>
    <xf numFmtId="178" fontId="9" fillId="0" borderId="16" xfId="0" applyNumberFormat="1" applyFont="1" applyBorder="1" applyAlignment="1">
      <alignment horizontal="center" wrapText="1"/>
    </xf>
    <xf numFmtId="43" fontId="17" fillId="0" borderId="16" xfId="0" applyNumberFormat="1" applyFont="1" applyBorder="1" applyAlignment="1">
      <alignment horizontal="center" vertical="center"/>
    </xf>
    <xf numFmtId="43" fontId="17" fillId="0" borderId="16" xfId="0" applyNumberFormat="1" applyFont="1" applyBorder="1" applyAlignment="1">
      <alignment horizontal="left" vertical="center"/>
    </xf>
    <xf numFmtId="43" fontId="17" fillId="0" borderId="16" xfId="0" applyNumberFormat="1" applyFont="1" applyBorder="1" applyAlignment="1">
      <alignment horizontal="center" wrapText="1"/>
    </xf>
    <xf numFmtId="43" fontId="8" fillId="0" borderId="16" xfId="0" applyNumberFormat="1" applyFont="1" applyBorder="1" applyAlignment="1">
      <alignment horizontal="center" wrapText="1"/>
    </xf>
    <xf numFmtId="0" fontId="14" fillId="0" borderId="0" xfId="38" applyFont="1" applyAlignment="1"/>
    <xf numFmtId="0" fontId="11" fillId="0" borderId="0" xfId="38" applyFont="1" applyAlignment="1"/>
    <xf numFmtId="0" fontId="14" fillId="0" borderId="0" xfId="38" applyFont="1" applyAlignment="1">
      <alignment horizontal="center"/>
    </xf>
    <xf numFmtId="0" fontId="10" fillId="0" borderId="0" xfId="38" applyFont="1" applyAlignment="1">
      <alignment horizontal="left"/>
    </xf>
    <xf numFmtId="0" fontId="32" fillId="0" borderId="0" xfId="38" applyFont="1" applyAlignment="1">
      <alignment horizontal="left"/>
    </xf>
    <xf numFmtId="0" fontId="31" fillId="0" borderId="0" xfId="38" applyFont="1" applyAlignment="1"/>
    <xf numFmtId="0" fontId="10" fillId="0" borderId="0" xfId="38" applyFont="1" applyAlignment="1"/>
    <xf numFmtId="0" fontId="14" fillId="0" borderId="0" xfId="38" applyFont="1" applyAlignment="1">
      <alignment horizontal="left"/>
    </xf>
    <xf numFmtId="0" fontId="31" fillId="0" borderId="0" xfId="38" applyFont="1" applyAlignment="1">
      <alignment horizontal="left"/>
    </xf>
    <xf numFmtId="16" fontId="1" fillId="0" borderId="13" xfId="0" quotePrefix="1" applyNumberFormat="1" applyFont="1" applyFill="1" applyBorder="1" applyAlignment="1"/>
    <xf numFmtId="16" fontId="1" fillId="0" borderId="13" xfId="0" applyNumberFormat="1" applyFont="1" applyFill="1" applyBorder="1" applyAlignment="1"/>
    <xf numFmtId="179" fontId="1" fillId="0" borderId="13" xfId="0" quotePrefix="1" applyNumberFormat="1" applyFont="1" applyFill="1" applyBorder="1" applyAlignment="1">
      <alignment horizontal="right"/>
    </xf>
    <xf numFmtId="180" fontId="1" fillId="0" borderId="13" xfId="0" applyNumberFormat="1" applyFont="1" applyFill="1" applyBorder="1" applyAlignment="1"/>
    <xf numFmtId="178" fontId="1" fillId="0" borderId="13" xfId="0" applyNumberFormat="1" applyFont="1" applyFill="1" applyBorder="1" applyAlignment="1">
      <alignment horizontal="center" wrapText="1"/>
    </xf>
    <xf numFmtId="43" fontId="1" fillId="0" borderId="13" xfId="0" applyNumberFormat="1" applyFont="1" applyFill="1" applyBorder="1" applyAlignment="1">
      <alignment wrapText="1"/>
    </xf>
    <xf numFmtId="43" fontId="1" fillId="0" borderId="13" xfId="0" applyNumberFormat="1" applyFont="1" applyFill="1" applyBorder="1" applyAlignment="1"/>
    <xf numFmtId="43" fontId="1" fillId="0" borderId="13" xfId="0" applyNumberFormat="1" applyFont="1" applyFill="1" applyBorder="1" applyAlignment="1">
      <alignment horizontal="left"/>
    </xf>
    <xf numFmtId="43" fontId="1" fillId="0" borderId="13" xfId="0" applyNumberFormat="1" applyFont="1" applyFill="1" applyBorder="1" applyAlignment="1">
      <alignment horizontal="center"/>
    </xf>
    <xf numFmtId="43" fontId="1" fillId="0" borderId="14" xfId="0" applyNumberFormat="1" applyFont="1" applyFill="1" applyBorder="1" applyAlignment="1"/>
    <xf numFmtId="0" fontId="1" fillId="0" borderId="0" xfId="0" applyFont="1" applyFill="1" applyAlignment="1"/>
    <xf numFmtId="43" fontId="1" fillId="0" borderId="0" xfId="0" applyNumberFormat="1" applyFont="1" applyFill="1" applyAlignment="1"/>
    <xf numFmtId="0" fontId="1" fillId="0" borderId="13" xfId="0" applyFont="1" applyFill="1" applyBorder="1" applyAlignment="1"/>
    <xf numFmtId="0" fontId="1" fillId="0" borderId="13" xfId="0" applyFont="1" applyFill="1" applyBorder="1" applyAlignment="1">
      <alignment horizontal="left"/>
    </xf>
    <xf numFmtId="179" fontId="1" fillId="0" borderId="10" xfId="0" quotePrefix="1" applyNumberFormat="1" applyFont="1" applyFill="1" applyBorder="1" applyAlignment="1">
      <alignment horizontal="right"/>
    </xf>
    <xf numFmtId="180" fontId="17" fillId="0" borderId="10" xfId="0" applyNumberFormat="1" applyFont="1" applyFill="1" applyBorder="1" applyAlignment="1"/>
    <xf numFmtId="178" fontId="17" fillId="0" borderId="10" xfId="0" applyNumberFormat="1" applyFont="1" applyFill="1" applyBorder="1" applyAlignment="1">
      <alignment horizontal="center" wrapText="1"/>
    </xf>
    <xf numFmtId="0" fontId="17" fillId="0" borderId="10" xfId="0" quotePrefix="1" applyFont="1" applyFill="1" applyBorder="1" applyAlignment="1">
      <alignment horizontal="center"/>
    </xf>
    <xf numFmtId="43" fontId="17" fillId="0" borderId="10" xfId="0" applyNumberFormat="1" applyFont="1" applyFill="1" applyBorder="1" applyAlignment="1">
      <alignment wrapText="1"/>
    </xf>
    <xf numFmtId="43" fontId="17" fillId="0" borderId="10" xfId="0" applyNumberFormat="1" applyFont="1" applyFill="1" applyBorder="1" applyAlignment="1"/>
    <xf numFmtId="43" fontId="17" fillId="0" borderId="10" xfId="0" applyNumberFormat="1" applyFont="1" applyFill="1" applyBorder="1" applyAlignment="1">
      <alignment horizontal="left"/>
    </xf>
    <xf numFmtId="43" fontId="1" fillId="0" borderId="10" xfId="0" applyNumberFormat="1" applyFont="1" applyFill="1" applyBorder="1" applyAlignment="1"/>
    <xf numFmtId="43" fontId="8" fillId="0" borderId="10" xfId="0" applyNumberFormat="1" applyFont="1" applyFill="1" applyBorder="1" applyAlignment="1">
      <alignment horizontal="center"/>
    </xf>
    <xf numFmtId="43" fontId="8" fillId="0" borderId="10" xfId="0" applyNumberFormat="1" applyFont="1" applyFill="1" applyBorder="1" applyAlignment="1">
      <alignment horizontal="left"/>
    </xf>
    <xf numFmtId="43" fontId="17" fillId="0" borderId="10" xfId="0" applyNumberFormat="1" applyFont="1" applyFill="1" applyBorder="1" applyAlignment="1">
      <alignment horizontal="center"/>
    </xf>
    <xf numFmtId="43" fontId="17" fillId="0" borderId="12" xfId="0" applyNumberFormat="1" applyFont="1" applyFill="1" applyBorder="1" applyAlignment="1"/>
    <xf numFmtId="43" fontId="17" fillId="0" borderId="11" xfId="0" applyNumberFormat="1" applyFont="1" applyFill="1" applyBorder="1" applyAlignment="1"/>
    <xf numFmtId="181" fontId="29" fillId="0" borderId="0" xfId="0" applyNumberFormat="1" applyFont="1" applyFill="1" applyAlignment="1">
      <alignment horizontal="right"/>
    </xf>
    <xf numFmtId="178" fontId="29" fillId="0" borderId="0" xfId="0" applyNumberFormat="1" applyFont="1" applyFill="1" applyAlignment="1"/>
    <xf numFmtId="179" fontId="29" fillId="0" borderId="0" xfId="0" applyNumberFormat="1" applyFont="1" applyFill="1" applyAlignment="1"/>
    <xf numFmtId="180" fontId="29" fillId="0" borderId="0" xfId="0" applyNumberFormat="1" applyFont="1" applyFill="1" applyAlignment="1"/>
    <xf numFmtId="178" fontId="29" fillId="0" borderId="0" xfId="0" applyNumberFormat="1" applyFont="1" applyFill="1" applyAlignment="1">
      <alignment wrapText="1"/>
    </xf>
    <xf numFmtId="178" fontId="29" fillId="0" borderId="0" xfId="0" applyNumberFormat="1" applyFont="1" applyFill="1" applyAlignment="1">
      <alignment horizontal="center" wrapText="1"/>
    </xf>
    <xf numFmtId="0" fontId="29" fillId="0" borderId="0" xfId="0" applyFont="1" applyFill="1" applyAlignment="1">
      <alignment horizontal="center"/>
    </xf>
    <xf numFmtId="43" fontId="29" fillId="0" borderId="0" xfId="0" applyNumberFormat="1" applyFont="1" applyFill="1" applyAlignment="1">
      <alignment wrapText="1"/>
    </xf>
    <xf numFmtId="43" fontId="29" fillId="0" borderId="0" xfId="0" applyNumberFormat="1" applyFont="1" applyFill="1" applyAlignment="1">
      <alignment horizontal="center"/>
    </xf>
    <xf numFmtId="43" fontId="29" fillId="0" borderId="0" xfId="0" applyNumberFormat="1" applyFont="1" applyFill="1" applyAlignment="1">
      <alignment horizontal="left"/>
    </xf>
    <xf numFmtId="43" fontId="30" fillId="0" borderId="0" xfId="0" applyNumberFormat="1" applyFont="1" applyFill="1" applyAlignment="1">
      <alignment horizontal="center"/>
    </xf>
    <xf numFmtId="0" fontId="30" fillId="0" borderId="0" xfId="0" applyFont="1" applyFill="1" applyAlignment="1">
      <alignment horizontal="center"/>
    </xf>
    <xf numFmtId="0" fontId="29" fillId="0" borderId="0" xfId="0" applyFont="1" applyFill="1" applyAlignment="1"/>
    <xf numFmtId="43" fontId="29" fillId="0" borderId="0" xfId="0" applyNumberFormat="1" applyFont="1" applyFill="1" applyAlignment="1"/>
    <xf numFmtId="0" fontId="0" fillId="0" borderId="0" xfId="0" applyFont="1" applyFill="1" applyAlignment="1"/>
    <xf numFmtId="43" fontId="0" fillId="0" borderId="0" xfId="28" applyFont="1" applyAlignment="1"/>
    <xf numFmtId="43" fontId="0" fillId="0" borderId="0" xfId="0" applyNumberFormat="1" applyFont="1" applyAlignment="1"/>
    <xf numFmtId="43" fontId="29" fillId="0" borderId="0" xfId="28" applyFont="1" applyFill="1" applyAlignment="1"/>
    <xf numFmtId="43" fontId="0" fillId="0" borderId="0" xfId="28" applyFont="1" applyFill="1" applyAlignment="1"/>
    <xf numFmtId="43" fontId="0" fillId="0" borderId="0" xfId="28" applyFont="1" applyAlignment="1"/>
    <xf numFmtId="43" fontId="9" fillId="0" borderId="13" xfId="0" applyNumberFormat="1" applyFont="1" applyFill="1" applyBorder="1" applyAlignment="1"/>
    <xf numFmtId="0" fontId="0" fillId="0" borderId="0" xfId="0" applyFont="1" applyAlignment="1">
      <alignment horizontal="center"/>
    </xf>
    <xf numFmtId="43" fontId="12" fillId="0" borderId="0" xfId="28" applyFont="1" applyAlignment="1"/>
    <xf numFmtId="43" fontId="17" fillId="11" borderId="13" xfId="0" applyNumberFormat="1" applyFont="1" applyFill="1" applyBorder="1" applyAlignment="1">
      <alignment wrapText="1"/>
    </xf>
    <xf numFmtId="43" fontId="0" fillId="0" borderId="0" xfId="28" applyFont="1" applyAlignment="1"/>
    <xf numFmtId="43" fontId="0" fillId="0" borderId="0" xfId="28" applyFont="1" applyAlignment="1"/>
    <xf numFmtId="179" fontId="17" fillId="0" borderId="13" xfId="0" quotePrefix="1" applyNumberFormat="1" applyFont="1" applyBorder="1" applyAlignment="1"/>
    <xf numFmtId="178" fontId="9" fillId="0" borderId="13" xfId="0" applyNumberFormat="1" applyFont="1" applyBorder="1" applyAlignment="1">
      <alignment vertical="center" wrapText="1"/>
    </xf>
    <xf numFmtId="181" fontId="17" fillId="0" borderId="0" xfId="0" applyNumberFormat="1" applyFont="1" applyAlignment="1">
      <alignment horizontal="left"/>
    </xf>
    <xf numFmtId="43" fontId="17" fillId="0" borderId="0" xfId="0" applyNumberFormat="1" applyFont="1" applyAlignment="1">
      <alignment horizontal="left"/>
    </xf>
    <xf numFmtId="43" fontId="28" fillId="0" borderId="0" xfId="0" applyNumberFormat="1" applyFont="1" applyAlignment="1">
      <alignment vertical="center"/>
    </xf>
    <xf numFmtId="13" fontId="17" fillId="0" borderId="0" xfId="0" applyNumberFormat="1" applyFont="1" applyAlignment="1">
      <alignment wrapText="1"/>
    </xf>
    <xf numFmtId="43" fontId="1" fillId="0" borderId="0" xfId="0" applyNumberFormat="1" applyFont="1" applyBorder="1" applyAlignment="1"/>
    <xf numFmtId="179" fontId="17" fillId="0" borderId="13" xfId="0" quotePrefix="1" applyNumberFormat="1" applyFont="1" applyFill="1" applyBorder="1" applyAlignment="1"/>
    <xf numFmtId="0" fontId="12" fillId="33" borderId="0" xfId="0" applyFont="1" applyFill="1" applyAlignment="1">
      <alignment horizontal="center" vertical="center" wrapText="1"/>
    </xf>
    <xf numFmtId="0" fontId="27" fillId="0" borderId="0" xfId="0" applyFont="1" applyAlignment="1"/>
    <xf numFmtId="0" fontId="0" fillId="0" borderId="0" xfId="0" quotePrefix="1" applyFont="1" applyAlignment="1"/>
    <xf numFmtId="43" fontId="0" fillId="0" borderId="0" xfId="28" applyFont="1" applyAlignment="1"/>
    <xf numFmtId="171" fontId="0" fillId="0" borderId="0" xfId="0" applyNumberFormat="1" applyFont="1" applyAlignment="1"/>
    <xf numFmtId="0" fontId="12" fillId="33" borderId="0" xfId="28" applyNumberFormat="1" applyFont="1" applyFill="1" applyAlignment="1">
      <alignment horizontal="center" vertical="center" wrapText="1"/>
    </xf>
    <xf numFmtId="178" fontId="17" fillId="0" borderId="16" xfId="0" applyNumberFormat="1" applyFont="1" applyBorder="1" applyAlignment="1">
      <alignment horizontal="center" vertical="center" wrapText="1"/>
    </xf>
    <xf numFmtId="15" fontId="0" fillId="0" borderId="0" xfId="0" quotePrefix="1" applyNumberFormat="1" applyFont="1" applyAlignment="1"/>
    <xf numFmtId="0" fontId="12" fillId="0" borderId="0" xfId="0" applyFont="1" applyAlignment="1"/>
    <xf numFmtId="0" fontId="12" fillId="33" borderId="0" xfId="0" applyFont="1" applyFill="1" applyAlignment="1">
      <alignment horizontal="center"/>
    </xf>
    <xf numFmtId="178" fontId="17" fillId="0" borderId="13" xfId="0" applyNumberFormat="1" applyFont="1" applyBorder="1" applyAlignment="1">
      <alignment horizontal="center" vertical="center" wrapText="1"/>
    </xf>
    <xf numFmtId="181" fontId="26" fillId="0" borderId="0" xfId="0" applyNumberFormat="1" applyFont="1" applyAlignment="1">
      <alignment horizontal="left"/>
    </xf>
    <xf numFmtId="180" fontId="6" fillId="0" borderId="0" xfId="0" applyNumberFormat="1" applyFont="1" applyAlignment="1"/>
    <xf numFmtId="0" fontId="22" fillId="0" borderId="0" xfId="0" applyFont="1" applyAlignment="1"/>
    <xf numFmtId="178" fontId="6" fillId="0" borderId="0" xfId="0" applyNumberFormat="1" applyFont="1" applyAlignment="1"/>
    <xf numFmtId="179" fontId="6" fillId="0" borderId="0" xfId="0" applyNumberFormat="1" applyFont="1" applyAlignment="1"/>
    <xf numFmtId="1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43" fontId="6" fillId="0" borderId="0" xfId="0" applyNumberFormat="1" applyFont="1" applyAlignment="1">
      <alignment wrapText="1"/>
    </xf>
    <xf numFmtId="43" fontId="6" fillId="0" borderId="0" xfId="0" applyNumberFormat="1" applyFont="1" applyAlignment="1">
      <alignment horizontal="right" wrapText="1"/>
    </xf>
    <xf numFmtId="10" fontId="25" fillId="34" borderId="0" xfId="41" applyNumberFormat="1" applyFont="1" applyFill="1" applyAlignment="1">
      <alignment horizontal="center"/>
    </xf>
    <xf numFmtId="43" fontId="6" fillId="0" borderId="0" xfId="0" applyNumberFormat="1" applyFont="1" applyAlignment="1">
      <alignment horizontal="center"/>
    </xf>
    <xf numFmtId="1" fontId="6" fillId="0" borderId="0" xfId="28" applyNumberFormat="1" applyFont="1" applyAlignment="1">
      <alignment horizontal="center"/>
    </xf>
    <xf numFmtId="181" fontId="6" fillId="0" borderId="0" xfId="0" applyNumberFormat="1" applyFont="1" applyAlignment="1">
      <alignment horizontal="left"/>
    </xf>
    <xf numFmtId="43" fontId="24" fillId="0" borderId="0" xfId="0" applyNumberFormat="1" applyFont="1" applyAlignment="1">
      <alignment vertical="center"/>
    </xf>
    <xf numFmtId="43" fontId="6" fillId="0" borderId="13" xfId="0" applyNumberFormat="1" applyFont="1" applyFill="1" applyBorder="1" applyAlignment="1"/>
    <xf numFmtId="1" fontId="6" fillId="0" borderId="13" xfId="28" applyNumberFormat="1" applyFont="1" applyFill="1" applyBorder="1" applyAlignment="1">
      <alignment horizontal="center"/>
    </xf>
    <xf numFmtId="1" fontId="6" fillId="0" borderId="13" xfId="0" applyNumberFormat="1" applyFont="1" applyFill="1" applyBorder="1" applyAlignment="1">
      <alignment horizontal="center"/>
    </xf>
    <xf numFmtId="13" fontId="6" fillId="0" borderId="0" xfId="0" applyNumberFormat="1" applyFont="1" applyAlignment="1">
      <alignment wrapText="1"/>
    </xf>
    <xf numFmtId="43" fontId="23" fillId="0" borderId="0" xfId="28" applyFont="1" applyAlignment="1">
      <alignment wrapText="1"/>
    </xf>
    <xf numFmtId="43" fontId="6" fillId="0" borderId="0" xfId="28" applyFont="1" applyAlignment="1">
      <alignment wrapText="1"/>
    </xf>
    <xf numFmtId="1" fontId="6" fillId="34" borderId="0" xfId="28" applyNumberFormat="1" applyFont="1" applyFill="1" applyAlignment="1">
      <alignment horizontal="center" wrapText="1"/>
    </xf>
    <xf numFmtId="180" fontId="7" fillId="33" borderId="28" xfId="0" applyNumberFormat="1" applyFont="1" applyFill="1" applyBorder="1" applyAlignment="1">
      <alignment horizontal="center" vertical="center"/>
    </xf>
    <xf numFmtId="180" fontId="7" fillId="33" borderId="28" xfId="0" applyNumberFormat="1" applyFont="1" applyFill="1" applyBorder="1" applyAlignment="1">
      <alignment horizontal="center" vertical="center" wrapText="1"/>
    </xf>
    <xf numFmtId="178" fontId="7" fillId="33" borderId="16" xfId="0" applyNumberFormat="1" applyFont="1" applyFill="1" applyBorder="1" applyAlignment="1">
      <alignment horizontal="center" vertical="center"/>
    </xf>
    <xf numFmtId="178" fontId="7" fillId="33" borderId="18" xfId="0" applyNumberFormat="1" applyFont="1" applyFill="1" applyBorder="1" applyAlignment="1">
      <alignment horizontal="center" vertical="center"/>
    </xf>
    <xf numFmtId="178" fontId="7" fillId="33" borderId="28" xfId="0" applyNumberFormat="1" applyFont="1" applyFill="1" applyBorder="1" applyAlignment="1">
      <alignment horizontal="center" vertical="center"/>
    </xf>
    <xf numFmtId="1" fontId="7" fillId="33" borderId="28" xfId="0" applyNumberFormat="1" applyFont="1" applyFill="1" applyBorder="1" applyAlignment="1">
      <alignment horizontal="center" vertical="center"/>
    </xf>
    <xf numFmtId="0" fontId="6" fillId="33" borderId="16" xfId="0" applyFont="1" applyFill="1" applyBorder="1" applyAlignment="1">
      <alignment horizontal="center" vertical="center"/>
    </xf>
    <xf numFmtId="178" fontId="7" fillId="33" borderId="16" xfId="0" applyNumberFormat="1" applyFont="1" applyFill="1" applyBorder="1" applyAlignment="1">
      <alignment horizontal="center" vertical="center" wrapText="1"/>
    </xf>
    <xf numFmtId="43" fontId="7" fillId="33" borderId="16" xfId="0" applyNumberFormat="1" applyFont="1" applyFill="1" applyBorder="1" applyAlignment="1">
      <alignment horizontal="center" vertical="center" wrapText="1"/>
    </xf>
    <xf numFmtId="1" fontId="7" fillId="33" borderId="16" xfId="28" applyNumberFormat="1" applyFont="1" applyFill="1" applyBorder="1" applyAlignment="1">
      <alignment horizontal="center" vertical="center" wrapText="1"/>
    </xf>
    <xf numFmtId="1" fontId="7" fillId="33" borderId="16" xfId="0" applyNumberFormat="1" applyFont="1" applyFill="1" applyBorder="1" applyAlignment="1">
      <alignment horizontal="center" vertical="center" wrapText="1"/>
    </xf>
    <xf numFmtId="43" fontId="7" fillId="33" borderId="19" xfId="0" applyNumberFormat="1" applyFont="1" applyFill="1" applyBorder="1" applyAlignment="1">
      <alignment horizontal="center" vertical="center" wrapText="1"/>
    </xf>
    <xf numFmtId="180" fontId="6" fillId="0" borderId="13" xfId="0" applyNumberFormat="1" applyFont="1" applyBorder="1" applyAlignment="1"/>
    <xf numFmtId="178" fontId="7" fillId="0" borderId="13" xfId="0" applyNumberFormat="1" applyFont="1" applyFill="1" applyBorder="1" applyAlignment="1">
      <alignment horizontal="center" vertical="center"/>
    </xf>
    <xf numFmtId="178" fontId="7" fillId="0" borderId="0" xfId="0" applyNumberFormat="1" applyFont="1" applyFill="1" applyBorder="1" applyAlignment="1">
      <alignment horizontal="center" vertical="center"/>
    </xf>
    <xf numFmtId="178" fontId="7" fillId="0" borderId="27" xfId="0" applyNumberFormat="1" applyFont="1" applyFill="1" applyBorder="1" applyAlignment="1">
      <alignment horizontal="center" vertical="center"/>
    </xf>
    <xf numFmtId="180" fontId="7" fillId="0" borderId="27" xfId="0" applyNumberFormat="1" applyFont="1" applyFill="1" applyBorder="1" applyAlignment="1">
      <alignment horizontal="center" vertical="center"/>
    </xf>
    <xf numFmtId="180" fontId="7" fillId="0" borderId="27" xfId="0" applyNumberFormat="1" applyFont="1" applyFill="1" applyBorder="1" applyAlignment="1">
      <alignment horizontal="left" vertical="center"/>
    </xf>
    <xf numFmtId="1" fontId="7" fillId="0" borderId="27" xfId="0" applyNumberFormat="1" applyFont="1" applyFill="1" applyBorder="1" applyAlignment="1">
      <alignment horizontal="center" vertical="center"/>
    </xf>
    <xf numFmtId="180" fontId="7" fillId="0" borderId="27" xfId="0" applyNumberFormat="1" applyFont="1" applyFill="1" applyBorder="1" applyAlignment="1">
      <alignment horizontal="center" vertical="center" wrapText="1"/>
    </xf>
    <xf numFmtId="0" fontId="6" fillId="0" borderId="13" xfId="0" applyFont="1" applyFill="1" applyBorder="1" applyAlignment="1">
      <alignment horizontal="center" vertical="center"/>
    </xf>
    <xf numFmtId="178" fontId="7" fillId="0" borderId="13" xfId="0" applyNumberFormat="1" applyFont="1" applyFill="1" applyBorder="1" applyAlignment="1">
      <alignment horizontal="center" vertical="center" wrapText="1"/>
    </xf>
    <xf numFmtId="43" fontId="7" fillId="0" borderId="13" xfId="0" applyNumberFormat="1" applyFont="1" applyFill="1" applyBorder="1" applyAlignment="1">
      <alignment horizontal="center" vertical="center" wrapText="1"/>
    </xf>
    <xf numFmtId="43" fontId="6" fillId="0" borderId="14" xfId="0" applyNumberFormat="1" applyFont="1" applyFill="1" applyBorder="1" applyAlignment="1"/>
    <xf numFmtId="16" fontId="6" fillId="0" borderId="13" xfId="0" applyNumberFormat="1" applyFont="1" applyBorder="1" applyAlignment="1"/>
    <xf numFmtId="178" fontId="6" fillId="0" borderId="13" xfId="0" applyNumberFormat="1" applyFont="1" applyBorder="1" applyAlignment="1"/>
    <xf numFmtId="179" fontId="6" fillId="0" borderId="13" xfId="0" quotePrefix="1" applyNumberFormat="1" applyFont="1" applyBorder="1" applyAlignment="1"/>
    <xf numFmtId="1" fontId="6" fillId="0" borderId="13" xfId="0" applyNumberFormat="1" applyFont="1" applyBorder="1" applyAlignment="1">
      <alignment horizontal="center"/>
    </xf>
    <xf numFmtId="178" fontId="6" fillId="0" borderId="13" xfId="0" quotePrefix="1" applyNumberFormat="1" applyFont="1" applyFill="1" applyBorder="1" applyAlignment="1">
      <alignment horizontal="center" wrapText="1"/>
    </xf>
    <xf numFmtId="43" fontId="6" fillId="0" borderId="13" xfId="0" applyNumberFormat="1" applyFont="1" applyBorder="1" applyAlignment="1">
      <alignment wrapText="1"/>
    </xf>
    <xf numFmtId="0" fontId="6" fillId="0" borderId="13" xfId="0" quotePrefix="1" applyFont="1" applyFill="1" applyBorder="1" applyAlignment="1">
      <alignment horizontal="center"/>
    </xf>
    <xf numFmtId="43" fontId="6" fillId="0" borderId="13" xfId="0" applyNumberFormat="1" applyFont="1" applyFill="1" applyBorder="1" applyAlignment="1">
      <alignment wrapText="1"/>
    </xf>
    <xf numFmtId="16" fontId="6" fillId="0" borderId="13" xfId="0" quotePrefix="1" applyNumberFormat="1" applyFont="1" applyFill="1" applyBorder="1" applyAlignment="1"/>
    <xf numFmtId="180" fontId="6" fillId="0" borderId="13" xfId="0" applyNumberFormat="1" applyFont="1" applyFill="1" applyBorder="1" applyAlignment="1"/>
    <xf numFmtId="0" fontId="6" fillId="0" borderId="13" xfId="0" quotePrefix="1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43" fontId="6" fillId="0" borderId="13" xfId="0" applyNumberFormat="1" applyFont="1" applyBorder="1" applyAlignment="1">
      <alignment horizontal="center"/>
    </xf>
    <xf numFmtId="43" fontId="6" fillId="0" borderId="13" xfId="0" applyNumberFormat="1" applyFont="1" applyBorder="1" applyAlignment="1"/>
    <xf numFmtId="178" fontId="6" fillId="0" borderId="13" xfId="0" applyNumberFormat="1" applyFont="1" applyFill="1" applyBorder="1" applyAlignment="1"/>
    <xf numFmtId="179" fontId="6" fillId="0" borderId="13" xfId="0" quotePrefix="1" applyNumberFormat="1" applyFont="1" applyFill="1" applyBorder="1" applyAlignment="1"/>
    <xf numFmtId="179" fontId="6" fillId="0" borderId="13" xfId="0" applyNumberFormat="1" applyFont="1" applyBorder="1" applyAlignment="1"/>
    <xf numFmtId="43" fontId="6" fillId="0" borderId="16" xfId="0" applyNumberFormat="1" applyFont="1" applyBorder="1" applyAlignment="1"/>
    <xf numFmtId="1" fontId="6" fillId="0" borderId="13" xfId="28" applyNumberFormat="1" applyFont="1" applyBorder="1" applyAlignment="1">
      <alignment horizontal="center"/>
    </xf>
    <xf numFmtId="180" fontId="7" fillId="0" borderId="15" xfId="0" applyNumberFormat="1" applyFont="1" applyBorder="1" applyAlignment="1"/>
    <xf numFmtId="16" fontId="7" fillId="0" borderId="15" xfId="0" applyNumberFormat="1" applyFont="1" applyBorder="1" applyAlignment="1"/>
    <xf numFmtId="178" fontId="7" fillId="0" borderId="15" xfId="0" applyNumberFormat="1" applyFont="1" applyBorder="1" applyAlignment="1"/>
    <xf numFmtId="179" fontId="7" fillId="0" borderId="15" xfId="0" applyNumberFormat="1" applyFont="1" applyBorder="1" applyAlignment="1"/>
    <xf numFmtId="1" fontId="7" fillId="0" borderId="15" xfId="0" applyNumberFormat="1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43" fontId="7" fillId="0" borderId="15" xfId="0" applyNumberFormat="1" applyFont="1" applyBorder="1" applyAlignment="1">
      <alignment wrapText="1"/>
    </xf>
    <xf numFmtId="43" fontId="7" fillId="0" borderId="15" xfId="0" applyNumberFormat="1" applyFont="1" applyBorder="1" applyAlignment="1"/>
    <xf numFmtId="1" fontId="7" fillId="0" borderId="15" xfId="28" applyNumberFormat="1" applyFont="1" applyBorder="1" applyAlignment="1">
      <alignment horizontal="center"/>
    </xf>
    <xf numFmtId="43" fontId="7" fillId="0" borderId="17" xfId="0" applyNumberFormat="1" applyFont="1" applyBorder="1" applyAlignment="1"/>
    <xf numFmtId="43" fontId="7" fillId="0" borderId="13" xfId="0" applyNumberFormat="1" applyFont="1" applyBorder="1" applyAlignment="1"/>
    <xf numFmtId="1" fontId="7" fillId="0" borderId="13" xfId="28" applyNumberFormat="1" applyFont="1" applyBorder="1" applyAlignment="1">
      <alignment horizontal="center"/>
    </xf>
    <xf numFmtId="1" fontId="7" fillId="0" borderId="13" xfId="0" applyNumberFormat="1" applyFont="1" applyBorder="1" applyAlignment="1">
      <alignment horizontal="center"/>
    </xf>
    <xf numFmtId="180" fontId="6" fillId="0" borderId="16" xfId="0" applyNumberFormat="1" applyFont="1" applyBorder="1" applyAlignment="1"/>
    <xf numFmtId="16" fontId="6" fillId="0" borderId="16" xfId="0" applyNumberFormat="1" applyFont="1" applyBorder="1" applyAlignment="1"/>
    <xf numFmtId="178" fontId="6" fillId="0" borderId="16" xfId="0" applyNumberFormat="1" applyFont="1" applyBorder="1" applyAlignment="1"/>
    <xf numFmtId="179" fontId="6" fillId="0" borderId="16" xfId="0" applyNumberFormat="1" applyFont="1" applyBorder="1" applyAlignment="1"/>
    <xf numFmtId="1" fontId="6" fillId="0" borderId="16" xfId="0" applyNumberFormat="1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43" fontId="6" fillId="0" borderId="16" xfId="0" applyNumberFormat="1" applyFont="1" applyBorder="1" applyAlignment="1">
      <alignment wrapText="1"/>
    </xf>
    <xf numFmtId="43" fontId="6" fillId="0" borderId="18" xfId="0" applyNumberFormat="1" applyFont="1" applyBorder="1" applyAlignment="1">
      <alignment wrapText="1"/>
    </xf>
    <xf numFmtId="43" fontId="6" fillId="0" borderId="18" xfId="0" applyNumberFormat="1" applyFont="1" applyBorder="1" applyAlignment="1"/>
    <xf numFmtId="1" fontId="6" fillId="0" borderId="18" xfId="28" applyNumberFormat="1" applyFont="1" applyBorder="1" applyAlignment="1">
      <alignment horizontal="center"/>
    </xf>
    <xf numFmtId="1" fontId="6" fillId="0" borderId="18" xfId="0" applyNumberFormat="1" applyFont="1" applyBorder="1" applyAlignment="1">
      <alignment horizontal="center"/>
    </xf>
    <xf numFmtId="16" fontId="6" fillId="0" borderId="0" xfId="0" applyNumberFormat="1" applyFont="1" applyAlignment="1"/>
    <xf numFmtId="43" fontId="6" fillId="0" borderId="0" xfId="0" applyNumberFormat="1" applyFont="1" applyAlignment="1"/>
    <xf numFmtId="0" fontId="22" fillId="0" borderId="0" xfId="0" applyFont="1" applyAlignment="1"/>
    <xf numFmtId="1" fontId="22" fillId="0" borderId="0" xfId="0" applyNumberFormat="1" applyFont="1" applyAlignment="1">
      <alignment horizontal="center"/>
    </xf>
    <xf numFmtId="0" fontId="22" fillId="0" borderId="0" xfId="0" applyFont="1" applyAlignment="1">
      <alignment horizontal="center"/>
    </xf>
    <xf numFmtId="43" fontId="22" fillId="0" borderId="0" xfId="0" applyNumberFormat="1" applyFont="1" applyAlignment="1"/>
    <xf numFmtId="1" fontId="22" fillId="0" borderId="0" xfId="28" applyNumberFormat="1" applyFont="1" applyAlignment="1">
      <alignment horizontal="center"/>
    </xf>
    <xf numFmtId="43" fontId="22" fillId="0" borderId="0" xfId="28" applyFont="1" applyAlignment="1"/>
    <xf numFmtId="43" fontId="0" fillId="0" borderId="0" xfId="28" applyFont="1" applyAlignment="1"/>
    <xf numFmtId="16" fontId="8" fillId="0" borderId="13" xfId="0" quotePrefix="1" applyNumberFormat="1" applyFont="1" applyFill="1" applyBorder="1" applyAlignment="1"/>
    <xf numFmtId="178" fontId="8" fillId="0" borderId="13" xfId="0" applyNumberFormat="1" applyFont="1" applyBorder="1" applyAlignment="1"/>
    <xf numFmtId="179" fontId="8" fillId="0" borderId="13" xfId="0" quotePrefix="1" applyNumberFormat="1" applyFont="1" applyBorder="1" applyAlignment="1"/>
    <xf numFmtId="180" fontId="8" fillId="0" borderId="13" xfId="0" applyNumberFormat="1" applyFont="1" applyBorder="1" applyAlignment="1"/>
    <xf numFmtId="178" fontId="8" fillId="0" borderId="13" xfId="0" applyNumberFormat="1" applyFont="1" applyBorder="1" applyAlignment="1">
      <alignment wrapText="1"/>
    </xf>
    <xf numFmtId="178" fontId="8" fillId="0" borderId="13" xfId="0" applyNumberFormat="1" applyFont="1" applyBorder="1" applyAlignment="1">
      <alignment horizontal="center" wrapText="1"/>
    </xf>
    <xf numFmtId="0" fontId="8" fillId="0" borderId="13" xfId="0" applyFont="1" applyBorder="1" applyAlignment="1">
      <alignment horizontal="center"/>
    </xf>
    <xf numFmtId="43" fontId="8" fillId="0" borderId="13" xfId="0" applyNumberFormat="1" applyFont="1" applyBorder="1" applyAlignment="1">
      <alignment wrapText="1"/>
    </xf>
    <xf numFmtId="43" fontId="8" fillId="0" borderId="14" xfId="0" applyNumberFormat="1" applyFont="1" applyBorder="1" applyAlignment="1"/>
    <xf numFmtId="0" fontId="16" fillId="0" borderId="0" xfId="0" applyFont="1" applyAlignment="1"/>
    <xf numFmtId="178" fontId="8" fillId="0" borderId="13" xfId="0" applyNumberFormat="1" applyFont="1" applyFill="1" applyBorder="1" applyAlignment="1">
      <alignment wrapText="1"/>
    </xf>
    <xf numFmtId="178" fontId="8" fillId="0" borderId="13" xfId="0" applyNumberFormat="1" applyFont="1" applyFill="1" applyBorder="1" applyAlignment="1"/>
    <xf numFmtId="0" fontId="8" fillId="0" borderId="13" xfId="0" quotePrefix="1" applyFont="1" applyBorder="1" applyAlignment="1">
      <alignment horizontal="center"/>
    </xf>
    <xf numFmtId="43" fontId="0" fillId="0" borderId="0" xfId="28" applyFont="1" applyAlignment="1"/>
    <xf numFmtId="1" fontId="8" fillId="0" borderId="13" xfId="0" applyNumberFormat="1" applyFont="1" applyBorder="1" applyAlignment="1">
      <alignment horizontal="center"/>
    </xf>
    <xf numFmtId="1" fontId="8" fillId="0" borderId="13" xfId="28" applyNumberFormat="1" applyFont="1" applyFill="1" applyBorder="1" applyAlignment="1">
      <alignment horizontal="center"/>
    </xf>
    <xf numFmtId="1" fontId="8" fillId="0" borderId="13" xfId="0" applyNumberFormat="1" applyFont="1" applyFill="1" applyBorder="1" applyAlignment="1">
      <alignment horizontal="center"/>
    </xf>
    <xf numFmtId="43" fontId="8" fillId="0" borderId="14" xfId="0" applyNumberFormat="1" applyFont="1" applyFill="1" applyBorder="1" applyAlignment="1"/>
    <xf numFmtId="43" fontId="6" fillId="17" borderId="13" xfId="0" applyNumberFormat="1" applyFont="1" applyFill="1" applyBorder="1" applyAlignment="1">
      <alignment wrapText="1"/>
    </xf>
    <xf numFmtId="16" fontId="6" fillId="0" borderId="13" xfId="0" applyNumberFormat="1" applyFont="1" applyFill="1" applyBorder="1" applyAlignment="1"/>
    <xf numFmtId="178" fontId="6" fillId="0" borderId="13" xfId="0" applyNumberFormat="1" applyFont="1" applyFill="1" applyBorder="1" applyAlignment="1"/>
    <xf numFmtId="179" fontId="6" fillId="0" borderId="13" xfId="0" applyNumberFormat="1" applyFont="1" applyFill="1" applyBorder="1" applyAlignment="1"/>
    <xf numFmtId="180" fontId="6" fillId="0" borderId="13" xfId="0" applyNumberFormat="1" applyFont="1" applyFill="1" applyBorder="1" applyAlignment="1"/>
    <xf numFmtId="1" fontId="6" fillId="0" borderId="13" xfId="0" applyNumberFormat="1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43" fontId="6" fillId="0" borderId="13" xfId="0" applyNumberFormat="1" applyFont="1" applyFill="1" applyBorder="1" applyAlignment="1">
      <alignment wrapText="1"/>
    </xf>
    <xf numFmtId="43" fontId="6" fillId="0" borderId="13" xfId="0" applyNumberFormat="1" applyFont="1" applyFill="1" applyBorder="1" applyAlignment="1"/>
    <xf numFmtId="180" fontId="7" fillId="0" borderId="13" xfId="0" applyNumberFormat="1" applyFont="1" applyFill="1" applyBorder="1" applyAlignment="1"/>
    <xf numFmtId="180" fontId="6" fillId="0" borderId="13" xfId="0" quotePrefix="1" applyNumberFormat="1" applyFont="1" applyBorder="1" applyAlignment="1"/>
    <xf numFmtId="43" fontId="7" fillId="0" borderId="13" xfId="0" applyNumberFormat="1" applyFont="1" applyFill="1" applyBorder="1" applyAlignment="1">
      <alignment horizontal="center" wrapText="1"/>
    </xf>
    <xf numFmtId="43" fontId="7" fillId="0" borderId="13" xfId="0" applyNumberFormat="1" applyFont="1" applyFill="1" applyBorder="1" applyAlignment="1">
      <alignment wrapText="1"/>
    </xf>
    <xf numFmtId="43" fontId="0" fillId="0" borderId="0" xfId="28" applyFont="1" applyAlignment="1"/>
    <xf numFmtId="180" fontId="1" fillId="0" borderId="13" xfId="0" applyNumberFormat="1" applyFont="1" applyBorder="1" applyAlignment="1"/>
    <xf numFmtId="178" fontId="1" fillId="0" borderId="13" xfId="0" applyNumberFormat="1" applyFont="1" applyBorder="1" applyAlignment="1"/>
    <xf numFmtId="179" fontId="1" fillId="0" borderId="13" xfId="0" quotePrefix="1" applyNumberFormat="1" applyFont="1" applyBorder="1" applyAlignment="1"/>
    <xf numFmtId="1" fontId="1" fillId="0" borderId="13" xfId="0" applyNumberFormat="1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43" fontId="1" fillId="0" borderId="13" xfId="0" applyNumberFormat="1" applyFont="1" applyBorder="1" applyAlignment="1">
      <alignment wrapText="1"/>
    </xf>
    <xf numFmtId="1" fontId="1" fillId="0" borderId="13" xfId="28" applyNumberFormat="1" applyFont="1" applyFill="1" applyBorder="1" applyAlignment="1">
      <alignment horizontal="center"/>
    </xf>
    <xf numFmtId="1" fontId="1" fillId="0" borderId="13" xfId="0" applyNumberFormat="1" applyFont="1" applyFill="1" applyBorder="1" applyAlignment="1">
      <alignment horizontal="center"/>
    </xf>
    <xf numFmtId="178" fontId="1" fillId="0" borderId="13" xfId="0" applyNumberFormat="1" applyFont="1" applyBorder="1" applyAlignment="1">
      <alignment horizontal="center" wrapText="1"/>
    </xf>
    <xf numFmtId="0" fontId="5" fillId="0" borderId="0" xfId="0" applyFont="1" applyAlignment="1"/>
    <xf numFmtId="43" fontId="17" fillId="0" borderId="29" xfId="0" applyNumberFormat="1" applyFont="1" applyBorder="1" applyAlignment="1"/>
    <xf numFmtId="43" fontId="8" fillId="0" borderId="29" xfId="0" applyNumberFormat="1" applyFont="1" applyBorder="1" applyAlignment="1">
      <alignment horizontal="center"/>
    </xf>
    <xf numFmtId="43" fontId="8" fillId="0" borderId="29" xfId="0" applyNumberFormat="1" applyFont="1" applyFill="1" applyBorder="1" applyAlignment="1">
      <alignment horizontal="left"/>
    </xf>
    <xf numFmtId="43" fontId="9" fillId="0" borderId="30" xfId="0" applyNumberFormat="1" applyFont="1" applyBorder="1" applyAlignment="1"/>
    <xf numFmtId="43" fontId="9" fillId="0" borderId="30" xfId="0" applyNumberFormat="1" applyFont="1" applyFill="1" applyBorder="1" applyAlignment="1"/>
    <xf numFmtId="0" fontId="0" fillId="0" borderId="31" xfId="0" applyFont="1" applyBorder="1" applyAlignment="1"/>
    <xf numFmtId="43" fontId="0" fillId="0" borderId="31" xfId="0" applyNumberFormat="1" applyFont="1" applyBorder="1" applyAlignment="1"/>
    <xf numFmtId="43" fontId="17" fillId="0" borderId="29" xfId="0" applyNumberFormat="1" applyFont="1" applyFill="1" applyBorder="1" applyAlignment="1">
      <alignment wrapText="1"/>
    </xf>
    <xf numFmtId="43" fontId="17" fillId="0" borderId="30" xfId="0" applyNumberFormat="1" applyFont="1" applyFill="1" applyBorder="1" applyAlignment="1">
      <alignment wrapText="1"/>
    </xf>
    <xf numFmtId="0" fontId="0" fillId="0" borderId="31" xfId="0" applyFont="1" applyFill="1" applyBorder="1" applyAlignment="1"/>
    <xf numFmtId="43" fontId="9" fillId="0" borderId="13" xfId="0" applyNumberFormat="1" applyFont="1" applyFill="1" applyBorder="1" applyAlignment="1">
      <alignment wrapText="1"/>
    </xf>
    <xf numFmtId="43" fontId="16" fillId="0" borderId="0" xfId="0" applyNumberFormat="1" applyFont="1" applyAlignment="1"/>
    <xf numFmtId="9" fontId="16" fillId="0" borderId="0" xfId="41" applyFont="1" applyAlignment="1"/>
    <xf numFmtId="180" fontId="1" fillId="0" borderId="13" xfId="0" quotePrefix="1" applyNumberFormat="1" applyFont="1" applyBorder="1" applyAlignment="1"/>
    <xf numFmtId="180" fontId="6" fillId="0" borderId="13" xfId="0" applyNumberFormat="1" applyFont="1" applyBorder="1" applyAlignment="1"/>
    <xf numFmtId="1" fontId="6" fillId="0" borderId="13" xfId="0" applyNumberFormat="1" applyFont="1" applyBorder="1" applyAlignment="1">
      <alignment horizontal="center"/>
    </xf>
    <xf numFmtId="43" fontId="6" fillId="17" borderId="13" xfId="0" applyNumberFormat="1" applyFont="1" applyFill="1" applyBorder="1" applyAlignment="1">
      <alignment wrapText="1"/>
    </xf>
    <xf numFmtId="43" fontId="6" fillId="17" borderId="13" xfId="0" applyNumberFormat="1" applyFont="1" applyFill="1" applyBorder="1" applyAlignment="1"/>
    <xf numFmtId="43" fontId="6" fillId="0" borderId="13" xfId="0" applyNumberFormat="1" applyFont="1" applyFill="1" applyBorder="1" applyAlignment="1"/>
    <xf numFmtId="43" fontId="6" fillId="0" borderId="13" xfId="0" applyNumberFormat="1" applyFont="1" applyBorder="1" applyAlignment="1">
      <alignment wrapText="1"/>
    </xf>
    <xf numFmtId="16" fontId="6" fillId="0" borderId="13" xfId="0" quotePrefix="1" applyNumberFormat="1" applyFont="1" applyFill="1" applyBorder="1" applyAlignment="1"/>
    <xf numFmtId="178" fontId="6" fillId="0" borderId="13" xfId="0" applyNumberFormat="1" applyFont="1" applyBorder="1" applyAlignment="1"/>
    <xf numFmtId="179" fontId="6" fillId="0" borderId="13" xfId="0" applyNumberFormat="1" applyFont="1" applyBorder="1" applyAlignment="1"/>
    <xf numFmtId="0" fontId="6" fillId="0" borderId="13" xfId="0" applyFont="1" applyBorder="1" applyAlignment="1">
      <alignment horizontal="center"/>
    </xf>
    <xf numFmtId="43" fontId="6" fillId="0" borderId="13" xfId="0" applyNumberFormat="1" applyFont="1" applyBorder="1" applyAlignment="1"/>
    <xf numFmtId="1" fontId="6" fillId="0" borderId="13" xfId="28" applyNumberFormat="1" applyFont="1" applyFill="1" applyBorder="1" applyAlignment="1">
      <alignment horizontal="center"/>
    </xf>
    <xf numFmtId="1" fontId="6" fillId="0" borderId="13" xfId="0" applyNumberFormat="1" applyFont="1" applyFill="1" applyBorder="1" applyAlignment="1">
      <alignment horizontal="center"/>
    </xf>
    <xf numFmtId="43" fontId="6" fillId="0" borderId="14" xfId="0" applyNumberFormat="1" applyFont="1" applyFill="1" applyBorder="1" applyAlignment="1"/>
    <xf numFmtId="16" fontId="6" fillId="0" borderId="13" xfId="0" applyNumberFormat="1" applyFont="1" applyBorder="1" applyAlignment="1">
      <alignment wrapText="1"/>
    </xf>
    <xf numFmtId="180" fontId="21" fillId="0" borderId="13" xfId="0" applyNumberFormat="1" applyFont="1" applyBorder="1" applyAlignment="1"/>
    <xf numFmtId="16" fontId="21" fillId="0" borderId="13" xfId="0" quotePrefix="1" applyNumberFormat="1" applyFont="1" applyFill="1" applyBorder="1" applyAlignment="1"/>
    <xf numFmtId="178" fontId="21" fillId="0" borderId="13" xfId="0" applyNumberFormat="1" applyFont="1" applyBorder="1" applyAlignment="1"/>
    <xf numFmtId="179" fontId="21" fillId="0" borderId="13" xfId="0" quotePrefix="1" applyNumberFormat="1" applyFont="1" applyBorder="1" applyAlignment="1"/>
    <xf numFmtId="1" fontId="21" fillId="0" borderId="13" xfId="0" applyNumberFormat="1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43" fontId="21" fillId="0" borderId="13" xfId="0" applyNumberFormat="1" applyFont="1" applyBorder="1" applyAlignment="1">
      <alignment wrapText="1"/>
    </xf>
    <xf numFmtId="43" fontId="21" fillId="0" borderId="13" xfId="0" applyNumberFormat="1" applyFont="1" applyBorder="1" applyAlignment="1"/>
    <xf numFmtId="43" fontId="21" fillId="0" borderId="13" xfId="0" applyNumberFormat="1" applyFont="1" applyFill="1" applyBorder="1" applyAlignment="1"/>
    <xf numFmtId="1" fontId="21" fillId="0" borderId="13" xfId="28" applyNumberFormat="1" applyFont="1" applyFill="1" applyBorder="1" applyAlignment="1">
      <alignment horizontal="center"/>
    </xf>
    <xf numFmtId="1" fontId="21" fillId="0" borderId="13" xfId="0" applyNumberFormat="1" applyFont="1" applyFill="1" applyBorder="1" applyAlignment="1">
      <alignment horizontal="center"/>
    </xf>
    <xf numFmtId="43" fontId="21" fillId="0" borderId="14" xfId="0" applyNumberFormat="1" applyFont="1" applyFill="1" applyBorder="1" applyAlignment="1"/>
    <xf numFmtId="178" fontId="21" fillId="0" borderId="13" xfId="0" applyNumberFormat="1" applyFont="1" applyBorder="1" applyAlignment="1">
      <alignment wrapText="1"/>
    </xf>
    <xf numFmtId="178" fontId="21" fillId="0" borderId="13" xfId="0" applyNumberFormat="1" applyFont="1" applyBorder="1" applyAlignment="1">
      <alignment horizontal="center" wrapText="1"/>
    </xf>
    <xf numFmtId="0" fontId="20" fillId="0" borderId="0" xfId="0" applyFont="1" applyAlignment="1"/>
    <xf numFmtId="180" fontId="8" fillId="0" borderId="13" xfId="0" quotePrefix="1" applyNumberFormat="1" applyFont="1" applyBorder="1" applyAlignment="1"/>
    <xf numFmtId="0" fontId="1" fillId="0" borderId="13" xfId="0" quotePrefix="1" applyFont="1" applyBorder="1" applyAlignment="1">
      <alignment horizontal="center"/>
    </xf>
    <xf numFmtId="43" fontId="6" fillId="34" borderId="13" xfId="0" applyNumberFormat="1" applyFont="1" applyFill="1" applyBorder="1" applyAlignment="1"/>
    <xf numFmtId="43" fontId="8" fillId="35" borderId="13" xfId="0" applyNumberFormat="1" applyFont="1" applyFill="1" applyBorder="1" applyAlignment="1"/>
    <xf numFmtId="43" fontId="9" fillId="0" borderId="32" xfId="0" applyNumberFormat="1" applyFont="1" applyFill="1" applyBorder="1" applyAlignment="1">
      <alignment wrapText="1"/>
    </xf>
    <xf numFmtId="43" fontId="9" fillId="0" borderId="10" xfId="0" applyNumberFormat="1" applyFont="1" applyBorder="1" applyAlignment="1">
      <alignment horizontal="center"/>
    </xf>
    <xf numFmtId="43" fontId="19" fillId="0" borderId="10" xfId="0" applyNumberFormat="1" applyFont="1" applyBorder="1" applyAlignment="1">
      <alignment horizontal="center"/>
    </xf>
    <xf numFmtId="43" fontId="18" fillId="0" borderId="33" xfId="0" applyNumberFormat="1" applyFont="1" applyBorder="1" applyAlignment="1">
      <alignment horizontal="center"/>
    </xf>
    <xf numFmtId="43" fontId="17" fillId="0" borderId="34" xfId="0" applyNumberFormat="1" applyFont="1" applyFill="1" applyBorder="1" applyAlignment="1">
      <alignment wrapText="1"/>
    </xf>
    <xf numFmtId="43" fontId="8" fillId="0" borderId="35" xfId="0" applyNumberFormat="1" applyFont="1" applyFill="1" applyBorder="1" applyAlignment="1">
      <alignment horizontal="left"/>
    </xf>
    <xf numFmtId="43" fontId="17" fillId="0" borderId="36" xfId="0" applyNumberFormat="1" applyFont="1" applyFill="1" applyBorder="1" applyAlignment="1">
      <alignment wrapText="1"/>
    </xf>
    <xf numFmtId="43" fontId="8" fillId="0" borderId="37" xfId="0" applyNumberFormat="1" applyFont="1" applyFill="1" applyBorder="1" applyAlignment="1">
      <alignment horizontal="left"/>
    </xf>
    <xf numFmtId="43" fontId="0" fillId="0" borderId="0" xfId="28" applyFont="1" applyAlignment="1"/>
    <xf numFmtId="43" fontId="0" fillId="0" borderId="0" xfId="28" applyFont="1" applyAlignment="1"/>
    <xf numFmtId="43" fontId="16" fillId="0" borderId="0" xfId="28" applyFont="1" applyAlignment="1"/>
    <xf numFmtId="0" fontId="0" fillId="0" borderId="38" xfId="0" applyFont="1" applyBorder="1" applyAlignment="1"/>
    <xf numFmtId="0" fontId="0" fillId="0" borderId="38" xfId="0" applyFont="1" applyBorder="1" applyAlignment="1"/>
    <xf numFmtId="0" fontId="0" fillId="0" borderId="39" xfId="0" applyFont="1" applyBorder="1" applyAlignment="1"/>
    <xf numFmtId="0" fontId="0" fillId="0" borderId="40" xfId="0" applyFont="1" applyBorder="1" applyAlignment="1"/>
    <xf numFmtId="0" fontId="0" fillId="0" borderId="41" xfId="0" applyFont="1" applyBorder="1" applyAlignment="1"/>
    <xf numFmtId="0" fontId="0" fillId="0" borderId="42" xfId="0" applyFont="1" applyBorder="1" applyAlignment="1"/>
    <xf numFmtId="0" fontId="0" fillId="0" borderId="42" xfId="0" applyFont="1" applyBorder="1" applyAlignment="1"/>
    <xf numFmtId="43" fontId="0" fillId="0" borderId="41" xfId="0" applyNumberFormat="1" applyFont="1" applyBorder="1" applyAlignment="1"/>
    <xf numFmtId="43" fontId="0" fillId="0" borderId="43" xfId="0" applyNumberFormat="1" applyFont="1" applyBorder="1" applyAlignment="1"/>
    <xf numFmtId="0" fontId="0" fillId="0" borderId="44" xfId="0" applyFont="1" applyBorder="1" applyAlignment="1"/>
    <xf numFmtId="43" fontId="0" fillId="0" borderId="38" xfId="0" applyNumberFormat="1" applyFont="1" applyBorder="1" applyAlignment="1"/>
    <xf numFmtId="43" fontId="0" fillId="0" borderId="40" xfId="0" applyNumberFormat="1" applyFont="1" applyBorder="1" applyAlignment="1"/>
    <xf numFmtId="43" fontId="0" fillId="0" borderId="44" xfId="0" applyNumberFormat="1" applyFont="1" applyBorder="1" applyAlignment="1"/>
    <xf numFmtId="43" fontId="0" fillId="0" borderId="45" xfId="0" applyNumberFormat="1" applyFont="1" applyBorder="1" applyAlignment="1"/>
    <xf numFmtId="0" fontId="13" fillId="0" borderId="42" xfId="0" applyFont="1" applyBorder="1" applyAlignment="1"/>
    <xf numFmtId="0" fontId="13" fillId="0" borderId="42" xfId="0" applyFont="1" applyBorder="1" applyAlignment="1"/>
    <xf numFmtId="43" fontId="13" fillId="0" borderId="0" xfId="28" applyFont="1" applyAlignment="1"/>
    <xf numFmtId="0" fontId="13" fillId="0" borderId="0" xfId="0" applyFont="1" applyAlignment="1"/>
    <xf numFmtId="0" fontId="13" fillId="0" borderId="38" xfId="0" applyFont="1" applyBorder="1" applyAlignment="1"/>
    <xf numFmtId="0" fontId="13" fillId="0" borderId="46" xfId="0" applyFont="1" applyBorder="1" applyAlignment="1"/>
    <xf numFmtId="0" fontId="13" fillId="0" borderId="38" xfId="0" applyFont="1" applyBorder="1" applyAlignment="1"/>
    <xf numFmtId="0" fontId="13" fillId="0" borderId="39" xfId="0" applyFont="1" applyBorder="1" applyAlignment="1"/>
    <xf numFmtId="0" fontId="13" fillId="0" borderId="40" xfId="0" applyFont="1" applyBorder="1" applyAlignment="1"/>
    <xf numFmtId="43" fontId="13" fillId="0" borderId="38" xfId="0" applyNumberFormat="1" applyFont="1" applyBorder="1" applyAlignment="1"/>
    <xf numFmtId="43" fontId="13" fillId="0" borderId="40" xfId="0" applyNumberFormat="1" applyFont="1" applyBorder="1" applyAlignment="1"/>
    <xf numFmtId="0" fontId="13" fillId="0" borderId="47" xfId="0" applyFont="1" applyBorder="1" applyAlignment="1"/>
    <xf numFmtId="0" fontId="13" fillId="0" borderId="44" xfId="0" applyFont="1" applyBorder="1" applyAlignment="1"/>
    <xf numFmtId="43" fontId="13" fillId="0" borderId="44" xfId="0" applyNumberFormat="1" applyFont="1" applyBorder="1" applyAlignment="1"/>
    <xf numFmtId="43" fontId="13" fillId="0" borderId="45" xfId="0" applyNumberFormat="1" applyFont="1" applyBorder="1" applyAlignment="1"/>
    <xf numFmtId="0" fontId="13" fillId="0" borderId="41" xfId="0" applyFont="1" applyBorder="1" applyAlignment="1"/>
    <xf numFmtId="0" fontId="13" fillId="0" borderId="48" xfId="0" applyFont="1" applyBorder="1" applyAlignment="1"/>
    <xf numFmtId="43" fontId="13" fillId="0" borderId="41" xfId="0" applyNumberFormat="1" applyFont="1" applyBorder="1" applyAlignment="1"/>
    <xf numFmtId="43" fontId="13" fillId="0" borderId="43" xfId="0" applyNumberFormat="1" applyFont="1" applyBorder="1" applyAlignment="1"/>
    <xf numFmtId="0" fontId="12" fillId="34" borderId="0" xfId="0" applyFont="1" applyFill="1" applyAlignment="1"/>
    <xf numFmtId="0" fontId="12" fillId="0" borderId="0" xfId="0" applyFont="1" applyFill="1" applyAlignment="1"/>
    <xf numFmtId="0" fontId="15" fillId="36" borderId="49" xfId="0" applyFont="1" applyFill="1" applyBorder="1" applyAlignment="1">
      <alignment vertical="top"/>
    </xf>
    <xf numFmtId="0" fontId="0" fillId="0" borderId="0" xfId="0" quotePrefix="1" applyFont="1" applyAlignment="1">
      <alignment horizontal="center"/>
    </xf>
    <xf numFmtId="0" fontId="12" fillId="34" borderId="0" xfId="0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4" fillId="0" borderId="0" xfId="0" applyFont="1" applyAlignment="1">
      <alignment horizontal="center" wrapText="1"/>
    </xf>
    <xf numFmtId="0" fontId="10" fillId="34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 applyAlignment="1">
      <alignment horizontal="center" wrapText="1"/>
    </xf>
    <xf numFmtId="0" fontId="0" fillId="34" borderId="0" xfId="0" applyFont="1" applyFill="1" applyAlignment="1"/>
    <xf numFmtId="178" fontId="7" fillId="33" borderId="0" xfId="0" applyNumberFormat="1" applyFont="1" applyFill="1" applyBorder="1" applyAlignment="1">
      <alignment horizontal="center" vertical="center" wrapText="1"/>
    </xf>
    <xf numFmtId="43" fontId="6" fillId="0" borderId="0" xfId="0" applyNumberFormat="1" applyFont="1" applyBorder="1" applyAlignment="1">
      <alignment wrapText="1"/>
    </xf>
    <xf numFmtId="43" fontId="7" fillId="33" borderId="16" xfId="28" applyFont="1" applyFill="1" applyBorder="1" applyAlignment="1">
      <alignment horizontal="center" vertical="center" wrapText="1"/>
    </xf>
    <xf numFmtId="43" fontId="0" fillId="0" borderId="0" xfId="28" applyFont="1" applyAlignment="1"/>
    <xf numFmtId="195" fontId="0" fillId="0" borderId="0" xfId="0" applyNumberFormat="1" applyFont="1" applyAlignment="1"/>
    <xf numFmtId="195" fontId="7" fillId="33" borderId="16" xfId="0" applyNumberFormat="1" applyFont="1" applyFill="1" applyBorder="1" applyAlignment="1">
      <alignment horizontal="center" vertical="center"/>
    </xf>
    <xf numFmtId="0" fontId="13" fillId="34" borderId="0" xfId="0" applyFont="1" applyFill="1" applyAlignment="1"/>
    <xf numFmtId="195" fontId="0" fillId="34" borderId="0" xfId="0" applyNumberFormat="1" applyFont="1" applyFill="1" applyAlignment="1"/>
    <xf numFmtId="0" fontId="0" fillId="34" borderId="0" xfId="0" applyFont="1" applyFill="1" applyAlignment="1">
      <alignment horizontal="center"/>
    </xf>
    <xf numFmtId="43" fontId="0" fillId="34" borderId="0" xfId="28" applyFont="1" applyFill="1" applyAlignment="1"/>
    <xf numFmtId="178" fontId="7" fillId="33" borderId="28" xfId="0" applyNumberFormat="1" applyFont="1" applyFill="1" applyBorder="1" applyAlignment="1">
      <alignment horizontal="center" vertical="center" wrapText="1"/>
    </xf>
    <xf numFmtId="43" fontId="0" fillId="0" borderId="0" xfId="28" applyFont="1" applyAlignment="1"/>
    <xf numFmtId="43" fontId="7" fillId="33" borderId="13" xfId="28" applyFont="1" applyFill="1" applyBorder="1" applyAlignment="1">
      <alignment horizontal="center" vertical="center" wrapText="1"/>
    </xf>
    <xf numFmtId="43" fontId="0" fillId="0" borderId="0" xfId="28" applyFont="1" applyAlignment="1"/>
    <xf numFmtId="43" fontId="0" fillId="34" borderId="0" xfId="28" applyFont="1" applyFill="1" applyAlignment="1"/>
    <xf numFmtId="43" fontId="0" fillId="0" borderId="0" xfId="28" quotePrefix="1" applyFont="1" applyAlignment="1"/>
    <xf numFmtId="0" fontId="12" fillId="0" borderId="0" xfId="0" applyFont="1" applyAlignment="1">
      <alignment horizontal="center" vertical="center" wrapText="1"/>
    </xf>
    <xf numFmtId="43" fontId="12" fillId="0" borderId="0" xfId="28" applyFont="1" applyAlignment="1">
      <alignment horizontal="center" vertical="center" wrapText="1"/>
    </xf>
    <xf numFmtId="9" fontId="12" fillId="37" borderId="0" xfId="0" applyNumberFormat="1" applyFont="1" applyFill="1" applyAlignment="1">
      <alignment horizontal="center" vertical="center" wrapText="1"/>
    </xf>
    <xf numFmtId="0" fontId="12" fillId="37" borderId="0" xfId="0" applyFont="1" applyFill="1" applyAlignment="1">
      <alignment horizontal="center" vertical="center" wrapText="1"/>
    </xf>
    <xf numFmtId="43" fontId="12" fillId="37" borderId="0" xfId="28" applyFont="1" applyFill="1" applyAlignment="1">
      <alignment horizontal="center" vertical="center" wrapText="1"/>
    </xf>
    <xf numFmtId="43" fontId="6" fillId="0" borderId="0" xfId="0" applyNumberFormat="1" applyFont="1" applyBorder="1" applyAlignment="1">
      <alignment horizontal="center" wrapText="1"/>
    </xf>
    <xf numFmtId="43" fontId="0" fillId="0" borderId="0" xfId="28" applyFont="1" applyAlignment="1"/>
    <xf numFmtId="43" fontId="0" fillId="34" borderId="0" xfId="28" applyFont="1" applyFill="1" applyAlignment="1"/>
    <xf numFmtId="0" fontId="0" fillId="34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43" fontId="6" fillId="0" borderId="13" xfId="0" applyNumberFormat="1" applyFont="1" applyBorder="1" applyAlignment="1">
      <alignment vertical="top" wrapText="1"/>
    </xf>
    <xf numFmtId="43" fontId="6" fillId="0" borderId="13" xfId="0" applyNumberFormat="1" applyFont="1" applyFill="1" applyBorder="1" applyAlignment="1">
      <alignment vertical="top" wrapText="1"/>
    </xf>
    <xf numFmtId="43" fontId="8" fillId="0" borderId="13" xfId="0" applyNumberFormat="1" applyFont="1" applyBorder="1" applyAlignment="1">
      <alignment vertical="top" wrapText="1"/>
    </xf>
    <xf numFmtId="178" fontId="7" fillId="33" borderId="0" xfId="0" applyNumberFormat="1" applyFont="1" applyFill="1" applyBorder="1" applyAlignment="1">
      <alignment horizontal="center" vertical="top" wrapText="1"/>
    </xf>
    <xf numFmtId="43" fontId="6" fillId="0" borderId="0" xfId="0" applyNumberFormat="1" applyFont="1" applyBorder="1" applyAlignment="1">
      <alignment vertical="top" wrapText="1"/>
    </xf>
    <xf numFmtId="43" fontId="6" fillId="0" borderId="0" xfId="0" applyNumberFormat="1" applyFont="1" applyBorder="1" applyAlignment="1">
      <alignment horizontal="center" vertical="top" wrapText="1"/>
    </xf>
    <xf numFmtId="0" fontId="0" fillId="0" borderId="0" xfId="0" applyFont="1" applyAlignment="1">
      <alignment vertical="top"/>
    </xf>
    <xf numFmtId="0" fontId="0" fillId="0" borderId="0" xfId="0" applyFont="1" applyAlignment="1">
      <alignment horizontal="center" vertical="top"/>
    </xf>
    <xf numFmtId="179" fontId="0" fillId="0" borderId="0" xfId="0" applyNumberFormat="1" applyFont="1" applyAlignment="1"/>
    <xf numFmtId="0" fontId="0" fillId="0" borderId="0" xfId="0" applyFont="1" applyAlignment="1">
      <alignment horizontal="left"/>
    </xf>
    <xf numFmtId="178" fontId="7" fillId="33" borderId="28" xfId="0" applyNumberFormat="1" applyFont="1" applyFill="1" applyBorder="1" applyAlignment="1">
      <alignment horizontal="center" vertical="top" wrapText="1"/>
    </xf>
    <xf numFmtId="178" fontId="7" fillId="33" borderId="16" xfId="0" applyNumberFormat="1" applyFont="1" applyFill="1" applyBorder="1" applyAlignment="1">
      <alignment horizontal="center" vertical="top" wrapText="1"/>
    </xf>
    <xf numFmtId="179" fontId="6" fillId="0" borderId="13" xfId="0" quotePrefix="1" applyNumberFormat="1" applyFont="1" applyBorder="1" applyAlignment="1">
      <alignment vertical="top"/>
    </xf>
    <xf numFmtId="43" fontId="1" fillId="0" borderId="13" xfId="0" applyNumberFormat="1" applyFont="1" applyBorder="1" applyAlignment="1">
      <alignment vertical="top" wrapText="1"/>
    </xf>
    <xf numFmtId="43" fontId="6" fillId="17" borderId="13" xfId="0" applyNumberFormat="1" applyFont="1" applyFill="1" applyBorder="1" applyAlignment="1">
      <alignment vertical="top" wrapText="1"/>
    </xf>
    <xf numFmtId="16" fontId="6" fillId="0" borderId="13" xfId="0" applyNumberFormat="1" applyFont="1" applyBorder="1" applyAlignment="1">
      <alignment vertical="top" wrapText="1"/>
    </xf>
  </cellXfs>
  <cellStyles count="45">
    <cellStyle name="20% - Accent1" xfId="1" xr:uid="{00000000-0005-0000-0000-000001000000}"/>
    <cellStyle name="20% - Accent2" xfId="2" xr:uid="{00000000-0005-0000-0000-000002000000}"/>
    <cellStyle name="20% - Accent3" xfId="3" xr:uid="{00000000-0005-0000-0000-000003000000}"/>
    <cellStyle name="20% - Accent4" xfId="4" xr:uid="{00000000-0005-0000-0000-000004000000}"/>
    <cellStyle name="20% - Accent5" xfId="5" xr:uid="{00000000-0005-0000-0000-000005000000}"/>
    <cellStyle name="20% - Accent6" xfId="6" xr:uid="{00000000-0005-0000-0000-000006000000}"/>
    <cellStyle name="40% - Accent1" xfId="7" xr:uid="{00000000-0005-0000-0000-000007000000}"/>
    <cellStyle name="40% - Accent2" xfId="8" xr:uid="{00000000-0005-0000-0000-000008000000}"/>
    <cellStyle name="40% - Accent3" xfId="9" xr:uid="{00000000-0005-0000-0000-000009000000}"/>
    <cellStyle name="40% - Accent4" xfId="10" xr:uid="{00000000-0005-0000-0000-00000A000000}"/>
    <cellStyle name="40% - Accent5" xfId="11" xr:uid="{00000000-0005-0000-0000-00000B000000}"/>
    <cellStyle name="40% - Accent6" xfId="12" xr:uid="{00000000-0005-0000-0000-00000C000000}"/>
    <cellStyle name="60% - Accent1" xfId="13" xr:uid="{00000000-0005-0000-0000-00000D000000}"/>
    <cellStyle name="60% - Accent2" xfId="14" xr:uid="{00000000-0005-0000-0000-00000E000000}"/>
    <cellStyle name="60% - Accent3" xfId="15" xr:uid="{00000000-0005-0000-0000-00000F000000}"/>
    <cellStyle name="60% - Accent4" xfId="16" xr:uid="{00000000-0005-0000-0000-000010000000}"/>
    <cellStyle name="60% - Accent5" xfId="17" xr:uid="{00000000-0005-0000-0000-000011000000}"/>
    <cellStyle name="60% - Accent6" xfId="18" xr:uid="{00000000-0005-0000-0000-000012000000}"/>
    <cellStyle name="Accent1" xfId="19" xr:uid="{00000000-0005-0000-0000-000013000000}"/>
    <cellStyle name="Accent2" xfId="20" xr:uid="{00000000-0005-0000-0000-000014000000}"/>
    <cellStyle name="Accent3" xfId="21" xr:uid="{00000000-0005-0000-0000-000015000000}"/>
    <cellStyle name="Accent4" xfId="22" xr:uid="{00000000-0005-0000-0000-000016000000}"/>
    <cellStyle name="Accent5" xfId="23" xr:uid="{00000000-0005-0000-0000-000017000000}"/>
    <cellStyle name="Accent6" xfId="24" xr:uid="{00000000-0005-0000-0000-000018000000}"/>
    <cellStyle name="Bad" xfId="25" xr:uid="{00000000-0005-0000-0000-000019000000}"/>
    <cellStyle name="Calculation" xfId="26" xr:uid="{00000000-0005-0000-0000-00001A000000}"/>
    <cellStyle name="Check Cell" xfId="27" xr:uid="{00000000-0005-0000-0000-00001B000000}"/>
    <cellStyle name="Comma" xfId="28" builtinId="3"/>
    <cellStyle name="Explanatory Text" xfId="29" xr:uid="{00000000-0005-0000-0000-000020000000}"/>
    <cellStyle name="Good" xfId="30" xr:uid="{00000000-0005-0000-0000-000021000000}"/>
    <cellStyle name="Heading 1" xfId="31" xr:uid="{00000000-0005-0000-0000-000022000000}"/>
    <cellStyle name="Heading 2" xfId="32" xr:uid="{00000000-0005-0000-0000-000023000000}"/>
    <cellStyle name="Heading 3" xfId="33" xr:uid="{00000000-0005-0000-0000-000024000000}"/>
    <cellStyle name="Heading 4" xfId="34" xr:uid="{00000000-0005-0000-0000-000025000000}"/>
    <cellStyle name="Input" xfId="35" xr:uid="{00000000-0005-0000-0000-000026000000}"/>
    <cellStyle name="Linked Cell" xfId="36" xr:uid="{00000000-0005-0000-0000-000027000000}"/>
    <cellStyle name="Neutral" xfId="37" xr:uid="{00000000-0005-0000-0000-000028000000}"/>
    <cellStyle name="Normal" xfId="0" builtinId="0"/>
    <cellStyle name="Normal 2" xfId="38" xr:uid="{00000000-0005-0000-0000-000029000000}"/>
    <cellStyle name="Note" xfId="39" xr:uid="{00000000-0005-0000-0000-00002A000000}"/>
    <cellStyle name="Output" xfId="40" xr:uid="{00000000-0005-0000-0000-00002B000000}"/>
    <cellStyle name="Percent" xfId="41" builtinId="5"/>
    <cellStyle name="Title" xfId="42" xr:uid="{00000000-0005-0000-0000-00002D000000}"/>
    <cellStyle name="Total" xfId="43" xr:uid="{00000000-0005-0000-0000-00002E000000}"/>
    <cellStyle name="Warning Text" xfId="44" xr:uid="{00000000-0005-0000-0000-00002F000000}"/>
  </cellStyles>
  <dxfs count="56">
    <dxf>
      <numFmt numFmtId="35" formatCode="_(* #,##0.00_);_(* \(#,##0.00\);_(* &quot;-&quot;??_);_(@_)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35" formatCode="_(* #,##0.00_);_(* \(#,##0.00\);_(* &quot;-&quot;??_);_(@_)"/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/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79" formatCode="0_);\(0\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78" formatCode="_(* #,##0_);_(* \(#,##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26" formatCode="h:mm:ss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strike val="0"/>
        <u val="none"/>
        <color theme="1" tint="4.9989318521683403E-2"/>
      </font>
    </dxf>
    <dxf>
      <font>
        <b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solid">
          <fgColor indexed="65"/>
          <bgColor theme="0" tint="-0.24994659260841701"/>
        </patternFill>
      </fill>
      <alignment horizontal="left" vertical="center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</dxfs>
  <tableStyles count="1" defaultTableStyle="TableStyleMedium2" defaultPivotStyle="PivotStyleLight16">
    <tableStyle name="Table Style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3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4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2.xml"/></Relationships>
</file>

<file path=xl/ctrlProps/ctrlProp1.xml><?xml version="1.0" encoding="utf-8"?>
<formControlPr xmlns="http://schemas.microsoft.com/office/spreadsheetml/2009/9/main" objectType="Drop" dropStyle="combo" dx="26" noThreeD="1" sel="0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203</xdr:row>
          <xdr:rowOff>0</xdr:rowOff>
        </xdr:from>
        <xdr:to>
          <xdr:col>8</xdr:col>
          <xdr:colOff>152400</xdr:colOff>
          <xdr:row>203</xdr:row>
          <xdr:rowOff>0</xdr:rowOff>
        </xdr:to>
        <xdr:sp macro="" textlink="">
          <xdr:nvSpPr>
            <xdr:cNvPr id="784433" name="ComboBox 18" hidden="1">
              <a:extLst>
                <a:ext uri="{63B3BB69-23CF-44E3-9099-C40C66FF867C}">
                  <a14:compatExt spid="_x0000_s784433"/>
                </a:ext>
                <a:ext uri="{FF2B5EF4-FFF2-40B4-BE49-F238E27FC236}">
                  <a16:creationId xmlns:a16="http://schemas.microsoft.com/office/drawing/2014/main" id="{8AC2BBB7-F2F4-46C0-BF65-CF1C8158E3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00" name="Shape 3">
          <a:extLst>
            <a:ext uri="{FF2B5EF4-FFF2-40B4-BE49-F238E27FC236}">
              <a16:creationId xmlns:a16="http://schemas.microsoft.com/office/drawing/2014/main" id="{00000000-0008-0000-1900-0000F433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01" name="Shape 3">
          <a:extLst>
            <a:ext uri="{FF2B5EF4-FFF2-40B4-BE49-F238E27FC236}">
              <a16:creationId xmlns:a16="http://schemas.microsoft.com/office/drawing/2014/main" id="{00000000-0008-0000-1900-0000F533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02" name="Shape 3">
          <a:extLst>
            <a:ext uri="{FF2B5EF4-FFF2-40B4-BE49-F238E27FC236}">
              <a16:creationId xmlns:a16="http://schemas.microsoft.com/office/drawing/2014/main" id="{00000000-0008-0000-1900-0000F633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03" name="Shape 3">
          <a:extLst>
            <a:ext uri="{FF2B5EF4-FFF2-40B4-BE49-F238E27FC236}">
              <a16:creationId xmlns:a16="http://schemas.microsoft.com/office/drawing/2014/main" id="{00000000-0008-0000-1900-0000F733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04" name="Shape 3">
          <a:extLst>
            <a:ext uri="{FF2B5EF4-FFF2-40B4-BE49-F238E27FC236}">
              <a16:creationId xmlns:a16="http://schemas.microsoft.com/office/drawing/2014/main" id="{00000000-0008-0000-1900-0000F833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05" name="Shape 3">
          <a:extLst>
            <a:ext uri="{FF2B5EF4-FFF2-40B4-BE49-F238E27FC236}">
              <a16:creationId xmlns:a16="http://schemas.microsoft.com/office/drawing/2014/main" id="{00000000-0008-0000-1900-0000F933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06" name="Shape 3">
          <a:extLst>
            <a:ext uri="{FF2B5EF4-FFF2-40B4-BE49-F238E27FC236}">
              <a16:creationId xmlns:a16="http://schemas.microsoft.com/office/drawing/2014/main" id="{00000000-0008-0000-1900-0000FA33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07" name="Shape 3">
          <a:extLst>
            <a:ext uri="{FF2B5EF4-FFF2-40B4-BE49-F238E27FC236}">
              <a16:creationId xmlns:a16="http://schemas.microsoft.com/office/drawing/2014/main" id="{00000000-0008-0000-1900-0000FB33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08" name="Shape 3">
          <a:extLst>
            <a:ext uri="{FF2B5EF4-FFF2-40B4-BE49-F238E27FC236}">
              <a16:creationId xmlns:a16="http://schemas.microsoft.com/office/drawing/2014/main" id="{00000000-0008-0000-1900-0000FC33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09" name="Shape 3">
          <a:extLst>
            <a:ext uri="{FF2B5EF4-FFF2-40B4-BE49-F238E27FC236}">
              <a16:creationId xmlns:a16="http://schemas.microsoft.com/office/drawing/2014/main" id="{00000000-0008-0000-1900-0000FD33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10" name="Shape 3">
          <a:extLst>
            <a:ext uri="{FF2B5EF4-FFF2-40B4-BE49-F238E27FC236}">
              <a16:creationId xmlns:a16="http://schemas.microsoft.com/office/drawing/2014/main" id="{00000000-0008-0000-1900-0000FE33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11" name="Shape 3">
          <a:extLst>
            <a:ext uri="{FF2B5EF4-FFF2-40B4-BE49-F238E27FC236}">
              <a16:creationId xmlns:a16="http://schemas.microsoft.com/office/drawing/2014/main" id="{00000000-0008-0000-1900-0000FF33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12" name="Shape 3">
          <a:extLst>
            <a:ext uri="{FF2B5EF4-FFF2-40B4-BE49-F238E27FC236}">
              <a16:creationId xmlns:a16="http://schemas.microsoft.com/office/drawing/2014/main" id="{00000000-0008-0000-1900-000000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13" name="Shape 3">
          <a:extLst>
            <a:ext uri="{FF2B5EF4-FFF2-40B4-BE49-F238E27FC236}">
              <a16:creationId xmlns:a16="http://schemas.microsoft.com/office/drawing/2014/main" id="{00000000-0008-0000-1900-000001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14" name="Shape 3">
          <a:extLst>
            <a:ext uri="{FF2B5EF4-FFF2-40B4-BE49-F238E27FC236}">
              <a16:creationId xmlns:a16="http://schemas.microsoft.com/office/drawing/2014/main" id="{00000000-0008-0000-1900-000002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15" name="Shape 3">
          <a:extLst>
            <a:ext uri="{FF2B5EF4-FFF2-40B4-BE49-F238E27FC236}">
              <a16:creationId xmlns:a16="http://schemas.microsoft.com/office/drawing/2014/main" id="{00000000-0008-0000-1900-000003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16" name="Shape 3">
          <a:extLst>
            <a:ext uri="{FF2B5EF4-FFF2-40B4-BE49-F238E27FC236}">
              <a16:creationId xmlns:a16="http://schemas.microsoft.com/office/drawing/2014/main" id="{00000000-0008-0000-1900-000004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13317" name="Shape 4">
          <a:extLst>
            <a:ext uri="{FF2B5EF4-FFF2-40B4-BE49-F238E27FC236}">
              <a16:creationId xmlns:a16="http://schemas.microsoft.com/office/drawing/2014/main" id="{00000000-0008-0000-1900-00000534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13318" name="Shape 4">
          <a:extLst>
            <a:ext uri="{FF2B5EF4-FFF2-40B4-BE49-F238E27FC236}">
              <a16:creationId xmlns:a16="http://schemas.microsoft.com/office/drawing/2014/main" id="{00000000-0008-0000-1900-00000634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19" name="Shape 3">
          <a:extLst>
            <a:ext uri="{FF2B5EF4-FFF2-40B4-BE49-F238E27FC236}">
              <a16:creationId xmlns:a16="http://schemas.microsoft.com/office/drawing/2014/main" id="{00000000-0008-0000-1900-000007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20" name="Shape 3">
          <a:extLst>
            <a:ext uri="{FF2B5EF4-FFF2-40B4-BE49-F238E27FC236}">
              <a16:creationId xmlns:a16="http://schemas.microsoft.com/office/drawing/2014/main" id="{00000000-0008-0000-1900-000008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21" name="Shape 3">
          <a:extLst>
            <a:ext uri="{FF2B5EF4-FFF2-40B4-BE49-F238E27FC236}">
              <a16:creationId xmlns:a16="http://schemas.microsoft.com/office/drawing/2014/main" id="{00000000-0008-0000-1900-000009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22" name="Shape 3">
          <a:extLst>
            <a:ext uri="{FF2B5EF4-FFF2-40B4-BE49-F238E27FC236}">
              <a16:creationId xmlns:a16="http://schemas.microsoft.com/office/drawing/2014/main" id="{00000000-0008-0000-1900-00000A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23" name="Shape 3">
          <a:extLst>
            <a:ext uri="{FF2B5EF4-FFF2-40B4-BE49-F238E27FC236}">
              <a16:creationId xmlns:a16="http://schemas.microsoft.com/office/drawing/2014/main" id="{00000000-0008-0000-1900-00000B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24" name="Shape 3">
          <a:extLst>
            <a:ext uri="{FF2B5EF4-FFF2-40B4-BE49-F238E27FC236}">
              <a16:creationId xmlns:a16="http://schemas.microsoft.com/office/drawing/2014/main" id="{00000000-0008-0000-1900-00000C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25" name="Shape 3">
          <a:extLst>
            <a:ext uri="{FF2B5EF4-FFF2-40B4-BE49-F238E27FC236}">
              <a16:creationId xmlns:a16="http://schemas.microsoft.com/office/drawing/2014/main" id="{00000000-0008-0000-1900-00000D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3326" name="Shape 3">
          <a:extLst>
            <a:ext uri="{FF2B5EF4-FFF2-40B4-BE49-F238E27FC236}">
              <a16:creationId xmlns:a16="http://schemas.microsoft.com/office/drawing/2014/main" id="{00000000-0008-0000-1900-00000E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27" name="Shape 3">
          <a:extLst>
            <a:ext uri="{FF2B5EF4-FFF2-40B4-BE49-F238E27FC236}">
              <a16:creationId xmlns:a16="http://schemas.microsoft.com/office/drawing/2014/main" id="{00000000-0008-0000-1900-00000F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28" name="Shape 3">
          <a:extLst>
            <a:ext uri="{FF2B5EF4-FFF2-40B4-BE49-F238E27FC236}">
              <a16:creationId xmlns:a16="http://schemas.microsoft.com/office/drawing/2014/main" id="{00000000-0008-0000-1900-000010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29" name="Shape 3">
          <a:extLst>
            <a:ext uri="{FF2B5EF4-FFF2-40B4-BE49-F238E27FC236}">
              <a16:creationId xmlns:a16="http://schemas.microsoft.com/office/drawing/2014/main" id="{00000000-0008-0000-1900-000011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30" name="Shape 3">
          <a:extLst>
            <a:ext uri="{FF2B5EF4-FFF2-40B4-BE49-F238E27FC236}">
              <a16:creationId xmlns:a16="http://schemas.microsoft.com/office/drawing/2014/main" id="{00000000-0008-0000-1900-000012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31" name="Shape 3">
          <a:extLst>
            <a:ext uri="{FF2B5EF4-FFF2-40B4-BE49-F238E27FC236}">
              <a16:creationId xmlns:a16="http://schemas.microsoft.com/office/drawing/2014/main" id="{00000000-0008-0000-1900-000013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32" name="Shape 3">
          <a:extLst>
            <a:ext uri="{FF2B5EF4-FFF2-40B4-BE49-F238E27FC236}">
              <a16:creationId xmlns:a16="http://schemas.microsoft.com/office/drawing/2014/main" id="{00000000-0008-0000-1900-000014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33" name="Shape 3">
          <a:extLst>
            <a:ext uri="{FF2B5EF4-FFF2-40B4-BE49-F238E27FC236}">
              <a16:creationId xmlns:a16="http://schemas.microsoft.com/office/drawing/2014/main" id="{00000000-0008-0000-1900-000015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34" name="Shape 3">
          <a:extLst>
            <a:ext uri="{FF2B5EF4-FFF2-40B4-BE49-F238E27FC236}">
              <a16:creationId xmlns:a16="http://schemas.microsoft.com/office/drawing/2014/main" id="{00000000-0008-0000-1900-000016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35" name="Shape 3">
          <a:extLst>
            <a:ext uri="{FF2B5EF4-FFF2-40B4-BE49-F238E27FC236}">
              <a16:creationId xmlns:a16="http://schemas.microsoft.com/office/drawing/2014/main" id="{00000000-0008-0000-1900-000017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36" name="Shape 3">
          <a:extLst>
            <a:ext uri="{FF2B5EF4-FFF2-40B4-BE49-F238E27FC236}">
              <a16:creationId xmlns:a16="http://schemas.microsoft.com/office/drawing/2014/main" id="{00000000-0008-0000-1900-000018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37" name="Shape 3">
          <a:extLst>
            <a:ext uri="{FF2B5EF4-FFF2-40B4-BE49-F238E27FC236}">
              <a16:creationId xmlns:a16="http://schemas.microsoft.com/office/drawing/2014/main" id="{00000000-0008-0000-1900-000019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38" name="Shape 3">
          <a:extLst>
            <a:ext uri="{FF2B5EF4-FFF2-40B4-BE49-F238E27FC236}">
              <a16:creationId xmlns:a16="http://schemas.microsoft.com/office/drawing/2014/main" id="{00000000-0008-0000-1900-00001A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39" name="Shape 3">
          <a:extLst>
            <a:ext uri="{FF2B5EF4-FFF2-40B4-BE49-F238E27FC236}">
              <a16:creationId xmlns:a16="http://schemas.microsoft.com/office/drawing/2014/main" id="{00000000-0008-0000-1900-00001B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40" name="Shape 3">
          <a:extLst>
            <a:ext uri="{FF2B5EF4-FFF2-40B4-BE49-F238E27FC236}">
              <a16:creationId xmlns:a16="http://schemas.microsoft.com/office/drawing/2014/main" id="{00000000-0008-0000-1900-00001C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41" name="Shape 3">
          <a:extLst>
            <a:ext uri="{FF2B5EF4-FFF2-40B4-BE49-F238E27FC236}">
              <a16:creationId xmlns:a16="http://schemas.microsoft.com/office/drawing/2014/main" id="{00000000-0008-0000-1900-00001D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42" name="Shape 3">
          <a:extLst>
            <a:ext uri="{FF2B5EF4-FFF2-40B4-BE49-F238E27FC236}">
              <a16:creationId xmlns:a16="http://schemas.microsoft.com/office/drawing/2014/main" id="{00000000-0008-0000-1900-00001E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43" name="Shape 3">
          <a:extLst>
            <a:ext uri="{FF2B5EF4-FFF2-40B4-BE49-F238E27FC236}">
              <a16:creationId xmlns:a16="http://schemas.microsoft.com/office/drawing/2014/main" id="{00000000-0008-0000-1900-00001F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44" name="Shape 3">
          <a:extLst>
            <a:ext uri="{FF2B5EF4-FFF2-40B4-BE49-F238E27FC236}">
              <a16:creationId xmlns:a16="http://schemas.microsoft.com/office/drawing/2014/main" id="{00000000-0008-0000-1900-000020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45" name="Shape 3">
          <a:extLst>
            <a:ext uri="{FF2B5EF4-FFF2-40B4-BE49-F238E27FC236}">
              <a16:creationId xmlns:a16="http://schemas.microsoft.com/office/drawing/2014/main" id="{00000000-0008-0000-1900-000021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46" name="Shape 3">
          <a:extLst>
            <a:ext uri="{FF2B5EF4-FFF2-40B4-BE49-F238E27FC236}">
              <a16:creationId xmlns:a16="http://schemas.microsoft.com/office/drawing/2014/main" id="{00000000-0008-0000-1900-000022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47" name="Shape 3">
          <a:extLst>
            <a:ext uri="{FF2B5EF4-FFF2-40B4-BE49-F238E27FC236}">
              <a16:creationId xmlns:a16="http://schemas.microsoft.com/office/drawing/2014/main" id="{00000000-0008-0000-1900-000023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48" name="Shape 3">
          <a:extLst>
            <a:ext uri="{FF2B5EF4-FFF2-40B4-BE49-F238E27FC236}">
              <a16:creationId xmlns:a16="http://schemas.microsoft.com/office/drawing/2014/main" id="{00000000-0008-0000-1900-000024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49" name="Shape 3">
          <a:extLst>
            <a:ext uri="{FF2B5EF4-FFF2-40B4-BE49-F238E27FC236}">
              <a16:creationId xmlns:a16="http://schemas.microsoft.com/office/drawing/2014/main" id="{00000000-0008-0000-1900-000025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50" name="Shape 3">
          <a:extLst>
            <a:ext uri="{FF2B5EF4-FFF2-40B4-BE49-F238E27FC236}">
              <a16:creationId xmlns:a16="http://schemas.microsoft.com/office/drawing/2014/main" id="{00000000-0008-0000-1900-000026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51" name="Shape 3">
          <a:extLst>
            <a:ext uri="{FF2B5EF4-FFF2-40B4-BE49-F238E27FC236}">
              <a16:creationId xmlns:a16="http://schemas.microsoft.com/office/drawing/2014/main" id="{00000000-0008-0000-1900-000027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52" name="Shape 3">
          <a:extLst>
            <a:ext uri="{FF2B5EF4-FFF2-40B4-BE49-F238E27FC236}">
              <a16:creationId xmlns:a16="http://schemas.microsoft.com/office/drawing/2014/main" id="{00000000-0008-0000-1900-000028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53" name="Shape 3">
          <a:extLst>
            <a:ext uri="{FF2B5EF4-FFF2-40B4-BE49-F238E27FC236}">
              <a16:creationId xmlns:a16="http://schemas.microsoft.com/office/drawing/2014/main" id="{00000000-0008-0000-1900-000029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54" name="Shape 3">
          <a:extLst>
            <a:ext uri="{FF2B5EF4-FFF2-40B4-BE49-F238E27FC236}">
              <a16:creationId xmlns:a16="http://schemas.microsoft.com/office/drawing/2014/main" id="{00000000-0008-0000-1900-00002A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55" name="Shape 3">
          <a:extLst>
            <a:ext uri="{FF2B5EF4-FFF2-40B4-BE49-F238E27FC236}">
              <a16:creationId xmlns:a16="http://schemas.microsoft.com/office/drawing/2014/main" id="{00000000-0008-0000-1900-00002B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56" name="Shape 3">
          <a:extLst>
            <a:ext uri="{FF2B5EF4-FFF2-40B4-BE49-F238E27FC236}">
              <a16:creationId xmlns:a16="http://schemas.microsoft.com/office/drawing/2014/main" id="{00000000-0008-0000-1900-00002C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57" name="Shape 3">
          <a:extLst>
            <a:ext uri="{FF2B5EF4-FFF2-40B4-BE49-F238E27FC236}">
              <a16:creationId xmlns:a16="http://schemas.microsoft.com/office/drawing/2014/main" id="{00000000-0008-0000-1900-00002D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58" name="Shape 3">
          <a:extLst>
            <a:ext uri="{FF2B5EF4-FFF2-40B4-BE49-F238E27FC236}">
              <a16:creationId xmlns:a16="http://schemas.microsoft.com/office/drawing/2014/main" id="{00000000-0008-0000-1900-00002E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59" name="Shape 3">
          <a:extLst>
            <a:ext uri="{FF2B5EF4-FFF2-40B4-BE49-F238E27FC236}">
              <a16:creationId xmlns:a16="http://schemas.microsoft.com/office/drawing/2014/main" id="{00000000-0008-0000-1900-00002F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60" name="Shape 3">
          <a:extLst>
            <a:ext uri="{FF2B5EF4-FFF2-40B4-BE49-F238E27FC236}">
              <a16:creationId xmlns:a16="http://schemas.microsoft.com/office/drawing/2014/main" id="{00000000-0008-0000-1900-000030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3361" name="Shape 3">
          <a:extLst>
            <a:ext uri="{FF2B5EF4-FFF2-40B4-BE49-F238E27FC236}">
              <a16:creationId xmlns:a16="http://schemas.microsoft.com/office/drawing/2014/main" id="{00000000-0008-0000-1900-00003134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362" name="Shape 3">
          <a:extLst>
            <a:ext uri="{FF2B5EF4-FFF2-40B4-BE49-F238E27FC236}">
              <a16:creationId xmlns:a16="http://schemas.microsoft.com/office/drawing/2014/main" id="{00000000-0008-0000-1900-000032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63" name="Shape 3">
          <a:extLst>
            <a:ext uri="{FF2B5EF4-FFF2-40B4-BE49-F238E27FC236}">
              <a16:creationId xmlns:a16="http://schemas.microsoft.com/office/drawing/2014/main" id="{00000000-0008-0000-1900-000033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64" name="Shape 3">
          <a:extLst>
            <a:ext uri="{FF2B5EF4-FFF2-40B4-BE49-F238E27FC236}">
              <a16:creationId xmlns:a16="http://schemas.microsoft.com/office/drawing/2014/main" id="{00000000-0008-0000-1900-000034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65" name="Shape 3">
          <a:extLst>
            <a:ext uri="{FF2B5EF4-FFF2-40B4-BE49-F238E27FC236}">
              <a16:creationId xmlns:a16="http://schemas.microsoft.com/office/drawing/2014/main" id="{00000000-0008-0000-1900-000035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66" name="Shape 3">
          <a:extLst>
            <a:ext uri="{FF2B5EF4-FFF2-40B4-BE49-F238E27FC236}">
              <a16:creationId xmlns:a16="http://schemas.microsoft.com/office/drawing/2014/main" id="{00000000-0008-0000-1900-000036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67" name="Shape 3">
          <a:extLst>
            <a:ext uri="{FF2B5EF4-FFF2-40B4-BE49-F238E27FC236}">
              <a16:creationId xmlns:a16="http://schemas.microsoft.com/office/drawing/2014/main" id="{00000000-0008-0000-1900-000037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68" name="Shape 3">
          <a:extLst>
            <a:ext uri="{FF2B5EF4-FFF2-40B4-BE49-F238E27FC236}">
              <a16:creationId xmlns:a16="http://schemas.microsoft.com/office/drawing/2014/main" id="{00000000-0008-0000-1900-000038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69" name="Shape 3">
          <a:extLst>
            <a:ext uri="{FF2B5EF4-FFF2-40B4-BE49-F238E27FC236}">
              <a16:creationId xmlns:a16="http://schemas.microsoft.com/office/drawing/2014/main" id="{00000000-0008-0000-1900-000039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70" name="Shape 3">
          <a:extLst>
            <a:ext uri="{FF2B5EF4-FFF2-40B4-BE49-F238E27FC236}">
              <a16:creationId xmlns:a16="http://schemas.microsoft.com/office/drawing/2014/main" id="{00000000-0008-0000-1900-00003A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71" name="Shape 3">
          <a:extLst>
            <a:ext uri="{FF2B5EF4-FFF2-40B4-BE49-F238E27FC236}">
              <a16:creationId xmlns:a16="http://schemas.microsoft.com/office/drawing/2014/main" id="{00000000-0008-0000-1900-00003B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72" name="Shape 3">
          <a:extLst>
            <a:ext uri="{FF2B5EF4-FFF2-40B4-BE49-F238E27FC236}">
              <a16:creationId xmlns:a16="http://schemas.microsoft.com/office/drawing/2014/main" id="{00000000-0008-0000-1900-00003C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73" name="Shape 3">
          <a:extLst>
            <a:ext uri="{FF2B5EF4-FFF2-40B4-BE49-F238E27FC236}">
              <a16:creationId xmlns:a16="http://schemas.microsoft.com/office/drawing/2014/main" id="{00000000-0008-0000-1900-00003D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74" name="Shape 3">
          <a:extLst>
            <a:ext uri="{FF2B5EF4-FFF2-40B4-BE49-F238E27FC236}">
              <a16:creationId xmlns:a16="http://schemas.microsoft.com/office/drawing/2014/main" id="{00000000-0008-0000-1900-00003E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75" name="Shape 3">
          <a:extLst>
            <a:ext uri="{FF2B5EF4-FFF2-40B4-BE49-F238E27FC236}">
              <a16:creationId xmlns:a16="http://schemas.microsoft.com/office/drawing/2014/main" id="{00000000-0008-0000-1900-00003F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76" name="Shape 3">
          <a:extLst>
            <a:ext uri="{FF2B5EF4-FFF2-40B4-BE49-F238E27FC236}">
              <a16:creationId xmlns:a16="http://schemas.microsoft.com/office/drawing/2014/main" id="{00000000-0008-0000-1900-000040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77" name="Shape 3">
          <a:extLst>
            <a:ext uri="{FF2B5EF4-FFF2-40B4-BE49-F238E27FC236}">
              <a16:creationId xmlns:a16="http://schemas.microsoft.com/office/drawing/2014/main" id="{00000000-0008-0000-1900-000041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78" name="Shape 3">
          <a:extLst>
            <a:ext uri="{FF2B5EF4-FFF2-40B4-BE49-F238E27FC236}">
              <a16:creationId xmlns:a16="http://schemas.microsoft.com/office/drawing/2014/main" id="{00000000-0008-0000-1900-000042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13379" name="Shape 4">
          <a:extLst>
            <a:ext uri="{FF2B5EF4-FFF2-40B4-BE49-F238E27FC236}">
              <a16:creationId xmlns:a16="http://schemas.microsoft.com/office/drawing/2014/main" id="{00000000-0008-0000-1900-00004334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13380" name="Shape 4">
          <a:extLst>
            <a:ext uri="{FF2B5EF4-FFF2-40B4-BE49-F238E27FC236}">
              <a16:creationId xmlns:a16="http://schemas.microsoft.com/office/drawing/2014/main" id="{00000000-0008-0000-1900-00004434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81" name="Shape 3">
          <a:extLst>
            <a:ext uri="{FF2B5EF4-FFF2-40B4-BE49-F238E27FC236}">
              <a16:creationId xmlns:a16="http://schemas.microsoft.com/office/drawing/2014/main" id="{00000000-0008-0000-1900-000045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82" name="Shape 3">
          <a:extLst>
            <a:ext uri="{FF2B5EF4-FFF2-40B4-BE49-F238E27FC236}">
              <a16:creationId xmlns:a16="http://schemas.microsoft.com/office/drawing/2014/main" id="{00000000-0008-0000-1900-000046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83" name="Shape 3">
          <a:extLst>
            <a:ext uri="{FF2B5EF4-FFF2-40B4-BE49-F238E27FC236}">
              <a16:creationId xmlns:a16="http://schemas.microsoft.com/office/drawing/2014/main" id="{00000000-0008-0000-1900-000047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84" name="Shape 3">
          <a:extLst>
            <a:ext uri="{FF2B5EF4-FFF2-40B4-BE49-F238E27FC236}">
              <a16:creationId xmlns:a16="http://schemas.microsoft.com/office/drawing/2014/main" id="{00000000-0008-0000-1900-000048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85" name="Shape 3">
          <a:extLst>
            <a:ext uri="{FF2B5EF4-FFF2-40B4-BE49-F238E27FC236}">
              <a16:creationId xmlns:a16="http://schemas.microsoft.com/office/drawing/2014/main" id="{00000000-0008-0000-1900-000049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86" name="Shape 3">
          <a:extLst>
            <a:ext uri="{FF2B5EF4-FFF2-40B4-BE49-F238E27FC236}">
              <a16:creationId xmlns:a16="http://schemas.microsoft.com/office/drawing/2014/main" id="{00000000-0008-0000-1900-00004A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87" name="Shape 3">
          <a:extLst>
            <a:ext uri="{FF2B5EF4-FFF2-40B4-BE49-F238E27FC236}">
              <a16:creationId xmlns:a16="http://schemas.microsoft.com/office/drawing/2014/main" id="{00000000-0008-0000-1900-00004B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3388" name="Shape 3">
          <a:extLst>
            <a:ext uri="{FF2B5EF4-FFF2-40B4-BE49-F238E27FC236}">
              <a16:creationId xmlns:a16="http://schemas.microsoft.com/office/drawing/2014/main" id="{00000000-0008-0000-1900-00004C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389" name="Shape 3">
          <a:extLst>
            <a:ext uri="{FF2B5EF4-FFF2-40B4-BE49-F238E27FC236}">
              <a16:creationId xmlns:a16="http://schemas.microsoft.com/office/drawing/2014/main" id="{00000000-0008-0000-1900-00004D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390" name="Shape 3">
          <a:extLst>
            <a:ext uri="{FF2B5EF4-FFF2-40B4-BE49-F238E27FC236}">
              <a16:creationId xmlns:a16="http://schemas.microsoft.com/office/drawing/2014/main" id="{00000000-0008-0000-1900-00004E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391" name="Shape 3">
          <a:extLst>
            <a:ext uri="{FF2B5EF4-FFF2-40B4-BE49-F238E27FC236}">
              <a16:creationId xmlns:a16="http://schemas.microsoft.com/office/drawing/2014/main" id="{00000000-0008-0000-1900-00004F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392" name="Shape 3">
          <a:extLst>
            <a:ext uri="{FF2B5EF4-FFF2-40B4-BE49-F238E27FC236}">
              <a16:creationId xmlns:a16="http://schemas.microsoft.com/office/drawing/2014/main" id="{00000000-0008-0000-1900-000050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393" name="Shape 3">
          <a:extLst>
            <a:ext uri="{FF2B5EF4-FFF2-40B4-BE49-F238E27FC236}">
              <a16:creationId xmlns:a16="http://schemas.microsoft.com/office/drawing/2014/main" id="{00000000-0008-0000-1900-000051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394" name="Shape 3">
          <a:extLst>
            <a:ext uri="{FF2B5EF4-FFF2-40B4-BE49-F238E27FC236}">
              <a16:creationId xmlns:a16="http://schemas.microsoft.com/office/drawing/2014/main" id="{00000000-0008-0000-1900-000052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395" name="Shape 3">
          <a:extLst>
            <a:ext uri="{FF2B5EF4-FFF2-40B4-BE49-F238E27FC236}">
              <a16:creationId xmlns:a16="http://schemas.microsoft.com/office/drawing/2014/main" id="{00000000-0008-0000-1900-000053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396" name="Shape 3">
          <a:extLst>
            <a:ext uri="{FF2B5EF4-FFF2-40B4-BE49-F238E27FC236}">
              <a16:creationId xmlns:a16="http://schemas.microsoft.com/office/drawing/2014/main" id="{00000000-0008-0000-1900-000054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397" name="Shape 3">
          <a:extLst>
            <a:ext uri="{FF2B5EF4-FFF2-40B4-BE49-F238E27FC236}">
              <a16:creationId xmlns:a16="http://schemas.microsoft.com/office/drawing/2014/main" id="{00000000-0008-0000-1900-000055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398" name="Shape 3">
          <a:extLst>
            <a:ext uri="{FF2B5EF4-FFF2-40B4-BE49-F238E27FC236}">
              <a16:creationId xmlns:a16="http://schemas.microsoft.com/office/drawing/2014/main" id="{00000000-0008-0000-1900-000056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399" name="Shape 3">
          <a:extLst>
            <a:ext uri="{FF2B5EF4-FFF2-40B4-BE49-F238E27FC236}">
              <a16:creationId xmlns:a16="http://schemas.microsoft.com/office/drawing/2014/main" id="{00000000-0008-0000-1900-000057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00" name="Shape 3">
          <a:extLst>
            <a:ext uri="{FF2B5EF4-FFF2-40B4-BE49-F238E27FC236}">
              <a16:creationId xmlns:a16="http://schemas.microsoft.com/office/drawing/2014/main" id="{00000000-0008-0000-1900-000058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01" name="Shape 3">
          <a:extLst>
            <a:ext uri="{FF2B5EF4-FFF2-40B4-BE49-F238E27FC236}">
              <a16:creationId xmlns:a16="http://schemas.microsoft.com/office/drawing/2014/main" id="{00000000-0008-0000-1900-000059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02" name="Shape 3">
          <a:extLst>
            <a:ext uri="{FF2B5EF4-FFF2-40B4-BE49-F238E27FC236}">
              <a16:creationId xmlns:a16="http://schemas.microsoft.com/office/drawing/2014/main" id="{00000000-0008-0000-1900-00005A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03" name="Shape 3">
          <a:extLst>
            <a:ext uri="{FF2B5EF4-FFF2-40B4-BE49-F238E27FC236}">
              <a16:creationId xmlns:a16="http://schemas.microsoft.com/office/drawing/2014/main" id="{00000000-0008-0000-1900-00005B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04" name="Shape 3">
          <a:extLst>
            <a:ext uri="{FF2B5EF4-FFF2-40B4-BE49-F238E27FC236}">
              <a16:creationId xmlns:a16="http://schemas.microsoft.com/office/drawing/2014/main" id="{00000000-0008-0000-1900-00005C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05" name="Shape 3">
          <a:extLst>
            <a:ext uri="{FF2B5EF4-FFF2-40B4-BE49-F238E27FC236}">
              <a16:creationId xmlns:a16="http://schemas.microsoft.com/office/drawing/2014/main" id="{00000000-0008-0000-1900-00005D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06" name="Shape 3">
          <a:extLst>
            <a:ext uri="{FF2B5EF4-FFF2-40B4-BE49-F238E27FC236}">
              <a16:creationId xmlns:a16="http://schemas.microsoft.com/office/drawing/2014/main" id="{00000000-0008-0000-1900-00005E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07" name="Shape 3">
          <a:extLst>
            <a:ext uri="{FF2B5EF4-FFF2-40B4-BE49-F238E27FC236}">
              <a16:creationId xmlns:a16="http://schemas.microsoft.com/office/drawing/2014/main" id="{00000000-0008-0000-1900-00005F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08" name="Shape 3">
          <a:extLst>
            <a:ext uri="{FF2B5EF4-FFF2-40B4-BE49-F238E27FC236}">
              <a16:creationId xmlns:a16="http://schemas.microsoft.com/office/drawing/2014/main" id="{00000000-0008-0000-1900-000060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09" name="Shape 3">
          <a:extLst>
            <a:ext uri="{FF2B5EF4-FFF2-40B4-BE49-F238E27FC236}">
              <a16:creationId xmlns:a16="http://schemas.microsoft.com/office/drawing/2014/main" id="{00000000-0008-0000-1900-000061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10" name="Shape 3">
          <a:extLst>
            <a:ext uri="{FF2B5EF4-FFF2-40B4-BE49-F238E27FC236}">
              <a16:creationId xmlns:a16="http://schemas.microsoft.com/office/drawing/2014/main" id="{00000000-0008-0000-1900-000062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11" name="Shape 3">
          <a:extLst>
            <a:ext uri="{FF2B5EF4-FFF2-40B4-BE49-F238E27FC236}">
              <a16:creationId xmlns:a16="http://schemas.microsoft.com/office/drawing/2014/main" id="{00000000-0008-0000-1900-000063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12" name="Shape 3">
          <a:extLst>
            <a:ext uri="{FF2B5EF4-FFF2-40B4-BE49-F238E27FC236}">
              <a16:creationId xmlns:a16="http://schemas.microsoft.com/office/drawing/2014/main" id="{00000000-0008-0000-1900-000064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13" name="Shape 3">
          <a:extLst>
            <a:ext uri="{FF2B5EF4-FFF2-40B4-BE49-F238E27FC236}">
              <a16:creationId xmlns:a16="http://schemas.microsoft.com/office/drawing/2014/main" id="{00000000-0008-0000-1900-000065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14" name="Shape 3">
          <a:extLst>
            <a:ext uri="{FF2B5EF4-FFF2-40B4-BE49-F238E27FC236}">
              <a16:creationId xmlns:a16="http://schemas.microsoft.com/office/drawing/2014/main" id="{00000000-0008-0000-1900-000066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15" name="Shape 3">
          <a:extLst>
            <a:ext uri="{FF2B5EF4-FFF2-40B4-BE49-F238E27FC236}">
              <a16:creationId xmlns:a16="http://schemas.microsoft.com/office/drawing/2014/main" id="{00000000-0008-0000-1900-000067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16" name="Shape 3">
          <a:extLst>
            <a:ext uri="{FF2B5EF4-FFF2-40B4-BE49-F238E27FC236}">
              <a16:creationId xmlns:a16="http://schemas.microsoft.com/office/drawing/2014/main" id="{00000000-0008-0000-1900-000068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17" name="Shape 3">
          <a:extLst>
            <a:ext uri="{FF2B5EF4-FFF2-40B4-BE49-F238E27FC236}">
              <a16:creationId xmlns:a16="http://schemas.microsoft.com/office/drawing/2014/main" id="{00000000-0008-0000-1900-000069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18" name="Shape 3">
          <a:extLst>
            <a:ext uri="{FF2B5EF4-FFF2-40B4-BE49-F238E27FC236}">
              <a16:creationId xmlns:a16="http://schemas.microsoft.com/office/drawing/2014/main" id="{00000000-0008-0000-1900-00006A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19" name="Shape 3">
          <a:extLst>
            <a:ext uri="{FF2B5EF4-FFF2-40B4-BE49-F238E27FC236}">
              <a16:creationId xmlns:a16="http://schemas.microsoft.com/office/drawing/2014/main" id="{00000000-0008-0000-1900-00006B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20" name="Shape 3">
          <a:extLst>
            <a:ext uri="{FF2B5EF4-FFF2-40B4-BE49-F238E27FC236}">
              <a16:creationId xmlns:a16="http://schemas.microsoft.com/office/drawing/2014/main" id="{00000000-0008-0000-1900-00006C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21" name="Shape 3">
          <a:extLst>
            <a:ext uri="{FF2B5EF4-FFF2-40B4-BE49-F238E27FC236}">
              <a16:creationId xmlns:a16="http://schemas.microsoft.com/office/drawing/2014/main" id="{00000000-0008-0000-1900-00006D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22" name="Shape 3">
          <a:extLst>
            <a:ext uri="{FF2B5EF4-FFF2-40B4-BE49-F238E27FC236}">
              <a16:creationId xmlns:a16="http://schemas.microsoft.com/office/drawing/2014/main" id="{00000000-0008-0000-1900-00006E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3423" name="Shape 3">
          <a:extLst>
            <a:ext uri="{FF2B5EF4-FFF2-40B4-BE49-F238E27FC236}">
              <a16:creationId xmlns:a16="http://schemas.microsoft.com/office/drawing/2014/main" id="{00000000-0008-0000-1900-00006F34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34" name="Shape 3">
          <a:extLst>
            <a:ext uri="{FF2B5EF4-FFF2-40B4-BE49-F238E27FC236}">
              <a16:creationId xmlns:a16="http://schemas.microsoft.com/office/drawing/2014/main" id="{00000000-0008-0000-1A00-0000FA27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35" name="Shape 3">
          <a:extLst>
            <a:ext uri="{FF2B5EF4-FFF2-40B4-BE49-F238E27FC236}">
              <a16:creationId xmlns:a16="http://schemas.microsoft.com/office/drawing/2014/main" id="{00000000-0008-0000-1A00-0000FB27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36" name="Shape 3">
          <a:extLst>
            <a:ext uri="{FF2B5EF4-FFF2-40B4-BE49-F238E27FC236}">
              <a16:creationId xmlns:a16="http://schemas.microsoft.com/office/drawing/2014/main" id="{00000000-0008-0000-1A00-0000FC27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37" name="Shape 3">
          <a:extLst>
            <a:ext uri="{FF2B5EF4-FFF2-40B4-BE49-F238E27FC236}">
              <a16:creationId xmlns:a16="http://schemas.microsoft.com/office/drawing/2014/main" id="{00000000-0008-0000-1A00-0000FD27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38" name="Shape 3">
          <a:extLst>
            <a:ext uri="{FF2B5EF4-FFF2-40B4-BE49-F238E27FC236}">
              <a16:creationId xmlns:a16="http://schemas.microsoft.com/office/drawing/2014/main" id="{00000000-0008-0000-1A00-0000FE27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39" name="Shape 3">
          <a:extLst>
            <a:ext uri="{FF2B5EF4-FFF2-40B4-BE49-F238E27FC236}">
              <a16:creationId xmlns:a16="http://schemas.microsoft.com/office/drawing/2014/main" id="{00000000-0008-0000-1A00-0000FF27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40" name="Shape 3">
          <a:extLst>
            <a:ext uri="{FF2B5EF4-FFF2-40B4-BE49-F238E27FC236}">
              <a16:creationId xmlns:a16="http://schemas.microsoft.com/office/drawing/2014/main" id="{00000000-0008-0000-1A00-000000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41" name="Shape 3">
          <a:extLst>
            <a:ext uri="{FF2B5EF4-FFF2-40B4-BE49-F238E27FC236}">
              <a16:creationId xmlns:a16="http://schemas.microsoft.com/office/drawing/2014/main" id="{00000000-0008-0000-1A00-000001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42" name="Shape 3">
          <a:extLst>
            <a:ext uri="{FF2B5EF4-FFF2-40B4-BE49-F238E27FC236}">
              <a16:creationId xmlns:a16="http://schemas.microsoft.com/office/drawing/2014/main" id="{00000000-0008-0000-1A00-000002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43" name="Shape 3">
          <a:extLst>
            <a:ext uri="{FF2B5EF4-FFF2-40B4-BE49-F238E27FC236}">
              <a16:creationId xmlns:a16="http://schemas.microsoft.com/office/drawing/2014/main" id="{00000000-0008-0000-1A00-000003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44" name="Shape 3">
          <a:extLst>
            <a:ext uri="{FF2B5EF4-FFF2-40B4-BE49-F238E27FC236}">
              <a16:creationId xmlns:a16="http://schemas.microsoft.com/office/drawing/2014/main" id="{00000000-0008-0000-1A00-000004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45" name="Shape 3">
          <a:extLst>
            <a:ext uri="{FF2B5EF4-FFF2-40B4-BE49-F238E27FC236}">
              <a16:creationId xmlns:a16="http://schemas.microsoft.com/office/drawing/2014/main" id="{00000000-0008-0000-1A00-000005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46" name="Shape 3">
          <a:extLst>
            <a:ext uri="{FF2B5EF4-FFF2-40B4-BE49-F238E27FC236}">
              <a16:creationId xmlns:a16="http://schemas.microsoft.com/office/drawing/2014/main" id="{00000000-0008-0000-1A00-000006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47" name="Shape 3">
          <a:extLst>
            <a:ext uri="{FF2B5EF4-FFF2-40B4-BE49-F238E27FC236}">
              <a16:creationId xmlns:a16="http://schemas.microsoft.com/office/drawing/2014/main" id="{00000000-0008-0000-1A00-000007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48" name="Shape 3">
          <a:extLst>
            <a:ext uri="{FF2B5EF4-FFF2-40B4-BE49-F238E27FC236}">
              <a16:creationId xmlns:a16="http://schemas.microsoft.com/office/drawing/2014/main" id="{00000000-0008-0000-1A00-000008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49" name="Shape 3">
          <a:extLst>
            <a:ext uri="{FF2B5EF4-FFF2-40B4-BE49-F238E27FC236}">
              <a16:creationId xmlns:a16="http://schemas.microsoft.com/office/drawing/2014/main" id="{00000000-0008-0000-1A00-000009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50" name="Shape 3">
          <a:extLst>
            <a:ext uri="{FF2B5EF4-FFF2-40B4-BE49-F238E27FC236}">
              <a16:creationId xmlns:a16="http://schemas.microsoft.com/office/drawing/2014/main" id="{00000000-0008-0000-1A00-00000A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10251" name="Shape 4">
          <a:extLst>
            <a:ext uri="{FF2B5EF4-FFF2-40B4-BE49-F238E27FC236}">
              <a16:creationId xmlns:a16="http://schemas.microsoft.com/office/drawing/2014/main" id="{00000000-0008-0000-1A00-00000B28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10252" name="Shape 4">
          <a:extLst>
            <a:ext uri="{FF2B5EF4-FFF2-40B4-BE49-F238E27FC236}">
              <a16:creationId xmlns:a16="http://schemas.microsoft.com/office/drawing/2014/main" id="{00000000-0008-0000-1A00-00000C28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53" name="Shape 3">
          <a:extLst>
            <a:ext uri="{FF2B5EF4-FFF2-40B4-BE49-F238E27FC236}">
              <a16:creationId xmlns:a16="http://schemas.microsoft.com/office/drawing/2014/main" id="{00000000-0008-0000-1A00-00000D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54" name="Shape 3">
          <a:extLst>
            <a:ext uri="{FF2B5EF4-FFF2-40B4-BE49-F238E27FC236}">
              <a16:creationId xmlns:a16="http://schemas.microsoft.com/office/drawing/2014/main" id="{00000000-0008-0000-1A00-00000E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55" name="Shape 3">
          <a:extLst>
            <a:ext uri="{FF2B5EF4-FFF2-40B4-BE49-F238E27FC236}">
              <a16:creationId xmlns:a16="http://schemas.microsoft.com/office/drawing/2014/main" id="{00000000-0008-0000-1A00-00000F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56" name="Shape 3">
          <a:extLst>
            <a:ext uri="{FF2B5EF4-FFF2-40B4-BE49-F238E27FC236}">
              <a16:creationId xmlns:a16="http://schemas.microsoft.com/office/drawing/2014/main" id="{00000000-0008-0000-1A00-000010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57" name="Shape 3">
          <a:extLst>
            <a:ext uri="{FF2B5EF4-FFF2-40B4-BE49-F238E27FC236}">
              <a16:creationId xmlns:a16="http://schemas.microsoft.com/office/drawing/2014/main" id="{00000000-0008-0000-1A00-000011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58" name="Shape 3">
          <a:extLst>
            <a:ext uri="{FF2B5EF4-FFF2-40B4-BE49-F238E27FC236}">
              <a16:creationId xmlns:a16="http://schemas.microsoft.com/office/drawing/2014/main" id="{00000000-0008-0000-1A00-000012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59" name="Shape 3">
          <a:extLst>
            <a:ext uri="{FF2B5EF4-FFF2-40B4-BE49-F238E27FC236}">
              <a16:creationId xmlns:a16="http://schemas.microsoft.com/office/drawing/2014/main" id="{00000000-0008-0000-1A00-000013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10260" name="Shape 3">
          <a:extLst>
            <a:ext uri="{FF2B5EF4-FFF2-40B4-BE49-F238E27FC236}">
              <a16:creationId xmlns:a16="http://schemas.microsoft.com/office/drawing/2014/main" id="{00000000-0008-0000-1A00-000014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61" name="Shape 3">
          <a:extLst>
            <a:ext uri="{FF2B5EF4-FFF2-40B4-BE49-F238E27FC236}">
              <a16:creationId xmlns:a16="http://schemas.microsoft.com/office/drawing/2014/main" id="{00000000-0008-0000-1A00-000015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62" name="Shape 3">
          <a:extLst>
            <a:ext uri="{FF2B5EF4-FFF2-40B4-BE49-F238E27FC236}">
              <a16:creationId xmlns:a16="http://schemas.microsoft.com/office/drawing/2014/main" id="{00000000-0008-0000-1A00-000016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63" name="Shape 3">
          <a:extLst>
            <a:ext uri="{FF2B5EF4-FFF2-40B4-BE49-F238E27FC236}">
              <a16:creationId xmlns:a16="http://schemas.microsoft.com/office/drawing/2014/main" id="{00000000-0008-0000-1A00-000017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64" name="Shape 3">
          <a:extLst>
            <a:ext uri="{FF2B5EF4-FFF2-40B4-BE49-F238E27FC236}">
              <a16:creationId xmlns:a16="http://schemas.microsoft.com/office/drawing/2014/main" id="{00000000-0008-0000-1A00-000018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65" name="Shape 3">
          <a:extLst>
            <a:ext uri="{FF2B5EF4-FFF2-40B4-BE49-F238E27FC236}">
              <a16:creationId xmlns:a16="http://schemas.microsoft.com/office/drawing/2014/main" id="{00000000-0008-0000-1A00-000019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66" name="Shape 3">
          <a:extLst>
            <a:ext uri="{FF2B5EF4-FFF2-40B4-BE49-F238E27FC236}">
              <a16:creationId xmlns:a16="http://schemas.microsoft.com/office/drawing/2014/main" id="{00000000-0008-0000-1A00-00001A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67" name="Shape 3">
          <a:extLst>
            <a:ext uri="{FF2B5EF4-FFF2-40B4-BE49-F238E27FC236}">
              <a16:creationId xmlns:a16="http://schemas.microsoft.com/office/drawing/2014/main" id="{00000000-0008-0000-1A00-00001B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68" name="Shape 3">
          <a:extLst>
            <a:ext uri="{FF2B5EF4-FFF2-40B4-BE49-F238E27FC236}">
              <a16:creationId xmlns:a16="http://schemas.microsoft.com/office/drawing/2014/main" id="{00000000-0008-0000-1A00-00001C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69" name="Shape 3">
          <a:extLst>
            <a:ext uri="{FF2B5EF4-FFF2-40B4-BE49-F238E27FC236}">
              <a16:creationId xmlns:a16="http://schemas.microsoft.com/office/drawing/2014/main" id="{00000000-0008-0000-1A00-00001D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70" name="Shape 3">
          <a:extLst>
            <a:ext uri="{FF2B5EF4-FFF2-40B4-BE49-F238E27FC236}">
              <a16:creationId xmlns:a16="http://schemas.microsoft.com/office/drawing/2014/main" id="{00000000-0008-0000-1A00-00001E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71" name="Shape 3">
          <a:extLst>
            <a:ext uri="{FF2B5EF4-FFF2-40B4-BE49-F238E27FC236}">
              <a16:creationId xmlns:a16="http://schemas.microsoft.com/office/drawing/2014/main" id="{00000000-0008-0000-1A00-00001F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72" name="Shape 3">
          <a:extLst>
            <a:ext uri="{FF2B5EF4-FFF2-40B4-BE49-F238E27FC236}">
              <a16:creationId xmlns:a16="http://schemas.microsoft.com/office/drawing/2014/main" id="{00000000-0008-0000-1A00-000020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73" name="Shape 3">
          <a:extLst>
            <a:ext uri="{FF2B5EF4-FFF2-40B4-BE49-F238E27FC236}">
              <a16:creationId xmlns:a16="http://schemas.microsoft.com/office/drawing/2014/main" id="{00000000-0008-0000-1A00-000021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74" name="Shape 3">
          <a:extLst>
            <a:ext uri="{FF2B5EF4-FFF2-40B4-BE49-F238E27FC236}">
              <a16:creationId xmlns:a16="http://schemas.microsoft.com/office/drawing/2014/main" id="{00000000-0008-0000-1A00-000022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75" name="Shape 3">
          <a:extLst>
            <a:ext uri="{FF2B5EF4-FFF2-40B4-BE49-F238E27FC236}">
              <a16:creationId xmlns:a16="http://schemas.microsoft.com/office/drawing/2014/main" id="{00000000-0008-0000-1A00-000023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76" name="Shape 3">
          <a:extLst>
            <a:ext uri="{FF2B5EF4-FFF2-40B4-BE49-F238E27FC236}">
              <a16:creationId xmlns:a16="http://schemas.microsoft.com/office/drawing/2014/main" id="{00000000-0008-0000-1A00-000024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77" name="Shape 3">
          <a:extLst>
            <a:ext uri="{FF2B5EF4-FFF2-40B4-BE49-F238E27FC236}">
              <a16:creationId xmlns:a16="http://schemas.microsoft.com/office/drawing/2014/main" id="{00000000-0008-0000-1A00-000025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78" name="Shape 3">
          <a:extLst>
            <a:ext uri="{FF2B5EF4-FFF2-40B4-BE49-F238E27FC236}">
              <a16:creationId xmlns:a16="http://schemas.microsoft.com/office/drawing/2014/main" id="{00000000-0008-0000-1A00-000026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79" name="Shape 3">
          <a:extLst>
            <a:ext uri="{FF2B5EF4-FFF2-40B4-BE49-F238E27FC236}">
              <a16:creationId xmlns:a16="http://schemas.microsoft.com/office/drawing/2014/main" id="{00000000-0008-0000-1A00-000027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80" name="Shape 3">
          <a:extLst>
            <a:ext uri="{FF2B5EF4-FFF2-40B4-BE49-F238E27FC236}">
              <a16:creationId xmlns:a16="http://schemas.microsoft.com/office/drawing/2014/main" id="{00000000-0008-0000-1A00-000028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81" name="Shape 3">
          <a:extLst>
            <a:ext uri="{FF2B5EF4-FFF2-40B4-BE49-F238E27FC236}">
              <a16:creationId xmlns:a16="http://schemas.microsoft.com/office/drawing/2014/main" id="{00000000-0008-0000-1A00-000029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82" name="Shape 3">
          <a:extLst>
            <a:ext uri="{FF2B5EF4-FFF2-40B4-BE49-F238E27FC236}">
              <a16:creationId xmlns:a16="http://schemas.microsoft.com/office/drawing/2014/main" id="{00000000-0008-0000-1A00-00002A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83" name="Shape 3">
          <a:extLst>
            <a:ext uri="{FF2B5EF4-FFF2-40B4-BE49-F238E27FC236}">
              <a16:creationId xmlns:a16="http://schemas.microsoft.com/office/drawing/2014/main" id="{00000000-0008-0000-1A00-00002B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84" name="Shape 3">
          <a:extLst>
            <a:ext uri="{FF2B5EF4-FFF2-40B4-BE49-F238E27FC236}">
              <a16:creationId xmlns:a16="http://schemas.microsoft.com/office/drawing/2014/main" id="{00000000-0008-0000-1A00-00002C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85" name="Shape 3">
          <a:extLst>
            <a:ext uri="{FF2B5EF4-FFF2-40B4-BE49-F238E27FC236}">
              <a16:creationId xmlns:a16="http://schemas.microsoft.com/office/drawing/2014/main" id="{00000000-0008-0000-1A00-00002D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86" name="Shape 3">
          <a:extLst>
            <a:ext uri="{FF2B5EF4-FFF2-40B4-BE49-F238E27FC236}">
              <a16:creationId xmlns:a16="http://schemas.microsoft.com/office/drawing/2014/main" id="{00000000-0008-0000-1A00-00002E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87" name="Shape 3">
          <a:extLst>
            <a:ext uri="{FF2B5EF4-FFF2-40B4-BE49-F238E27FC236}">
              <a16:creationId xmlns:a16="http://schemas.microsoft.com/office/drawing/2014/main" id="{00000000-0008-0000-1A00-00002F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88" name="Shape 3">
          <a:extLst>
            <a:ext uri="{FF2B5EF4-FFF2-40B4-BE49-F238E27FC236}">
              <a16:creationId xmlns:a16="http://schemas.microsoft.com/office/drawing/2014/main" id="{00000000-0008-0000-1A00-000030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89" name="Shape 3">
          <a:extLst>
            <a:ext uri="{FF2B5EF4-FFF2-40B4-BE49-F238E27FC236}">
              <a16:creationId xmlns:a16="http://schemas.microsoft.com/office/drawing/2014/main" id="{00000000-0008-0000-1A00-000031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90" name="Shape 3">
          <a:extLst>
            <a:ext uri="{FF2B5EF4-FFF2-40B4-BE49-F238E27FC236}">
              <a16:creationId xmlns:a16="http://schemas.microsoft.com/office/drawing/2014/main" id="{00000000-0008-0000-1A00-000032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91" name="Shape 3">
          <a:extLst>
            <a:ext uri="{FF2B5EF4-FFF2-40B4-BE49-F238E27FC236}">
              <a16:creationId xmlns:a16="http://schemas.microsoft.com/office/drawing/2014/main" id="{00000000-0008-0000-1A00-000033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92" name="Shape 3">
          <a:extLst>
            <a:ext uri="{FF2B5EF4-FFF2-40B4-BE49-F238E27FC236}">
              <a16:creationId xmlns:a16="http://schemas.microsoft.com/office/drawing/2014/main" id="{00000000-0008-0000-1A00-000034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93" name="Shape 3">
          <a:extLst>
            <a:ext uri="{FF2B5EF4-FFF2-40B4-BE49-F238E27FC236}">
              <a16:creationId xmlns:a16="http://schemas.microsoft.com/office/drawing/2014/main" id="{00000000-0008-0000-1A00-000035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94" name="Shape 3">
          <a:extLst>
            <a:ext uri="{FF2B5EF4-FFF2-40B4-BE49-F238E27FC236}">
              <a16:creationId xmlns:a16="http://schemas.microsoft.com/office/drawing/2014/main" id="{00000000-0008-0000-1A00-000036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10295" name="Shape 3">
          <a:extLst>
            <a:ext uri="{FF2B5EF4-FFF2-40B4-BE49-F238E27FC236}">
              <a16:creationId xmlns:a16="http://schemas.microsoft.com/office/drawing/2014/main" id="{00000000-0008-0000-1A00-00003728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48" name="Shape 3">
          <a:extLst>
            <a:ext uri="{FF2B5EF4-FFF2-40B4-BE49-F238E27FC236}">
              <a16:creationId xmlns:a16="http://schemas.microsoft.com/office/drawing/2014/main" id="{00000000-0008-0000-1B00-0000F43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49" name="Shape 3">
          <a:extLst>
            <a:ext uri="{FF2B5EF4-FFF2-40B4-BE49-F238E27FC236}">
              <a16:creationId xmlns:a16="http://schemas.microsoft.com/office/drawing/2014/main" id="{00000000-0008-0000-1B00-0000F53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50" name="Shape 3">
          <a:extLst>
            <a:ext uri="{FF2B5EF4-FFF2-40B4-BE49-F238E27FC236}">
              <a16:creationId xmlns:a16="http://schemas.microsoft.com/office/drawing/2014/main" id="{00000000-0008-0000-1B00-0000F63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51" name="Shape 3">
          <a:extLst>
            <a:ext uri="{FF2B5EF4-FFF2-40B4-BE49-F238E27FC236}">
              <a16:creationId xmlns:a16="http://schemas.microsoft.com/office/drawing/2014/main" id="{00000000-0008-0000-1B00-0000F73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52" name="Shape 3">
          <a:extLst>
            <a:ext uri="{FF2B5EF4-FFF2-40B4-BE49-F238E27FC236}">
              <a16:creationId xmlns:a16="http://schemas.microsoft.com/office/drawing/2014/main" id="{00000000-0008-0000-1B00-0000F83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53" name="Shape 3">
          <a:extLst>
            <a:ext uri="{FF2B5EF4-FFF2-40B4-BE49-F238E27FC236}">
              <a16:creationId xmlns:a16="http://schemas.microsoft.com/office/drawing/2014/main" id="{00000000-0008-0000-1B00-0000F93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54" name="Shape 3">
          <a:extLst>
            <a:ext uri="{FF2B5EF4-FFF2-40B4-BE49-F238E27FC236}">
              <a16:creationId xmlns:a16="http://schemas.microsoft.com/office/drawing/2014/main" id="{00000000-0008-0000-1B00-0000FA3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55" name="Shape 3">
          <a:extLst>
            <a:ext uri="{FF2B5EF4-FFF2-40B4-BE49-F238E27FC236}">
              <a16:creationId xmlns:a16="http://schemas.microsoft.com/office/drawing/2014/main" id="{00000000-0008-0000-1B00-0000FB3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56" name="Shape 3">
          <a:extLst>
            <a:ext uri="{FF2B5EF4-FFF2-40B4-BE49-F238E27FC236}">
              <a16:creationId xmlns:a16="http://schemas.microsoft.com/office/drawing/2014/main" id="{00000000-0008-0000-1B00-0000FC3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57" name="Shape 3">
          <a:extLst>
            <a:ext uri="{FF2B5EF4-FFF2-40B4-BE49-F238E27FC236}">
              <a16:creationId xmlns:a16="http://schemas.microsoft.com/office/drawing/2014/main" id="{00000000-0008-0000-1B00-0000FD3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58" name="Shape 3">
          <a:extLst>
            <a:ext uri="{FF2B5EF4-FFF2-40B4-BE49-F238E27FC236}">
              <a16:creationId xmlns:a16="http://schemas.microsoft.com/office/drawing/2014/main" id="{00000000-0008-0000-1B00-0000FE3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59" name="Shape 3">
          <a:extLst>
            <a:ext uri="{FF2B5EF4-FFF2-40B4-BE49-F238E27FC236}">
              <a16:creationId xmlns:a16="http://schemas.microsoft.com/office/drawing/2014/main" id="{00000000-0008-0000-1B00-0000FF3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60" name="Shape 3">
          <a:extLst>
            <a:ext uri="{FF2B5EF4-FFF2-40B4-BE49-F238E27FC236}">
              <a16:creationId xmlns:a16="http://schemas.microsoft.com/office/drawing/2014/main" id="{00000000-0008-0000-1B00-000000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61" name="Shape 3">
          <a:extLst>
            <a:ext uri="{FF2B5EF4-FFF2-40B4-BE49-F238E27FC236}">
              <a16:creationId xmlns:a16="http://schemas.microsoft.com/office/drawing/2014/main" id="{00000000-0008-0000-1B00-000001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62" name="Shape 3">
          <a:extLst>
            <a:ext uri="{FF2B5EF4-FFF2-40B4-BE49-F238E27FC236}">
              <a16:creationId xmlns:a16="http://schemas.microsoft.com/office/drawing/2014/main" id="{00000000-0008-0000-1B00-000002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63" name="Shape 3">
          <a:extLst>
            <a:ext uri="{FF2B5EF4-FFF2-40B4-BE49-F238E27FC236}">
              <a16:creationId xmlns:a16="http://schemas.microsoft.com/office/drawing/2014/main" id="{00000000-0008-0000-1B00-000003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64" name="Shape 3">
          <a:extLst>
            <a:ext uri="{FF2B5EF4-FFF2-40B4-BE49-F238E27FC236}">
              <a16:creationId xmlns:a16="http://schemas.microsoft.com/office/drawing/2014/main" id="{00000000-0008-0000-1B00-000004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5365" name="Shape 4">
          <a:extLst>
            <a:ext uri="{FF2B5EF4-FFF2-40B4-BE49-F238E27FC236}">
              <a16:creationId xmlns:a16="http://schemas.microsoft.com/office/drawing/2014/main" id="{00000000-0008-0000-1B00-0000053C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5366" name="Shape 4">
          <a:extLst>
            <a:ext uri="{FF2B5EF4-FFF2-40B4-BE49-F238E27FC236}">
              <a16:creationId xmlns:a16="http://schemas.microsoft.com/office/drawing/2014/main" id="{00000000-0008-0000-1B00-0000063C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67" name="Shape 3">
          <a:extLst>
            <a:ext uri="{FF2B5EF4-FFF2-40B4-BE49-F238E27FC236}">
              <a16:creationId xmlns:a16="http://schemas.microsoft.com/office/drawing/2014/main" id="{00000000-0008-0000-1B00-000007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68" name="Shape 3">
          <a:extLst>
            <a:ext uri="{FF2B5EF4-FFF2-40B4-BE49-F238E27FC236}">
              <a16:creationId xmlns:a16="http://schemas.microsoft.com/office/drawing/2014/main" id="{00000000-0008-0000-1B00-000008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69" name="Shape 3">
          <a:extLst>
            <a:ext uri="{FF2B5EF4-FFF2-40B4-BE49-F238E27FC236}">
              <a16:creationId xmlns:a16="http://schemas.microsoft.com/office/drawing/2014/main" id="{00000000-0008-0000-1B00-000009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70" name="Shape 3">
          <a:extLst>
            <a:ext uri="{FF2B5EF4-FFF2-40B4-BE49-F238E27FC236}">
              <a16:creationId xmlns:a16="http://schemas.microsoft.com/office/drawing/2014/main" id="{00000000-0008-0000-1B00-00000A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71" name="Shape 3">
          <a:extLst>
            <a:ext uri="{FF2B5EF4-FFF2-40B4-BE49-F238E27FC236}">
              <a16:creationId xmlns:a16="http://schemas.microsoft.com/office/drawing/2014/main" id="{00000000-0008-0000-1B00-00000B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72" name="Shape 3">
          <a:extLst>
            <a:ext uri="{FF2B5EF4-FFF2-40B4-BE49-F238E27FC236}">
              <a16:creationId xmlns:a16="http://schemas.microsoft.com/office/drawing/2014/main" id="{00000000-0008-0000-1B00-00000C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73" name="Shape 3">
          <a:extLst>
            <a:ext uri="{FF2B5EF4-FFF2-40B4-BE49-F238E27FC236}">
              <a16:creationId xmlns:a16="http://schemas.microsoft.com/office/drawing/2014/main" id="{00000000-0008-0000-1B00-00000D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374" name="Shape 3">
          <a:extLst>
            <a:ext uri="{FF2B5EF4-FFF2-40B4-BE49-F238E27FC236}">
              <a16:creationId xmlns:a16="http://schemas.microsoft.com/office/drawing/2014/main" id="{00000000-0008-0000-1B00-00000E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75" name="Shape 3">
          <a:extLst>
            <a:ext uri="{FF2B5EF4-FFF2-40B4-BE49-F238E27FC236}">
              <a16:creationId xmlns:a16="http://schemas.microsoft.com/office/drawing/2014/main" id="{00000000-0008-0000-1B00-00000F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76" name="Shape 3">
          <a:extLst>
            <a:ext uri="{FF2B5EF4-FFF2-40B4-BE49-F238E27FC236}">
              <a16:creationId xmlns:a16="http://schemas.microsoft.com/office/drawing/2014/main" id="{00000000-0008-0000-1B00-000010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77" name="Shape 3">
          <a:extLst>
            <a:ext uri="{FF2B5EF4-FFF2-40B4-BE49-F238E27FC236}">
              <a16:creationId xmlns:a16="http://schemas.microsoft.com/office/drawing/2014/main" id="{00000000-0008-0000-1B00-000011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78" name="Shape 3">
          <a:extLst>
            <a:ext uri="{FF2B5EF4-FFF2-40B4-BE49-F238E27FC236}">
              <a16:creationId xmlns:a16="http://schemas.microsoft.com/office/drawing/2014/main" id="{00000000-0008-0000-1B00-000012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79" name="Shape 3">
          <a:extLst>
            <a:ext uri="{FF2B5EF4-FFF2-40B4-BE49-F238E27FC236}">
              <a16:creationId xmlns:a16="http://schemas.microsoft.com/office/drawing/2014/main" id="{00000000-0008-0000-1B00-000013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80" name="Shape 3">
          <a:extLst>
            <a:ext uri="{FF2B5EF4-FFF2-40B4-BE49-F238E27FC236}">
              <a16:creationId xmlns:a16="http://schemas.microsoft.com/office/drawing/2014/main" id="{00000000-0008-0000-1B00-000014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81" name="Shape 3">
          <a:extLst>
            <a:ext uri="{FF2B5EF4-FFF2-40B4-BE49-F238E27FC236}">
              <a16:creationId xmlns:a16="http://schemas.microsoft.com/office/drawing/2014/main" id="{00000000-0008-0000-1B00-000015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82" name="Shape 3">
          <a:extLst>
            <a:ext uri="{FF2B5EF4-FFF2-40B4-BE49-F238E27FC236}">
              <a16:creationId xmlns:a16="http://schemas.microsoft.com/office/drawing/2014/main" id="{00000000-0008-0000-1B00-000016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83" name="Shape 3">
          <a:extLst>
            <a:ext uri="{FF2B5EF4-FFF2-40B4-BE49-F238E27FC236}">
              <a16:creationId xmlns:a16="http://schemas.microsoft.com/office/drawing/2014/main" id="{00000000-0008-0000-1B00-000017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84" name="Shape 3">
          <a:extLst>
            <a:ext uri="{FF2B5EF4-FFF2-40B4-BE49-F238E27FC236}">
              <a16:creationId xmlns:a16="http://schemas.microsoft.com/office/drawing/2014/main" id="{00000000-0008-0000-1B00-000018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85" name="Shape 3">
          <a:extLst>
            <a:ext uri="{FF2B5EF4-FFF2-40B4-BE49-F238E27FC236}">
              <a16:creationId xmlns:a16="http://schemas.microsoft.com/office/drawing/2014/main" id="{00000000-0008-0000-1B00-000019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86" name="Shape 3">
          <a:extLst>
            <a:ext uri="{FF2B5EF4-FFF2-40B4-BE49-F238E27FC236}">
              <a16:creationId xmlns:a16="http://schemas.microsoft.com/office/drawing/2014/main" id="{00000000-0008-0000-1B00-00001A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87" name="Shape 3">
          <a:extLst>
            <a:ext uri="{FF2B5EF4-FFF2-40B4-BE49-F238E27FC236}">
              <a16:creationId xmlns:a16="http://schemas.microsoft.com/office/drawing/2014/main" id="{00000000-0008-0000-1B00-00001B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88" name="Shape 3">
          <a:extLst>
            <a:ext uri="{FF2B5EF4-FFF2-40B4-BE49-F238E27FC236}">
              <a16:creationId xmlns:a16="http://schemas.microsoft.com/office/drawing/2014/main" id="{00000000-0008-0000-1B00-00001C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89" name="Shape 3">
          <a:extLst>
            <a:ext uri="{FF2B5EF4-FFF2-40B4-BE49-F238E27FC236}">
              <a16:creationId xmlns:a16="http://schemas.microsoft.com/office/drawing/2014/main" id="{00000000-0008-0000-1B00-00001D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90" name="Shape 3">
          <a:extLst>
            <a:ext uri="{FF2B5EF4-FFF2-40B4-BE49-F238E27FC236}">
              <a16:creationId xmlns:a16="http://schemas.microsoft.com/office/drawing/2014/main" id="{00000000-0008-0000-1B00-00001E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91" name="Shape 3">
          <a:extLst>
            <a:ext uri="{FF2B5EF4-FFF2-40B4-BE49-F238E27FC236}">
              <a16:creationId xmlns:a16="http://schemas.microsoft.com/office/drawing/2014/main" id="{00000000-0008-0000-1B00-00001F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92" name="Shape 3">
          <a:extLst>
            <a:ext uri="{FF2B5EF4-FFF2-40B4-BE49-F238E27FC236}">
              <a16:creationId xmlns:a16="http://schemas.microsoft.com/office/drawing/2014/main" id="{00000000-0008-0000-1B00-000020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93" name="Shape 3">
          <a:extLst>
            <a:ext uri="{FF2B5EF4-FFF2-40B4-BE49-F238E27FC236}">
              <a16:creationId xmlns:a16="http://schemas.microsoft.com/office/drawing/2014/main" id="{00000000-0008-0000-1B00-000021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94" name="Shape 3">
          <a:extLst>
            <a:ext uri="{FF2B5EF4-FFF2-40B4-BE49-F238E27FC236}">
              <a16:creationId xmlns:a16="http://schemas.microsoft.com/office/drawing/2014/main" id="{00000000-0008-0000-1B00-000022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95" name="Shape 3">
          <a:extLst>
            <a:ext uri="{FF2B5EF4-FFF2-40B4-BE49-F238E27FC236}">
              <a16:creationId xmlns:a16="http://schemas.microsoft.com/office/drawing/2014/main" id="{00000000-0008-0000-1B00-000023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96" name="Shape 3">
          <a:extLst>
            <a:ext uri="{FF2B5EF4-FFF2-40B4-BE49-F238E27FC236}">
              <a16:creationId xmlns:a16="http://schemas.microsoft.com/office/drawing/2014/main" id="{00000000-0008-0000-1B00-000024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97" name="Shape 3">
          <a:extLst>
            <a:ext uri="{FF2B5EF4-FFF2-40B4-BE49-F238E27FC236}">
              <a16:creationId xmlns:a16="http://schemas.microsoft.com/office/drawing/2014/main" id="{00000000-0008-0000-1B00-000025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98" name="Shape 3">
          <a:extLst>
            <a:ext uri="{FF2B5EF4-FFF2-40B4-BE49-F238E27FC236}">
              <a16:creationId xmlns:a16="http://schemas.microsoft.com/office/drawing/2014/main" id="{00000000-0008-0000-1B00-000026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399" name="Shape 3">
          <a:extLst>
            <a:ext uri="{FF2B5EF4-FFF2-40B4-BE49-F238E27FC236}">
              <a16:creationId xmlns:a16="http://schemas.microsoft.com/office/drawing/2014/main" id="{00000000-0008-0000-1B00-000027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400" name="Shape 3">
          <a:extLst>
            <a:ext uri="{FF2B5EF4-FFF2-40B4-BE49-F238E27FC236}">
              <a16:creationId xmlns:a16="http://schemas.microsoft.com/office/drawing/2014/main" id="{00000000-0008-0000-1B00-000028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401" name="Shape 3">
          <a:extLst>
            <a:ext uri="{FF2B5EF4-FFF2-40B4-BE49-F238E27FC236}">
              <a16:creationId xmlns:a16="http://schemas.microsoft.com/office/drawing/2014/main" id="{00000000-0008-0000-1B00-000029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402" name="Shape 3">
          <a:extLst>
            <a:ext uri="{FF2B5EF4-FFF2-40B4-BE49-F238E27FC236}">
              <a16:creationId xmlns:a16="http://schemas.microsoft.com/office/drawing/2014/main" id="{00000000-0008-0000-1B00-00002A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403" name="Shape 3">
          <a:extLst>
            <a:ext uri="{FF2B5EF4-FFF2-40B4-BE49-F238E27FC236}">
              <a16:creationId xmlns:a16="http://schemas.microsoft.com/office/drawing/2014/main" id="{00000000-0008-0000-1B00-00002B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404" name="Shape 3">
          <a:extLst>
            <a:ext uri="{FF2B5EF4-FFF2-40B4-BE49-F238E27FC236}">
              <a16:creationId xmlns:a16="http://schemas.microsoft.com/office/drawing/2014/main" id="{00000000-0008-0000-1B00-00002C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405" name="Shape 3">
          <a:extLst>
            <a:ext uri="{FF2B5EF4-FFF2-40B4-BE49-F238E27FC236}">
              <a16:creationId xmlns:a16="http://schemas.microsoft.com/office/drawing/2014/main" id="{00000000-0008-0000-1B00-00002D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406" name="Shape 3">
          <a:extLst>
            <a:ext uri="{FF2B5EF4-FFF2-40B4-BE49-F238E27FC236}">
              <a16:creationId xmlns:a16="http://schemas.microsoft.com/office/drawing/2014/main" id="{00000000-0008-0000-1B00-00002E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407" name="Shape 3">
          <a:extLst>
            <a:ext uri="{FF2B5EF4-FFF2-40B4-BE49-F238E27FC236}">
              <a16:creationId xmlns:a16="http://schemas.microsoft.com/office/drawing/2014/main" id="{00000000-0008-0000-1B00-00002F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408" name="Shape 3">
          <a:extLst>
            <a:ext uri="{FF2B5EF4-FFF2-40B4-BE49-F238E27FC236}">
              <a16:creationId xmlns:a16="http://schemas.microsoft.com/office/drawing/2014/main" id="{00000000-0008-0000-1B00-000030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409" name="Shape 3">
          <a:extLst>
            <a:ext uri="{FF2B5EF4-FFF2-40B4-BE49-F238E27FC236}">
              <a16:creationId xmlns:a16="http://schemas.microsoft.com/office/drawing/2014/main" id="{00000000-0008-0000-1B00-0000313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10" name="Shape 3">
          <a:extLst>
            <a:ext uri="{FF2B5EF4-FFF2-40B4-BE49-F238E27FC236}">
              <a16:creationId xmlns:a16="http://schemas.microsoft.com/office/drawing/2014/main" id="{00000000-0008-0000-1B00-000032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11" name="Shape 3">
          <a:extLst>
            <a:ext uri="{FF2B5EF4-FFF2-40B4-BE49-F238E27FC236}">
              <a16:creationId xmlns:a16="http://schemas.microsoft.com/office/drawing/2014/main" id="{00000000-0008-0000-1B00-000033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12" name="Shape 3">
          <a:extLst>
            <a:ext uri="{FF2B5EF4-FFF2-40B4-BE49-F238E27FC236}">
              <a16:creationId xmlns:a16="http://schemas.microsoft.com/office/drawing/2014/main" id="{00000000-0008-0000-1B00-000034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13" name="Shape 3">
          <a:extLst>
            <a:ext uri="{FF2B5EF4-FFF2-40B4-BE49-F238E27FC236}">
              <a16:creationId xmlns:a16="http://schemas.microsoft.com/office/drawing/2014/main" id="{00000000-0008-0000-1B00-000035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14" name="Shape 3">
          <a:extLst>
            <a:ext uri="{FF2B5EF4-FFF2-40B4-BE49-F238E27FC236}">
              <a16:creationId xmlns:a16="http://schemas.microsoft.com/office/drawing/2014/main" id="{00000000-0008-0000-1B00-000036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15" name="Shape 3">
          <a:extLst>
            <a:ext uri="{FF2B5EF4-FFF2-40B4-BE49-F238E27FC236}">
              <a16:creationId xmlns:a16="http://schemas.microsoft.com/office/drawing/2014/main" id="{00000000-0008-0000-1B00-000037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16" name="Shape 3">
          <a:extLst>
            <a:ext uri="{FF2B5EF4-FFF2-40B4-BE49-F238E27FC236}">
              <a16:creationId xmlns:a16="http://schemas.microsoft.com/office/drawing/2014/main" id="{00000000-0008-0000-1B00-000038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17" name="Shape 3">
          <a:extLst>
            <a:ext uri="{FF2B5EF4-FFF2-40B4-BE49-F238E27FC236}">
              <a16:creationId xmlns:a16="http://schemas.microsoft.com/office/drawing/2014/main" id="{00000000-0008-0000-1B00-000039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18" name="Shape 3">
          <a:extLst>
            <a:ext uri="{FF2B5EF4-FFF2-40B4-BE49-F238E27FC236}">
              <a16:creationId xmlns:a16="http://schemas.microsoft.com/office/drawing/2014/main" id="{00000000-0008-0000-1B00-00003A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19" name="Shape 3">
          <a:extLst>
            <a:ext uri="{FF2B5EF4-FFF2-40B4-BE49-F238E27FC236}">
              <a16:creationId xmlns:a16="http://schemas.microsoft.com/office/drawing/2014/main" id="{00000000-0008-0000-1B00-00003B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20" name="Shape 3">
          <a:extLst>
            <a:ext uri="{FF2B5EF4-FFF2-40B4-BE49-F238E27FC236}">
              <a16:creationId xmlns:a16="http://schemas.microsoft.com/office/drawing/2014/main" id="{00000000-0008-0000-1B00-00003C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21" name="Shape 3">
          <a:extLst>
            <a:ext uri="{FF2B5EF4-FFF2-40B4-BE49-F238E27FC236}">
              <a16:creationId xmlns:a16="http://schemas.microsoft.com/office/drawing/2014/main" id="{00000000-0008-0000-1B00-00003D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22" name="Shape 3">
          <a:extLst>
            <a:ext uri="{FF2B5EF4-FFF2-40B4-BE49-F238E27FC236}">
              <a16:creationId xmlns:a16="http://schemas.microsoft.com/office/drawing/2014/main" id="{00000000-0008-0000-1B00-00003E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23" name="Shape 3">
          <a:extLst>
            <a:ext uri="{FF2B5EF4-FFF2-40B4-BE49-F238E27FC236}">
              <a16:creationId xmlns:a16="http://schemas.microsoft.com/office/drawing/2014/main" id="{00000000-0008-0000-1B00-00003F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24" name="Shape 3">
          <a:extLst>
            <a:ext uri="{FF2B5EF4-FFF2-40B4-BE49-F238E27FC236}">
              <a16:creationId xmlns:a16="http://schemas.microsoft.com/office/drawing/2014/main" id="{00000000-0008-0000-1B00-000040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25" name="Shape 3">
          <a:extLst>
            <a:ext uri="{FF2B5EF4-FFF2-40B4-BE49-F238E27FC236}">
              <a16:creationId xmlns:a16="http://schemas.microsoft.com/office/drawing/2014/main" id="{00000000-0008-0000-1B00-000041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26" name="Shape 3">
          <a:extLst>
            <a:ext uri="{FF2B5EF4-FFF2-40B4-BE49-F238E27FC236}">
              <a16:creationId xmlns:a16="http://schemas.microsoft.com/office/drawing/2014/main" id="{00000000-0008-0000-1B00-000042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5427" name="Shape 4">
          <a:extLst>
            <a:ext uri="{FF2B5EF4-FFF2-40B4-BE49-F238E27FC236}">
              <a16:creationId xmlns:a16="http://schemas.microsoft.com/office/drawing/2014/main" id="{00000000-0008-0000-1B00-0000433C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5428" name="Shape 4">
          <a:extLst>
            <a:ext uri="{FF2B5EF4-FFF2-40B4-BE49-F238E27FC236}">
              <a16:creationId xmlns:a16="http://schemas.microsoft.com/office/drawing/2014/main" id="{00000000-0008-0000-1B00-0000443C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29" name="Shape 3">
          <a:extLst>
            <a:ext uri="{FF2B5EF4-FFF2-40B4-BE49-F238E27FC236}">
              <a16:creationId xmlns:a16="http://schemas.microsoft.com/office/drawing/2014/main" id="{00000000-0008-0000-1B00-000045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30" name="Shape 3">
          <a:extLst>
            <a:ext uri="{FF2B5EF4-FFF2-40B4-BE49-F238E27FC236}">
              <a16:creationId xmlns:a16="http://schemas.microsoft.com/office/drawing/2014/main" id="{00000000-0008-0000-1B00-000046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31" name="Shape 3">
          <a:extLst>
            <a:ext uri="{FF2B5EF4-FFF2-40B4-BE49-F238E27FC236}">
              <a16:creationId xmlns:a16="http://schemas.microsoft.com/office/drawing/2014/main" id="{00000000-0008-0000-1B00-000047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32" name="Shape 3">
          <a:extLst>
            <a:ext uri="{FF2B5EF4-FFF2-40B4-BE49-F238E27FC236}">
              <a16:creationId xmlns:a16="http://schemas.microsoft.com/office/drawing/2014/main" id="{00000000-0008-0000-1B00-000048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33" name="Shape 3">
          <a:extLst>
            <a:ext uri="{FF2B5EF4-FFF2-40B4-BE49-F238E27FC236}">
              <a16:creationId xmlns:a16="http://schemas.microsoft.com/office/drawing/2014/main" id="{00000000-0008-0000-1B00-000049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34" name="Shape 3">
          <a:extLst>
            <a:ext uri="{FF2B5EF4-FFF2-40B4-BE49-F238E27FC236}">
              <a16:creationId xmlns:a16="http://schemas.microsoft.com/office/drawing/2014/main" id="{00000000-0008-0000-1B00-00004A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35" name="Shape 3">
          <a:extLst>
            <a:ext uri="{FF2B5EF4-FFF2-40B4-BE49-F238E27FC236}">
              <a16:creationId xmlns:a16="http://schemas.microsoft.com/office/drawing/2014/main" id="{00000000-0008-0000-1B00-00004B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436" name="Shape 3">
          <a:extLst>
            <a:ext uri="{FF2B5EF4-FFF2-40B4-BE49-F238E27FC236}">
              <a16:creationId xmlns:a16="http://schemas.microsoft.com/office/drawing/2014/main" id="{00000000-0008-0000-1B00-00004C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37" name="Shape 3">
          <a:extLst>
            <a:ext uri="{FF2B5EF4-FFF2-40B4-BE49-F238E27FC236}">
              <a16:creationId xmlns:a16="http://schemas.microsoft.com/office/drawing/2014/main" id="{00000000-0008-0000-1B00-00004D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38" name="Shape 3">
          <a:extLst>
            <a:ext uri="{FF2B5EF4-FFF2-40B4-BE49-F238E27FC236}">
              <a16:creationId xmlns:a16="http://schemas.microsoft.com/office/drawing/2014/main" id="{00000000-0008-0000-1B00-00004E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39" name="Shape 3">
          <a:extLst>
            <a:ext uri="{FF2B5EF4-FFF2-40B4-BE49-F238E27FC236}">
              <a16:creationId xmlns:a16="http://schemas.microsoft.com/office/drawing/2014/main" id="{00000000-0008-0000-1B00-00004F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40" name="Shape 3">
          <a:extLst>
            <a:ext uri="{FF2B5EF4-FFF2-40B4-BE49-F238E27FC236}">
              <a16:creationId xmlns:a16="http://schemas.microsoft.com/office/drawing/2014/main" id="{00000000-0008-0000-1B00-000050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41" name="Shape 3">
          <a:extLst>
            <a:ext uri="{FF2B5EF4-FFF2-40B4-BE49-F238E27FC236}">
              <a16:creationId xmlns:a16="http://schemas.microsoft.com/office/drawing/2014/main" id="{00000000-0008-0000-1B00-000051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42" name="Shape 3">
          <a:extLst>
            <a:ext uri="{FF2B5EF4-FFF2-40B4-BE49-F238E27FC236}">
              <a16:creationId xmlns:a16="http://schemas.microsoft.com/office/drawing/2014/main" id="{00000000-0008-0000-1B00-000052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43" name="Shape 3">
          <a:extLst>
            <a:ext uri="{FF2B5EF4-FFF2-40B4-BE49-F238E27FC236}">
              <a16:creationId xmlns:a16="http://schemas.microsoft.com/office/drawing/2014/main" id="{00000000-0008-0000-1B00-000053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44" name="Shape 3">
          <a:extLst>
            <a:ext uri="{FF2B5EF4-FFF2-40B4-BE49-F238E27FC236}">
              <a16:creationId xmlns:a16="http://schemas.microsoft.com/office/drawing/2014/main" id="{00000000-0008-0000-1B00-000054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45" name="Shape 3">
          <a:extLst>
            <a:ext uri="{FF2B5EF4-FFF2-40B4-BE49-F238E27FC236}">
              <a16:creationId xmlns:a16="http://schemas.microsoft.com/office/drawing/2014/main" id="{00000000-0008-0000-1B00-000055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46" name="Shape 3">
          <a:extLst>
            <a:ext uri="{FF2B5EF4-FFF2-40B4-BE49-F238E27FC236}">
              <a16:creationId xmlns:a16="http://schemas.microsoft.com/office/drawing/2014/main" id="{00000000-0008-0000-1B00-000056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47" name="Shape 3">
          <a:extLst>
            <a:ext uri="{FF2B5EF4-FFF2-40B4-BE49-F238E27FC236}">
              <a16:creationId xmlns:a16="http://schemas.microsoft.com/office/drawing/2014/main" id="{00000000-0008-0000-1B00-000057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48" name="Shape 3">
          <a:extLst>
            <a:ext uri="{FF2B5EF4-FFF2-40B4-BE49-F238E27FC236}">
              <a16:creationId xmlns:a16="http://schemas.microsoft.com/office/drawing/2014/main" id="{00000000-0008-0000-1B00-000058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49" name="Shape 3">
          <a:extLst>
            <a:ext uri="{FF2B5EF4-FFF2-40B4-BE49-F238E27FC236}">
              <a16:creationId xmlns:a16="http://schemas.microsoft.com/office/drawing/2014/main" id="{00000000-0008-0000-1B00-000059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50" name="Shape 3">
          <a:extLst>
            <a:ext uri="{FF2B5EF4-FFF2-40B4-BE49-F238E27FC236}">
              <a16:creationId xmlns:a16="http://schemas.microsoft.com/office/drawing/2014/main" id="{00000000-0008-0000-1B00-00005A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51" name="Shape 3">
          <a:extLst>
            <a:ext uri="{FF2B5EF4-FFF2-40B4-BE49-F238E27FC236}">
              <a16:creationId xmlns:a16="http://schemas.microsoft.com/office/drawing/2014/main" id="{00000000-0008-0000-1B00-00005B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52" name="Shape 3">
          <a:extLst>
            <a:ext uri="{FF2B5EF4-FFF2-40B4-BE49-F238E27FC236}">
              <a16:creationId xmlns:a16="http://schemas.microsoft.com/office/drawing/2014/main" id="{00000000-0008-0000-1B00-00005C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53" name="Shape 3">
          <a:extLst>
            <a:ext uri="{FF2B5EF4-FFF2-40B4-BE49-F238E27FC236}">
              <a16:creationId xmlns:a16="http://schemas.microsoft.com/office/drawing/2014/main" id="{00000000-0008-0000-1B00-00005D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54" name="Shape 3">
          <a:extLst>
            <a:ext uri="{FF2B5EF4-FFF2-40B4-BE49-F238E27FC236}">
              <a16:creationId xmlns:a16="http://schemas.microsoft.com/office/drawing/2014/main" id="{00000000-0008-0000-1B00-00005E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55" name="Shape 3">
          <a:extLst>
            <a:ext uri="{FF2B5EF4-FFF2-40B4-BE49-F238E27FC236}">
              <a16:creationId xmlns:a16="http://schemas.microsoft.com/office/drawing/2014/main" id="{00000000-0008-0000-1B00-00005F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56" name="Shape 3">
          <a:extLst>
            <a:ext uri="{FF2B5EF4-FFF2-40B4-BE49-F238E27FC236}">
              <a16:creationId xmlns:a16="http://schemas.microsoft.com/office/drawing/2014/main" id="{00000000-0008-0000-1B00-000060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57" name="Shape 3">
          <a:extLst>
            <a:ext uri="{FF2B5EF4-FFF2-40B4-BE49-F238E27FC236}">
              <a16:creationId xmlns:a16="http://schemas.microsoft.com/office/drawing/2014/main" id="{00000000-0008-0000-1B00-000061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58" name="Shape 3">
          <a:extLst>
            <a:ext uri="{FF2B5EF4-FFF2-40B4-BE49-F238E27FC236}">
              <a16:creationId xmlns:a16="http://schemas.microsoft.com/office/drawing/2014/main" id="{00000000-0008-0000-1B00-000062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59" name="Shape 3">
          <a:extLst>
            <a:ext uri="{FF2B5EF4-FFF2-40B4-BE49-F238E27FC236}">
              <a16:creationId xmlns:a16="http://schemas.microsoft.com/office/drawing/2014/main" id="{00000000-0008-0000-1B00-000063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60" name="Shape 3">
          <a:extLst>
            <a:ext uri="{FF2B5EF4-FFF2-40B4-BE49-F238E27FC236}">
              <a16:creationId xmlns:a16="http://schemas.microsoft.com/office/drawing/2014/main" id="{00000000-0008-0000-1B00-000064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61" name="Shape 3">
          <a:extLst>
            <a:ext uri="{FF2B5EF4-FFF2-40B4-BE49-F238E27FC236}">
              <a16:creationId xmlns:a16="http://schemas.microsoft.com/office/drawing/2014/main" id="{00000000-0008-0000-1B00-000065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62" name="Shape 3">
          <a:extLst>
            <a:ext uri="{FF2B5EF4-FFF2-40B4-BE49-F238E27FC236}">
              <a16:creationId xmlns:a16="http://schemas.microsoft.com/office/drawing/2014/main" id="{00000000-0008-0000-1B00-000066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63" name="Shape 3">
          <a:extLst>
            <a:ext uri="{FF2B5EF4-FFF2-40B4-BE49-F238E27FC236}">
              <a16:creationId xmlns:a16="http://schemas.microsoft.com/office/drawing/2014/main" id="{00000000-0008-0000-1B00-000067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64" name="Shape 3">
          <a:extLst>
            <a:ext uri="{FF2B5EF4-FFF2-40B4-BE49-F238E27FC236}">
              <a16:creationId xmlns:a16="http://schemas.microsoft.com/office/drawing/2014/main" id="{00000000-0008-0000-1B00-000068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65" name="Shape 3">
          <a:extLst>
            <a:ext uri="{FF2B5EF4-FFF2-40B4-BE49-F238E27FC236}">
              <a16:creationId xmlns:a16="http://schemas.microsoft.com/office/drawing/2014/main" id="{00000000-0008-0000-1B00-000069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66" name="Shape 3">
          <a:extLst>
            <a:ext uri="{FF2B5EF4-FFF2-40B4-BE49-F238E27FC236}">
              <a16:creationId xmlns:a16="http://schemas.microsoft.com/office/drawing/2014/main" id="{00000000-0008-0000-1B00-00006A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67" name="Shape 3">
          <a:extLst>
            <a:ext uri="{FF2B5EF4-FFF2-40B4-BE49-F238E27FC236}">
              <a16:creationId xmlns:a16="http://schemas.microsoft.com/office/drawing/2014/main" id="{00000000-0008-0000-1B00-00006B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68" name="Shape 3">
          <a:extLst>
            <a:ext uri="{FF2B5EF4-FFF2-40B4-BE49-F238E27FC236}">
              <a16:creationId xmlns:a16="http://schemas.microsoft.com/office/drawing/2014/main" id="{00000000-0008-0000-1B00-00006C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69" name="Shape 3">
          <a:extLst>
            <a:ext uri="{FF2B5EF4-FFF2-40B4-BE49-F238E27FC236}">
              <a16:creationId xmlns:a16="http://schemas.microsoft.com/office/drawing/2014/main" id="{00000000-0008-0000-1B00-00006D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70" name="Shape 3">
          <a:extLst>
            <a:ext uri="{FF2B5EF4-FFF2-40B4-BE49-F238E27FC236}">
              <a16:creationId xmlns:a16="http://schemas.microsoft.com/office/drawing/2014/main" id="{00000000-0008-0000-1B00-00006E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471" name="Shape 3">
          <a:extLst>
            <a:ext uri="{FF2B5EF4-FFF2-40B4-BE49-F238E27FC236}">
              <a16:creationId xmlns:a16="http://schemas.microsoft.com/office/drawing/2014/main" id="{00000000-0008-0000-1B00-00006F3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486" name="Shape 3">
          <a:extLst>
            <a:ext uri="{FF2B5EF4-FFF2-40B4-BE49-F238E27FC236}">
              <a16:creationId xmlns:a16="http://schemas.microsoft.com/office/drawing/2014/main" id="{00000000-0008-0000-1C00-0000EE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87" name="Shape 3">
          <a:extLst>
            <a:ext uri="{FF2B5EF4-FFF2-40B4-BE49-F238E27FC236}">
              <a16:creationId xmlns:a16="http://schemas.microsoft.com/office/drawing/2014/main" id="{00000000-0008-0000-1C00-0000EF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88" name="Shape 3">
          <a:extLst>
            <a:ext uri="{FF2B5EF4-FFF2-40B4-BE49-F238E27FC236}">
              <a16:creationId xmlns:a16="http://schemas.microsoft.com/office/drawing/2014/main" id="{00000000-0008-0000-1C00-0000F0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89" name="Shape 3">
          <a:extLst>
            <a:ext uri="{FF2B5EF4-FFF2-40B4-BE49-F238E27FC236}">
              <a16:creationId xmlns:a16="http://schemas.microsoft.com/office/drawing/2014/main" id="{00000000-0008-0000-1C00-0000F1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90" name="Shape 3">
          <a:extLst>
            <a:ext uri="{FF2B5EF4-FFF2-40B4-BE49-F238E27FC236}">
              <a16:creationId xmlns:a16="http://schemas.microsoft.com/office/drawing/2014/main" id="{00000000-0008-0000-1C00-0000F2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91" name="Shape 3">
          <a:extLst>
            <a:ext uri="{FF2B5EF4-FFF2-40B4-BE49-F238E27FC236}">
              <a16:creationId xmlns:a16="http://schemas.microsoft.com/office/drawing/2014/main" id="{00000000-0008-0000-1C00-0000F3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92" name="Shape 3">
          <a:extLst>
            <a:ext uri="{FF2B5EF4-FFF2-40B4-BE49-F238E27FC236}">
              <a16:creationId xmlns:a16="http://schemas.microsoft.com/office/drawing/2014/main" id="{00000000-0008-0000-1C00-0000F4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93" name="Shape 3">
          <a:extLst>
            <a:ext uri="{FF2B5EF4-FFF2-40B4-BE49-F238E27FC236}">
              <a16:creationId xmlns:a16="http://schemas.microsoft.com/office/drawing/2014/main" id="{00000000-0008-0000-1C00-0000F5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94" name="Shape 3">
          <a:extLst>
            <a:ext uri="{FF2B5EF4-FFF2-40B4-BE49-F238E27FC236}">
              <a16:creationId xmlns:a16="http://schemas.microsoft.com/office/drawing/2014/main" id="{00000000-0008-0000-1C00-0000F6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95" name="Shape 3">
          <a:extLst>
            <a:ext uri="{FF2B5EF4-FFF2-40B4-BE49-F238E27FC236}">
              <a16:creationId xmlns:a16="http://schemas.microsoft.com/office/drawing/2014/main" id="{00000000-0008-0000-1C00-0000F7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96" name="Shape 3">
          <a:extLst>
            <a:ext uri="{FF2B5EF4-FFF2-40B4-BE49-F238E27FC236}">
              <a16:creationId xmlns:a16="http://schemas.microsoft.com/office/drawing/2014/main" id="{00000000-0008-0000-1C00-0000F8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97" name="Shape 3">
          <a:extLst>
            <a:ext uri="{FF2B5EF4-FFF2-40B4-BE49-F238E27FC236}">
              <a16:creationId xmlns:a16="http://schemas.microsoft.com/office/drawing/2014/main" id="{00000000-0008-0000-1C00-0000F9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98" name="Shape 3">
          <a:extLst>
            <a:ext uri="{FF2B5EF4-FFF2-40B4-BE49-F238E27FC236}">
              <a16:creationId xmlns:a16="http://schemas.microsoft.com/office/drawing/2014/main" id="{00000000-0008-0000-1C00-0000FA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499" name="Shape 3">
          <a:extLst>
            <a:ext uri="{FF2B5EF4-FFF2-40B4-BE49-F238E27FC236}">
              <a16:creationId xmlns:a16="http://schemas.microsoft.com/office/drawing/2014/main" id="{00000000-0008-0000-1C00-0000FB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500" name="Shape 3">
          <a:extLst>
            <a:ext uri="{FF2B5EF4-FFF2-40B4-BE49-F238E27FC236}">
              <a16:creationId xmlns:a16="http://schemas.microsoft.com/office/drawing/2014/main" id="{00000000-0008-0000-1C00-0000FC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501" name="Shape 3">
          <a:extLst>
            <a:ext uri="{FF2B5EF4-FFF2-40B4-BE49-F238E27FC236}">
              <a16:creationId xmlns:a16="http://schemas.microsoft.com/office/drawing/2014/main" id="{00000000-0008-0000-1C00-0000FD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502" name="Shape 3">
          <a:extLst>
            <a:ext uri="{FF2B5EF4-FFF2-40B4-BE49-F238E27FC236}">
              <a16:creationId xmlns:a16="http://schemas.microsoft.com/office/drawing/2014/main" id="{00000000-0008-0000-1C00-0000FE53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21503" name="Shape 4">
          <a:extLst>
            <a:ext uri="{FF2B5EF4-FFF2-40B4-BE49-F238E27FC236}">
              <a16:creationId xmlns:a16="http://schemas.microsoft.com/office/drawing/2014/main" id="{00000000-0008-0000-1C00-0000FF53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21504" name="Shape 4">
          <a:extLst>
            <a:ext uri="{FF2B5EF4-FFF2-40B4-BE49-F238E27FC236}">
              <a16:creationId xmlns:a16="http://schemas.microsoft.com/office/drawing/2014/main" id="{00000000-0008-0000-1C00-00000054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505" name="Shape 3">
          <a:extLst>
            <a:ext uri="{FF2B5EF4-FFF2-40B4-BE49-F238E27FC236}">
              <a16:creationId xmlns:a16="http://schemas.microsoft.com/office/drawing/2014/main" id="{00000000-0008-0000-1C00-000001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506" name="Shape 3">
          <a:extLst>
            <a:ext uri="{FF2B5EF4-FFF2-40B4-BE49-F238E27FC236}">
              <a16:creationId xmlns:a16="http://schemas.microsoft.com/office/drawing/2014/main" id="{00000000-0008-0000-1C00-000002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507" name="Shape 3">
          <a:extLst>
            <a:ext uri="{FF2B5EF4-FFF2-40B4-BE49-F238E27FC236}">
              <a16:creationId xmlns:a16="http://schemas.microsoft.com/office/drawing/2014/main" id="{00000000-0008-0000-1C00-000003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508" name="Shape 3">
          <a:extLst>
            <a:ext uri="{FF2B5EF4-FFF2-40B4-BE49-F238E27FC236}">
              <a16:creationId xmlns:a16="http://schemas.microsoft.com/office/drawing/2014/main" id="{00000000-0008-0000-1C00-000004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509" name="Shape 3">
          <a:extLst>
            <a:ext uri="{FF2B5EF4-FFF2-40B4-BE49-F238E27FC236}">
              <a16:creationId xmlns:a16="http://schemas.microsoft.com/office/drawing/2014/main" id="{00000000-0008-0000-1C00-000005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510" name="Shape 3">
          <a:extLst>
            <a:ext uri="{FF2B5EF4-FFF2-40B4-BE49-F238E27FC236}">
              <a16:creationId xmlns:a16="http://schemas.microsoft.com/office/drawing/2014/main" id="{00000000-0008-0000-1C00-000006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511" name="Shape 3">
          <a:extLst>
            <a:ext uri="{FF2B5EF4-FFF2-40B4-BE49-F238E27FC236}">
              <a16:creationId xmlns:a16="http://schemas.microsoft.com/office/drawing/2014/main" id="{00000000-0008-0000-1C00-000007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21512" name="Shape 3">
          <a:extLst>
            <a:ext uri="{FF2B5EF4-FFF2-40B4-BE49-F238E27FC236}">
              <a16:creationId xmlns:a16="http://schemas.microsoft.com/office/drawing/2014/main" id="{00000000-0008-0000-1C00-000008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13" name="Shape 3">
          <a:extLst>
            <a:ext uri="{FF2B5EF4-FFF2-40B4-BE49-F238E27FC236}">
              <a16:creationId xmlns:a16="http://schemas.microsoft.com/office/drawing/2014/main" id="{00000000-0008-0000-1C00-000009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14" name="Shape 3">
          <a:extLst>
            <a:ext uri="{FF2B5EF4-FFF2-40B4-BE49-F238E27FC236}">
              <a16:creationId xmlns:a16="http://schemas.microsoft.com/office/drawing/2014/main" id="{00000000-0008-0000-1C00-00000A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15" name="Shape 3">
          <a:extLst>
            <a:ext uri="{FF2B5EF4-FFF2-40B4-BE49-F238E27FC236}">
              <a16:creationId xmlns:a16="http://schemas.microsoft.com/office/drawing/2014/main" id="{00000000-0008-0000-1C00-00000B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16" name="Shape 3">
          <a:extLst>
            <a:ext uri="{FF2B5EF4-FFF2-40B4-BE49-F238E27FC236}">
              <a16:creationId xmlns:a16="http://schemas.microsoft.com/office/drawing/2014/main" id="{00000000-0008-0000-1C00-00000C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17" name="Shape 3">
          <a:extLst>
            <a:ext uri="{FF2B5EF4-FFF2-40B4-BE49-F238E27FC236}">
              <a16:creationId xmlns:a16="http://schemas.microsoft.com/office/drawing/2014/main" id="{00000000-0008-0000-1C00-00000D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18" name="Shape 3">
          <a:extLst>
            <a:ext uri="{FF2B5EF4-FFF2-40B4-BE49-F238E27FC236}">
              <a16:creationId xmlns:a16="http://schemas.microsoft.com/office/drawing/2014/main" id="{00000000-0008-0000-1C00-00000E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19" name="Shape 3">
          <a:extLst>
            <a:ext uri="{FF2B5EF4-FFF2-40B4-BE49-F238E27FC236}">
              <a16:creationId xmlns:a16="http://schemas.microsoft.com/office/drawing/2014/main" id="{00000000-0008-0000-1C00-00000F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20" name="Shape 3">
          <a:extLst>
            <a:ext uri="{FF2B5EF4-FFF2-40B4-BE49-F238E27FC236}">
              <a16:creationId xmlns:a16="http://schemas.microsoft.com/office/drawing/2014/main" id="{00000000-0008-0000-1C00-000010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21" name="Shape 3">
          <a:extLst>
            <a:ext uri="{FF2B5EF4-FFF2-40B4-BE49-F238E27FC236}">
              <a16:creationId xmlns:a16="http://schemas.microsoft.com/office/drawing/2014/main" id="{00000000-0008-0000-1C00-000011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22" name="Shape 3">
          <a:extLst>
            <a:ext uri="{FF2B5EF4-FFF2-40B4-BE49-F238E27FC236}">
              <a16:creationId xmlns:a16="http://schemas.microsoft.com/office/drawing/2014/main" id="{00000000-0008-0000-1C00-000012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23" name="Shape 3">
          <a:extLst>
            <a:ext uri="{FF2B5EF4-FFF2-40B4-BE49-F238E27FC236}">
              <a16:creationId xmlns:a16="http://schemas.microsoft.com/office/drawing/2014/main" id="{00000000-0008-0000-1C00-000013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24" name="Shape 3">
          <a:extLst>
            <a:ext uri="{FF2B5EF4-FFF2-40B4-BE49-F238E27FC236}">
              <a16:creationId xmlns:a16="http://schemas.microsoft.com/office/drawing/2014/main" id="{00000000-0008-0000-1C00-000014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25" name="Shape 3">
          <a:extLst>
            <a:ext uri="{FF2B5EF4-FFF2-40B4-BE49-F238E27FC236}">
              <a16:creationId xmlns:a16="http://schemas.microsoft.com/office/drawing/2014/main" id="{00000000-0008-0000-1C00-000015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26" name="Shape 3">
          <a:extLst>
            <a:ext uri="{FF2B5EF4-FFF2-40B4-BE49-F238E27FC236}">
              <a16:creationId xmlns:a16="http://schemas.microsoft.com/office/drawing/2014/main" id="{00000000-0008-0000-1C00-000016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27" name="Shape 3">
          <a:extLst>
            <a:ext uri="{FF2B5EF4-FFF2-40B4-BE49-F238E27FC236}">
              <a16:creationId xmlns:a16="http://schemas.microsoft.com/office/drawing/2014/main" id="{00000000-0008-0000-1C00-000017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28" name="Shape 3">
          <a:extLst>
            <a:ext uri="{FF2B5EF4-FFF2-40B4-BE49-F238E27FC236}">
              <a16:creationId xmlns:a16="http://schemas.microsoft.com/office/drawing/2014/main" id="{00000000-0008-0000-1C00-000018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29" name="Shape 3">
          <a:extLst>
            <a:ext uri="{FF2B5EF4-FFF2-40B4-BE49-F238E27FC236}">
              <a16:creationId xmlns:a16="http://schemas.microsoft.com/office/drawing/2014/main" id="{00000000-0008-0000-1C00-000019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30" name="Shape 3">
          <a:extLst>
            <a:ext uri="{FF2B5EF4-FFF2-40B4-BE49-F238E27FC236}">
              <a16:creationId xmlns:a16="http://schemas.microsoft.com/office/drawing/2014/main" id="{00000000-0008-0000-1C00-00001A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31" name="Shape 3">
          <a:extLst>
            <a:ext uri="{FF2B5EF4-FFF2-40B4-BE49-F238E27FC236}">
              <a16:creationId xmlns:a16="http://schemas.microsoft.com/office/drawing/2014/main" id="{00000000-0008-0000-1C00-00001B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32" name="Shape 3">
          <a:extLst>
            <a:ext uri="{FF2B5EF4-FFF2-40B4-BE49-F238E27FC236}">
              <a16:creationId xmlns:a16="http://schemas.microsoft.com/office/drawing/2014/main" id="{00000000-0008-0000-1C00-00001C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33" name="Shape 3">
          <a:extLst>
            <a:ext uri="{FF2B5EF4-FFF2-40B4-BE49-F238E27FC236}">
              <a16:creationId xmlns:a16="http://schemas.microsoft.com/office/drawing/2014/main" id="{00000000-0008-0000-1C00-00001D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34" name="Shape 3">
          <a:extLst>
            <a:ext uri="{FF2B5EF4-FFF2-40B4-BE49-F238E27FC236}">
              <a16:creationId xmlns:a16="http://schemas.microsoft.com/office/drawing/2014/main" id="{00000000-0008-0000-1C00-00001E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35" name="Shape 3">
          <a:extLst>
            <a:ext uri="{FF2B5EF4-FFF2-40B4-BE49-F238E27FC236}">
              <a16:creationId xmlns:a16="http://schemas.microsoft.com/office/drawing/2014/main" id="{00000000-0008-0000-1C00-00001F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36" name="Shape 3">
          <a:extLst>
            <a:ext uri="{FF2B5EF4-FFF2-40B4-BE49-F238E27FC236}">
              <a16:creationId xmlns:a16="http://schemas.microsoft.com/office/drawing/2014/main" id="{00000000-0008-0000-1C00-000020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37" name="Shape 3">
          <a:extLst>
            <a:ext uri="{FF2B5EF4-FFF2-40B4-BE49-F238E27FC236}">
              <a16:creationId xmlns:a16="http://schemas.microsoft.com/office/drawing/2014/main" id="{00000000-0008-0000-1C00-000021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38" name="Shape 3">
          <a:extLst>
            <a:ext uri="{FF2B5EF4-FFF2-40B4-BE49-F238E27FC236}">
              <a16:creationId xmlns:a16="http://schemas.microsoft.com/office/drawing/2014/main" id="{00000000-0008-0000-1C00-000022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39" name="Shape 3">
          <a:extLst>
            <a:ext uri="{FF2B5EF4-FFF2-40B4-BE49-F238E27FC236}">
              <a16:creationId xmlns:a16="http://schemas.microsoft.com/office/drawing/2014/main" id="{00000000-0008-0000-1C00-000023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40" name="Shape 3">
          <a:extLst>
            <a:ext uri="{FF2B5EF4-FFF2-40B4-BE49-F238E27FC236}">
              <a16:creationId xmlns:a16="http://schemas.microsoft.com/office/drawing/2014/main" id="{00000000-0008-0000-1C00-000024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41" name="Shape 3">
          <a:extLst>
            <a:ext uri="{FF2B5EF4-FFF2-40B4-BE49-F238E27FC236}">
              <a16:creationId xmlns:a16="http://schemas.microsoft.com/office/drawing/2014/main" id="{00000000-0008-0000-1C00-000025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42" name="Shape 3">
          <a:extLst>
            <a:ext uri="{FF2B5EF4-FFF2-40B4-BE49-F238E27FC236}">
              <a16:creationId xmlns:a16="http://schemas.microsoft.com/office/drawing/2014/main" id="{00000000-0008-0000-1C00-000026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43" name="Shape 3">
          <a:extLst>
            <a:ext uri="{FF2B5EF4-FFF2-40B4-BE49-F238E27FC236}">
              <a16:creationId xmlns:a16="http://schemas.microsoft.com/office/drawing/2014/main" id="{00000000-0008-0000-1C00-000027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44" name="Shape 3">
          <a:extLst>
            <a:ext uri="{FF2B5EF4-FFF2-40B4-BE49-F238E27FC236}">
              <a16:creationId xmlns:a16="http://schemas.microsoft.com/office/drawing/2014/main" id="{00000000-0008-0000-1C00-000028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45" name="Shape 3">
          <a:extLst>
            <a:ext uri="{FF2B5EF4-FFF2-40B4-BE49-F238E27FC236}">
              <a16:creationId xmlns:a16="http://schemas.microsoft.com/office/drawing/2014/main" id="{00000000-0008-0000-1C00-000029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46" name="Shape 3">
          <a:extLst>
            <a:ext uri="{FF2B5EF4-FFF2-40B4-BE49-F238E27FC236}">
              <a16:creationId xmlns:a16="http://schemas.microsoft.com/office/drawing/2014/main" id="{00000000-0008-0000-1C00-00002A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21547" name="Shape 3">
          <a:extLst>
            <a:ext uri="{FF2B5EF4-FFF2-40B4-BE49-F238E27FC236}">
              <a16:creationId xmlns:a16="http://schemas.microsoft.com/office/drawing/2014/main" id="{00000000-0008-0000-1C00-00002B54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48" name="Shape 3">
          <a:extLst>
            <a:ext uri="{FF2B5EF4-FFF2-40B4-BE49-F238E27FC236}">
              <a16:creationId xmlns:a16="http://schemas.microsoft.com/office/drawing/2014/main" id="{00000000-0008-0000-1C00-00002C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49" name="Shape 3">
          <a:extLst>
            <a:ext uri="{FF2B5EF4-FFF2-40B4-BE49-F238E27FC236}">
              <a16:creationId xmlns:a16="http://schemas.microsoft.com/office/drawing/2014/main" id="{00000000-0008-0000-1C00-00002D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50" name="Shape 3">
          <a:extLst>
            <a:ext uri="{FF2B5EF4-FFF2-40B4-BE49-F238E27FC236}">
              <a16:creationId xmlns:a16="http://schemas.microsoft.com/office/drawing/2014/main" id="{00000000-0008-0000-1C00-00002E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51" name="Shape 3">
          <a:extLst>
            <a:ext uri="{FF2B5EF4-FFF2-40B4-BE49-F238E27FC236}">
              <a16:creationId xmlns:a16="http://schemas.microsoft.com/office/drawing/2014/main" id="{00000000-0008-0000-1C00-00002F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52" name="Shape 3">
          <a:extLst>
            <a:ext uri="{FF2B5EF4-FFF2-40B4-BE49-F238E27FC236}">
              <a16:creationId xmlns:a16="http://schemas.microsoft.com/office/drawing/2014/main" id="{00000000-0008-0000-1C00-000030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53" name="Shape 3">
          <a:extLst>
            <a:ext uri="{FF2B5EF4-FFF2-40B4-BE49-F238E27FC236}">
              <a16:creationId xmlns:a16="http://schemas.microsoft.com/office/drawing/2014/main" id="{00000000-0008-0000-1C00-000031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54" name="Shape 3">
          <a:extLst>
            <a:ext uri="{FF2B5EF4-FFF2-40B4-BE49-F238E27FC236}">
              <a16:creationId xmlns:a16="http://schemas.microsoft.com/office/drawing/2014/main" id="{00000000-0008-0000-1C00-000032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55" name="Shape 3">
          <a:extLst>
            <a:ext uri="{FF2B5EF4-FFF2-40B4-BE49-F238E27FC236}">
              <a16:creationId xmlns:a16="http://schemas.microsoft.com/office/drawing/2014/main" id="{00000000-0008-0000-1C00-000033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56" name="Shape 3">
          <a:extLst>
            <a:ext uri="{FF2B5EF4-FFF2-40B4-BE49-F238E27FC236}">
              <a16:creationId xmlns:a16="http://schemas.microsoft.com/office/drawing/2014/main" id="{00000000-0008-0000-1C00-000034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57" name="Shape 3">
          <a:extLst>
            <a:ext uri="{FF2B5EF4-FFF2-40B4-BE49-F238E27FC236}">
              <a16:creationId xmlns:a16="http://schemas.microsoft.com/office/drawing/2014/main" id="{00000000-0008-0000-1C00-000035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58" name="Shape 3">
          <a:extLst>
            <a:ext uri="{FF2B5EF4-FFF2-40B4-BE49-F238E27FC236}">
              <a16:creationId xmlns:a16="http://schemas.microsoft.com/office/drawing/2014/main" id="{00000000-0008-0000-1C00-000036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59" name="Shape 3">
          <a:extLst>
            <a:ext uri="{FF2B5EF4-FFF2-40B4-BE49-F238E27FC236}">
              <a16:creationId xmlns:a16="http://schemas.microsoft.com/office/drawing/2014/main" id="{00000000-0008-0000-1C00-000037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60" name="Shape 3">
          <a:extLst>
            <a:ext uri="{FF2B5EF4-FFF2-40B4-BE49-F238E27FC236}">
              <a16:creationId xmlns:a16="http://schemas.microsoft.com/office/drawing/2014/main" id="{00000000-0008-0000-1C00-000038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61" name="Shape 3">
          <a:extLst>
            <a:ext uri="{FF2B5EF4-FFF2-40B4-BE49-F238E27FC236}">
              <a16:creationId xmlns:a16="http://schemas.microsoft.com/office/drawing/2014/main" id="{00000000-0008-0000-1C00-000039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62" name="Shape 3">
          <a:extLst>
            <a:ext uri="{FF2B5EF4-FFF2-40B4-BE49-F238E27FC236}">
              <a16:creationId xmlns:a16="http://schemas.microsoft.com/office/drawing/2014/main" id="{00000000-0008-0000-1C00-00003A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63" name="Shape 3">
          <a:extLst>
            <a:ext uri="{FF2B5EF4-FFF2-40B4-BE49-F238E27FC236}">
              <a16:creationId xmlns:a16="http://schemas.microsoft.com/office/drawing/2014/main" id="{00000000-0008-0000-1C00-00003B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64" name="Shape 3">
          <a:extLst>
            <a:ext uri="{FF2B5EF4-FFF2-40B4-BE49-F238E27FC236}">
              <a16:creationId xmlns:a16="http://schemas.microsoft.com/office/drawing/2014/main" id="{00000000-0008-0000-1C00-00003C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21565" name="Shape 4">
          <a:extLst>
            <a:ext uri="{FF2B5EF4-FFF2-40B4-BE49-F238E27FC236}">
              <a16:creationId xmlns:a16="http://schemas.microsoft.com/office/drawing/2014/main" id="{00000000-0008-0000-1C00-00003D54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21566" name="Shape 4">
          <a:extLst>
            <a:ext uri="{FF2B5EF4-FFF2-40B4-BE49-F238E27FC236}">
              <a16:creationId xmlns:a16="http://schemas.microsoft.com/office/drawing/2014/main" id="{00000000-0008-0000-1C00-00003E54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67" name="Shape 3">
          <a:extLst>
            <a:ext uri="{FF2B5EF4-FFF2-40B4-BE49-F238E27FC236}">
              <a16:creationId xmlns:a16="http://schemas.microsoft.com/office/drawing/2014/main" id="{00000000-0008-0000-1C00-00003F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68" name="Shape 3">
          <a:extLst>
            <a:ext uri="{FF2B5EF4-FFF2-40B4-BE49-F238E27FC236}">
              <a16:creationId xmlns:a16="http://schemas.microsoft.com/office/drawing/2014/main" id="{00000000-0008-0000-1C00-000040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69" name="Shape 3">
          <a:extLst>
            <a:ext uri="{FF2B5EF4-FFF2-40B4-BE49-F238E27FC236}">
              <a16:creationId xmlns:a16="http://schemas.microsoft.com/office/drawing/2014/main" id="{00000000-0008-0000-1C00-000041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70" name="Shape 3">
          <a:extLst>
            <a:ext uri="{FF2B5EF4-FFF2-40B4-BE49-F238E27FC236}">
              <a16:creationId xmlns:a16="http://schemas.microsoft.com/office/drawing/2014/main" id="{00000000-0008-0000-1C00-000042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71" name="Shape 3">
          <a:extLst>
            <a:ext uri="{FF2B5EF4-FFF2-40B4-BE49-F238E27FC236}">
              <a16:creationId xmlns:a16="http://schemas.microsoft.com/office/drawing/2014/main" id="{00000000-0008-0000-1C00-000043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72" name="Shape 3">
          <a:extLst>
            <a:ext uri="{FF2B5EF4-FFF2-40B4-BE49-F238E27FC236}">
              <a16:creationId xmlns:a16="http://schemas.microsoft.com/office/drawing/2014/main" id="{00000000-0008-0000-1C00-000044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73" name="Shape 3">
          <a:extLst>
            <a:ext uri="{FF2B5EF4-FFF2-40B4-BE49-F238E27FC236}">
              <a16:creationId xmlns:a16="http://schemas.microsoft.com/office/drawing/2014/main" id="{00000000-0008-0000-1C00-000045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21574" name="Shape 3">
          <a:extLst>
            <a:ext uri="{FF2B5EF4-FFF2-40B4-BE49-F238E27FC236}">
              <a16:creationId xmlns:a16="http://schemas.microsoft.com/office/drawing/2014/main" id="{00000000-0008-0000-1C00-000046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75" name="Shape 3">
          <a:extLst>
            <a:ext uri="{FF2B5EF4-FFF2-40B4-BE49-F238E27FC236}">
              <a16:creationId xmlns:a16="http://schemas.microsoft.com/office/drawing/2014/main" id="{00000000-0008-0000-1C00-000047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76" name="Shape 3">
          <a:extLst>
            <a:ext uri="{FF2B5EF4-FFF2-40B4-BE49-F238E27FC236}">
              <a16:creationId xmlns:a16="http://schemas.microsoft.com/office/drawing/2014/main" id="{00000000-0008-0000-1C00-000048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77" name="Shape 3">
          <a:extLst>
            <a:ext uri="{FF2B5EF4-FFF2-40B4-BE49-F238E27FC236}">
              <a16:creationId xmlns:a16="http://schemas.microsoft.com/office/drawing/2014/main" id="{00000000-0008-0000-1C00-000049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78" name="Shape 3">
          <a:extLst>
            <a:ext uri="{FF2B5EF4-FFF2-40B4-BE49-F238E27FC236}">
              <a16:creationId xmlns:a16="http://schemas.microsoft.com/office/drawing/2014/main" id="{00000000-0008-0000-1C00-00004A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79" name="Shape 3">
          <a:extLst>
            <a:ext uri="{FF2B5EF4-FFF2-40B4-BE49-F238E27FC236}">
              <a16:creationId xmlns:a16="http://schemas.microsoft.com/office/drawing/2014/main" id="{00000000-0008-0000-1C00-00004B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80" name="Shape 3">
          <a:extLst>
            <a:ext uri="{FF2B5EF4-FFF2-40B4-BE49-F238E27FC236}">
              <a16:creationId xmlns:a16="http://schemas.microsoft.com/office/drawing/2014/main" id="{00000000-0008-0000-1C00-00004C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81" name="Shape 3">
          <a:extLst>
            <a:ext uri="{FF2B5EF4-FFF2-40B4-BE49-F238E27FC236}">
              <a16:creationId xmlns:a16="http://schemas.microsoft.com/office/drawing/2014/main" id="{00000000-0008-0000-1C00-00004D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82" name="Shape 3">
          <a:extLst>
            <a:ext uri="{FF2B5EF4-FFF2-40B4-BE49-F238E27FC236}">
              <a16:creationId xmlns:a16="http://schemas.microsoft.com/office/drawing/2014/main" id="{00000000-0008-0000-1C00-00004E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83" name="Shape 3">
          <a:extLst>
            <a:ext uri="{FF2B5EF4-FFF2-40B4-BE49-F238E27FC236}">
              <a16:creationId xmlns:a16="http://schemas.microsoft.com/office/drawing/2014/main" id="{00000000-0008-0000-1C00-00004F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84" name="Shape 3">
          <a:extLst>
            <a:ext uri="{FF2B5EF4-FFF2-40B4-BE49-F238E27FC236}">
              <a16:creationId xmlns:a16="http://schemas.microsoft.com/office/drawing/2014/main" id="{00000000-0008-0000-1C00-000050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85" name="Shape 3">
          <a:extLst>
            <a:ext uri="{FF2B5EF4-FFF2-40B4-BE49-F238E27FC236}">
              <a16:creationId xmlns:a16="http://schemas.microsoft.com/office/drawing/2014/main" id="{00000000-0008-0000-1C00-000051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86" name="Shape 3">
          <a:extLst>
            <a:ext uri="{FF2B5EF4-FFF2-40B4-BE49-F238E27FC236}">
              <a16:creationId xmlns:a16="http://schemas.microsoft.com/office/drawing/2014/main" id="{00000000-0008-0000-1C00-000052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87" name="Shape 3">
          <a:extLst>
            <a:ext uri="{FF2B5EF4-FFF2-40B4-BE49-F238E27FC236}">
              <a16:creationId xmlns:a16="http://schemas.microsoft.com/office/drawing/2014/main" id="{00000000-0008-0000-1C00-000053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88" name="Shape 3">
          <a:extLst>
            <a:ext uri="{FF2B5EF4-FFF2-40B4-BE49-F238E27FC236}">
              <a16:creationId xmlns:a16="http://schemas.microsoft.com/office/drawing/2014/main" id="{00000000-0008-0000-1C00-000054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89" name="Shape 3">
          <a:extLst>
            <a:ext uri="{FF2B5EF4-FFF2-40B4-BE49-F238E27FC236}">
              <a16:creationId xmlns:a16="http://schemas.microsoft.com/office/drawing/2014/main" id="{00000000-0008-0000-1C00-000055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90" name="Shape 3">
          <a:extLst>
            <a:ext uri="{FF2B5EF4-FFF2-40B4-BE49-F238E27FC236}">
              <a16:creationId xmlns:a16="http://schemas.microsoft.com/office/drawing/2014/main" id="{00000000-0008-0000-1C00-000056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91" name="Shape 3">
          <a:extLst>
            <a:ext uri="{FF2B5EF4-FFF2-40B4-BE49-F238E27FC236}">
              <a16:creationId xmlns:a16="http://schemas.microsoft.com/office/drawing/2014/main" id="{00000000-0008-0000-1C00-000057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92" name="Shape 3">
          <a:extLst>
            <a:ext uri="{FF2B5EF4-FFF2-40B4-BE49-F238E27FC236}">
              <a16:creationId xmlns:a16="http://schemas.microsoft.com/office/drawing/2014/main" id="{00000000-0008-0000-1C00-000058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93" name="Shape 3">
          <a:extLst>
            <a:ext uri="{FF2B5EF4-FFF2-40B4-BE49-F238E27FC236}">
              <a16:creationId xmlns:a16="http://schemas.microsoft.com/office/drawing/2014/main" id="{00000000-0008-0000-1C00-000059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94" name="Shape 3">
          <a:extLst>
            <a:ext uri="{FF2B5EF4-FFF2-40B4-BE49-F238E27FC236}">
              <a16:creationId xmlns:a16="http://schemas.microsoft.com/office/drawing/2014/main" id="{00000000-0008-0000-1C00-00005A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95" name="Shape 3">
          <a:extLst>
            <a:ext uri="{FF2B5EF4-FFF2-40B4-BE49-F238E27FC236}">
              <a16:creationId xmlns:a16="http://schemas.microsoft.com/office/drawing/2014/main" id="{00000000-0008-0000-1C00-00005B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96" name="Shape 3">
          <a:extLst>
            <a:ext uri="{FF2B5EF4-FFF2-40B4-BE49-F238E27FC236}">
              <a16:creationId xmlns:a16="http://schemas.microsoft.com/office/drawing/2014/main" id="{00000000-0008-0000-1C00-00005C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97" name="Shape 3">
          <a:extLst>
            <a:ext uri="{FF2B5EF4-FFF2-40B4-BE49-F238E27FC236}">
              <a16:creationId xmlns:a16="http://schemas.microsoft.com/office/drawing/2014/main" id="{00000000-0008-0000-1C00-00005D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98" name="Shape 3">
          <a:extLst>
            <a:ext uri="{FF2B5EF4-FFF2-40B4-BE49-F238E27FC236}">
              <a16:creationId xmlns:a16="http://schemas.microsoft.com/office/drawing/2014/main" id="{00000000-0008-0000-1C00-00005E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599" name="Shape 3">
          <a:extLst>
            <a:ext uri="{FF2B5EF4-FFF2-40B4-BE49-F238E27FC236}">
              <a16:creationId xmlns:a16="http://schemas.microsoft.com/office/drawing/2014/main" id="{00000000-0008-0000-1C00-00005F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600" name="Shape 3">
          <a:extLst>
            <a:ext uri="{FF2B5EF4-FFF2-40B4-BE49-F238E27FC236}">
              <a16:creationId xmlns:a16="http://schemas.microsoft.com/office/drawing/2014/main" id="{00000000-0008-0000-1C00-000060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601" name="Shape 3">
          <a:extLst>
            <a:ext uri="{FF2B5EF4-FFF2-40B4-BE49-F238E27FC236}">
              <a16:creationId xmlns:a16="http://schemas.microsoft.com/office/drawing/2014/main" id="{00000000-0008-0000-1C00-000061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602" name="Shape 3">
          <a:extLst>
            <a:ext uri="{FF2B5EF4-FFF2-40B4-BE49-F238E27FC236}">
              <a16:creationId xmlns:a16="http://schemas.microsoft.com/office/drawing/2014/main" id="{00000000-0008-0000-1C00-000062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603" name="Shape 3">
          <a:extLst>
            <a:ext uri="{FF2B5EF4-FFF2-40B4-BE49-F238E27FC236}">
              <a16:creationId xmlns:a16="http://schemas.microsoft.com/office/drawing/2014/main" id="{00000000-0008-0000-1C00-000063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604" name="Shape 3">
          <a:extLst>
            <a:ext uri="{FF2B5EF4-FFF2-40B4-BE49-F238E27FC236}">
              <a16:creationId xmlns:a16="http://schemas.microsoft.com/office/drawing/2014/main" id="{00000000-0008-0000-1C00-000064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605" name="Shape 3">
          <a:extLst>
            <a:ext uri="{FF2B5EF4-FFF2-40B4-BE49-F238E27FC236}">
              <a16:creationId xmlns:a16="http://schemas.microsoft.com/office/drawing/2014/main" id="{00000000-0008-0000-1C00-000065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606" name="Shape 3">
          <a:extLst>
            <a:ext uri="{FF2B5EF4-FFF2-40B4-BE49-F238E27FC236}">
              <a16:creationId xmlns:a16="http://schemas.microsoft.com/office/drawing/2014/main" id="{00000000-0008-0000-1C00-000066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607" name="Shape 3">
          <a:extLst>
            <a:ext uri="{FF2B5EF4-FFF2-40B4-BE49-F238E27FC236}">
              <a16:creationId xmlns:a16="http://schemas.microsoft.com/office/drawing/2014/main" id="{00000000-0008-0000-1C00-000067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608" name="Shape 3">
          <a:extLst>
            <a:ext uri="{FF2B5EF4-FFF2-40B4-BE49-F238E27FC236}">
              <a16:creationId xmlns:a16="http://schemas.microsoft.com/office/drawing/2014/main" id="{00000000-0008-0000-1C00-000068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21609" name="Shape 3">
          <a:extLst>
            <a:ext uri="{FF2B5EF4-FFF2-40B4-BE49-F238E27FC236}">
              <a16:creationId xmlns:a16="http://schemas.microsoft.com/office/drawing/2014/main" id="{00000000-0008-0000-1C00-00006954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10" name="Shape 3">
          <a:extLst>
            <a:ext uri="{FF2B5EF4-FFF2-40B4-BE49-F238E27FC236}">
              <a16:creationId xmlns:a16="http://schemas.microsoft.com/office/drawing/2014/main" id="{00000000-0008-0000-1C00-00006A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11" name="Shape 3">
          <a:extLst>
            <a:ext uri="{FF2B5EF4-FFF2-40B4-BE49-F238E27FC236}">
              <a16:creationId xmlns:a16="http://schemas.microsoft.com/office/drawing/2014/main" id="{00000000-0008-0000-1C00-00006B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12" name="Shape 3">
          <a:extLst>
            <a:ext uri="{FF2B5EF4-FFF2-40B4-BE49-F238E27FC236}">
              <a16:creationId xmlns:a16="http://schemas.microsoft.com/office/drawing/2014/main" id="{00000000-0008-0000-1C00-00006C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13" name="Shape 3">
          <a:extLst>
            <a:ext uri="{FF2B5EF4-FFF2-40B4-BE49-F238E27FC236}">
              <a16:creationId xmlns:a16="http://schemas.microsoft.com/office/drawing/2014/main" id="{00000000-0008-0000-1C00-00006D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14" name="Shape 3">
          <a:extLst>
            <a:ext uri="{FF2B5EF4-FFF2-40B4-BE49-F238E27FC236}">
              <a16:creationId xmlns:a16="http://schemas.microsoft.com/office/drawing/2014/main" id="{00000000-0008-0000-1C00-00006E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15" name="Shape 3">
          <a:extLst>
            <a:ext uri="{FF2B5EF4-FFF2-40B4-BE49-F238E27FC236}">
              <a16:creationId xmlns:a16="http://schemas.microsoft.com/office/drawing/2014/main" id="{00000000-0008-0000-1C00-00006F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16" name="Shape 3">
          <a:extLst>
            <a:ext uri="{FF2B5EF4-FFF2-40B4-BE49-F238E27FC236}">
              <a16:creationId xmlns:a16="http://schemas.microsoft.com/office/drawing/2014/main" id="{00000000-0008-0000-1C00-000070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17" name="Shape 3">
          <a:extLst>
            <a:ext uri="{FF2B5EF4-FFF2-40B4-BE49-F238E27FC236}">
              <a16:creationId xmlns:a16="http://schemas.microsoft.com/office/drawing/2014/main" id="{00000000-0008-0000-1C00-000071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18" name="Shape 3">
          <a:extLst>
            <a:ext uri="{FF2B5EF4-FFF2-40B4-BE49-F238E27FC236}">
              <a16:creationId xmlns:a16="http://schemas.microsoft.com/office/drawing/2014/main" id="{00000000-0008-0000-1C00-000072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19" name="Shape 3">
          <a:extLst>
            <a:ext uri="{FF2B5EF4-FFF2-40B4-BE49-F238E27FC236}">
              <a16:creationId xmlns:a16="http://schemas.microsoft.com/office/drawing/2014/main" id="{00000000-0008-0000-1C00-000073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20" name="Shape 3">
          <a:extLst>
            <a:ext uri="{FF2B5EF4-FFF2-40B4-BE49-F238E27FC236}">
              <a16:creationId xmlns:a16="http://schemas.microsoft.com/office/drawing/2014/main" id="{00000000-0008-0000-1C00-000074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21" name="Shape 3">
          <a:extLst>
            <a:ext uri="{FF2B5EF4-FFF2-40B4-BE49-F238E27FC236}">
              <a16:creationId xmlns:a16="http://schemas.microsoft.com/office/drawing/2014/main" id="{00000000-0008-0000-1C00-000075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22" name="Shape 3">
          <a:extLst>
            <a:ext uri="{FF2B5EF4-FFF2-40B4-BE49-F238E27FC236}">
              <a16:creationId xmlns:a16="http://schemas.microsoft.com/office/drawing/2014/main" id="{00000000-0008-0000-1C00-000076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23" name="Shape 3">
          <a:extLst>
            <a:ext uri="{FF2B5EF4-FFF2-40B4-BE49-F238E27FC236}">
              <a16:creationId xmlns:a16="http://schemas.microsoft.com/office/drawing/2014/main" id="{00000000-0008-0000-1C00-000077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24" name="Shape 3">
          <a:extLst>
            <a:ext uri="{FF2B5EF4-FFF2-40B4-BE49-F238E27FC236}">
              <a16:creationId xmlns:a16="http://schemas.microsoft.com/office/drawing/2014/main" id="{00000000-0008-0000-1C00-000078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25" name="Shape 3">
          <a:extLst>
            <a:ext uri="{FF2B5EF4-FFF2-40B4-BE49-F238E27FC236}">
              <a16:creationId xmlns:a16="http://schemas.microsoft.com/office/drawing/2014/main" id="{00000000-0008-0000-1C00-000079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26" name="Shape 3">
          <a:extLst>
            <a:ext uri="{FF2B5EF4-FFF2-40B4-BE49-F238E27FC236}">
              <a16:creationId xmlns:a16="http://schemas.microsoft.com/office/drawing/2014/main" id="{00000000-0008-0000-1C00-00007A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21627" name="Shape 4">
          <a:extLst>
            <a:ext uri="{FF2B5EF4-FFF2-40B4-BE49-F238E27FC236}">
              <a16:creationId xmlns:a16="http://schemas.microsoft.com/office/drawing/2014/main" id="{00000000-0008-0000-1C00-00007B54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21628" name="Shape 4">
          <a:extLst>
            <a:ext uri="{FF2B5EF4-FFF2-40B4-BE49-F238E27FC236}">
              <a16:creationId xmlns:a16="http://schemas.microsoft.com/office/drawing/2014/main" id="{00000000-0008-0000-1C00-00007C54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29" name="Shape 3">
          <a:extLst>
            <a:ext uri="{FF2B5EF4-FFF2-40B4-BE49-F238E27FC236}">
              <a16:creationId xmlns:a16="http://schemas.microsoft.com/office/drawing/2014/main" id="{00000000-0008-0000-1C00-00007D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30" name="Shape 3">
          <a:extLst>
            <a:ext uri="{FF2B5EF4-FFF2-40B4-BE49-F238E27FC236}">
              <a16:creationId xmlns:a16="http://schemas.microsoft.com/office/drawing/2014/main" id="{00000000-0008-0000-1C00-00007E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31" name="Shape 3">
          <a:extLst>
            <a:ext uri="{FF2B5EF4-FFF2-40B4-BE49-F238E27FC236}">
              <a16:creationId xmlns:a16="http://schemas.microsoft.com/office/drawing/2014/main" id="{00000000-0008-0000-1C00-00007F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32" name="Shape 3">
          <a:extLst>
            <a:ext uri="{FF2B5EF4-FFF2-40B4-BE49-F238E27FC236}">
              <a16:creationId xmlns:a16="http://schemas.microsoft.com/office/drawing/2014/main" id="{00000000-0008-0000-1C00-000080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33" name="Shape 3">
          <a:extLst>
            <a:ext uri="{FF2B5EF4-FFF2-40B4-BE49-F238E27FC236}">
              <a16:creationId xmlns:a16="http://schemas.microsoft.com/office/drawing/2014/main" id="{00000000-0008-0000-1C00-000081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34" name="Shape 3">
          <a:extLst>
            <a:ext uri="{FF2B5EF4-FFF2-40B4-BE49-F238E27FC236}">
              <a16:creationId xmlns:a16="http://schemas.microsoft.com/office/drawing/2014/main" id="{00000000-0008-0000-1C00-000082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35" name="Shape 3">
          <a:extLst>
            <a:ext uri="{FF2B5EF4-FFF2-40B4-BE49-F238E27FC236}">
              <a16:creationId xmlns:a16="http://schemas.microsoft.com/office/drawing/2014/main" id="{00000000-0008-0000-1C00-000083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21636" name="Shape 3">
          <a:extLst>
            <a:ext uri="{FF2B5EF4-FFF2-40B4-BE49-F238E27FC236}">
              <a16:creationId xmlns:a16="http://schemas.microsoft.com/office/drawing/2014/main" id="{00000000-0008-0000-1C00-000084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37" name="Shape 3">
          <a:extLst>
            <a:ext uri="{FF2B5EF4-FFF2-40B4-BE49-F238E27FC236}">
              <a16:creationId xmlns:a16="http://schemas.microsoft.com/office/drawing/2014/main" id="{00000000-0008-0000-1C00-000085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38" name="Shape 3">
          <a:extLst>
            <a:ext uri="{FF2B5EF4-FFF2-40B4-BE49-F238E27FC236}">
              <a16:creationId xmlns:a16="http://schemas.microsoft.com/office/drawing/2014/main" id="{00000000-0008-0000-1C00-000086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39" name="Shape 3">
          <a:extLst>
            <a:ext uri="{FF2B5EF4-FFF2-40B4-BE49-F238E27FC236}">
              <a16:creationId xmlns:a16="http://schemas.microsoft.com/office/drawing/2014/main" id="{00000000-0008-0000-1C00-000087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40" name="Shape 3">
          <a:extLst>
            <a:ext uri="{FF2B5EF4-FFF2-40B4-BE49-F238E27FC236}">
              <a16:creationId xmlns:a16="http://schemas.microsoft.com/office/drawing/2014/main" id="{00000000-0008-0000-1C00-000088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41" name="Shape 3">
          <a:extLst>
            <a:ext uri="{FF2B5EF4-FFF2-40B4-BE49-F238E27FC236}">
              <a16:creationId xmlns:a16="http://schemas.microsoft.com/office/drawing/2014/main" id="{00000000-0008-0000-1C00-000089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42" name="Shape 3">
          <a:extLst>
            <a:ext uri="{FF2B5EF4-FFF2-40B4-BE49-F238E27FC236}">
              <a16:creationId xmlns:a16="http://schemas.microsoft.com/office/drawing/2014/main" id="{00000000-0008-0000-1C00-00008A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43" name="Shape 3">
          <a:extLst>
            <a:ext uri="{FF2B5EF4-FFF2-40B4-BE49-F238E27FC236}">
              <a16:creationId xmlns:a16="http://schemas.microsoft.com/office/drawing/2014/main" id="{00000000-0008-0000-1C00-00008B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44" name="Shape 3">
          <a:extLst>
            <a:ext uri="{FF2B5EF4-FFF2-40B4-BE49-F238E27FC236}">
              <a16:creationId xmlns:a16="http://schemas.microsoft.com/office/drawing/2014/main" id="{00000000-0008-0000-1C00-00008C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45" name="Shape 3">
          <a:extLst>
            <a:ext uri="{FF2B5EF4-FFF2-40B4-BE49-F238E27FC236}">
              <a16:creationId xmlns:a16="http://schemas.microsoft.com/office/drawing/2014/main" id="{00000000-0008-0000-1C00-00008D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46" name="Shape 3">
          <a:extLst>
            <a:ext uri="{FF2B5EF4-FFF2-40B4-BE49-F238E27FC236}">
              <a16:creationId xmlns:a16="http://schemas.microsoft.com/office/drawing/2014/main" id="{00000000-0008-0000-1C00-00008E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47" name="Shape 3">
          <a:extLst>
            <a:ext uri="{FF2B5EF4-FFF2-40B4-BE49-F238E27FC236}">
              <a16:creationId xmlns:a16="http://schemas.microsoft.com/office/drawing/2014/main" id="{00000000-0008-0000-1C00-00008F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48" name="Shape 3">
          <a:extLst>
            <a:ext uri="{FF2B5EF4-FFF2-40B4-BE49-F238E27FC236}">
              <a16:creationId xmlns:a16="http://schemas.microsoft.com/office/drawing/2014/main" id="{00000000-0008-0000-1C00-000090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49" name="Shape 3">
          <a:extLst>
            <a:ext uri="{FF2B5EF4-FFF2-40B4-BE49-F238E27FC236}">
              <a16:creationId xmlns:a16="http://schemas.microsoft.com/office/drawing/2014/main" id="{00000000-0008-0000-1C00-000091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50" name="Shape 3">
          <a:extLst>
            <a:ext uri="{FF2B5EF4-FFF2-40B4-BE49-F238E27FC236}">
              <a16:creationId xmlns:a16="http://schemas.microsoft.com/office/drawing/2014/main" id="{00000000-0008-0000-1C00-000092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51" name="Shape 3">
          <a:extLst>
            <a:ext uri="{FF2B5EF4-FFF2-40B4-BE49-F238E27FC236}">
              <a16:creationId xmlns:a16="http://schemas.microsoft.com/office/drawing/2014/main" id="{00000000-0008-0000-1C00-000093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52" name="Shape 3">
          <a:extLst>
            <a:ext uri="{FF2B5EF4-FFF2-40B4-BE49-F238E27FC236}">
              <a16:creationId xmlns:a16="http://schemas.microsoft.com/office/drawing/2014/main" id="{00000000-0008-0000-1C00-000094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53" name="Shape 3">
          <a:extLst>
            <a:ext uri="{FF2B5EF4-FFF2-40B4-BE49-F238E27FC236}">
              <a16:creationId xmlns:a16="http://schemas.microsoft.com/office/drawing/2014/main" id="{00000000-0008-0000-1C00-000095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54" name="Shape 3">
          <a:extLst>
            <a:ext uri="{FF2B5EF4-FFF2-40B4-BE49-F238E27FC236}">
              <a16:creationId xmlns:a16="http://schemas.microsoft.com/office/drawing/2014/main" id="{00000000-0008-0000-1C00-000096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55" name="Shape 3">
          <a:extLst>
            <a:ext uri="{FF2B5EF4-FFF2-40B4-BE49-F238E27FC236}">
              <a16:creationId xmlns:a16="http://schemas.microsoft.com/office/drawing/2014/main" id="{00000000-0008-0000-1C00-000097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56" name="Shape 3">
          <a:extLst>
            <a:ext uri="{FF2B5EF4-FFF2-40B4-BE49-F238E27FC236}">
              <a16:creationId xmlns:a16="http://schemas.microsoft.com/office/drawing/2014/main" id="{00000000-0008-0000-1C00-000098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57" name="Shape 3">
          <a:extLst>
            <a:ext uri="{FF2B5EF4-FFF2-40B4-BE49-F238E27FC236}">
              <a16:creationId xmlns:a16="http://schemas.microsoft.com/office/drawing/2014/main" id="{00000000-0008-0000-1C00-000099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58" name="Shape 3">
          <a:extLst>
            <a:ext uri="{FF2B5EF4-FFF2-40B4-BE49-F238E27FC236}">
              <a16:creationId xmlns:a16="http://schemas.microsoft.com/office/drawing/2014/main" id="{00000000-0008-0000-1C00-00009A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59" name="Shape 3">
          <a:extLst>
            <a:ext uri="{FF2B5EF4-FFF2-40B4-BE49-F238E27FC236}">
              <a16:creationId xmlns:a16="http://schemas.microsoft.com/office/drawing/2014/main" id="{00000000-0008-0000-1C00-00009B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60" name="Shape 3">
          <a:extLst>
            <a:ext uri="{FF2B5EF4-FFF2-40B4-BE49-F238E27FC236}">
              <a16:creationId xmlns:a16="http://schemas.microsoft.com/office/drawing/2014/main" id="{00000000-0008-0000-1C00-00009C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61" name="Shape 3">
          <a:extLst>
            <a:ext uri="{FF2B5EF4-FFF2-40B4-BE49-F238E27FC236}">
              <a16:creationId xmlns:a16="http://schemas.microsoft.com/office/drawing/2014/main" id="{00000000-0008-0000-1C00-00009D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62" name="Shape 3">
          <a:extLst>
            <a:ext uri="{FF2B5EF4-FFF2-40B4-BE49-F238E27FC236}">
              <a16:creationId xmlns:a16="http://schemas.microsoft.com/office/drawing/2014/main" id="{00000000-0008-0000-1C00-00009E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63" name="Shape 3">
          <a:extLst>
            <a:ext uri="{FF2B5EF4-FFF2-40B4-BE49-F238E27FC236}">
              <a16:creationId xmlns:a16="http://schemas.microsoft.com/office/drawing/2014/main" id="{00000000-0008-0000-1C00-00009F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64" name="Shape 3">
          <a:extLst>
            <a:ext uri="{FF2B5EF4-FFF2-40B4-BE49-F238E27FC236}">
              <a16:creationId xmlns:a16="http://schemas.microsoft.com/office/drawing/2014/main" id="{00000000-0008-0000-1C00-0000A0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65" name="Shape 3">
          <a:extLst>
            <a:ext uri="{FF2B5EF4-FFF2-40B4-BE49-F238E27FC236}">
              <a16:creationId xmlns:a16="http://schemas.microsoft.com/office/drawing/2014/main" id="{00000000-0008-0000-1C00-0000A1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66" name="Shape 3">
          <a:extLst>
            <a:ext uri="{FF2B5EF4-FFF2-40B4-BE49-F238E27FC236}">
              <a16:creationId xmlns:a16="http://schemas.microsoft.com/office/drawing/2014/main" id="{00000000-0008-0000-1C00-0000A2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67" name="Shape 3">
          <a:extLst>
            <a:ext uri="{FF2B5EF4-FFF2-40B4-BE49-F238E27FC236}">
              <a16:creationId xmlns:a16="http://schemas.microsoft.com/office/drawing/2014/main" id="{00000000-0008-0000-1C00-0000A3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68" name="Shape 3">
          <a:extLst>
            <a:ext uri="{FF2B5EF4-FFF2-40B4-BE49-F238E27FC236}">
              <a16:creationId xmlns:a16="http://schemas.microsoft.com/office/drawing/2014/main" id="{00000000-0008-0000-1C00-0000A4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69" name="Shape 3">
          <a:extLst>
            <a:ext uri="{FF2B5EF4-FFF2-40B4-BE49-F238E27FC236}">
              <a16:creationId xmlns:a16="http://schemas.microsoft.com/office/drawing/2014/main" id="{00000000-0008-0000-1C00-0000A5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70" name="Shape 3">
          <a:extLst>
            <a:ext uri="{FF2B5EF4-FFF2-40B4-BE49-F238E27FC236}">
              <a16:creationId xmlns:a16="http://schemas.microsoft.com/office/drawing/2014/main" id="{00000000-0008-0000-1C00-0000A6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21671" name="Shape 3">
          <a:extLst>
            <a:ext uri="{FF2B5EF4-FFF2-40B4-BE49-F238E27FC236}">
              <a16:creationId xmlns:a16="http://schemas.microsoft.com/office/drawing/2014/main" id="{00000000-0008-0000-1C00-0000A754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34" name="Shape 3">
          <a:extLst>
            <a:ext uri="{FF2B5EF4-FFF2-40B4-BE49-F238E27FC236}">
              <a16:creationId xmlns:a16="http://schemas.microsoft.com/office/drawing/2014/main" id="{00000000-0008-0000-1D00-0000EE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35" name="Shape 3">
          <a:extLst>
            <a:ext uri="{FF2B5EF4-FFF2-40B4-BE49-F238E27FC236}">
              <a16:creationId xmlns:a16="http://schemas.microsoft.com/office/drawing/2014/main" id="{00000000-0008-0000-1D00-0000EF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36" name="Shape 3">
          <a:extLst>
            <a:ext uri="{FF2B5EF4-FFF2-40B4-BE49-F238E27FC236}">
              <a16:creationId xmlns:a16="http://schemas.microsoft.com/office/drawing/2014/main" id="{00000000-0008-0000-1D00-0000F0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37" name="Shape 3">
          <a:extLst>
            <a:ext uri="{FF2B5EF4-FFF2-40B4-BE49-F238E27FC236}">
              <a16:creationId xmlns:a16="http://schemas.microsoft.com/office/drawing/2014/main" id="{00000000-0008-0000-1D00-0000F1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38" name="Shape 3">
          <a:extLst>
            <a:ext uri="{FF2B5EF4-FFF2-40B4-BE49-F238E27FC236}">
              <a16:creationId xmlns:a16="http://schemas.microsoft.com/office/drawing/2014/main" id="{00000000-0008-0000-1D00-0000F2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39" name="Shape 3">
          <a:extLst>
            <a:ext uri="{FF2B5EF4-FFF2-40B4-BE49-F238E27FC236}">
              <a16:creationId xmlns:a16="http://schemas.microsoft.com/office/drawing/2014/main" id="{00000000-0008-0000-1D00-0000F3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40" name="Shape 3">
          <a:extLst>
            <a:ext uri="{FF2B5EF4-FFF2-40B4-BE49-F238E27FC236}">
              <a16:creationId xmlns:a16="http://schemas.microsoft.com/office/drawing/2014/main" id="{00000000-0008-0000-1D00-0000F4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41" name="Shape 3">
          <a:extLst>
            <a:ext uri="{FF2B5EF4-FFF2-40B4-BE49-F238E27FC236}">
              <a16:creationId xmlns:a16="http://schemas.microsoft.com/office/drawing/2014/main" id="{00000000-0008-0000-1D00-0000F5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42" name="Shape 3">
          <a:extLst>
            <a:ext uri="{FF2B5EF4-FFF2-40B4-BE49-F238E27FC236}">
              <a16:creationId xmlns:a16="http://schemas.microsoft.com/office/drawing/2014/main" id="{00000000-0008-0000-1D00-0000F6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43" name="Shape 3">
          <a:extLst>
            <a:ext uri="{FF2B5EF4-FFF2-40B4-BE49-F238E27FC236}">
              <a16:creationId xmlns:a16="http://schemas.microsoft.com/office/drawing/2014/main" id="{00000000-0008-0000-1D00-0000F7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44" name="Shape 3">
          <a:extLst>
            <a:ext uri="{FF2B5EF4-FFF2-40B4-BE49-F238E27FC236}">
              <a16:creationId xmlns:a16="http://schemas.microsoft.com/office/drawing/2014/main" id="{00000000-0008-0000-1D00-0000F8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45" name="Shape 3">
          <a:extLst>
            <a:ext uri="{FF2B5EF4-FFF2-40B4-BE49-F238E27FC236}">
              <a16:creationId xmlns:a16="http://schemas.microsoft.com/office/drawing/2014/main" id="{00000000-0008-0000-1D00-0000F9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46" name="Shape 3">
          <a:extLst>
            <a:ext uri="{FF2B5EF4-FFF2-40B4-BE49-F238E27FC236}">
              <a16:creationId xmlns:a16="http://schemas.microsoft.com/office/drawing/2014/main" id="{00000000-0008-0000-1D00-0000FA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47" name="Shape 3">
          <a:extLst>
            <a:ext uri="{FF2B5EF4-FFF2-40B4-BE49-F238E27FC236}">
              <a16:creationId xmlns:a16="http://schemas.microsoft.com/office/drawing/2014/main" id="{00000000-0008-0000-1D00-0000FB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48" name="Shape 3">
          <a:extLst>
            <a:ext uri="{FF2B5EF4-FFF2-40B4-BE49-F238E27FC236}">
              <a16:creationId xmlns:a16="http://schemas.microsoft.com/office/drawing/2014/main" id="{00000000-0008-0000-1D00-0000FC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49" name="Shape 3">
          <a:extLst>
            <a:ext uri="{FF2B5EF4-FFF2-40B4-BE49-F238E27FC236}">
              <a16:creationId xmlns:a16="http://schemas.microsoft.com/office/drawing/2014/main" id="{00000000-0008-0000-1D00-0000FD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50" name="Shape 3">
          <a:extLst>
            <a:ext uri="{FF2B5EF4-FFF2-40B4-BE49-F238E27FC236}">
              <a16:creationId xmlns:a16="http://schemas.microsoft.com/office/drawing/2014/main" id="{00000000-0008-0000-1D00-0000FE5B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23551" name="Shape 4">
          <a:extLst>
            <a:ext uri="{FF2B5EF4-FFF2-40B4-BE49-F238E27FC236}">
              <a16:creationId xmlns:a16="http://schemas.microsoft.com/office/drawing/2014/main" id="{00000000-0008-0000-1D00-0000FF5B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23552" name="Shape 4">
          <a:extLst>
            <a:ext uri="{FF2B5EF4-FFF2-40B4-BE49-F238E27FC236}">
              <a16:creationId xmlns:a16="http://schemas.microsoft.com/office/drawing/2014/main" id="{00000000-0008-0000-1D00-0000005C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53" name="Shape 3">
          <a:extLst>
            <a:ext uri="{FF2B5EF4-FFF2-40B4-BE49-F238E27FC236}">
              <a16:creationId xmlns:a16="http://schemas.microsoft.com/office/drawing/2014/main" id="{00000000-0008-0000-1D00-000001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54" name="Shape 3">
          <a:extLst>
            <a:ext uri="{FF2B5EF4-FFF2-40B4-BE49-F238E27FC236}">
              <a16:creationId xmlns:a16="http://schemas.microsoft.com/office/drawing/2014/main" id="{00000000-0008-0000-1D00-000002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55" name="Shape 3">
          <a:extLst>
            <a:ext uri="{FF2B5EF4-FFF2-40B4-BE49-F238E27FC236}">
              <a16:creationId xmlns:a16="http://schemas.microsoft.com/office/drawing/2014/main" id="{00000000-0008-0000-1D00-000003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56" name="Shape 3">
          <a:extLst>
            <a:ext uri="{FF2B5EF4-FFF2-40B4-BE49-F238E27FC236}">
              <a16:creationId xmlns:a16="http://schemas.microsoft.com/office/drawing/2014/main" id="{00000000-0008-0000-1D00-000004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57" name="Shape 3">
          <a:extLst>
            <a:ext uri="{FF2B5EF4-FFF2-40B4-BE49-F238E27FC236}">
              <a16:creationId xmlns:a16="http://schemas.microsoft.com/office/drawing/2014/main" id="{00000000-0008-0000-1D00-000005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58" name="Shape 3">
          <a:extLst>
            <a:ext uri="{FF2B5EF4-FFF2-40B4-BE49-F238E27FC236}">
              <a16:creationId xmlns:a16="http://schemas.microsoft.com/office/drawing/2014/main" id="{00000000-0008-0000-1D00-000006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59" name="Shape 3">
          <a:extLst>
            <a:ext uri="{FF2B5EF4-FFF2-40B4-BE49-F238E27FC236}">
              <a16:creationId xmlns:a16="http://schemas.microsoft.com/office/drawing/2014/main" id="{00000000-0008-0000-1D00-000007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23560" name="Shape 3">
          <a:extLst>
            <a:ext uri="{FF2B5EF4-FFF2-40B4-BE49-F238E27FC236}">
              <a16:creationId xmlns:a16="http://schemas.microsoft.com/office/drawing/2014/main" id="{00000000-0008-0000-1D00-000008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61" name="Shape 3">
          <a:extLst>
            <a:ext uri="{FF2B5EF4-FFF2-40B4-BE49-F238E27FC236}">
              <a16:creationId xmlns:a16="http://schemas.microsoft.com/office/drawing/2014/main" id="{00000000-0008-0000-1D00-000009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62" name="Shape 3">
          <a:extLst>
            <a:ext uri="{FF2B5EF4-FFF2-40B4-BE49-F238E27FC236}">
              <a16:creationId xmlns:a16="http://schemas.microsoft.com/office/drawing/2014/main" id="{00000000-0008-0000-1D00-00000A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63" name="Shape 3">
          <a:extLst>
            <a:ext uri="{FF2B5EF4-FFF2-40B4-BE49-F238E27FC236}">
              <a16:creationId xmlns:a16="http://schemas.microsoft.com/office/drawing/2014/main" id="{00000000-0008-0000-1D00-00000B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64" name="Shape 3">
          <a:extLst>
            <a:ext uri="{FF2B5EF4-FFF2-40B4-BE49-F238E27FC236}">
              <a16:creationId xmlns:a16="http://schemas.microsoft.com/office/drawing/2014/main" id="{00000000-0008-0000-1D00-00000C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65" name="Shape 3">
          <a:extLst>
            <a:ext uri="{FF2B5EF4-FFF2-40B4-BE49-F238E27FC236}">
              <a16:creationId xmlns:a16="http://schemas.microsoft.com/office/drawing/2014/main" id="{00000000-0008-0000-1D00-00000D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66" name="Shape 3">
          <a:extLst>
            <a:ext uri="{FF2B5EF4-FFF2-40B4-BE49-F238E27FC236}">
              <a16:creationId xmlns:a16="http://schemas.microsoft.com/office/drawing/2014/main" id="{00000000-0008-0000-1D00-00000E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67" name="Shape 3">
          <a:extLst>
            <a:ext uri="{FF2B5EF4-FFF2-40B4-BE49-F238E27FC236}">
              <a16:creationId xmlns:a16="http://schemas.microsoft.com/office/drawing/2014/main" id="{00000000-0008-0000-1D00-00000F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68" name="Shape 3">
          <a:extLst>
            <a:ext uri="{FF2B5EF4-FFF2-40B4-BE49-F238E27FC236}">
              <a16:creationId xmlns:a16="http://schemas.microsoft.com/office/drawing/2014/main" id="{00000000-0008-0000-1D00-000010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69" name="Shape 3">
          <a:extLst>
            <a:ext uri="{FF2B5EF4-FFF2-40B4-BE49-F238E27FC236}">
              <a16:creationId xmlns:a16="http://schemas.microsoft.com/office/drawing/2014/main" id="{00000000-0008-0000-1D00-000011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70" name="Shape 3">
          <a:extLst>
            <a:ext uri="{FF2B5EF4-FFF2-40B4-BE49-F238E27FC236}">
              <a16:creationId xmlns:a16="http://schemas.microsoft.com/office/drawing/2014/main" id="{00000000-0008-0000-1D00-000012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71" name="Shape 3">
          <a:extLst>
            <a:ext uri="{FF2B5EF4-FFF2-40B4-BE49-F238E27FC236}">
              <a16:creationId xmlns:a16="http://schemas.microsoft.com/office/drawing/2014/main" id="{00000000-0008-0000-1D00-000013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72" name="Shape 3">
          <a:extLst>
            <a:ext uri="{FF2B5EF4-FFF2-40B4-BE49-F238E27FC236}">
              <a16:creationId xmlns:a16="http://schemas.microsoft.com/office/drawing/2014/main" id="{00000000-0008-0000-1D00-000014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73" name="Shape 3">
          <a:extLst>
            <a:ext uri="{FF2B5EF4-FFF2-40B4-BE49-F238E27FC236}">
              <a16:creationId xmlns:a16="http://schemas.microsoft.com/office/drawing/2014/main" id="{00000000-0008-0000-1D00-000015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74" name="Shape 3">
          <a:extLst>
            <a:ext uri="{FF2B5EF4-FFF2-40B4-BE49-F238E27FC236}">
              <a16:creationId xmlns:a16="http://schemas.microsoft.com/office/drawing/2014/main" id="{00000000-0008-0000-1D00-000016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75" name="Shape 3">
          <a:extLst>
            <a:ext uri="{FF2B5EF4-FFF2-40B4-BE49-F238E27FC236}">
              <a16:creationId xmlns:a16="http://schemas.microsoft.com/office/drawing/2014/main" id="{00000000-0008-0000-1D00-000017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76" name="Shape 3">
          <a:extLst>
            <a:ext uri="{FF2B5EF4-FFF2-40B4-BE49-F238E27FC236}">
              <a16:creationId xmlns:a16="http://schemas.microsoft.com/office/drawing/2014/main" id="{00000000-0008-0000-1D00-000018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77" name="Shape 3">
          <a:extLst>
            <a:ext uri="{FF2B5EF4-FFF2-40B4-BE49-F238E27FC236}">
              <a16:creationId xmlns:a16="http://schemas.microsoft.com/office/drawing/2014/main" id="{00000000-0008-0000-1D00-000019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78" name="Shape 3">
          <a:extLst>
            <a:ext uri="{FF2B5EF4-FFF2-40B4-BE49-F238E27FC236}">
              <a16:creationId xmlns:a16="http://schemas.microsoft.com/office/drawing/2014/main" id="{00000000-0008-0000-1D00-00001A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79" name="Shape 3">
          <a:extLst>
            <a:ext uri="{FF2B5EF4-FFF2-40B4-BE49-F238E27FC236}">
              <a16:creationId xmlns:a16="http://schemas.microsoft.com/office/drawing/2014/main" id="{00000000-0008-0000-1D00-00001B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80" name="Shape 3">
          <a:extLst>
            <a:ext uri="{FF2B5EF4-FFF2-40B4-BE49-F238E27FC236}">
              <a16:creationId xmlns:a16="http://schemas.microsoft.com/office/drawing/2014/main" id="{00000000-0008-0000-1D00-00001C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81" name="Shape 3">
          <a:extLst>
            <a:ext uri="{FF2B5EF4-FFF2-40B4-BE49-F238E27FC236}">
              <a16:creationId xmlns:a16="http://schemas.microsoft.com/office/drawing/2014/main" id="{00000000-0008-0000-1D00-00001D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82" name="Shape 3">
          <a:extLst>
            <a:ext uri="{FF2B5EF4-FFF2-40B4-BE49-F238E27FC236}">
              <a16:creationId xmlns:a16="http://schemas.microsoft.com/office/drawing/2014/main" id="{00000000-0008-0000-1D00-00001E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83" name="Shape 3">
          <a:extLst>
            <a:ext uri="{FF2B5EF4-FFF2-40B4-BE49-F238E27FC236}">
              <a16:creationId xmlns:a16="http://schemas.microsoft.com/office/drawing/2014/main" id="{00000000-0008-0000-1D00-00001F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84" name="Shape 3">
          <a:extLst>
            <a:ext uri="{FF2B5EF4-FFF2-40B4-BE49-F238E27FC236}">
              <a16:creationId xmlns:a16="http://schemas.microsoft.com/office/drawing/2014/main" id="{00000000-0008-0000-1D00-000020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85" name="Shape 3">
          <a:extLst>
            <a:ext uri="{FF2B5EF4-FFF2-40B4-BE49-F238E27FC236}">
              <a16:creationId xmlns:a16="http://schemas.microsoft.com/office/drawing/2014/main" id="{00000000-0008-0000-1D00-000021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86" name="Shape 3">
          <a:extLst>
            <a:ext uri="{FF2B5EF4-FFF2-40B4-BE49-F238E27FC236}">
              <a16:creationId xmlns:a16="http://schemas.microsoft.com/office/drawing/2014/main" id="{00000000-0008-0000-1D00-000022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87" name="Shape 3">
          <a:extLst>
            <a:ext uri="{FF2B5EF4-FFF2-40B4-BE49-F238E27FC236}">
              <a16:creationId xmlns:a16="http://schemas.microsoft.com/office/drawing/2014/main" id="{00000000-0008-0000-1D00-000023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88" name="Shape 3">
          <a:extLst>
            <a:ext uri="{FF2B5EF4-FFF2-40B4-BE49-F238E27FC236}">
              <a16:creationId xmlns:a16="http://schemas.microsoft.com/office/drawing/2014/main" id="{00000000-0008-0000-1D00-000024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89" name="Shape 3">
          <a:extLst>
            <a:ext uri="{FF2B5EF4-FFF2-40B4-BE49-F238E27FC236}">
              <a16:creationId xmlns:a16="http://schemas.microsoft.com/office/drawing/2014/main" id="{00000000-0008-0000-1D00-000025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90" name="Shape 3">
          <a:extLst>
            <a:ext uri="{FF2B5EF4-FFF2-40B4-BE49-F238E27FC236}">
              <a16:creationId xmlns:a16="http://schemas.microsoft.com/office/drawing/2014/main" id="{00000000-0008-0000-1D00-000026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91" name="Shape 3">
          <a:extLst>
            <a:ext uri="{FF2B5EF4-FFF2-40B4-BE49-F238E27FC236}">
              <a16:creationId xmlns:a16="http://schemas.microsoft.com/office/drawing/2014/main" id="{00000000-0008-0000-1D00-000027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92" name="Shape 3">
          <a:extLst>
            <a:ext uri="{FF2B5EF4-FFF2-40B4-BE49-F238E27FC236}">
              <a16:creationId xmlns:a16="http://schemas.microsoft.com/office/drawing/2014/main" id="{00000000-0008-0000-1D00-000028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93" name="Shape 3">
          <a:extLst>
            <a:ext uri="{FF2B5EF4-FFF2-40B4-BE49-F238E27FC236}">
              <a16:creationId xmlns:a16="http://schemas.microsoft.com/office/drawing/2014/main" id="{00000000-0008-0000-1D00-000029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94" name="Shape 3">
          <a:extLst>
            <a:ext uri="{FF2B5EF4-FFF2-40B4-BE49-F238E27FC236}">
              <a16:creationId xmlns:a16="http://schemas.microsoft.com/office/drawing/2014/main" id="{00000000-0008-0000-1D00-00002A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23595" name="Shape 3">
          <a:extLst>
            <a:ext uri="{FF2B5EF4-FFF2-40B4-BE49-F238E27FC236}">
              <a16:creationId xmlns:a16="http://schemas.microsoft.com/office/drawing/2014/main" id="{00000000-0008-0000-1D00-00002B5C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596" name="Shape 3">
          <a:extLst>
            <a:ext uri="{FF2B5EF4-FFF2-40B4-BE49-F238E27FC236}">
              <a16:creationId xmlns:a16="http://schemas.microsoft.com/office/drawing/2014/main" id="{00000000-0008-0000-1D00-00002C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597" name="Shape 3">
          <a:extLst>
            <a:ext uri="{FF2B5EF4-FFF2-40B4-BE49-F238E27FC236}">
              <a16:creationId xmlns:a16="http://schemas.microsoft.com/office/drawing/2014/main" id="{00000000-0008-0000-1D00-00002D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598" name="Shape 3">
          <a:extLst>
            <a:ext uri="{FF2B5EF4-FFF2-40B4-BE49-F238E27FC236}">
              <a16:creationId xmlns:a16="http://schemas.microsoft.com/office/drawing/2014/main" id="{00000000-0008-0000-1D00-00002E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599" name="Shape 3">
          <a:extLst>
            <a:ext uri="{FF2B5EF4-FFF2-40B4-BE49-F238E27FC236}">
              <a16:creationId xmlns:a16="http://schemas.microsoft.com/office/drawing/2014/main" id="{00000000-0008-0000-1D00-00002F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00" name="Shape 3">
          <a:extLst>
            <a:ext uri="{FF2B5EF4-FFF2-40B4-BE49-F238E27FC236}">
              <a16:creationId xmlns:a16="http://schemas.microsoft.com/office/drawing/2014/main" id="{00000000-0008-0000-1D00-000030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01" name="Shape 3">
          <a:extLst>
            <a:ext uri="{FF2B5EF4-FFF2-40B4-BE49-F238E27FC236}">
              <a16:creationId xmlns:a16="http://schemas.microsoft.com/office/drawing/2014/main" id="{00000000-0008-0000-1D00-000031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02" name="Shape 3">
          <a:extLst>
            <a:ext uri="{FF2B5EF4-FFF2-40B4-BE49-F238E27FC236}">
              <a16:creationId xmlns:a16="http://schemas.microsoft.com/office/drawing/2014/main" id="{00000000-0008-0000-1D00-000032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03" name="Shape 3">
          <a:extLst>
            <a:ext uri="{FF2B5EF4-FFF2-40B4-BE49-F238E27FC236}">
              <a16:creationId xmlns:a16="http://schemas.microsoft.com/office/drawing/2014/main" id="{00000000-0008-0000-1D00-000033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04" name="Shape 3">
          <a:extLst>
            <a:ext uri="{FF2B5EF4-FFF2-40B4-BE49-F238E27FC236}">
              <a16:creationId xmlns:a16="http://schemas.microsoft.com/office/drawing/2014/main" id="{00000000-0008-0000-1D00-000034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05" name="Shape 3">
          <a:extLst>
            <a:ext uri="{FF2B5EF4-FFF2-40B4-BE49-F238E27FC236}">
              <a16:creationId xmlns:a16="http://schemas.microsoft.com/office/drawing/2014/main" id="{00000000-0008-0000-1D00-000035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06" name="Shape 3">
          <a:extLst>
            <a:ext uri="{FF2B5EF4-FFF2-40B4-BE49-F238E27FC236}">
              <a16:creationId xmlns:a16="http://schemas.microsoft.com/office/drawing/2014/main" id="{00000000-0008-0000-1D00-000036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07" name="Shape 3">
          <a:extLst>
            <a:ext uri="{FF2B5EF4-FFF2-40B4-BE49-F238E27FC236}">
              <a16:creationId xmlns:a16="http://schemas.microsoft.com/office/drawing/2014/main" id="{00000000-0008-0000-1D00-000037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08" name="Shape 3">
          <a:extLst>
            <a:ext uri="{FF2B5EF4-FFF2-40B4-BE49-F238E27FC236}">
              <a16:creationId xmlns:a16="http://schemas.microsoft.com/office/drawing/2014/main" id="{00000000-0008-0000-1D00-000038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09" name="Shape 3">
          <a:extLst>
            <a:ext uri="{FF2B5EF4-FFF2-40B4-BE49-F238E27FC236}">
              <a16:creationId xmlns:a16="http://schemas.microsoft.com/office/drawing/2014/main" id="{00000000-0008-0000-1D00-000039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10" name="Shape 3">
          <a:extLst>
            <a:ext uri="{FF2B5EF4-FFF2-40B4-BE49-F238E27FC236}">
              <a16:creationId xmlns:a16="http://schemas.microsoft.com/office/drawing/2014/main" id="{00000000-0008-0000-1D00-00003A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11" name="Shape 3">
          <a:extLst>
            <a:ext uri="{FF2B5EF4-FFF2-40B4-BE49-F238E27FC236}">
              <a16:creationId xmlns:a16="http://schemas.microsoft.com/office/drawing/2014/main" id="{00000000-0008-0000-1D00-00003B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12" name="Shape 3">
          <a:extLst>
            <a:ext uri="{FF2B5EF4-FFF2-40B4-BE49-F238E27FC236}">
              <a16:creationId xmlns:a16="http://schemas.microsoft.com/office/drawing/2014/main" id="{00000000-0008-0000-1D00-00003C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3613" name="Shape 4">
          <a:extLst>
            <a:ext uri="{FF2B5EF4-FFF2-40B4-BE49-F238E27FC236}">
              <a16:creationId xmlns:a16="http://schemas.microsoft.com/office/drawing/2014/main" id="{00000000-0008-0000-1D00-00003D5C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3614" name="Shape 4">
          <a:extLst>
            <a:ext uri="{FF2B5EF4-FFF2-40B4-BE49-F238E27FC236}">
              <a16:creationId xmlns:a16="http://schemas.microsoft.com/office/drawing/2014/main" id="{00000000-0008-0000-1D00-00003E5C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15" name="Shape 3">
          <a:extLst>
            <a:ext uri="{FF2B5EF4-FFF2-40B4-BE49-F238E27FC236}">
              <a16:creationId xmlns:a16="http://schemas.microsoft.com/office/drawing/2014/main" id="{00000000-0008-0000-1D00-00003F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16" name="Shape 3">
          <a:extLst>
            <a:ext uri="{FF2B5EF4-FFF2-40B4-BE49-F238E27FC236}">
              <a16:creationId xmlns:a16="http://schemas.microsoft.com/office/drawing/2014/main" id="{00000000-0008-0000-1D00-000040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17" name="Shape 3">
          <a:extLst>
            <a:ext uri="{FF2B5EF4-FFF2-40B4-BE49-F238E27FC236}">
              <a16:creationId xmlns:a16="http://schemas.microsoft.com/office/drawing/2014/main" id="{00000000-0008-0000-1D00-000041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18" name="Shape 3">
          <a:extLst>
            <a:ext uri="{FF2B5EF4-FFF2-40B4-BE49-F238E27FC236}">
              <a16:creationId xmlns:a16="http://schemas.microsoft.com/office/drawing/2014/main" id="{00000000-0008-0000-1D00-000042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19" name="Shape 3">
          <a:extLst>
            <a:ext uri="{FF2B5EF4-FFF2-40B4-BE49-F238E27FC236}">
              <a16:creationId xmlns:a16="http://schemas.microsoft.com/office/drawing/2014/main" id="{00000000-0008-0000-1D00-000043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20" name="Shape 3">
          <a:extLst>
            <a:ext uri="{FF2B5EF4-FFF2-40B4-BE49-F238E27FC236}">
              <a16:creationId xmlns:a16="http://schemas.microsoft.com/office/drawing/2014/main" id="{00000000-0008-0000-1D00-000044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21" name="Shape 3">
          <a:extLst>
            <a:ext uri="{FF2B5EF4-FFF2-40B4-BE49-F238E27FC236}">
              <a16:creationId xmlns:a16="http://schemas.microsoft.com/office/drawing/2014/main" id="{00000000-0008-0000-1D00-000045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3622" name="Shape 3">
          <a:extLst>
            <a:ext uri="{FF2B5EF4-FFF2-40B4-BE49-F238E27FC236}">
              <a16:creationId xmlns:a16="http://schemas.microsoft.com/office/drawing/2014/main" id="{00000000-0008-0000-1D00-000046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23" name="Shape 3">
          <a:extLst>
            <a:ext uri="{FF2B5EF4-FFF2-40B4-BE49-F238E27FC236}">
              <a16:creationId xmlns:a16="http://schemas.microsoft.com/office/drawing/2014/main" id="{00000000-0008-0000-1D00-000047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24" name="Shape 3">
          <a:extLst>
            <a:ext uri="{FF2B5EF4-FFF2-40B4-BE49-F238E27FC236}">
              <a16:creationId xmlns:a16="http://schemas.microsoft.com/office/drawing/2014/main" id="{00000000-0008-0000-1D00-000048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25" name="Shape 3">
          <a:extLst>
            <a:ext uri="{FF2B5EF4-FFF2-40B4-BE49-F238E27FC236}">
              <a16:creationId xmlns:a16="http://schemas.microsoft.com/office/drawing/2014/main" id="{00000000-0008-0000-1D00-000049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26" name="Shape 3">
          <a:extLst>
            <a:ext uri="{FF2B5EF4-FFF2-40B4-BE49-F238E27FC236}">
              <a16:creationId xmlns:a16="http://schemas.microsoft.com/office/drawing/2014/main" id="{00000000-0008-0000-1D00-00004A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27" name="Shape 3">
          <a:extLst>
            <a:ext uri="{FF2B5EF4-FFF2-40B4-BE49-F238E27FC236}">
              <a16:creationId xmlns:a16="http://schemas.microsoft.com/office/drawing/2014/main" id="{00000000-0008-0000-1D00-00004B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28" name="Shape 3">
          <a:extLst>
            <a:ext uri="{FF2B5EF4-FFF2-40B4-BE49-F238E27FC236}">
              <a16:creationId xmlns:a16="http://schemas.microsoft.com/office/drawing/2014/main" id="{00000000-0008-0000-1D00-00004C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29" name="Shape 3">
          <a:extLst>
            <a:ext uri="{FF2B5EF4-FFF2-40B4-BE49-F238E27FC236}">
              <a16:creationId xmlns:a16="http://schemas.microsoft.com/office/drawing/2014/main" id="{00000000-0008-0000-1D00-00004D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30" name="Shape 3">
          <a:extLst>
            <a:ext uri="{FF2B5EF4-FFF2-40B4-BE49-F238E27FC236}">
              <a16:creationId xmlns:a16="http://schemas.microsoft.com/office/drawing/2014/main" id="{00000000-0008-0000-1D00-00004E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31" name="Shape 3">
          <a:extLst>
            <a:ext uri="{FF2B5EF4-FFF2-40B4-BE49-F238E27FC236}">
              <a16:creationId xmlns:a16="http://schemas.microsoft.com/office/drawing/2014/main" id="{00000000-0008-0000-1D00-00004F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32" name="Shape 3">
          <a:extLst>
            <a:ext uri="{FF2B5EF4-FFF2-40B4-BE49-F238E27FC236}">
              <a16:creationId xmlns:a16="http://schemas.microsoft.com/office/drawing/2014/main" id="{00000000-0008-0000-1D00-000050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33" name="Shape 3">
          <a:extLst>
            <a:ext uri="{FF2B5EF4-FFF2-40B4-BE49-F238E27FC236}">
              <a16:creationId xmlns:a16="http://schemas.microsoft.com/office/drawing/2014/main" id="{00000000-0008-0000-1D00-000051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34" name="Shape 3">
          <a:extLst>
            <a:ext uri="{FF2B5EF4-FFF2-40B4-BE49-F238E27FC236}">
              <a16:creationId xmlns:a16="http://schemas.microsoft.com/office/drawing/2014/main" id="{00000000-0008-0000-1D00-000052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35" name="Shape 3">
          <a:extLst>
            <a:ext uri="{FF2B5EF4-FFF2-40B4-BE49-F238E27FC236}">
              <a16:creationId xmlns:a16="http://schemas.microsoft.com/office/drawing/2014/main" id="{00000000-0008-0000-1D00-000053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36" name="Shape 3">
          <a:extLst>
            <a:ext uri="{FF2B5EF4-FFF2-40B4-BE49-F238E27FC236}">
              <a16:creationId xmlns:a16="http://schemas.microsoft.com/office/drawing/2014/main" id="{00000000-0008-0000-1D00-000054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37" name="Shape 3">
          <a:extLst>
            <a:ext uri="{FF2B5EF4-FFF2-40B4-BE49-F238E27FC236}">
              <a16:creationId xmlns:a16="http://schemas.microsoft.com/office/drawing/2014/main" id="{00000000-0008-0000-1D00-000055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38" name="Shape 3">
          <a:extLst>
            <a:ext uri="{FF2B5EF4-FFF2-40B4-BE49-F238E27FC236}">
              <a16:creationId xmlns:a16="http://schemas.microsoft.com/office/drawing/2014/main" id="{00000000-0008-0000-1D00-000056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39" name="Shape 3">
          <a:extLst>
            <a:ext uri="{FF2B5EF4-FFF2-40B4-BE49-F238E27FC236}">
              <a16:creationId xmlns:a16="http://schemas.microsoft.com/office/drawing/2014/main" id="{00000000-0008-0000-1D00-000057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40" name="Shape 3">
          <a:extLst>
            <a:ext uri="{FF2B5EF4-FFF2-40B4-BE49-F238E27FC236}">
              <a16:creationId xmlns:a16="http://schemas.microsoft.com/office/drawing/2014/main" id="{00000000-0008-0000-1D00-000058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41" name="Shape 3">
          <a:extLst>
            <a:ext uri="{FF2B5EF4-FFF2-40B4-BE49-F238E27FC236}">
              <a16:creationId xmlns:a16="http://schemas.microsoft.com/office/drawing/2014/main" id="{00000000-0008-0000-1D00-000059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42" name="Shape 3">
          <a:extLst>
            <a:ext uri="{FF2B5EF4-FFF2-40B4-BE49-F238E27FC236}">
              <a16:creationId xmlns:a16="http://schemas.microsoft.com/office/drawing/2014/main" id="{00000000-0008-0000-1D00-00005A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43" name="Shape 3">
          <a:extLst>
            <a:ext uri="{FF2B5EF4-FFF2-40B4-BE49-F238E27FC236}">
              <a16:creationId xmlns:a16="http://schemas.microsoft.com/office/drawing/2014/main" id="{00000000-0008-0000-1D00-00005B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44" name="Shape 3">
          <a:extLst>
            <a:ext uri="{FF2B5EF4-FFF2-40B4-BE49-F238E27FC236}">
              <a16:creationId xmlns:a16="http://schemas.microsoft.com/office/drawing/2014/main" id="{00000000-0008-0000-1D00-00005C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45" name="Shape 3">
          <a:extLst>
            <a:ext uri="{FF2B5EF4-FFF2-40B4-BE49-F238E27FC236}">
              <a16:creationId xmlns:a16="http://schemas.microsoft.com/office/drawing/2014/main" id="{00000000-0008-0000-1D00-00005D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46" name="Shape 3">
          <a:extLst>
            <a:ext uri="{FF2B5EF4-FFF2-40B4-BE49-F238E27FC236}">
              <a16:creationId xmlns:a16="http://schemas.microsoft.com/office/drawing/2014/main" id="{00000000-0008-0000-1D00-00005E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47" name="Shape 3">
          <a:extLst>
            <a:ext uri="{FF2B5EF4-FFF2-40B4-BE49-F238E27FC236}">
              <a16:creationId xmlns:a16="http://schemas.microsoft.com/office/drawing/2014/main" id="{00000000-0008-0000-1D00-00005F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48" name="Shape 3">
          <a:extLst>
            <a:ext uri="{FF2B5EF4-FFF2-40B4-BE49-F238E27FC236}">
              <a16:creationId xmlns:a16="http://schemas.microsoft.com/office/drawing/2014/main" id="{00000000-0008-0000-1D00-000060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49" name="Shape 3">
          <a:extLst>
            <a:ext uri="{FF2B5EF4-FFF2-40B4-BE49-F238E27FC236}">
              <a16:creationId xmlns:a16="http://schemas.microsoft.com/office/drawing/2014/main" id="{00000000-0008-0000-1D00-000061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50" name="Shape 3">
          <a:extLst>
            <a:ext uri="{FF2B5EF4-FFF2-40B4-BE49-F238E27FC236}">
              <a16:creationId xmlns:a16="http://schemas.microsoft.com/office/drawing/2014/main" id="{00000000-0008-0000-1D00-000062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51" name="Shape 3">
          <a:extLst>
            <a:ext uri="{FF2B5EF4-FFF2-40B4-BE49-F238E27FC236}">
              <a16:creationId xmlns:a16="http://schemas.microsoft.com/office/drawing/2014/main" id="{00000000-0008-0000-1D00-000063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52" name="Shape 3">
          <a:extLst>
            <a:ext uri="{FF2B5EF4-FFF2-40B4-BE49-F238E27FC236}">
              <a16:creationId xmlns:a16="http://schemas.microsoft.com/office/drawing/2014/main" id="{00000000-0008-0000-1D00-000064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53" name="Shape 3">
          <a:extLst>
            <a:ext uri="{FF2B5EF4-FFF2-40B4-BE49-F238E27FC236}">
              <a16:creationId xmlns:a16="http://schemas.microsoft.com/office/drawing/2014/main" id="{00000000-0008-0000-1D00-000065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54" name="Shape 3">
          <a:extLst>
            <a:ext uri="{FF2B5EF4-FFF2-40B4-BE49-F238E27FC236}">
              <a16:creationId xmlns:a16="http://schemas.microsoft.com/office/drawing/2014/main" id="{00000000-0008-0000-1D00-000066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55" name="Shape 3">
          <a:extLst>
            <a:ext uri="{FF2B5EF4-FFF2-40B4-BE49-F238E27FC236}">
              <a16:creationId xmlns:a16="http://schemas.microsoft.com/office/drawing/2014/main" id="{00000000-0008-0000-1D00-000067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56" name="Shape 3">
          <a:extLst>
            <a:ext uri="{FF2B5EF4-FFF2-40B4-BE49-F238E27FC236}">
              <a16:creationId xmlns:a16="http://schemas.microsoft.com/office/drawing/2014/main" id="{00000000-0008-0000-1D00-000068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3657" name="Shape 3">
          <a:extLst>
            <a:ext uri="{FF2B5EF4-FFF2-40B4-BE49-F238E27FC236}">
              <a16:creationId xmlns:a16="http://schemas.microsoft.com/office/drawing/2014/main" id="{00000000-0008-0000-1D00-0000695C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58" name="Shape 3">
          <a:extLst>
            <a:ext uri="{FF2B5EF4-FFF2-40B4-BE49-F238E27FC236}">
              <a16:creationId xmlns:a16="http://schemas.microsoft.com/office/drawing/2014/main" id="{00000000-0008-0000-1D00-00006A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59" name="Shape 3">
          <a:extLst>
            <a:ext uri="{FF2B5EF4-FFF2-40B4-BE49-F238E27FC236}">
              <a16:creationId xmlns:a16="http://schemas.microsoft.com/office/drawing/2014/main" id="{00000000-0008-0000-1D00-00006B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60" name="Shape 3">
          <a:extLst>
            <a:ext uri="{FF2B5EF4-FFF2-40B4-BE49-F238E27FC236}">
              <a16:creationId xmlns:a16="http://schemas.microsoft.com/office/drawing/2014/main" id="{00000000-0008-0000-1D00-00006C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61" name="Shape 3">
          <a:extLst>
            <a:ext uri="{FF2B5EF4-FFF2-40B4-BE49-F238E27FC236}">
              <a16:creationId xmlns:a16="http://schemas.microsoft.com/office/drawing/2014/main" id="{00000000-0008-0000-1D00-00006D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62" name="Shape 3">
          <a:extLst>
            <a:ext uri="{FF2B5EF4-FFF2-40B4-BE49-F238E27FC236}">
              <a16:creationId xmlns:a16="http://schemas.microsoft.com/office/drawing/2014/main" id="{00000000-0008-0000-1D00-00006E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63" name="Shape 3">
          <a:extLst>
            <a:ext uri="{FF2B5EF4-FFF2-40B4-BE49-F238E27FC236}">
              <a16:creationId xmlns:a16="http://schemas.microsoft.com/office/drawing/2014/main" id="{00000000-0008-0000-1D00-00006F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64" name="Shape 3">
          <a:extLst>
            <a:ext uri="{FF2B5EF4-FFF2-40B4-BE49-F238E27FC236}">
              <a16:creationId xmlns:a16="http://schemas.microsoft.com/office/drawing/2014/main" id="{00000000-0008-0000-1D00-000070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65" name="Shape 3">
          <a:extLst>
            <a:ext uri="{FF2B5EF4-FFF2-40B4-BE49-F238E27FC236}">
              <a16:creationId xmlns:a16="http://schemas.microsoft.com/office/drawing/2014/main" id="{00000000-0008-0000-1D00-000071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66" name="Shape 3">
          <a:extLst>
            <a:ext uri="{FF2B5EF4-FFF2-40B4-BE49-F238E27FC236}">
              <a16:creationId xmlns:a16="http://schemas.microsoft.com/office/drawing/2014/main" id="{00000000-0008-0000-1D00-000072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67" name="Shape 3">
          <a:extLst>
            <a:ext uri="{FF2B5EF4-FFF2-40B4-BE49-F238E27FC236}">
              <a16:creationId xmlns:a16="http://schemas.microsoft.com/office/drawing/2014/main" id="{00000000-0008-0000-1D00-000073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68" name="Shape 3">
          <a:extLst>
            <a:ext uri="{FF2B5EF4-FFF2-40B4-BE49-F238E27FC236}">
              <a16:creationId xmlns:a16="http://schemas.microsoft.com/office/drawing/2014/main" id="{00000000-0008-0000-1D00-000074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69" name="Shape 3">
          <a:extLst>
            <a:ext uri="{FF2B5EF4-FFF2-40B4-BE49-F238E27FC236}">
              <a16:creationId xmlns:a16="http://schemas.microsoft.com/office/drawing/2014/main" id="{00000000-0008-0000-1D00-000075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70" name="Shape 3">
          <a:extLst>
            <a:ext uri="{FF2B5EF4-FFF2-40B4-BE49-F238E27FC236}">
              <a16:creationId xmlns:a16="http://schemas.microsoft.com/office/drawing/2014/main" id="{00000000-0008-0000-1D00-000076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71" name="Shape 3">
          <a:extLst>
            <a:ext uri="{FF2B5EF4-FFF2-40B4-BE49-F238E27FC236}">
              <a16:creationId xmlns:a16="http://schemas.microsoft.com/office/drawing/2014/main" id="{00000000-0008-0000-1D00-000077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72" name="Shape 3">
          <a:extLst>
            <a:ext uri="{FF2B5EF4-FFF2-40B4-BE49-F238E27FC236}">
              <a16:creationId xmlns:a16="http://schemas.microsoft.com/office/drawing/2014/main" id="{00000000-0008-0000-1D00-000078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73" name="Shape 3">
          <a:extLst>
            <a:ext uri="{FF2B5EF4-FFF2-40B4-BE49-F238E27FC236}">
              <a16:creationId xmlns:a16="http://schemas.microsoft.com/office/drawing/2014/main" id="{00000000-0008-0000-1D00-000079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74" name="Shape 3">
          <a:extLst>
            <a:ext uri="{FF2B5EF4-FFF2-40B4-BE49-F238E27FC236}">
              <a16:creationId xmlns:a16="http://schemas.microsoft.com/office/drawing/2014/main" id="{00000000-0008-0000-1D00-00007A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3675" name="Shape 4">
          <a:extLst>
            <a:ext uri="{FF2B5EF4-FFF2-40B4-BE49-F238E27FC236}">
              <a16:creationId xmlns:a16="http://schemas.microsoft.com/office/drawing/2014/main" id="{00000000-0008-0000-1D00-00007B5C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3676" name="Shape 4">
          <a:extLst>
            <a:ext uri="{FF2B5EF4-FFF2-40B4-BE49-F238E27FC236}">
              <a16:creationId xmlns:a16="http://schemas.microsoft.com/office/drawing/2014/main" id="{00000000-0008-0000-1D00-00007C5C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77" name="Shape 3">
          <a:extLst>
            <a:ext uri="{FF2B5EF4-FFF2-40B4-BE49-F238E27FC236}">
              <a16:creationId xmlns:a16="http://schemas.microsoft.com/office/drawing/2014/main" id="{00000000-0008-0000-1D00-00007D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78" name="Shape 3">
          <a:extLst>
            <a:ext uri="{FF2B5EF4-FFF2-40B4-BE49-F238E27FC236}">
              <a16:creationId xmlns:a16="http://schemas.microsoft.com/office/drawing/2014/main" id="{00000000-0008-0000-1D00-00007E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79" name="Shape 3">
          <a:extLst>
            <a:ext uri="{FF2B5EF4-FFF2-40B4-BE49-F238E27FC236}">
              <a16:creationId xmlns:a16="http://schemas.microsoft.com/office/drawing/2014/main" id="{00000000-0008-0000-1D00-00007F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80" name="Shape 3">
          <a:extLst>
            <a:ext uri="{FF2B5EF4-FFF2-40B4-BE49-F238E27FC236}">
              <a16:creationId xmlns:a16="http://schemas.microsoft.com/office/drawing/2014/main" id="{00000000-0008-0000-1D00-000080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81" name="Shape 3">
          <a:extLst>
            <a:ext uri="{FF2B5EF4-FFF2-40B4-BE49-F238E27FC236}">
              <a16:creationId xmlns:a16="http://schemas.microsoft.com/office/drawing/2014/main" id="{00000000-0008-0000-1D00-000081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82" name="Shape 3">
          <a:extLst>
            <a:ext uri="{FF2B5EF4-FFF2-40B4-BE49-F238E27FC236}">
              <a16:creationId xmlns:a16="http://schemas.microsoft.com/office/drawing/2014/main" id="{00000000-0008-0000-1D00-000082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83" name="Shape 3">
          <a:extLst>
            <a:ext uri="{FF2B5EF4-FFF2-40B4-BE49-F238E27FC236}">
              <a16:creationId xmlns:a16="http://schemas.microsoft.com/office/drawing/2014/main" id="{00000000-0008-0000-1D00-000083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3684" name="Shape 3">
          <a:extLst>
            <a:ext uri="{FF2B5EF4-FFF2-40B4-BE49-F238E27FC236}">
              <a16:creationId xmlns:a16="http://schemas.microsoft.com/office/drawing/2014/main" id="{00000000-0008-0000-1D00-000084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85" name="Shape 3">
          <a:extLst>
            <a:ext uri="{FF2B5EF4-FFF2-40B4-BE49-F238E27FC236}">
              <a16:creationId xmlns:a16="http://schemas.microsoft.com/office/drawing/2014/main" id="{00000000-0008-0000-1D00-000085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86" name="Shape 3">
          <a:extLst>
            <a:ext uri="{FF2B5EF4-FFF2-40B4-BE49-F238E27FC236}">
              <a16:creationId xmlns:a16="http://schemas.microsoft.com/office/drawing/2014/main" id="{00000000-0008-0000-1D00-000086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87" name="Shape 3">
          <a:extLst>
            <a:ext uri="{FF2B5EF4-FFF2-40B4-BE49-F238E27FC236}">
              <a16:creationId xmlns:a16="http://schemas.microsoft.com/office/drawing/2014/main" id="{00000000-0008-0000-1D00-000087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88" name="Shape 3">
          <a:extLst>
            <a:ext uri="{FF2B5EF4-FFF2-40B4-BE49-F238E27FC236}">
              <a16:creationId xmlns:a16="http://schemas.microsoft.com/office/drawing/2014/main" id="{00000000-0008-0000-1D00-000088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89" name="Shape 3">
          <a:extLst>
            <a:ext uri="{FF2B5EF4-FFF2-40B4-BE49-F238E27FC236}">
              <a16:creationId xmlns:a16="http://schemas.microsoft.com/office/drawing/2014/main" id="{00000000-0008-0000-1D00-000089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90" name="Shape 3">
          <a:extLst>
            <a:ext uri="{FF2B5EF4-FFF2-40B4-BE49-F238E27FC236}">
              <a16:creationId xmlns:a16="http://schemas.microsoft.com/office/drawing/2014/main" id="{00000000-0008-0000-1D00-00008A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91" name="Shape 3">
          <a:extLst>
            <a:ext uri="{FF2B5EF4-FFF2-40B4-BE49-F238E27FC236}">
              <a16:creationId xmlns:a16="http://schemas.microsoft.com/office/drawing/2014/main" id="{00000000-0008-0000-1D00-00008B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92" name="Shape 3">
          <a:extLst>
            <a:ext uri="{FF2B5EF4-FFF2-40B4-BE49-F238E27FC236}">
              <a16:creationId xmlns:a16="http://schemas.microsoft.com/office/drawing/2014/main" id="{00000000-0008-0000-1D00-00008C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93" name="Shape 3">
          <a:extLst>
            <a:ext uri="{FF2B5EF4-FFF2-40B4-BE49-F238E27FC236}">
              <a16:creationId xmlns:a16="http://schemas.microsoft.com/office/drawing/2014/main" id="{00000000-0008-0000-1D00-00008D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94" name="Shape 3">
          <a:extLst>
            <a:ext uri="{FF2B5EF4-FFF2-40B4-BE49-F238E27FC236}">
              <a16:creationId xmlns:a16="http://schemas.microsoft.com/office/drawing/2014/main" id="{00000000-0008-0000-1D00-00008E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95" name="Shape 3">
          <a:extLst>
            <a:ext uri="{FF2B5EF4-FFF2-40B4-BE49-F238E27FC236}">
              <a16:creationId xmlns:a16="http://schemas.microsoft.com/office/drawing/2014/main" id="{00000000-0008-0000-1D00-00008F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96" name="Shape 3">
          <a:extLst>
            <a:ext uri="{FF2B5EF4-FFF2-40B4-BE49-F238E27FC236}">
              <a16:creationId xmlns:a16="http://schemas.microsoft.com/office/drawing/2014/main" id="{00000000-0008-0000-1D00-000090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97" name="Shape 3">
          <a:extLst>
            <a:ext uri="{FF2B5EF4-FFF2-40B4-BE49-F238E27FC236}">
              <a16:creationId xmlns:a16="http://schemas.microsoft.com/office/drawing/2014/main" id="{00000000-0008-0000-1D00-000091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98" name="Shape 3">
          <a:extLst>
            <a:ext uri="{FF2B5EF4-FFF2-40B4-BE49-F238E27FC236}">
              <a16:creationId xmlns:a16="http://schemas.microsoft.com/office/drawing/2014/main" id="{00000000-0008-0000-1D00-000092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699" name="Shape 3">
          <a:extLst>
            <a:ext uri="{FF2B5EF4-FFF2-40B4-BE49-F238E27FC236}">
              <a16:creationId xmlns:a16="http://schemas.microsoft.com/office/drawing/2014/main" id="{00000000-0008-0000-1D00-000093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00" name="Shape 3">
          <a:extLst>
            <a:ext uri="{FF2B5EF4-FFF2-40B4-BE49-F238E27FC236}">
              <a16:creationId xmlns:a16="http://schemas.microsoft.com/office/drawing/2014/main" id="{00000000-0008-0000-1D00-000094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01" name="Shape 3">
          <a:extLst>
            <a:ext uri="{FF2B5EF4-FFF2-40B4-BE49-F238E27FC236}">
              <a16:creationId xmlns:a16="http://schemas.microsoft.com/office/drawing/2014/main" id="{00000000-0008-0000-1D00-000095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02" name="Shape 3">
          <a:extLst>
            <a:ext uri="{FF2B5EF4-FFF2-40B4-BE49-F238E27FC236}">
              <a16:creationId xmlns:a16="http://schemas.microsoft.com/office/drawing/2014/main" id="{00000000-0008-0000-1D00-000096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03" name="Shape 3">
          <a:extLst>
            <a:ext uri="{FF2B5EF4-FFF2-40B4-BE49-F238E27FC236}">
              <a16:creationId xmlns:a16="http://schemas.microsoft.com/office/drawing/2014/main" id="{00000000-0008-0000-1D00-000097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04" name="Shape 3">
          <a:extLst>
            <a:ext uri="{FF2B5EF4-FFF2-40B4-BE49-F238E27FC236}">
              <a16:creationId xmlns:a16="http://schemas.microsoft.com/office/drawing/2014/main" id="{00000000-0008-0000-1D00-000098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05" name="Shape 3">
          <a:extLst>
            <a:ext uri="{FF2B5EF4-FFF2-40B4-BE49-F238E27FC236}">
              <a16:creationId xmlns:a16="http://schemas.microsoft.com/office/drawing/2014/main" id="{00000000-0008-0000-1D00-000099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06" name="Shape 3">
          <a:extLst>
            <a:ext uri="{FF2B5EF4-FFF2-40B4-BE49-F238E27FC236}">
              <a16:creationId xmlns:a16="http://schemas.microsoft.com/office/drawing/2014/main" id="{00000000-0008-0000-1D00-00009A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07" name="Shape 3">
          <a:extLst>
            <a:ext uri="{FF2B5EF4-FFF2-40B4-BE49-F238E27FC236}">
              <a16:creationId xmlns:a16="http://schemas.microsoft.com/office/drawing/2014/main" id="{00000000-0008-0000-1D00-00009B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08" name="Shape 3">
          <a:extLst>
            <a:ext uri="{FF2B5EF4-FFF2-40B4-BE49-F238E27FC236}">
              <a16:creationId xmlns:a16="http://schemas.microsoft.com/office/drawing/2014/main" id="{00000000-0008-0000-1D00-00009C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09" name="Shape 3">
          <a:extLst>
            <a:ext uri="{FF2B5EF4-FFF2-40B4-BE49-F238E27FC236}">
              <a16:creationId xmlns:a16="http://schemas.microsoft.com/office/drawing/2014/main" id="{00000000-0008-0000-1D00-00009D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10" name="Shape 3">
          <a:extLst>
            <a:ext uri="{FF2B5EF4-FFF2-40B4-BE49-F238E27FC236}">
              <a16:creationId xmlns:a16="http://schemas.microsoft.com/office/drawing/2014/main" id="{00000000-0008-0000-1D00-00009E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11" name="Shape 3">
          <a:extLst>
            <a:ext uri="{FF2B5EF4-FFF2-40B4-BE49-F238E27FC236}">
              <a16:creationId xmlns:a16="http://schemas.microsoft.com/office/drawing/2014/main" id="{00000000-0008-0000-1D00-00009F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12" name="Shape 3">
          <a:extLst>
            <a:ext uri="{FF2B5EF4-FFF2-40B4-BE49-F238E27FC236}">
              <a16:creationId xmlns:a16="http://schemas.microsoft.com/office/drawing/2014/main" id="{00000000-0008-0000-1D00-0000A0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13" name="Shape 3">
          <a:extLst>
            <a:ext uri="{FF2B5EF4-FFF2-40B4-BE49-F238E27FC236}">
              <a16:creationId xmlns:a16="http://schemas.microsoft.com/office/drawing/2014/main" id="{00000000-0008-0000-1D00-0000A1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14" name="Shape 3">
          <a:extLst>
            <a:ext uri="{FF2B5EF4-FFF2-40B4-BE49-F238E27FC236}">
              <a16:creationId xmlns:a16="http://schemas.microsoft.com/office/drawing/2014/main" id="{00000000-0008-0000-1D00-0000A2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15" name="Shape 3">
          <a:extLst>
            <a:ext uri="{FF2B5EF4-FFF2-40B4-BE49-F238E27FC236}">
              <a16:creationId xmlns:a16="http://schemas.microsoft.com/office/drawing/2014/main" id="{00000000-0008-0000-1D00-0000A3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16" name="Shape 3">
          <a:extLst>
            <a:ext uri="{FF2B5EF4-FFF2-40B4-BE49-F238E27FC236}">
              <a16:creationId xmlns:a16="http://schemas.microsoft.com/office/drawing/2014/main" id="{00000000-0008-0000-1D00-0000A4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17" name="Shape 3">
          <a:extLst>
            <a:ext uri="{FF2B5EF4-FFF2-40B4-BE49-F238E27FC236}">
              <a16:creationId xmlns:a16="http://schemas.microsoft.com/office/drawing/2014/main" id="{00000000-0008-0000-1D00-0000A5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18" name="Shape 3">
          <a:extLst>
            <a:ext uri="{FF2B5EF4-FFF2-40B4-BE49-F238E27FC236}">
              <a16:creationId xmlns:a16="http://schemas.microsoft.com/office/drawing/2014/main" id="{00000000-0008-0000-1D00-0000A6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3719" name="Shape 3">
          <a:extLst>
            <a:ext uri="{FF2B5EF4-FFF2-40B4-BE49-F238E27FC236}">
              <a16:creationId xmlns:a16="http://schemas.microsoft.com/office/drawing/2014/main" id="{00000000-0008-0000-1D00-0000A75C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02" name="Shape 3">
          <a:extLst>
            <a:ext uri="{FF2B5EF4-FFF2-40B4-BE49-F238E27FC236}">
              <a16:creationId xmlns:a16="http://schemas.microsoft.com/office/drawing/2014/main" id="{00000000-0008-0000-1E00-0000EE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03" name="Shape 3">
          <a:extLst>
            <a:ext uri="{FF2B5EF4-FFF2-40B4-BE49-F238E27FC236}">
              <a16:creationId xmlns:a16="http://schemas.microsoft.com/office/drawing/2014/main" id="{00000000-0008-0000-1E00-0000EF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04" name="Shape 3">
          <a:extLst>
            <a:ext uri="{FF2B5EF4-FFF2-40B4-BE49-F238E27FC236}">
              <a16:creationId xmlns:a16="http://schemas.microsoft.com/office/drawing/2014/main" id="{00000000-0008-0000-1E00-0000F0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05" name="Shape 3">
          <a:extLst>
            <a:ext uri="{FF2B5EF4-FFF2-40B4-BE49-F238E27FC236}">
              <a16:creationId xmlns:a16="http://schemas.microsoft.com/office/drawing/2014/main" id="{00000000-0008-0000-1E00-0000F1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06" name="Shape 3">
          <a:extLst>
            <a:ext uri="{FF2B5EF4-FFF2-40B4-BE49-F238E27FC236}">
              <a16:creationId xmlns:a16="http://schemas.microsoft.com/office/drawing/2014/main" id="{00000000-0008-0000-1E00-0000F2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07" name="Shape 3">
          <a:extLst>
            <a:ext uri="{FF2B5EF4-FFF2-40B4-BE49-F238E27FC236}">
              <a16:creationId xmlns:a16="http://schemas.microsoft.com/office/drawing/2014/main" id="{00000000-0008-0000-1E00-0000F3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08" name="Shape 3">
          <a:extLst>
            <a:ext uri="{FF2B5EF4-FFF2-40B4-BE49-F238E27FC236}">
              <a16:creationId xmlns:a16="http://schemas.microsoft.com/office/drawing/2014/main" id="{00000000-0008-0000-1E00-0000F4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09" name="Shape 3">
          <a:extLst>
            <a:ext uri="{FF2B5EF4-FFF2-40B4-BE49-F238E27FC236}">
              <a16:creationId xmlns:a16="http://schemas.microsoft.com/office/drawing/2014/main" id="{00000000-0008-0000-1E00-0000F5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10" name="Shape 3">
          <a:extLst>
            <a:ext uri="{FF2B5EF4-FFF2-40B4-BE49-F238E27FC236}">
              <a16:creationId xmlns:a16="http://schemas.microsoft.com/office/drawing/2014/main" id="{00000000-0008-0000-1E00-0000F6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11" name="Shape 3">
          <a:extLst>
            <a:ext uri="{FF2B5EF4-FFF2-40B4-BE49-F238E27FC236}">
              <a16:creationId xmlns:a16="http://schemas.microsoft.com/office/drawing/2014/main" id="{00000000-0008-0000-1E00-0000F7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12" name="Shape 3">
          <a:extLst>
            <a:ext uri="{FF2B5EF4-FFF2-40B4-BE49-F238E27FC236}">
              <a16:creationId xmlns:a16="http://schemas.microsoft.com/office/drawing/2014/main" id="{00000000-0008-0000-1E00-0000F8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13" name="Shape 3">
          <a:extLst>
            <a:ext uri="{FF2B5EF4-FFF2-40B4-BE49-F238E27FC236}">
              <a16:creationId xmlns:a16="http://schemas.microsoft.com/office/drawing/2014/main" id="{00000000-0008-0000-1E00-0000F9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14" name="Shape 3">
          <a:extLst>
            <a:ext uri="{FF2B5EF4-FFF2-40B4-BE49-F238E27FC236}">
              <a16:creationId xmlns:a16="http://schemas.microsoft.com/office/drawing/2014/main" id="{00000000-0008-0000-1E00-0000FA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15" name="Shape 3">
          <a:extLst>
            <a:ext uri="{FF2B5EF4-FFF2-40B4-BE49-F238E27FC236}">
              <a16:creationId xmlns:a16="http://schemas.microsoft.com/office/drawing/2014/main" id="{00000000-0008-0000-1E00-0000FB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16" name="Shape 3">
          <a:extLst>
            <a:ext uri="{FF2B5EF4-FFF2-40B4-BE49-F238E27FC236}">
              <a16:creationId xmlns:a16="http://schemas.microsoft.com/office/drawing/2014/main" id="{00000000-0008-0000-1E00-0000FC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17" name="Shape 3">
          <a:extLst>
            <a:ext uri="{FF2B5EF4-FFF2-40B4-BE49-F238E27FC236}">
              <a16:creationId xmlns:a16="http://schemas.microsoft.com/office/drawing/2014/main" id="{00000000-0008-0000-1E00-0000FD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18" name="Shape 3">
          <a:extLst>
            <a:ext uri="{FF2B5EF4-FFF2-40B4-BE49-F238E27FC236}">
              <a16:creationId xmlns:a16="http://schemas.microsoft.com/office/drawing/2014/main" id="{00000000-0008-0000-1E00-0000FE77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30719" name="Shape 4">
          <a:extLst>
            <a:ext uri="{FF2B5EF4-FFF2-40B4-BE49-F238E27FC236}">
              <a16:creationId xmlns:a16="http://schemas.microsoft.com/office/drawing/2014/main" id="{00000000-0008-0000-1E00-0000FF77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30720" name="Shape 4">
          <a:extLst>
            <a:ext uri="{FF2B5EF4-FFF2-40B4-BE49-F238E27FC236}">
              <a16:creationId xmlns:a16="http://schemas.microsoft.com/office/drawing/2014/main" id="{00000000-0008-0000-1E00-00000078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21" name="Shape 3">
          <a:extLst>
            <a:ext uri="{FF2B5EF4-FFF2-40B4-BE49-F238E27FC236}">
              <a16:creationId xmlns:a16="http://schemas.microsoft.com/office/drawing/2014/main" id="{00000000-0008-0000-1E00-000001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22" name="Shape 3">
          <a:extLst>
            <a:ext uri="{FF2B5EF4-FFF2-40B4-BE49-F238E27FC236}">
              <a16:creationId xmlns:a16="http://schemas.microsoft.com/office/drawing/2014/main" id="{00000000-0008-0000-1E00-000002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23" name="Shape 3">
          <a:extLst>
            <a:ext uri="{FF2B5EF4-FFF2-40B4-BE49-F238E27FC236}">
              <a16:creationId xmlns:a16="http://schemas.microsoft.com/office/drawing/2014/main" id="{00000000-0008-0000-1E00-000003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24" name="Shape 3">
          <a:extLst>
            <a:ext uri="{FF2B5EF4-FFF2-40B4-BE49-F238E27FC236}">
              <a16:creationId xmlns:a16="http://schemas.microsoft.com/office/drawing/2014/main" id="{00000000-0008-0000-1E00-000004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25" name="Shape 3">
          <a:extLst>
            <a:ext uri="{FF2B5EF4-FFF2-40B4-BE49-F238E27FC236}">
              <a16:creationId xmlns:a16="http://schemas.microsoft.com/office/drawing/2014/main" id="{00000000-0008-0000-1E00-000005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26" name="Shape 3">
          <a:extLst>
            <a:ext uri="{FF2B5EF4-FFF2-40B4-BE49-F238E27FC236}">
              <a16:creationId xmlns:a16="http://schemas.microsoft.com/office/drawing/2014/main" id="{00000000-0008-0000-1E00-000006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27" name="Shape 3">
          <a:extLst>
            <a:ext uri="{FF2B5EF4-FFF2-40B4-BE49-F238E27FC236}">
              <a16:creationId xmlns:a16="http://schemas.microsoft.com/office/drawing/2014/main" id="{00000000-0008-0000-1E00-000007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30728" name="Shape 3">
          <a:extLst>
            <a:ext uri="{FF2B5EF4-FFF2-40B4-BE49-F238E27FC236}">
              <a16:creationId xmlns:a16="http://schemas.microsoft.com/office/drawing/2014/main" id="{00000000-0008-0000-1E00-000008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29" name="Shape 3">
          <a:extLst>
            <a:ext uri="{FF2B5EF4-FFF2-40B4-BE49-F238E27FC236}">
              <a16:creationId xmlns:a16="http://schemas.microsoft.com/office/drawing/2014/main" id="{00000000-0008-0000-1E00-000009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30" name="Shape 3">
          <a:extLst>
            <a:ext uri="{FF2B5EF4-FFF2-40B4-BE49-F238E27FC236}">
              <a16:creationId xmlns:a16="http://schemas.microsoft.com/office/drawing/2014/main" id="{00000000-0008-0000-1E00-00000A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31" name="Shape 3">
          <a:extLst>
            <a:ext uri="{FF2B5EF4-FFF2-40B4-BE49-F238E27FC236}">
              <a16:creationId xmlns:a16="http://schemas.microsoft.com/office/drawing/2014/main" id="{00000000-0008-0000-1E00-00000B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32" name="Shape 3">
          <a:extLst>
            <a:ext uri="{FF2B5EF4-FFF2-40B4-BE49-F238E27FC236}">
              <a16:creationId xmlns:a16="http://schemas.microsoft.com/office/drawing/2014/main" id="{00000000-0008-0000-1E00-00000C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33" name="Shape 3">
          <a:extLst>
            <a:ext uri="{FF2B5EF4-FFF2-40B4-BE49-F238E27FC236}">
              <a16:creationId xmlns:a16="http://schemas.microsoft.com/office/drawing/2014/main" id="{00000000-0008-0000-1E00-00000D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34" name="Shape 3">
          <a:extLst>
            <a:ext uri="{FF2B5EF4-FFF2-40B4-BE49-F238E27FC236}">
              <a16:creationId xmlns:a16="http://schemas.microsoft.com/office/drawing/2014/main" id="{00000000-0008-0000-1E00-00000E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35" name="Shape 3">
          <a:extLst>
            <a:ext uri="{FF2B5EF4-FFF2-40B4-BE49-F238E27FC236}">
              <a16:creationId xmlns:a16="http://schemas.microsoft.com/office/drawing/2014/main" id="{00000000-0008-0000-1E00-00000F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36" name="Shape 3">
          <a:extLst>
            <a:ext uri="{FF2B5EF4-FFF2-40B4-BE49-F238E27FC236}">
              <a16:creationId xmlns:a16="http://schemas.microsoft.com/office/drawing/2014/main" id="{00000000-0008-0000-1E00-000010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37" name="Shape 3">
          <a:extLst>
            <a:ext uri="{FF2B5EF4-FFF2-40B4-BE49-F238E27FC236}">
              <a16:creationId xmlns:a16="http://schemas.microsoft.com/office/drawing/2014/main" id="{00000000-0008-0000-1E00-000011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38" name="Shape 3">
          <a:extLst>
            <a:ext uri="{FF2B5EF4-FFF2-40B4-BE49-F238E27FC236}">
              <a16:creationId xmlns:a16="http://schemas.microsoft.com/office/drawing/2014/main" id="{00000000-0008-0000-1E00-000012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39" name="Shape 3">
          <a:extLst>
            <a:ext uri="{FF2B5EF4-FFF2-40B4-BE49-F238E27FC236}">
              <a16:creationId xmlns:a16="http://schemas.microsoft.com/office/drawing/2014/main" id="{00000000-0008-0000-1E00-000013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40" name="Shape 3">
          <a:extLst>
            <a:ext uri="{FF2B5EF4-FFF2-40B4-BE49-F238E27FC236}">
              <a16:creationId xmlns:a16="http://schemas.microsoft.com/office/drawing/2014/main" id="{00000000-0008-0000-1E00-000014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41" name="Shape 3">
          <a:extLst>
            <a:ext uri="{FF2B5EF4-FFF2-40B4-BE49-F238E27FC236}">
              <a16:creationId xmlns:a16="http://schemas.microsoft.com/office/drawing/2014/main" id="{00000000-0008-0000-1E00-000015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42" name="Shape 3">
          <a:extLst>
            <a:ext uri="{FF2B5EF4-FFF2-40B4-BE49-F238E27FC236}">
              <a16:creationId xmlns:a16="http://schemas.microsoft.com/office/drawing/2014/main" id="{00000000-0008-0000-1E00-000016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43" name="Shape 3">
          <a:extLst>
            <a:ext uri="{FF2B5EF4-FFF2-40B4-BE49-F238E27FC236}">
              <a16:creationId xmlns:a16="http://schemas.microsoft.com/office/drawing/2014/main" id="{00000000-0008-0000-1E00-000017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44" name="Shape 3">
          <a:extLst>
            <a:ext uri="{FF2B5EF4-FFF2-40B4-BE49-F238E27FC236}">
              <a16:creationId xmlns:a16="http://schemas.microsoft.com/office/drawing/2014/main" id="{00000000-0008-0000-1E00-000018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45" name="Shape 3">
          <a:extLst>
            <a:ext uri="{FF2B5EF4-FFF2-40B4-BE49-F238E27FC236}">
              <a16:creationId xmlns:a16="http://schemas.microsoft.com/office/drawing/2014/main" id="{00000000-0008-0000-1E00-000019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46" name="Shape 3">
          <a:extLst>
            <a:ext uri="{FF2B5EF4-FFF2-40B4-BE49-F238E27FC236}">
              <a16:creationId xmlns:a16="http://schemas.microsoft.com/office/drawing/2014/main" id="{00000000-0008-0000-1E00-00001A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47" name="Shape 3">
          <a:extLst>
            <a:ext uri="{FF2B5EF4-FFF2-40B4-BE49-F238E27FC236}">
              <a16:creationId xmlns:a16="http://schemas.microsoft.com/office/drawing/2014/main" id="{00000000-0008-0000-1E00-00001B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48" name="Shape 3">
          <a:extLst>
            <a:ext uri="{FF2B5EF4-FFF2-40B4-BE49-F238E27FC236}">
              <a16:creationId xmlns:a16="http://schemas.microsoft.com/office/drawing/2014/main" id="{00000000-0008-0000-1E00-00001C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49" name="Shape 3">
          <a:extLst>
            <a:ext uri="{FF2B5EF4-FFF2-40B4-BE49-F238E27FC236}">
              <a16:creationId xmlns:a16="http://schemas.microsoft.com/office/drawing/2014/main" id="{00000000-0008-0000-1E00-00001D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50" name="Shape 3">
          <a:extLst>
            <a:ext uri="{FF2B5EF4-FFF2-40B4-BE49-F238E27FC236}">
              <a16:creationId xmlns:a16="http://schemas.microsoft.com/office/drawing/2014/main" id="{00000000-0008-0000-1E00-00001E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51" name="Shape 3">
          <a:extLst>
            <a:ext uri="{FF2B5EF4-FFF2-40B4-BE49-F238E27FC236}">
              <a16:creationId xmlns:a16="http://schemas.microsoft.com/office/drawing/2014/main" id="{00000000-0008-0000-1E00-00001F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52" name="Shape 3">
          <a:extLst>
            <a:ext uri="{FF2B5EF4-FFF2-40B4-BE49-F238E27FC236}">
              <a16:creationId xmlns:a16="http://schemas.microsoft.com/office/drawing/2014/main" id="{00000000-0008-0000-1E00-000020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53" name="Shape 3">
          <a:extLst>
            <a:ext uri="{FF2B5EF4-FFF2-40B4-BE49-F238E27FC236}">
              <a16:creationId xmlns:a16="http://schemas.microsoft.com/office/drawing/2014/main" id="{00000000-0008-0000-1E00-000021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54" name="Shape 3">
          <a:extLst>
            <a:ext uri="{FF2B5EF4-FFF2-40B4-BE49-F238E27FC236}">
              <a16:creationId xmlns:a16="http://schemas.microsoft.com/office/drawing/2014/main" id="{00000000-0008-0000-1E00-000022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55" name="Shape 3">
          <a:extLst>
            <a:ext uri="{FF2B5EF4-FFF2-40B4-BE49-F238E27FC236}">
              <a16:creationId xmlns:a16="http://schemas.microsoft.com/office/drawing/2014/main" id="{00000000-0008-0000-1E00-000023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56" name="Shape 3">
          <a:extLst>
            <a:ext uri="{FF2B5EF4-FFF2-40B4-BE49-F238E27FC236}">
              <a16:creationId xmlns:a16="http://schemas.microsoft.com/office/drawing/2014/main" id="{00000000-0008-0000-1E00-000024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57" name="Shape 3">
          <a:extLst>
            <a:ext uri="{FF2B5EF4-FFF2-40B4-BE49-F238E27FC236}">
              <a16:creationId xmlns:a16="http://schemas.microsoft.com/office/drawing/2014/main" id="{00000000-0008-0000-1E00-000025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58" name="Shape 3">
          <a:extLst>
            <a:ext uri="{FF2B5EF4-FFF2-40B4-BE49-F238E27FC236}">
              <a16:creationId xmlns:a16="http://schemas.microsoft.com/office/drawing/2014/main" id="{00000000-0008-0000-1E00-000026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59" name="Shape 3">
          <a:extLst>
            <a:ext uri="{FF2B5EF4-FFF2-40B4-BE49-F238E27FC236}">
              <a16:creationId xmlns:a16="http://schemas.microsoft.com/office/drawing/2014/main" id="{00000000-0008-0000-1E00-000027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60" name="Shape 3">
          <a:extLst>
            <a:ext uri="{FF2B5EF4-FFF2-40B4-BE49-F238E27FC236}">
              <a16:creationId xmlns:a16="http://schemas.microsoft.com/office/drawing/2014/main" id="{00000000-0008-0000-1E00-000028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61" name="Shape 3">
          <a:extLst>
            <a:ext uri="{FF2B5EF4-FFF2-40B4-BE49-F238E27FC236}">
              <a16:creationId xmlns:a16="http://schemas.microsoft.com/office/drawing/2014/main" id="{00000000-0008-0000-1E00-000029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62" name="Shape 3">
          <a:extLst>
            <a:ext uri="{FF2B5EF4-FFF2-40B4-BE49-F238E27FC236}">
              <a16:creationId xmlns:a16="http://schemas.microsoft.com/office/drawing/2014/main" id="{00000000-0008-0000-1E00-00002A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30763" name="Shape 3">
          <a:extLst>
            <a:ext uri="{FF2B5EF4-FFF2-40B4-BE49-F238E27FC236}">
              <a16:creationId xmlns:a16="http://schemas.microsoft.com/office/drawing/2014/main" id="{00000000-0008-0000-1E00-00002B78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64" name="Shape 3">
          <a:extLst>
            <a:ext uri="{FF2B5EF4-FFF2-40B4-BE49-F238E27FC236}">
              <a16:creationId xmlns:a16="http://schemas.microsoft.com/office/drawing/2014/main" id="{00000000-0008-0000-1E00-00002C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65" name="Shape 3">
          <a:extLst>
            <a:ext uri="{FF2B5EF4-FFF2-40B4-BE49-F238E27FC236}">
              <a16:creationId xmlns:a16="http://schemas.microsoft.com/office/drawing/2014/main" id="{00000000-0008-0000-1E00-00002D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66" name="Shape 3">
          <a:extLst>
            <a:ext uri="{FF2B5EF4-FFF2-40B4-BE49-F238E27FC236}">
              <a16:creationId xmlns:a16="http://schemas.microsoft.com/office/drawing/2014/main" id="{00000000-0008-0000-1E00-00002E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67" name="Shape 3">
          <a:extLst>
            <a:ext uri="{FF2B5EF4-FFF2-40B4-BE49-F238E27FC236}">
              <a16:creationId xmlns:a16="http://schemas.microsoft.com/office/drawing/2014/main" id="{00000000-0008-0000-1E00-00002F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68" name="Shape 3">
          <a:extLst>
            <a:ext uri="{FF2B5EF4-FFF2-40B4-BE49-F238E27FC236}">
              <a16:creationId xmlns:a16="http://schemas.microsoft.com/office/drawing/2014/main" id="{00000000-0008-0000-1E00-000030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69" name="Shape 3">
          <a:extLst>
            <a:ext uri="{FF2B5EF4-FFF2-40B4-BE49-F238E27FC236}">
              <a16:creationId xmlns:a16="http://schemas.microsoft.com/office/drawing/2014/main" id="{00000000-0008-0000-1E00-000031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0" name="Shape 3">
          <a:extLst>
            <a:ext uri="{FF2B5EF4-FFF2-40B4-BE49-F238E27FC236}">
              <a16:creationId xmlns:a16="http://schemas.microsoft.com/office/drawing/2014/main" id="{00000000-0008-0000-1E00-000032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1" name="Shape 3">
          <a:extLst>
            <a:ext uri="{FF2B5EF4-FFF2-40B4-BE49-F238E27FC236}">
              <a16:creationId xmlns:a16="http://schemas.microsoft.com/office/drawing/2014/main" id="{00000000-0008-0000-1E00-000033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2" name="Shape 3">
          <a:extLst>
            <a:ext uri="{FF2B5EF4-FFF2-40B4-BE49-F238E27FC236}">
              <a16:creationId xmlns:a16="http://schemas.microsoft.com/office/drawing/2014/main" id="{00000000-0008-0000-1E00-000034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3" name="Shape 3">
          <a:extLst>
            <a:ext uri="{FF2B5EF4-FFF2-40B4-BE49-F238E27FC236}">
              <a16:creationId xmlns:a16="http://schemas.microsoft.com/office/drawing/2014/main" id="{00000000-0008-0000-1E00-000035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4" name="Shape 3">
          <a:extLst>
            <a:ext uri="{FF2B5EF4-FFF2-40B4-BE49-F238E27FC236}">
              <a16:creationId xmlns:a16="http://schemas.microsoft.com/office/drawing/2014/main" id="{00000000-0008-0000-1E00-000036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5" name="Shape 3">
          <a:extLst>
            <a:ext uri="{FF2B5EF4-FFF2-40B4-BE49-F238E27FC236}">
              <a16:creationId xmlns:a16="http://schemas.microsoft.com/office/drawing/2014/main" id="{00000000-0008-0000-1E00-000037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6" name="Shape 3">
          <a:extLst>
            <a:ext uri="{FF2B5EF4-FFF2-40B4-BE49-F238E27FC236}">
              <a16:creationId xmlns:a16="http://schemas.microsoft.com/office/drawing/2014/main" id="{00000000-0008-0000-1E00-000038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7" name="Shape 3">
          <a:extLst>
            <a:ext uri="{FF2B5EF4-FFF2-40B4-BE49-F238E27FC236}">
              <a16:creationId xmlns:a16="http://schemas.microsoft.com/office/drawing/2014/main" id="{00000000-0008-0000-1E00-000039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8" name="Shape 3">
          <a:extLst>
            <a:ext uri="{FF2B5EF4-FFF2-40B4-BE49-F238E27FC236}">
              <a16:creationId xmlns:a16="http://schemas.microsoft.com/office/drawing/2014/main" id="{00000000-0008-0000-1E00-00003A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9" name="Shape 3">
          <a:extLst>
            <a:ext uri="{FF2B5EF4-FFF2-40B4-BE49-F238E27FC236}">
              <a16:creationId xmlns:a16="http://schemas.microsoft.com/office/drawing/2014/main" id="{00000000-0008-0000-1E00-00003B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0" name="Shape 3">
          <a:extLst>
            <a:ext uri="{FF2B5EF4-FFF2-40B4-BE49-F238E27FC236}">
              <a16:creationId xmlns:a16="http://schemas.microsoft.com/office/drawing/2014/main" id="{00000000-0008-0000-1E00-00003C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0781" name="Shape 4">
          <a:extLst>
            <a:ext uri="{FF2B5EF4-FFF2-40B4-BE49-F238E27FC236}">
              <a16:creationId xmlns:a16="http://schemas.microsoft.com/office/drawing/2014/main" id="{00000000-0008-0000-1E00-00003D78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0782" name="Shape 4">
          <a:extLst>
            <a:ext uri="{FF2B5EF4-FFF2-40B4-BE49-F238E27FC236}">
              <a16:creationId xmlns:a16="http://schemas.microsoft.com/office/drawing/2014/main" id="{00000000-0008-0000-1E00-00003E78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3" name="Shape 3">
          <a:extLst>
            <a:ext uri="{FF2B5EF4-FFF2-40B4-BE49-F238E27FC236}">
              <a16:creationId xmlns:a16="http://schemas.microsoft.com/office/drawing/2014/main" id="{00000000-0008-0000-1E00-00003F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4" name="Shape 3">
          <a:extLst>
            <a:ext uri="{FF2B5EF4-FFF2-40B4-BE49-F238E27FC236}">
              <a16:creationId xmlns:a16="http://schemas.microsoft.com/office/drawing/2014/main" id="{00000000-0008-0000-1E00-000040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5" name="Shape 3">
          <a:extLst>
            <a:ext uri="{FF2B5EF4-FFF2-40B4-BE49-F238E27FC236}">
              <a16:creationId xmlns:a16="http://schemas.microsoft.com/office/drawing/2014/main" id="{00000000-0008-0000-1E00-000041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6" name="Shape 3">
          <a:extLst>
            <a:ext uri="{FF2B5EF4-FFF2-40B4-BE49-F238E27FC236}">
              <a16:creationId xmlns:a16="http://schemas.microsoft.com/office/drawing/2014/main" id="{00000000-0008-0000-1E00-000042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7" name="Shape 3">
          <a:extLst>
            <a:ext uri="{FF2B5EF4-FFF2-40B4-BE49-F238E27FC236}">
              <a16:creationId xmlns:a16="http://schemas.microsoft.com/office/drawing/2014/main" id="{00000000-0008-0000-1E00-000043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8" name="Shape 3">
          <a:extLst>
            <a:ext uri="{FF2B5EF4-FFF2-40B4-BE49-F238E27FC236}">
              <a16:creationId xmlns:a16="http://schemas.microsoft.com/office/drawing/2014/main" id="{00000000-0008-0000-1E00-000044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9" name="Shape 3">
          <a:extLst>
            <a:ext uri="{FF2B5EF4-FFF2-40B4-BE49-F238E27FC236}">
              <a16:creationId xmlns:a16="http://schemas.microsoft.com/office/drawing/2014/main" id="{00000000-0008-0000-1E00-000045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90" name="Shape 3">
          <a:extLst>
            <a:ext uri="{FF2B5EF4-FFF2-40B4-BE49-F238E27FC236}">
              <a16:creationId xmlns:a16="http://schemas.microsoft.com/office/drawing/2014/main" id="{00000000-0008-0000-1E00-000046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1" name="Shape 3">
          <a:extLst>
            <a:ext uri="{FF2B5EF4-FFF2-40B4-BE49-F238E27FC236}">
              <a16:creationId xmlns:a16="http://schemas.microsoft.com/office/drawing/2014/main" id="{00000000-0008-0000-1E00-000047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2" name="Shape 3">
          <a:extLst>
            <a:ext uri="{FF2B5EF4-FFF2-40B4-BE49-F238E27FC236}">
              <a16:creationId xmlns:a16="http://schemas.microsoft.com/office/drawing/2014/main" id="{00000000-0008-0000-1E00-000048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3" name="Shape 3">
          <a:extLst>
            <a:ext uri="{FF2B5EF4-FFF2-40B4-BE49-F238E27FC236}">
              <a16:creationId xmlns:a16="http://schemas.microsoft.com/office/drawing/2014/main" id="{00000000-0008-0000-1E00-000049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4" name="Shape 3">
          <a:extLst>
            <a:ext uri="{FF2B5EF4-FFF2-40B4-BE49-F238E27FC236}">
              <a16:creationId xmlns:a16="http://schemas.microsoft.com/office/drawing/2014/main" id="{00000000-0008-0000-1E00-00004A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5" name="Shape 3">
          <a:extLst>
            <a:ext uri="{FF2B5EF4-FFF2-40B4-BE49-F238E27FC236}">
              <a16:creationId xmlns:a16="http://schemas.microsoft.com/office/drawing/2014/main" id="{00000000-0008-0000-1E00-00004B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6" name="Shape 3">
          <a:extLst>
            <a:ext uri="{FF2B5EF4-FFF2-40B4-BE49-F238E27FC236}">
              <a16:creationId xmlns:a16="http://schemas.microsoft.com/office/drawing/2014/main" id="{00000000-0008-0000-1E00-00004C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7" name="Shape 3">
          <a:extLst>
            <a:ext uri="{FF2B5EF4-FFF2-40B4-BE49-F238E27FC236}">
              <a16:creationId xmlns:a16="http://schemas.microsoft.com/office/drawing/2014/main" id="{00000000-0008-0000-1E00-00004D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8" name="Shape 3">
          <a:extLst>
            <a:ext uri="{FF2B5EF4-FFF2-40B4-BE49-F238E27FC236}">
              <a16:creationId xmlns:a16="http://schemas.microsoft.com/office/drawing/2014/main" id="{00000000-0008-0000-1E00-00004E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9" name="Shape 3">
          <a:extLst>
            <a:ext uri="{FF2B5EF4-FFF2-40B4-BE49-F238E27FC236}">
              <a16:creationId xmlns:a16="http://schemas.microsoft.com/office/drawing/2014/main" id="{00000000-0008-0000-1E00-00004F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0" name="Shape 3">
          <a:extLst>
            <a:ext uri="{FF2B5EF4-FFF2-40B4-BE49-F238E27FC236}">
              <a16:creationId xmlns:a16="http://schemas.microsoft.com/office/drawing/2014/main" id="{00000000-0008-0000-1E00-000050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1" name="Shape 3">
          <a:extLst>
            <a:ext uri="{FF2B5EF4-FFF2-40B4-BE49-F238E27FC236}">
              <a16:creationId xmlns:a16="http://schemas.microsoft.com/office/drawing/2014/main" id="{00000000-0008-0000-1E00-000051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2" name="Shape 3">
          <a:extLst>
            <a:ext uri="{FF2B5EF4-FFF2-40B4-BE49-F238E27FC236}">
              <a16:creationId xmlns:a16="http://schemas.microsoft.com/office/drawing/2014/main" id="{00000000-0008-0000-1E00-000052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3" name="Shape 3">
          <a:extLst>
            <a:ext uri="{FF2B5EF4-FFF2-40B4-BE49-F238E27FC236}">
              <a16:creationId xmlns:a16="http://schemas.microsoft.com/office/drawing/2014/main" id="{00000000-0008-0000-1E00-000053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4" name="Shape 3">
          <a:extLst>
            <a:ext uri="{FF2B5EF4-FFF2-40B4-BE49-F238E27FC236}">
              <a16:creationId xmlns:a16="http://schemas.microsoft.com/office/drawing/2014/main" id="{00000000-0008-0000-1E00-000054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5" name="Shape 3">
          <a:extLst>
            <a:ext uri="{FF2B5EF4-FFF2-40B4-BE49-F238E27FC236}">
              <a16:creationId xmlns:a16="http://schemas.microsoft.com/office/drawing/2014/main" id="{00000000-0008-0000-1E00-000055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6" name="Shape 3">
          <a:extLst>
            <a:ext uri="{FF2B5EF4-FFF2-40B4-BE49-F238E27FC236}">
              <a16:creationId xmlns:a16="http://schemas.microsoft.com/office/drawing/2014/main" id="{00000000-0008-0000-1E00-000056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7" name="Shape 3">
          <a:extLst>
            <a:ext uri="{FF2B5EF4-FFF2-40B4-BE49-F238E27FC236}">
              <a16:creationId xmlns:a16="http://schemas.microsoft.com/office/drawing/2014/main" id="{00000000-0008-0000-1E00-000057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8" name="Shape 3">
          <a:extLst>
            <a:ext uri="{FF2B5EF4-FFF2-40B4-BE49-F238E27FC236}">
              <a16:creationId xmlns:a16="http://schemas.microsoft.com/office/drawing/2014/main" id="{00000000-0008-0000-1E00-000058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9" name="Shape 3">
          <a:extLst>
            <a:ext uri="{FF2B5EF4-FFF2-40B4-BE49-F238E27FC236}">
              <a16:creationId xmlns:a16="http://schemas.microsoft.com/office/drawing/2014/main" id="{00000000-0008-0000-1E00-000059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0" name="Shape 3">
          <a:extLst>
            <a:ext uri="{FF2B5EF4-FFF2-40B4-BE49-F238E27FC236}">
              <a16:creationId xmlns:a16="http://schemas.microsoft.com/office/drawing/2014/main" id="{00000000-0008-0000-1E00-00005A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1" name="Shape 3">
          <a:extLst>
            <a:ext uri="{FF2B5EF4-FFF2-40B4-BE49-F238E27FC236}">
              <a16:creationId xmlns:a16="http://schemas.microsoft.com/office/drawing/2014/main" id="{00000000-0008-0000-1E00-00005B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2" name="Shape 3">
          <a:extLst>
            <a:ext uri="{FF2B5EF4-FFF2-40B4-BE49-F238E27FC236}">
              <a16:creationId xmlns:a16="http://schemas.microsoft.com/office/drawing/2014/main" id="{00000000-0008-0000-1E00-00005C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3" name="Shape 3">
          <a:extLst>
            <a:ext uri="{FF2B5EF4-FFF2-40B4-BE49-F238E27FC236}">
              <a16:creationId xmlns:a16="http://schemas.microsoft.com/office/drawing/2014/main" id="{00000000-0008-0000-1E00-00005D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4" name="Shape 3">
          <a:extLst>
            <a:ext uri="{FF2B5EF4-FFF2-40B4-BE49-F238E27FC236}">
              <a16:creationId xmlns:a16="http://schemas.microsoft.com/office/drawing/2014/main" id="{00000000-0008-0000-1E00-00005E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5" name="Shape 3">
          <a:extLst>
            <a:ext uri="{FF2B5EF4-FFF2-40B4-BE49-F238E27FC236}">
              <a16:creationId xmlns:a16="http://schemas.microsoft.com/office/drawing/2014/main" id="{00000000-0008-0000-1E00-00005F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6" name="Shape 3">
          <a:extLst>
            <a:ext uri="{FF2B5EF4-FFF2-40B4-BE49-F238E27FC236}">
              <a16:creationId xmlns:a16="http://schemas.microsoft.com/office/drawing/2014/main" id="{00000000-0008-0000-1E00-000060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7" name="Shape 3">
          <a:extLst>
            <a:ext uri="{FF2B5EF4-FFF2-40B4-BE49-F238E27FC236}">
              <a16:creationId xmlns:a16="http://schemas.microsoft.com/office/drawing/2014/main" id="{00000000-0008-0000-1E00-000061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8" name="Shape 3">
          <a:extLst>
            <a:ext uri="{FF2B5EF4-FFF2-40B4-BE49-F238E27FC236}">
              <a16:creationId xmlns:a16="http://schemas.microsoft.com/office/drawing/2014/main" id="{00000000-0008-0000-1E00-000062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9" name="Shape 3">
          <a:extLst>
            <a:ext uri="{FF2B5EF4-FFF2-40B4-BE49-F238E27FC236}">
              <a16:creationId xmlns:a16="http://schemas.microsoft.com/office/drawing/2014/main" id="{00000000-0008-0000-1E00-000063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20" name="Shape 3">
          <a:extLst>
            <a:ext uri="{FF2B5EF4-FFF2-40B4-BE49-F238E27FC236}">
              <a16:creationId xmlns:a16="http://schemas.microsoft.com/office/drawing/2014/main" id="{00000000-0008-0000-1E00-000064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21" name="Shape 3">
          <a:extLst>
            <a:ext uri="{FF2B5EF4-FFF2-40B4-BE49-F238E27FC236}">
              <a16:creationId xmlns:a16="http://schemas.microsoft.com/office/drawing/2014/main" id="{00000000-0008-0000-1E00-000065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22" name="Shape 3">
          <a:extLst>
            <a:ext uri="{FF2B5EF4-FFF2-40B4-BE49-F238E27FC236}">
              <a16:creationId xmlns:a16="http://schemas.microsoft.com/office/drawing/2014/main" id="{00000000-0008-0000-1E00-000066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23" name="Shape 3">
          <a:extLst>
            <a:ext uri="{FF2B5EF4-FFF2-40B4-BE49-F238E27FC236}">
              <a16:creationId xmlns:a16="http://schemas.microsoft.com/office/drawing/2014/main" id="{00000000-0008-0000-1E00-000067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24" name="Shape 3">
          <a:extLst>
            <a:ext uri="{FF2B5EF4-FFF2-40B4-BE49-F238E27FC236}">
              <a16:creationId xmlns:a16="http://schemas.microsoft.com/office/drawing/2014/main" id="{00000000-0008-0000-1E00-000068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25" name="Shape 3">
          <a:extLst>
            <a:ext uri="{FF2B5EF4-FFF2-40B4-BE49-F238E27FC236}">
              <a16:creationId xmlns:a16="http://schemas.microsoft.com/office/drawing/2014/main" id="{00000000-0008-0000-1E00-000069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26" name="Shape 3">
          <a:extLst>
            <a:ext uri="{FF2B5EF4-FFF2-40B4-BE49-F238E27FC236}">
              <a16:creationId xmlns:a16="http://schemas.microsoft.com/office/drawing/2014/main" id="{00000000-0008-0000-1E00-00006A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27" name="Shape 3">
          <a:extLst>
            <a:ext uri="{FF2B5EF4-FFF2-40B4-BE49-F238E27FC236}">
              <a16:creationId xmlns:a16="http://schemas.microsoft.com/office/drawing/2014/main" id="{00000000-0008-0000-1E00-00006B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28" name="Shape 3">
          <a:extLst>
            <a:ext uri="{FF2B5EF4-FFF2-40B4-BE49-F238E27FC236}">
              <a16:creationId xmlns:a16="http://schemas.microsoft.com/office/drawing/2014/main" id="{00000000-0008-0000-1E00-00006C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29" name="Shape 3">
          <a:extLst>
            <a:ext uri="{FF2B5EF4-FFF2-40B4-BE49-F238E27FC236}">
              <a16:creationId xmlns:a16="http://schemas.microsoft.com/office/drawing/2014/main" id="{00000000-0008-0000-1E00-00006D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0" name="Shape 3">
          <a:extLst>
            <a:ext uri="{FF2B5EF4-FFF2-40B4-BE49-F238E27FC236}">
              <a16:creationId xmlns:a16="http://schemas.microsoft.com/office/drawing/2014/main" id="{00000000-0008-0000-1E00-00006E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1" name="Shape 3">
          <a:extLst>
            <a:ext uri="{FF2B5EF4-FFF2-40B4-BE49-F238E27FC236}">
              <a16:creationId xmlns:a16="http://schemas.microsoft.com/office/drawing/2014/main" id="{00000000-0008-0000-1E00-00006F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2" name="Shape 3">
          <a:extLst>
            <a:ext uri="{FF2B5EF4-FFF2-40B4-BE49-F238E27FC236}">
              <a16:creationId xmlns:a16="http://schemas.microsoft.com/office/drawing/2014/main" id="{00000000-0008-0000-1E00-000070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3" name="Shape 3">
          <a:extLst>
            <a:ext uri="{FF2B5EF4-FFF2-40B4-BE49-F238E27FC236}">
              <a16:creationId xmlns:a16="http://schemas.microsoft.com/office/drawing/2014/main" id="{00000000-0008-0000-1E00-000071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4" name="Shape 3">
          <a:extLst>
            <a:ext uri="{FF2B5EF4-FFF2-40B4-BE49-F238E27FC236}">
              <a16:creationId xmlns:a16="http://schemas.microsoft.com/office/drawing/2014/main" id="{00000000-0008-0000-1E00-000072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5" name="Shape 3">
          <a:extLst>
            <a:ext uri="{FF2B5EF4-FFF2-40B4-BE49-F238E27FC236}">
              <a16:creationId xmlns:a16="http://schemas.microsoft.com/office/drawing/2014/main" id="{00000000-0008-0000-1E00-000073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6" name="Shape 3">
          <a:extLst>
            <a:ext uri="{FF2B5EF4-FFF2-40B4-BE49-F238E27FC236}">
              <a16:creationId xmlns:a16="http://schemas.microsoft.com/office/drawing/2014/main" id="{00000000-0008-0000-1E00-000074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7" name="Shape 3">
          <a:extLst>
            <a:ext uri="{FF2B5EF4-FFF2-40B4-BE49-F238E27FC236}">
              <a16:creationId xmlns:a16="http://schemas.microsoft.com/office/drawing/2014/main" id="{00000000-0008-0000-1E00-000075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8" name="Shape 3">
          <a:extLst>
            <a:ext uri="{FF2B5EF4-FFF2-40B4-BE49-F238E27FC236}">
              <a16:creationId xmlns:a16="http://schemas.microsoft.com/office/drawing/2014/main" id="{00000000-0008-0000-1E00-000076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9" name="Shape 3">
          <a:extLst>
            <a:ext uri="{FF2B5EF4-FFF2-40B4-BE49-F238E27FC236}">
              <a16:creationId xmlns:a16="http://schemas.microsoft.com/office/drawing/2014/main" id="{00000000-0008-0000-1E00-000077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0" name="Shape 3">
          <a:extLst>
            <a:ext uri="{FF2B5EF4-FFF2-40B4-BE49-F238E27FC236}">
              <a16:creationId xmlns:a16="http://schemas.microsoft.com/office/drawing/2014/main" id="{00000000-0008-0000-1E00-000078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1" name="Shape 3">
          <a:extLst>
            <a:ext uri="{FF2B5EF4-FFF2-40B4-BE49-F238E27FC236}">
              <a16:creationId xmlns:a16="http://schemas.microsoft.com/office/drawing/2014/main" id="{00000000-0008-0000-1E00-000079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2" name="Shape 3">
          <a:extLst>
            <a:ext uri="{FF2B5EF4-FFF2-40B4-BE49-F238E27FC236}">
              <a16:creationId xmlns:a16="http://schemas.microsoft.com/office/drawing/2014/main" id="{00000000-0008-0000-1E00-00007A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0843" name="Shape 4">
          <a:extLst>
            <a:ext uri="{FF2B5EF4-FFF2-40B4-BE49-F238E27FC236}">
              <a16:creationId xmlns:a16="http://schemas.microsoft.com/office/drawing/2014/main" id="{00000000-0008-0000-1E00-00007B78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0844" name="Shape 4">
          <a:extLst>
            <a:ext uri="{FF2B5EF4-FFF2-40B4-BE49-F238E27FC236}">
              <a16:creationId xmlns:a16="http://schemas.microsoft.com/office/drawing/2014/main" id="{00000000-0008-0000-1E00-00007C78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5" name="Shape 3">
          <a:extLst>
            <a:ext uri="{FF2B5EF4-FFF2-40B4-BE49-F238E27FC236}">
              <a16:creationId xmlns:a16="http://schemas.microsoft.com/office/drawing/2014/main" id="{00000000-0008-0000-1E00-00007D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6" name="Shape 3">
          <a:extLst>
            <a:ext uri="{FF2B5EF4-FFF2-40B4-BE49-F238E27FC236}">
              <a16:creationId xmlns:a16="http://schemas.microsoft.com/office/drawing/2014/main" id="{00000000-0008-0000-1E00-00007E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7" name="Shape 3">
          <a:extLst>
            <a:ext uri="{FF2B5EF4-FFF2-40B4-BE49-F238E27FC236}">
              <a16:creationId xmlns:a16="http://schemas.microsoft.com/office/drawing/2014/main" id="{00000000-0008-0000-1E00-00007F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8" name="Shape 3">
          <a:extLst>
            <a:ext uri="{FF2B5EF4-FFF2-40B4-BE49-F238E27FC236}">
              <a16:creationId xmlns:a16="http://schemas.microsoft.com/office/drawing/2014/main" id="{00000000-0008-0000-1E00-000080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9" name="Shape 3">
          <a:extLst>
            <a:ext uri="{FF2B5EF4-FFF2-40B4-BE49-F238E27FC236}">
              <a16:creationId xmlns:a16="http://schemas.microsoft.com/office/drawing/2014/main" id="{00000000-0008-0000-1E00-000081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50" name="Shape 3">
          <a:extLst>
            <a:ext uri="{FF2B5EF4-FFF2-40B4-BE49-F238E27FC236}">
              <a16:creationId xmlns:a16="http://schemas.microsoft.com/office/drawing/2014/main" id="{00000000-0008-0000-1E00-000082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51" name="Shape 3">
          <a:extLst>
            <a:ext uri="{FF2B5EF4-FFF2-40B4-BE49-F238E27FC236}">
              <a16:creationId xmlns:a16="http://schemas.microsoft.com/office/drawing/2014/main" id="{00000000-0008-0000-1E00-000083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52" name="Shape 3">
          <a:extLst>
            <a:ext uri="{FF2B5EF4-FFF2-40B4-BE49-F238E27FC236}">
              <a16:creationId xmlns:a16="http://schemas.microsoft.com/office/drawing/2014/main" id="{00000000-0008-0000-1E00-000084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3" name="Shape 3">
          <a:extLst>
            <a:ext uri="{FF2B5EF4-FFF2-40B4-BE49-F238E27FC236}">
              <a16:creationId xmlns:a16="http://schemas.microsoft.com/office/drawing/2014/main" id="{00000000-0008-0000-1E00-000085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4" name="Shape 3">
          <a:extLst>
            <a:ext uri="{FF2B5EF4-FFF2-40B4-BE49-F238E27FC236}">
              <a16:creationId xmlns:a16="http://schemas.microsoft.com/office/drawing/2014/main" id="{00000000-0008-0000-1E00-000086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5" name="Shape 3">
          <a:extLst>
            <a:ext uri="{FF2B5EF4-FFF2-40B4-BE49-F238E27FC236}">
              <a16:creationId xmlns:a16="http://schemas.microsoft.com/office/drawing/2014/main" id="{00000000-0008-0000-1E00-000087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6" name="Shape 3">
          <a:extLst>
            <a:ext uri="{FF2B5EF4-FFF2-40B4-BE49-F238E27FC236}">
              <a16:creationId xmlns:a16="http://schemas.microsoft.com/office/drawing/2014/main" id="{00000000-0008-0000-1E00-000088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7" name="Shape 3">
          <a:extLst>
            <a:ext uri="{FF2B5EF4-FFF2-40B4-BE49-F238E27FC236}">
              <a16:creationId xmlns:a16="http://schemas.microsoft.com/office/drawing/2014/main" id="{00000000-0008-0000-1E00-000089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8" name="Shape 3">
          <a:extLst>
            <a:ext uri="{FF2B5EF4-FFF2-40B4-BE49-F238E27FC236}">
              <a16:creationId xmlns:a16="http://schemas.microsoft.com/office/drawing/2014/main" id="{00000000-0008-0000-1E00-00008A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9" name="Shape 3">
          <a:extLst>
            <a:ext uri="{FF2B5EF4-FFF2-40B4-BE49-F238E27FC236}">
              <a16:creationId xmlns:a16="http://schemas.microsoft.com/office/drawing/2014/main" id="{00000000-0008-0000-1E00-00008B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0" name="Shape 3">
          <a:extLst>
            <a:ext uri="{FF2B5EF4-FFF2-40B4-BE49-F238E27FC236}">
              <a16:creationId xmlns:a16="http://schemas.microsoft.com/office/drawing/2014/main" id="{00000000-0008-0000-1E00-00008C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1" name="Shape 3">
          <a:extLst>
            <a:ext uri="{FF2B5EF4-FFF2-40B4-BE49-F238E27FC236}">
              <a16:creationId xmlns:a16="http://schemas.microsoft.com/office/drawing/2014/main" id="{00000000-0008-0000-1E00-00008D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2" name="Shape 3">
          <a:extLst>
            <a:ext uri="{FF2B5EF4-FFF2-40B4-BE49-F238E27FC236}">
              <a16:creationId xmlns:a16="http://schemas.microsoft.com/office/drawing/2014/main" id="{00000000-0008-0000-1E00-00008E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3" name="Shape 3">
          <a:extLst>
            <a:ext uri="{FF2B5EF4-FFF2-40B4-BE49-F238E27FC236}">
              <a16:creationId xmlns:a16="http://schemas.microsoft.com/office/drawing/2014/main" id="{00000000-0008-0000-1E00-00008F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4" name="Shape 3">
          <a:extLst>
            <a:ext uri="{FF2B5EF4-FFF2-40B4-BE49-F238E27FC236}">
              <a16:creationId xmlns:a16="http://schemas.microsoft.com/office/drawing/2014/main" id="{00000000-0008-0000-1E00-000090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5" name="Shape 3">
          <a:extLst>
            <a:ext uri="{FF2B5EF4-FFF2-40B4-BE49-F238E27FC236}">
              <a16:creationId xmlns:a16="http://schemas.microsoft.com/office/drawing/2014/main" id="{00000000-0008-0000-1E00-000091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6" name="Shape 3">
          <a:extLst>
            <a:ext uri="{FF2B5EF4-FFF2-40B4-BE49-F238E27FC236}">
              <a16:creationId xmlns:a16="http://schemas.microsoft.com/office/drawing/2014/main" id="{00000000-0008-0000-1E00-000092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7" name="Shape 3">
          <a:extLst>
            <a:ext uri="{FF2B5EF4-FFF2-40B4-BE49-F238E27FC236}">
              <a16:creationId xmlns:a16="http://schemas.microsoft.com/office/drawing/2014/main" id="{00000000-0008-0000-1E00-000093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8" name="Shape 3">
          <a:extLst>
            <a:ext uri="{FF2B5EF4-FFF2-40B4-BE49-F238E27FC236}">
              <a16:creationId xmlns:a16="http://schemas.microsoft.com/office/drawing/2014/main" id="{00000000-0008-0000-1E00-000094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9" name="Shape 3">
          <a:extLst>
            <a:ext uri="{FF2B5EF4-FFF2-40B4-BE49-F238E27FC236}">
              <a16:creationId xmlns:a16="http://schemas.microsoft.com/office/drawing/2014/main" id="{00000000-0008-0000-1E00-000095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0" name="Shape 3">
          <a:extLst>
            <a:ext uri="{FF2B5EF4-FFF2-40B4-BE49-F238E27FC236}">
              <a16:creationId xmlns:a16="http://schemas.microsoft.com/office/drawing/2014/main" id="{00000000-0008-0000-1E00-000096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1" name="Shape 3">
          <a:extLst>
            <a:ext uri="{FF2B5EF4-FFF2-40B4-BE49-F238E27FC236}">
              <a16:creationId xmlns:a16="http://schemas.microsoft.com/office/drawing/2014/main" id="{00000000-0008-0000-1E00-000097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2" name="Shape 3">
          <a:extLst>
            <a:ext uri="{FF2B5EF4-FFF2-40B4-BE49-F238E27FC236}">
              <a16:creationId xmlns:a16="http://schemas.microsoft.com/office/drawing/2014/main" id="{00000000-0008-0000-1E00-000098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3" name="Shape 3">
          <a:extLst>
            <a:ext uri="{FF2B5EF4-FFF2-40B4-BE49-F238E27FC236}">
              <a16:creationId xmlns:a16="http://schemas.microsoft.com/office/drawing/2014/main" id="{00000000-0008-0000-1E00-000099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4" name="Shape 3">
          <a:extLst>
            <a:ext uri="{FF2B5EF4-FFF2-40B4-BE49-F238E27FC236}">
              <a16:creationId xmlns:a16="http://schemas.microsoft.com/office/drawing/2014/main" id="{00000000-0008-0000-1E00-00009A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5" name="Shape 3">
          <a:extLst>
            <a:ext uri="{FF2B5EF4-FFF2-40B4-BE49-F238E27FC236}">
              <a16:creationId xmlns:a16="http://schemas.microsoft.com/office/drawing/2014/main" id="{00000000-0008-0000-1E00-00009B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6" name="Shape 3">
          <a:extLst>
            <a:ext uri="{FF2B5EF4-FFF2-40B4-BE49-F238E27FC236}">
              <a16:creationId xmlns:a16="http://schemas.microsoft.com/office/drawing/2014/main" id="{00000000-0008-0000-1E00-00009C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7" name="Shape 3">
          <a:extLst>
            <a:ext uri="{FF2B5EF4-FFF2-40B4-BE49-F238E27FC236}">
              <a16:creationId xmlns:a16="http://schemas.microsoft.com/office/drawing/2014/main" id="{00000000-0008-0000-1E00-00009D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8" name="Shape 3">
          <a:extLst>
            <a:ext uri="{FF2B5EF4-FFF2-40B4-BE49-F238E27FC236}">
              <a16:creationId xmlns:a16="http://schemas.microsoft.com/office/drawing/2014/main" id="{00000000-0008-0000-1E00-00009E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9" name="Shape 3">
          <a:extLst>
            <a:ext uri="{FF2B5EF4-FFF2-40B4-BE49-F238E27FC236}">
              <a16:creationId xmlns:a16="http://schemas.microsoft.com/office/drawing/2014/main" id="{00000000-0008-0000-1E00-00009F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0" name="Shape 3">
          <a:extLst>
            <a:ext uri="{FF2B5EF4-FFF2-40B4-BE49-F238E27FC236}">
              <a16:creationId xmlns:a16="http://schemas.microsoft.com/office/drawing/2014/main" id="{00000000-0008-0000-1E00-0000A0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1" name="Shape 3">
          <a:extLst>
            <a:ext uri="{FF2B5EF4-FFF2-40B4-BE49-F238E27FC236}">
              <a16:creationId xmlns:a16="http://schemas.microsoft.com/office/drawing/2014/main" id="{00000000-0008-0000-1E00-0000A1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2" name="Shape 3">
          <a:extLst>
            <a:ext uri="{FF2B5EF4-FFF2-40B4-BE49-F238E27FC236}">
              <a16:creationId xmlns:a16="http://schemas.microsoft.com/office/drawing/2014/main" id="{00000000-0008-0000-1E00-0000A2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3" name="Shape 3">
          <a:extLst>
            <a:ext uri="{FF2B5EF4-FFF2-40B4-BE49-F238E27FC236}">
              <a16:creationId xmlns:a16="http://schemas.microsoft.com/office/drawing/2014/main" id="{00000000-0008-0000-1E00-0000A3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4" name="Shape 3">
          <a:extLst>
            <a:ext uri="{FF2B5EF4-FFF2-40B4-BE49-F238E27FC236}">
              <a16:creationId xmlns:a16="http://schemas.microsoft.com/office/drawing/2014/main" id="{00000000-0008-0000-1E00-0000A4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5" name="Shape 3">
          <a:extLst>
            <a:ext uri="{FF2B5EF4-FFF2-40B4-BE49-F238E27FC236}">
              <a16:creationId xmlns:a16="http://schemas.microsoft.com/office/drawing/2014/main" id="{00000000-0008-0000-1E00-0000A5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6" name="Shape 3">
          <a:extLst>
            <a:ext uri="{FF2B5EF4-FFF2-40B4-BE49-F238E27FC236}">
              <a16:creationId xmlns:a16="http://schemas.microsoft.com/office/drawing/2014/main" id="{00000000-0008-0000-1E00-0000A6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7" name="Shape 3">
          <a:extLst>
            <a:ext uri="{FF2B5EF4-FFF2-40B4-BE49-F238E27FC236}">
              <a16:creationId xmlns:a16="http://schemas.microsoft.com/office/drawing/2014/main" id="{00000000-0008-0000-1E00-0000A7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02" name="Shape 3">
          <a:extLst>
            <a:ext uri="{FF2B5EF4-FFF2-40B4-BE49-F238E27FC236}">
              <a16:creationId xmlns:a16="http://schemas.microsoft.com/office/drawing/2014/main" id="{00000000-0008-0000-1F00-0000E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03" name="Shape 3">
          <a:extLst>
            <a:ext uri="{FF2B5EF4-FFF2-40B4-BE49-F238E27FC236}">
              <a16:creationId xmlns:a16="http://schemas.microsoft.com/office/drawing/2014/main" id="{00000000-0008-0000-1F00-0000E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04" name="Shape 3">
          <a:extLst>
            <a:ext uri="{FF2B5EF4-FFF2-40B4-BE49-F238E27FC236}">
              <a16:creationId xmlns:a16="http://schemas.microsoft.com/office/drawing/2014/main" id="{00000000-0008-0000-1F00-0000F0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05" name="Shape 3">
          <a:extLst>
            <a:ext uri="{FF2B5EF4-FFF2-40B4-BE49-F238E27FC236}">
              <a16:creationId xmlns:a16="http://schemas.microsoft.com/office/drawing/2014/main" id="{00000000-0008-0000-1F00-0000F1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06" name="Shape 3">
          <a:extLst>
            <a:ext uri="{FF2B5EF4-FFF2-40B4-BE49-F238E27FC236}">
              <a16:creationId xmlns:a16="http://schemas.microsoft.com/office/drawing/2014/main" id="{00000000-0008-0000-1F00-0000F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07" name="Shape 3">
          <a:extLst>
            <a:ext uri="{FF2B5EF4-FFF2-40B4-BE49-F238E27FC236}">
              <a16:creationId xmlns:a16="http://schemas.microsoft.com/office/drawing/2014/main" id="{00000000-0008-0000-1F00-0000F3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08" name="Shape 3">
          <a:extLst>
            <a:ext uri="{FF2B5EF4-FFF2-40B4-BE49-F238E27FC236}">
              <a16:creationId xmlns:a16="http://schemas.microsoft.com/office/drawing/2014/main" id="{00000000-0008-0000-1F00-0000F4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09" name="Shape 3">
          <a:extLst>
            <a:ext uri="{FF2B5EF4-FFF2-40B4-BE49-F238E27FC236}">
              <a16:creationId xmlns:a16="http://schemas.microsoft.com/office/drawing/2014/main" id="{00000000-0008-0000-1F00-0000F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10" name="Shape 3">
          <a:extLst>
            <a:ext uri="{FF2B5EF4-FFF2-40B4-BE49-F238E27FC236}">
              <a16:creationId xmlns:a16="http://schemas.microsoft.com/office/drawing/2014/main" id="{00000000-0008-0000-1F00-0000F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11" name="Shape 3">
          <a:extLst>
            <a:ext uri="{FF2B5EF4-FFF2-40B4-BE49-F238E27FC236}">
              <a16:creationId xmlns:a16="http://schemas.microsoft.com/office/drawing/2014/main" id="{00000000-0008-0000-1F00-0000F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12" name="Shape 3">
          <a:extLst>
            <a:ext uri="{FF2B5EF4-FFF2-40B4-BE49-F238E27FC236}">
              <a16:creationId xmlns:a16="http://schemas.microsoft.com/office/drawing/2014/main" id="{00000000-0008-0000-1F00-0000F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13" name="Shape 3">
          <a:extLst>
            <a:ext uri="{FF2B5EF4-FFF2-40B4-BE49-F238E27FC236}">
              <a16:creationId xmlns:a16="http://schemas.microsoft.com/office/drawing/2014/main" id="{00000000-0008-0000-1F00-0000F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14" name="Shape 3">
          <a:extLst>
            <a:ext uri="{FF2B5EF4-FFF2-40B4-BE49-F238E27FC236}">
              <a16:creationId xmlns:a16="http://schemas.microsoft.com/office/drawing/2014/main" id="{00000000-0008-0000-1F00-0000F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15" name="Shape 3">
          <a:extLst>
            <a:ext uri="{FF2B5EF4-FFF2-40B4-BE49-F238E27FC236}">
              <a16:creationId xmlns:a16="http://schemas.microsoft.com/office/drawing/2014/main" id="{00000000-0008-0000-1F00-0000F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16" name="Shape 3">
          <a:extLst>
            <a:ext uri="{FF2B5EF4-FFF2-40B4-BE49-F238E27FC236}">
              <a16:creationId xmlns:a16="http://schemas.microsoft.com/office/drawing/2014/main" id="{00000000-0008-0000-1F00-0000F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17" name="Shape 3">
          <a:extLst>
            <a:ext uri="{FF2B5EF4-FFF2-40B4-BE49-F238E27FC236}">
              <a16:creationId xmlns:a16="http://schemas.microsoft.com/office/drawing/2014/main" id="{00000000-0008-0000-1F00-0000F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18" name="Shape 3">
          <a:extLst>
            <a:ext uri="{FF2B5EF4-FFF2-40B4-BE49-F238E27FC236}">
              <a16:creationId xmlns:a16="http://schemas.microsoft.com/office/drawing/2014/main" id="{00000000-0008-0000-1F00-0000F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0719" name="Shape 4">
          <a:extLst>
            <a:ext uri="{FF2B5EF4-FFF2-40B4-BE49-F238E27FC236}">
              <a16:creationId xmlns:a16="http://schemas.microsoft.com/office/drawing/2014/main" id="{00000000-0008-0000-1F00-0000FF77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0720" name="Shape 4">
          <a:extLst>
            <a:ext uri="{FF2B5EF4-FFF2-40B4-BE49-F238E27FC236}">
              <a16:creationId xmlns:a16="http://schemas.microsoft.com/office/drawing/2014/main" id="{00000000-0008-0000-1F00-00000078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21" name="Shape 3">
          <a:extLst>
            <a:ext uri="{FF2B5EF4-FFF2-40B4-BE49-F238E27FC236}">
              <a16:creationId xmlns:a16="http://schemas.microsoft.com/office/drawing/2014/main" id="{00000000-0008-0000-1F00-000001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22" name="Shape 3">
          <a:extLst>
            <a:ext uri="{FF2B5EF4-FFF2-40B4-BE49-F238E27FC236}">
              <a16:creationId xmlns:a16="http://schemas.microsoft.com/office/drawing/2014/main" id="{00000000-0008-0000-1F00-000002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23" name="Shape 3">
          <a:extLst>
            <a:ext uri="{FF2B5EF4-FFF2-40B4-BE49-F238E27FC236}">
              <a16:creationId xmlns:a16="http://schemas.microsoft.com/office/drawing/2014/main" id="{00000000-0008-0000-1F00-000003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24" name="Shape 3">
          <a:extLst>
            <a:ext uri="{FF2B5EF4-FFF2-40B4-BE49-F238E27FC236}">
              <a16:creationId xmlns:a16="http://schemas.microsoft.com/office/drawing/2014/main" id="{00000000-0008-0000-1F00-000004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25" name="Shape 3">
          <a:extLst>
            <a:ext uri="{FF2B5EF4-FFF2-40B4-BE49-F238E27FC236}">
              <a16:creationId xmlns:a16="http://schemas.microsoft.com/office/drawing/2014/main" id="{00000000-0008-0000-1F00-000005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26" name="Shape 3">
          <a:extLst>
            <a:ext uri="{FF2B5EF4-FFF2-40B4-BE49-F238E27FC236}">
              <a16:creationId xmlns:a16="http://schemas.microsoft.com/office/drawing/2014/main" id="{00000000-0008-0000-1F00-000006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27" name="Shape 3">
          <a:extLst>
            <a:ext uri="{FF2B5EF4-FFF2-40B4-BE49-F238E27FC236}">
              <a16:creationId xmlns:a16="http://schemas.microsoft.com/office/drawing/2014/main" id="{00000000-0008-0000-1F00-000007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728" name="Shape 3">
          <a:extLst>
            <a:ext uri="{FF2B5EF4-FFF2-40B4-BE49-F238E27FC236}">
              <a16:creationId xmlns:a16="http://schemas.microsoft.com/office/drawing/2014/main" id="{00000000-0008-0000-1F00-000008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29" name="Shape 3">
          <a:extLst>
            <a:ext uri="{FF2B5EF4-FFF2-40B4-BE49-F238E27FC236}">
              <a16:creationId xmlns:a16="http://schemas.microsoft.com/office/drawing/2014/main" id="{00000000-0008-0000-1F00-000009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30" name="Shape 3">
          <a:extLst>
            <a:ext uri="{FF2B5EF4-FFF2-40B4-BE49-F238E27FC236}">
              <a16:creationId xmlns:a16="http://schemas.microsoft.com/office/drawing/2014/main" id="{00000000-0008-0000-1F00-00000A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31" name="Shape 3">
          <a:extLst>
            <a:ext uri="{FF2B5EF4-FFF2-40B4-BE49-F238E27FC236}">
              <a16:creationId xmlns:a16="http://schemas.microsoft.com/office/drawing/2014/main" id="{00000000-0008-0000-1F00-00000B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32" name="Shape 3">
          <a:extLst>
            <a:ext uri="{FF2B5EF4-FFF2-40B4-BE49-F238E27FC236}">
              <a16:creationId xmlns:a16="http://schemas.microsoft.com/office/drawing/2014/main" id="{00000000-0008-0000-1F00-00000C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33" name="Shape 3">
          <a:extLst>
            <a:ext uri="{FF2B5EF4-FFF2-40B4-BE49-F238E27FC236}">
              <a16:creationId xmlns:a16="http://schemas.microsoft.com/office/drawing/2014/main" id="{00000000-0008-0000-1F00-00000D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34" name="Shape 3">
          <a:extLst>
            <a:ext uri="{FF2B5EF4-FFF2-40B4-BE49-F238E27FC236}">
              <a16:creationId xmlns:a16="http://schemas.microsoft.com/office/drawing/2014/main" id="{00000000-0008-0000-1F00-00000E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35" name="Shape 3">
          <a:extLst>
            <a:ext uri="{FF2B5EF4-FFF2-40B4-BE49-F238E27FC236}">
              <a16:creationId xmlns:a16="http://schemas.microsoft.com/office/drawing/2014/main" id="{00000000-0008-0000-1F00-00000F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36" name="Shape 3">
          <a:extLst>
            <a:ext uri="{FF2B5EF4-FFF2-40B4-BE49-F238E27FC236}">
              <a16:creationId xmlns:a16="http://schemas.microsoft.com/office/drawing/2014/main" id="{00000000-0008-0000-1F00-000010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37" name="Shape 3">
          <a:extLst>
            <a:ext uri="{FF2B5EF4-FFF2-40B4-BE49-F238E27FC236}">
              <a16:creationId xmlns:a16="http://schemas.microsoft.com/office/drawing/2014/main" id="{00000000-0008-0000-1F00-000011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38" name="Shape 3">
          <a:extLst>
            <a:ext uri="{FF2B5EF4-FFF2-40B4-BE49-F238E27FC236}">
              <a16:creationId xmlns:a16="http://schemas.microsoft.com/office/drawing/2014/main" id="{00000000-0008-0000-1F00-000012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39" name="Shape 3">
          <a:extLst>
            <a:ext uri="{FF2B5EF4-FFF2-40B4-BE49-F238E27FC236}">
              <a16:creationId xmlns:a16="http://schemas.microsoft.com/office/drawing/2014/main" id="{00000000-0008-0000-1F00-000013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40" name="Shape 3">
          <a:extLst>
            <a:ext uri="{FF2B5EF4-FFF2-40B4-BE49-F238E27FC236}">
              <a16:creationId xmlns:a16="http://schemas.microsoft.com/office/drawing/2014/main" id="{00000000-0008-0000-1F00-000014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41" name="Shape 3">
          <a:extLst>
            <a:ext uri="{FF2B5EF4-FFF2-40B4-BE49-F238E27FC236}">
              <a16:creationId xmlns:a16="http://schemas.microsoft.com/office/drawing/2014/main" id="{00000000-0008-0000-1F00-000015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42" name="Shape 3">
          <a:extLst>
            <a:ext uri="{FF2B5EF4-FFF2-40B4-BE49-F238E27FC236}">
              <a16:creationId xmlns:a16="http://schemas.microsoft.com/office/drawing/2014/main" id="{00000000-0008-0000-1F00-000016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43" name="Shape 3">
          <a:extLst>
            <a:ext uri="{FF2B5EF4-FFF2-40B4-BE49-F238E27FC236}">
              <a16:creationId xmlns:a16="http://schemas.microsoft.com/office/drawing/2014/main" id="{00000000-0008-0000-1F00-000017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44" name="Shape 3">
          <a:extLst>
            <a:ext uri="{FF2B5EF4-FFF2-40B4-BE49-F238E27FC236}">
              <a16:creationId xmlns:a16="http://schemas.microsoft.com/office/drawing/2014/main" id="{00000000-0008-0000-1F00-000018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45" name="Shape 3">
          <a:extLst>
            <a:ext uri="{FF2B5EF4-FFF2-40B4-BE49-F238E27FC236}">
              <a16:creationId xmlns:a16="http://schemas.microsoft.com/office/drawing/2014/main" id="{00000000-0008-0000-1F00-000019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46" name="Shape 3">
          <a:extLst>
            <a:ext uri="{FF2B5EF4-FFF2-40B4-BE49-F238E27FC236}">
              <a16:creationId xmlns:a16="http://schemas.microsoft.com/office/drawing/2014/main" id="{00000000-0008-0000-1F00-00001A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47" name="Shape 3">
          <a:extLst>
            <a:ext uri="{FF2B5EF4-FFF2-40B4-BE49-F238E27FC236}">
              <a16:creationId xmlns:a16="http://schemas.microsoft.com/office/drawing/2014/main" id="{00000000-0008-0000-1F00-00001B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48" name="Shape 3">
          <a:extLst>
            <a:ext uri="{FF2B5EF4-FFF2-40B4-BE49-F238E27FC236}">
              <a16:creationId xmlns:a16="http://schemas.microsoft.com/office/drawing/2014/main" id="{00000000-0008-0000-1F00-00001C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49" name="Shape 3">
          <a:extLst>
            <a:ext uri="{FF2B5EF4-FFF2-40B4-BE49-F238E27FC236}">
              <a16:creationId xmlns:a16="http://schemas.microsoft.com/office/drawing/2014/main" id="{00000000-0008-0000-1F00-00001D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50" name="Shape 3">
          <a:extLst>
            <a:ext uri="{FF2B5EF4-FFF2-40B4-BE49-F238E27FC236}">
              <a16:creationId xmlns:a16="http://schemas.microsoft.com/office/drawing/2014/main" id="{00000000-0008-0000-1F00-00001E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51" name="Shape 3">
          <a:extLst>
            <a:ext uri="{FF2B5EF4-FFF2-40B4-BE49-F238E27FC236}">
              <a16:creationId xmlns:a16="http://schemas.microsoft.com/office/drawing/2014/main" id="{00000000-0008-0000-1F00-00001F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52" name="Shape 3">
          <a:extLst>
            <a:ext uri="{FF2B5EF4-FFF2-40B4-BE49-F238E27FC236}">
              <a16:creationId xmlns:a16="http://schemas.microsoft.com/office/drawing/2014/main" id="{00000000-0008-0000-1F00-000020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53" name="Shape 3">
          <a:extLst>
            <a:ext uri="{FF2B5EF4-FFF2-40B4-BE49-F238E27FC236}">
              <a16:creationId xmlns:a16="http://schemas.microsoft.com/office/drawing/2014/main" id="{00000000-0008-0000-1F00-000021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54" name="Shape 3">
          <a:extLst>
            <a:ext uri="{FF2B5EF4-FFF2-40B4-BE49-F238E27FC236}">
              <a16:creationId xmlns:a16="http://schemas.microsoft.com/office/drawing/2014/main" id="{00000000-0008-0000-1F00-000022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55" name="Shape 3">
          <a:extLst>
            <a:ext uri="{FF2B5EF4-FFF2-40B4-BE49-F238E27FC236}">
              <a16:creationId xmlns:a16="http://schemas.microsoft.com/office/drawing/2014/main" id="{00000000-0008-0000-1F00-000023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56" name="Shape 3">
          <a:extLst>
            <a:ext uri="{FF2B5EF4-FFF2-40B4-BE49-F238E27FC236}">
              <a16:creationId xmlns:a16="http://schemas.microsoft.com/office/drawing/2014/main" id="{00000000-0008-0000-1F00-000024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57" name="Shape 3">
          <a:extLst>
            <a:ext uri="{FF2B5EF4-FFF2-40B4-BE49-F238E27FC236}">
              <a16:creationId xmlns:a16="http://schemas.microsoft.com/office/drawing/2014/main" id="{00000000-0008-0000-1F00-000025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58" name="Shape 3">
          <a:extLst>
            <a:ext uri="{FF2B5EF4-FFF2-40B4-BE49-F238E27FC236}">
              <a16:creationId xmlns:a16="http://schemas.microsoft.com/office/drawing/2014/main" id="{00000000-0008-0000-1F00-000026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59" name="Shape 3">
          <a:extLst>
            <a:ext uri="{FF2B5EF4-FFF2-40B4-BE49-F238E27FC236}">
              <a16:creationId xmlns:a16="http://schemas.microsoft.com/office/drawing/2014/main" id="{00000000-0008-0000-1F00-000027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60" name="Shape 3">
          <a:extLst>
            <a:ext uri="{FF2B5EF4-FFF2-40B4-BE49-F238E27FC236}">
              <a16:creationId xmlns:a16="http://schemas.microsoft.com/office/drawing/2014/main" id="{00000000-0008-0000-1F00-000028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61" name="Shape 3">
          <a:extLst>
            <a:ext uri="{FF2B5EF4-FFF2-40B4-BE49-F238E27FC236}">
              <a16:creationId xmlns:a16="http://schemas.microsoft.com/office/drawing/2014/main" id="{00000000-0008-0000-1F00-000029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62" name="Shape 3">
          <a:extLst>
            <a:ext uri="{FF2B5EF4-FFF2-40B4-BE49-F238E27FC236}">
              <a16:creationId xmlns:a16="http://schemas.microsoft.com/office/drawing/2014/main" id="{00000000-0008-0000-1F00-00002A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763" name="Shape 3">
          <a:extLst>
            <a:ext uri="{FF2B5EF4-FFF2-40B4-BE49-F238E27FC236}">
              <a16:creationId xmlns:a16="http://schemas.microsoft.com/office/drawing/2014/main" id="{00000000-0008-0000-1F00-00002B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64" name="Shape 3">
          <a:extLst>
            <a:ext uri="{FF2B5EF4-FFF2-40B4-BE49-F238E27FC236}">
              <a16:creationId xmlns:a16="http://schemas.microsoft.com/office/drawing/2014/main" id="{00000000-0008-0000-1F00-00002C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65" name="Shape 3">
          <a:extLst>
            <a:ext uri="{FF2B5EF4-FFF2-40B4-BE49-F238E27FC236}">
              <a16:creationId xmlns:a16="http://schemas.microsoft.com/office/drawing/2014/main" id="{00000000-0008-0000-1F00-00002D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66" name="Shape 3">
          <a:extLst>
            <a:ext uri="{FF2B5EF4-FFF2-40B4-BE49-F238E27FC236}">
              <a16:creationId xmlns:a16="http://schemas.microsoft.com/office/drawing/2014/main" id="{00000000-0008-0000-1F00-00002E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67" name="Shape 3">
          <a:extLst>
            <a:ext uri="{FF2B5EF4-FFF2-40B4-BE49-F238E27FC236}">
              <a16:creationId xmlns:a16="http://schemas.microsoft.com/office/drawing/2014/main" id="{00000000-0008-0000-1F00-00002F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68" name="Shape 3">
          <a:extLst>
            <a:ext uri="{FF2B5EF4-FFF2-40B4-BE49-F238E27FC236}">
              <a16:creationId xmlns:a16="http://schemas.microsoft.com/office/drawing/2014/main" id="{00000000-0008-0000-1F00-000030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69" name="Shape 3">
          <a:extLst>
            <a:ext uri="{FF2B5EF4-FFF2-40B4-BE49-F238E27FC236}">
              <a16:creationId xmlns:a16="http://schemas.microsoft.com/office/drawing/2014/main" id="{00000000-0008-0000-1F00-000031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0" name="Shape 3">
          <a:extLst>
            <a:ext uri="{FF2B5EF4-FFF2-40B4-BE49-F238E27FC236}">
              <a16:creationId xmlns:a16="http://schemas.microsoft.com/office/drawing/2014/main" id="{00000000-0008-0000-1F00-000032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1" name="Shape 3">
          <a:extLst>
            <a:ext uri="{FF2B5EF4-FFF2-40B4-BE49-F238E27FC236}">
              <a16:creationId xmlns:a16="http://schemas.microsoft.com/office/drawing/2014/main" id="{00000000-0008-0000-1F00-000033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2" name="Shape 3">
          <a:extLst>
            <a:ext uri="{FF2B5EF4-FFF2-40B4-BE49-F238E27FC236}">
              <a16:creationId xmlns:a16="http://schemas.microsoft.com/office/drawing/2014/main" id="{00000000-0008-0000-1F00-000034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3" name="Shape 3">
          <a:extLst>
            <a:ext uri="{FF2B5EF4-FFF2-40B4-BE49-F238E27FC236}">
              <a16:creationId xmlns:a16="http://schemas.microsoft.com/office/drawing/2014/main" id="{00000000-0008-0000-1F00-000035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4" name="Shape 3">
          <a:extLst>
            <a:ext uri="{FF2B5EF4-FFF2-40B4-BE49-F238E27FC236}">
              <a16:creationId xmlns:a16="http://schemas.microsoft.com/office/drawing/2014/main" id="{00000000-0008-0000-1F00-000036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5" name="Shape 3">
          <a:extLst>
            <a:ext uri="{FF2B5EF4-FFF2-40B4-BE49-F238E27FC236}">
              <a16:creationId xmlns:a16="http://schemas.microsoft.com/office/drawing/2014/main" id="{00000000-0008-0000-1F00-000037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6" name="Shape 3">
          <a:extLst>
            <a:ext uri="{FF2B5EF4-FFF2-40B4-BE49-F238E27FC236}">
              <a16:creationId xmlns:a16="http://schemas.microsoft.com/office/drawing/2014/main" id="{00000000-0008-0000-1F00-000038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7" name="Shape 3">
          <a:extLst>
            <a:ext uri="{FF2B5EF4-FFF2-40B4-BE49-F238E27FC236}">
              <a16:creationId xmlns:a16="http://schemas.microsoft.com/office/drawing/2014/main" id="{00000000-0008-0000-1F00-000039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8" name="Shape 3">
          <a:extLst>
            <a:ext uri="{FF2B5EF4-FFF2-40B4-BE49-F238E27FC236}">
              <a16:creationId xmlns:a16="http://schemas.microsoft.com/office/drawing/2014/main" id="{00000000-0008-0000-1F00-00003A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79" name="Shape 3">
          <a:extLst>
            <a:ext uri="{FF2B5EF4-FFF2-40B4-BE49-F238E27FC236}">
              <a16:creationId xmlns:a16="http://schemas.microsoft.com/office/drawing/2014/main" id="{00000000-0008-0000-1F00-00003B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0" name="Shape 3">
          <a:extLst>
            <a:ext uri="{FF2B5EF4-FFF2-40B4-BE49-F238E27FC236}">
              <a16:creationId xmlns:a16="http://schemas.microsoft.com/office/drawing/2014/main" id="{00000000-0008-0000-1F00-00003C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0781" name="Shape 4">
          <a:extLst>
            <a:ext uri="{FF2B5EF4-FFF2-40B4-BE49-F238E27FC236}">
              <a16:creationId xmlns:a16="http://schemas.microsoft.com/office/drawing/2014/main" id="{00000000-0008-0000-1F00-00003D78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0782" name="Shape 4">
          <a:extLst>
            <a:ext uri="{FF2B5EF4-FFF2-40B4-BE49-F238E27FC236}">
              <a16:creationId xmlns:a16="http://schemas.microsoft.com/office/drawing/2014/main" id="{00000000-0008-0000-1F00-00003E78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3" name="Shape 3">
          <a:extLst>
            <a:ext uri="{FF2B5EF4-FFF2-40B4-BE49-F238E27FC236}">
              <a16:creationId xmlns:a16="http://schemas.microsoft.com/office/drawing/2014/main" id="{00000000-0008-0000-1F00-00003F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4" name="Shape 3">
          <a:extLst>
            <a:ext uri="{FF2B5EF4-FFF2-40B4-BE49-F238E27FC236}">
              <a16:creationId xmlns:a16="http://schemas.microsoft.com/office/drawing/2014/main" id="{00000000-0008-0000-1F00-000040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5" name="Shape 3">
          <a:extLst>
            <a:ext uri="{FF2B5EF4-FFF2-40B4-BE49-F238E27FC236}">
              <a16:creationId xmlns:a16="http://schemas.microsoft.com/office/drawing/2014/main" id="{00000000-0008-0000-1F00-000041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6" name="Shape 3">
          <a:extLst>
            <a:ext uri="{FF2B5EF4-FFF2-40B4-BE49-F238E27FC236}">
              <a16:creationId xmlns:a16="http://schemas.microsoft.com/office/drawing/2014/main" id="{00000000-0008-0000-1F00-000042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7" name="Shape 3">
          <a:extLst>
            <a:ext uri="{FF2B5EF4-FFF2-40B4-BE49-F238E27FC236}">
              <a16:creationId xmlns:a16="http://schemas.microsoft.com/office/drawing/2014/main" id="{00000000-0008-0000-1F00-000043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8" name="Shape 3">
          <a:extLst>
            <a:ext uri="{FF2B5EF4-FFF2-40B4-BE49-F238E27FC236}">
              <a16:creationId xmlns:a16="http://schemas.microsoft.com/office/drawing/2014/main" id="{00000000-0008-0000-1F00-000044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89" name="Shape 3">
          <a:extLst>
            <a:ext uri="{FF2B5EF4-FFF2-40B4-BE49-F238E27FC236}">
              <a16:creationId xmlns:a16="http://schemas.microsoft.com/office/drawing/2014/main" id="{00000000-0008-0000-1F00-000045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790" name="Shape 3">
          <a:extLst>
            <a:ext uri="{FF2B5EF4-FFF2-40B4-BE49-F238E27FC236}">
              <a16:creationId xmlns:a16="http://schemas.microsoft.com/office/drawing/2014/main" id="{00000000-0008-0000-1F00-000046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1" name="Shape 3">
          <a:extLst>
            <a:ext uri="{FF2B5EF4-FFF2-40B4-BE49-F238E27FC236}">
              <a16:creationId xmlns:a16="http://schemas.microsoft.com/office/drawing/2014/main" id="{00000000-0008-0000-1F00-000047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2" name="Shape 3">
          <a:extLst>
            <a:ext uri="{FF2B5EF4-FFF2-40B4-BE49-F238E27FC236}">
              <a16:creationId xmlns:a16="http://schemas.microsoft.com/office/drawing/2014/main" id="{00000000-0008-0000-1F00-000048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3" name="Shape 3">
          <a:extLst>
            <a:ext uri="{FF2B5EF4-FFF2-40B4-BE49-F238E27FC236}">
              <a16:creationId xmlns:a16="http://schemas.microsoft.com/office/drawing/2014/main" id="{00000000-0008-0000-1F00-000049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4" name="Shape 3">
          <a:extLst>
            <a:ext uri="{FF2B5EF4-FFF2-40B4-BE49-F238E27FC236}">
              <a16:creationId xmlns:a16="http://schemas.microsoft.com/office/drawing/2014/main" id="{00000000-0008-0000-1F00-00004A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5" name="Shape 3">
          <a:extLst>
            <a:ext uri="{FF2B5EF4-FFF2-40B4-BE49-F238E27FC236}">
              <a16:creationId xmlns:a16="http://schemas.microsoft.com/office/drawing/2014/main" id="{00000000-0008-0000-1F00-00004B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6" name="Shape 3">
          <a:extLst>
            <a:ext uri="{FF2B5EF4-FFF2-40B4-BE49-F238E27FC236}">
              <a16:creationId xmlns:a16="http://schemas.microsoft.com/office/drawing/2014/main" id="{00000000-0008-0000-1F00-00004C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7" name="Shape 3">
          <a:extLst>
            <a:ext uri="{FF2B5EF4-FFF2-40B4-BE49-F238E27FC236}">
              <a16:creationId xmlns:a16="http://schemas.microsoft.com/office/drawing/2014/main" id="{00000000-0008-0000-1F00-00004D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8" name="Shape 3">
          <a:extLst>
            <a:ext uri="{FF2B5EF4-FFF2-40B4-BE49-F238E27FC236}">
              <a16:creationId xmlns:a16="http://schemas.microsoft.com/office/drawing/2014/main" id="{00000000-0008-0000-1F00-00004E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799" name="Shape 3">
          <a:extLst>
            <a:ext uri="{FF2B5EF4-FFF2-40B4-BE49-F238E27FC236}">
              <a16:creationId xmlns:a16="http://schemas.microsoft.com/office/drawing/2014/main" id="{00000000-0008-0000-1F00-00004F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0" name="Shape 3">
          <a:extLst>
            <a:ext uri="{FF2B5EF4-FFF2-40B4-BE49-F238E27FC236}">
              <a16:creationId xmlns:a16="http://schemas.microsoft.com/office/drawing/2014/main" id="{00000000-0008-0000-1F00-000050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1" name="Shape 3">
          <a:extLst>
            <a:ext uri="{FF2B5EF4-FFF2-40B4-BE49-F238E27FC236}">
              <a16:creationId xmlns:a16="http://schemas.microsoft.com/office/drawing/2014/main" id="{00000000-0008-0000-1F00-000051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2" name="Shape 3">
          <a:extLst>
            <a:ext uri="{FF2B5EF4-FFF2-40B4-BE49-F238E27FC236}">
              <a16:creationId xmlns:a16="http://schemas.microsoft.com/office/drawing/2014/main" id="{00000000-0008-0000-1F00-000052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3" name="Shape 3">
          <a:extLst>
            <a:ext uri="{FF2B5EF4-FFF2-40B4-BE49-F238E27FC236}">
              <a16:creationId xmlns:a16="http://schemas.microsoft.com/office/drawing/2014/main" id="{00000000-0008-0000-1F00-000053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4" name="Shape 3">
          <a:extLst>
            <a:ext uri="{FF2B5EF4-FFF2-40B4-BE49-F238E27FC236}">
              <a16:creationId xmlns:a16="http://schemas.microsoft.com/office/drawing/2014/main" id="{00000000-0008-0000-1F00-000054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5" name="Shape 3">
          <a:extLst>
            <a:ext uri="{FF2B5EF4-FFF2-40B4-BE49-F238E27FC236}">
              <a16:creationId xmlns:a16="http://schemas.microsoft.com/office/drawing/2014/main" id="{00000000-0008-0000-1F00-000055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6" name="Shape 3">
          <a:extLst>
            <a:ext uri="{FF2B5EF4-FFF2-40B4-BE49-F238E27FC236}">
              <a16:creationId xmlns:a16="http://schemas.microsoft.com/office/drawing/2014/main" id="{00000000-0008-0000-1F00-000056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7" name="Shape 3">
          <a:extLst>
            <a:ext uri="{FF2B5EF4-FFF2-40B4-BE49-F238E27FC236}">
              <a16:creationId xmlns:a16="http://schemas.microsoft.com/office/drawing/2014/main" id="{00000000-0008-0000-1F00-000057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8" name="Shape 3">
          <a:extLst>
            <a:ext uri="{FF2B5EF4-FFF2-40B4-BE49-F238E27FC236}">
              <a16:creationId xmlns:a16="http://schemas.microsoft.com/office/drawing/2014/main" id="{00000000-0008-0000-1F00-000058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09" name="Shape 3">
          <a:extLst>
            <a:ext uri="{FF2B5EF4-FFF2-40B4-BE49-F238E27FC236}">
              <a16:creationId xmlns:a16="http://schemas.microsoft.com/office/drawing/2014/main" id="{00000000-0008-0000-1F00-000059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0" name="Shape 3">
          <a:extLst>
            <a:ext uri="{FF2B5EF4-FFF2-40B4-BE49-F238E27FC236}">
              <a16:creationId xmlns:a16="http://schemas.microsoft.com/office/drawing/2014/main" id="{00000000-0008-0000-1F00-00005A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1" name="Shape 3">
          <a:extLst>
            <a:ext uri="{FF2B5EF4-FFF2-40B4-BE49-F238E27FC236}">
              <a16:creationId xmlns:a16="http://schemas.microsoft.com/office/drawing/2014/main" id="{00000000-0008-0000-1F00-00005B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2" name="Shape 3">
          <a:extLst>
            <a:ext uri="{FF2B5EF4-FFF2-40B4-BE49-F238E27FC236}">
              <a16:creationId xmlns:a16="http://schemas.microsoft.com/office/drawing/2014/main" id="{00000000-0008-0000-1F00-00005C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3" name="Shape 3">
          <a:extLst>
            <a:ext uri="{FF2B5EF4-FFF2-40B4-BE49-F238E27FC236}">
              <a16:creationId xmlns:a16="http://schemas.microsoft.com/office/drawing/2014/main" id="{00000000-0008-0000-1F00-00005D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4" name="Shape 3">
          <a:extLst>
            <a:ext uri="{FF2B5EF4-FFF2-40B4-BE49-F238E27FC236}">
              <a16:creationId xmlns:a16="http://schemas.microsoft.com/office/drawing/2014/main" id="{00000000-0008-0000-1F00-00005E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5" name="Shape 3">
          <a:extLst>
            <a:ext uri="{FF2B5EF4-FFF2-40B4-BE49-F238E27FC236}">
              <a16:creationId xmlns:a16="http://schemas.microsoft.com/office/drawing/2014/main" id="{00000000-0008-0000-1F00-00005F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6" name="Shape 3">
          <a:extLst>
            <a:ext uri="{FF2B5EF4-FFF2-40B4-BE49-F238E27FC236}">
              <a16:creationId xmlns:a16="http://schemas.microsoft.com/office/drawing/2014/main" id="{00000000-0008-0000-1F00-000060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7" name="Shape 3">
          <a:extLst>
            <a:ext uri="{FF2B5EF4-FFF2-40B4-BE49-F238E27FC236}">
              <a16:creationId xmlns:a16="http://schemas.microsoft.com/office/drawing/2014/main" id="{00000000-0008-0000-1F00-000061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8" name="Shape 3">
          <a:extLst>
            <a:ext uri="{FF2B5EF4-FFF2-40B4-BE49-F238E27FC236}">
              <a16:creationId xmlns:a16="http://schemas.microsoft.com/office/drawing/2014/main" id="{00000000-0008-0000-1F00-000062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19" name="Shape 3">
          <a:extLst>
            <a:ext uri="{FF2B5EF4-FFF2-40B4-BE49-F238E27FC236}">
              <a16:creationId xmlns:a16="http://schemas.microsoft.com/office/drawing/2014/main" id="{00000000-0008-0000-1F00-000063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20" name="Shape 3">
          <a:extLst>
            <a:ext uri="{FF2B5EF4-FFF2-40B4-BE49-F238E27FC236}">
              <a16:creationId xmlns:a16="http://schemas.microsoft.com/office/drawing/2014/main" id="{00000000-0008-0000-1F00-000064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21" name="Shape 3">
          <a:extLst>
            <a:ext uri="{FF2B5EF4-FFF2-40B4-BE49-F238E27FC236}">
              <a16:creationId xmlns:a16="http://schemas.microsoft.com/office/drawing/2014/main" id="{00000000-0008-0000-1F00-000065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22" name="Shape 3">
          <a:extLst>
            <a:ext uri="{FF2B5EF4-FFF2-40B4-BE49-F238E27FC236}">
              <a16:creationId xmlns:a16="http://schemas.microsoft.com/office/drawing/2014/main" id="{00000000-0008-0000-1F00-000066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23" name="Shape 3">
          <a:extLst>
            <a:ext uri="{FF2B5EF4-FFF2-40B4-BE49-F238E27FC236}">
              <a16:creationId xmlns:a16="http://schemas.microsoft.com/office/drawing/2014/main" id="{00000000-0008-0000-1F00-000067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24" name="Shape 3">
          <a:extLst>
            <a:ext uri="{FF2B5EF4-FFF2-40B4-BE49-F238E27FC236}">
              <a16:creationId xmlns:a16="http://schemas.microsoft.com/office/drawing/2014/main" id="{00000000-0008-0000-1F00-000068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825" name="Shape 3">
          <a:extLst>
            <a:ext uri="{FF2B5EF4-FFF2-40B4-BE49-F238E27FC236}">
              <a16:creationId xmlns:a16="http://schemas.microsoft.com/office/drawing/2014/main" id="{00000000-0008-0000-1F00-0000697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26" name="Shape 3">
          <a:extLst>
            <a:ext uri="{FF2B5EF4-FFF2-40B4-BE49-F238E27FC236}">
              <a16:creationId xmlns:a16="http://schemas.microsoft.com/office/drawing/2014/main" id="{00000000-0008-0000-1F00-00006A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27" name="Shape 3">
          <a:extLst>
            <a:ext uri="{FF2B5EF4-FFF2-40B4-BE49-F238E27FC236}">
              <a16:creationId xmlns:a16="http://schemas.microsoft.com/office/drawing/2014/main" id="{00000000-0008-0000-1F00-00006B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28" name="Shape 3">
          <a:extLst>
            <a:ext uri="{FF2B5EF4-FFF2-40B4-BE49-F238E27FC236}">
              <a16:creationId xmlns:a16="http://schemas.microsoft.com/office/drawing/2014/main" id="{00000000-0008-0000-1F00-00006C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29" name="Shape 3">
          <a:extLst>
            <a:ext uri="{FF2B5EF4-FFF2-40B4-BE49-F238E27FC236}">
              <a16:creationId xmlns:a16="http://schemas.microsoft.com/office/drawing/2014/main" id="{00000000-0008-0000-1F00-00006D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0" name="Shape 3">
          <a:extLst>
            <a:ext uri="{FF2B5EF4-FFF2-40B4-BE49-F238E27FC236}">
              <a16:creationId xmlns:a16="http://schemas.microsoft.com/office/drawing/2014/main" id="{00000000-0008-0000-1F00-00006E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1" name="Shape 3">
          <a:extLst>
            <a:ext uri="{FF2B5EF4-FFF2-40B4-BE49-F238E27FC236}">
              <a16:creationId xmlns:a16="http://schemas.microsoft.com/office/drawing/2014/main" id="{00000000-0008-0000-1F00-00006F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2" name="Shape 3">
          <a:extLst>
            <a:ext uri="{FF2B5EF4-FFF2-40B4-BE49-F238E27FC236}">
              <a16:creationId xmlns:a16="http://schemas.microsoft.com/office/drawing/2014/main" id="{00000000-0008-0000-1F00-000070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3" name="Shape 3">
          <a:extLst>
            <a:ext uri="{FF2B5EF4-FFF2-40B4-BE49-F238E27FC236}">
              <a16:creationId xmlns:a16="http://schemas.microsoft.com/office/drawing/2014/main" id="{00000000-0008-0000-1F00-000071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4" name="Shape 3">
          <a:extLst>
            <a:ext uri="{FF2B5EF4-FFF2-40B4-BE49-F238E27FC236}">
              <a16:creationId xmlns:a16="http://schemas.microsoft.com/office/drawing/2014/main" id="{00000000-0008-0000-1F00-000072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5" name="Shape 3">
          <a:extLst>
            <a:ext uri="{FF2B5EF4-FFF2-40B4-BE49-F238E27FC236}">
              <a16:creationId xmlns:a16="http://schemas.microsoft.com/office/drawing/2014/main" id="{00000000-0008-0000-1F00-000073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6" name="Shape 3">
          <a:extLst>
            <a:ext uri="{FF2B5EF4-FFF2-40B4-BE49-F238E27FC236}">
              <a16:creationId xmlns:a16="http://schemas.microsoft.com/office/drawing/2014/main" id="{00000000-0008-0000-1F00-000074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7" name="Shape 3">
          <a:extLst>
            <a:ext uri="{FF2B5EF4-FFF2-40B4-BE49-F238E27FC236}">
              <a16:creationId xmlns:a16="http://schemas.microsoft.com/office/drawing/2014/main" id="{00000000-0008-0000-1F00-000075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8" name="Shape 3">
          <a:extLst>
            <a:ext uri="{FF2B5EF4-FFF2-40B4-BE49-F238E27FC236}">
              <a16:creationId xmlns:a16="http://schemas.microsoft.com/office/drawing/2014/main" id="{00000000-0008-0000-1F00-000076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39" name="Shape 3">
          <a:extLst>
            <a:ext uri="{FF2B5EF4-FFF2-40B4-BE49-F238E27FC236}">
              <a16:creationId xmlns:a16="http://schemas.microsoft.com/office/drawing/2014/main" id="{00000000-0008-0000-1F00-000077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0" name="Shape 3">
          <a:extLst>
            <a:ext uri="{FF2B5EF4-FFF2-40B4-BE49-F238E27FC236}">
              <a16:creationId xmlns:a16="http://schemas.microsoft.com/office/drawing/2014/main" id="{00000000-0008-0000-1F00-000078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1" name="Shape 3">
          <a:extLst>
            <a:ext uri="{FF2B5EF4-FFF2-40B4-BE49-F238E27FC236}">
              <a16:creationId xmlns:a16="http://schemas.microsoft.com/office/drawing/2014/main" id="{00000000-0008-0000-1F00-000079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2" name="Shape 3">
          <a:extLst>
            <a:ext uri="{FF2B5EF4-FFF2-40B4-BE49-F238E27FC236}">
              <a16:creationId xmlns:a16="http://schemas.microsoft.com/office/drawing/2014/main" id="{00000000-0008-0000-1F00-00007A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0843" name="Shape 4">
          <a:extLst>
            <a:ext uri="{FF2B5EF4-FFF2-40B4-BE49-F238E27FC236}">
              <a16:creationId xmlns:a16="http://schemas.microsoft.com/office/drawing/2014/main" id="{00000000-0008-0000-1F00-00007B78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0844" name="Shape 4">
          <a:extLst>
            <a:ext uri="{FF2B5EF4-FFF2-40B4-BE49-F238E27FC236}">
              <a16:creationId xmlns:a16="http://schemas.microsoft.com/office/drawing/2014/main" id="{00000000-0008-0000-1F00-00007C78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5" name="Shape 3">
          <a:extLst>
            <a:ext uri="{FF2B5EF4-FFF2-40B4-BE49-F238E27FC236}">
              <a16:creationId xmlns:a16="http://schemas.microsoft.com/office/drawing/2014/main" id="{00000000-0008-0000-1F00-00007D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6" name="Shape 3">
          <a:extLst>
            <a:ext uri="{FF2B5EF4-FFF2-40B4-BE49-F238E27FC236}">
              <a16:creationId xmlns:a16="http://schemas.microsoft.com/office/drawing/2014/main" id="{00000000-0008-0000-1F00-00007E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7" name="Shape 3">
          <a:extLst>
            <a:ext uri="{FF2B5EF4-FFF2-40B4-BE49-F238E27FC236}">
              <a16:creationId xmlns:a16="http://schemas.microsoft.com/office/drawing/2014/main" id="{00000000-0008-0000-1F00-00007F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8" name="Shape 3">
          <a:extLst>
            <a:ext uri="{FF2B5EF4-FFF2-40B4-BE49-F238E27FC236}">
              <a16:creationId xmlns:a16="http://schemas.microsoft.com/office/drawing/2014/main" id="{00000000-0008-0000-1F00-000080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49" name="Shape 3">
          <a:extLst>
            <a:ext uri="{FF2B5EF4-FFF2-40B4-BE49-F238E27FC236}">
              <a16:creationId xmlns:a16="http://schemas.microsoft.com/office/drawing/2014/main" id="{00000000-0008-0000-1F00-000081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50" name="Shape 3">
          <a:extLst>
            <a:ext uri="{FF2B5EF4-FFF2-40B4-BE49-F238E27FC236}">
              <a16:creationId xmlns:a16="http://schemas.microsoft.com/office/drawing/2014/main" id="{00000000-0008-0000-1F00-000082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51" name="Shape 3">
          <a:extLst>
            <a:ext uri="{FF2B5EF4-FFF2-40B4-BE49-F238E27FC236}">
              <a16:creationId xmlns:a16="http://schemas.microsoft.com/office/drawing/2014/main" id="{00000000-0008-0000-1F00-000083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852" name="Shape 3">
          <a:extLst>
            <a:ext uri="{FF2B5EF4-FFF2-40B4-BE49-F238E27FC236}">
              <a16:creationId xmlns:a16="http://schemas.microsoft.com/office/drawing/2014/main" id="{00000000-0008-0000-1F00-000084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3" name="Shape 3">
          <a:extLst>
            <a:ext uri="{FF2B5EF4-FFF2-40B4-BE49-F238E27FC236}">
              <a16:creationId xmlns:a16="http://schemas.microsoft.com/office/drawing/2014/main" id="{00000000-0008-0000-1F00-000085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4" name="Shape 3">
          <a:extLst>
            <a:ext uri="{FF2B5EF4-FFF2-40B4-BE49-F238E27FC236}">
              <a16:creationId xmlns:a16="http://schemas.microsoft.com/office/drawing/2014/main" id="{00000000-0008-0000-1F00-000086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5" name="Shape 3">
          <a:extLst>
            <a:ext uri="{FF2B5EF4-FFF2-40B4-BE49-F238E27FC236}">
              <a16:creationId xmlns:a16="http://schemas.microsoft.com/office/drawing/2014/main" id="{00000000-0008-0000-1F00-000087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6" name="Shape 3">
          <a:extLst>
            <a:ext uri="{FF2B5EF4-FFF2-40B4-BE49-F238E27FC236}">
              <a16:creationId xmlns:a16="http://schemas.microsoft.com/office/drawing/2014/main" id="{00000000-0008-0000-1F00-000088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7" name="Shape 3">
          <a:extLst>
            <a:ext uri="{FF2B5EF4-FFF2-40B4-BE49-F238E27FC236}">
              <a16:creationId xmlns:a16="http://schemas.microsoft.com/office/drawing/2014/main" id="{00000000-0008-0000-1F00-000089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8" name="Shape 3">
          <a:extLst>
            <a:ext uri="{FF2B5EF4-FFF2-40B4-BE49-F238E27FC236}">
              <a16:creationId xmlns:a16="http://schemas.microsoft.com/office/drawing/2014/main" id="{00000000-0008-0000-1F00-00008A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59" name="Shape 3">
          <a:extLst>
            <a:ext uri="{FF2B5EF4-FFF2-40B4-BE49-F238E27FC236}">
              <a16:creationId xmlns:a16="http://schemas.microsoft.com/office/drawing/2014/main" id="{00000000-0008-0000-1F00-00008B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0" name="Shape 3">
          <a:extLst>
            <a:ext uri="{FF2B5EF4-FFF2-40B4-BE49-F238E27FC236}">
              <a16:creationId xmlns:a16="http://schemas.microsoft.com/office/drawing/2014/main" id="{00000000-0008-0000-1F00-00008C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1" name="Shape 3">
          <a:extLst>
            <a:ext uri="{FF2B5EF4-FFF2-40B4-BE49-F238E27FC236}">
              <a16:creationId xmlns:a16="http://schemas.microsoft.com/office/drawing/2014/main" id="{00000000-0008-0000-1F00-00008D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2" name="Shape 3">
          <a:extLst>
            <a:ext uri="{FF2B5EF4-FFF2-40B4-BE49-F238E27FC236}">
              <a16:creationId xmlns:a16="http://schemas.microsoft.com/office/drawing/2014/main" id="{00000000-0008-0000-1F00-00008E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3" name="Shape 3">
          <a:extLst>
            <a:ext uri="{FF2B5EF4-FFF2-40B4-BE49-F238E27FC236}">
              <a16:creationId xmlns:a16="http://schemas.microsoft.com/office/drawing/2014/main" id="{00000000-0008-0000-1F00-00008F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4" name="Shape 3">
          <a:extLst>
            <a:ext uri="{FF2B5EF4-FFF2-40B4-BE49-F238E27FC236}">
              <a16:creationId xmlns:a16="http://schemas.microsoft.com/office/drawing/2014/main" id="{00000000-0008-0000-1F00-000090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5" name="Shape 3">
          <a:extLst>
            <a:ext uri="{FF2B5EF4-FFF2-40B4-BE49-F238E27FC236}">
              <a16:creationId xmlns:a16="http://schemas.microsoft.com/office/drawing/2014/main" id="{00000000-0008-0000-1F00-000091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6" name="Shape 3">
          <a:extLst>
            <a:ext uri="{FF2B5EF4-FFF2-40B4-BE49-F238E27FC236}">
              <a16:creationId xmlns:a16="http://schemas.microsoft.com/office/drawing/2014/main" id="{00000000-0008-0000-1F00-000092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7" name="Shape 3">
          <a:extLst>
            <a:ext uri="{FF2B5EF4-FFF2-40B4-BE49-F238E27FC236}">
              <a16:creationId xmlns:a16="http://schemas.microsoft.com/office/drawing/2014/main" id="{00000000-0008-0000-1F00-000093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8" name="Shape 3">
          <a:extLst>
            <a:ext uri="{FF2B5EF4-FFF2-40B4-BE49-F238E27FC236}">
              <a16:creationId xmlns:a16="http://schemas.microsoft.com/office/drawing/2014/main" id="{00000000-0008-0000-1F00-000094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69" name="Shape 3">
          <a:extLst>
            <a:ext uri="{FF2B5EF4-FFF2-40B4-BE49-F238E27FC236}">
              <a16:creationId xmlns:a16="http://schemas.microsoft.com/office/drawing/2014/main" id="{00000000-0008-0000-1F00-000095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0" name="Shape 3">
          <a:extLst>
            <a:ext uri="{FF2B5EF4-FFF2-40B4-BE49-F238E27FC236}">
              <a16:creationId xmlns:a16="http://schemas.microsoft.com/office/drawing/2014/main" id="{00000000-0008-0000-1F00-000096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1" name="Shape 3">
          <a:extLst>
            <a:ext uri="{FF2B5EF4-FFF2-40B4-BE49-F238E27FC236}">
              <a16:creationId xmlns:a16="http://schemas.microsoft.com/office/drawing/2014/main" id="{00000000-0008-0000-1F00-000097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2" name="Shape 3">
          <a:extLst>
            <a:ext uri="{FF2B5EF4-FFF2-40B4-BE49-F238E27FC236}">
              <a16:creationId xmlns:a16="http://schemas.microsoft.com/office/drawing/2014/main" id="{00000000-0008-0000-1F00-000098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3" name="Shape 3">
          <a:extLst>
            <a:ext uri="{FF2B5EF4-FFF2-40B4-BE49-F238E27FC236}">
              <a16:creationId xmlns:a16="http://schemas.microsoft.com/office/drawing/2014/main" id="{00000000-0008-0000-1F00-000099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4" name="Shape 3">
          <a:extLst>
            <a:ext uri="{FF2B5EF4-FFF2-40B4-BE49-F238E27FC236}">
              <a16:creationId xmlns:a16="http://schemas.microsoft.com/office/drawing/2014/main" id="{00000000-0008-0000-1F00-00009A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5" name="Shape 3">
          <a:extLst>
            <a:ext uri="{FF2B5EF4-FFF2-40B4-BE49-F238E27FC236}">
              <a16:creationId xmlns:a16="http://schemas.microsoft.com/office/drawing/2014/main" id="{00000000-0008-0000-1F00-00009B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6" name="Shape 3">
          <a:extLst>
            <a:ext uri="{FF2B5EF4-FFF2-40B4-BE49-F238E27FC236}">
              <a16:creationId xmlns:a16="http://schemas.microsoft.com/office/drawing/2014/main" id="{00000000-0008-0000-1F00-00009C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7" name="Shape 3">
          <a:extLst>
            <a:ext uri="{FF2B5EF4-FFF2-40B4-BE49-F238E27FC236}">
              <a16:creationId xmlns:a16="http://schemas.microsoft.com/office/drawing/2014/main" id="{00000000-0008-0000-1F00-00009D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8" name="Shape 3">
          <a:extLst>
            <a:ext uri="{FF2B5EF4-FFF2-40B4-BE49-F238E27FC236}">
              <a16:creationId xmlns:a16="http://schemas.microsoft.com/office/drawing/2014/main" id="{00000000-0008-0000-1F00-00009E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79" name="Shape 3">
          <a:extLst>
            <a:ext uri="{FF2B5EF4-FFF2-40B4-BE49-F238E27FC236}">
              <a16:creationId xmlns:a16="http://schemas.microsoft.com/office/drawing/2014/main" id="{00000000-0008-0000-1F00-00009F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0" name="Shape 3">
          <a:extLst>
            <a:ext uri="{FF2B5EF4-FFF2-40B4-BE49-F238E27FC236}">
              <a16:creationId xmlns:a16="http://schemas.microsoft.com/office/drawing/2014/main" id="{00000000-0008-0000-1F00-0000A0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1" name="Shape 3">
          <a:extLst>
            <a:ext uri="{FF2B5EF4-FFF2-40B4-BE49-F238E27FC236}">
              <a16:creationId xmlns:a16="http://schemas.microsoft.com/office/drawing/2014/main" id="{00000000-0008-0000-1F00-0000A1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2" name="Shape 3">
          <a:extLst>
            <a:ext uri="{FF2B5EF4-FFF2-40B4-BE49-F238E27FC236}">
              <a16:creationId xmlns:a16="http://schemas.microsoft.com/office/drawing/2014/main" id="{00000000-0008-0000-1F00-0000A2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3" name="Shape 3">
          <a:extLst>
            <a:ext uri="{FF2B5EF4-FFF2-40B4-BE49-F238E27FC236}">
              <a16:creationId xmlns:a16="http://schemas.microsoft.com/office/drawing/2014/main" id="{00000000-0008-0000-1F00-0000A3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4" name="Shape 3">
          <a:extLst>
            <a:ext uri="{FF2B5EF4-FFF2-40B4-BE49-F238E27FC236}">
              <a16:creationId xmlns:a16="http://schemas.microsoft.com/office/drawing/2014/main" id="{00000000-0008-0000-1F00-0000A4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5" name="Shape 3">
          <a:extLst>
            <a:ext uri="{FF2B5EF4-FFF2-40B4-BE49-F238E27FC236}">
              <a16:creationId xmlns:a16="http://schemas.microsoft.com/office/drawing/2014/main" id="{00000000-0008-0000-1F00-0000A5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6" name="Shape 3">
          <a:extLst>
            <a:ext uri="{FF2B5EF4-FFF2-40B4-BE49-F238E27FC236}">
              <a16:creationId xmlns:a16="http://schemas.microsoft.com/office/drawing/2014/main" id="{00000000-0008-0000-1F00-0000A6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887" name="Shape 3">
          <a:extLst>
            <a:ext uri="{FF2B5EF4-FFF2-40B4-BE49-F238E27FC236}">
              <a16:creationId xmlns:a16="http://schemas.microsoft.com/office/drawing/2014/main" id="{00000000-0008-0000-1F00-0000A77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486" name="Shape 3">
          <a:extLst>
            <a:ext uri="{FF2B5EF4-FFF2-40B4-BE49-F238E27FC236}">
              <a16:creationId xmlns:a16="http://schemas.microsoft.com/office/drawing/2014/main" id="{00000000-0008-0000-2000-0000EE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87" name="Shape 3">
          <a:extLst>
            <a:ext uri="{FF2B5EF4-FFF2-40B4-BE49-F238E27FC236}">
              <a16:creationId xmlns:a16="http://schemas.microsoft.com/office/drawing/2014/main" id="{00000000-0008-0000-2000-0000EF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88" name="Shape 3">
          <a:extLst>
            <a:ext uri="{FF2B5EF4-FFF2-40B4-BE49-F238E27FC236}">
              <a16:creationId xmlns:a16="http://schemas.microsoft.com/office/drawing/2014/main" id="{00000000-0008-0000-2000-0000F0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89" name="Shape 3">
          <a:extLst>
            <a:ext uri="{FF2B5EF4-FFF2-40B4-BE49-F238E27FC236}">
              <a16:creationId xmlns:a16="http://schemas.microsoft.com/office/drawing/2014/main" id="{00000000-0008-0000-2000-0000F1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90" name="Shape 3">
          <a:extLst>
            <a:ext uri="{FF2B5EF4-FFF2-40B4-BE49-F238E27FC236}">
              <a16:creationId xmlns:a16="http://schemas.microsoft.com/office/drawing/2014/main" id="{00000000-0008-0000-2000-0000F2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91" name="Shape 3">
          <a:extLst>
            <a:ext uri="{FF2B5EF4-FFF2-40B4-BE49-F238E27FC236}">
              <a16:creationId xmlns:a16="http://schemas.microsoft.com/office/drawing/2014/main" id="{00000000-0008-0000-2000-0000F3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92" name="Shape 3">
          <a:extLst>
            <a:ext uri="{FF2B5EF4-FFF2-40B4-BE49-F238E27FC236}">
              <a16:creationId xmlns:a16="http://schemas.microsoft.com/office/drawing/2014/main" id="{00000000-0008-0000-2000-0000F4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93" name="Shape 3">
          <a:extLst>
            <a:ext uri="{FF2B5EF4-FFF2-40B4-BE49-F238E27FC236}">
              <a16:creationId xmlns:a16="http://schemas.microsoft.com/office/drawing/2014/main" id="{00000000-0008-0000-2000-0000F5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94" name="Shape 3">
          <a:extLst>
            <a:ext uri="{FF2B5EF4-FFF2-40B4-BE49-F238E27FC236}">
              <a16:creationId xmlns:a16="http://schemas.microsoft.com/office/drawing/2014/main" id="{00000000-0008-0000-2000-0000F6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95" name="Shape 3">
          <a:extLst>
            <a:ext uri="{FF2B5EF4-FFF2-40B4-BE49-F238E27FC236}">
              <a16:creationId xmlns:a16="http://schemas.microsoft.com/office/drawing/2014/main" id="{00000000-0008-0000-2000-0000F7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96" name="Shape 3">
          <a:extLst>
            <a:ext uri="{FF2B5EF4-FFF2-40B4-BE49-F238E27FC236}">
              <a16:creationId xmlns:a16="http://schemas.microsoft.com/office/drawing/2014/main" id="{00000000-0008-0000-2000-0000F8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97" name="Shape 3">
          <a:extLst>
            <a:ext uri="{FF2B5EF4-FFF2-40B4-BE49-F238E27FC236}">
              <a16:creationId xmlns:a16="http://schemas.microsoft.com/office/drawing/2014/main" id="{00000000-0008-0000-2000-0000F9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98" name="Shape 3">
          <a:extLst>
            <a:ext uri="{FF2B5EF4-FFF2-40B4-BE49-F238E27FC236}">
              <a16:creationId xmlns:a16="http://schemas.microsoft.com/office/drawing/2014/main" id="{00000000-0008-0000-2000-0000FA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499" name="Shape 3">
          <a:extLst>
            <a:ext uri="{FF2B5EF4-FFF2-40B4-BE49-F238E27FC236}">
              <a16:creationId xmlns:a16="http://schemas.microsoft.com/office/drawing/2014/main" id="{00000000-0008-0000-2000-0000FB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500" name="Shape 3">
          <a:extLst>
            <a:ext uri="{FF2B5EF4-FFF2-40B4-BE49-F238E27FC236}">
              <a16:creationId xmlns:a16="http://schemas.microsoft.com/office/drawing/2014/main" id="{00000000-0008-0000-2000-0000FC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501" name="Shape 3">
          <a:extLst>
            <a:ext uri="{FF2B5EF4-FFF2-40B4-BE49-F238E27FC236}">
              <a16:creationId xmlns:a16="http://schemas.microsoft.com/office/drawing/2014/main" id="{00000000-0008-0000-2000-0000FD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502" name="Shape 3">
          <a:extLst>
            <a:ext uri="{FF2B5EF4-FFF2-40B4-BE49-F238E27FC236}">
              <a16:creationId xmlns:a16="http://schemas.microsoft.com/office/drawing/2014/main" id="{00000000-0008-0000-2000-0000FE53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1503" name="Shape 4">
          <a:extLst>
            <a:ext uri="{FF2B5EF4-FFF2-40B4-BE49-F238E27FC236}">
              <a16:creationId xmlns:a16="http://schemas.microsoft.com/office/drawing/2014/main" id="{00000000-0008-0000-2000-0000FF53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1504" name="Shape 4">
          <a:extLst>
            <a:ext uri="{FF2B5EF4-FFF2-40B4-BE49-F238E27FC236}">
              <a16:creationId xmlns:a16="http://schemas.microsoft.com/office/drawing/2014/main" id="{00000000-0008-0000-2000-00000054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505" name="Shape 3">
          <a:extLst>
            <a:ext uri="{FF2B5EF4-FFF2-40B4-BE49-F238E27FC236}">
              <a16:creationId xmlns:a16="http://schemas.microsoft.com/office/drawing/2014/main" id="{00000000-0008-0000-2000-000001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506" name="Shape 3">
          <a:extLst>
            <a:ext uri="{FF2B5EF4-FFF2-40B4-BE49-F238E27FC236}">
              <a16:creationId xmlns:a16="http://schemas.microsoft.com/office/drawing/2014/main" id="{00000000-0008-0000-2000-000002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507" name="Shape 3">
          <a:extLst>
            <a:ext uri="{FF2B5EF4-FFF2-40B4-BE49-F238E27FC236}">
              <a16:creationId xmlns:a16="http://schemas.microsoft.com/office/drawing/2014/main" id="{00000000-0008-0000-2000-000003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508" name="Shape 3">
          <a:extLst>
            <a:ext uri="{FF2B5EF4-FFF2-40B4-BE49-F238E27FC236}">
              <a16:creationId xmlns:a16="http://schemas.microsoft.com/office/drawing/2014/main" id="{00000000-0008-0000-2000-000004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509" name="Shape 3">
          <a:extLst>
            <a:ext uri="{FF2B5EF4-FFF2-40B4-BE49-F238E27FC236}">
              <a16:creationId xmlns:a16="http://schemas.microsoft.com/office/drawing/2014/main" id="{00000000-0008-0000-2000-000005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510" name="Shape 3">
          <a:extLst>
            <a:ext uri="{FF2B5EF4-FFF2-40B4-BE49-F238E27FC236}">
              <a16:creationId xmlns:a16="http://schemas.microsoft.com/office/drawing/2014/main" id="{00000000-0008-0000-2000-000006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511" name="Shape 3">
          <a:extLst>
            <a:ext uri="{FF2B5EF4-FFF2-40B4-BE49-F238E27FC236}">
              <a16:creationId xmlns:a16="http://schemas.microsoft.com/office/drawing/2014/main" id="{00000000-0008-0000-2000-000007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1512" name="Shape 3">
          <a:extLst>
            <a:ext uri="{FF2B5EF4-FFF2-40B4-BE49-F238E27FC236}">
              <a16:creationId xmlns:a16="http://schemas.microsoft.com/office/drawing/2014/main" id="{00000000-0008-0000-2000-000008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13" name="Shape 3">
          <a:extLst>
            <a:ext uri="{FF2B5EF4-FFF2-40B4-BE49-F238E27FC236}">
              <a16:creationId xmlns:a16="http://schemas.microsoft.com/office/drawing/2014/main" id="{00000000-0008-0000-2000-000009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14" name="Shape 3">
          <a:extLst>
            <a:ext uri="{FF2B5EF4-FFF2-40B4-BE49-F238E27FC236}">
              <a16:creationId xmlns:a16="http://schemas.microsoft.com/office/drawing/2014/main" id="{00000000-0008-0000-2000-00000A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15" name="Shape 3">
          <a:extLst>
            <a:ext uri="{FF2B5EF4-FFF2-40B4-BE49-F238E27FC236}">
              <a16:creationId xmlns:a16="http://schemas.microsoft.com/office/drawing/2014/main" id="{00000000-0008-0000-2000-00000B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16" name="Shape 3">
          <a:extLst>
            <a:ext uri="{FF2B5EF4-FFF2-40B4-BE49-F238E27FC236}">
              <a16:creationId xmlns:a16="http://schemas.microsoft.com/office/drawing/2014/main" id="{00000000-0008-0000-2000-00000C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17" name="Shape 3">
          <a:extLst>
            <a:ext uri="{FF2B5EF4-FFF2-40B4-BE49-F238E27FC236}">
              <a16:creationId xmlns:a16="http://schemas.microsoft.com/office/drawing/2014/main" id="{00000000-0008-0000-2000-00000D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18" name="Shape 3">
          <a:extLst>
            <a:ext uri="{FF2B5EF4-FFF2-40B4-BE49-F238E27FC236}">
              <a16:creationId xmlns:a16="http://schemas.microsoft.com/office/drawing/2014/main" id="{00000000-0008-0000-2000-00000E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19" name="Shape 3">
          <a:extLst>
            <a:ext uri="{FF2B5EF4-FFF2-40B4-BE49-F238E27FC236}">
              <a16:creationId xmlns:a16="http://schemas.microsoft.com/office/drawing/2014/main" id="{00000000-0008-0000-2000-00000F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20" name="Shape 3">
          <a:extLst>
            <a:ext uri="{FF2B5EF4-FFF2-40B4-BE49-F238E27FC236}">
              <a16:creationId xmlns:a16="http://schemas.microsoft.com/office/drawing/2014/main" id="{00000000-0008-0000-2000-000010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21" name="Shape 3">
          <a:extLst>
            <a:ext uri="{FF2B5EF4-FFF2-40B4-BE49-F238E27FC236}">
              <a16:creationId xmlns:a16="http://schemas.microsoft.com/office/drawing/2014/main" id="{00000000-0008-0000-2000-000011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22" name="Shape 3">
          <a:extLst>
            <a:ext uri="{FF2B5EF4-FFF2-40B4-BE49-F238E27FC236}">
              <a16:creationId xmlns:a16="http://schemas.microsoft.com/office/drawing/2014/main" id="{00000000-0008-0000-2000-000012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23" name="Shape 3">
          <a:extLst>
            <a:ext uri="{FF2B5EF4-FFF2-40B4-BE49-F238E27FC236}">
              <a16:creationId xmlns:a16="http://schemas.microsoft.com/office/drawing/2014/main" id="{00000000-0008-0000-2000-000013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24" name="Shape 3">
          <a:extLst>
            <a:ext uri="{FF2B5EF4-FFF2-40B4-BE49-F238E27FC236}">
              <a16:creationId xmlns:a16="http://schemas.microsoft.com/office/drawing/2014/main" id="{00000000-0008-0000-2000-000014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25" name="Shape 3">
          <a:extLst>
            <a:ext uri="{FF2B5EF4-FFF2-40B4-BE49-F238E27FC236}">
              <a16:creationId xmlns:a16="http://schemas.microsoft.com/office/drawing/2014/main" id="{00000000-0008-0000-2000-000015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26" name="Shape 3">
          <a:extLst>
            <a:ext uri="{FF2B5EF4-FFF2-40B4-BE49-F238E27FC236}">
              <a16:creationId xmlns:a16="http://schemas.microsoft.com/office/drawing/2014/main" id="{00000000-0008-0000-2000-000016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27" name="Shape 3">
          <a:extLst>
            <a:ext uri="{FF2B5EF4-FFF2-40B4-BE49-F238E27FC236}">
              <a16:creationId xmlns:a16="http://schemas.microsoft.com/office/drawing/2014/main" id="{00000000-0008-0000-2000-000017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28" name="Shape 3">
          <a:extLst>
            <a:ext uri="{FF2B5EF4-FFF2-40B4-BE49-F238E27FC236}">
              <a16:creationId xmlns:a16="http://schemas.microsoft.com/office/drawing/2014/main" id="{00000000-0008-0000-2000-000018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29" name="Shape 3">
          <a:extLst>
            <a:ext uri="{FF2B5EF4-FFF2-40B4-BE49-F238E27FC236}">
              <a16:creationId xmlns:a16="http://schemas.microsoft.com/office/drawing/2014/main" id="{00000000-0008-0000-2000-000019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30" name="Shape 3">
          <a:extLst>
            <a:ext uri="{FF2B5EF4-FFF2-40B4-BE49-F238E27FC236}">
              <a16:creationId xmlns:a16="http://schemas.microsoft.com/office/drawing/2014/main" id="{00000000-0008-0000-2000-00001A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31" name="Shape 3">
          <a:extLst>
            <a:ext uri="{FF2B5EF4-FFF2-40B4-BE49-F238E27FC236}">
              <a16:creationId xmlns:a16="http://schemas.microsoft.com/office/drawing/2014/main" id="{00000000-0008-0000-2000-00001B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32" name="Shape 3">
          <a:extLst>
            <a:ext uri="{FF2B5EF4-FFF2-40B4-BE49-F238E27FC236}">
              <a16:creationId xmlns:a16="http://schemas.microsoft.com/office/drawing/2014/main" id="{00000000-0008-0000-2000-00001C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33" name="Shape 3">
          <a:extLst>
            <a:ext uri="{FF2B5EF4-FFF2-40B4-BE49-F238E27FC236}">
              <a16:creationId xmlns:a16="http://schemas.microsoft.com/office/drawing/2014/main" id="{00000000-0008-0000-2000-00001D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34" name="Shape 3">
          <a:extLst>
            <a:ext uri="{FF2B5EF4-FFF2-40B4-BE49-F238E27FC236}">
              <a16:creationId xmlns:a16="http://schemas.microsoft.com/office/drawing/2014/main" id="{00000000-0008-0000-2000-00001E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35" name="Shape 3">
          <a:extLst>
            <a:ext uri="{FF2B5EF4-FFF2-40B4-BE49-F238E27FC236}">
              <a16:creationId xmlns:a16="http://schemas.microsoft.com/office/drawing/2014/main" id="{00000000-0008-0000-2000-00001F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36" name="Shape 3">
          <a:extLst>
            <a:ext uri="{FF2B5EF4-FFF2-40B4-BE49-F238E27FC236}">
              <a16:creationId xmlns:a16="http://schemas.microsoft.com/office/drawing/2014/main" id="{00000000-0008-0000-2000-000020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37" name="Shape 3">
          <a:extLst>
            <a:ext uri="{FF2B5EF4-FFF2-40B4-BE49-F238E27FC236}">
              <a16:creationId xmlns:a16="http://schemas.microsoft.com/office/drawing/2014/main" id="{00000000-0008-0000-2000-000021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38" name="Shape 3">
          <a:extLst>
            <a:ext uri="{FF2B5EF4-FFF2-40B4-BE49-F238E27FC236}">
              <a16:creationId xmlns:a16="http://schemas.microsoft.com/office/drawing/2014/main" id="{00000000-0008-0000-2000-000022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39" name="Shape 3">
          <a:extLst>
            <a:ext uri="{FF2B5EF4-FFF2-40B4-BE49-F238E27FC236}">
              <a16:creationId xmlns:a16="http://schemas.microsoft.com/office/drawing/2014/main" id="{00000000-0008-0000-2000-000023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40" name="Shape 3">
          <a:extLst>
            <a:ext uri="{FF2B5EF4-FFF2-40B4-BE49-F238E27FC236}">
              <a16:creationId xmlns:a16="http://schemas.microsoft.com/office/drawing/2014/main" id="{00000000-0008-0000-2000-000024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41" name="Shape 3">
          <a:extLst>
            <a:ext uri="{FF2B5EF4-FFF2-40B4-BE49-F238E27FC236}">
              <a16:creationId xmlns:a16="http://schemas.microsoft.com/office/drawing/2014/main" id="{00000000-0008-0000-2000-000025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42" name="Shape 3">
          <a:extLst>
            <a:ext uri="{FF2B5EF4-FFF2-40B4-BE49-F238E27FC236}">
              <a16:creationId xmlns:a16="http://schemas.microsoft.com/office/drawing/2014/main" id="{00000000-0008-0000-2000-000026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43" name="Shape 3">
          <a:extLst>
            <a:ext uri="{FF2B5EF4-FFF2-40B4-BE49-F238E27FC236}">
              <a16:creationId xmlns:a16="http://schemas.microsoft.com/office/drawing/2014/main" id="{00000000-0008-0000-2000-000027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44" name="Shape 3">
          <a:extLst>
            <a:ext uri="{FF2B5EF4-FFF2-40B4-BE49-F238E27FC236}">
              <a16:creationId xmlns:a16="http://schemas.microsoft.com/office/drawing/2014/main" id="{00000000-0008-0000-2000-000028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45" name="Shape 3">
          <a:extLst>
            <a:ext uri="{FF2B5EF4-FFF2-40B4-BE49-F238E27FC236}">
              <a16:creationId xmlns:a16="http://schemas.microsoft.com/office/drawing/2014/main" id="{00000000-0008-0000-2000-000029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46" name="Shape 3">
          <a:extLst>
            <a:ext uri="{FF2B5EF4-FFF2-40B4-BE49-F238E27FC236}">
              <a16:creationId xmlns:a16="http://schemas.microsoft.com/office/drawing/2014/main" id="{00000000-0008-0000-2000-00002A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1547" name="Shape 3">
          <a:extLst>
            <a:ext uri="{FF2B5EF4-FFF2-40B4-BE49-F238E27FC236}">
              <a16:creationId xmlns:a16="http://schemas.microsoft.com/office/drawing/2014/main" id="{00000000-0008-0000-2000-00002B54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48" name="Shape 3">
          <a:extLst>
            <a:ext uri="{FF2B5EF4-FFF2-40B4-BE49-F238E27FC236}">
              <a16:creationId xmlns:a16="http://schemas.microsoft.com/office/drawing/2014/main" id="{00000000-0008-0000-2000-00002C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49" name="Shape 3">
          <a:extLst>
            <a:ext uri="{FF2B5EF4-FFF2-40B4-BE49-F238E27FC236}">
              <a16:creationId xmlns:a16="http://schemas.microsoft.com/office/drawing/2014/main" id="{00000000-0008-0000-2000-00002D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50" name="Shape 3">
          <a:extLst>
            <a:ext uri="{FF2B5EF4-FFF2-40B4-BE49-F238E27FC236}">
              <a16:creationId xmlns:a16="http://schemas.microsoft.com/office/drawing/2014/main" id="{00000000-0008-0000-2000-00002E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51" name="Shape 3">
          <a:extLst>
            <a:ext uri="{FF2B5EF4-FFF2-40B4-BE49-F238E27FC236}">
              <a16:creationId xmlns:a16="http://schemas.microsoft.com/office/drawing/2014/main" id="{00000000-0008-0000-2000-00002F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52" name="Shape 3">
          <a:extLst>
            <a:ext uri="{FF2B5EF4-FFF2-40B4-BE49-F238E27FC236}">
              <a16:creationId xmlns:a16="http://schemas.microsoft.com/office/drawing/2014/main" id="{00000000-0008-0000-2000-000030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53" name="Shape 3">
          <a:extLst>
            <a:ext uri="{FF2B5EF4-FFF2-40B4-BE49-F238E27FC236}">
              <a16:creationId xmlns:a16="http://schemas.microsoft.com/office/drawing/2014/main" id="{00000000-0008-0000-2000-000031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54" name="Shape 3">
          <a:extLst>
            <a:ext uri="{FF2B5EF4-FFF2-40B4-BE49-F238E27FC236}">
              <a16:creationId xmlns:a16="http://schemas.microsoft.com/office/drawing/2014/main" id="{00000000-0008-0000-2000-000032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55" name="Shape 3">
          <a:extLst>
            <a:ext uri="{FF2B5EF4-FFF2-40B4-BE49-F238E27FC236}">
              <a16:creationId xmlns:a16="http://schemas.microsoft.com/office/drawing/2014/main" id="{00000000-0008-0000-2000-000033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56" name="Shape 3">
          <a:extLst>
            <a:ext uri="{FF2B5EF4-FFF2-40B4-BE49-F238E27FC236}">
              <a16:creationId xmlns:a16="http://schemas.microsoft.com/office/drawing/2014/main" id="{00000000-0008-0000-2000-000034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57" name="Shape 3">
          <a:extLst>
            <a:ext uri="{FF2B5EF4-FFF2-40B4-BE49-F238E27FC236}">
              <a16:creationId xmlns:a16="http://schemas.microsoft.com/office/drawing/2014/main" id="{00000000-0008-0000-2000-000035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58" name="Shape 3">
          <a:extLst>
            <a:ext uri="{FF2B5EF4-FFF2-40B4-BE49-F238E27FC236}">
              <a16:creationId xmlns:a16="http://schemas.microsoft.com/office/drawing/2014/main" id="{00000000-0008-0000-2000-000036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59" name="Shape 3">
          <a:extLst>
            <a:ext uri="{FF2B5EF4-FFF2-40B4-BE49-F238E27FC236}">
              <a16:creationId xmlns:a16="http://schemas.microsoft.com/office/drawing/2014/main" id="{00000000-0008-0000-2000-000037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60" name="Shape 3">
          <a:extLst>
            <a:ext uri="{FF2B5EF4-FFF2-40B4-BE49-F238E27FC236}">
              <a16:creationId xmlns:a16="http://schemas.microsoft.com/office/drawing/2014/main" id="{00000000-0008-0000-2000-000038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61" name="Shape 3">
          <a:extLst>
            <a:ext uri="{FF2B5EF4-FFF2-40B4-BE49-F238E27FC236}">
              <a16:creationId xmlns:a16="http://schemas.microsoft.com/office/drawing/2014/main" id="{00000000-0008-0000-2000-000039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62" name="Shape 3">
          <a:extLst>
            <a:ext uri="{FF2B5EF4-FFF2-40B4-BE49-F238E27FC236}">
              <a16:creationId xmlns:a16="http://schemas.microsoft.com/office/drawing/2014/main" id="{00000000-0008-0000-2000-00003A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63" name="Shape 3">
          <a:extLst>
            <a:ext uri="{FF2B5EF4-FFF2-40B4-BE49-F238E27FC236}">
              <a16:creationId xmlns:a16="http://schemas.microsoft.com/office/drawing/2014/main" id="{00000000-0008-0000-2000-00003B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64" name="Shape 3">
          <a:extLst>
            <a:ext uri="{FF2B5EF4-FFF2-40B4-BE49-F238E27FC236}">
              <a16:creationId xmlns:a16="http://schemas.microsoft.com/office/drawing/2014/main" id="{00000000-0008-0000-2000-00003C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1565" name="Shape 4">
          <a:extLst>
            <a:ext uri="{FF2B5EF4-FFF2-40B4-BE49-F238E27FC236}">
              <a16:creationId xmlns:a16="http://schemas.microsoft.com/office/drawing/2014/main" id="{00000000-0008-0000-2000-00003D54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1566" name="Shape 4">
          <a:extLst>
            <a:ext uri="{FF2B5EF4-FFF2-40B4-BE49-F238E27FC236}">
              <a16:creationId xmlns:a16="http://schemas.microsoft.com/office/drawing/2014/main" id="{00000000-0008-0000-2000-00003E54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67" name="Shape 3">
          <a:extLst>
            <a:ext uri="{FF2B5EF4-FFF2-40B4-BE49-F238E27FC236}">
              <a16:creationId xmlns:a16="http://schemas.microsoft.com/office/drawing/2014/main" id="{00000000-0008-0000-2000-00003F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68" name="Shape 3">
          <a:extLst>
            <a:ext uri="{FF2B5EF4-FFF2-40B4-BE49-F238E27FC236}">
              <a16:creationId xmlns:a16="http://schemas.microsoft.com/office/drawing/2014/main" id="{00000000-0008-0000-2000-000040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69" name="Shape 3">
          <a:extLst>
            <a:ext uri="{FF2B5EF4-FFF2-40B4-BE49-F238E27FC236}">
              <a16:creationId xmlns:a16="http://schemas.microsoft.com/office/drawing/2014/main" id="{00000000-0008-0000-2000-000041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70" name="Shape 3">
          <a:extLst>
            <a:ext uri="{FF2B5EF4-FFF2-40B4-BE49-F238E27FC236}">
              <a16:creationId xmlns:a16="http://schemas.microsoft.com/office/drawing/2014/main" id="{00000000-0008-0000-2000-000042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71" name="Shape 3">
          <a:extLst>
            <a:ext uri="{FF2B5EF4-FFF2-40B4-BE49-F238E27FC236}">
              <a16:creationId xmlns:a16="http://schemas.microsoft.com/office/drawing/2014/main" id="{00000000-0008-0000-2000-000043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72" name="Shape 3">
          <a:extLst>
            <a:ext uri="{FF2B5EF4-FFF2-40B4-BE49-F238E27FC236}">
              <a16:creationId xmlns:a16="http://schemas.microsoft.com/office/drawing/2014/main" id="{00000000-0008-0000-2000-000044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73" name="Shape 3">
          <a:extLst>
            <a:ext uri="{FF2B5EF4-FFF2-40B4-BE49-F238E27FC236}">
              <a16:creationId xmlns:a16="http://schemas.microsoft.com/office/drawing/2014/main" id="{00000000-0008-0000-2000-000045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1574" name="Shape 3">
          <a:extLst>
            <a:ext uri="{FF2B5EF4-FFF2-40B4-BE49-F238E27FC236}">
              <a16:creationId xmlns:a16="http://schemas.microsoft.com/office/drawing/2014/main" id="{00000000-0008-0000-2000-000046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75" name="Shape 3">
          <a:extLst>
            <a:ext uri="{FF2B5EF4-FFF2-40B4-BE49-F238E27FC236}">
              <a16:creationId xmlns:a16="http://schemas.microsoft.com/office/drawing/2014/main" id="{00000000-0008-0000-2000-000047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76" name="Shape 3">
          <a:extLst>
            <a:ext uri="{FF2B5EF4-FFF2-40B4-BE49-F238E27FC236}">
              <a16:creationId xmlns:a16="http://schemas.microsoft.com/office/drawing/2014/main" id="{00000000-0008-0000-2000-000048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77" name="Shape 3">
          <a:extLst>
            <a:ext uri="{FF2B5EF4-FFF2-40B4-BE49-F238E27FC236}">
              <a16:creationId xmlns:a16="http://schemas.microsoft.com/office/drawing/2014/main" id="{00000000-0008-0000-2000-000049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78" name="Shape 3">
          <a:extLst>
            <a:ext uri="{FF2B5EF4-FFF2-40B4-BE49-F238E27FC236}">
              <a16:creationId xmlns:a16="http://schemas.microsoft.com/office/drawing/2014/main" id="{00000000-0008-0000-2000-00004A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79" name="Shape 3">
          <a:extLst>
            <a:ext uri="{FF2B5EF4-FFF2-40B4-BE49-F238E27FC236}">
              <a16:creationId xmlns:a16="http://schemas.microsoft.com/office/drawing/2014/main" id="{00000000-0008-0000-2000-00004B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80" name="Shape 3">
          <a:extLst>
            <a:ext uri="{FF2B5EF4-FFF2-40B4-BE49-F238E27FC236}">
              <a16:creationId xmlns:a16="http://schemas.microsoft.com/office/drawing/2014/main" id="{00000000-0008-0000-2000-00004C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81" name="Shape 3">
          <a:extLst>
            <a:ext uri="{FF2B5EF4-FFF2-40B4-BE49-F238E27FC236}">
              <a16:creationId xmlns:a16="http://schemas.microsoft.com/office/drawing/2014/main" id="{00000000-0008-0000-2000-00004D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82" name="Shape 3">
          <a:extLst>
            <a:ext uri="{FF2B5EF4-FFF2-40B4-BE49-F238E27FC236}">
              <a16:creationId xmlns:a16="http://schemas.microsoft.com/office/drawing/2014/main" id="{00000000-0008-0000-2000-00004E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83" name="Shape 3">
          <a:extLst>
            <a:ext uri="{FF2B5EF4-FFF2-40B4-BE49-F238E27FC236}">
              <a16:creationId xmlns:a16="http://schemas.microsoft.com/office/drawing/2014/main" id="{00000000-0008-0000-2000-00004F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84" name="Shape 3">
          <a:extLst>
            <a:ext uri="{FF2B5EF4-FFF2-40B4-BE49-F238E27FC236}">
              <a16:creationId xmlns:a16="http://schemas.microsoft.com/office/drawing/2014/main" id="{00000000-0008-0000-2000-000050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85" name="Shape 3">
          <a:extLst>
            <a:ext uri="{FF2B5EF4-FFF2-40B4-BE49-F238E27FC236}">
              <a16:creationId xmlns:a16="http://schemas.microsoft.com/office/drawing/2014/main" id="{00000000-0008-0000-2000-000051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86" name="Shape 3">
          <a:extLst>
            <a:ext uri="{FF2B5EF4-FFF2-40B4-BE49-F238E27FC236}">
              <a16:creationId xmlns:a16="http://schemas.microsoft.com/office/drawing/2014/main" id="{00000000-0008-0000-2000-000052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87" name="Shape 3">
          <a:extLst>
            <a:ext uri="{FF2B5EF4-FFF2-40B4-BE49-F238E27FC236}">
              <a16:creationId xmlns:a16="http://schemas.microsoft.com/office/drawing/2014/main" id="{00000000-0008-0000-2000-000053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88" name="Shape 3">
          <a:extLst>
            <a:ext uri="{FF2B5EF4-FFF2-40B4-BE49-F238E27FC236}">
              <a16:creationId xmlns:a16="http://schemas.microsoft.com/office/drawing/2014/main" id="{00000000-0008-0000-2000-000054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89" name="Shape 3">
          <a:extLst>
            <a:ext uri="{FF2B5EF4-FFF2-40B4-BE49-F238E27FC236}">
              <a16:creationId xmlns:a16="http://schemas.microsoft.com/office/drawing/2014/main" id="{00000000-0008-0000-2000-000055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90" name="Shape 3">
          <a:extLst>
            <a:ext uri="{FF2B5EF4-FFF2-40B4-BE49-F238E27FC236}">
              <a16:creationId xmlns:a16="http://schemas.microsoft.com/office/drawing/2014/main" id="{00000000-0008-0000-2000-000056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91" name="Shape 3">
          <a:extLst>
            <a:ext uri="{FF2B5EF4-FFF2-40B4-BE49-F238E27FC236}">
              <a16:creationId xmlns:a16="http://schemas.microsoft.com/office/drawing/2014/main" id="{00000000-0008-0000-2000-000057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92" name="Shape 3">
          <a:extLst>
            <a:ext uri="{FF2B5EF4-FFF2-40B4-BE49-F238E27FC236}">
              <a16:creationId xmlns:a16="http://schemas.microsoft.com/office/drawing/2014/main" id="{00000000-0008-0000-2000-000058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93" name="Shape 3">
          <a:extLst>
            <a:ext uri="{FF2B5EF4-FFF2-40B4-BE49-F238E27FC236}">
              <a16:creationId xmlns:a16="http://schemas.microsoft.com/office/drawing/2014/main" id="{00000000-0008-0000-2000-000059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94" name="Shape 3">
          <a:extLst>
            <a:ext uri="{FF2B5EF4-FFF2-40B4-BE49-F238E27FC236}">
              <a16:creationId xmlns:a16="http://schemas.microsoft.com/office/drawing/2014/main" id="{00000000-0008-0000-2000-00005A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95" name="Shape 3">
          <a:extLst>
            <a:ext uri="{FF2B5EF4-FFF2-40B4-BE49-F238E27FC236}">
              <a16:creationId xmlns:a16="http://schemas.microsoft.com/office/drawing/2014/main" id="{00000000-0008-0000-2000-00005B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96" name="Shape 3">
          <a:extLst>
            <a:ext uri="{FF2B5EF4-FFF2-40B4-BE49-F238E27FC236}">
              <a16:creationId xmlns:a16="http://schemas.microsoft.com/office/drawing/2014/main" id="{00000000-0008-0000-2000-00005C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97" name="Shape 3">
          <a:extLst>
            <a:ext uri="{FF2B5EF4-FFF2-40B4-BE49-F238E27FC236}">
              <a16:creationId xmlns:a16="http://schemas.microsoft.com/office/drawing/2014/main" id="{00000000-0008-0000-2000-00005D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98" name="Shape 3">
          <a:extLst>
            <a:ext uri="{FF2B5EF4-FFF2-40B4-BE49-F238E27FC236}">
              <a16:creationId xmlns:a16="http://schemas.microsoft.com/office/drawing/2014/main" id="{00000000-0008-0000-2000-00005E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599" name="Shape 3">
          <a:extLst>
            <a:ext uri="{FF2B5EF4-FFF2-40B4-BE49-F238E27FC236}">
              <a16:creationId xmlns:a16="http://schemas.microsoft.com/office/drawing/2014/main" id="{00000000-0008-0000-2000-00005F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600" name="Shape 3">
          <a:extLst>
            <a:ext uri="{FF2B5EF4-FFF2-40B4-BE49-F238E27FC236}">
              <a16:creationId xmlns:a16="http://schemas.microsoft.com/office/drawing/2014/main" id="{00000000-0008-0000-2000-000060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601" name="Shape 3">
          <a:extLst>
            <a:ext uri="{FF2B5EF4-FFF2-40B4-BE49-F238E27FC236}">
              <a16:creationId xmlns:a16="http://schemas.microsoft.com/office/drawing/2014/main" id="{00000000-0008-0000-2000-000061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602" name="Shape 3">
          <a:extLst>
            <a:ext uri="{FF2B5EF4-FFF2-40B4-BE49-F238E27FC236}">
              <a16:creationId xmlns:a16="http://schemas.microsoft.com/office/drawing/2014/main" id="{00000000-0008-0000-2000-000062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603" name="Shape 3">
          <a:extLst>
            <a:ext uri="{FF2B5EF4-FFF2-40B4-BE49-F238E27FC236}">
              <a16:creationId xmlns:a16="http://schemas.microsoft.com/office/drawing/2014/main" id="{00000000-0008-0000-2000-000063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604" name="Shape 3">
          <a:extLst>
            <a:ext uri="{FF2B5EF4-FFF2-40B4-BE49-F238E27FC236}">
              <a16:creationId xmlns:a16="http://schemas.microsoft.com/office/drawing/2014/main" id="{00000000-0008-0000-2000-000064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605" name="Shape 3">
          <a:extLst>
            <a:ext uri="{FF2B5EF4-FFF2-40B4-BE49-F238E27FC236}">
              <a16:creationId xmlns:a16="http://schemas.microsoft.com/office/drawing/2014/main" id="{00000000-0008-0000-2000-000065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606" name="Shape 3">
          <a:extLst>
            <a:ext uri="{FF2B5EF4-FFF2-40B4-BE49-F238E27FC236}">
              <a16:creationId xmlns:a16="http://schemas.microsoft.com/office/drawing/2014/main" id="{00000000-0008-0000-2000-000066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607" name="Shape 3">
          <a:extLst>
            <a:ext uri="{FF2B5EF4-FFF2-40B4-BE49-F238E27FC236}">
              <a16:creationId xmlns:a16="http://schemas.microsoft.com/office/drawing/2014/main" id="{00000000-0008-0000-2000-000067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608" name="Shape 3">
          <a:extLst>
            <a:ext uri="{FF2B5EF4-FFF2-40B4-BE49-F238E27FC236}">
              <a16:creationId xmlns:a16="http://schemas.microsoft.com/office/drawing/2014/main" id="{00000000-0008-0000-2000-000068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1609" name="Shape 3">
          <a:extLst>
            <a:ext uri="{FF2B5EF4-FFF2-40B4-BE49-F238E27FC236}">
              <a16:creationId xmlns:a16="http://schemas.microsoft.com/office/drawing/2014/main" id="{00000000-0008-0000-2000-00006954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10" name="Shape 3">
          <a:extLst>
            <a:ext uri="{FF2B5EF4-FFF2-40B4-BE49-F238E27FC236}">
              <a16:creationId xmlns:a16="http://schemas.microsoft.com/office/drawing/2014/main" id="{00000000-0008-0000-2000-00006A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11" name="Shape 3">
          <a:extLst>
            <a:ext uri="{FF2B5EF4-FFF2-40B4-BE49-F238E27FC236}">
              <a16:creationId xmlns:a16="http://schemas.microsoft.com/office/drawing/2014/main" id="{00000000-0008-0000-2000-00006B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12" name="Shape 3">
          <a:extLst>
            <a:ext uri="{FF2B5EF4-FFF2-40B4-BE49-F238E27FC236}">
              <a16:creationId xmlns:a16="http://schemas.microsoft.com/office/drawing/2014/main" id="{00000000-0008-0000-2000-00006C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13" name="Shape 3">
          <a:extLst>
            <a:ext uri="{FF2B5EF4-FFF2-40B4-BE49-F238E27FC236}">
              <a16:creationId xmlns:a16="http://schemas.microsoft.com/office/drawing/2014/main" id="{00000000-0008-0000-2000-00006D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14" name="Shape 3">
          <a:extLst>
            <a:ext uri="{FF2B5EF4-FFF2-40B4-BE49-F238E27FC236}">
              <a16:creationId xmlns:a16="http://schemas.microsoft.com/office/drawing/2014/main" id="{00000000-0008-0000-2000-00006E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15" name="Shape 3">
          <a:extLst>
            <a:ext uri="{FF2B5EF4-FFF2-40B4-BE49-F238E27FC236}">
              <a16:creationId xmlns:a16="http://schemas.microsoft.com/office/drawing/2014/main" id="{00000000-0008-0000-2000-00006F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16" name="Shape 3">
          <a:extLst>
            <a:ext uri="{FF2B5EF4-FFF2-40B4-BE49-F238E27FC236}">
              <a16:creationId xmlns:a16="http://schemas.microsoft.com/office/drawing/2014/main" id="{00000000-0008-0000-2000-000070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17" name="Shape 3">
          <a:extLst>
            <a:ext uri="{FF2B5EF4-FFF2-40B4-BE49-F238E27FC236}">
              <a16:creationId xmlns:a16="http://schemas.microsoft.com/office/drawing/2014/main" id="{00000000-0008-0000-2000-000071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18" name="Shape 3">
          <a:extLst>
            <a:ext uri="{FF2B5EF4-FFF2-40B4-BE49-F238E27FC236}">
              <a16:creationId xmlns:a16="http://schemas.microsoft.com/office/drawing/2014/main" id="{00000000-0008-0000-2000-000072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19" name="Shape 3">
          <a:extLst>
            <a:ext uri="{FF2B5EF4-FFF2-40B4-BE49-F238E27FC236}">
              <a16:creationId xmlns:a16="http://schemas.microsoft.com/office/drawing/2014/main" id="{00000000-0008-0000-2000-000073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20" name="Shape 3">
          <a:extLst>
            <a:ext uri="{FF2B5EF4-FFF2-40B4-BE49-F238E27FC236}">
              <a16:creationId xmlns:a16="http://schemas.microsoft.com/office/drawing/2014/main" id="{00000000-0008-0000-2000-000074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21" name="Shape 3">
          <a:extLst>
            <a:ext uri="{FF2B5EF4-FFF2-40B4-BE49-F238E27FC236}">
              <a16:creationId xmlns:a16="http://schemas.microsoft.com/office/drawing/2014/main" id="{00000000-0008-0000-2000-000075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22" name="Shape 3">
          <a:extLst>
            <a:ext uri="{FF2B5EF4-FFF2-40B4-BE49-F238E27FC236}">
              <a16:creationId xmlns:a16="http://schemas.microsoft.com/office/drawing/2014/main" id="{00000000-0008-0000-2000-000076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23" name="Shape 3">
          <a:extLst>
            <a:ext uri="{FF2B5EF4-FFF2-40B4-BE49-F238E27FC236}">
              <a16:creationId xmlns:a16="http://schemas.microsoft.com/office/drawing/2014/main" id="{00000000-0008-0000-2000-000077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24" name="Shape 3">
          <a:extLst>
            <a:ext uri="{FF2B5EF4-FFF2-40B4-BE49-F238E27FC236}">
              <a16:creationId xmlns:a16="http://schemas.microsoft.com/office/drawing/2014/main" id="{00000000-0008-0000-2000-000078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25" name="Shape 3">
          <a:extLst>
            <a:ext uri="{FF2B5EF4-FFF2-40B4-BE49-F238E27FC236}">
              <a16:creationId xmlns:a16="http://schemas.microsoft.com/office/drawing/2014/main" id="{00000000-0008-0000-2000-000079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26" name="Shape 3">
          <a:extLst>
            <a:ext uri="{FF2B5EF4-FFF2-40B4-BE49-F238E27FC236}">
              <a16:creationId xmlns:a16="http://schemas.microsoft.com/office/drawing/2014/main" id="{00000000-0008-0000-2000-00007A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1627" name="Shape 4">
          <a:extLst>
            <a:ext uri="{FF2B5EF4-FFF2-40B4-BE49-F238E27FC236}">
              <a16:creationId xmlns:a16="http://schemas.microsoft.com/office/drawing/2014/main" id="{00000000-0008-0000-2000-00007B54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1628" name="Shape 4">
          <a:extLst>
            <a:ext uri="{FF2B5EF4-FFF2-40B4-BE49-F238E27FC236}">
              <a16:creationId xmlns:a16="http://schemas.microsoft.com/office/drawing/2014/main" id="{00000000-0008-0000-2000-00007C54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29" name="Shape 3">
          <a:extLst>
            <a:ext uri="{FF2B5EF4-FFF2-40B4-BE49-F238E27FC236}">
              <a16:creationId xmlns:a16="http://schemas.microsoft.com/office/drawing/2014/main" id="{00000000-0008-0000-2000-00007D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30" name="Shape 3">
          <a:extLst>
            <a:ext uri="{FF2B5EF4-FFF2-40B4-BE49-F238E27FC236}">
              <a16:creationId xmlns:a16="http://schemas.microsoft.com/office/drawing/2014/main" id="{00000000-0008-0000-2000-00007E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31" name="Shape 3">
          <a:extLst>
            <a:ext uri="{FF2B5EF4-FFF2-40B4-BE49-F238E27FC236}">
              <a16:creationId xmlns:a16="http://schemas.microsoft.com/office/drawing/2014/main" id="{00000000-0008-0000-2000-00007F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32" name="Shape 3">
          <a:extLst>
            <a:ext uri="{FF2B5EF4-FFF2-40B4-BE49-F238E27FC236}">
              <a16:creationId xmlns:a16="http://schemas.microsoft.com/office/drawing/2014/main" id="{00000000-0008-0000-2000-000080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33" name="Shape 3">
          <a:extLst>
            <a:ext uri="{FF2B5EF4-FFF2-40B4-BE49-F238E27FC236}">
              <a16:creationId xmlns:a16="http://schemas.microsoft.com/office/drawing/2014/main" id="{00000000-0008-0000-2000-000081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34" name="Shape 3">
          <a:extLst>
            <a:ext uri="{FF2B5EF4-FFF2-40B4-BE49-F238E27FC236}">
              <a16:creationId xmlns:a16="http://schemas.microsoft.com/office/drawing/2014/main" id="{00000000-0008-0000-2000-000082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35" name="Shape 3">
          <a:extLst>
            <a:ext uri="{FF2B5EF4-FFF2-40B4-BE49-F238E27FC236}">
              <a16:creationId xmlns:a16="http://schemas.microsoft.com/office/drawing/2014/main" id="{00000000-0008-0000-2000-000083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1636" name="Shape 3">
          <a:extLst>
            <a:ext uri="{FF2B5EF4-FFF2-40B4-BE49-F238E27FC236}">
              <a16:creationId xmlns:a16="http://schemas.microsoft.com/office/drawing/2014/main" id="{00000000-0008-0000-2000-000084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37" name="Shape 3">
          <a:extLst>
            <a:ext uri="{FF2B5EF4-FFF2-40B4-BE49-F238E27FC236}">
              <a16:creationId xmlns:a16="http://schemas.microsoft.com/office/drawing/2014/main" id="{00000000-0008-0000-2000-000085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38" name="Shape 3">
          <a:extLst>
            <a:ext uri="{FF2B5EF4-FFF2-40B4-BE49-F238E27FC236}">
              <a16:creationId xmlns:a16="http://schemas.microsoft.com/office/drawing/2014/main" id="{00000000-0008-0000-2000-000086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39" name="Shape 3">
          <a:extLst>
            <a:ext uri="{FF2B5EF4-FFF2-40B4-BE49-F238E27FC236}">
              <a16:creationId xmlns:a16="http://schemas.microsoft.com/office/drawing/2014/main" id="{00000000-0008-0000-2000-000087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40" name="Shape 3">
          <a:extLst>
            <a:ext uri="{FF2B5EF4-FFF2-40B4-BE49-F238E27FC236}">
              <a16:creationId xmlns:a16="http://schemas.microsoft.com/office/drawing/2014/main" id="{00000000-0008-0000-2000-000088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41" name="Shape 3">
          <a:extLst>
            <a:ext uri="{FF2B5EF4-FFF2-40B4-BE49-F238E27FC236}">
              <a16:creationId xmlns:a16="http://schemas.microsoft.com/office/drawing/2014/main" id="{00000000-0008-0000-2000-000089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42" name="Shape 3">
          <a:extLst>
            <a:ext uri="{FF2B5EF4-FFF2-40B4-BE49-F238E27FC236}">
              <a16:creationId xmlns:a16="http://schemas.microsoft.com/office/drawing/2014/main" id="{00000000-0008-0000-2000-00008A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43" name="Shape 3">
          <a:extLst>
            <a:ext uri="{FF2B5EF4-FFF2-40B4-BE49-F238E27FC236}">
              <a16:creationId xmlns:a16="http://schemas.microsoft.com/office/drawing/2014/main" id="{00000000-0008-0000-2000-00008B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44" name="Shape 3">
          <a:extLst>
            <a:ext uri="{FF2B5EF4-FFF2-40B4-BE49-F238E27FC236}">
              <a16:creationId xmlns:a16="http://schemas.microsoft.com/office/drawing/2014/main" id="{00000000-0008-0000-2000-00008C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45" name="Shape 3">
          <a:extLst>
            <a:ext uri="{FF2B5EF4-FFF2-40B4-BE49-F238E27FC236}">
              <a16:creationId xmlns:a16="http://schemas.microsoft.com/office/drawing/2014/main" id="{00000000-0008-0000-2000-00008D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46" name="Shape 3">
          <a:extLst>
            <a:ext uri="{FF2B5EF4-FFF2-40B4-BE49-F238E27FC236}">
              <a16:creationId xmlns:a16="http://schemas.microsoft.com/office/drawing/2014/main" id="{00000000-0008-0000-2000-00008E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47" name="Shape 3">
          <a:extLst>
            <a:ext uri="{FF2B5EF4-FFF2-40B4-BE49-F238E27FC236}">
              <a16:creationId xmlns:a16="http://schemas.microsoft.com/office/drawing/2014/main" id="{00000000-0008-0000-2000-00008F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48" name="Shape 3">
          <a:extLst>
            <a:ext uri="{FF2B5EF4-FFF2-40B4-BE49-F238E27FC236}">
              <a16:creationId xmlns:a16="http://schemas.microsoft.com/office/drawing/2014/main" id="{00000000-0008-0000-2000-000090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49" name="Shape 3">
          <a:extLst>
            <a:ext uri="{FF2B5EF4-FFF2-40B4-BE49-F238E27FC236}">
              <a16:creationId xmlns:a16="http://schemas.microsoft.com/office/drawing/2014/main" id="{00000000-0008-0000-2000-000091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50" name="Shape 3">
          <a:extLst>
            <a:ext uri="{FF2B5EF4-FFF2-40B4-BE49-F238E27FC236}">
              <a16:creationId xmlns:a16="http://schemas.microsoft.com/office/drawing/2014/main" id="{00000000-0008-0000-2000-000092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51" name="Shape 3">
          <a:extLst>
            <a:ext uri="{FF2B5EF4-FFF2-40B4-BE49-F238E27FC236}">
              <a16:creationId xmlns:a16="http://schemas.microsoft.com/office/drawing/2014/main" id="{00000000-0008-0000-2000-000093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52" name="Shape 3">
          <a:extLst>
            <a:ext uri="{FF2B5EF4-FFF2-40B4-BE49-F238E27FC236}">
              <a16:creationId xmlns:a16="http://schemas.microsoft.com/office/drawing/2014/main" id="{00000000-0008-0000-2000-000094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53" name="Shape 3">
          <a:extLst>
            <a:ext uri="{FF2B5EF4-FFF2-40B4-BE49-F238E27FC236}">
              <a16:creationId xmlns:a16="http://schemas.microsoft.com/office/drawing/2014/main" id="{00000000-0008-0000-2000-000095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54" name="Shape 3">
          <a:extLst>
            <a:ext uri="{FF2B5EF4-FFF2-40B4-BE49-F238E27FC236}">
              <a16:creationId xmlns:a16="http://schemas.microsoft.com/office/drawing/2014/main" id="{00000000-0008-0000-2000-000096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55" name="Shape 3">
          <a:extLst>
            <a:ext uri="{FF2B5EF4-FFF2-40B4-BE49-F238E27FC236}">
              <a16:creationId xmlns:a16="http://schemas.microsoft.com/office/drawing/2014/main" id="{00000000-0008-0000-2000-000097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56" name="Shape 3">
          <a:extLst>
            <a:ext uri="{FF2B5EF4-FFF2-40B4-BE49-F238E27FC236}">
              <a16:creationId xmlns:a16="http://schemas.microsoft.com/office/drawing/2014/main" id="{00000000-0008-0000-2000-000098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57" name="Shape 3">
          <a:extLst>
            <a:ext uri="{FF2B5EF4-FFF2-40B4-BE49-F238E27FC236}">
              <a16:creationId xmlns:a16="http://schemas.microsoft.com/office/drawing/2014/main" id="{00000000-0008-0000-2000-000099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58" name="Shape 3">
          <a:extLst>
            <a:ext uri="{FF2B5EF4-FFF2-40B4-BE49-F238E27FC236}">
              <a16:creationId xmlns:a16="http://schemas.microsoft.com/office/drawing/2014/main" id="{00000000-0008-0000-2000-00009A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59" name="Shape 3">
          <a:extLst>
            <a:ext uri="{FF2B5EF4-FFF2-40B4-BE49-F238E27FC236}">
              <a16:creationId xmlns:a16="http://schemas.microsoft.com/office/drawing/2014/main" id="{00000000-0008-0000-2000-00009B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60" name="Shape 3">
          <a:extLst>
            <a:ext uri="{FF2B5EF4-FFF2-40B4-BE49-F238E27FC236}">
              <a16:creationId xmlns:a16="http://schemas.microsoft.com/office/drawing/2014/main" id="{00000000-0008-0000-2000-00009C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61" name="Shape 3">
          <a:extLst>
            <a:ext uri="{FF2B5EF4-FFF2-40B4-BE49-F238E27FC236}">
              <a16:creationId xmlns:a16="http://schemas.microsoft.com/office/drawing/2014/main" id="{00000000-0008-0000-2000-00009D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62" name="Shape 3">
          <a:extLst>
            <a:ext uri="{FF2B5EF4-FFF2-40B4-BE49-F238E27FC236}">
              <a16:creationId xmlns:a16="http://schemas.microsoft.com/office/drawing/2014/main" id="{00000000-0008-0000-2000-00009E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63" name="Shape 3">
          <a:extLst>
            <a:ext uri="{FF2B5EF4-FFF2-40B4-BE49-F238E27FC236}">
              <a16:creationId xmlns:a16="http://schemas.microsoft.com/office/drawing/2014/main" id="{00000000-0008-0000-2000-00009F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64" name="Shape 3">
          <a:extLst>
            <a:ext uri="{FF2B5EF4-FFF2-40B4-BE49-F238E27FC236}">
              <a16:creationId xmlns:a16="http://schemas.microsoft.com/office/drawing/2014/main" id="{00000000-0008-0000-2000-0000A0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65" name="Shape 3">
          <a:extLst>
            <a:ext uri="{FF2B5EF4-FFF2-40B4-BE49-F238E27FC236}">
              <a16:creationId xmlns:a16="http://schemas.microsoft.com/office/drawing/2014/main" id="{00000000-0008-0000-2000-0000A1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66" name="Shape 3">
          <a:extLst>
            <a:ext uri="{FF2B5EF4-FFF2-40B4-BE49-F238E27FC236}">
              <a16:creationId xmlns:a16="http://schemas.microsoft.com/office/drawing/2014/main" id="{00000000-0008-0000-2000-0000A2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67" name="Shape 3">
          <a:extLst>
            <a:ext uri="{FF2B5EF4-FFF2-40B4-BE49-F238E27FC236}">
              <a16:creationId xmlns:a16="http://schemas.microsoft.com/office/drawing/2014/main" id="{00000000-0008-0000-2000-0000A3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68" name="Shape 3">
          <a:extLst>
            <a:ext uri="{FF2B5EF4-FFF2-40B4-BE49-F238E27FC236}">
              <a16:creationId xmlns:a16="http://schemas.microsoft.com/office/drawing/2014/main" id="{00000000-0008-0000-2000-0000A4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69" name="Shape 3">
          <a:extLst>
            <a:ext uri="{FF2B5EF4-FFF2-40B4-BE49-F238E27FC236}">
              <a16:creationId xmlns:a16="http://schemas.microsoft.com/office/drawing/2014/main" id="{00000000-0008-0000-2000-0000A5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70" name="Shape 3">
          <a:extLst>
            <a:ext uri="{FF2B5EF4-FFF2-40B4-BE49-F238E27FC236}">
              <a16:creationId xmlns:a16="http://schemas.microsoft.com/office/drawing/2014/main" id="{00000000-0008-0000-2000-0000A6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1671" name="Shape 3">
          <a:extLst>
            <a:ext uri="{FF2B5EF4-FFF2-40B4-BE49-F238E27FC236}">
              <a16:creationId xmlns:a16="http://schemas.microsoft.com/office/drawing/2014/main" id="{00000000-0008-0000-2000-0000A754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864" name="Shape 3">
          <a:extLst>
            <a:ext uri="{FF2B5EF4-FFF2-40B4-BE49-F238E27FC236}">
              <a16:creationId xmlns:a16="http://schemas.microsoft.com/office/drawing/2014/main" id="{00000000-0008-0000-2100-0000E8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65" name="Shape 3">
          <a:extLst>
            <a:ext uri="{FF2B5EF4-FFF2-40B4-BE49-F238E27FC236}">
              <a16:creationId xmlns:a16="http://schemas.microsoft.com/office/drawing/2014/main" id="{00000000-0008-0000-2100-0000E9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66" name="Shape 3">
          <a:extLst>
            <a:ext uri="{FF2B5EF4-FFF2-40B4-BE49-F238E27FC236}">
              <a16:creationId xmlns:a16="http://schemas.microsoft.com/office/drawing/2014/main" id="{00000000-0008-0000-2100-0000EA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67" name="Shape 3">
          <a:extLst>
            <a:ext uri="{FF2B5EF4-FFF2-40B4-BE49-F238E27FC236}">
              <a16:creationId xmlns:a16="http://schemas.microsoft.com/office/drawing/2014/main" id="{00000000-0008-0000-2100-0000EB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68" name="Shape 3">
          <a:extLst>
            <a:ext uri="{FF2B5EF4-FFF2-40B4-BE49-F238E27FC236}">
              <a16:creationId xmlns:a16="http://schemas.microsoft.com/office/drawing/2014/main" id="{00000000-0008-0000-2100-0000EC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69" name="Shape 3">
          <a:extLst>
            <a:ext uri="{FF2B5EF4-FFF2-40B4-BE49-F238E27FC236}">
              <a16:creationId xmlns:a16="http://schemas.microsoft.com/office/drawing/2014/main" id="{00000000-0008-0000-2100-0000ED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70" name="Shape 3">
          <a:extLst>
            <a:ext uri="{FF2B5EF4-FFF2-40B4-BE49-F238E27FC236}">
              <a16:creationId xmlns:a16="http://schemas.microsoft.com/office/drawing/2014/main" id="{00000000-0008-0000-2100-0000EE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71" name="Shape 3">
          <a:extLst>
            <a:ext uri="{FF2B5EF4-FFF2-40B4-BE49-F238E27FC236}">
              <a16:creationId xmlns:a16="http://schemas.microsoft.com/office/drawing/2014/main" id="{00000000-0008-0000-2100-0000EF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72" name="Shape 3">
          <a:extLst>
            <a:ext uri="{FF2B5EF4-FFF2-40B4-BE49-F238E27FC236}">
              <a16:creationId xmlns:a16="http://schemas.microsoft.com/office/drawing/2014/main" id="{00000000-0008-0000-2100-0000F0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73" name="Shape 3">
          <a:extLst>
            <a:ext uri="{FF2B5EF4-FFF2-40B4-BE49-F238E27FC236}">
              <a16:creationId xmlns:a16="http://schemas.microsoft.com/office/drawing/2014/main" id="{00000000-0008-0000-2100-0000F1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74" name="Shape 3">
          <a:extLst>
            <a:ext uri="{FF2B5EF4-FFF2-40B4-BE49-F238E27FC236}">
              <a16:creationId xmlns:a16="http://schemas.microsoft.com/office/drawing/2014/main" id="{00000000-0008-0000-2100-0000F2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75" name="Shape 3">
          <a:extLst>
            <a:ext uri="{FF2B5EF4-FFF2-40B4-BE49-F238E27FC236}">
              <a16:creationId xmlns:a16="http://schemas.microsoft.com/office/drawing/2014/main" id="{00000000-0008-0000-2100-0000F3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76" name="Shape 3">
          <a:extLst>
            <a:ext uri="{FF2B5EF4-FFF2-40B4-BE49-F238E27FC236}">
              <a16:creationId xmlns:a16="http://schemas.microsoft.com/office/drawing/2014/main" id="{00000000-0008-0000-2100-0000F4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77" name="Shape 3">
          <a:extLst>
            <a:ext uri="{FF2B5EF4-FFF2-40B4-BE49-F238E27FC236}">
              <a16:creationId xmlns:a16="http://schemas.microsoft.com/office/drawing/2014/main" id="{00000000-0008-0000-2100-0000F5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78" name="Shape 3">
          <a:extLst>
            <a:ext uri="{FF2B5EF4-FFF2-40B4-BE49-F238E27FC236}">
              <a16:creationId xmlns:a16="http://schemas.microsoft.com/office/drawing/2014/main" id="{00000000-0008-0000-2100-0000F6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79" name="Shape 3">
          <a:extLst>
            <a:ext uri="{FF2B5EF4-FFF2-40B4-BE49-F238E27FC236}">
              <a16:creationId xmlns:a16="http://schemas.microsoft.com/office/drawing/2014/main" id="{00000000-0008-0000-2100-0000F7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80" name="Shape 3">
          <a:extLst>
            <a:ext uri="{FF2B5EF4-FFF2-40B4-BE49-F238E27FC236}">
              <a16:creationId xmlns:a16="http://schemas.microsoft.com/office/drawing/2014/main" id="{00000000-0008-0000-2100-0000F8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37881" name="Shape 4">
          <a:extLst>
            <a:ext uri="{FF2B5EF4-FFF2-40B4-BE49-F238E27FC236}">
              <a16:creationId xmlns:a16="http://schemas.microsoft.com/office/drawing/2014/main" id="{00000000-0008-0000-2100-0000F993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37882" name="Shape 4">
          <a:extLst>
            <a:ext uri="{FF2B5EF4-FFF2-40B4-BE49-F238E27FC236}">
              <a16:creationId xmlns:a16="http://schemas.microsoft.com/office/drawing/2014/main" id="{00000000-0008-0000-2100-0000FA93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83" name="Shape 3">
          <a:extLst>
            <a:ext uri="{FF2B5EF4-FFF2-40B4-BE49-F238E27FC236}">
              <a16:creationId xmlns:a16="http://schemas.microsoft.com/office/drawing/2014/main" id="{00000000-0008-0000-2100-0000FB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84" name="Shape 3">
          <a:extLst>
            <a:ext uri="{FF2B5EF4-FFF2-40B4-BE49-F238E27FC236}">
              <a16:creationId xmlns:a16="http://schemas.microsoft.com/office/drawing/2014/main" id="{00000000-0008-0000-2100-0000FC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85" name="Shape 3">
          <a:extLst>
            <a:ext uri="{FF2B5EF4-FFF2-40B4-BE49-F238E27FC236}">
              <a16:creationId xmlns:a16="http://schemas.microsoft.com/office/drawing/2014/main" id="{00000000-0008-0000-2100-0000FD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86" name="Shape 3">
          <a:extLst>
            <a:ext uri="{FF2B5EF4-FFF2-40B4-BE49-F238E27FC236}">
              <a16:creationId xmlns:a16="http://schemas.microsoft.com/office/drawing/2014/main" id="{00000000-0008-0000-2100-0000FE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87" name="Shape 3">
          <a:extLst>
            <a:ext uri="{FF2B5EF4-FFF2-40B4-BE49-F238E27FC236}">
              <a16:creationId xmlns:a16="http://schemas.microsoft.com/office/drawing/2014/main" id="{00000000-0008-0000-2100-0000FF93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88" name="Shape 3">
          <a:extLst>
            <a:ext uri="{FF2B5EF4-FFF2-40B4-BE49-F238E27FC236}">
              <a16:creationId xmlns:a16="http://schemas.microsoft.com/office/drawing/2014/main" id="{00000000-0008-0000-2100-000000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89" name="Shape 3">
          <a:extLst>
            <a:ext uri="{FF2B5EF4-FFF2-40B4-BE49-F238E27FC236}">
              <a16:creationId xmlns:a16="http://schemas.microsoft.com/office/drawing/2014/main" id="{00000000-0008-0000-2100-000001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7890" name="Shape 3">
          <a:extLst>
            <a:ext uri="{FF2B5EF4-FFF2-40B4-BE49-F238E27FC236}">
              <a16:creationId xmlns:a16="http://schemas.microsoft.com/office/drawing/2014/main" id="{00000000-0008-0000-2100-000002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891" name="Shape 3">
          <a:extLst>
            <a:ext uri="{FF2B5EF4-FFF2-40B4-BE49-F238E27FC236}">
              <a16:creationId xmlns:a16="http://schemas.microsoft.com/office/drawing/2014/main" id="{00000000-0008-0000-2100-000003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892" name="Shape 3">
          <a:extLst>
            <a:ext uri="{FF2B5EF4-FFF2-40B4-BE49-F238E27FC236}">
              <a16:creationId xmlns:a16="http://schemas.microsoft.com/office/drawing/2014/main" id="{00000000-0008-0000-2100-000004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893" name="Shape 3">
          <a:extLst>
            <a:ext uri="{FF2B5EF4-FFF2-40B4-BE49-F238E27FC236}">
              <a16:creationId xmlns:a16="http://schemas.microsoft.com/office/drawing/2014/main" id="{00000000-0008-0000-2100-000005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894" name="Shape 3">
          <a:extLst>
            <a:ext uri="{FF2B5EF4-FFF2-40B4-BE49-F238E27FC236}">
              <a16:creationId xmlns:a16="http://schemas.microsoft.com/office/drawing/2014/main" id="{00000000-0008-0000-2100-000006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895" name="Shape 3">
          <a:extLst>
            <a:ext uri="{FF2B5EF4-FFF2-40B4-BE49-F238E27FC236}">
              <a16:creationId xmlns:a16="http://schemas.microsoft.com/office/drawing/2014/main" id="{00000000-0008-0000-2100-000007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896" name="Shape 3">
          <a:extLst>
            <a:ext uri="{FF2B5EF4-FFF2-40B4-BE49-F238E27FC236}">
              <a16:creationId xmlns:a16="http://schemas.microsoft.com/office/drawing/2014/main" id="{00000000-0008-0000-2100-000008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897" name="Shape 3">
          <a:extLst>
            <a:ext uri="{FF2B5EF4-FFF2-40B4-BE49-F238E27FC236}">
              <a16:creationId xmlns:a16="http://schemas.microsoft.com/office/drawing/2014/main" id="{00000000-0008-0000-2100-000009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898" name="Shape 3">
          <a:extLst>
            <a:ext uri="{FF2B5EF4-FFF2-40B4-BE49-F238E27FC236}">
              <a16:creationId xmlns:a16="http://schemas.microsoft.com/office/drawing/2014/main" id="{00000000-0008-0000-2100-00000A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899" name="Shape 3">
          <a:extLst>
            <a:ext uri="{FF2B5EF4-FFF2-40B4-BE49-F238E27FC236}">
              <a16:creationId xmlns:a16="http://schemas.microsoft.com/office/drawing/2014/main" id="{00000000-0008-0000-2100-00000B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00" name="Shape 3">
          <a:extLst>
            <a:ext uri="{FF2B5EF4-FFF2-40B4-BE49-F238E27FC236}">
              <a16:creationId xmlns:a16="http://schemas.microsoft.com/office/drawing/2014/main" id="{00000000-0008-0000-2100-00000C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01" name="Shape 3">
          <a:extLst>
            <a:ext uri="{FF2B5EF4-FFF2-40B4-BE49-F238E27FC236}">
              <a16:creationId xmlns:a16="http://schemas.microsoft.com/office/drawing/2014/main" id="{00000000-0008-0000-2100-00000D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02" name="Shape 3">
          <a:extLst>
            <a:ext uri="{FF2B5EF4-FFF2-40B4-BE49-F238E27FC236}">
              <a16:creationId xmlns:a16="http://schemas.microsoft.com/office/drawing/2014/main" id="{00000000-0008-0000-2100-00000E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03" name="Shape 3">
          <a:extLst>
            <a:ext uri="{FF2B5EF4-FFF2-40B4-BE49-F238E27FC236}">
              <a16:creationId xmlns:a16="http://schemas.microsoft.com/office/drawing/2014/main" id="{00000000-0008-0000-2100-00000F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04" name="Shape 3">
          <a:extLst>
            <a:ext uri="{FF2B5EF4-FFF2-40B4-BE49-F238E27FC236}">
              <a16:creationId xmlns:a16="http://schemas.microsoft.com/office/drawing/2014/main" id="{00000000-0008-0000-2100-000010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05" name="Shape 3">
          <a:extLst>
            <a:ext uri="{FF2B5EF4-FFF2-40B4-BE49-F238E27FC236}">
              <a16:creationId xmlns:a16="http://schemas.microsoft.com/office/drawing/2014/main" id="{00000000-0008-0000-2100-000011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06" name="Shape 3">
          <a:extLst>
            <a:ext uri="{FF2B5EF4-FFF2-40B4-BE49-F238E27FC236}">
              <a16:creationId xmlns:a16="http://schemas.microsoft.com/office/drawing/2014/main" id="{00000000-0008-0000-2100-000012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07" name="Shape 3">
          <a:extLst>
            <a:ext uri="{FF2B5EF4-FFF2-40B4-BE49-F238E27FC236}">
              <a16:creationId xmlns:a16="http://schemas.microsoft.com/office/drawing/2014/main" id="{00000000-0008-0000-2100-000013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08" name="Shape 3">
          <a:extLst>
            <a:ext uri="{FF2B5EF4-FFF2-40B4-BE49-F238E27FC236}">
              <a16:creationId xmlns:a16="http://schemas.microsoft.com/office/drawing/2014/main" id="{00000000-0008-0000-2100-000014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09" name="Shape 3">
          <a:extLst>
            <a:ext uri="{FF2B5EF4-FFF2-40B4-BE49-F238E27FC236}">
              <a16:creationId xmlns:a16="http://schemas.microsoft.com/office/drawing/2014/main" id="{00000000-0008-0000-2100-000015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10" name="Shape 3">
          <a:extLst>
            <a:ext uri="{FF2B5EF4-FFF2-40B4-BE49-F238E27FC236}">
              <a16:creationId xmlns:a16="http://schemas.microsoft.com/office/drawing/2014/main" id="{00000000-0008-0000-2100-000016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11" name="Shape 3">
          <a:extLst>
            <a:ext uri="{FF2B5EF4-FFF2-40B4-BE49-F238E27FC236}">
              <a16:creationId xmlns:a16="http://schemas.microsoft.com/office/drawing/2014/main" id="{00000000-0008-0000-2100-000017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12" name="Shape 3">
          <a:extLst>
            <a:ext uri="{FF2B5EF4-FFF2-40B4-BE49-F238E27FC236}">
              <a16:creationId xmlns:a16="http://schemas.microsoft.com/office/drawing/2014/main" id="{00000000-0008-0000-2100-000018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13" name="Shape 3">
          <a:extLst>
            <a:ext uri="{FF2B5EF4-FFF2-40B4-BE49-F238E27FC236}">
              <a16:creationId xmlns:a16="http://schemas.microsoft.com/office/drawing/2014/main" id="{00000000-0008-0000-2100-000019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14" name="Shape 3">
          <a:extLst>
            <a:ext uri="{FF2B5EF4-FFF2-40B4-BE49-F238E27FC236}">
              <a16:creationId xmlns:a16="http://schemas.microsoft.com/office/drawing/2014/main" id="{00000000-0008-0000-2100-00001A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15" name="Shape 3">
          <a:extLst>
            <a:ext uri="{FF2B5EF4-FFF2-40B4-BE49-F238E27FC236}">
              <a16:creationId xmlns:a16="http://schemas.microsoft.com/office/drawing/2014/main" id="{00000000-0008-0000-2100-00001B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16" name="Shape 3">
          <a:extLst>
            <a:ext uri="{FF2B5EF4-FFF2-40B4-BE49-F238E27FC236}">
              <a16:creationId xmlns:a16="http://schemas.microsoft.com/office/drawing/2014/main" id="{00000000-0008-0000-2100-00001C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17" name="Shape 3">
          <a:extLst>
            <a:ext uri="{FF2B5EF4-FFF2-40B4-BE49-F238E27FC236}">
              <a16:creationId xmlns:a16="http://schemas.microsoft.com/office/drawing/2014/main" id="{00000000-0008-0000-2100-00001D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18" name="Shape 3">
          <a:extLst>
            <a:ext uri="{FF2B5EF4-FFF2-40B4-BE49-F238E27FC236}">
              <a16:creationId xmlns:a16="http://schemas.microsoft.com/office/drawing/2014/main" id="{00000000-0008-0000-2100-00001E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19" name="Shape 3">
          <a:extLst>
            <a:ext uri="{FF2B5EF4-FFF2-40B4-BE49-F238E27FC236}">
              <a16:creationId xmlns:a16="http://schemas.microsoft.com/office/drawing/2014/main" id="{00000000-0008-0000-2100-00001F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20" name="Shape 3">
          <a:extLst>
            <a:ext uri="{FF2B5EF4-FFF2-40B4-BE49-F238E27FC236}">
              <a16:creationId xmlns:a16="http://schemas.microsoft.com/office/drawing/2014/main" id="{00000000-0008-0000-2100-000020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21" name="Shape 3">
          <a:extLst>
            <a:ext uri="{FF2B5EF4-FFF2-40B4-BE49-F238E27FC236}">
              <a16:creationId xmlns:a16="http://schemas.microsoft.com/office/drawing/2014/main" id="{00000000-0008-0000-2100-000021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22" name="Shape 3">
          <a:extLst>
            <a:ext uri="{FF2B5EF4-FFF2-40B4-BE49-F238E27FC236}">
              <a16:creationId xmlns:a16="http://schemas.microsoft.com/office/drawing/2014/main" id="{00000000-0008-0000-2100-000022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23" name="Shape 3">
          <a:extLst>
            <a:ext uri="{FF2B5EF4-FFF2-40B4-BE49-F238E27FC236}">
              <a16:creationId xmlns:a16="http://schemas.microsoft.com/office/drawing/2014/main" id="{00000000-0008-0000-2100-000023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24" name="Shape 3">
          <a:extLst>
            <a:ext uri="{FF2B5EF4-FFF2-40B4-BE49-F238E27FC236}">
              <a16:creationId xmlns:a16="http://schemas.microsoft.com/office/drawing/2014/main" id="{00000000-0008-0000-2100-000024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7925" name="Shape 3">
          <a:extLst>
            <a:ext uri="{FF2B5EF4-FFF2-40B4-BE49-F238E27FC236}">
              <a16:creationId xmlns:a16="http://schemas.microsoft.com/office/drawing/2014/main" id="{00000000-0008-0000-2100-00002594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26" name="Shape 3">
          <a:extLst>
            <a:ext uri="{FF2B5EF4-FFF2-40B4-BE49-F238E27FC236}">
              <a16:creationId xmlns:a16="http://schemas.microsoft.com/office/drawing/2014/main" id="{00000000-0008-0000-2100-000026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27" name="Shape 3">
          <a:extLst>
            <a:ext uri="{FF2B5EF4-FFF2-40B4-BE49-F238E27FC236}">
              <a16:creationId xmlns:a16="http://schemas.microsoft.com/office/drawing/2014/main" id="{00000000-0008-0000-2100-000027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28" name="Shape 3">
          <a:extLst>
            <a:ext uri="{FF2B5EF4-FFF2-40B4-BE49-F238E27FC236}">
              <a16:creationId xmlns:a16="http://schemas.microsoft.com/office/drawing/2014/main" id="{00000000-0008-0000-2100-000028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29" name="Shape 3">
          <a:extLst>
            <a:ext uri="{FF2B5EF4-FFF2-40B4-BE49-F238E27FC236}">
              <a16:creationId xmlns:a16="http://schemas.microsoft.com/office/drawing/2014/main" id="{00000000-0008-0000-2100-000029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30" name="Shape 3">
          <a:extLst>
            <a:ext uri="{FF2B5EF4-FFF2-40B4-BE49-F238E27FC236}">
              <a16:creationId xmlns:a16="http://schemas.microsoft.com/office/drawing/2014/main" id="{00000000-0008-0000-2100-00002A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31" name="Shape 3">
          <a:extLst>
            <a:ext uri="{FF2B5EF4-FFF2-40B4-BE49-F238E27FC236}">
              <a16:creationId xmlns:a16="http://schemas.microsoft.com/office/drawing/2014/main" id="{00000000-0008-0000-2100-00002B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32" name="Shape 3">
          <a:extLst>
            <a:ext uri="{FF2B5EF4-FFF2-40B4-BE49-F238E27FC236}">
              <a16:creationId xmlns:a16="http://schemas.microsoft.com/office/drawing/2014/main" id="{00000000-0008-0000-2100-00002C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33" name="Shape 3">
          <a:extLst>
            <a:ext uri="{FF2B5EF4-FFF2-40B4-BE49-F238E27FC236}">
              <a16:creationId xmlns:a16="http://schemas.microsoft.com/office/drawing/2014/main" id="{00000000-0008-0000-2100-00002D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34" name="Shape 3">
          <a:extLst>
            <a:ext uri="{FF2B5EF4-FFF2-40B4-BE49-F238E27FC236}">
              <a16:creationId xmlns:a16="http://schemas.microsoft.com/office/drawing/2014/main" id="{00000000-0008-0000-2100-00002E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35" name="Shape 3">
          <a:extLst>
            <a:ext uri="{FF2B5EF4-FFF2-40B4-BE49-F238E27FC236}">
              <a16:creationId xmlns:a16="http://schemas.microsoft.com/office/drawing/2014/main" id="{00000000-0008-0000-2100-00002F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36" name="Shape 3">
          <a:extLst>
            <a:ext uri="{FF2B5EF4-FFF2-40B4-BE49-F238E27FC236}">
              <a16:creationId xmlns:a16="http://schemas.microsoft.com/office/drawing/2014/main" id="{00000000-0008-0000-2100-000030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37" name="Shape 3">
          <a:extLst>
            <a:ext uri="{FF2B5EF4-FFF2-40B4-BE49-F238E27FC236}">
              <a16:creationId xmlns:a16="http://schemas.microsoft.com/office/drawing/2014/main" id="{00000000-0008-0000-2100-000031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38" name="Shape 3">
          <a:extLst>
            <a:ext uri="{FF2B5EF4-FFF2-40B4-BE49-F238E27FC236}">
              <a16:creationId xmlns:a16="http://schemas.microsoft.com/office/drawing/2014/main" id="{00000000-0008-0000-2100-000032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39" name="Shape 3">
          <a:extLst>
            <a:ext uri="{FF2B5EF4-FFF2-40B4-BE49-F238E27FC236}">
              <a16:creationId xmlns:a16="http://schemas.microsoft.com/office/drawing/2014/main" id="{00000000-0008-0000-2100-000033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40" name="Shape 3">
          <a:extLst>
            <a:ext uri="{FF2B5EF4-FFF2-40B4-BE49-F238E27FC236}">
              <a16:creationId xmlns:a16="http://schemas.microsoft.com/office/drawing/2014/main" id="{00000000-0008-0000-2100-000034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41" name="Shape 3">
          <a:extLst>
            <a:ext uri="{FF2B5EF4-FFF2-40B4-BE49-F238E27FC236}">
              <a16:creationId xmlns:a16="http://schemas.microsoft.com/office/drawing/2014/main" id="{00000000-0008-0000-2100-000035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42" name="Shape 3">
          <a:extLst>
            <a:ext uri="{FF2B5EF4-FFF2-40B4-BE49-F238E27FC236}">
              <a16:creationId xmlns:a16="http://schemas.microsoft.com/office/drawing/2014/main" id="{00000000-0008-0000-2100-000036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37943" name="Shape 4">
          <a:extLst>
            <a:ext uri="{FF2B5EF4-FFF2-40B4-BE49-F238E27FC236}">
              <a16:creationId xmlns:a16="http://schemas.microsoft.com/office/drawing/2014/main" id="{00000000-0008-0000-2100-00003794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37944" name="Shape 4">
          <a:extLst>
            <a:ext uri="{FF2B5EF4-FFF2-40B4-BE49-F238E27FC236}">
              <a16:creationId xmlns:a16="http://schemas.microsoft.com/office/drawing/2014/main" id="{00000000-0008-0000-2100-00003894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45" name="Shape 3">
          <a:extLst>
            <a:ext uri="{FF2B5EF4-FFF2-40B4-BE49-F238E27FC236}">
              <a16:creationId xmlns:a16="http://schemas.microsoft.com/office/drawing/2014/main" id="{00000000-0008-0000-2100-000039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46" name="Shape 3">
          <a:extLst>
            <a:ext uri="{FF2B5EF4-FFF2-40B4-BE49-F238E27FC236}">
              <a16:creationId xmlns:a16="http://schemas.microsoft.com/office/drawing/2014/main" id="{00000000-0008-0000-2100-00003A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47" name="Shape 3">
          <a:extLst>
            <a:ext uri="{FF2B5EF4-FFF2-40B4-BE49-F238E27FC236}">
              <a16:creationId xmlns:a16="http://schemas.microsoft.com/office/drawing/2014/main" id="{00000000-0008-0000-2100-00003B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48" name="Shape 3">
          <a:extLst>
            <a:ext uri="{FF2B5EF4-FFF2-40B4-BE49-F238E27FC236}">
              <a16:creationId xmlns:a16="http://schemas.microsoft.com/office/drawing/2014/main" id="{00000000-0008-0000-2100-00003C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49" name="Shape 3">
          <a:extLst>
            <a:ext uri="{FF2B5EF4-FFF2-40B4-BE49-F238E27FC236}">
              <a16:creationId xmlns:a16="http://schemas.microsoft.com/office/drawing/2014/main" id="{00000000-0008-0000-2100-00003D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50" name="Shape 3">
          <a:extLst>
            <a:ext uri="{FF2B5EF4-FFF2-40B4-BE49-F238E27FC236}">
              <a16:creationId xmlns:a16="http://schemas.microsoft.com/office/drawing/2014/main" id="{00000000-0008-0000-2100-00003E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51" name="Shape 3">
          <a:extLst>
            <a:ext uri="{FF2B5EF4-FFF2-40B4-BE49-F238E27FC236}">
              <a16:creationId xmlns:a16="http://schemas.microsoft.com/office/drawing/2014/main" id="{00000000-0008-0000-2100-00003F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7952" name="Shape 3">
          <a:extLst>
            <a:ext uri="{FF2B5EF4-FFF2-40B4-BE49-F238E27FC236}">
              <a16:creationId xmlns:a16="http://schemas.microsoft.com/office/drawing/2014/main" id="{00000000-0008-0000-2100-000040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53" name="Shape 3">
          <a:extLst>
            <a:ext uri="{FF2B5EF4-FFF2-40B4-BE49-F238E27FC236}">
              <a16:creationId xmlns:a16="http://schemas.microsoft.com/office/drawing/2014/main" id="{00000000-0008-0000-2100-000041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54" name="Shape 3">
          <a:extLst>
            <a:ext uri="{FF2B5EF4-FFF2-40B4-BE49-F238E27FC236}">
              <a16:creationId xmlns:a16="http://schemas.microsoft.com/office/drawing/2014/main" id="{00000000-0008-0000-2100-000042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55" name="Shape 3">
          <a:extLst>
            <a:ext uri="{FF2B5EF4-FFF2-40B4-BE49-F238E27FC236}">
              <a16:creationId xmlns:a16="http://schemas.microsoft.com/office/drawing/2014/main" id="{00000000-0008-0000-2100-000043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56" name="Shape 3">
          <a:extLst>
            <a:ext uri="{FF2B5EF4-FFF2-40B4-BE49-F238E27FC236}">
              <a16:creationId xmlns:a16="http://schemas.microsoft.com/office/drawing/2014/main" id="{00000000-0008-0000-2100-000044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57" name="Shape 3">
          <a:extLst>
            <a:ext uri="{FF2B5EF4-FFF2-40B4-BE49-F238E27FC236}">
              <a16:creationId xmlns:a16="http://schemas.microsoft.com/office/drawing/2014/main" id="{00000000-0008-0000-2100-000045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58" name="Shape 3">
          <a:extLst>
            <a:ext uri="{FF2B5EF4-FFF2-40B4-BE49-F238E27FC236}">
              <a16:creationId xmlns:a16="http://schemas.microsoft.com/office/drawing/2014/main" id="{00000000-0008-0000-2100-000046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59" name="Shape 3">
          <a:extLst>
            <a:ext uri="{FF2B5EF4-FFF2-40B4-BE49-F238E27FC236}">
              <a16:creationId xmlns:a16="http://schemas.microsoft.com/office/drawing/2014/main" id="{00000000-0008-0000-2100-000047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60" name="Shape 3">
          <a:extLst>
            <a:ext uri="{FF2B5EF4-FFF2-40B4-BE49-F238E27FC236}">
              <a16:creationId xmlns:a16="http://schemas.microsoft.com/office/drawing/2014/main" id="{00000000-0008-0000-2100-000048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61" name="Shape 3">
          <a:extLst>
            <a:ext uri="{FF2B5EF4-FFF2-40B4-BE49-F238E27FC236}">
              <a16:creationId xmlns:a16="http://schemas.microsoft.com/office/drawing/2014/main" id="{00000000-0008-0000-2100-000049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62" name="Shape 3">
          <a:extLst>
            <a:ext uri="{FF2B5EF4-FFF2-40B4-BE49-F238E27FC236}">
              <a16:creationId xmlns:a16="http://schemas.microsoft.com/office/drawing/2014/main" id="{00000000-0008-0000-2100-00004A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63" name="Shape 3">
          <a:extLst>
            <a:ext uri="{FF2B5EF4-FFF2-40B4-BE49-F238E27FC236}">
              <a16:creationId xmlns:a16="http://schemas.microsoft.com/office/drawing/2014/main" id="{00000000-0008-0000-2100-00004B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64" name="Shape 3">
          <a:extLst>
            <a:ext uri="{FF2B5EF4-FFF2-40B4-BE49-F238E27FC236}">
              <a16:creationId xmlns:a16="http://schemas.microsoft.com/office/drawing/2014/main" id="{00000000-0008-0000-2100-00004C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65" name="Shape 3">
          <a:extLst>
            <a:ext uri="{FF2B5EF4-FFF2-40B4-BE49-F238E27FC236}">
              <a16:creationId xmlns:a16="http://schemas.microsoft.com/office/drawing/2014/main" id="{00000000-0008-0000-2100-00004D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66" name="Shape 3">
          <a:extLst>
            <a:ext uri="{FF2B5EF4-FFF2-40B4-BE49-F238E27FC236}">
              <a16:creationId xmlns:a16="http://schemas.microsoft.com/office/drawing/2014/main" id="{00000000-0008-0000-2100-00004E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67" name="Shape 3">
          <a:extLst>
            <a:ext uri="{FF2B5EF4-FFF2-40B4-BE49-F238E27FC236}">
              <a16:creationId xmlns:a16="http://schemas.microsoft.com/office/drawing/2014/main" id="{00000000-0008-0000-2100-00004F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68" name="Shape 3">
          <a:extLst>
            <a:ext uri="{FF2B5EF4-FFF2-40B4-BE49-F238E27FC236}">
              <a16:creationId xmlns:a16="http://schemas.microsoft.com/office/drawing/2014/main" id="{00000000-0008-0000-2100-000050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69" name="Shape 3">
          <a:extLst>
            <a:ext uri="{FF2B5EF4-FFF2-40B4-BE49-F238E27FC236}">
              <a16:creationId xmlns:a16="http://schemas.microsoft.com/office/drawing/2014/main" id="{00000000-0008-0000-2100-000051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70" name="Shape 3">
          <a:extLst>
            <a:ext uri="{FF2B5EF4-FFF2-40B4-BE49-F238E27FC236}">
              <a16:creationId xmlns:a16="http://schemas.microsoft.com/office/drawing/2014/main" id="{00000000-0008-0000-2100-000052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71" name="Shape 3">
          <a:extLst>
            <a:ext uri="{FF2B5EF4-FFF2-40B4-BE49-F238E27FC236}">
              <a16:creationId xmlns:a16="http://schemas.microsoft.com/office/drawing/2014/main" id="{00000000-0008-0000-2100-000053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72" name="Shape 3">
          <a:extLst>
            <a:ext uri="{FF2B5EF4-FFF2-40B4-BE49-F238E27FC236}">
              <a16:creationId xmlns:a16="http://schemas.microsoft.com/office/drawing/2014/main" id="{00000000-0008-0000-2100-000054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73" name="Shape 3">
          <a:extLst>
            <a:ext uri="{FF2B5EF4-FFF2-40B4-BE49-F238E27FC236}">
              <a16:creationId xmlns:a16="http://schemas.microsoft.com/office/drawing/2014/main" id="{00000000-0008-0000-2100-000055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74" name="Shape 3">
          <a:extLst>
            <a:ext uri="{FF2B5EF4-FFF2-40B4-BE49-F238E27FC236}">
              <a16:creationId xmlns:a16="http://schemas.microsoft.com/office/drawing/2014/main" id="{00000000-0008-0000-2100-000056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75" name="Shape 3">
          <a:extLst>
            <a:ext uri="{FF2B5EF4-FFF2-40B4-BE49-F238E27FC236}">
              <a16:creationId xmlns:a16="http://schemas.microsoft.com/office/drawing/2014/main" id="{00000000-0008-0000-2100-000057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76" name="Shape 3">
          <a:extLst>
            <a:ext uri="{FF2B5EF4-FFF2-40B4-BE49-F238E27FC236}">
              <a16:creationId xmlns:a16="http://schemas.microsoft.com/office/drawing/2014/main" id="{00000000-0008-0000-2100-000058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77" name="Shape 3">
          <a:extLst>
            <a:ext uri="{FF2B5EF4-FFF2-40B4-BE49-F238E27FC236}">
              <a16:creationId xmlns:a16="http://schemas.microsoft.com/office/drawing/2014/main" id="{00000000-0008-0000-2100-000059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78" name="Shape 3">
          <a:extLst>
            <a:ext uri="{FF2B5EF4-FFF2-40B4-BE49-F238E27FC236}">
              <a16:creationId xmlns:a16="http://schemas.microsoft.com/office/drawing/2014/main" id="{00000000-0008-0000-2100-00005A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79" name="Shape 3">
          <a:extLst>
            <a:ext uri="{FF2B5EF4-FFF2-40B4-BE49-F238E27FC236}">
              <a16:creationId xmlns:a16="http://schemas.microsoft.com/office/drawing/2014/main" id="{00000000-0008-0000-2100-00005B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80" name="Shape 3">
          <a:extLst>
            <a:ext uri="{FF2B5EF4-FFF2-40B4-BE49-F238E27FC236}">
              <a16:creationId xmlns:a16="http://schemas.microsoft.com/office/drawing/2014/main" id="{00000000-0008-0000-2100-00005C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81" name="Shape 3">
          <a:extLst>
            <a:ext uri="{FF2B5EF4-FFF2-40B4-BE49-F238E27FC236}">
              <a16:creationId xmlns:a16="http://schemas.microsoft.com/office/drawing/2014/main" id="{00000000-0008-0000-2100-00005D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82" name="Shape 3">
          <a:extLst>
            <a:ext uri="{FF2B5EF4-FFF2-40B4-BE49-F238E27FC236}">
              <a16:creationId xmlns:a16="http://schemas.microsoft.com/office/drawing/2014/main" id="{00000000-0008-0000-2100-00005E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83" name="Shape 3">
          <a:extLst>
            <a:ext uri="{FF2B5EF4-FFF2-40B4-BE49-F238E27FC236}">
              <a16:creationId xmlns:a16="http://schemas.microsoft.com/office/drawing/2014/main" id="{00000000-0008-0000-2100-00005F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84" name="Shape 3">
          <a:extLst>
            <a:ext uri="{FF2B5EF4-FFF2-40B4-BE49-F238E27FC236}">
              <a16:creationId xmlns:a16="http://schemas.microsoft.com/office/drawing/2014/main" id="{00000000-0008-0000-2100-000060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85" name="Shape 3">
          <a:extLst>
            <a:ext uri="{FF2B5EF4-FFF2-40B4-BE49-F238E27FC236}">
              <a16:creationId xmlns:a16="http://schemas.microsoft.com/office/drawing/2014/main" id="{00000000-0008-0000-2100-000061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86" name="Shape 3">
          <a:extLst>
            <a:ext uri="{FF2B5EF4-FFF2-40B4-BE49-F238E27FC236}">
              <a16:creationId xmlns:a16="http://schemas.microsoft.com/office/drawing/2014/main" id="{00000000-0008-0000-2100-000062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7987" name="Shape 3">
          <a:extLst>
            <a:ext uri="{FF2B5EF4-FFF2-40B4-BE49-F238E27FC236}">
              <a16:creationId xmlns:a16="http://schemas.microsoft.com/office/drawing/2014/main" id="{00000000-0008-0000-2100-00006394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7988" name="Shape 3">
          <a:extLst>
            <a:ext uri="{FF2B5EF4-FFF2-40B4-BE49-F238E27FC236}">
              <a16:creationId xmlns:a16="http://schemas.microsoft.com/office/drawing/2014/main" id="{00000000-0008-0000-2100-000064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7989" name="Shape 3">
          <a:extLst>
            <a:ext uri="{FF2B5EF4-FFF2-40B4-BE49-F238E27FC236}">
              <a16:creationId xmlns:a16="http://schemas.microsoft.com/office/drawing/2014/main" id="{00000000-0008-0000-2100-000065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7990" name="Shape 3">
          <a:extLst>
            <a:ext uri="{FF2B5EF4-FFF2-40B4-BE49-F238E27FC236}">
              <a16:creationId xmlns:a16="http://schemas.microsoft.com/office/drawing/2014/main" id="{00000000-0008-0000-2100-000066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7991" name="Shape 3">
          <a:extLst>
            <a:ext uri="{FF2B5EF4-FFF2-40B4-BE49-F238E27FC236}">
              <a16:creationId xmlns:a16="http://schemas.microsoft.com/office/drawing/2014/main" id="{00000000-0008-0000-2100-000067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7992" name="Shape 3">
          <a:extLst>
            <a:ext uri="{FF2B5EF4-FFF2-40B4-BE49-F238E27FC236}">
              <a16:creationId xmlns:a16="http://schemas.microsoft.com/office/drawing/2014/main" id="{00000000-0008-0000-2100-000068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7993" name="Shape 3">
          <a:extLst>
            <a:ext uri="{FF2B5EF4-FFF2-40B4-BE49-F238E27FC236}">
              <a16:creationId xmlns:a16="http://schemas.microsoft.com/office/drawing/2014/main" id="{00000000-0008-0000-2100-000069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7994" name="Shape 3">
          <a:extLst>
            <a:ext uri="{FF2B5EF4-FFF2-40B4-BE49-F238E27FC236}">
              <a16:creationId xmlns:a16="http://schemas.microsoft.com/office/drawing/2014/main" id="{00000000-0008-0000-2100-00006A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7995" name="Shape 3">
          <a:extLst>
            <a:ext uri="{FF2B5EF4-FFF2-40B4-BE49-F238E27FC236}">
              <a16:creationId xmlns:a16="http://schemas.microsoft.com/office/drawing/2014/main" id="{00000000-0008-0000-2100-00006B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7996" name="Shape 3">
          <a:extLst>
            <a:ext uri="{FF2B5EF4-FFF2-40B4-BE49-F238E27FC236}">
              <a16:creationId xmlns:a16="http://schemas.microsoft.com/office/drawing/2014/main" id="{00000000-0008-0000-2100-00006C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7997" name="Shape 3">
          <a:extLst>
            <a:ext uri="{FF2B5EF4-FFF2-40B4-BE49-F238E27FC236}">
              <a16:creationId xmlns:a16="http://schemas.microsoft.com/office/drawing/2014/main" id="{00000000-0008-0000-2100-00006D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7998" name="Shape 3">
          <a:extLst>
            <a:ext uri="{FF2B5EF4-FFF2-40B4-BE49-F238E27FC236}">
              <a16:creationId xmlns:a16="http://schemas.microsoft.com/office/drawing/2014/main" id="{00000000-0008-0000-2100-00006E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7999" name="Shape 3">
          <a:extLst>
            <a:ext uri="{FF2B5EF4-FFF2-40B4-BE49-F238E27FC236}">
              <a16:creationId xmlns:a16="http://schemas.microsoft.com/office/drawing/2014/main" id="{00000000-0008-0000-2100-00006F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00" name="Shape 3">
          <a:extLst>
            <a:ext uri="{FF2B5EF4-FFF2-40B4-BE49-F238E27FC236}">
              <a16:creationId xmlns:a16="http://schemas.microsoft.com/office/drawing/2014/main" id="{00000000-0008-0000-2100-000070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01" name="Shape 3">
          <a:extLst>
            <a:ext uri="{FF2B5EF4-FFF2-40B4-BE49-F238E27FC236}">
              <a16:creationId xmlns:a16="http://schemas.microsoft.com/office/drawing/2014/main" id="{00000000-0008-0000-2100-000071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02" name="Shape 3">
          <a:extLst>
            <a:ext uri="{FF2B5EF4-FFF2-40B4-BE49-F238E27FC236}">
              <a16:creationId xmlns:a16="http://schemas.microsoft.com/office/drawing/2014/main" id="{00000000-0008-0000-2100-000072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03" name="Shape 3">
          <a:extLst>
            <a:ext uri="{FF2B5EF4-FFF2-40B4-BE49-F238E27FC236}">
              <a16:creationId xmlns:a16="http://schemas.microsoft.com/office/drawing/2014/main" id="{00000000-0008-0000-2100-000073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04" name="Shape 3">
          <a:extLst>
            <a:ext uri="{FF2B5EF4-FFF2-40B4-BE49-F238E27FC236}">
              <a16:creationId xmlns:a16="http://schemas.microsoft.com/office/drawing/2014/main" id="{00000000-0008-0000-2100-000074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8005" name="Shape 4">
          <a:extLst>
            <a:ext uri="{FF2B5EF4-FFF2-40B4-BE49-F238E27FC236}">
              <a16:creationId xmlns:a16="http://schemas.microsoft.com/office/drawing/2014/main" id="{00000000-0008-0000-2100-00007594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8006" name="Shape 4">
          <a:extLst>
            <a:ext uri="{FF2B5EF4-FFF2-40B4-BE49-F238E27FC236}">
              <a16:creationId xmlns:a16="http://schemas.microsoft.com/office/drawing/2014/main" id="{00000000-0008-0000-2100-00007694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07" name="Shape 3">
          <a:extLst>
            <a:ext uri="{FF2B5EF4-FFF2-40B4-BE49-F238E27FC236}">
              <a16:creationId xmlns:a16="http://schemas.microsoft.com/office/drawing/2014/main" id="{00000000-0008-0000-2100-000077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08" name="Shape 3">
          <a:extLst>
            <a:ext uri="{FF2B5EF4-FFF2-40B4-BE49-F238E27FC236}">
              <a16:creationId xmlns:a16="http://schemas.microsoft.com/office/drawing/2014/main" id="{00000000-0008-0000-2100-000078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09" name="Shape 3">
          <a:extLst>
            <a:ext uri="{FF2B5EF4-FFF2-40B4-BE49-F238E27FC236}">
              <a16:creationId xmlns:a16="http://schemas.microsoft.com/office/drawing/2014/main" id="{00000000-0008-0000-2100-000079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10" name="Shape 3">
          <a:extLst>
            <a:ext uri="{FF2B5EF4-FFF2-40B4-BE49-F238E27FC236}">
              <a16:creationId xmlns:a16="http://schemas.microsoft.com/office/drawing/2014/main" id="{00000000-0008-0000-2100-00007A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11" name="Shape 3">
          <a:extLst>
            <a:ext uri="{FF2B5EF4-FFF2-40B4-BE49-F238E27FC236}">
              <a16:creationId xmlns:a16="http://schemas.microsoft.com/office/drawing/2014/main" id="{00000000-0008-0000-2100-00007B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12" name="Shape 3">
          <a:extLst>
            <a:ext uri="{FF2B5EF4-FFF2-40B4-BE49-F238E27FC236}">
              <a16:creationId xmlns:a16="http://schemas.microsoft.com/office/drawing/2014/main" id="{00000000-0008-0000-2100-00007C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13" name="Shape 3">
          <a:extLst>
            <a:ext uri="{FF2B5EF4-FFF2-40B4-BE49-F238E27FC236}">
              <a16:creationId xmlns:a16="http://schemas.microsoft.com/office/drawing/2014/main" id="{00000000-0008-0000-2100-00007D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014" name="Shape 3">
          <a:extLst>
            <a:ext uri="{FF2B5EF4-FFF2-40B4-BE49-F238E27FC236}">
              <a16:creationId xmlns:a16="http://schemas.microsoft.com/office/drawing/2014/main" id="{00000000-0008-0000-2100-00007E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15" name="Shape 3">
          <a:extLst>
            <a:ext uri="{FF2B5EF4-FFF2-40B4-BE49-F238E27FC236}">
              <a16:creationId xmlns:a16="http://schemas.microsoft.com/office/drawing/2014/main" id="{00000000-0008-0000-2100-00007F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16" name="Shape 3">
          <a:extLst>
            <a:ext uri="{FF2B5EF4-FFF2-40B4-BE49-F238E27FC236}">
              <a16:creationId xmlns:a16="http://schemas.microsoft.com/office/drawing/2014/main" id="{00000000-0008-0000-2100-000080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17" name="Shape 3">
          <a:extLst>
            <a:ext uri="{FF2B5EF4-FFF2-40B4-BE49-F238E27FC236}">
              <a16:creationId xmlns:a16="http://schemas.microsoft.com/office/drawing/2014/main" id="{00000000-0008-0000-2100-000081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18" name="Shape 3">
          <a:extLst>
            <a:ext uri="{FF2B5EF4-FFF2-40B4-BE49-F238E27FC236}">
              <a16:creationId xmlns:a16="http://schemas.microsoft.com/office/drawing/2014/main" id="{00000000-0008-0000-2100-000082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19" name="Shape 3">
          <a:extLst>
            <a:ext uri="{FF2B5EF4-FFF2-40B4-BE49-F238E27FC236}">
              <a16:creationId xmlns:a16="http://schemas.microsoft.com/office/drawing/2014/main" id="{00000000-0008-0000-2100-000083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20" name="Shape 3">
          <a:extLst>
            <a:ext uri="{FF2B5EF4-FFF2-40B4-BE49-F238E27FC236}">
              <a16:creationId xmlns:a16="http://schemas.microsoft.com/office/drawing/2014/main" id="{00000000-0008-0000-2100-000084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21" name="Shape 3">
          <a:extLst>
            <a:ext uri="{FF2B5EF4-FFF2-40B4-BE49-F238E27FC236}">
              <a16:creationId xmlns:a16="http://schemas.microsoft.com/office/drawing/2014/main" id="{00000000-0008-0000-2100-000085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22" name="Shape 3">
          <a:extLst>
            <a:ext uri="{FF2B5EF4-FFF2-40B4-BE49-F238E27FC236}">
              <a16:creationId xmlns:a16="http://schemas.microsoft.com/office/drawing/2014/main" id="{00000000-0008-0000-2100-000086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23" name="Shape 3">
          <a:extLst>
            <a:ext uri="{FF2B5EF4-FFF2-40B4-BE49-F238E27FC236}">
              <a16:creationId xmlns:a16="http://schemas.microsoft.com/office/drawing/2014/main" id="{00000000-0008-0000-2100-000087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24" name="Shape 3">
          <a:extLst>
            <a:ext uri="{FF2B5EF4-FFF2-40B4-BE49-F238E27FC236}">
              <a16:creationId xmlns:a16="http://schemas.microsoft.com/office/drawing/2014/main" id="{00000000-0008-0000-2100-000088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25" name="Shape 3">
          <a:extLst>
            <a:ext uri="{FF2B5EF4-FFF2-40B4-BE49-F238E27FC236}">
              <a16:creationId xmlns:a16="http://schemas.microsoft.com/office/drawing/2014/main" id="{00000000-0008-0000-2100-000089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26" name="Shape 3">
          <a:extLst>
            <a:ext uri="{FF2B5EF4-FFF2-40B4-BE49-F238E27FC236}">
              <a16:creationId xmlns:a16="http://schemas.microsoft.com/office/drawing/2014/main" id="{00000000-0008-0000-2100-00008A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27" name="Shape 3">
          <a:extLst>
            <a:ext uri="{FF2B5EF4-FFF2-40B4-BE49-F238E27FC236}">
              <a16:creationId xmlns:a16="http://schemas.microsoft.com/office/drawing/2014/main" id="{00000000-0008-0000-2100-00008B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28" name="Shape 3">
          <a:extLst>
            <a:ext uri="{FF2B5EF4-FFF2-40B4-BE49-F238E27FC236}">
              <a16:creationId xmlns:a16="http://schemas.microsoft.com/office/drawing/2014/main" id="{00000000-0008-0000-2100-00008C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29" name="Shape 3">
          <a:extLst>
            <a:ext uri="{FF2B5EF4-FFF2-40B4-BE49-F238E27FC236}">
              <a16:creationId xmlns:a16="http://schemas.microsoft.com/office/drawing/2014/main" id="{00000000-0008-0000-2100-00008D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30" name="Shape 3">
          <a:extLst>
            <a:ext uri="{FF2B5EF4-FFF2-40B4-BE49-F238E27FC236}">
              <a16:creationId xmlns:a16="http://schemas.microsoft.com/office/drawing/2014/main" id="{00000000-0008-0000-2100-00008E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31" name="Shape 3">
          <a:extLst>
            <a:ext uri="{FF2B5EF4-FFF2-40B4-BE49-F238E27FC236}">
              <a16:creationId xmlns:a16="http://schemas.microsoft.com/office/drawing/2014/main" id="{00000000-0008-0000-2100-00008F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32" name="Shape 3">
          <a:extLst>
            <a:ext uri="{FF2B5EF4-FFF2-40B4-BE49-F238E27FC236}">
              <a16:creationId xmlns:a16="http://schemas.microsoft.com/office/drawing/2014/main" id="{00000000-0008-0000-2100-000090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33" name="Shape 3">
          <a:extLst>
            <a:ext uri="{FF2B5EF4-FFF2-40B4-BE49-F238E27FC236}">
              <a16:creationId xmlns:a16="http://schemas.microsoft.com/office/drawing/2014/main" id="{00000000-0008-0000-2100-000091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34" name="Shape 3">
          <a:extLst>
            <a:ext uri="{FF2B5EF4-FFF2-40B4-BE49-F238E27FC236}">
              <a16:creationId xmlns:a16="http://schemas.microsoft.com/office/drawing/2014/main" id="{00000000-0008-0000-2100-000092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35" name="Shape 3">
          <a:extLst>
            <a:ext uri="{FF2B5EF4-FFF2-40B4-BE49-F238E27FC236}">
              <a16:creationId xmlns:a16="http://schemas.microsoft.com/office/drawing/2014/main" id="{00000000-0008-0000-2100-000093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36" name="Shape 3">
          <a:extLst>
            <a:ext uri="{FF2B5EF4-FFF2-40B4-BE49-F238E27FC236}">
              <a16:creationId xmlns:a16="http://schemas.microsoft.com/office/drawing/2014/main" id="{00000000-0008-0000-2100-000094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37" name="Shape 3">
          <a:extLst>
            <a:ext uri="{FF2B5EF4-FFF2-40B4-BE49-F238E27FC236}">
              <a16:creationId xmlns:a16="http://schemas.microsoft.com/office/drawing/2014/main" id="{00000000-0008-0000-2100-000095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38" name="Shape 3">
          <a:extLst>
            <a:ext uri="{FF2B5EF4-FFF2-40B4-BE49-F238E27FC236}">
              <a16:creationId xmlns:a16="http://schemas.microsoft.com/office/drawing/2014/main" id="{00000000-0008-0000-2100-000096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39" name="Shape 3">
          <a:extLst>
            <a:ext uri="{FF2B5EF4-FFF2-40B4-BE49-F238E27FC236}">
              <a16:creationId xmlns:a16="http://schemas.microsoft.com/office/drawing/2014/main" id="{00000000-0008-0000-2100-000097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40" name="Shape 3">
          <a:extLst>
            <a:ext uri="{FF2B5EF4-FFF2-40B4-BE49-F238E27FC236}">
              <a16:creationId xmlns:a16="http://schemas.microsoft.com/office/drawing/2014/main" id="{00000000-0008-0000-2100-000098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41" name="Shape 3">
          <a:extLst>
            <a:ext uri="{FF2B5EF4-FFF2-40B4-BE49-F238E27FC236}">
              <a16:creationId xmlns:a16="http://schemas.microsoft.com/office/drawing/2014/main" id="{00000000-0008-0000-2100-000099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42" name="Shape 3">
          <a:extLst>
            <a:ext uri="{FF2B5EF4-FFF2-40B4-BE49-F238E27FC236}">
              <a16:creationId xmlns:a16="http://schemas.microsoft.com/office/drawing/2014/main" id="{00000000-0008-0000-2100-00009A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43" name="Shape 3">
          <a:extLst>
            <a:ext uri="{FF2B5EF4-FFF2-40B4-BE49-F238E27FC236}">
              <a16:creationId xmlns:a16="http://schemas.microsoft.com/office/drawing/2014/main" id="{00000000-0008-0000-2100-00009B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44" name="Shape 3">
          <a:extLst>
            <a:ext uri="{FF2B5EF4-FFF2-40B4-BE49-F238E27FC236}">
              <a16:creationId xmlns:a16="http://schemas.microsoft.com/office/drawing/2014/main" id="{00000000-0008-0000-2100-00009C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45" name="Shape 3">
          <a:extLst>
            <a:ext uri="{FF2B5EF4-FFF2-40B4-BE49-F238E27FC236}">
              <a16:creationId xmlns:a16="http://schemas.microsoft.com/office/drawing/2014/main" id="{00000000-0008-0000-2100-00009D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46" name="Shape 3">
          <a:extLst>
            <a:ext uri="{FF2B5EF4-FFF2-40B4-BE49-F238E27FC236}">
              <a16:creationId xmlns:a16="http://schemas.microsoft.com/office/drawing/2014/main" id="{00000000-0008-0000-2100-00009E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47" name="Shape 3">
          <a:extLst>
            <a:ext uri="{FF2B5EF4-FFF2-40B4-BE49-F238E27FC236}">
              <a16:creationId xmlns:a16="http://schemas.microsoft.com/office/drawing/2014/main" id="{00000000-0008-0000-2100-00009F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48" name="Shape 3">
          <a:extLst>
            <a:ext uri="{FF2B5EF4-FFF2-40B4-BE49-F238E27FC236}">
              <a16:creationId xmlns:a16="http://schemas.microsoft.com/office/drawing/2014/main" id="{00000000-0008-0000-2100-0000A0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049" name="Shape 3">
          <a:extLst>
            <a:ext uri="{FF2B5EF4-FFF2-40B4-BE49-F238E27FC236}">
              <a16:creationId xmlns:a16="http://schemas.microsoft.com/office/drawing/2014/main" id="{00000000-0008-0000-2100-0000A19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50" name="Shape 3">
          <a:extLst>
            <a:ext uri="{FF2B5EF4-FFF2-40B4-BE49-F238E27FC236}">
              <a16:creationId xmlns:a16="http://schemas.microsoft.com/office/drawing/2014/main" id="{00000000-0008-0000-2100-0000A2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51" name="Shape 3">
          <a:extLst>
            <a:ext uri="{FF2B5EF4-FFF2-40B4-BE49-F238E27FC236}">
              <a16:creationId xmlns:a16="http://schemas.microsoft.com/office/drawing/2014/main" id="{00000000-0008-0000-2100-0000A3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52" name="Shape 3">
          <a:extLst>
            <a:ext uri="{FF2B5EF4-FFF2-40B4-BE49-F238E27FC236}">
              <a16:creationId xmlns:a16="http://schemas.microsoft.com/office/drawing/2014/main" id="{00000000-0008-0000-2100-0000A4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53" name="Shape 3">
          <a:extLst>
            <a:ext uri="{FF2B5EF4-FFF2-40B4-BE49-F238E27FC236}">
              <a16:creationId xmlns:a16="http://schemas.microsoft.com/office/drawing/2014/main" id="{00000000-0008-0000-2100-0000A5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54" name="Shape 3">
          <a:extLst>
            <a:ext uri="{FF2B5EF4-FFF2-40B4-BE49-F238E27FC236}">
              <a16:creationId xmlns:a16="http://schemas.microsoft.com/office/drawing/2014/main" id="{00000000-0008-0000-2100-0000A6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55" name="Shape 3">
          <a:extLst>
            <a:ext uri="{FF2B5EF4-FFF2-40B4-BE49-F238E27FC236}">
              <a16:creationId xmlns:a16="http://schemas.microsoft.com/office/drawing/2014/main" id="{00000000-0008-0000-2100-0000A7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56" name="Shape 3">
          <a:extLst>
            <a:ext uri="{FF2B5EF4-FFF2-40B4-BE49-F238E27FC236}">
              <a16:creationId xmlns:a16="http://schemas.microsoft.com/office/drawing/2014/main" id="{00000000-0008-0000-2100-0000A8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57" name="Shape 3">
          <a:extLst>
            <a:ext uri="{FF2B5EF4-FFF2-40B4-BE49-F238E27FC236}">
              <a16:creationId xmlns:a16="http://schemas.microsoft.com/office/drawing/2014/main" id="{00000000-0008-0000-2100-0000A9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58" name="Shape 3">
          <a:extLst>
            <a:ext uri="{FF2B5EF4-FFF2-40B4-BE49-F238E27FC236}">
              <a16:creationId xmlns:a16="http://schemas.microsoft.com/office/drawing/2014/main" id="{00000000-0008-0000-2100-0000AA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59" name="Shape 3">
          <a:extLst>
            <a:ext uri="{FF2B5EF4-FFF2-40B4-BE49-F238E27FC236}">
              <a16:creationId xmlns:a16="http://schemas.microsoft.com/office/drawing/2014/main" id="{00000000-0008-0000-2100-0000AB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60" name="Shape 3">
          <a:extLst>
            <a:ext uri="{FF2B5EF4-FFF2-40B4-BE49-F238E27FC236}">
              <a16:creationId xmlns:a16="http://schemas.microsoft.com/office/drawing/2014/main" id="{00000000-0008-0000-2100-0000AC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61" name="Shape 3">
          <a:extLst>
            <a:ext uri="{FF2B5EF4-FFF2-40B4-BE49-F238E27FC236}">
              <a16:creationId xmlns:a16="http://schemas.microsoft.com/office/drawing/2014/main" id="{00000000-0008-0000-2100-0000AD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62" name="Shape 3">
          <a:extLst>
            <a:ext uri="{FF2B5EF4-FFF2-40B4-BE49-F238E27FC236}">
              <a16:creationId xmlns:a16="http://schemas.microsoft.com/office/drawing/2014/main" id="{00000000-0008-0000-2100-0000AE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63" name="Shape 3">
          <a:extLst>
            <a:ext uri="{FF2B5EF4-FFF2-40B4-BE49-F238E27FC236}">
              <a16:creationId xmlns:a16="http://schemas.microsoft.com/office/drawing/2014/main" id="{00000000-0008-0000-2100-0000AF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64" name="Shape 3">
          <a:extLst>
            <a:ext uri="{FF2B5EF4-FFF2-40B4-BE49-F238E27FC236}">
              <a16:creationId xmlns:a16="http://schemas.microsoft.com/office/drawing/2014/main" id="{00000000-0008-0000-2100-0000B0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65" name="Shape 3">
          <a:extLst>
            <a:ext uri="{FF2B5EF4-FFF2-40B4-BE49-F238E27FC236}">
              <a16:creationId xmlns:a16="http://schemas.microsoft.com/office/drawing/2014/main" id="{00000000-0008-0000-2100-0000B1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66" name="Shape 3">
          <a:extLst>
            <a:ext uri="{FF2B5EF4-FFF2-40B4-BE49-F238E27FC236}">
              <a16:creationId xmlns:a16="http://schemas.microsoft.com/office/drawing/2014/main" id="{00000000-0008-0000-2100-0000B2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8067" name="Shape 4">
          <a:extLst>
            <a:ext uri="{FF2B5EF4-FFF2-40B4-BE49-F238E27FC236}">
              <a16:creationId xmlns:a16="http://schemas.microsoft.com/office/drawing/2014/main" id="{00000000-0008-0000-2100-0000B394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8068" name="Shape 4">
          <a:extLst>
            <a:ext uri="{FF2B5EF4-FFF2-40B4-BE49-F238E27FC236}">
              <a16:creationId xmlns:a16="http://schemas.microsoft.com/office/drawing/2014/main" id="{00000000-0008-0000-2100-0000B494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69" name="Shape 3">
          <a:extLst>
            <a:ext uri="{FF2B5EF4-FFF2-40B4-BE49-F238E27FC236}">
              <a16:creationId xmlns:a16="http://schemas.microsoft.com/office/drawing/2014/main" id="{00000000-0008-0000-2100-0000B5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70" name="Shape 3">
          <a:extLst>
            <a:ext uri="{FF2B5EF4-FFF2-40B4-BE49-F238E27FC236}">
              <a16:creationId xmlns:a16="http://schemas.microsoft.com/office/drawing/2014/main" id="{00000000-0008-0000-2100-0000B6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71" name="Shape 3">
          <a:extLst>
            <a:ext uri="{FF2B5EF4-FFF2-40B4-BE49-F238E27FC236}">
              <a16:creationId xmlns:a16="http://schemas.microsoft.com/office/drawing/2014/main" id="{00000000-0008-0000-2100-0000B7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72" name="Shape 3">
          <a:extLst>
            <a:ext uri="{FF2B5EF4-FFF2-40B4-BE49-F238E27FC236}">
              <a16:creationId xmlns:a16="http://schemas.microsoft.com/office/drawing/2014/main" id="{00000000-0008-0000-2100-0000B8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73" name="Shape 3">
          <a:extLst>
            <a:ext uri="{FF2B5EF4-FFF2-40B4-BE49-F238E27FC236}">
              <a16:creationId xmlns:a16="http://schemas.microsoft.com/office/drawing/2014/main" id="{00000000-0008-0000-2100-0000B9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74" name="Shape 3">
          <a:extLst>
            <a:ext uri="{FF2B5EF4-FFF2-40B4-BE49-F238E27FC236}">
              <a16:creationId xmlns:a16="http://schemas.microsoft.com/office/drawing/2014/main" id="{00000000-0008-0000-2100-0000BA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75" name="Shape 3">
          <a:extLst>
            <a:ext uri="{FF2B5EF4-FFF2-40B4-BE49-F238E27FC236}">
              <a16:creationId xmlns:a16="http://schemas.microsoft.com/office/drawing/2014/main" id="{00000000-0008-0000-2100-0000BB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076" name="Shape 3">
          <a:extLst>
            <a:ext uri="{FF2B5EF4-FFF2-40B4-BE49-F238E27FC236}">
              <a16:creationId xmlns:a16="http://schemas.microsoft.com/office/drawing/2014/main" id="{00000000-0008-0000-2100-0000BC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77" name="Shape 3">
          <a:extLst>
            <a:ext uri="{FF2B5EF4-FFF2-40B4-BE49-F238E27FC236}">
              <a16:creationId xmlns:a16="http://schemas.microsoft.com/office/drawing/2014/main" id="{00000000-0008-0000-2100-0000BD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78" name="Shape 3">
          <a:extLst>
            <a:ext uri="{FF2B5EF4-FFF2-40B4-BE49-F238E27FC236}">
              <a16:creationId xmlns:a16="http://schemas.microsoft.com/office/drawing/2014/main" id="{00000000-0008-0000-2100-0000BE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79" name="Shape 3">
          <a:extLst>
            <a:ext uri="{FF2B5EF4-FFF2-40B4-BE49-F238E27FC236}">
              <a16:creationId xmlns:a16="http://schemas.microsoft.com/office/drawing/2014/main" id="{00000000-0008-0000-2100-0000BF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80" name="Shape 3">
          <a:extLst>
            <a:ext uri="{FF2B5EF4-FFF2-40B4-BE49-F238E27FC236}">
              <a16:creationId xmlns:a16="http://schemas.microsoft.com/office/drawing/2014/main" id="{00000000-0008-0000-2100-0000C0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81" name="Shape 3">
          <a:extLst>
            <a:ext uri="{FF2B5EF4-FFF2-40B4-BE49-F238E27FC236}">
              <a16:creationId xmlns:a16="http://schemas.microsoft.com/office/drawing/2014/main" id="{00000000-0008-0000-2100-0000C1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82" name="Shape 3">
          <a:extLst>
            <a:ext uri="{FF2B5EF4-FFF2-40B4-BE49-F238E27FC236}">
              <a16:creationId xmlns:a16="http://schemas.microsoft.com/office/drawing/2014/main" id="{00000000-0008-0000-2100-0000C2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83" name="Shape 3">
          <a:extLst>
            <a:ext uri="{FF2B5EF4-FFF2-40B4-BE49-F238E27FC236}">
              <a16:creationId xmlns:a16="http://schemas.microsoft.com/office/drawing/2014/main" id="{00000000-0008-0000-2100-0000C3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84" name="Shape 3">
          <a:extLst>
            <a:ext uri="{FF2B5EF4-FFF2-40B4-BE49-F238E27FC236}">
              <a16:creationId xmlns:a16="http://schemas.microsoft.com/office/drawing/2014/main" id="{00000000-0008-0000-2100-0000C4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85" name="Shape 3">
          <a:extLst>
            <a:ext uri="{FF2B5EF4-FFF2-40B4-BE49-F238E27FC236}">
              <a16:creationId xmlns:a16="http://schemas.microsoft.com/office/drawing/2014/main" id="{00000000-0008-0000-2100-0000C5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86" name="Shape 3">
          <a:extLst>
            <a:ext uri="{FF2B5EF4-FFF2-40B4-BE49-F238E27FC236}">
              <a16:creationId xmlns:a16="http://schemas.microsoft.com/office/drawing/2014/main" id="{00000000-0008-0000-2100-0000C6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87" name="Shape 3">
          <a:extLst>
            <a:ext uri="{FF2B5EF4-FFF2-40B4-BE49-F238E27FC236}">
              <a16:creationId xmlns:a16="http://schemas.microsoft.com/office/drawing/2014/main" id="{00000000-0008-0000-2100-0000C7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88" name="Shape 3">
          <a:extLst>
            <a:ext uri="{FF2B5EF4-FFF2-40B4-BE49-F238E27FC236}">
              <a16:creationId xmlns:a16="http://schemas.microsoft.com/office/drawing/2014/main" id="{00000000-0008-0000-2100-0000C8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89" name="Shape 3">
          <a:extLst>
            <a:ext uri="{FF2B5EF4-FFF2-40B4-BE49-F238E27FC236}">
              <a16:creationId xmlns:a16="http://schemas.microsoft.com/office/drawing/2014/main" id="{00000000-0008-0000-2100-0000C9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90" name="Shape 3">
          <a:extLst>
            <a:ext uri="{FF2B5EF4-FFF2-40B4-BE49-F238E27FC236}">
              <a16:creationId xmlns:a16="http://schemas.microsoft.com/office/drawing/2014/main" id="{00000000-0008-0000-2100-0000CA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91" name="Shape 3">
          <a:extLst>
            <a:ext uri="{FF2B5EF4-FFF2-40B4-BE49-F238E27FC236}">
              <a16:creationId xmlns:a16="http://schemas.microsoft.com/office/drawing/2014/main" id="{00000000-0008-0000-2100-0000CB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92" name="Shape 3">
          <a:extLst>
            <a:ext uri="{FF2B5EF4-FFF2-40B4-BE49-F238E27FC236}">
              <a16:creationId xmlns:a16="http://schemas.microsoft.com/office/drawing/2014/main" id="{00000000-0008-0000-2100-0000CC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93" name="Shape 3">
          <a:extLst>
            <a:ext uri="{FF2B5EF4-FFF2-40B4-BE49-F238E27FC236}">
              <a16:creationId xmlns:a16="http://schemas.microsoft.com/office/drawing/2014/main" id="{00000000-0008-0000-2100-0000CD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94" name="Shape 3">
          <a:extLst>
            <a:ext uri="{FF2B5EF4-FFF2-40B4-BE49-F238E27FC236}">
              <a16:creationId xmlns:a16="http://schemas.microsoft.com/office/drawing/2014/main" id="{00000000-0008-0000-2100-0000CE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95" name="Shape 3">
          <a:extLst>
            <a:ext uri="{FF2B5EF4-FFF2-40B4-BE49-F238E27FC236}">
              <a16:creationId xmlns:a16="http://schemas.microsoft.com/office/drawing/2014/main" id="{00000000-0008-0000-2100-0000CF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96" name="Shape 3">
          <a:extLst>
            <a:ext uri="{FF2B5EF4-FFF2-40B4-BE49-F238E27FC236}">
              <a16:creationId xmlns:a16="http://schemas.microsoft.com/office/drawing/2014/main" id="{00000000-0008-0000-2100-0000D0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97" name="Shape 3">
          <a:extLst>
            <a:ext uri="{FF2B5EF4-FFF2-40B4-BE49-F238E27FC236}">
              <a16:creationId xmlns:a16="http://schemas.microsoft.com/office/drawing/2014/main" id="{00000000-0008-0000-2100-0000D1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98" name="Shape 3">
          <a:extLst>
            <a:ext uri="{FF2B5EF4-FFF2-40B4-BE49-F238E27FC236}">
              <a16:creationId xmlns:a16="http://schemas.microsoft.com/office/drawing/2014/main" id="{00000000-0008-0000-2100-0000D2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099" name="Shape 3">
          <a:extLst>
            <a:ext uri="{FF2B5EF4-FFF2-40B4-BE49-F238E27FC236}">
              <a16:creationId xmlns:a16="http://schemas.microsoft.com/office/drawing/2014/main" id="{00000000-0008-0000-2100-0000D3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100" name="Shape 3">
          <a:extLst>
            <a:ext uri="{FF2B5EF4-FFF2-40B4-BE49-F238E27FC236}">
              <a16:creationId xmlns:a16="http://schemas.microsoft.com/office/drawing/2014/main" id="{00000000-0008-0000-2100-0000D4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101" name="Shape 3">
          <a:extLst>
            <a:ext uri="{FF2B5EF4-FFF2-40B4-BE49-F238E27FC236}">
              <a16:creationId xmlns:a16="http://schemas.microsoft.com/office/drawing/2014/main" id="{00000000-0008-0000-2100-0000D5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102" name="Shape 3">
          <a:extLst>
            <a:ext uri="{FF2B5EF4-FFF2-40B4-BE49-F238E27FC236}">
              <a16:creationId xmlns:a16="http://schemas.microsoft.com/office/drawing/2014/main" id="{00000000-0008-0000-2100-0000D6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103" name="Shape 3">
          <a:extLst>
            <a:ext uri="{FF2B5EF4-FFF2-40B4-BE49-F238E27FC236}">
              <a16:creationId xmlns:a16="http://schemas.microsoft.com/office/drawing/2014/main" id="{00000000-0008-0000-2100-0000D7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104" name="Shape 3">
          <a:extLst>
            <a:ext uri="{FF2B5EF4-FFF2-40B4-BE49-F238E27FC236}">
              <a16:creationId xmlns:a16="http://schemas.microsoft.com/office/drawing/2014/main" id="{00000000-0008-0000-2100-0000D8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105" name="Shape 3">
          <a:extLst>
            <a:ext uri="{FF2B5EF4-FFF2-40B4-BE49-F238E27FC236}">
              <a16:creationId xmlns:a16="http://schemas.microsoft.com/office/drawing/2014/main" id="{00000000-0008-0000-2100-0000D9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106" name="Shape 3">
          <a:extLst>
            <a:ext uri="{FF2B5EF4-FFF2-40B4-BE49-F238E27FC236}">
              <a16:creationId xmlns:a16="http://schemas.microsoft.com/office/drawing/2014/main" id="{00000000-0008-0000-2100-0000DA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107" name="Shape 3">
          <a:extLst>
            <a:ext uri="{FF2B5EF4-FFF2-40B4-BE49-F238E27FC236}">
              <a16:creationId xmlns:a16="http://schemas.microsoft.com/office/drawing/2014/main" id="{00000000-0008-0000-2100-0000DB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108" name="Shape 3">
          <a:extLst>
            <a:ext uri="{FF2B5EF4-FFF2-40B4-BE49-F238E27FC236}">
              <a16:creationId xmlns:a16="http://schemas.microsoft.com/office/drawing/2014/main" id="{00000000-0008-0000-2100-0000DC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109" name="Shape 3">
          <a:extLst>
            <a:ext uri="{FF2B5EF4-FFF2-40B4-BE49-F238E27FC236}">
              <a16:creationId xmlns:a16="http://schemas.microsoft.com/office/drawing/2014/main" id="{00000000-0008-0000-2100-0000DD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110" name="Shape 3">
          <a:extLst>
            <a:ext uri="{FF2B5EF4-FFF2-40B4-BE49-F238E27FC236}">
              <a16:creationId xmlns:a16="http://schemas.microsoft.com/office/drawing/2014/main" id="{00000000-0008-0000-2100-0000DE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111" name="Shape 3">
          <a:extLst>
            <a:ext uri="{FF2B5EF4-FFF2-40B4-BE49-F238E27FC236}">
              <a16:creationId xmlns:a16="http://schemas.microsoft.com/office/drawing/2014/main" id="{00000000-0008-0000-2100-0000DF9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24" name="Shape 3">
          <a:extLst>
            <a:ext uri="{FF2B5EF4-FFF2-40B4-BE49-F238E27FC236}">
              <a16:creationId xmlns:a16="http://schemas.microsoft.com/office/drawing/2014/main" id="{00000000-0008-0000-2200-0000E8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25" name="Shape 3">
          <a:extLst>
            <a:ext uri="{FF2B5EF4-FFF2-40B4-BE49-F238E27FC236}">
              <a16:creationId xmlns:a16="http://schemas.microsoft.com/office/drawing/2014/main" id="{00000000-0008-0000-2200-0000E9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26" name="Shape 3">
          <a:extLst>
            <a:ext uri="{FF2B5EF4-FFF2-40B4-BE49-F238E27FC236}">
              <a16:creationId xmlns:a16="http://schemas.microsoft.com/office/drawing/2014/main" id="{00000000-0008-0000-2200-0000EA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27" name="Shape 3">
          <a:extLst>
            <a:ext uri="{FF2B5EF4-FFF2-40B4-BE49-F238E27FC236}">
              <a16:creationId xmlns:a16="http://schemas.microsoft.com/office/drawing/2014/main" id="{00000000-0008-0000-2200-0000EB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28" name="Shape 3">
          <a:extLst>
            <a:ext uri="{FF2B5EF4-FFF2-40B4-BE49-F238E27FC236}">
              <a16:creationId xmlns:a16="http://schemas.microsoft.com/office/drawing/2014/main" id="{00000000-0008-0000-2200-0000EC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29" name="Shape 3">
          <a:extLst>
            <a:ext uri="{FF2B5EF4-FFF2-40B4-BE49-F238E27FC236}">
              <a16:creationId xmlns:a16="http://schemas.microsoft.com/office/drawing/2014/main" id="{00000000-0008-0000-2200-0000ED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30" name="Shape 3">
          <a:extLst>
            <a:ext uri="{FF2B5EF4-FFF2-40B4-BE49-F238E27FC236}">
              <a16:creationId xmlns:a16="http://schemas.microsoft.com/office/drawing/2014/main" id="{00000000-0008-0000-2200-0000EE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31" name="Shape 3">
          <a:extLst>
            <a:ext uri="{FF2B5EF4-FFF2-40B4-BE49-F238E27FC236}">
              <a16:creationId xmlns:a16="http://schemas.microsoft.com/office/drawing/2014/main" id="{00000000-0008-0000-2200-0000EF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32" name="Shape 3">
          <a:extLst>
            <a:ext uri="{FF2B5EF4-FFF2-40B4-BE49-F238E27FC236}">
              <a16:creationId xmlns:a16="http://schemas.microsoft.com/office/drawing/2014/main" id="{00000000-0008-0000-2200-0000F0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33" name="Shape 3">
          <a:extLst>
            <a:ext uri="{FF2B5EF4-FFF2-40B4-BE49-F238E27FC236}">
              <a16:creationId xmlns:a16="http://schemas.microsoft.com/office/drawing/2014/main" id="{00000000-0008-0000-2200-0000F1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34" name="Shape 3">
          <a:extLst>
            <a:ext uri="{FF2B5EF4-FFF2-40B4-BE49-F238E27FC236}">
              <a16:creationId xmlns:a16="http://schemas.microsoft.com/office/drawing/2014/main" id="{00000000-0008-0000-2200-0000F2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35" name="Shape 3">
          <a:extLst>
            <a:ext uri="{FF2B5EF4-FFF2-40B4-BE49-F238E27FC236}">
              <a16:creationId xmlns:a16="http://schemas.microsoft.com/office/drawing/2014/main" id="{00000000-0008-0000-2200-0000F3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36" name="Shape 3">
          <a:extLst>
            <a:ext uri="{FF2B5EF4-FFF2-40B4-BE49-F238E27FC236}">
              <a16:creationId xmlns:a16="http://schemas.microsoft.com/office/drawing/2014/main" id="{00000000-0008-0000-2200-0000F4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37" name="Shape 3">
          <a:extLst>
            <a:ext uri="{FF2B5EF4-FFF2-40B4-BE49-F238E27FC236}">
              <a16:creationId xmlns:a16="http://schemas.microsoft.com/office/drawing/2014/main" id="{00000000-0008-0000-2200-0000F5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38" name="Shape 3">
          <a:extLst>
            <a:ext uri="{FF2B5EF4-FFF2-40B4-BE49-F238E27FC236}">
              <a16:creationId xmlns:a16="http://schemas.microsoft.com/office/drawing/2014/main" id="{00000000-0008-0000-2200-0000F6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39" name="Shape 3">
          <a:extLst>
            <a:ext uri="{FF2B5EF4-FFF2-40B4-BE49-F238E27FC236}">
              <a16:creationId xmlns:a16="http://schemas.microsoft.com/office/drawing/2014/main" id="{00000000-0008-0000-2200-0000F7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40" name="Shape 3">
          <a:extLst>
            <a:ext uri="{FF2B5EF4-FFF2-40B4-BE49-F238E27FC236}">
              <a16:creationId xmlns:a16="http://schemas.microsoft.com/office/drawing/2014/main" id="{00000000-0008-0000-2200-0000F8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7641" name="Shape 4">
          <a:extLst>
            <a:ext uri="{FF2B5EF4-FFF2-40B4-BE49-F238E27FC236}">
              <a16:creationId xmlns:a16="http://schemas.microsoft.com/office/drawing/2014/main" id="{00000000-0008-0000-2200-0000F96B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7642" name="Shape 4">
          <a:extLst>
            <a:ext uri="{FF2B5EF4-FFF2-40B4-BE49-F238E27FC236}">
              <a16:creationId xmlns:a16="http://schemas.microsoft.com/office/drawing/2014/main" id="{00000000-0008-0000-2200-0000FA6B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43" name="Shape 3">
          <a:extLst>
            <a:ext uri="{FF2B5EF4-FFF2-40B4-BE49-F238E27FC236}">
              <a16:creationId xmlns:a16="http://schemas.microsoft.com/office/drawing/2014/main" id="{00000000-0008-0000-2200-0000FB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44" name="Shape 3">
          <a:extLst>
            <a:ext uri="{FF2B5EF4-FFF2-40B4-BE49-F238E27FC236}">
              <a16:creationId xmlns:a16="http://schemas.microsoft.com/office/drawing/2014/main" id="{00000000-0008-0000-2200-0000FC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45" name="Shape 3">
          <a:extLst>
            <a:ext uri="{FF2B5EF4-FFF2-40B4-BE49-F238E27FC236}">
              <a16:creationId xmlns:a16="http://schemas.microsoft.com/office/drawing/2014/main" id="{00000000-0008-0000-2200-0000FD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46" name="Shape 3">
          <a:extLst>
            <a:ext uri="{FF2B5EF4-FFF2-40B4-BE49-F238E27FC236}">
              <a16:creationId xmlns:a16="http://schemas.microsoft.com/office/drawing/2014/main" id="{00000000-0008-0000-2200-0000FE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47" name="Shape 3">
          <a:extLst>
            <a:ext uri="{FF2B5EF4-FFF2-40B4-BE49-F238E27FC236}">
              <a16:creationId xmlns:a16="http://schemas.microsoft.com/office/drawing/2014/main" id="{00000000-0008-0000-2200-0000FF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48" name="Shape 3">
          <a:extLst>
            <a:ext uri="{FF2B5EF4-FFF2-40B4-BE49-F238E27FC236}">
              <a16:creationId xmlns:a16="http://schemas.microsoft.com/office/drawing/2014/main" id="{00000000-0008-0000-2200-000000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49" name="Shape 3">
          <a:extLst>
            <a:ext uri="{FF2B5EF4-FFF2-40B4-BE49-F238E27FC236}">
              <a16:creationId xmlns:a16="http://schemas.microsoft.com/office/drawing/2014/main" id="{00000000-0008-0000-2200-000001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650" name="Shape 3">
          <a:extLst>
            <a:ext uri="{FF2B5EF4-FFF2-40B4-BE49-F238E27FC236}">
              <a16:creationId xmlns:a16="http://schemas.microsoft.com/office/drawing/2014/main" id="{00000000-0008-0000-2200-000002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51" name="Shape 3">
          <a:extLst>
            <a:ext uri="{FF2B5EF4-FFF2-40B4-BE49-F238E27FC236}">
              <a16:creationId xmlns:a16="http://schemas.microsoft.com/office/drawing/2014/main" id="{00000000-0008-0000-2200-000003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52" name="Shape 3">
          <a:extLst>
            <a:ext uri="{FF2B5EF4-FFF2-40B4-BE49-F238E27FC236}">
              <a16:creationId xmlns:a16="http://schemas.microsoft.com/office/drawing/2014/main" id="{00000000-0008-0000-2200-000004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53" name="Shape 3">
          <a:extLst>
            <a:ext uri="{FF2B5EF4-FFF2-40B4-BE49-F238E27FC236}">
              <a16:creationId xmlns:a16="http://schemas.microsoft.com/office/drawing/2014/main" id="{00000000-0008-0000-2200-000005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54" name="Shape 3">
          <a:extLst>
            <a:ext uri="{FF2B5EF4-FFF2-40B4-BE49-F238E27FC236}">
              <a16:creationId xmlns:a16="http://schemas.microsoft.com/office/drawing/2014/main" id="{00000000-0008-0000-2200-000006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55" name="Shape 3">
          <a:extLst>
            <a:ext uri="{FF2B5EF4-FFF2-40B4-BE49-F238E27FC236}">
              <a16:creationId xmlns:a16="http://schemas.microsoft.com/office/drawing/2014/main" id="{00000000-0008-0000-2200-000007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56" name="Shape 3">
          <a:extLst>
            <a:ext uri="{FF2B5EF4-FFF2-40B4-BE49-F238E27FC236}">
              <a16:creationId xmlns:a16="http://schemas.microsoft.com/office/drawing/2014/main" id="{00000000-0008-0000-2200-000008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57" name="Shape 3">
          <a:extLst>
            <a:ext uri="{FF2B5EF4-FFF2-40B4-BE49-F238E27FC236}">
              <a16:creationId xmlns:a16="http://schemas.microsoft.com/office/drawing/2014/main" id="{00000000-0008-0000-2200-000009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58" name="Shape 3">
          <a:extLst>
            <a:ext uri="{FF2B5EF4-FFF2-40B4-BE49-F238E27FC236}">
              <a16:creationId xmlns:a16="http://schemas.microsoft.com/office/drawing/2014/main" id="{00000000-0008-0000-2200-00000A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59" name="Shape 3">
          <a:extLst>
            <a:ext uri="{FF2B5EF4-FFF2-40B4-BE49-F238E27FC236}">
              <a16:creationId xmlns:a16="http://schemas.microsoft.com/office/drawing/2014/main" id="{00000000-0008-0000-2200-00000B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60" name="Shape 3">
          <a:extLst>
            <a:ext uri="{FF2B5EF4-FFF2-40B4-BE49-F238E27FC236}">
              <a16:creationId xmlns:a16="http://schemas.microsoft.com/office/drawing/2014/main" id="{00000000-0008-0000-2200-00000C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61" name="Shape 3">
          <a:extLst>
            <a:ext uri="{FF2B5EF4-FFF2-40B4-BE49-F238E27FC236}">
              <a16:creationId xmlns:a16="http://schemas.microsoft.com/office/drawing/2014/main" id="{00000000-0008-0000-2200-00000D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62" name="Shape 3">
          <a:extLst>
            <a:ext uri="{FF2B5EF4-FFF2-40B4-BE49-F238E27FC236}">
              <a16:creationId xmlns:a16="http://schemas.microsoft.com/office/drawing/2014/main" id="{00000000-0008-0000-2200-00000E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63" name="Shape 3">
          <a:extLst>
            <a:ext uri="{FF2B5EF4-FFF2-40B4-BE49-F238E27FC236}">
              <a16:creationId xmlns:a16="http://schemas.microsoft.com/office/drawing/2014/main" id="{00000000-0008-0000-2200-00000F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64" name="Shape 3">
          <a:extLst>
            <a:ext uri="{FF2B5EF4-FFF2-40B4-BE49-F238E27FC236}">
              <a16:creationId xmlns:a16="http://schemas.microsoft.com/office/drawing/2014/main" id="{00000000-0008-0000-2200-000010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65" name="Shape 3">
          <a:extLst>
            <a:ext uri="{FF2B5EF4-FFF2-40B4-BE49-F238E27FC236}">
              <a16:creationId xmlns:a16="http://schemas.microsoft.com/office/drawing/2014/main" id="{00000000-0008-0000-2200-000011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66" name="Shape 3">
          <a:extLst>
            <a:ext uri="{FF2B5EF4-FFF2-40B4-BE49-F238E27FC236}">
              <a16:creationId xmlns:a16="http://schemas.microsoft.com/office/drawing/2014/main" id="{00000000-0008-0000-2200-000012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67" name="Shape 3">
          <a:extLst>
            <a:ext uri="{FF2B5EF4-FFF2-40B4-BE49-F238E27FC236}">
              <a16:creationId xmlns:a16="http://schemas.microsoft.com/office/drawing/2014/main" id="{00000000-0008-0000-2200-000013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68" name="Shape 3">
          <a:extLst>
            <a:ext uri="{FF2B5EF4-FFF2-40B4-BE49-F238E27FC236}">
              <a16:creationId xmlns:a16="http://schemas.microsoft.com/office/drawing/2014/main" id="{00000000-0008-0000-2200-000014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69" name="Shape 3">
          <a:extLst>
            <a:ext uri="{FF2B5EF4-FFF2-40B4-BE49-F238E27FC236}">
              <a16:creationId xmlns:a16="http://schemas.microsoft.com/office/drawing/2014/main" id="{00000000-0008-0000-2200-000015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70" name="Shape 3">
          <a:extLst>
            <a:ext uri="{FF2B5EF4-FFF2-40B4-BE49-F238E27FC236}">
              <a16:creationId xmlns:a16="http://schemas.microsoft.com/office/drawing/2014/main" id="{00000000-0008-0000-2200-000016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71" name="Shape 3">
          <a:extLst>
            <a:ext uri="{FF2B5EF4-FFF2-40B4-BE49-F238E27FC236}">
              <a16:creationId xmlns:a16="http://schemas.microsoft.com/office/drawing/2014/main" id="{00000000-0008-0000-2200-000017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72" name="Shape 3">
          <a:extLst>
            <a:ext uri="{FF2B5EF4-FFF2-40B4-BE49-F238E27FC236}">
              <a16:creationId xmlns:a16="http://schemas.microsoft.com/office/drawing/2014/main" id="{00000000-0008-0000-2200-000018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73" name="Shape 3">
          <a:extLst>
            <a:ext uri="{FF2B5EF4-FFF2-40B4-BE49-F238E27FC236}">
              <a16:creationId xmlns:a16="http://schemas.microsoft.com/office/drawing/2014/main" id="{00000000-0008-0000-2200-000019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74" name="Shape 3">
          <a:extLst>
            <a:ext uri="{FF2B5EF4-FFF2-40B4-BE49-F238E27FC236}">
              <a16:creationId xmlns:a16="http://schemas.microsoft.com/office/drawing/2014/main" id="{00000000-0008-0000-2200-00001A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75" name="Shape 3">
          <a:extLst>
            <a:ext uri="{FF2B5EF4-FFF2-40B4-BE49-F238E27FC236}">
              <a16:creationId xmlns:a16="http://schemas.microsoft.com/office/drawing/2014/main" id="{00000000-0008-0000-2200-00001B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76" name="Shape 3">
          <a:extLst>
            <a:ext uri="{FF2B5EF4-FFF2-40B4-BE49-F238E27FC236}">
              <a16:creationId xmlns:a16="http://schemas.microsoft.com/office/drawing/2014/main" id="{00000000-0008-0000-2200-00001C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77" name="Shape 3">
          <a:extLst>
            <a:ext uri="{FF2B5EF4-FFF2-40B4-BE49-F238E27FC236}">
              <a16:creationId xmlns:a16="http://schemas.microsoft.com/office/drawing/2014/main" id="{00000000-0008-0000-2200-00001D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78" name="Shape 3">
          <a:extLst>
            <a:ext uri="{FF2B5EF4-FFF2-40B4-BE49-F238E27FC236}">
              <a16:creationId xmlns:a16="http://schemas.microsoft.com/office/drawing/2014/main" id="{00000000-0008-0000-2200-00001E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79" name="Shape 3">
          <a:extLst>
            <a:ext uri="{FF2B5EF4-FFF2-40B4-BE49-F238E27FC236}">
              <a16:creationId xmlns:a16="http://schemas.microsoft.com/office/drawing/2014/main" id="{00000000-0008-0000-2200-00001F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80" name="Shape 3">
          <a:extLst>
            <a:ext uri="{FF2B5EF4-FFF2-40B4-BE49-F238E27FC236}">
              <a16:creationId xmlns:a16="http://schemas.microsoft.com/office/drawing/2014/main" id="{00000000-0008-0000-2200-000020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81" name="Shape 3">
          <a:extLst>
            <a:ext uri="{FF2B5EF4-FFF2-40B4-BE49-F238E27FC236}">
              <a16:creationId xmlns:a16="http://schemas.microsoft.com/office/drawing/2014/main" id="{00000000-0008-0000-2200-000021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82" name="Shape 3">
          <a:extLst>
            <a:ext uri="{FF2B5EF4-FFF2-40B4-BE49-F238E27FC236}">
              <a16:creationId xmlns:a16="http://schemas.microsoft.com/office/drawing/2014/main" id="{00000000-0008-0000-2200-000022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83" name="Shape 3">
          <a:extLst>
            <a:ext uri="{FF2B5EF4-FFF2-40B4-BE49-F238E27FC236}">
              <a16:creationId xmlns:a16="http://schemas.microsoft.com/office/drawing/2014/main" id="{00000000-0008-0000-2200-000023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84" name="Shape 3">
          <a:extLst>
            <a:ext uri="{FF2B5EF4-FFF2-40B4-BE49-F238E27FC236}">
              <a16:creationId xmlns:a16="http://schemas.microsoft.com/office/drawing/2014/main" id="{00000000-0008-0000-2200-000024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685" name="Shape 3">
          <a:extLst>
            <a:ext uri="{FF2B5EF4-FFF2-40B4-BE49-F238E27FC236}">
              <a16:creationId xmlns:a16="http://schemas.microsoft.com/office/drawing/2014/main" id="{00000000-0008-0000-2200-0000256C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686" name="Shape 3">
          <a:extLst>
            <a:ext uri="{FF2B5EF4-FFF2-40B4-BE49-F238E27FC236}">
              <a16:creationId xmlns:a16="http://schemas.microsoft.com/office/drawing/2014/main" id="{00000000-0008-0000-2200-00002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87" name="Shape 3">
          <a:extLst>
            <a:ext uri="{FF2B5EF4-FFF2-40B4-BE49-F238E27FC236}">
              <a16:creationId xmlns:a16="http://schemas.microsoft.com/office/drawing/2014/main" id="{00000000-0008-0000-2200-000027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88" name="Shape 3">
          <a:extLst>
            <a:ext uri="{FF2B5EF4-FFF2-40B4-BE49-F238E27FC236}">
              <a16:creationId xmlns:a16="http://schemas.microsoft.com/office/drawing/2014/main" id="{00000000-0008-0000-2200-000028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89" name="Shape 3">
          <a:extLst>
            <a:ext uri="{FF2B5EF4-FFF2-40B4-BE49-F238E27FC236}">
              <a16:creationId xmlns:a16="http://schemas.microsoft.com/office/drawing/2014/main" id="{00000000-0008-0000-2200-00002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0" name="Shape 3">
          <a:extLst>
            <a:ext uri="{FF2B5EF4-FFF2-40B4-BE49-F238E27FC236}">
              <a16:creationId xmlns:a16="http://schemas.microsoft.com/office/drawing/2014/main" id="{00000000-0008-0000-2200-00002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1" name="Shape 3">
          <a:extLst>
            <a:ext uri="{FF2B5EF4-FFF2-40B4-BE49-F238E27FC236}">
              <a16:creationId xmlns:a16="http://schemas.microsoft.com/office/drawing/2014/main" id="{00000000-0008-0000-2200-00002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2" name="Shape 3">
          <a:extLst>
            <a:ext uri="{FF2B5EF4-FFF2-40B4-BE49-F238E27FC236}">
              <a16:creationId xmlns:a16="http://schemas.microsoft.com/office/drawing/2014/main" id="{00000000-0008-0000-2200-00002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3" name="Shape 3">
          <a:extLst>
            <a:ext uri="{FF2B5EF4-FFF2-40B4-BE49-F238E27FC236}">
              <a16:creationId xmlns:a16="http://schemas.microsoft.com/office/drawing/2014/main" id="{00000000-0008-0000-2200-00002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4" name="Shape 3">
          <a:extLst>
            <a:ext uri="{FF2B5EF4-FFF2-40B4-BE49-F238E27FC236}">
              <a16:creationId xmlns:a16="http://schemas.microsoft.com/office/drawing/2014/main" id="{00000000-0008-0000-2200-00002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5" name="Shape 3">
          <a:extLst>
            <a:ext uri="{FF2B5EF4-FFF2-40B4-BE49-F238E27FC236}">
              <a16:creationId xmlns:a16="http://schemas.microsoft.com/office/drawing/2014/main" id="{00000000-0008-0000-2200-00002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6" name="Shape 3">
          <a:extLst>
            <a:ext uri="{FF2B5EF4-FFF2-40B4-BE49-F238E27FC236}">
              <a16:creationId xmlns:a16="http://schemas.microsoft.com/office/drawing/2014/main" id="{00000000-0008-0000-2200-00003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7" name="Shape 3">
          <a:extLst>
            <a:ext uri="{FF2B5EF4-FFF2-40B4-BE49-F238E27FC236}">
              <a16:creationId xmlns:a16="http://schemas.microsoft.com/office/drawing/2014/main" id="{00000000-0008-0000-2200-00003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8" name="Shape 3">
          <a:extLst>
            <a:ext uri="{FF2B5EF4-FFF2-40B4-BE49-F238E27FC236}">
              <a16:creationId xmlns:a16="http://schemas.microsoft.com/office/drawing/2014/main" id="{00000000-0008-0000-2200-00003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9" name="Shape 3">
          <a:extLst>
            <a:ext uri="{FF2B5EF4-FFF2-40B4-BE49-F238E27FC236}">
              <a16:creationId xmlns:a16="http://schemas.microsoft.com/office/drawing/2014/main" id="{00000000-0008-0000-2200-00003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0" name="Shape 3">
          <a:extLst>
            <a:ext uri="{FF2B5EF4-FFF2-40B4-BE49-F238E27FC236}">
              <a16:creationId xmlns:a16="http://schemas.microsoft.com/office/drawing/2014/main" id="{00000000-0008-0000-2200-000034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1" name="Shape 3">
          <a:extLst>
            <a:ext uri="{FF2B5EF4-FFF2-40B4-BE49-F238E27FC236}">
              <a16:creationId xmlns:a16="http://schemas.microsoft.com/office/drawing/2014/main" id="{00000000-0008-0000-2200-000035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2" name="Shape 3">
          <a:extLst>
            <a:ext uri="{FF2B5EF4-FFF2-40B4-BE49-F238E27FC236}">
              <a16:creationId xmlns:a16="http://schemas.microsoft.com/office/drawing/2014/main" id="{00000000-0008-0000-2200-00003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703" name="Shape 4">
          <a:extLst>
            <a:ext uri="{FF2B5EF4-FFF2-40B4-BE49-F238E27FC236}">
              <a16:creationId xmlns:a16="http://schemas.microsoft.com/office/drawing/2014/main" id="{00000000-0008-0000-2200-0000376C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704" name="Shape 4">
          <a:extLst>
            <a:ext uri="{FF2B5EF4-FFF2-40B4-BE49-F238E27FC236}">
              <a16:creationId xmlns:a16="http://schemas.microsoft.com/office/drawing/2014/main" id="{00000000-0008-0000-2200-0000386C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5" name="Shape 3">
          <a:extLst>
            <a:ext uri="{FF2B5EF4-FFF2-40B4-BE49-F238E27FC236}">
              <a16:creationId xmlns:a16="http://schemas.microsoft.com/office/drawing/2014/main" id="{00000000-0008-0000-2200-00003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6" name="Shape 3">
          <a:extLst>
            <a:ext uri="{FF2B5EF4-FFF2-40B4-BE49-F238E27FC236}">
              <a16:creationId xmlns:a16="http://schemas.microsoft.com/office/drawing/2014/main" id="{00000000-0008-0000-2200-00003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7" name="Shape 3">
          <a:extLst>
            <a:ext uri="{FF2B5EF4-FFF2-40B4-BE49-F238E27FC236}">
              <a16:creationId xmlns:a16="http://schemas.microsoft.com/office/drawing/2014/main" id="{00000000-0008-0000-2200-00003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8" name="Shape 3">
          <a:extLst>
            <a:ext uri="{FF2B5EF4-FFF2-40B4-BE49-F238E27FC236}">
              <a16:creationId xmlns:a16="http://schemas.microsoft.com/office/drawing/2014/main" id="{00000000-0008-0000-2200-00003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9" name="Shape 3">
          <a:extLst>
            <a:ext uri="{FF2B5EF4-FFF2-40B4-BE49-F238E27FC236}">
              <a16:creationId xmlns:a16="http://schemas.microsoft.com/office/drawing/2014/main" id="{00000000-0008-0000-2200-00003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10" name="Shape 3">
          <a:extLst>
            <a:ext uri="{FF2B5EF4-FFF2-40B4-BE49-F238E27FC236}">
              <a16:creationId xmlns:a16="http://schemas.microsoft.com/office/drawing/2014/main" id="{00000000-0008-0000-2200-00003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11" name="Shape 3">
          <a:extLst>
            <a:ext uri="{FF2B5EF4-FFF2-40B4-BE49-F238E27FC236}">
              <a16:creationId xmlns:a16="http://schemas.microsoft.com/office/drawing/2014/main" id="{00000000-0008-0000-2200-00003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12" name="Shape 3">
          <a:extLst>
            <a:ext uri="{FF2B5EF4-FFF2-40B4-BE49-F238E27FC236}">
              <a16:creationId xmlns:a16="http://schemas.microsoft.com/office/drawing/2014/main" id="{00000000-0008-0000-2200-00004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3" name="Shape 3">
          <a:extLst>
            <a:ext uri="{FF2B5EF4-FFF2-40B4-BE49-F238E27FC236}">
              <a16:creationId xmlns:a16="http://schemas.microsoft.com/office/drawing/2014/main" id="{00000000-0008-0000-2200-00004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4" name="Shape 3">
          <a:extLst>
            <a:ext uri="{FF2B5EF4-FFF2-40B4-BE49-F238E27FC236}">
              <a16:creationId xmlns:a16="http://schemas.microsoft.com/office/drawing/2014/main" id="{00000000-0008-0000-2200-00004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5" name="Shape 3">
          <a:extLst>
            <a:ext uri="{FF2B5EF4-FFF2-40B4-BE49-F238E27FC236}">
              <a16:creationId xmlns:a16="http://schemas.microsoft.com/office/drawing/2014/main" id="{00000000-0008-0000-2200-00004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6" name="Shape 3">
          <a:extLst>
            <a:ext uri="{FF2B5EF4-FFF2-40B4-BE49-F238E27FC236}">
              <a16:creationId xmlns:a16="http://schemas.microsoft.com/office/drawing/2014/main" id="{00000000-0008-0000-2200-000044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7" name="Shape 3">
          <a:extLst>
            <a:ext uri="{FF2B5EF4-FFF2-40B4-BE49-F238E27FC236}">
              <a16:creationId xmlns:a16="http://schemas.microsoft.com/office/drawing/2014/main" id="{00000000-0008-0000-2200-000045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8" name="Shape 3">
          <a:extLst>
            <a:ext uri="{FF2B5EF4-FFF2-40B4-BE49-F238E27FC236}">
              <a16:creationId xmlns:a16="http://schemas.microsoft.com/office/drawing/2014/main" id="{00000000-0008-0000-2200-00004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9" name="Shape 3">
          <a:extLst>
            <a:ext uri="{FF2B5EF4-FFF2-40B4-BE49-F238E27FC236}">
              <a16:creationId xmlns:a16="http://schemas.microsoft.com/office/drawing/2014/main" id="{00000000-0008-0000-2200-000047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0" name="Shape 3">
          <a:extLst>
            <a:ext uri="{FF2B5EF4-FFF2-40B4-BE49-F238E27FC236}">
              <a16:creationId xmlns:a16="http://schemas.microsoft.com/office/drawing/2014/main" id="{00000000-0008-0000-2200-000048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1" name="Shape 3">
          <a:extLst>
            <a:ext uri="{FF2B5EF4-FFF2-40B4-BE49-F238E27FC236}">
              <a16:creationId xmlns:a16="http://schemas.microsoft.com/office/drawing/2014/main" id="{00000000-0008-0000-2200-00004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2" name="Shape 3">
          <a:extLst>
            <a:ext uri="{FF2B5EF4-FFF2-40B4-BE49-F238E27FC236}">
              <a16:creationId xmlns:a16="http://schemas.microsoft.com/office/drawing/2014/main" id="{00000000-0008-0000-2200-00004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3" name="Shape 3">
          <a:extLst>
            <a:ext uri="{FF2B5EF4-FFF2-40B4-BE49-F238E27FC236}">
              <a16:creationId xmlns:a16="http://schemas.microsoft.com/office/drawing/2014/main" id="{00000000-0008-0000-2200-00004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4" name="Shape 3">
          <a:extLst>
            <a:ext uri="{FF2B5EF4-FFF2-40B4-BE49-F238E27FC236}">
              <a16:creationId xmlns:a16="http://schemas.microsoft.com/office/drawing/2014/main" id="{00000000-0008-0000-2200-00004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5" name="Shape 3">
          <a:extLst>
            <a:ext uri="{FF2B5EF4-FFF2-40B4-BE49-F238E27FC236}">
              <a16:creationId xmlns:a16="http://schemas.microsoft.com/office/drawing/2014/main" id="{00000000-0008-0000-2200-00004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6" name="Shape 3">
          <a:extLst>
            <a:ext uri="{FF2B5EF4-FFF2-40B4-BE49-F238E27FC236}">
              <a16:creationId xmlns:a16="http://schemas.microsoft.com/office/drawing/2014/main" id="{00000000-0008-0000-2200-00004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7" name="Shape 3">
          <a:extLst>
            <a:ext uri="{FF2B5EF4-FFF2-40B4-BE49-F238E27FC236}">
              <a16:creationId xmlns:a16="http://schemas.microsoft.com/office/drawing/2014/main" id="{00000000-0008-0000-2200-00004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8" name="Shape 3">
          <a:extLst>
            <a:ext uri="{FF2B5EF4-FFF2-40B4-BE49-F238E27FC236}">
              <a16:creationId xmlns:a16="http://schemas.microsoft.com/office/drawing/2014/main" id="{00000000-0008-0000-2200-00005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9" name="Shape 3">
          <a:extLst>
            <a:ext uri="{FF2B5EF4-FFF2-40B4-BE49-F238E27FC236}">
              <a16:creationId xmlns:a16="http://schemas.microsoft.com/office/drawing/2014/main" id="{00000000-0008-0000-2200-00005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0" name="Shape 3">
          <a:extLst>
            <a:ext uri="{FF2B5EF4-FFF2-40B4-BE49-F238E27FC236}">
              <a16:creationId xmlns:a16="http://schemas.microsoft.com/office/drawing/2014/main" id="{00000000-0008-0000-2200-00005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1" name="Shape 3">
          <a:extLst>
            <a:ext uri="{FF2B5EF4-FFF2-40B4-BE49-F238E27FC236}">
              <a16:creationId xmlns:a16="http://schemas.microsoft.com/office/drawing/2014/main" id="{00000000-0008-0000-2200-00005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2" name="Shape 3">
          <a:extLst>
            <a:ext uri="{FF2B5EF4-FFF2-40B4-BE49-F238E27FC236}">
              <a16:creationId xmlns:a16="http://schemas.microsoft.com/office/drawing/2014/main" id="{00000000-0008-0000-2200-000054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3" name="Shape 3">
          <a:extLst>
            <a:ext uri="{FF2B5EF4-FFF2-40B4-BE49-F238E27FC236}">
              <a16:creationId xmlns:a16="http://schemas.microsoft.com/office/drawing/2014/main" id="{00000000-0008-0000-2200-000055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4" name="Shape 3">
          <a:extLst>
            <a:ext uri="{FF2B5EF4-FFF2-40B4-BE49-F238E27FC236}">
              <a16:creationId xmlns:a16="http://schemas.microsoft.com/office/drawing/2014/main" id="{00000000-0008-0000-2200-00005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5" name="Shape 3">
          <a:extLst>
            <a:ext uri="{FF2B5EF4-FFF2-40B4-BE49-F238E27FC236}">
              <a16:creationId xmlns:a16="http://schemas.microsoft.com/office/drawing/2014/main" id="{00000000-0008-0000-2200-000057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6" name="Shape 3">
          <a:extLst>
            <a:ext uri="{FF2B5EF4-FFF2-40B4-BE49-F238E27FC236}">
              <a16:creationId xmlns:a16="http://schemas.microsoft.com/office/drawing/2014/main" id="{00000000-0008-0000-2200-000058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7" name="Shape 3">
          <a:extLst>
            <a:ext uri="{FF2B5EF4-FFF2-40B4-BE49-F238E27FC236}">
              <a16:creationId xmlns:a16="http://schemas.microsoft.com/office/drawing/2014/main" id="{00000000-0008-0000-2200-00005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8" name="Shape 3">
          <a:extLst>
            <a:ext uri="{FF2B5EF4-FFF2-40B4-BE49-F238E27FC236}">
              <a16:creationId xmlns:a16="http://schemas.microsoft.com/office/drawing/2014/main" id="{00000000-0008-0000-2200-00005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9" name="Shape 3">
          <a:extLst>
            <a:ext uri="{FF2B5EF4-FFF2-40B4-BE49-F238E27FC236}">
              <a16:creationId xmlns:a16="http://schemas.microsoft.com/office/drawing/2014/main" id="{00000000-0008-0000-2200-00005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0" name="Shape 3">
          <a:extLst>
            <a:ext uri="{FF2B5EF4-FFF2-40B4-BE49-F238E27FC236}">
              <a16:creationId xmlns:a16="http://schemas.microsoft.com/office/drawing/2014/main" id="{00000000-0008-0000-2200-00005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1" name="Shape 3">
          <a:extLst>
            <a:ext uri="{FF2B5EF4-FFF2-40B4-BE49-F238E27FC236}">
              <a16:creationId xmlns:a16="http://schemas.microsoft.com/office/drawing/2014/main" id="{00000000-0008-0000-2200-00005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2" name="Shape 3">
          <a:extLst>
            <a:ext uri="{FF2B5EF4-FFF2-40B4-BE49-F238E27FC236}">
              <a16:creationId xmlns:a16="http://schemas.microsoft.com/office/drawing/2014/main" id="{00000000-0008-0000-2200-00005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3" name="Shape 3">
          <a:extLst>
            <a:ext uri="{FF2B5EF4-FFF2-40B4-BE49-F238E27FC236}">
              <a16:creationId xmlns:a16="http://schemas.microsoft.com/office/drawing/2014/main" id="{00000000-0008-0000-2200-00005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4" name="Shape 3">
          <a:extLst>
            <a:ext uri="{FF2B5EF4-FFF2-40B4-BE49-F238E27FC236}">
              <a16:creationId xmlns:a16="http://schemas.microsoft.com/office/drawing/2014/main" id="{00000000-0008-0000-2200-00006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5" name="Shape 3">
          <a:extLst>
            <a:ext uri="{FF2B5EF4-FFF2-40B4-BE49-F238E27FC236}">
              <a16:creationId xmlns:a16="http://schemas.microsoft.com/office/drawing/2014/main" id="{00000000-0008-0000-2200-00006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6" name="Shape 3">
          <a:extLst>
            <a:ext uri="{FF2B5EF4-FFF2-40B4-BE49-F238E27FC236}">
              <a16:creationId xmlns:a16="http://schemas.microsoft.com/office/drawing/2014/main" id="{00000000-0008-0000-2200-00006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7" name="Shape 3">
          <a:extLst>
            <a:ext uri="{FF2B5EF4-FFF2-40B4-BE49-F238E27FC236}">
              <a16:creationId xmlns:a16="http://schemas.microsoft.com/office/drawing/2014/main" id="{00000000-0008-0000-2200-00006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48" name="Shape 3">
          <a:extLst>
            <a:ext uri="{FF2B5EF4-FFF2-40B4-BE49-F238E27FC236}">
              <a16:creationId xmlns:a16="http://schemas.microsoft.com/office/drawing/2014/main" id="{00000000-0008-0000-2200-00006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49" name="Shape 3">
          <a:extLst>
            <a:ext uri="{FF2B5EF4-FFF2-40B4-BE49-F238E27FC236}">
              <a16:creationId xmlns:a16="http://schemas.microsoft.com/office/drawing/2014/main" id="{00000000-0008-0000-2200-000065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0" name="Shape 3">
          <a:extLst>
            <a:ext uri="{FF2B5EF4-FFF2-40B4-BE49-F238E27FC236}">
              <a16:creationId xmlns:a16="http://schemas.microsoft.com/office/drawing/2014/main" id="{00000000-0008-0000-2200-000066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1" name="Shape 3">
          <a:extLst>
            <a:ext uri="{FF2B5EF4-FFF2-40B4-BE49-F238E27FC236}">
              <a16:creationId xmlns:a16="http://schemas.microsoft.com/office/drawing/2014/main" id="{00000000-0008-0000-2200-00006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2" name="Shape 3">
          <a:extLst>
            <a:ext uri="{FF2B5EF4-FFF2-40B4-BE49-F238E27FC236}">
              <a16:creationId xmlns:a16="http://schemas.microsoft.com/office/drawing/2014/main" id="{00000000-0008-0000-2200-00006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3" name="Shape 3">
          <a:extLst>
            <a:ext uri="{FF2B5EF4-FFF2-40B4-BE49-F238E27FC236}">
              <a16:creationId xmlns:a16="http://schemas.microsoft.com/office/drawing/2014/main" id="{00000000-0008-0000-2200-00006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4" name="Shape 3">
          <a:extLst>
            <a:ext uri="{FF2B5EF4-FFF2-40B4-BE49-F238E27FC236}">
              <a16:creationId xmlns:a16="http://schemas.microsoft.com/office/drawing/2014/main" id="{00000000-0008-0000-2200-00006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5" name="Shape 3">
          <a:extLst>
            <a:ext uri="{FF2B5EF4-FFF2-40B4-BE49-F238E27FC236}">
              <a16:creationId xmlns:a16="http://schemas.microsoft.com/office/drawing/2014/main" id="{00000000-0008-0000-2200-00006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6" name="Shape 3">
          <a:extLst>
            <a:ext uri="{FF2B5EF4-FFF2-40B4-BE49-F238E27FC236}">
              <a16:creationId xmlns:a16="http://schemas.microsoft.com/office/drawing/2014/main" id="{00000000-0008-0000-2200-00006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7" name="Shape 3">
          <a:extLst>
            <a:ext uri="{FF2B5EF4-FFF2-40B4-BE49-F238E27FC236}">
              <a16:creationId xmlns:a16="http://schemas.microsoft.com/office/drawing/2014/main" id="{00000000-0008-0000-2200-00006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8" name="Shape 3">
          <a:extLst>
            <a:ext uri="{FF2B5EF4-FFF2-40B4-BE49-F238E27FC236}">
              <a16:creationId xmlns:a16="http://schemas.microsoft.com/office/drawing/2014/main" id="{00000000-0008-0000-2200-00006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9" name="Shape 3">
          <a:extLst>
            <a:ext uri="{FF2B5EF4-FFF2-40B4-BE49-F238E27FC236}">
              <a16:creationId xmlns:a16="http://schemas.microsoft.com/office/drawing/2014/main" id="{00000000-0008-0000-2200-00006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0" name="Shape 3">
          <a:extLst>
            <a:ext uri="{FF2B5EF4-FFF2-40B4-BE49-F238E27FC236}">
              <a16:creationId xmlns:a16="http://schemas.microsoft.com/office/drawing/2014/main" id="{00000000-0008-0000-2200-00007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1" name="Shape 3">
          <a:extLst>
            <a:ext uri="{FF2B5EF4-FFF2-40B4-BE49-F238E27FC236}">
              <a16:creationId xmlns:a16="http://schemas.microsoft.com/office/drawing/2014/main" id="{00000000-0008-0000-2200-00007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2" name="Shape 3">
          <a:extLst>
            <a:ext uri="{FF2B5EF4-FFF2-40B4-BE49-F238E27FC236}">
              <a16:creationId xmlns:a16="http://schemas.microsoft.com/office/drawing/2014/main" id="{00000000-0008-0000-2200-000072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3" name="Shape 3">
          <a:extLst>
            <a:ext uri="{FF2B5EF4-FFF2-40B4-BE49-F238E27FC236}">
              <a16:creationId xmlns:a16="http://schemas.microsoft.com/office/drawing/2014/main" id="{00000000-0008-0000-2200-000073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4" name="Shape 3">
          <a:extLst>
            <a:ext uri="{FF2B5EF4-FFF2-40B4-BE49-F238E27FC236}">
              <a16:creationId xmlns:a16="http://schemas.microsoft.com/office/drawing/2014/main" id="{00000000-0008-0000-2200-00007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765" name="Shape 4">
          <a:extLst>
            <a:ext uri="{FF2B5EF4-FFF2-40B4-BE49-F238E27FC236}">
              <a16:creationId xmlns:a16="http://schemas.microsoft.com/office/drawing/2014/main" id="{00000000-0008-0000-2200-0000756C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766" name="Shape 4">
          <a:extLst>
            <a:ext uri="{FF2B5EF4-FFF2-40B4-BE49-F238E27FC236}">
              <a16:creationId xmlns:a16="http://schemas.microsoft.com/office/drawing/2014/main" id="{00000000-0008-0000-2200-0000766C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7" name="Shape 3">
          <a:extLst>
            <a:ext uri="{FF2B5EF4-FFF2-40B4-BE49-F238E27FC236}">
              <a16:creationId xmlns:a16="http://schemas.microsoft.com/office/drawing/2014/main" id="{00000000-0008-0000-2200-00007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8" name="Shape 3">
          <a:extLst>
            <a:ext uri="{FF2B5EF4-FFF2-40B4-BE49-F238E27FC236}">
              <a16:creationId xmlns:a16="http://schemas.microsoft.com/office/drawing/2014/main" id="{00000000-0008-0000-2200-00007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9" name="Shape 3">
          <a:extLst>
            <a:ext uri="{FF2B5EF4-FFF2-40B4-BE49-F238E27FC236}">
              <a16:creationId xmlns:a16="http://schemas.microsoft.com/office/drawing/2014/main" id="{00000000-0008-0000-2200-00007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0" name="Shape 3">
          <a:extLst>
            <a:ext uri="{FF2B5EF4-FFF2-40B4-BE49-F238E27FC236}">
              <a16:creationId xmlns:a16="http://schemas.microsoft.com/office/drawing/2014/main" id="{00000000-0008-0000-2200-00007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1" name="Shape 3">
          <a:extLst>
            <a:ext uri="{FF2B5EF4-FFF2-40B4-BE49-F238E27FC236}">
              <a16:creationId xmlns:a16="http://schemas.microsoft.com/office/drawing/2014/main" id="{00000000-0008-0000-2200-00007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2" name="Shape 3">
          <a:extLst>
            <a:ext uri="{FF2B5EF4-FFF2-40B4-BE49-F238E27FC236}">
              <a16:creationId xmlns:a16="http://schemas.microsoft.com/office/drawing/2014/main" id="{00000000-0008-0000-2200-00007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3" name="Shape 3">
          <a:extLst>
            <a:ext uri="{FF2B5EF4-FFF2-40B4-BE49-F238E27FC236}">
              <a16:creationId xmlns:a16="http://schemas.microsoft.com/office/drawing/2014/main" id="{00000000-0008-0000-2200-00007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4" name="Shape 3">
          <a:extLst>
            <a:ext uri="{FF2B5EF4-FFF2-40B4-BE49-F238E27FC236}">
              <a16:creationId xmlns:a16="http://schemas.microsoft.com/office/drawing/2014/main" id="{00000000-0008-0000-2200-00007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5" name="Shape 3">
          <a:extLst>
            <a:ext uri="{FF2B5EF4-FFF2-40B4-BE49-F238E27FC236}">
              <a16:creationId xmlns:a16="http://schemas.microsoft.com/office/drawing/2014/main" id="{00000000-0008-0000-2200-00007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6" name="Shape 3">
          <a:extLst>
            <a:ext uri="{FF2B5EF4-FFF2-40B4-BE49-F238E27FC236}">
              <a16:creationId xmlns:a16="http://schemas.microsoft.com/office/drawing/2014/main" id="{00000000-0008-0000-2200-00008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7" name="Shape 3">
          <a:extLst>
            <a:ext uri="{FF2B5EF4-FFF2-40B4-BE49-F238E27FC236}">
              <a16:creationId xmlns:a16="http://schemas.microsoft.com/office/drawing/2014/main" id="{00000000-0008-0000-2200-00008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8" name="Shape 3">
          <a:extLst>
            <a:ext uri="{FF2B5EF4-FFF2-40B4-BE49-F238E27FC236}">
              <a16:creationId xmlns:a16="http://schemas.microsoft.com/office/drawing/2014/main" id="{00000000-0008-0000-2200-000082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9" name="Shape 3">
          <a:extLst>
            <a:ext uri="{FF2B5EF4-FFF2-40B4-BE49-F238E27FC236}">
              <a16:creationId xmlns:a16="http://schemas.microsoft.com/office/drawing/2014/main" id="{00000000-0008-0000-2200-000083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0" name="Shape 3">
          <a:extLst>
            <a:ext uri="{FF2B5EF4-FFF2-40B4-BE49-F238E27FC236}">
              <a16:creationId xmlns:a16="http://schemas.microsoft.com/office/drawing/2014/main" id="{00000000-0008-0000-2200-00008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1" name="Shape 3">
          <a:extLst>
            <a:ext uri="{FF2B5EF4-FFF2-40B4-BE49-F238E27FC236}">
              <a16:creationId xmlns:a16="http://schemas.microsoft.com/office/drawing/2014/main" id="{00000000-0008-0000-2200-000085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2" name="Shape 3">
          <a:extLst>
            <a:ext uri="{FF2B5EF4-FFF2-40B4-BE49-F238E27FC236}">
              <a16:creationId xmlns:a16="http://schemas.microsoft.com/office/drawing/2014/main" id="{00000000-0008-0000-2200-000086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3" name="Shape 3">
          <a:extLst>
            <a:ext uri="{FF2B5EF4-FFF2-40B4-BE49-F238E27FC236}">
              <a16:creationId xmlns:a16="http://schemas.microsoft.com/office/drawing/2014/main" id="{00000000-0008-0000-2200-00008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4" name="Shape 3">
          <a:extLst>
            <a:ext uri="{FF2B5EF4-FFF2-40B4-BE49-F238E27FC236}">
              <a16:creationId xmlns:a16="http://schemas.microsoft.com/office/drawing/2014/main" id="{00000000-0008-0000-2200-00008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5" name="Shape 3">
          <a:extLst>
            <a:ext uri="{FF2B5EF4-FFF2-40B4-BE49-F238E27FC236}">
              <a16:creationId xmlns:a16="http://schemas.microsoft.com/office/drawing/2014/main" id="{00000000-0008-0000-2200-00008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6" name="Shape 3">
          <a:extLst>
            <a:ext uri="{FF2B5EF4-FFF2-40B4-BE49-F238E27FC236}">
              <a16:creationId xmlns:a16="http://schemas.microsoft.com/office/drawing/2014/main" id="{00000000-0008-0000-2200-00008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7" name="Shape 3">
          <a:extLst>
            <a:ext uri="{FF2B5EF4-FFF2-40B4-BE49-F238E27FC236}">
              <a16:creationId xmlns:a16="http://schemas.microsoft.com/office/drawing/2014/main" id="{00000000-0008-0000-2200-00008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8" name="Shape 3">
          <a:extLst>
            <a:ext uri="{FF2B5EF4-FFF2-40B4-BE49-F238E27FC236}">
              <a16:creationId xmlns:a16="http://schemas.microsoft.com/office/drawing/2014/main" id="{00000000-0008-0000-2200-00008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9" name="Shape 3">
          <a:extLst>
            <a:ext uri="{FF2B5EF4-FFF2-40B4-BE49-F238E27FC236}">
              <a16:creationId xmlns:a16="http://schemas.microsoft.com/office/drawing/2014/main" id="{00000000-0008-0000-2200-00008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0" name="Shape 3">
          <a:extLst>
            <a:ext uri="{FF2B5EF4-FFF2-40B4-BE49-F238E27FC236}">
              <a16:creationId xmlns:a16="http://schemas.microsoft.com/office/drawing/2014/main" id="{00000000-0008-0000-2200-00008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1" name="Shape 3">
          <a:extLst>
            <a:ext uri="{FF2B5EF4-FFF2-40B4-BE49-F238E27FC236}">
              <a16:creationId xmlns:a16="http://schemas.microsoft.com/office/drawing/2014/main" id="{00000000-0008-0000-2200-00008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2" name="Shape 3">
          <a:extLst>
            <a:ext uri="{FF2B5EF4-FFF2-40B4-BE49-F238E27FC236}">
              <a16:creationId xmlns:a16="http://schemas.microsoft.com/office/drawing/2014/main" id="{00000000-0008-0000-2200-00009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3" name="Shape 3">
          <a:extLst>
            <a:ext uri="{FF2B5EF4-FFF2-40B4-BE49-F238E27FC236}">
              <a16:creationId xmlns:a16="http://schemas.microsoft.com/office/drawing/2014/main" id="{00000000-0008-0000-2200-00009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4" name="Shape 3">
          <a:extLst>
            <a:ext uri="{FF2B5EF4-FFF2-40B4-BE49-F238E27FC236}">
              <a16:creationId xmlns:a16="http://schemas.microsoft.com/office/drawing/2014/main" id="{00000000-0008-0000-2200-000092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5" name="Shape 3">
          <a:extLst>
            <a:ext uri="{FF2B5EF4-FFF2-40B4-BE49-F238E27FC236}">
              <a16:creationId xmlns:a16="http://schemas.microsoft.com/office/drawing/2014/main" id="{00000000-0008-0000-2200-000093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6" name="Shape 3">
          <a:extLst>
            <a:ext uri="{FF2B5EF4-FFF2-40B4-BE49-F238E27FC236}">
              <a16:creationId xmlns:a16="http://schemas.microsoft.com/office/drawing/2014/main" id="{00000000-0008-0000-2200-00009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7" name="Shape 3">
          <a:extLst>
            <a:ext uri="{FF2B5EF4-FFF2-40B4-BE49-F238E27FC236}">
              <a16:creationId xmlns:a16="http://schemas.microsoft.com/office/drawing/2014/main" id="{00000000-0008-0000-2200-000095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8" name="Shape 3">
          <a:extLst>
            <a:ext uri="{FF2B5EF4-FFF2-40B4-BE49-F238E27FC236}">
              <a16:creationId xmlns:a16="http://schemas.microsoft.com/office/drawing/2014/main" id="{00000000-0008-0000-2200-000096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9" name="Shape 3">
          <a:extLst>
            <a:ext uri="{FF2B5EF4-FFF2-40B4-BE49-F238E27FC236}">
              <a16:creationId xmlns:a16="http://schemas.microsoft.com/office/drawing/2014/main" id="{00000000-0008-0000-2200-00009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0" name="Shape 3">
          <a:extLst>
            <a:ext uri="{FF2B5EF4-FFF2-40B4-BE49-F238E27FC236}">
              <a16:creationId xmlns:a16="http://schemas.microsoft.com/office/drawing/2014/main" id="{00000000-0008-0000-2200-00009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1" name="Shape 3">
          <a:extLst>
            <a:ext uri="{FF2B5EF4-FFF2-40B4-BE49-F238E27FC236}">
              <a16:creationId xmlns:a16="http://schemas.microsoft.com/office/drawing/2014/main" id="{00000000-0008-0000-2200-00009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2" name="Shape 3">
          <a:extLst>
            <a:ext uri="{FF2B5EF4-FFF2-40B4-BE49-F238E27FC236}">
              <a16:creationId xmlns:a16="http://schemas.microsoft.com/office/drawing/2014/main" id="{00000000-0008-0000-2200-00009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3" name="Shape 3">
          <a:extLst>
            <a:ext uri="{FF2B5EF4-FFF2-40B4-BE49-F238E27FC236}">
              <a16:creationId xmlns:a16="http://schemas.microsoft.com/office/drawing/2014/main" id="{00000000-0008-0000-2200-00009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4" name="Shape 3">
          <a:extLst>
            <a:ext uri="{FF2B5EF4-FFF2-40B4-BE49-F238E27FC236}">
              <a16:creationId xmlns:a16="http://schemas.microsoft.com/office/drawing/2014/main" id="{00000000-0008-0000-2200-00009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5" name="Shape 3">
          <a:extLst>
            <a:ext uri="{FF2B5EF4-FFF2-40B4-BE49-F238E27FC236}">
              <a16:creationId xmlns:a16="http://schemas.microsoft.com/office/drawing/2014/main" id="{00000000-0008-0000-2200-00009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6" name="Shape 3">
          <a:extLst>
            <a:ext uri="{FF2B5EF4-FFF2-40B4-BE49-F238E27FC236}">
              <a16:creationId xmlns:a16="http://schemas.microsoft.com/office/drawing/2014/main" id="{00000000-0008-0000-2200-00009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7" name="Shape 3">
          <a:extLst>
            <a:ext uri="{FF2B5EF4-FFF2-40B4-BE49-F238E27FC236}">
              <a16:creationId xmlns:a16="http://schemas.microsoft.com/office/drawing/2014/main" id="{00000000-0008-0000-2200-00009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8" name="Shape 3">
          <a:extLst>
            <a:ext uri="{FF2B5EF4-FFF2-40B4-BE49-F238E27FC236}">
              <a16:creationId xmlns:a16="http://schemas.microsoft.com/office/drawing/2014/main" id="{00000000-0008-0000-2200-0000A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9" name="Shape 3">
          <a:extLst>
            <a:ext uri="{FF2B5EF4-FFF2-40B4-BE49-F238E27FC236}">
              <a16:creationId xmlns:a16="http://schemas.microsoft.com/office/drawing/2014/main" id="{00000000-0008-0000-2200-0000A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10" name="Shape 3">
          <a:extLst>
            <a:ext uri="{FF2B5EF4-FFF2-40B4-BE49-F238E27FC236}">
              <a16:creationId xmlns:a16="http://schemas.microsoft.com/office/drawing/2014/main" id="{00000000-0008-0000-2200-0000A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1" name="Shape 3">
          <a:extLst>
            <a:ext uri="{FF2B5EF4-FFF2-40B4-BE49-F238E27FC236}">
              <a16:creationId xmlns:a16="http://schemas.microsoft.com/office/drawing/2014/main" id="{00000000-0008-0000-2200-0000A3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2" name="Shape 3">
          <a:extLst>
            <a:ext uri="{FF2B5EF4-FFF2-40B4-BE49-F238E27FC236}">
              <a16:creationId xmlns:a16="http://schemas.microsoft.com/office/drawing/2014/main" id="{00000000-0008-0000-2200-0000A4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3" name="Shape 3">
          <a:extLst>
            <a:ext uri="{FF2B5EF4-FFF2-40B4-BE49-F238E27FC236}">
              <a16:creationId xmlns:a16="http://schemas.microsoft.com/office/drawing/2014/main" id="{00000000-0008-0000-2200-0000A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4" name="Shape 3">
          <a:extLst>
            <a:ext uri="{FF2B5EF4-FFF2-40B4-BE49-F238E27FC236}">
              <a16:creationId xmlns:a16="http://schemas.microsoft.com/office/drawing/2014/main" id="{00000000-0008-0000-2200-0000A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5" name="Shape 3">
          <a:extLst>
            <a:ext uri="{FF2B5EF4-FFF2-40B4-BE49-F238E27FC236}">
              <a16:creationId xmlns:a16="http://schemas.microsoft.com/office/drawing/2014/main" id="{00000000-0008-0000-2200-0000A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6" name="Shape 3">
          <a:extLst>
            <a:ext uri="{FF2B5EF4-FFF2-40B4-BE49-F238E27FC236}">
              <a16:creationId xmlns:a16="http://schemas.microsoft.com/office/drawing/2014/main" id="{00000000-0008-0000-2200-0000A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7" name="Shape 3">
          <a:extLst>
            <a:ext uri="{FF2B5EF4-FFF2-40B4-BE49-F238E27FC236}">
              <a16:creationId xmlns:a16="http://schemas.microsoft.com/office/drawing/2014/main" id="{00000000-0008-0000-2200-0000A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8" name="Shape 3">
          <a:extLst>
            <a:ext uri="{FF2B5EF4-FFF2-40B4-BE49-F238E27FC236}">
              <a16:creationId xmlns:a16="http://schemas.microsoft.com/office/drawing/2014/main" id="{00000000-0008-0000-2200-0000A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9" name="Shape 3">
          <a:extLst>
            <a:ext uri="{FF2B5EF4-FFF2-40B4-BE49-F238E27FC236}">
              <a16:creationId xmlns:a16="http://schemas.microsoft.com/office/drawing/2014/main" id="{00000000-0008-0000-2200-0000A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0" name="Shape 3">
          <a:extLst>
            <a:ext uri="{FF2B5EF4-FFF2-40B4-BE49-F238E27FC236}">
              <a16:creationId xmlns:a16="http://schemas.microsoft.com/office/drawing/2014/main" id="{00000000-0008-0000-2200-0000A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1" name="Shape 3">
          <a:extLst>
            <a:ext uri="{FF2B5EF4-FFF2-40B4-BE49-F238E27FC236}">
              <a16:creationId xmlns:a16="http://schemas.microsoft.com/office/drawing/2014/main" id="{00000000-0008-0000-2200-0000A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2" name="Shape 3">
          <a:extLst>
            <a:ext uri="{FF2B5EF4-FFF2-40B4-BE49-F238E27FC236}">
              <a16:creationId xmlns:a16="http://schemas.microsoft.com/office/drawing/2014/main" id="{00000000-0008-0000-2200-0000A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3" name="Shape 3">
          <a:extLst>
            <a:ext uri="{FF2B5EF4-FFF2-40B4-BE49-F238E27FC236}">
              <a16:creationId xmlns:a16="http://schemas.microsoft.com/office/drawing/2014/main" id="{00000000-0008-0000-2200-0000A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4" name="Shape 3">
          <a:extLst>
            <a:ext uri="{FF2B5EF4-FFF2-40B4-BE49-F238E27FC236}">
              <a16:creationId xmlns:a16="http://schemas.microsoft.com/office/drawing/2014/main" id="{00000000-0008-0000-2200-0000B0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5" name="Shape 3">
          <a:extLst>
            <a:ext uri="{FF2B5EF4-FFF2-40B4-BE49-F238E27FC236}">
              <a16:creationId xmlns:a16="http://schemas.microsoft.com/office/drawing/2014/main" id="{00000000-0008-0000-2200-0000B1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6" name="Shape 3">
          <a:extLst>
            <a:ext uri="{FF2B5EF4-FFF2-40B4-BE49-F238E27FC236}">
              <a16:creationId xmlns:a16="http://schemas.microsoft.com/office/drawing/2014/main" id="{00000000-0008-0000-2200-0000B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827" name="Shape 4">
          <a:extLst>
            <a:ext uri="{FF2B5EF4-FFF2-40B4-BE49-F238E27FC236}">
              <a16:creationId xmlns:a16="http://schemas.microsoft.com/office/drawing/2014/main" id="{00000000-0008-0000-2200-0000B36C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828" name="Shape 4">
          <a:extLst>
            <a:ext uri="{FF2B5EF4-FFF2-40B4-BE49-F238E27FC236}">
              <a16:creationId xmlns:a16="http://schemas.microsoft.com/office/drawing/2014/main" id="{00000000-0008-0000-2200-0000B46C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9" name="Shape 3">
          <a:extLst>
            <a:ext uri="{FF2B5EF4-FFF2-40B4-BE49-F238E27FC236}">
              <a16:creationId xmlns:a16="http://schemas.microsoft.com/office/drawing/2014/main" id="{00000000-0008-0000-2200-0000B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0" name="Shape 3">
          <a:extLst>
            <a:ext uri="{FF2B5EF4-FFF2-40B4-BE49-F238E27FC236}">
              <a16:creationId xmlns:a16="http://schemas.microsoft.com/office/drawing/2014/main" id="{00000000-0008-0000-2200-0000B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1" name="Shape 3">
          <a:extLst>
            <a:ext uri="{FF2B5EF4-FFF2-40B4-BE49-F238E27FC236}">
              <a16:creationId xmlns:a16="http://schemas.microsoft.com/office/drawing/2014/main" id="{00000000-0008-0000-2200-0000B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2" name="Shape 3">
          <a:extLst>
            <a:ext uri="{FF2B5EF4-FFF2-40B4-BE49-F238E27FC236}">
              <a16:creationId xmlns:a16="http://schemas.microsoft.com/office/drawing/2014/main" id="{00000000-0008-0000-2200-0000B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3" name="Shape 3">
          <a:extLst>
            <a:ext uri="{FF2B5EF4-FFF2-40B4-BE49-F238E27FC236}">
              <a16:creationId xmlns:a16="http://schemas.microsoft.com/office/drawing/2014/main" id="{00000000-0008-0000-2200-0000B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4" name="Shape 3">
          <a:extLst>
            <a:ext uri="{FF2B5EF4-FFF2-40B4-BE49-F238E27FC236}">
              <a16:creationId xmlns:a16="http://schemas.microsoft.com/office/drawing/2014/main" id="{00000000-0008-0000-2200-0000B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5" name="Shape 3">
          <a:extLst>
            <a:ext uri="{FF2B5EF4-FFF2-40B4-BE49-F238E27FC236}">
              <a16:creationId xmlns:a16="http://schemas.microsoft.com/office/drawing/2014/main" id="{00000000-0008-0000-2200-0000B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6" name="Shape 3">
          <a:extLst>
            <a:ext uri="{FF2B5EF4-FFF2-40B4-BE49-F238E27FC236}">
              <a16:creationId xmlns:a16="http://schemas.microsoft.com/office/drawing/2014/main" id="{00000000-0008-0000-2200-0000B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37" name="Shape 3">
          <a:extLst>
            <a:ext uri="{FF2B5EF4-FFF2-40B4-BE49-F238E27FC236}">
              <a16:creationId xmlns:a16="http://schemas.microsoft.com/office/drawing/2014/main" id="{00000000-0008-0000-2200-0000B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38" name="Shape 3">
          <a:extLst>
            <a:ext uri="{FF2B5EF4-FFF2-40B4-BE49-F238E27FC236}">
              <a16:creationId xmlns:a16="http://schemas.microsoft.com/office/drawing/2014/main" id="{00000000-0008-0000-2200-0000B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39" name="Shape 3">
          <a:extLst>
            <a:ext uri="{FF2B5EF4-FFF2-40B4-BE49-F238E27FC236}">
              <a16:creationId xmlns:a16="http://schemas.microsoft.com/office/drawing/2014/main" id="{00000000-0008-0000-2200-0000B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0" name="Shape 3">
          <a:extLst>
            <a:ext uri="{FF2B5EF4-FFF2-40B4-BE49-F238E27FC236}">
              <a16:creationId xmlns:a16="http://schemas.microsoft.com/office/drawing/2014/main" id="{00000000-0008-0000-2200-0000C0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1" name="Shape 3">
          <a:extLst>
            <a:ext uri="{FF2B5EF4-FFF2-40B4-BE49-F238E27FC236}">
              <a16:creationId xmlns:a16="http://schemas.microsoft.com/office/drawing/2014/main" id="{00000000-0008-0000-2200-0000C1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2" name="Shape 3">
          <a:extLst>
            <a:ext uri="{FF2B5EF4-FFF2-40B4-BE49-F238E27FC236}">
              <a16:creationId xmlns:a16="http://schemas.microsoft.com/office/drawing/2014/main" id="{00000000-0008-0000-2200-0000C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3" name="Shape 3">
          <a:extLst>
            <a:ext uri="{FF2B5EF4-FFF2-40B4-BE49-F238E27FC236}">
              <a16:creationId xmlns:a16="http://schemas.microsoft.com/office/drawing/2014/main" id="{00000000-0008-0000-2200-0000C3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4" name="Shape 3">
          <a:extLst>
            <a:ext uri="{FF2B5EF4-FFF2-40B4-BE49-F238E27FC236}">
              <a16:creationId xmlns:a16="http://schemas.microsoft.com/office/drawing/2014/main" id="{00000000-0008-0000-2200-0000C4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5" name="Shape 3">
          <a:extLst>
            <a:ext uri="{FF2B5EF4-FFF2-40B4-BE49-F238E27FC236}">
              <a16:creationId xmlns:a16="http://schemas.microsoft.com/office/drawing/2014/main" id="{00000000-0008-0000-2200-0000C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6" name="Shape 3">
          <a:extLst>
            <a:ext uri="{FF2B5EF4-FFF2-40B4-BE49-F238E27FC236}">
              <a16:creationId xmlns:a16="http://schemas.microsoft.com/office/drawing/2014/main" id="{00000000-0008-0000-2200-0000C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7" name="Shape 3">
          <a:extLst>
            <a:ext uri="{FF2B5EF4-FFF2-40B4-BE49-F238E27FC236}">
              <a16:creationId xmlns:a16="http://schemas.microsoft.com/office/drawing/2014/main" id="{00000000-0008-0000-2200-0000C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8" name="Shape 3">
          <a:extLst>
            <a:ext uri="{FF2B5EF4-FFF2-40B4-BE49-F238E27FC236}">
              <a16:creationId xmlns:a16="http://schemas.microsoft.com/office/drawing/2014/main" id="{00000000-0008-0000-2200-0000C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9" name="Shape 3">
          <a:extLst>
            <a:ext uri="{FF2B5EF4-FFF2-40B4-BE49-F238E27FC236}">
              <a16:creationId xmlns:a16="http://schemas.microsoft.com/office/drawing/2014/main" id="{00000000-0008-0000-2200-0000C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0" name="Shape 3">
          <a:extLst>
            <a:ext uri="{FF2B5EF4-FFF2-40B4-BE49-F238E27FC236}">
              <a16:creationId xmlns:a16="http://schemas.microsoft.com/office/drawing/2014/main" id="{00000000-0008-0000-2200-0000C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1" name="Shape 3">
          <a:extLst>
            <a:ext uri="{FF2B5EF4-FFF2-40B4-BE49-F238E27FC236}">
              <a16:creationId xmlns:a16="http://schemas.microsoft.com/office/drawing/2014/main" id="{00000000-0008-0000-2200-0000C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2" name="Shape 3">
          <a:extLst>
            <a:ext uri="{FF2B5EF4-FFF2-40B4-BE49-F238E27FC236}">
              <a16:creationId xmlns:a16="http://schemas.microsoft.com/office/drawing/2014/main" id="{00000000-0008-0000-2200-0000C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3" name="Shape 3">
          <a:extLst>
            <a:ext uri="{FF2B5EF4-FFF2-40B4-BE49-F238E27FC236}">
              <a16:creationId xmlns:a16="http://schemas.microsoft.com/office/drawing/2014/main" id="{00000000-0008-0000-2200-0000C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4" name="Shape 3">
          <a:extLst>
            <a:ext uri="{FF2B5EF4-FFF2-40B4-BE49-F238E27FC236}">
              <a16:creationId xmlns:a16="http://schemas.microsoft.com/office/drawing/2014/main" id="{00000000-0008-0000-2200-0000C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5" name="Shape 3">
          <a:extLst>
            <a:ext uri="{FF2B5EF4-FFF2-40B4-BE49-F238E27FC236}">
              <a16:creationId xmlns:a16="http://schemas.microsoft.com/office/drawing/2014/main" id="{00000000-0008-0000-2200-0000C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6" name="Shape 3">
          <a:extLst>
            <a:ext uri="{FF2B5EF4-FFF2-40B4-BE49-F238E27FC236}">
              <a16:creationId xmlns:a16="http://schemas.microsoft.com/office/drawing/2014/main" id="{00000000-0008-0000-2200-0000D0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7" name="Shape 3">
          <a:extLst>
            <a:ext uri="{FF2B5EF4-FFF2-40B4-BE49-F238E27FC236}">
              <a16:creationId xmlns:a16="http://schemas.microsoft.com/office/drawing/2014/main" id="{00000000-0008-0000-2200-0000D1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8" name="Shape 3">
          <a:extLst>
            <a:ext uri="{FF2B5EF4-FFF2-40B4-BE49-F238E27FC236}">
              <a16:creationId xmlns:a16="http://schemas.microsoft.com/office/drawing/2014/main" id="{00000000-0008-0000-2200-0000D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9" name="Shape 3">
          <a:extLst>
            <a:ext uri="{FF2B5EF4-FFF2-40B4-BE49-F238E27FC236}">
              <a16:creationId xmlns:a16="http://schemas.microsoft.com/office/drawing/2014/main" id="{00000000-0008-0000-2200-0000D3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0" name="Shape 3">
          <a:extLst>
            <a:ext uri="{FF2B5EF4-FFF2-40B4-BE49-F238E27FC236}">
              <a16:creationId xmlns:a16="http://schemas.microsoft.com/office/drawing/2014/main" id="{00000000-0008-0000-2200-0000D4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1" name="Shape 3">
          <a:extLst>
            <a:ext uri="{FF2B5EF4-FFF2-40B4-BE49-F238E27FC236}">
              <a16:creationId xmlns:a16="http://schemas.microsoft.com/office/drawing/2014/main" id="{00000000-0008-0000-2200-0000D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2" name="Shape 3">
          <a:extLst>
            <a:ext uri="{FF2B5EF4-FFF2-40B4-BE49-F238E27FC236}">
              <a16:creationId xmlns:a16="http://schemas.microsoft.com/office/drawing/2014/main" id="{00000000-0008-0000-2200-0000D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3" name="Shape 3">
          <a:extLst>
            <a:ext uri="{FF2B5EF4-FFF2-40B4-BE49-F238E27FC236}">
              <a16:creationId xmlns:a16="http://schemas.microsoft.com/office/drawing/2014/main" id="{00000000-0008-0000-2200-0000D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4" name="Shape 3">
          <a:extLst>
            <a:ext uri="{FF2B5EF4-FFF2-40B4-BE49-F238E27FC236}">
              <a16:creationId xmlns:a16="http://schemas.microsoft.com/office/drawing/2014/main" id="{00000000-0008-0000-2200-0000D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5" name="Shape 3">
          <a:extLst>
            <a:ext uri="{FF2B5EF4-FFF2-40B4-BE49-F238E27FC236}">
              <a16:creationId xmlns:a16="http://schemas.microsoft.com/office/drawing/2014/main" id="{00000000-0008-0000-2200-0000D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6" name="Shape 3">
          <a:extLst>
            <a:ext uri="{FF2B5EF4-FFF2-40B4-BE49-F238E27FC236}">
              <a16:creationId xmlns:a16="http://schemas.microsoft.com/office/drawing/2014/main" id="{00000000-0008-0000-2200-0000D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7" name="Shape 3">
          <a:extLst>
            <a:ext uri="{FF2B5EF4-FFF2-40B4-BE49-F238E27FC236}">
              <a16:creationId xmlns:a16="http://schemas.microsoft.com/office/drawing/2014/main" id="{00000000-0008-0000-2200-0000D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8" name="Shape 3">
          <a:extLst>
            <a:ext uri="{FF2B5EF4-FFF2-40B4-BE49-F238E27FC236}">
              <a16:creationId xmlns:a16="http://schemas.microsoft.com/office/drawing/2014/main" id="{00000000-0008-0000-2200-0000D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9" name="Shape 3">
          <a:extLst>
            <a:ext uri="{FF2B5EF4-FFF2-40B4-BE49-F238E27FC236}">
              <a16:creationId xmlns:a16="http://schemas.microsoft.com/office/drawing/2014/main" id="{00000000-0008-0000-2200-0000D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70" name="Shape 3">
          <a:extLst>
            <a:ext uri="{FF2B5EF4-FFF2-40B4-BE49-F238E27FC236}">
              <a16:creationId xmlns:a16="http://schemas.microsoft.com/office/drawing/2014/main" id="{00000000-0008-0000-2200-0000D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71" name="Shape 3">
          <a:extLst>
            <a:ext uri="{FF2B5EF4-FFF2-40B4-BE49-F238E27FC236}">
              <a16:creationId xmlns:a16="http://schemas.microsoft.com/office/drawing/2014/main" id="{00000000-0008-0000-2200-0000D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24" name="Shape 3">
          <a:extLst>
            <a:ext uri="{FF2B5EF4-FFF2-40B4-BE49-F238E27FC236}">
              <a16:creationId xmlns:a16="http://schemas.microsoft.com/office/drawing/2014/main" id="{00000000-0008-0000-2300-0000E8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25" name="Shape 3">
          <a:extLst>
            <a:ext uri="{FF2B5EF4-FFF2-40B4-BE49-F238E27FC236}">
              <a16:creationId xmlns:a16="http://schemas.microsoft.com/office/drawing/2014/main" id="{00000000-0008-0000-2300-0000E9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26" name="Shape 3">
          <a:extLst>
            <a:ext uri="{FF2B5EF4-FFF2-40B4-BE49-F238E27FC236}">
              <a16:creationId xmlns:a16="http://schemas.microsoft.com/office/drawing/2014/main" id="{00000000-0008-0000-2300-0000EA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27" name="Shape 3">
          <a:extLst>
            <a:ext uri="{FF2B5EF4-FFF2-40B4-BE49-F238E27FC236}">
              <a16:creationId xmlns:a16="http://schemas.microsoft.com/office/drawing/2014/main" id="{00000000-0008-0000-2300-0000EB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28" name="Shape 3">
          <a:extLst>
            <a:ext uri="{FF2B5EF4-FFF2-40B4-BE49-F238E27FC236}">
              <a16:creationId xmlns:a16="http://schemas.microsoft.com/office/drawing/2014/main" id="{00000000-0008-0000-2300-0000EC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29" name="Shape 3">
          <a:extLst>
            <a:ext uri="{FF2B5EF4-FFF2-40B4-BE49-F238E27FC236}">
              <a16:creationId xmlns:a16="http://schemas.microsoft.com/office/drawing/2014/main" id="{00000000-0008-0000-2300-0000ED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30" name="Shape 3">
          <a:extLst>
            <a:ext uri="{FF2B5EF4-FFF2-40B4-BE49-F238E27FC236}">
              <a16:creationId xmlns:a16="http://schemas.microsoft.com/office/drawing/2014/main" id="{00000000-0008-0000-2300-0000EE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31" name="Shape 3">
          <a:extLst>
            <a:ext uri="{FF2B5EF4-FFF2-40B4-BE49-F238E27FC236}">
              <a16:creationId xmlns:a16="http://schemas.microsoft.com/office/drawing/2014/main" id="{00000000-0008-0000-2300-0000EF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32" name="Shape 3">
          <a:extLst>
            <a:ext uri="{FF2B5EF4-FFF2-40B4-BE49-F238E27FC236}">
              <a16:creationId xmlns:a16="http://schemas.microsoft.com/office/drawing/2014/main" id="{00000000-0008-0000-2300-0000F0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33" name="Shape 3">
          <a:extLst>
            <a:ext uri="{FF2B5EF4-FFF2-40B4-BE49-F238E27FC236}">
              <a16:creationId xmlns:a16="http://schemas.microsoft.com/office/drawing/2014/main" id="{00000000-0008-0000-2300-0000F1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34" name="Shape 3">
          <a:extLst>
            <a:ext uri="{FF2B5EF4-FFF2-40B4-BE49-F238E27FC236}">
              <a16:creationId xmlns:a16="http://schemas.microsoft.com/office/drawing/2014/main" id="{00000000-0008-0000-2300-0000F2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35" name="Shape 3">
          <a:extLst>
            <a:ext uri="{FF2B5EF4-FFF2-40B4-BE49-F238E27FC236}">
              <a16:creationId xmlns:a16="http://schemas.microsoft.com/office/drawing/2014/main" id="{00000000-0008-0000-2300-0000F3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36" name="Shape 3">
          <a:extLst>
            <a:ext uri="{FF2B5EF4-FFF2-40B4-BE49-F238E27FC236}">
              <a16:creationId xmlns:a16="http://schemas.microsoft.com/office/drawing/2014/main" id="{00000000-0008-0000-2300-0000F4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37" name="Shape 3">
          <a:extLst>
            <a:ext uri="{FF2B5EF4-FFF2-40B4-BE49-F238E27FC236}">
              <a16:creationId xmlns:a16="http://schemas.microsoft.com/office/drawing/2014/main" id="{00000000-0008-0000-2300-0000F5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38" name="Shape 3">
          <a:extLst>
            <a:ext uri="{FF2B5EF4-FFF2-40B4-BE49-F238E27FC236}">
              <a16:creationId xmlns:a16="http://schemas.microsoft.com/office/drawing/2014/main" id="{00000000-0008-0000-2300-0000F6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39" name="Shape 3">
          <a:extLst>
            <a:ext uri="{FF2B5EF4-FFF2-40B4-BE49-F238E27FC236}">
              <a16:creationId xmlns:a16="http://schemas.microsoft.com/office/drawing/2014/main" id="{00000000-0008-0000-2300-0000F7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40" name="Shape 3">
          <a:extLst>
            <a:ext uri="{FF2B5EF4-FFF2-40B4-BE49-F238E27FC236}">
              <a16:creationId xmlns:a16="http://schemas.microsoft.com/office/drawing/2014/main" id="{00000000-0008-0000-2300-0000F8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27641" name="Shape 4">
          <a:extLst>
            <a:ext uri="{FF2B5EF4-FFF2-40B4-BE49-F238E27FC236}">
              <a16:creationId xmlns:a16="http://schemas.microsoft.com/office/drawing/2014/main" id="{00000000-0008-0000-2300-0000F96B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27642" name="Shape 4">
          <a:extLst>
            <a:ext uri="{FF2B5EF4-FFF2-40B4-BE49-F238E27FC236}">
              <a16:creationId xmlns:a16="http://schemas.microsoft.com/office/drawing/2014/main" id="{00000000-0008-0000-2300-0000FA6B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43" name="Shape 3">
          <a:extLst>
            <a:ext uri="{FF2B5EF4-FFF2-40B4-BE49-F238E27FC236}">
              <a16:creationId xmlns:a16="http://schemas.microsoft.com/office/drawing/2014/main" id="{00000000-0008-0000-2300-0000FB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44" name="Shape 3">
          <a:extLst>
            <a:ext uri="{FF2B5EF4-FFF2-40B4-BE49-F238E27FC236}">
              <a16:creationId xmlns:a16="http://schemas.microsoft.com/office/drawing/2014/main" id="{00000000-0008-0000-2300-0000FC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45" name="Shape 3">
          <a:extLst>
            <a:ext uri="{FF2B5EF4-FFF2-40B4-BE49-F238E27FC236}">
              <a16:creationId xmlns:a16="http://schemas.microsoft.com/office/drawing/2014/main" id="{00000000-0008-0000-2300-0000FD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46" name="Shape 3">
          <a:extLst>
            <a:ext uri="{FF2B5EF4-FFF2-40B4-BE49-F238E27FC236}">
              <a16:creationId xmlns:a16="http://schemas.microsoft.com/office/drawing/2014/main" id="{00000000-0008-0000-2300-0000FE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47" name="Shape 3">
          <a:extLst>
            <a:ext uri="{FF2B5EF4-FFF2-40B4-BE49-F238E27FC236}">
              <a16:creationId xmlns:a16="http://schemas.microsoft.com/office/drawing/2014/main" id="{00000000-0008-0000-2300-0000FF6B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48" name="Shape 3">
          <a:extLst>
            <a:ext uri="{FF2B5EF4-FFF2-40B4-BE49-F238E27FC236}">
              <a16:creationId xmlns:a16="http://schemas.microsoft.com/office/drawing/2014/main" id="{00000000-0008-0000-2300-000000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49" name="Shape 3">
          <a:extLst>
            <a:ext uri="{FF2B5EF4-FFF2-40B4-BE49-F238E27FC236}">
              <a16:creationId xmlns:a16="http://schemas.microsoft.com/office/drawing/2014/main" id="{00000000-0008-0000-2300-000001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7650" name="Shape 3">
          <a:extLst>
            <a:ext uri="{FF2B5EF4-FFF2-40B4-BE49-F238E27FC236}">
              <a16:creationId xmlns:a16="http://schemas.microsoft.com/office/drawing/2014/main" id="{00000000-0008-0000-2300-000002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51" name="Shape 3">
          <a:extLst>
            <a:ext uri="{FF2B5EF4-FFF2-40B4-BE49-F238E27FC236}">
              <a16:creationId xmlns:a16="http://schemas.microsoft.com/office/drawing/2014/main" id="{00000000-0008-0000-2300-000003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52" name="Shape 3">
          <a:extLst>
            <a:ext uri="{FF2B5EF4-FFF2-40B4-BE49-F238E27FC236}">
              <a16:creationId xmlns:a16="http://schemas.microsoft.com/office/drawing/2014/main" id="{00000000-0008-0000-2300-000004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53" name="Shape 3">
          <a:extLst>
            <a:ext uri="{FF2B5EF4-FFF2-40B4-BE49-F238E27FC236}">
              <a16:creationId xmlns:a16="http://schemas.microsoft.com/office/drawing/2014/main" id="{00000000-0008-0000-2300-000005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54" name="Shape 3">
          <a:extLst>
            <a:ext uri="{FF2B5EF4-FFF2-40B4-BE49-F238E27FC236}">
              <a16:creationId xmlns:a16="http://schemas.microsoft.com/office/drawing/2014/main" id="{00000000-0008-0000-2300-000006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55" name="Shape 3">
          <a:extLst>
            <a:ext uri="{FF2B5EF4-FFF2-40B4-BE49-F238E27FC236}">
              <a16:creationId xmlns:a16="http://schemas.microsoft.com/office/drawing/2014/main" id="{00000000-0008-0000-2300-000007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56" name="Shape 3">
          <a:extLst>
            <a:ext uri="{FF2B5EF4-FFF2-40B4-BE49-F238E27FC236}">
              <a16:creationId xmlns:a16="http://schemas.microsoft.com/office/drawing/2014/main" id="{00000000-0008-0000-2300-000008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57" name="Shape 3">
          <a:extLst>
            <a:ext uri="{FF2B5EF4-FFF2-40B4-BE49-F238E27FC236}">
              <a16:creationId xmlns:a16="http://schemas.microsoft.com/office/drawing/2014/main" id="{00000000-0008-0000-2300-000009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58" name="Shape 3">
          <a:extLst>
            <a:ext uri="{FF2B5EF4-FFF2-40B4-BE49-F238E27FC236}">
              <a16:creationId xmlns:a16="http://schemas.microsoft.com/office/drawing/2014/main" id="{00000000-0008-0000-2300-00000A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59" name="Shape 3">
          <a:extLst>
            <a:ext uri="{FF2B5EF4-FFF2-40B4-BE49-F238E27FC236}">
              <a16:creationId xmlns:a16="http://schemas.microsoft.com/office/drawing/2014/main" id="{00000000-0008-0000-2300-00000B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60" name="Shape 3">
          <a:extLst>
            <a:ext uri="{FF2B5EF4-FFF2-40B4-BE49-F238E27FC236}">
              <a16:creationId xmlns:a16="http://schemas.microsoft.com/office/drawing/2014/main" id="{00000000-0008-0000-2300-00000C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61" name="Shape 3">
          <a:extLst>
            <a:ext uri="{FF2B5EF4-FFF2-40B4-BE49-F238E27FC236}">
              <a16:creationId xmlns:a16="http://schemas.microsoft.com/office/drawing/2014/main" id="{00000000-0008-0000-2300-00000D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62" name="Shape 3">
          <a:extLst>
            <a:ext uri="{FF2B5EF4-FFF2-40B4-BE49-F238E27FC236}">
              <a16:creationId xmlns:a16="http://schemas.microsoft.com/office/drawing/2014/main" id="{00000000-0008-0000-2300-00000E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63" name="Shape 3">
          <a:extLst>
            <a:ext uri="{FF2B5EF4-FFF2-40B4-BE49-F238E27FC236}">
              <a16:creationId xmlns:a16="http://schemas.microsoft.com/office/drawing/2014/main" id="{00000000-0008-0000-2300-00000F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64" name="Shape 3">
          <a:extLst>
            <a:ext uri="{FF2B5EF4-FFF2-40B4-BE49-F238E27FC236}">
              <a16:creationId xmlns:a16="http://schemas.microsoft.com/office/drawing/2014/main" id="{00000000-0008-0000-2300-000010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65" name="Shape 3">
          <a:extLst>
            <a:ext uri="{FF2B5EF4-FFF2-40B4-BE49-F238E27FC236}">
              <a16:creationId xmlns:a16="http://schemas.microsoft.com/office/drawing/2014/main" id="{00000000-0008-0000-2300-000011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66" name="Shape 3">
          <a:extLst>
            <a:ext uri="{FF2B5EF4-FFF2-40B4-BE49-F238E27FC236}">
              <a16:creationId xmlns:a16="http://schemas.microsoft.com/office/drawing/2014/main" id="{00000000-0008-0000-2300-000012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67" name="Shape 3">
          <a:extLst>
            <a:ext uri="{FF2B5EF4-FFF2-40B4-BE49-F238E27FC236}">
              <a16:creationId xmlns:a16="http://schemas.microsoft.com/office/drawing/2014/main" id="{00000000-0008-0000-2300-000013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68" name="Shape 3">
          <a:extLst>
            <a:ext uri="{FF2B5EF4-FFF2-40B4-BE49-F238E27FC236}">
              <a16:creationId xmlns:a16="http://schemas.microsoft.com/office/drawing/2014/main" id="{00000000-0008-0000-2300-000014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69" name="Shape 3">
          <a:extLst>
            <a:ext uri="{FF2B5EF4-FFF2-40B4-BE49-F238E27FC236}">
              <a16:creationId xmlns:a16="http://schemas.microsoft.com/office/drawing/2014/main" id="{00000000-0008-0000-2300-000015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70" name="Shape 3">
          <a:extLst>
            <a:ext uri="{FF2B5EF4-FFF2-40B4-BE49-F238E27FC236}">
              <a16:creationId xmlns:a16="http://schemas.microsoft.com/office/drawing/2014/main" id="{00000000-0008-0000-2300-000016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71" name="Shape 3">
          <a:extLst>
            <a:ext uri="{FF2B5EF4-FFF2-40B4-BE49-F238E27FC236}">
              <a16:creationId xmlns:a16="http://schemas.microsoft.com/office/drawing/2014/main" id="{00000000-0008-0000-2300-000017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72" name="Shape 3">
          <a:extLst>
            <a:ext uri="{FF2B5EF4-FFF2-40B4-BE49-F238E27FC236}">
              <a16:creationId xmlns:a16="http://schemas.microsoft.com/office/drawing/2014/main" id="{00000000-0008-0000-2300-000018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73" name="Shape 3">
          <a:extLst>
            <a:ext uri="{FF2B5EF4-FFF2-40B4-BE49-F238E27FC236}">
              <a16:creationId xmlns:a16="http://schemas.microsoft.com/office/drawing/2014/main" id="{00000000-0008-0000-2300-000019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74" name="Shape 3">
          <a:extLst>
            <a:ext uri="{FF2B5EF4-FFF2-40B4-BE49-F238E27FC236}">
              <a16:creationId xmlns:a16="http://schemas.microsoft.com/office/drawing/2014/main" id="{00000000-0008-0000-2300-00001A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75" name="Shape 3">
          <a:extLst>
            <a:ext uri="{FF2B5EF4-FFF2-40B4-BE49-F238E27FC236}">
              <a16:creationId xmlns:a16="http://schemas.microsoft.com/office/drawing/2014/main" id="{00000000-0008-0000-2300-00001B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76" name="Shape 3">
          <a:extLst>
            <a:ext uri="{FF2B5EF4-FFF2-40B4-BE49-F238E27FC236}">
              <a16:creationId xmlns:a16="http://schemas.microsoft.com/office/drawing/2014/main" id="{00000000-0008-0000-2300-00001C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77" name="Shape 3">
          <a:extLst>
            <a:ext uri="{FF2B5EF4-FFF2-40B4-BE49-F238E27FC236}">
              <a16:creationId xmlns:a16="http://schemas.microsoft.com/office/drawing/2014/main" id="{00000000-0008-0000-2300-00001D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78" name="Shape 3">
          <a:extLst>
            <a:ext uri="{FF2B5EF4-FFF2-40B4-BE49-F238E27FC236}">
              <a16:creationId xmlns:a16="http://schemas.microsoft.com/office/drawing/2014/main" id="{00000000-0008-0000-2300-00001E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79" name="Shape 3">
          <a:extLst>
            <a:ext uri="{FF2B5EF4-FFF2-40B4-BE49-F238E27FC236}">
              <a16:creationId xmlns:a16="http://schemas.microsoft.com/office/drawing/2014/main" id="{00000000-0008-0000-2300-00001F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80" name="Shape 3">
          <a:extLst>
            <a:ext uri="{FF2B5EF4-FFF2-40B4-BE49-F238E27FC236}">
              <a16:creationId xmlns:a16="http://schemas.microsoft.com/office/drawing/2014/main" id="{00000000-0008-0000-2300-000020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81" name="Shape 3">
          <a:extLst>
            <a:ext uri="{FF2B5EF4-FFF2-40B4-BE49-F238E27FC236}">
              <a16:creationId xmlns:a16="http://schemas.microsoft.com/office/drawing/2014/main" id="{00000000-0008-0000-2300-000021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82" name="Shape 3">
          <a:extLst>
            <a:ext uri="{FF2B5EF4-FFF2-40B4-BE49-F238E27FC236}">
              <a16:creationId xmlns:a16="http://schemas.microsoft.com/office/drawing/2014/main" id="{00000000-0008-0000-2300-000022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83" name="Shape 3">
          <a:extLst>
            <a:ext uri="{FF2B5EF4-FFF2-40B4-BE49-F238E27FC236}">
              <a16:creationId xmlns:a16="http://schemas.microsoft.com/office/drawing/2014/main" id="{00000000-0008-0000-2300-000023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84" name="Shape 3">
          <a:extLst>
            <a:ext uri="{FF2B5EF4-FFF2-40B4-BE49-F238E27FC236}">
              <a16:creationId xmlns:a16="http://schemas.microsoft.com/office/drawing/2014/main" id="{00000000-0008-0000-2300-000024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7685" name="Shape 3">
          <a:extLst>
            <a:ext uri="{FF2B5EF4-FFF2-40B4-BE49-F238E27FC236}">
              <a16:creationId xmlns:a16="http://schemas.microsoft.com/office/drawing/2014/main" id="{00000000-0008-0000-2300-0000256C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686" name="Shape 3">
          <a:extLst>
            <a:ext uri="{FF2B5EF4-FFF2-40B4-BE49-F238E27FC236}">
              <a16:creationId xmlns:a16="http://schemas.microsoft.com/office/drawing/2014/main" id="{00000000-0008-0000-2300-00002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87" name="Shape 3">
          <a:extLst>
            <a:ext uri="{FF2B5EF4-FFF2-40B4-BE49-F238E27FC236}">
              <a16:creationId xmlns:a16="http://schemas.microsoft.com/office/drawing/2014/main" id="{00000000-0008-0000-2300-000027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88" name="Shape 3">
          <a:extLst>
            <a:ext uri="{FF2B5EF4-FFF2-40B4-BE49-F238E27FC236}">
              <a16:creationId xmlns:a16="http://schemas.microsoft.com/office/drawing/2014/main" id="{00000000-0008-0000-2300-000028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89" name="Shape 3">
          <a:extLst>
            <a:ext uri="{FF2B5EF4-FFF2-40B4-BE49-F238E27FC236}">
              <a16:creationId xmlns:a16="http://schemas.microsoft.com/office/drawing/2014/main" id="{00000000-0008-0000-2300-00002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0" name="Shape 3">
          <a:extLst>
            <a:ext uri="{FF2B5EF4-FFF2-40B4-BE49-F238E27FC236}">
              <a16:creationId xmlns:a16="http://schemas.microsoft.com/office/drawing/2014/main" id="{00000000-0008-0000-2300-00002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1" name="Shape 3">
          <a:extLst>
            <a:ext uri="{FF2B5EF4-FFF2-40B4-BE49-F238E27FC236}">
              <a16:creationId xmlns:a16="http://schemas.microsoft.com/office/drawing/2014/main" id="{00000000-0008-0000-2300-00002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2" name="Shape 3">
          <a:extLst>
            <a:ext uri="{FF2B5EF4-FFF2-40B4-BE49-F238E27FC236}">
              <a16:creationId xmlns:a16="http://schemas.microsoft.com/office/drawing/2014/main" id="{00000000-0008-0000-2300-00002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3" name="Shape 3">
          <a:extLst>
            <a:ext uri="{FF2B5EF4-FFF2-40B4-BE49-F238E27FC236}">
              <a16:creationId xmlns:a16="http://schemas.microsoft.com/office/drawing/2014/main" id="{00000000-0008-0000-2300-00002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4" name="Shape 3">
          <a:extLst>
            <a:ext uri="{FF2B5EF4-FFF2-40B4-BE49-F238E27FC236}">
              <a16:creationId xmlns:a16="http://schemas.microsoft.com/office/drawing/2014/main" id="{00000000-0008-0000-2300-00002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5" name="Shape 3">
          <a:extLst>
            <a:ext uri="{FF2B5EF4-FFF2-40B4-BE49-F238E27FC236}">
              <a16:creationId xmlns:a16="http://schemas.microsoft.com/office/drawing/2014/main" id="{00000000-0008-0000-2300-00002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6" name="Shape 3">
          <a:extLst>
            <a:ext uri="{FF2B5EF4-FFF2-40B4-BE49-F238E27FC236}">
              <a16:creationId xmlns:a16="http://schemas.microsoft.com/office/drawing/2014/main" id="{00000000-0008-0000-2300-00003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7" name="Shape 3">
          <a:extLst>
            <a:ext uri="{FF2B5EF4-FFF2-40B4-BE49-F238E27FC236}">
              <a16:creationId xmlns:a16="http://schemas.microsoft.com/office/drawing/2014/main" id="{00000000-0008-0000-2300-00003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8" name="Shape 3">
          <a:extLst>
            <a:ext uri="{FF2B5EF4-FFF2-40B4-BE49-F238E27FC236}">
              <a16:creationId xmlns:a16="http://schemas.microsoft.com/office/drawing/2014/main" id="{00000000-0008-0000-2300-00003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9" name="Shape 3">
          <a:extLst>
            <a:ext uri="{FF2B5EF4-FFF2-40B4-BE49-F238E27FC236}">
              <a16:creationId xmlns:a16="http://schemas.microsoft.com/office/drawing/2014/main" id="{00000000-0008-0000-2300-00003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0" name="Shape 3">
          <a:extLst>
            <a:ext uri="{FF2B5EF4-FFF2-40B4-BE49-F238E27FC236}">
              <a16:creationId xmlns:a16="http://schemas.microsoft.com/office/drawing/2014/main" id="{00000000-0008-0000-2300-000034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1" name="Shape 3">
          <a:extLst>
            <a:ext uri="{FF2B5EF4-FFF2-40B4-BE49-F238E27FC236}">
              <a16:creationId xmlns:a16="http://schemas.microsoft.com/office/drawing/2014/main" id="{00000000-0008-0000-2300-000035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2" name="Shape 3">
          <a:extLst>
            <a:ext uri="{FF2B5EF4-FFF2-40B4-BE49-F238E27FC236}">
              <a16:creationId xmlns:a16="http://schemas.microsoft.com/office/drawing/2014/main" id="{00000000-0008-0000-2300-00003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703" name="Shape 4">
          <a:extLst>
            <a:ext uri="{FF2B5EF4-FFF2-40B4-BE49-F238E27FC236}">
              <a16:creationId xmlns:a16="http://schemas.microsoft.com/office/drawing/2014/main" id="{00000000-0008-0000-2300-0000376C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704" name="Shape 4">
          <a:extLst>
            <a:ext uri="{FF2B5EF4-FFF2-40B4-BE49-F238E27FC236}">
              <a16:creationId xmlns:a16="http://schemas.microsoft.com/office/drawing/2014/main" id="{00000000-0008-0000-2300-0000386C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5" name="Shape 3">
          <a:extLst>
            <a:ext uri="{FF2B5EF4-FFF2-40B4-BE49-F238E27FC236}">
              <a16:creationId xmlns:a16="http://schemas.microsoft.com/office/drawing/2014/main" id="{00000000-0008-0000-2300-00003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6" name="Shape 3">
          <a:extLst>
            <a:ext uri="{FF2B5EF4-FFF2-40B4-BE49-F238E27FC236}">
              <a16:creationId xmlns:a16="http://schemas.microsoft.com/office/drawing/2014/main" id="{00000000-0008-0000-2300-00003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7" name="Shape 3">
          <a:extLst>
            <a:ext uri="{FF2B5EF4-FFF2-40B4-BE49-F238E27FC236}">
              <a16:creationId xmlns:a16="http://schemas.microsoft.com/office/drawing/2014/main" id="{00000000-0008-0000-2300-00003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8" name="Shape 3">
          <a:extLst>
            <a:ext uri="{FF2B5EF4-FFF2-40B4-BE49-F238E27FC236}">
              <a16:creationId xmlns:a16="http://schemas.microsoft.com/office/drawing/2014/main" id="{00000000-0008-0000-2300-00003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9" name="Shape 3">
          <a:extLst>
            <a:ext uri="{FF2B5EF4-FFF2-40B4-BE49-F238E27FC236}">
              <a16:creationId xmlns:a16="http://schemas.microsoft.com/office/drawing/2014/main" id="{00000000-0008-0000-2300-00003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10" name="Shape 3">
          <a:extLst>
            <a:ext uri="{FF2B5EF4-FFF2-40B4-BE49-F238E27FC236}">
              <a16:creationId xmlns:a16="http://schemas.microsoft.com/office/drawing/2014/main" id="{00000000-0008-0000-2300-00003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11" name="Shape 3">
          <a:extLst>
            <a:ext uri="{FF2B5EF4-FFF2-40B4-BE49-F238E27FC236}">
              <a16:creationId xmlns:a16="http://schemas.microsoft.com/office/drawing/2014/main" id="{00000000-0008-0000-2300-00003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12" name="Shape 3">
          <a:extLst>
            <a:ext uri="{FF2B5EF4-FFF2-40B4-BE49-F238E27FC236}">
              <a16:creationId xmlns:a16="http://schemas.microsoft.com/office/drawing/2014/main" id="{00000000-0008-0000-2300-00004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3" name="Shape 3">
          <a:extLst>
            <a:ext uri="{FF2B5EF4-FFF2-40B4-BE49-F238E27FC236}">
              <a16:creationId xmlns:a16="http://schemas.microsoft.com/office/drawing/2014/main" id="{00000000-0008-0000-2300-00004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4" name="Shape 3">
          <a:extLst>
            <a:ext uri="{FF2B5EF4-FFF2-40B4-BE49-F238E27FC236}">
              <a16:creationId xmlns:a16="http://schemas.microsoft.com/office/drawing/2014/main" id="{00000000-0008-0000-2300-00004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5" name="Shape 3">
          <a:extLst>
            <a:ext uri="{FF2B5EF4-FFF2-40B4-BE49-F238E27FC236}">
              <a16:creationId xmlns:a16="http://schemas.microsoft.com/office/drawing/2014/main" id="{00000000-0008-0000-2300-00004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6" name="Shape 3">
          <a:extLst>
            <a:ext uri="{FF2B5EF4-FFF2-40B4-BE49-F238E27FC236}">
              <a16:creationId xmlns:a16="http://schemas.microsoft.com/office/drawing/2014/main" id="{00000000-0008-0000-2300-000044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7" name="Shape 3">
          <a:extLst>
            <a:ext uri="{FF2B5EF4-FFF2-40B4-BE49-F238E27FC236}">
              <a16:creationId xmlns:a16="http://schemas.microsoft.com/office/drawing/2014/main" id="{00000000-0008-0000-2300-000045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8" name="Shape 3">
          <a:extLst>
            <a:ext uri="{FF2B5EF4-FFF2-40B4-BE49-F238E27FC236}">
              <a16:creationId xmlns:a16="http://schemas.microsoft.com/office/drawing/2014/main" id="{00000000-0008-0000-2300-00004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9" name="Shape 3">
          <a:extLst>
            <a:ext uri="{FF2B5EF4-FFF2-40B4-BE49-F238E27FC236}">
              <a16:creationId xmlns:a16="http://schemas.microsoft.com/office/drawing/2014/main" id="{00000000-0008-0000-2300-000047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0" name="Shape 3">
          <a:extLst>
            <a:ext uri="{FF2B5EF4-FFF2-40B4-BE49-F238E27FC236}">
              <a16:creationId xmlns:a16="http://schemas.microsoft.com/office/drawing/2014/main" id="{00000000-0008-0000-2300-000048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1" name="Shape 3">
          <a:extLst>
            <a:ext uri="{FF2B5EF4-FFF2-40B4-BE49-F238E27FC236}">
              <a16:creationId xmlns:a16="http://schemas.microsoft.com/office/drawing/2014/main" id="{00000000-0008-0000-2300-00004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2" name="Shape 3">
          <a:extLst>
            <a:ext uri="{FF2B5EF4-FFF2-40B4-BE49-F238E27FC236}">
              <a16:creationId xmlns:a16="http://schemas.microsoft.com/office/drawing/2014/main" id="{00000000-0008-0000-2300-00004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3" name="Shape 3">
          <a:extLst>
            <a:ext uri="{FF2B5EF4-FFF2-40B4-BE49-F238E27FC236}">
              <a16:creationId xmlns:a16="http://schemas.microsoft.com/office/drawing/2014/main" id="{00000000-0008-0000-2300-00004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4" name="Shape 3">
          <a:extLst>
            <a:ext uri="{FF2B5EF4-FFF2-40B4-BE49-F238E27FC236}">
              <a16:creationId xmlns:a16="http://schemas.microsoft.com/office/drawing/2014/main" id="{00000000-0008-0000-2300-00004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5" name="Shape 3">
          <a:extLst>
            <a:ext uri="{FF2B5EF4-FFF2-40B4-BE49-F238E27FC236}">
              <a16:creationId xmlns:a16="http://schemas.microsoft.com/office/drawing/2014/main" id="{00000000-0008-0000-2300-00004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6" name="Shape 3">
          <a:extLst>
            <a:ext uri="{FF2B5EF4-FFF2-40B4-BE49-F238E27FC236}">
              <a16:creationId xmlns:a16="http://schemas.microsoft.com/office/drawing/2014/main" id="{00000000-0008-0000-2300-00004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7" name="Shape 3">
          <a:extLst>
            <a:ext uri="{FF2B5EF4-FFF2-40B4-BE49-F238E27FC236}">
              <a16:creationId xmlns:a16="http://schemas.microsoft.com/office/drawing/2014/main" id="{00000000-0008-0000-2300-00004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8" name="Shape 3">
          <a:extLst>
            <a:ext uri="{FF2B5EF4-FFF2-40B4-BE49-F238E27FC236}">
              <a16:creationId xmlns:a16="http://schemas.microsoft.com/office/drawing/2014/main" id="{00000000-0008-0000-2300-00005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9" name="Shape 3">
          <a:extLst>
            <a:ext uri="{FF2B5EF4-FFF2-40B4-BE49-F238E27FC236}">
              <a16:creationId xmlns:a16="http://schemas.microsoft.com/office/drawing/2014/main" id="{00000000-0008-0000-2300-00005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0" name="Shape 3">
          <a:extLst>
            <a:ext uri="{FF2B5EF4-FFF2-40B4-BE49-F238E27FC236}">
              <a16:creationId xmlns:a16="http://schemas.microsoft.com/office/drawing/2014/main" id="{00000000-0008-0000-2300-00005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1" name="Shape 3">
          <a:extLst>
            <a:ext uri="{FF2B5EF4-FFF2-40B4-BE49-F238E27FC236}">
              <a16:creationId xmlns:a16="http://schemas.microsoft.com/office/drawing/2014/main" id="{00000000-0008-0000-2300-00005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2" name="Shape 3">
          <a:extLst>
            <a:ext uri="{FF2B5EF4-FFF2-40B4-BE49-F238E27FC236}">
              <a16:creationId xmlns:a16="http://schemas.microsoft.com/office/drawing/2014/main" id="{00000000-0008-0000-2300-000054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3" name="Shape 3">
          <a:extLst>
            <a:ext uri="{FF2B5EF4-FFF2-40B4-BE49-F238E27FC236}">
              <a16:creationId xmlns:a16="http://schemas.microsoft.com/office/drawing/2014/main" id="{00000000-0008-0000-2300-000055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4" name="Shape 3">
          <a:extLst>
            <a:ext uri="{FF2B5EF4-FFF2-40B4-BE49-F238E27FC236}">
              <a16:creationId xmlns:a16="http://schemas.microsoft.com/office/drawing/2014/main" id="{00000000-0008-0000-2300-00005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5" name="Shape 3">
          <a:extLst>
            <a:ext uri="{FF2B5EF4-FFF2-40B4-BE49-F238E27FC236}">
              <a16:creationId xmlns:a16="http://schemas.microsoft.com/office/drawing/2014/main" id="{00000000-0008-0000-2300-000057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6" name="Shape 3">
          <a:extLst>
            <a:ext uri="{FF2B5EF4-FFF2-40B4-BE49-F238E27FC236}">
              <a16:creationId xmlns:a16="http://schemas.microsoft.com/office/drawing/2014/main" id="{00000000-0008-0000-2300-000058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7" name="Shape 3">
          <a:extLst>
            <a:ext uri="{FF2B5EF4-FFF2-40B4-BE49-F238E27FC236}">
              <a16:creationId xmlns:a16="http://schemas.microsoft.com/office/drawing/2014/main" id="{00000000-0008-0000-2300-00005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8" name="Shape 3">
          <a:extLst>
            <a:ext uri="{FF2B5EF4-FFF2-40B4-BE49-F238E27FC236}">
              <a16:creationId xmlns:a16="http://schemas.microsoft.com/office/drawing/2014/main" id="{00000000-0008-0000-2300-00005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9" name="Shape 3">
          <a:extLst>
            <a:ext uri="{FF2B5EF4-FFF2-40B4-BE49-F238E27FC236}">
              <a16:creationId xmlns:a16="http://schemas.microsoft.com/office/drawing/2014/main" id="{00000000-0008-0000-2300-00005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0" name="Shape 3">
          <a:extLst>
            <a:ext uri="{FF2B5EF4-FFF2-40B4-BE49-F238E27FC236}">
              <a16:creationId xmlns:a16="http://schemas.microsoft.com/office/drawing/2014/main" id="{00000000-0008-0000-2300-00005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1" name="Shape 3">
          <a:extLst>
            <a:ext uri="{FF2B5EF4-FFF2-40B4-BE49-F238E27FC236}">
              <a16:creationId xmlns:a16="http://schemas.microsoft.com/office/drawing/2014/main" id="{00000000-0008-0000-2300-00005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2" name="Shape 3">
          <a:extLst>
            <a:ext uri="{FF2B5EF4-FFF2-40B4-BE49-F238E27FC236}">
              <a16:creationId xmlns:a16="http://schemas.microsoft.com/office/drawing/2014/main" id="{00000000-0008-0000-2300-00005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3" name="Shape 3">
          <a:extLst>
            <a:ext uri="{FF2B5EF4-FFF2-40B4-BE49-F238E27FC236}">
              <a16:creationId xmlns:a16="http://schemas.microsoft.com/office/drawing/2014/main" id="{00000000-0008-0000-2300-00005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4" name="Shape 3">
          <a:extLst>
            <a:ext uri="{FF2B5EF4-FFF2-40B4-BE49-F238E27FC236}">
              <a16:creationId xmlns:a16="http://schemas.microsoft.com/office/drawing/2014/main" id="{00000000-0008-0000-2300-00006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5" name="Shape 3">
          <a:extLst>
            <a:ext uri="{FF2B5EF4-FFF2-40B4-BE49-F238E27FC236}">
              <a16:creationId xmlns:a16="http://schemas.microsoft.com/office/drawing/2014/main" id="{00000000-0008-0000-2300-00006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6" name="Shape 3">
          <a:extLst>
            <a:ext uri="{FF2B5EF4-FFF2-40B4-BE49-F238E27FC236}">
              <a16:creationId xmlns:a16="http://schemas.microsoft.com/office/drawing/2014/main" id="{00000000-0008-0000-2300-00006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7" name="Shape 3">
          <a:extLst>
            <a:ext uri="{FF2B5EF4-FFF2-40B4-BE49-F238E27FC236}">
              <a16:creationId xmlns:a16="http://schemas.microsoft.com/office/drawing/2014/main" id="{00000000-0008-0000-2300-00006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48" name="Shape 3">
          <a:extLst>
            <a:ext uri="{FF2B5EF4-FFF2-40B4-BE49-F238E27FC236}">
              <a16:creationId xmlns:a16="http://schemas.microsoft.com/office/drawing/2014/main" id="{00000000-0008-0000-2300-00006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49" name="Shape 3">
          <a:extLst>
            <a:ext uri="{FF2B5EF4-FFF2-40B4-BE49-F238E27FC236}">
              <a16:creationId xmlns:a16="http://schemas.microsoft.com/office/drawing/2014/main" id="{00000000-0008-0000-2300-000065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0" name="Shape 3">
          <a:extLst>
            <a:ext uri="{FF2B5EF4-FFF2-40B4-BE49-F238E27FC236}">
              <a16:creationId xmlns:a16="http://schemas.microsoft.com/office/drawing/2014/main" id="{00000000-0008-0000-2300-000066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1" name="Shape 3">
          <a:extLst>
            <a:ext uri="{FF2B5EF4-FFF2-40B4-BE49-F238E27FC236}">
              <a16:creationId xmlns:a16="http://schemas.microsoft.com/office/drawing/2014/main" id="{00000000-0008-0000-2300-00006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2" name="Shape 3">
          <a:extLst>
            <a:ext uri="{FF2B5EF4-FFF2-40B4-BE49-F238E27FC236}">
              <a16:creationId xmlns:a16="http://schemas.microsoft.com/office/drawing/2014/main" id="{00000000-0008-0000-2300-00006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3" name="Shape 3">
          <a:extLst>
            <a:ext uri="{FF2B5EF4-FFF2-40B4-BE49-F238E27FC236}">
              <a16:creationId xmlns:a16="http://schemas.microsoft.com/office/drawing/2014/main" id="{00000000-0008-0000-2300-00006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4" name="Shape 3">
          <a:extLst>
            <a:ext uri="{FF2B5EF4-FFF2-40B4-BE49-F238E27FC236}">
              <a16:creationId xmlns:a16="http://schemas.microsoft.com/office/drawing/2014/main" id="{00000000-0008-0000-2300-00006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5" name="Shape 3">
          <a:extLst>
            <a:ext uri="{FF2B5EF4-FFF2-40B4-BE49-F238E27FC236}">
              <a16:creationId xmlns:a16="http://schemas.microsoft.com/office/drawing/2014/main" id="{00000000-0008-0000-2300-00006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6" name="Shape 3">
          <a:extLst>
            <a:ext uri="{FF2B5EF4-FFF2-40B4-BE49-F238E27FC236}">
              <a16:creationId xmlns:a16="http://schemas.microsoft.com/office/drawing/2014/main" id="{00000000-0008-0000-2300-00006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7" name="Shape 3">
          <a:extLst>
            <a:ext uri="{FF2B5EF4-FFF2-40B4-BE49-F238E27FC236}">
              <a16:creationId xmlns:a16="http://schemas.microsoft.com/office/drawing/2014/main" id="{00000000-0008-0000-2300-00006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8" name="Shape 3">
          <a:extLst>
            <a:ext uri="{FF2B5EF4-FFF2-40B4-BE49-F238E27FC236}">
              <a16:creationId xmlns:a16="http://schemas.microsoft.com/office/drawing/2014/main" id="{00000000-0008-0000-2300-00006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9" name="Shape 3">
          <a:extLst>
            <a:ext uri="{FF2B5EF4-FFF2-40B4-BE49-F238E27FC236}">
              <a16:creationId xmlns:a16="http://schemas.microsoft.com/office/drawing/2014/main" id="{00000000-0008-0000-2300-00006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0" name="Shape 3">
          <a:extLst>
            <a:ext uri="{FF2B5EF4-FFF2-40B4-BE49-F238E27FC236}">
              <a16:creationId xmlns:a16="http://schemas.microsoft.com/office/drawing/2014/main" id="{00000000-0008-0000-2300-00007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1" name="Shape 3">
          <a:extLst>
            <a:ext uri="{FF2B5EF4-FFF2-40B4-BE49-F238E27FC236}">
              <a16:creationId xmlns:a16="http://schemas.microsoft.com/office/drawing/2014/main" id="{00000000-0008-0000-2300-00007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2" name="Shape 3">
          <a:extLst>
            <a:ext uri="{FF2B5EF4-FFF2-40B4-BE49-F238E27FC236}">
              <a16:creationId xmlns:a16="http://schemas.microsoft.com/office/drawing/2014/main" id="{00000000-0008-0000-2300-000072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3" name="Shape 3">
          <a:extLst>
            <a:ext uri="{FF2B5EF4-FFF2-40B4-BE49-F238E27FC236}">
              <a16:creationId xmlns:a16="http://schemas.microsoft.com/office/drawing/2014/main" id="{00000000-0008-0000-2300-000073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4" name="Shape 3">
          <a:extLst>
            <a:ext uri="{FF2B5EF4-FFF2-40B4-BE49-F238E27FC236}">
              <a16:creationId xmlns:a16="http://schemas.microsoft.com/office/drawing/2014/main" id="{00000000-0008-0000-2300-00007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765" name="Shape 4">
          <a:extLst>
            <a:ext uri="{FF2B5EF4-FFF2-40B4-BE49-F238E27FC236}">
              <a16:creationId xmlns:a16="http://schemas.microsoft.com/office/drawing/2014/main" id="{00000000-0008-0000-2300-0000756C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766" name="Shape 4">
          <a:extLst>
            <a:ext uri="{FF2B5EF4-FFF2-40B4-BE49-F238E27FC236}">
              <a16:creationId xmlns:a16="http://schemas.microsoft.com/office/drawing/2014/main" id="{00000000-0008-0000-2300-0000766C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7" name="Shape 3">
          <a:extLst>
            <a:ext uri="{FF2B5EF4-FFF2-40B4-BE49-F238E27FC236}">
              <a16:creationId xmlns:a16="http://schemas.microsoft.com/office/drawing/2014/main" id="{00000000-0008-0000-2300-00007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8" name="Shape 3">
          <a:extLst>
            <a:ext uri="{FF2B5EF4-FFF2-40B4-BE49-F238E27FC236}">
              <a16:creationId xmlns:a16="http://schemas.microsoft.com/office/drawing/2014/main" id="{00000000-0008-0000-2300-00007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9" name="Shape 3">
          <a:extLst>
            <a:ext uri="{FF2B5EF4-FFF2-40B4-BE49-F238E27FC236}">
              <a16:creationId xmlns:a16="http://schemas.microsoft.com/office/drawing/2014/main" id="{00000000-0008-0000-2300-00007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0" name="Shape 3">
          <a:extLst>
            <a:ext uri="{FF2B5EF4-FFF2-40B4-BE49-F238E27FC236}">
              <a16:creationId xmlns:a16="http://schemas.microsoft.com/office/drawing/2014/main" id="{00000000-0008-0000-2300-00007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1" name="Shape 3">
          <a:extLst>
            <a:ext uri="{FF2B5EF4-FFF2-40B4-BE49-F238E27FC236}">
              <a16:creationId xmlns:a16="http://schemas.microsoft.com/office/drawing/2014/main" id="{00000000-0008-0000-2300-00007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2" name="Shape 3">
          <a:extLst>
            <a:ext uri="{FF2B5EF4-FFF2-40B4-BE49-F238E27FC236}">
              <a16:creationId xmlns:a16="http://schemas.microsoft.com/office/drawing/2014/main" id="{00000000-0008-0000-2300-00007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3" name="Shape 3">
          <a:extLst>
            <a:ext uri="{FF2B5EF4-FFF2-40B4-BE49-F238E27FC236}">
              <a16:creationId xmlns:a16="http://schemas.microsoft.com/office/drawing/2014/main" id="{00000000-0008-0000-2300-00007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4" name="Shape 3">
          <a:extLst>
            <a:ext uri="{FF2B5EF4-FFF2-40B4-BE49-F238E27FC236}">
              <a16:creationId xmlns:a16="http://schemas.microsoft.com/office/drawing/2014/main" id="{00000000-0008-0000-2300-00007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5" name="Shape 3">
          <a:extLst>
            <a:ext uri="{FF2B5EF4-FFF2-40B4-BE49-F238E27FC236}">
              <a16:creationId xmlns:a16="http://schemas.microsoft.com/office/drawing/2014/main" id="{00000000-0008-0000-2300-00007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6" name="Shape 3">
          <a:extLst>
            <a:ext uri="{FF2B5EF4-FFF2-40B4-BE49-F238E27FC236}">
              <a16:creationId xmlns:a16="http://schemas.microsoft.com/office/drawing/2014/main" id="{00000000-0008-0000-2300-00008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7" name="Shape 3">
          <a:extLst>
            <a:ext uri="{FF2B5EF4-FFF2-40B4-BE49-F238E27FC236}">
              <a16:creationId xmlns:a16="http://schemas.microsoft.com/office/drawing/2014/main" id="{00000000-0008-0000-2300-00008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8" name="Shape 3">
          <a:extLst>
            <a:ext uri="{FF2B5EF4-FFF2-40B4-BE49-F238E27FC236}">
              <a16:creationId xmlns:a16="http://schemas.microsoft.com/office/drawing/2014/main" id="{00000000-0008-0000-2300-000082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9" name="Shape 3">
          <a:extLst>
            <a:ext uri="{FF2B5EF4-FFF2-40B4-BE49-F238E27FC236}">
              <a16:creationId xmlns:a16="http://schemas.microsoft.com/office/drawing/2014/main" id="{00000000-0008-0000-2300-000083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0" name="Shape 3">
          <a:extLst>
            <a:ext uri="{FF2B5EF4-FFF2-40B4-BE49-F238E27FC236}">
              <a16:creationId xmlns:a16="http://schemas.microsoft.com/office/drawing/2014/main" id="{00000000-0008-0000-2300-00008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1" name="Shape 3">
          <a:extLst>
            <a:ext uri="{FF2B5EF4-FFF2-40B4-BE49-F238E27FC236}">
              <a16:creationId xmlns:a16="http://schemas.microsoft.com/office/drawing/2014/main" id="{00000000-0008-0000-2300-000085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2" name="Shape 3">
          <a:extLst>
            <a:ext uri="{FF2B5EF4-FFF2-40B4-BE49-F238E27FC236}">
              <a16:creationId xmlns:a16="http://schemas.microsoft.com/office/drawing/2014/main" id="{00000000-0008-0000-2300-000086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3" name="Shape 3">
          <a:extLst>
            <a:ext uri="{FF2B5EF4-FFF2-40B4-BE49-F238E27FC236}">
              <a16:creationId xmlns:a16="http://schemas.microsoft.com/office/drawing/2014/main" id="{00000000-0008-0000-2300-00008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4" name="Shape 3">
          <a:extLst>
            <a:ext uri="{FF2B5EF4-FFF2-40B4-BE49-F238E27FC236}">
              <a16:creationId xmlns:a16="http://schemas.microsoft.com/office/drawing/2014/main" id="{00000000-0008-0000-2300-00008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5" name="Shape 3">
          <a:extLst>
            <a:ext uri="{FF2B5EF4-FFF2-40B4-BE49-F238E27FC236}">
              <a16:creationId xmlns:a16="http://schemas.microsoft.com/office/drawing/2014/main" id="{00000000-0008-0000-2300-00008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6" name="Shape 3">
          <a:extLst>
            <a:ext uri="{FF2B5EF4-FFF2-40B4-BE49-F238E27FC236}">
              <a16:creationId xmlns:a16="http://schemas.microsoft.com/office/drawing/2014/main" id="{00000000-0008-0000-2300-00008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7" name="Shape 3">
          <a:extLst>
            <a:ext uri="{FF2B5EF4-FFF2-40B4-BE49-F238E27FC236}">
              <a16:creationId xmlns:a16="http://schemas.microsoft.com/office/drawing/2014/main" id="{00000000-0008-0000-2300-00008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8" name="Shape 3">
          <a:extLst>
            <a:ext uri="{FF2B5EF4-FFF2-40B4-BE49-F238E27FC236}">
              <a16:creationId xmlns:a16="http://schemas.microsoft.com/office/drawing/2014/main" id="{00000000-0008-0000-2300-00008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9" name="Shape 3">
          <a:extLst>
            <a:ext uri="{FF2B5EF4-FFF2-40B4-BE49-F238E27FC236}">
              <a16:creationId xmlns:a16="http://schemas.microsoft.com/office/drawing/2014/main" id="{00000000-0008-0000-2300-00008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0" name="Shape 3">
          <a:extLst>
            <a:ext uri="{FF2B5EF4-FFF2-40B4-BE49-F238E27FC236}">
              <a16:creationId xmlns:a16="http://schemas.microsoft.com/office/drawing/2014/main" id="{00000000-0008-0000-2300-00008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1" name="Shape 3">
          <a:extLst>
            <a:ext uri="{FF2B5EF4-FFF2-40B4-BE49-F238E27FC236}">
              <a16:creationId xmlns:a16="http://schemas.microsoft.com/office/drawing/2014/main" id="{00000000-0008-0000-2300-00008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2" name="Shape 3">
          <a:extLst>
            <a:ext uri="{FF2B5EF4-FFF2-40B4-BE49-F238E27FC236}">
              <a16:creationId xmlns:a16="http://schemas.microsoft.com/office/drawing/2014/main" id="{00000000-0008-0000-2300-00009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3" name="Shape 3">
          <a:extLst>
            <a:ext uri="{FF2B5EF4-FFF2-40B4-BE49-F238E27FC236}">
              <a16:creationId xmlns:a16="http://schemas.microsoft.com/office/drawing/2014/main" id="{00000000-0008-0000-2300-00009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4" name="Shape 3">
          <a:extLst>
            <a:ext uri="{FF2B5EF4-FFF2-40B4-BE49-F238E27FC236}">
              <a16:creationId xmlns:a16="http://schemas.microsoft.com/office/drawing/2014/main" id="{00000000-0008-0000-2300-000092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5" name="Shape 3">
          <a:extLst>
            <a:ext uri="{FF2B5EF4-FFF2-40B4-BE49-F238E27FC236}">
              <a16:creationId xmlns:a16="http://schemas.microsoft.com/office/drawing/2014/main" id="{00000000-0008-0000-2300-000093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6" name="Shape 3">
          <a:extLst>
            <a:ext uri="{FF2B5EF4-FFF2-40B4-BE49-F238E27FC236}">
              <a16:creationId xmlns:a16="http://schemas.microsoft.com/office/drawing/2014/main" id="{00000000-0008-0000-2300-00009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7" name="Shape 3">
          <a:extLst>
            <a:ext uri="{FF2B5EF4-FFF2-40B4-BE49-F238E27FC236}">
              <a16:creationId xmlns:a16="http://schemas.microsoft.com/office/drawing/2014/main" id="{00000000-0008-0000-2300-000095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8" name="Shape 3">
          <a:extLst>
            <a:ext uri="{FF2B5EF4-FFF2-40B4-BE49-F238E27FC236}">
              <a16:creationId xmlns:a16="http://schemas.microsoft.com/office/drawing/2014/main" id="{00000000-0008-0000-2300-000096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9" name="Shape 3">
          <a:extLst>
            <a:ext uri="{FF2B5EF4-FFF2-40B4-BE49-F238E27FC236}">
              <a16:creationId xmlns:a16="http://schemas.microsoft.com/office/drawing/2014/main" id="{00000000-0008-0000-2300-00009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0" name="Shape 3">
          <a:extLst>
            <a:ext uri="{FF2B5EF4-FFF2-40B4-BE49-F238E27FC236}">
              <a16:creationId xmlns:a16="http://schemas.microsoft.com/office/drawing/2014/main" id="{00000000-0008-0000-2300-00009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1" name="Shape 3">
          <a:extLst>
            <a:ext uri="{FF2B5EF4-FFF2-40B4-BE49-F238E27FC236}">
              <a16:creationId xmlns:a16="http://schemas.microsoft.com/office/drawing/2014/main" id="{00000000-0008-0000-2300-00009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2" name="Shape 3">
          <a:extLst>
            <a:ext uri="{FF2B5EF4-FFF2-40B4-BE49-F238E27FC236}">
              <a16:creationId xmlns:a16="http://schemas.microsoft.com/office/drawing/2014/main" id="{00000000-0008-0000-2300-00009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3" name="Shape 3">
          <a:extLst>
            <a:ext uri="{FF2B5EF4-FFF2-40B4-BE49-F238E27FC236}">
              <a16:creationId xmlns:a16="http://schemas.microsoft.com/office/drawing/2014/main" id="{00000000-0008-0000-2300-00009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4" name="Shape 3">
          <a:extLst>
            <a:ext uri="{FF2B5EF4-FFF2-40B4-BE49-F238E27FC236}">
              <a16:creationId xmlns:a16="http://schemas.microsoft.com/office/drawing/2014/main" id="{00000000-0008-0000-2300-00009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5" name="Shape 3">
          <a:extLst>
            <a:ext uri="{FF2B5EF4-FFF2-40B4-BE49-F238E27FC236}">
              <a16:creationId xmlns:a16="http://schemas.microsoft.com/office/drawing/2014/main" id="{00000000-0008-0000-2300-00009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6" name="Shape 3">
          <a:extLst>
            <a:ext uri="{FF2B5EF4-FFF2-40B4-BE49-F238E27FC236}">
              <a16:creationId xmlns:a16="http://schemas.microsoft.com/office/drawing/2014/main" id="{00000000-0008-0000-2300-00009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7" name="Shape 3">
          <a:extLst>
            <a:ext uri="{FF2B5EF4-FFF2-40B4-BE49-F238E27FC236}">
              <a16:creationId xmlns:a16="http://schemas.microsoft.com/office/drawing/2014/main" id="{00000000-0008-0000-2300-00009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8" name="Shape 3">
          <a:extLst>
            <a:ext uri="{FF2B5EF4-FFF2-40B4-BE49-F238E27FC236}">
              <a16:creationId xmlns:a16="http://schemas.microsoft.com/office/drawing/2014/main" id="{00000000-0008-0000-2300-0000A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9" name="Shape 3">
          <a:extLst>
            <a:ext uri="{FF2B5EF4-FFF2-40B4-BE49-F238E27FC236}">
              <a16:creationId xmlns:a16="http://schemas.microsoft.com/office/drawing/2014/main" id="{00000000-0008-0000-2300-0000A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10" name="Shape 3">
          <a:extLst>
            <a:ext uri="{FF2B5EF4-FFF2-40B4-BE49-F238E27FC236}">
              <a16:creationId xmlns:a16="http://schemas.microsoft.com/office/drawing/2014/main" id="{00000000-0008-0000-2300-0000A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1" name="Shape 3">
          <a:extLst>
            <a:ext uri="{FF2B5EF4-FFF2-40B4-BE49-F238E27FC236}">
              <a16:creationId xmlns:a16="http://schemas.microsoft.com/office/drawing/2014/main" id="{00000000-0008-0000-2300-0000A3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2" name="Shape 3">
          <a:extLst>
            <a:ext uri="{FF2B5EF4-FFF2-40B4-BE49-F238E27FC236}">
              <a16:creationId xmlns:a16="http://schemas.microsoft.com/office/drawing/2014/main" id="{00000000-0008-0000-2300-0000A4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3" name="Shape 3">
          <a:extLst>
            <a:ext uri="{FF2B5EF4-FFF2-40B4-BE49-F238E27FC236}">
              <a16:creationId xmlns:a16="http://schemas.microsoft.com/office/drawing/2014/main" id="{00000000-0008-0000-2300-0000A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4" name="Shape 3">
          <a:extLst>
            <a:ext uri="{FF2B5EF4-FFF2-40B4-BE49-F238E27FC236}">
              <a16:creationId xmlns:a16="http://schemas.microsoft.com/office/drawing/2014/main" id="{00000000-0008-0000-2300-0000A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5" name="Shape 3">
          <a:extLst>
            <a:ext uri="{FF2B5EF4-FFF2-40B4-BE49-F238E27FC236}">
              <a16:creationId xmlns:a16="http://schemas.microsoft.com/office/drawing/2014/main" id="{00000000-0008-0000-2300-0000A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6" name="Shape 3">
          <a:extLst>
            <a:ext uri="{FF2B5EF4-FFF2-40B4-BE49-F238E27FC236}">
              <a16:creationId xmlns:a16="http://schemas.microsoft.com/office/drawing/2014/main" id="{00000000-0008-0000-2300-0000A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7" name="Shape 3">
          <a:extLst>
            <a:ext uri="{FF2B5EF4-FFF2-40B4-BE49-F238E27FC236}">
              <a16:creationId xmlns:a16="http://schemas.microsoft.com/office/drawing/2014/main" id="{00000000-0008-0000-2300-0000A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8" name="Shape 3">
          <a:extLst>
            <a:ext uri="{FF2B5EF4-FFF2-40B4-BE49-F238E27FC236}">
              <a16:creationId xmlns:a16="http://schemas.microsoft.com/office/drawing/2014/main" id="{00000000-0008-0000-2300-0000A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9" name="Shape 3">
          <a:extLst>
            <a:ext uri="{FF2B5EF4-FFF2-40B4-BE49-F238E27FC236}">
              <a16:creationId xmlns:a16="http://schemas.microsoft.com/office/drawing/2014/main" id="{00000000-0008-0000-2300-0000A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0" name="Shape 3">
          <a:extLst>
            <a:ext uri="{FF2B5EF4-FFF2-40B4-BE49-F238E27FC236}">
              <a16:creationId xmlns:a16="http://schemas.microsoft.com/office/drawing/2014/main" id="{00000000-0008-0000-2300-0000A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1" name="Shape 3">
          <a:extLst>
            <a:ext uri="{FF2B5EF4-FFF2-40B4-BE49-F238E27FC236}">
              <a16:creationId xmlns:a16="http://schemas.microsoft.com/office/drawing/2014/main" id="{00000000-0008-0000-2300-0000A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2" name="Shape 3">
          <a:extLst>
            <a:ext uri="{FF2B5EF4-FFF2-40B4-BE49-F238E27FC236}">
              <a16:creationId xmlns:a16="http://schemas.microsoft.com/office/drawing/2014/main" id="{00000000-0008-0000-2300-0000A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3" name="Shape 3">
          <a:extLst>
            <a:ext uri="{FF2B5EF4-FFF2-40B4-BE49-F238E27FC236}">
              <a16:creationId xmlns:a16="http://schemas.microsoft.com/office/drawing/2014/main" id="{00000000-0008-0000-2300-0000A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4" name="Shape 3">
          <a:extLst>
            <a:ext uri="{FF2B5EF4-FFF2-40B4-BE49-F238E27FC236}">
              <a16:creationId xmlns:a16="http://schemas.microsoft.com/office/drawing/2014/main" id="{00000000-0008-0000-2300-0000B0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5" name="Shape 3">
          <a:extLst>
            <a:ext uri="{FF2B5EF4-FFF2-40B4-BE49-F238E27FC236}">
              <a16:creationId xmlns:a16="http://schemas.microsoft.com/office/drawing/2014/main" id="{00000000-0008-0000-2300-0000B1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6" name="Shape 3">
          <a:extLst>
            <a:ext uri="{FF2B5EF4-FFF2-40B4-BE49-F238E27FC236}">
              <a16:creationId xmlns:a16="http://schemas.microsoft.com/office/drawing/2014/main" id="{00000000-0008-0000-2300-0000B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827" name="Shape 4">
          <a:extLst>
            <a:ext uri="{FF2B5EF4-FFF2-40B4-BE49-F238E27FC236}">
              <a16:creationId xmlns:a16="http://schemas.microsoft.com/office/drawing/2014/main" id="{00000000-0008-0000-2300-0000B36C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828" name="Shape 4">
          <a:extLst>
            <a:ext uri="{FF2B5EF4-FFF2-40B4-BE49-F238E27FC236}">
              <a16:creationId xmlns:a16="http://schemas.microsoft.com/office/drawing/2014/main" id="{00000000-0008-0000-2300-0000B46C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9" name="Shape 3">
          <a:extLst>
            <a:ext uri="{FF2B5EF4-FFF2-40B4-BE49-F238E27FC236}">
              <a16:creationId xmlns:a16="http://schemas.microsoft.com/office/drawing/2014/main" id="{00000000-0008-0000-2300-0000B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0" name="Shape 3">
          <a:extLst>
            <a:ext uri="{FF2B5EF4-FFF2-40B4-BE49-F238E27FC236}">
              <a16:creationId xmlns:a16="http://schemas.microsoft.com/office/drawing/2014/main" id="{00000000-0008-0000-2300-0000B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1" name="Shape 3">
          <a:extLst>
            <a:ext uri="{FF2B5EF4-FFF2-40B4-BE49-F238E27FC236}">
              <a16:creationId xmlns:a16="http://schemas.microsoft.com/office/drawing/2014/main" id="{00000000-0008-0000-2300-0000B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2" name="Shape 3">
          <a:extLst>
            <a:ext uri="{FF2B5EF4-FFF2-40B4-BE49-F238E27FC236}">
              <a16:creationId xmlns:a16="http://schemas.microsoft.com/office/drawing/2014/main" id="{00000000-0008-0000-2300-0000B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3" name="Shape 3">
          <a:extLst>
            <a:ext uri="{FF2B5EF4-FFF2-40B4-BE49-F238E27FC236}">
              <a16:creationId xmlns:a16="http://schemas.microsoft.com/office/drawing/2014/main" id="{00000000-0008-0000-2300-0000B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4" name="Shape 3">
          <a:extLst>
            <a:ext uri="{FF2B5EF4-FFF2-40B4-BE49-F238E27FC236}">
              <a16:creationId xmlns:a16="http://schemas.microsoft.com/office/drawing/2014/main" id="{00000000-0008-0000-2300-0000B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5" name="Shape 3">
          <a:extLst>
            <a:ext uri="{FF2B5EF4-FFF2-40B4-BE49-F238E27FC236}">
              <a16:creationId xmlns:a16="http://schemas.microsoft.com/office/drawing/2014/main" id="{00000000-0008-0000-2300-0000B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6" name="Shape 3">
          <a:extLst>
            <a:ext uri="{FF2B5EF4-FFF2-40B4-BE49-F238E27FC236}">
              <a16:creationId xmlns:a16="http://schemas.microsoft.com/office/drawing/2014/main" id="{00000000-0008-0000-2300-0000B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37" name="Shape 3">
          <a:extLst>
            <a:ext uri="{FF2B5EF4-FFF2-40B4-BE49-F238E27FC236}">
              <a16:creationId xmlns:a16="http://schemas.microsoft.com/office/drawing/2014/main" id="{00000000-0008-0000-2300-0000B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38" name="Shape 3">
          <a:extLst>
            <a:ext uri="{FF2B5EF4-FFF2-40B4-BE49-F238E27FC236}">
              <a16:creationId xmlns:a16="http://schemas.microsoft.com/office/drawing/2014/main" id="{00000000-0008-0000-2300-0000B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39" name="Shape 3">
          <a:extLst>
            <a:ext uri="{FF2B5EF4-FFF2-40B4-BE49-F238E27FC236}">
              <a16:creationId xmlns:a16="http://schemas.microsoft.com/office/drawing/2014/main" id="{00000000-0008-0000-2300-0000B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0" name="Shape 3">
          <a:extLst>
            <a:ext uri="{FF2B5EF4-FFF2-40B4-BE49-F238E27FC236}">
              <a16:creationId xmlns:a16="http://schemas.microsoft.com/office/drawing/2014/main" id="{00000000-0008-0000-2300-0000C0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1" name="Shape 3">
          <a:extLst>
            <a:ext uri="{FF2B5EF4-FFF2-40B4-BE49-F238E27FC236}">
              <a16:creationId xmlns:a16="http://schemas.microsoft.com/office/drawing/2014/main" id="{00000000-0008-0000-2300-0000C1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2" name="Shape 3">
          <a:extLst>
            <a:ext uri="{FF2B5EF4-FFF2-40B4-BE49-F238E27FC236}">
              <a16:creationId xmlns:a16="http://schemas.microsoft.com/office/drawing/2014/main" id="{00000000-0008-0000-2300-0000C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3" name="Shape 3">
          <a:extLst>
            <a:ext uri="{FF2B5EF4-FFF2-40B4-BE49-F238E27FC236}">
              <a16:creationId xmlns:a16="http://schemas.microsoft.com/office/drawing/2014/main" id="{00000000-0008-0000-2300-0000C3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4" name="Shape 3">
          <a:extLst>
            <a:ext uri="{FF2B5EF4-FFF2-40B4-BE49-F238E27FC236}">
              <a16:creationId xmlns:a16="http://schemas.microsoft.com/office/drawing/2014/main" id="{00000000-0008-0000-2300-0000C4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5" name="Shape 3">
          <a:extLst>
            <a:ext uri="{FF2B5EF4-FFF2-40B4-BE49-F238E27FC236}">
              <a16:creationId xmlns:a16="http://schemas.microsoft.com/office/drawing/2014/main" id="{00000000-0008-0000-2300-0000C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6" name="Shape 3">
          <a:extLst>
            <a:ext uri="{FF2B5EF4-FFF2-40B4-BE49-F238E27FC236}">
              <a16:creationId xmlns:a16="http://schemas.microsoft.com/office/drawing/2014/main" id="{00000000-0008-0000-2300-0000C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7" name="Shape 3">
          <a:extLst>
            <a:ext uri="{FF2B5EF4-FFF2-40B4-BE49-F238E27FC236}">
              <a16:creationId xmlns:a16="http://schemas.microsoft.com/office/drawing/2014/main" id="{00000000-0008-0000-2300-0000C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8" name="Shape 3">
          <a:extLst>
            <a:ext uri="{FF2B5EF4-FFF2-40B4-BE49-F238E27FC236}">
              <a16:creationId xmlns:a16="http://schemas.microsoft.com/office/drawing/2014/main" id="{00000000-0008-0000-2300-0000C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9" name="Shape 3">
          <a:extLst>
            <a:ext uri="{FF2B5EF4-FFF2-40B4-BE49-F238E27FC236}">
              <a16:creationId xmlns:a16="http://schemas.microsoft.com/office/drawing/2014/main" id="{00000000-0008-0000-2300-0000C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0" name="Shape 3">
          <a:extLst>
            <a:ext uri="{FF2B5EF4-FFF2-40B4-BE49-F238E27FC236}">
              <a16:creationId xmlns:a16="http://schemas.microsoft.com/office/drawing/2014/main" id="{00000000-0008-0000-2300-0000C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1" name="Shape 3">
          <a:extLst>
            <a:ext uri="{FF2B5EF4-FFF2-40B4-BE49-F238E27FC236}">
              <a16:creationId xmlns:a16="http://schemas.microsoft.com/office/drawing/2014/main" id="{00000000-0008-0000-2300-0000C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2" name="Shape 3">
          <a:extLst>
            <a:ext uri="{FF2B5EF4-FFF2-40B4-BE49-F238E27FC236}">
              <a16:creationId xmlns:a16="http://schemas.microsoft.com/office/drawing/2014/main" id="{00000000-0008-0000-2300-0000C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3" name="Shape 3">
          <a:extLst>
            <a:ext uri="{FF2B5EF4-FFF2-40B4-BE49-F238E27FC236}">
              <a16:creationId xmlns:a16="http://schemas.microsoft.com/office/drawing/2014/main" id="{00000000-0008-0000-2300-0000C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4" name="Shape 3">
          <a:extLst>
            <a:ext uri="{FF2B5EF4-FFF2-40B4-BE49-F238E27FC236}">
              <a16:creationId xmlns:a16="http://schemas.microsoft.com/office/drawing/2014/main" id="{00000000-0008-0000-2300-0000C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5" name="Shape 3">
          <a:extLst>
            <a:ext uri="{FF2B5EF4-FFF2-40B4-BE49-F238E27FC236}">
              <a16:creationId xmlns:a16="http://schemas.microsoft.com/office/drawing/2014/main" id="{00000000-0008-0000-2300-0000C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6" name="Shape 3">
          <a:extLst>
            <a:ext uri="{FF2B5EF4-FFF2-40B4-BE49-F238E27FC236}">
              <a16:creationId xmlns:a16="http://schemas.microsoft.com/office/drawing/2014/main" id="{00000000-0008-0000-2300-0000D0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7" name="Shape 3">
          <a:extLst>
            <a:ext uri="{FF2B5EF4-FFF2-40B4-BE49-F238E27FC236}">
              <a16:creationId xmlns:a16="http://schemas.microsoft.com/office/drawing/2014/main" id="{00000000-0008-0000-2300-0000D1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8" name="Shape 3">
          <a:extLst>
            <a:ext uri="{FF2B5EF4-FFF2-40B4-BE49-F238E27FC236}">
              <a16:creationId xmlns:a16="http://schemas.microsoft.com/office/drawing/2014/main" id="{00000000-0008-0000-2300-0000D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9" name="Shape 3">
          <a:extLst>
            <a:ext uri="{FF2B5EF4-FFF2-40B4-BE49-F238E27FC236}">
              <a16:creationId xmlns:a16="http://schemas.microsoft.com/office/drawing/2014/main" id="{00000000-0008-0000-2300-0000D3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0" name="Shape 3">
          <a:extLst>
            <a:ext uri="{FF2B5EF4-FFF2-40B4-BE49-F238E27FC236}">
              <a16:creationId xmlns:a16="http://schemas.microsoft.com/office/drawing/2014/main" id="{00000000-0008-0000-2300-0000D4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1" name="Shape 3">
          <a:extLst>
            <a:ext uri="{FF2B5EF4-FFF2-40B4-BE49-F238E27FC236}">
              <a16:creationId xmlns:a16="http://schemas.microsoft.com/office/drawing/2014/main" id="{00000000-0008-0000-2300-0000D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2" name="Shape 3">
          <a:extLst>
            <a:ext uri="{FF2B5EF4-FFF2-40B4-BE49-F238E27FC236}">
              <a16:creationId xmlns:a16="http://schemas.microsoft.com/office/drawing/2014/main" id="{00000000-0008-0000-2300-0000D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3" name="Shape 3">
          <a:extLst>
            <a:ext uri="{FF2B5EF4-FFF2-40B4-BE49-F238E27FC236}">
              <a16:creationId xmlns:a16="http://schemas.microsoft.com/office/drawing/2014/main" id="{00000000-0008-0000-2300-0000D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4" name="Shape 3">
          <a:extLst>
            <a:ext uri="{FF2B5EF4-FFF2-40B4-BE49-F238E27FC236}">
              <a16:creationId xmlns:a16="http://schemas.microsoft.com/office/drawing/2014/main" id="{00000000-0008-0000-2300-0000D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5" name="Shape 3">
          <a:extLst>
            <a:ext uri="{FF2B5EF4-FFF2-40B4-BE49-F238E27FC236}">
              <a16:creationId xmlns:a16="http://schemas.microsoft.com/office/drawing/2014/main" id="{00000000-0008-0000-2300-0000D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6" name="Shape 3">
          <a:extLst>
            <a:ext uri="{FF2B5EF4-FFF2-40B4-BE49-F238E27FC236}">
              <a16:creationId xmlns:a16="http://schemas.microsoft.com/office/drawing/2014/main" id="{00000000-0008-0000-2300-0000D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7" name="Shape 3">
          <a:extLst>
            <a:ext uri="{FF2B5EF4-FFF2-40B4-BE49-F238E27FC236}">
              <a16:creationId xmlns:a16="http://schemas.microsoft.com/office/drawing/2014/main" id="{00000000-0008-0000-2300-0000D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8" name="Shape 3">
          <a:extLst>
            <a:ext uri="{FF2B5EF4-FFF2-40B4-BE49-F238E27FC236}">
              <a16:creationId xmlns:a16="http://schemas.microsoft.com/office/drawing/2014/main" id="{00000000-0008-0000-2300-0000D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9" name="Shape 3">
          <a:extLst>
            <a:ext uri="{FF2B5EF4-FFF2-40B4-BE49-F238E27FC236}">
              <a16:creationId xmlns:a16="http://schemas.microsoft.com/office/drawing/2014/main" id="{00000000-0008-0000-2300-0000D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70" name="Shape 3">
          <a:extLst>
            <a:ext uri="{FF2B5EF4-FFF2-40B4-BE49-F238E27FC236}">
              <a16:creationId xmlns:a16="http://schemas.microsoft.com/office/drawing/2014/main" id="{00000000-0008-0000-2300-0000D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71" name="Shape 3">
          <a:extLst>
            <a:ext uri="{FF2B5EF4-FFF2-40B4-BE49-F238E27FC236}">
              <a16:creationId xmlns:a16="http://schemas.microsoft.com/office/drawing/2014/main" id="{00000000-0008-0000-2300-0000D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24" name="Shape 3">
          <a:extLst>
            <a:ext uri="{FF2B5EF4-FFF2-40B4-BE49-F238E27FC236}">
              <a16:creationId xmlns:a16="http://schemas.microsoft.com/office/drawing/2014/main" id="{00000000-0008-0000-2400-0000E8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25" name="Shape 3">
          <a:extLst>
            <a:ext uri="{FF2B5EF4-FFF2-40B4-BE49-F238E27FC236}">
              <a16:creationId xmlns:a16="http://schemas.microsoft.com/office/drawing/2014/main" id="{00000000-0008-0000-2400-0000E9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26" name="Shape 3">
          <a:extLst>
            <a:ext uri="{FF2B5EF4-FFF2-40B4-BE49-F238E27FC236}">
              <a16:creationId xmlns:a16="http://schemas.microsoft.com/office/drawing/2014/main" id="{00000000-0008-0000-2400-0000EA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27" name="Shape 3">
          <a:extLst>
            <a:ext uri="{FF2B5EF4-FFF2-40B4-BE49-F238E27FC236}">
              <a16:creationId xmlns:a16="http://schemas.microsoft.com/office/drawing/2014/main" id="{00000000-0008-0000-2400-0000EB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28" name="Shape 3">
          <a:extLst>
            <a:ext uri="{FF2B5EF4-FFF2-40B4-BE49-F238E27FC236}">
              <a16:creationId xmlns:a16="http://schemas.microsoft.com/office/drawing/2014/main" id="{00000000-0008-0000-2400-0000EC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29" name="Shape 3">
          <a:extLst>
            <a:ext uri="{FF2B5EF4-FFF2-40B4-BE49-F238E27FC236}">
              <a16:creationId xmlns:a16="http://schemas.microsoft.com/office/drawing/2014/main" id="{00000000-0008-0000-2400-0000ED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30" name="Shape 3">
          <a:extLst>
            <a:ext uri="{FF2B5EF4-FFF2-40B4-BE49-F238E27FC236}">
              <a16:creationId xmlns:a16="http://schemas.microsoft.com/office/drawing/2014/main" id="{00000000-0008-0000-2400-0000EE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31" name="Shape 3">
          <a:extLst>
            <a:ext uri="{FF2B5EF4-FFF2-40B4-BE49-F238E27FC236}">
              <a16:creationId xmlns:a16="http://schemas.microsoft.com/office/drawing/2014/main" id="{00000000-0008-0000-2400-0000EF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32" name="Shape 3">
          <a:extLst>
            <a:ext uri="{FF2B5EF4-FFF2-40B4-BE49-F238E27FC236}">
              <a16:creationId xmlns:a16="http://schemas.microsoft.com/office/drawing/2014/main" id="{00000000-0008-0000-2400-0000F0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33" name="Shape 3">
          <a:extLst>
            <a:ext uri="{FF2B5EF4-FFF2-40B4-BE49-F238E27FC236}">
              <a16:creationId xmlns:a16="http://schemas.microsoft.com/office/drawing/2014/main" id="{00000000-0008-0000-2400-0000F1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34" name="Shape 3">
          <a:extLst>
            <a:ext uri="{FF2B5EF4-FFF2-40B4-BE49-F238E27FC236}">
              <a16:creationId xmlns:a16="http://schemas.microsoft.com/office/drawing/2014/main" id="{00000000-0008-0000-2400-0000F2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35" name="Shape 3">
          <a:extLst>
            <a:ext uri="{FF2B5EF4-FFF2-40B4-BE49-F238E27FC236}">
              <a16:creationId xmlns:a16="http://schemas.microsoft.com/office/drawing/2014/main" id="{00000000-0008-0000-2400-0000F3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36" name="Shape 3">
          <a:extLst>
            <a:ext uri="{FF2B5EF4-FFF2-40B4-BE49-F238E27FC236}">
              <a16:creationId xmlns:a16="http://schemas.microsoft.com/office/drawing/2014/main" id="{00000000-0008-0000-2400-0000F4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37" name="Shape 3">
          <a:extLst>
            <a:ext uri="{FF2B5EF4-FFF2-40B4-BE49-F238E27FC236}">
              <a16:creationId xmlns:a16="http://schemas.microsoft.com/office/drawing/2014/main" id="{00000000-0008-0000-2400-0000F5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38" name="Shape 3">
          <a:extLst>
            <a:ext uri="{FF2B5EF4-FFF2-40B4-BE49-F238E27FC236}">
              <a16:creationId xmlns:a16="http://schemas.microsoft.com/office/drawing/2014/main" id="{00000000-0008-0000-2400-0000F6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39" name="Shape 3">
          <a:extLst>
            <a:ext uri="{FF2B5EF4-FFF2-40B4-BE49-F238E27FC236}">
              <a16:creationId xmlns:a16="http://schemas.microsoft.com/office/drawing/2014/main" id="{00000000-0008-0000-2400-0000F7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40" name="Shape 3">
          <a:extLst>
            <a:ext uri="{FF2B5EF4-FFF2-40B4-BE49-F238E27FC236}">
              <a16:creationId xmlns:a16="http://schemas.microsoft.com/office/drawing/2014/main" id="{00000000-0008-0000-2400-0000F8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27641" name="Shape 4">
          <a:extLst>
            <a:ext uri="{FF2B5EF4-FFF2-40B4-BE49-F238E27FC236}">
              <a16:creationId xmlns:a16="http://schemas.microsoft.com/office/drawing/2014/main" id="{00000000-0008-0000-2400-0000F96B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27642" name="Shape 4">
          <a:extLst>
            <a:ext uri="{FF2B5EF4-FFF2-40B4-BE49-F238E27FC236}">
              <a16:creationId xmlns:a16="http://schemas.microsoft.com/office/drawing/2014/main" id="{00000000-0008-0000-2400-0000FA6B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43" name="Shape 3">
          <a:extLst>
            <a:ext uri="{FF2B5EF4-FFF2-40B4-BE49-F238E27FC236}">
              <a16:creationId xmlns:a16="http://schemas.microsoft.com/office/drawing/2014/main" id="{00000000-0008-0000-2400-0000FB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44" name="Shape 3">
          <a:extLst>
            <a:ext uri="{FF2B5EF4-FFF2-40B4-BE49-F238E27FC236}">
              <a16:creationId xmlns:a16="http://schemas.microsoft.com/office/drawing/2014/main" id="{00000000-0008-0000-2400-0000FC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45" name="Shape 3">
          <a:extLst>
            <a:ext uri="{FF2B5EF4-FFF2-40B4-BE49-F238E27FC236}">
              <a16:creationId xmlns:a16="http://schemas.microsoft.com/office/drawing/2014/main" id="{00000000-0008-0000-2400-0000FD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46" name="Shape 3">
          <a:extLst>
            <a:ext uri="{FF2B5EF4-FFF2-40B4-BE49-F238E27FC236}">
              <a16:creationId xmlns:a16="http://schemas.microsoft.com/office/drawing/2014/main" id="{00000000-0008-0000-2400-0000FE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47" name="Shape 3">
          <a:extLst>
            <a:ext uri="{FF2B5EF4-FFF2-40B4-BE49-F238E27FC236}">
              <a16:creationId xmlns:a16="http://schemas.microsoft.com/office/drawing/2014/main" id="{00000000-0008-0000-2400-0000FF6B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48" name="Shape 3">
          <a:extLst>
            <a:ext uri="{FF2B5EF4-FFF2-40B4-BE49-F238E27FC236}">
              <a16:creationId xmlns:a16="http://schemas.microsoft.com/office/drawing/2014/main" id="{00000000-0008-0000-2400-000000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49" name="Shape 3">
          <a:extLst>
            <a:ext uri="{FF2B5EF4-FFF2-40B4-BE49-F238E27FC236}">
              <a16:creationId xmlns:a16="http://schemas.microsoft.com/office/drawing/2014/main" id="{00000000-0008-0000-2400-000001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7650" name="Shape 3">
          <a:extLst>
            <a:ext uri="{FF2B5EF4-FFF2-40B4-BE49-F238E27FC236}">
              <a16:creationId xmlns:a16="http://schemas.microsoft.com/office/drawing/2014/main" id="{00000000-0008-0000-2400-000002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51" name="Shape 3">
          <a:extLst>
            <a:ext uri="{FF2B5EF4-FFF2-40B4-BE49-F238E27FC236}">
              <a16:creationId xmlns:a16="http://schemas.microsoft.com/office/drawing/2014/main" id="{00000000-0008-0000-2400-000003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52" name="Shape 3">
          <a:extLst>
            <a:ext uri="{FF2B5EF4-FFF2-40B4-BE49-F238E27FC236}">
              <a16:creationId xmlns:a16="http://schemas.microsoft.com/office/drawing/2014/main" id="{00000000-0008-0000-2400-000004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53" name="Shape 3">
          <a:extLst>
            <a:ext uri="{FF2B5EF4-FFF2-40B4-BE49-F238E27FC236}">
              <a16:creationId xmlns:a16="http://schemas.microsoft.com/office/drawing/2014/main" id="{00000000-0008-0000-2400-000005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54" name="Shape 3">
          <a:extLst>
            <a:ext uri="{FF2B5EF4-FFF2-40B4-BE49-F238E27FC236}">
              <a16:creationId xmlns:a16="http://schemas.microsoft.com/office/drawing/2014/main" id="{00000000-0008-0000-2400-000006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55" name="Shape 3">
          <a:extLst>
            <a:ext uri="{FF2B5EF4-FFF2-40B4-BE49-F238E27FC236}">
              <a16:creationId xmlns:a16="http://schemas.microsoft.com/office/drawing/2014/main" id="{00000000-0008-0000-2400-000007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56" name="Shape 3">
          <a:extLst>
            <a:ext uri="{FF2B5EF4-FFF2-40B4-BE49-F238E27FC236}">
              <a16:creationId xmlns:a16="http://schemas.microsoft.com/office/drawing/2014/main" id="{00000000-0008-0000-2400-000008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57" name="Shape 3">
          <a:extLst>
            <a:ext uri="{FF2B5EF4-FFF2-40B4-BE49-F238E27FC236}">
              <a16:creationId xmlns:a16="http://schemas.microsoft.com/office/drawing/2014/main" id="{00000000-0008-0000-2400-000009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58" name="Shape 3">
          <a:extLst>
            <a:ext uri="{FF2B5EF4-FFF2-40B4-BE49-F238E27FC236}">
              <a16:creationId xmlns:a16="http://schemas.microsoft.com/office/drawing/2014/main" id="{00000000-0008-0000-2400-00000A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59" name="Shape 3">
          <a:extLst>
            <a:ext uri="{FF2B5EF4-FFF2-40B4-BE49-F238E27FC236}">
              <a16:creationId xmlns:a16="http://schemas.microsoft.com/office/drawing/2014/main" id="{00000000-0008-0000-2400-00000B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60" name="Shape 3">
          <a:extLst>
            <a:ext uri="{FF2B5EF4-FFF2-40B4-BE49-F238E27FC236}">
              <a16:creationId xmlns:a16="http://schemas.microsoft.com/office/drawing/2014/main" id="{00000000-0008-0000-2400-00000C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61" name="Shape 3">
          <a:extLst>
            <a:ext uri="{FF2B5EF4-FFF2-40B4-BE49-F238E27FC236}">
              <a16:creationId xmlns:a16="http://schemas.microsoft.com/office/drawing/2014/main" id="{00000000-0008-0000-2400-00000D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62" name="Shape 3">
          <a:extLst>
            <a:ext uri="{FF2B5EF4-FFF2-40B4-BE49-F238E27FC236}">
              <a16:creationId xmlns:a16="http://schemas.microsoft.com/office/drawing/2014/main" id="{00000000-0008-0000-2400-00000E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63" name="Shape 3">
          <a:extLst>
            <a:ext uri="{FF2B5EF4-FFF2-40B4-BE49-F238E27FC236}">
              <a16:creationId xmlns:a16="http://schemas.microsoft.com/office/drawing/2014/main" id="{00000000-0008-0000-2400-00000F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64" name="Shape 3">
          <a:extLst>
            <a:ext uri="{FF2B5EF4-FFF2-40B4-BE49-F238E27FC236}">
              <a16:creationId xmlns:a16="http://schemas.microsoft.com/office/drawing/2014/main" id="{00000000-0008-0000-2400-000010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65" name="Shape 3">
          <a:extLst>
            <a:ext uri="{FF2B5EF4-FFF2-40B4-BE49-F238E27FC236}">
              <a16:creationId xmlns:a16="http://schemas.microsoft.com/office/drawing/2014/main" id="{00000000-0008-0000-2400-000011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66" name="Shape 3">
          <a:extLst>
            <a:ext uri="{FF2B5EF4-FFF2-40B4-BE49-F238E27FC236}">
              <a16:creationId xmlns:a16="http://schemas.microsoft.com/office/drawing/2014/main" id="{00000000-0008-0000-2400-000012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67" name="Shape 3">
          <a:extLst>
            <a:ext uri="{FF2B5EF4-FFF2-40B4-BE49-F238E27FC236}">
              <a16:creationId xmlns:a16="http://schemas.microsoft.com/office/drawing/2014/main" id="{00000000-0008-0000-2400-000013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68" name="Shape 3">
          <a:extLst>
            <a:ext uri="{FF2B5EF4-FFF2-40B4-BE49-F238E27FC236}">
              <a16:creationId xmlns:a16="http://schemas.microsoft.com/office/drawing/2014/main" id="{00000000-0008-0000-2400-000014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69" name="Shape 3">
          <a:extLst>
            <a:ext uri="{FF2B5EF4-FFF2-40B4-BE49-F238E27FC236}">
              <a16:creationId xmlns:a16="http://schemas.microsoft.com/office/drawing/2014/main" id="{00000000-0008-0000-2400-000015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70" name="Shape 3">
          <a:extLst>
            <a:ext uri="{FF2B5EF4-FFF2-40B4-BE49-F238E27FC236}">
              <a16:creationId xmlns:a16="http://schemas.microsoft.com/office/drawing/2014/main" id="{00000000-0008-0000-2400-000016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71" name="Shape 3">
          <a:extLst>
            <a:ext uri="{FF2B5EF4-FFF2-40B4-BE49-F238E27FC236}">
              <a16:creationId xmlns:a16="http://schemas.microsoft.com/office/drawing/2014/main" id="{00000000-0008-0000-2400-000017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72" name="Shape 3">
          <a:extLst>
            <a:ext uri="{FF2B5EF4-FFF2-40B4-BE49-F238E27FC236}">
              <a16:creationId xmlns:a16="http://schemas.microsoft.com/office/drawing/2014/main" id="{00000000-0008-0000-2400-000018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73" name="Shape 3">
          <a:extLst>
            <a:ext uri="{FF2B5EF4-FFF2-40B4-BE49-F238E27FC236}">
              <a16:creationId xmlns:a16="http://schemas.microsoft.com/office/drawing/2014/main" id="{00000000-0008-0000-2400-000019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74" name="Shape 3">
          <a:extLst>
            <a:ext uri="{FF2B5EF4-FFF2-40B4-BE49-F238E27FC236}">
              <a16:creationId xmlns:a16="http://schemas.microsoft.com/office/drawing/2014/main" id="{00000000-0008-0000-2400-00001A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75" name="Shape 3">
          <a:extLst>
            <a:ext uri="{FF2B5EF4-FFF2-40B4-BE49-F238E27FC236}">
              <a16:creationId xmlns:a16="http://schemas.microsoft.com/office/drawing/2014/main" id="{00000000-0008-0000-2400-00001B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76" name="Shape 3">
          <a:extLst>
            <a:ext uri="{FF2B5EF4-FFF2-40B4-BE49-F238E27FC236}">
              <a16:creationId xmlns:a16="http://schemas.microsoft.com/office/drawing/2014/main" id="{00000000-0008-0000-2400-00001C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77" name="Shape 3">
          <a:extLst>
            <a:ext uri="{FF2B5EF4-FFF2-40B4-BE49-F238E27FC236}">
              <a16:creationId xmlns:a16="http://schemas.microsoft.com/office/drawing/2014/main" id="{00000000-0008-0000-2400-00001D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78" name="Shape 3">
          <a:extLst>
            <a:ext uri="{FF2B5EF4-FFF2-40B4-BE49-F238E27FC236}">
              <a16:creationId xmlns:a16="http://schemas.microsoft.com/office/drawing/2014/main" id="{00000000-0008-0000-2400-00001E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79" name="Shape 3">
          <a:extLst>
            <a:ext uri="{FF2B5EF4-FFF2-40B4-BE49-F238E27FC236}">
              <a16:creationId xmlns:a16="http://schemas.microsoft.com/office/drawing/2014/main" id="{00000000-0008-0000-2400-00001F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80" name="Shape 3">
          <a:extLst>
            <a:ext uri="{FF2B5EF4-FFF2-40B4-BE49-F238E27FC236}">
              <a16:creationId xmlns:a16="http://schemas.microsoft.com/office/drawing/2014/main" id="{00000000-0008-0000-2400-000020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81" name="Shape 3">
          <a:extLst>
            <a:ext uri="{FF2B5EF4-FFF2-40B4-BE49-F238E27FC236}">
              <a16:creationId xmlns:a16="http://schemas.microsoft.com/office/drawing/2014/main" id="{00000000-0008-0000-2400-000021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82" name="Shape 3">
          <a:extLst>
            <a:ext uri="{FF2B5EF4-FFF2-40B4-BE49-F238E27FC236}">
              <a16:creationId xmlns:a16="http://schemas.microsoft.com/office/drawing/2014/main" id="{00000000-0008-0000-2400-000022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83" name="Shape 3">
          <a:extLst>
            <a:ext uri="{FF2B5EF4-FFF2-40B4-BE49-F238E27FC236}">
              <a16:creationId xmlns:a16="http://schemas.microsoft.com/office/drawing/2014/main" id="{00000000-0008-0000-2400-000023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84" name="Shape 3">
          <a:extLst>
            <a:ext uri="{FF2B5EF4-FFF2-40B4-BE49-F238E27FC236}">
              <a16:creationId xmlns:a16="http://schemas.microsoft.com/office/drawing/2014/main" id="{00000000-0008-0000-2400-000024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7685" name="Shape 3">
          <a:extLst>
            <a:ext uri="{FF2B5EF4-FFF2-40B4-BE49-F238E27FC236}">
              <a16:creationId xmlns:a16="http://schemas.microsoft.com/office/drawing/2014/main" id="{00000000-0008-0000-2400-0000256C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686" name="Shape 3">
          <a:extLst>
            <a:ext uri="{FF2B5EF4-FFF2-40B4-BE49-F238E27FC236}">
              <a16:creationId xmlns:a16="http://schemas.microsoft.com/office/drawing/2014/main" id="{00000000-0008-0000-2400-00002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87" name="Shape 3">
          <a:extLst>
            <a:ext uri="{FF2B5EF4-FFF2-40B4-BE49-F238E27FC236}">
              <a16:creationId xmlns:a16="http://schemas.microsoft.com/office/drawing/2014/main" id="{00000000-0008-0000-2400-000027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88" name="Shape 3">
          <a:extLst>
            <a:ext uri="{FF2B5EF4-FFF2-40B4-BE49-F238E27FC236}">
              <a16:creationId xmlns:a16="http://schemas.microsoft.com/office/drawing/2014/main" id="{00000000-0008-0000-2400-000028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89" name="Shape 3">
          <a:extLst>
            <a:ext uri="{FF2B5EF4-FFF2-40B4-BE49-F238E27FC236}">
              <a16:creationId xmlns:a16="http://schemas.microsoft.com/office/drawing/2014/main" id="{00000000-0008-0000-2400-00002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0" name="Shape 3">
          <a:extLst>
            <a:ext uri="{FF2B5EF4-FFF2-40B4-BE49-F238E27FC236}">
              <a16:creationId xmlns:a16="http://schemas.microsoft.com/office/drawing/2014/main" id="{00000000-0008-0000-2400-00002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1" name="Shape 3">
          <a:extLst>
            <a:ext uri="{FF2B5EF4-FFF2-40B4-BE49-F238E27FC236}">
              <a16:creationId xmlns:a16="http://schemas.microsoft.com/office/drawing/2014/main" id="{00000000-0008-0000-2400-00002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2" name="Shape 3">
          <a:extLst>
            <a:ext uri="{FF2B5EF4-FFF2-40B4-BE49-F238E27FC236}">
              <a16:creationId xmlns:a16="http://schemas.microsoft.com/office/drawing/2014/main" id="{00000000-0008-0000-2400-00002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3" name="Shape 3">
          <a:extLst>
            <a:ext uri="{FF2B5EF4-FFF2-40B4-BE49-F238E27FC236}">
              <a16:creationId xmlns:a16="http://schemas.microsoft.com/office/drawing/2014/main" id="{00000000-0008-0000-2400-00002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4" name="Shape 3">
          <a:extLst>
            <a:ext uri="{FF2B5EF4-FFF2-40B4-BE49-F238E27FC236}">
              <a16:creationId xmlns:a16="http://schemas.microsoft.com/office/drawing/2014/main" id="{00000000-0008-0000-2400-00002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5" name="Shape 3">
          <a:extLst>
            <a:ext uri="{FF2B5EF4-FFF2-40B4-BE49-F238E27FC236}">
              <a16:creationId xmlns:a16="http://schemas.microsoft.com/office/drawing/2014/main" id="{00000000-0008-0000-2400-00002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6" name="Shape 3">
          <a:extLst>
            <a:ext uri="{FF2B5EF4-FFF2-40B4-BE49-F238E27FC236}">
              <a16:creationId xmlns:a16="http://schemas.microsoft.com/office/drawing/2014/main" id="{00000000-0008-0000-2400-00003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7" name="Shape 3">
          <a:extLst>
            <a:ext uri="{FF2B5EF4-FFF2-40B4-BE49-F238E27FC236}">
              <a16:creationId xmlns:a16="http://schemas.microsoft.com/office/drawing/2014/main" id="{00000000-0008-0000-2400-00003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8" name="Shape 3">
          <a:extLst>
            <a:ext uri="{FF2B5EF4-FFF2-40B4-BE49-F238E27FC236}">
              <a16:creationId xmlns:a16="http://schemas.microsoft.com/office/drawing/2014/main" id="{00000000-0008-0000-2400-00003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9" name="Shape 3">
          <a:extLst>
            <a:ext uri="{FF2B5EF4-FFF2-40B4-BE49-F238E27FC236}">
              <a16:creationId xmlns:a16="http://schemas.microsoft.com/office/drawing/2014/main" id="{00000000-0008-0000-2400-00003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0" name="Shape 3">
          <a:extLst>
            <a:ext uri="{FF2B5EF4-FFF2-40B4-BE49-F238E27FC236}">
              <a16:creationId xmlns:a16="http://schemas.microsoft.com/office/drawing/2014/main" id="{00000000-0008-0000-2400-000034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1" name="Shape 3">
          <a:extLst>
            <a:ext uri="{FF2B5EF4-FFF2-40B4-BE49-F238E27FC236}">
              <a16:creationId xmlns:a16="http://schemas.microsoft.com/office/drawing/2014/main" id="{00000000-0008-0000-2400-000035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2" name="Shape 3">
          <a:extLst>
            <a:ext uri="{FF2B5EF4-FFF2-40B4-BE49-F238E27FC236}">
              <a16:creationId xmlns:a16="http://schemas.microsoft.com/office/drawing/2014/main" id="{00000000-0008-0000-2400-00003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703" name="Shape 4">
          <a:extLst>
            <a:ext uri="{FF2B5EF4-FFF2-40B4-BE49-F238E27FC236}">
              <a16:creationId xmlns:a16="http://schemas.microsoft.com/office/drawing/2014/main" id="{00000000-0008-0000-2400-0000376C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704" name="Shape 4">
          <a:extLst>
            <a:ext uri="{FF2B5EF4-FFF2-40B4-BE49-F238E27FC236}">
              <a16:creationId xmlns:a16="http://schemas.microsoft.com/office/drawing/2014/main" id="{00000000-0008-0000-2400-0000386C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5" name="Shape 3">
          <a:extLst>
            <a:ext uri="{FF2B5EF4-FFF2-40B4-BE49-F238E27FC236}">
              <a16:creationId xmlns:a16="http://schemas.microsoft.com/office/drawing/2014/main" id="{00000000-0008-0000-2400-00003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6" name="Shape 3">
          <a:extLst>
            <a:ext uri="{FF2B5EF4-FFF2-40B4-BE49-F238E27FC236}">
              <a16:creationId xmlns:a16="http://schemas.microsoft.com/office/drawing/2014/main" id="{00000000-0008-0000-2400-00003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7" name="Shape 3">
          <a:extLst>
            <a:ext uri="{FF2B5EF4-FFF2-40B4-BE49-F238E27FC236}">
              <a16:creationId xmlns:a16="http://schemas.microsoft.com/office/drawing/2014/main" id="{00000000-0008-0000-2400-00003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8" name="Shape 3">
          <a:extLst>
            <a:ext uri="{FF2B5EF4-FFF2-40B4-BE49-F238E27FC236}">
              <a16:creationId xmlns:a16="http://schemas.microsoft.com/office/drawing/2014/main" id="{00000000-0008-0000-2400-00003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9" name="Shape 3">
          <a:extLst>
            <a:ext uri="{FF2B5EF4-FFF2-40B4-BE49-F238E27FC236}">
              <a16:creationId xmlns:a16="http://schemas.microsoft.com/office/drawing/2014/main" id="{00000000-0008-0000-2400-00003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10" name="Shape 3">
          <a:extLst>
            <a:ext uri="{FF2B5EF4-FFF2-40B4-BE49-F238E27FC236}">
              <a16:creationId xmlns:a16="http://schemas.microsoft.com/office/drawing/2014/main" id="{00000000-0008-0000-2400-00003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11" name="Shape 3">
          <a:extLst>
            <a:ext uri="{FF2B5EF4-FFF2-40B4-BE49-F238E27FC236}">
              <a16:creationId xmlns:a16="http://schemas.microsoft.com/office/drawing/2014/main" id="{00000000-0008-0000-2400-00003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12" name="Shape 3">
          <a:extLst>
            <a:ext uri="{FF2B5EF4-FFF2-40B4-BE49-F238E27FC236}">
              <a16:creationId xmlns:a16="http://schemas.microsoft.com/office/drawing/2014/main" id="{00000000-0008-0000-2400-00004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3" name="Shape 3">
          <a:extLst>
            <a:ext uri="{FF2B5EF4-FFF2-40B4-BE49-F238E27FC236}">
              <a16:creationId xmlns:a16="http://schemas.microsoft.com/office/drawing/2014/main" id="{00000000-0008-0000-2400-00004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4" name="Shape 3">
          <a:extLst>
            <a:ext uri="{FF2B5EF4-FFF2-40B4-BE49-F238E27FC236}">
              <a16:creationId xmlns:a16="http://schemas.microsoft.com/office/drawing/2014/main" id="{00000000-0008-0000-2400-00004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5" name="Shape 3">
          <a:extLst>
            <a:ext uri="{FF2B5EF4-FFF2-40B4-BE49-F238E27FC236}">
              <a16:creationId xmlns:a16="http://schemas.microsoft.com/office/drawing/2014/main" id="{00000000-0008-0000-2400-00004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6" name="Shape 3">
          <a:extLst>
            <a:ext uri="{FF2B5EF4-FFF2-40B4-BE49-F238E27FC236}">
              <a16:creationId xmlns:a16="http://schemas.microsoft.com/office/drawing/2014/main" id="{00000000-0008-0000-2400-000044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7" name="Shape 3">
          <a:extLst>
            <a:ext uri="{FF2B5EF4-FFF2-40B4-BE49-F238E27FC236}">
              <a16:creationId xmlns:a16="http://schemas.microsoft.com/office/drawing/2014/main" id="{00000000-0008-0000-2400-000045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8" name="Shape 3">
          <a:extLst>
            <a:ext uri="{FF2B5EF4-FFF2-40B4-BE49-F238E27FC236}">
              <a16:creationId xmlns:a16="http://schemas.microsoft.com/office/drawing/2014/main" id="{00000000-0008-0000-2400-00004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9" name="Shape 3">
          <a:extLst>
            <a:ext uri="{FF2B5EF4-FFF2-40B4-BE49-F238E27FC236}">
              <a16:creationId xmlns:a16="http://schemas.microsoft.com/office/drawing/2014/main" id="{00000000-0008-0000-2400-000047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0" name="Shape 3">
          <a:extLst>
            <a:ext uri="{FF2B5EF4-FFF2-40B4-BE49-F238E27FC236}">
              <a16:creationId xmlns:a16="http://schemas.microsoft.com/office/drawing/2014/main" id="{00000000-0008-0000-2400-000048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1" name="Shape 3">
          <a:extLst>
            <a:ext uri="{FF2B5EF4-FFF2-40B4-BE49-F238E27FC236}">
              <a16:creationId xmlns:a16="http://schemas.microsoft.com/office/drawing/2014/main" id="{00000000-0008-0000-2400-00004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2" name="Shape 3">
          <a:extLst>
            <a:ext uri="{FF2B5EF4-FFF2-40B4-BE49-F238E27FC236}">
              <a16:creationId xmlns:a16="http://schemas.microsoft.com/office/drawing/2014/main" id="{00000000-0008-0000-2400-00004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3" name="Shape 3">
          <a:extLst>
            <a:ext uri="{FF2B5EF4-FFF2-40B4-BE49-F238E27FC236}">
              <a16:creationId xmlns:a16="http://schemas.microsoft.com/office/drawing/2014/main" id="{00000000-0008-0000-2400-00004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4" name="Shape 3">
          <a:extLst>
            <a:ext uri="{FF2B5EF4-FFF2-40B4-BE49-F238E27FC236}">
              <a16:creationId xmlns:a16="http://schemas.microsoft.com/office/drawing/2014/main" id="{00000000-0008-0000-2400-00004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5" name="Shape 3">
          <a:extLst>
            <a:ext uri="{FF2B5EF4-FFF2-40B4-BE49-F238E27FC236}">
              <a16:creationId xmlns:a16="http://schemas.microsoft.com/office/drawing/2014/main" id="{00000000-0008-0000-2400-00004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6" name="Shape 3">
          <a:extLst>
            <a:ext uri="{FF2B5EF4-FFF2-40B4-BE49-F238E27FC236}">
              <a16:creationId xmlns:a16="http://schemas.microsoft.com/office/drawing/2014/main" id="{00000000-0008-0000-2400-00004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7" name="Shape 3">
          <a:extLst>
            <a:ext uri="{FF2B5EF4-FFF2-40B4-BE49-F238E27FC236}">
              <a16:creationId xmlns:a16="http://schemas.microsoft.com/office/drawing/2014/main" id="{00000000-0008-0000-2400-00004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8" name="Shape 3">
          <a:extLst>
            <a:ext uri="{FF2B5EF4-FFF2-40B4-BE49-F238E27FC236}">
              <a16:creationId xmlns:a16="http://schemas.microsoft.com/office/drawing/2014/main" id="{00000000-0008-0000-2400-00005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9" name="Shape 3">
          <a:extLst>
            <a:ext uri="{FF2B5EF4-FFF2-40B4-BE49-F238E27FC236}">
              <a16:creationId xmlns:a16="http://schemas.microsoft.com/office/drawing/2014/main" id="{00000000-0008-0000-2400-00005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0" name="Shape 3">
          <a:extLst>
            <a:ext uri="{FF2B5EF4-FFF2-40B4-BE49-F238E27FC236}">
              <a16:creationId xmlns:a16="http://schemas.microsoft.com/office/drawing/2014/main" id="{00000000-0008-0000-2400-00005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1" name="Shape 3">
          <a:extLst>
            <a:ext uri="{FF2B5EF4-FFF2-40B4-BE49-F238E27FC236}">
              <a16:creationId xmlns:a16="http://schemas.microsoft.com/office/drawing/2014/main" id="{00000000-0008-0000-2400-00005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2" name="Shape 3">
          <a:extLst>
            <a:ext uri="{FF2B5EF4-FFF2-40B4-BE49-F238E27FC236}">
              <a16:creationId xmlns:a16="http://schemas.microsoft.com/office/drawing/2014/main" id="{00000000-0008-0000-2400-000054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3" name="Shape 3">
          <a:extLst>
            <a:ext uri="{FF2B5EF4-FFF2-40B4-BE49-F238E27FC236}">
              <a16:creationId xmlns:a16="http://schemas.microsoft.com/office/drawing/2014/main" id="{00000000-0008-0000-2400-000055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4" name="Shape 3">
          <a:extLst>
            <a:ext uri="{FF2B5EF4-FFF2-40B4-BE49-F238E27FC236}">
              <a16:creationId xmlns:a16="http://schemas.microsoft.com/office/drawing/2014/main" id="{00000000-0008-0000-2400-00005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5" name="Shape 3">
          <a:extLst>
            <a:ext uri="{FF2B5EF4-FFF2-40B4-BE49-F238E27FC236}">
              <a16:creationId xmlns:a16="http://schemas.microsoft.com/office/drawing/2014/main" id="{00000000-0008-0000-2400-000057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6" name="Shape 3">
          <a:extLst>
            <a:ext uri="{FF2B5EF4-FFF2-40B4-BE49-F238E27FC236}">
              <a16:creationId xmlns:a16="http://schemas.microsoft.com/office/drawing/2014/main" id="{00000000-0008-0000-2400-000058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7" name="Shape 3">
          <a:extLst>
            <a:ext uri="{FF2B5EF4-FFF2-40B4-BE49-F238E27FC236}">
              <a16:creationId xmlns:a16="http://schemas.microsoft.com/office/drawing/2014/main" id="{00000000-0008-0000-2400-00005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8" name="Shape 3">
          <a:extLst>
            <a:ext uri="{FF2B5EF4-FFF2-40B4-BE49-F238E27FC236}">
              <a16:creationId xmlns:a16="http://schemas.microsoft.com/office/drawing/2014/main" id="{00000000-0008-0000-2400-00005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9" name="Shape 3">
          <a:extLst>
            <a:ext uri="{FF2B5EF4-FFF2-40B4-BE49-F238E27FC236}">
              <a16:creationId xmlns:a16="http://schemas.microsoft.com/office/drawing/2014/main" id="{00000000-0008-0000-2400-00005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0" name="Shape 3">
          <a:extLst>
            <a:ext uri="{FF2B5EF4-FFF2-40B4-BE49-F238E27FC236}">
              <a16:creationId xmlns:a16="http://schemas.microsoft.com/office/drawing/2014/main" id="{00000000-0008-0000-2400-00005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1" name="Shape 3">
          <a:extLst>
            <a:ext uri="{FF2B5EF4-FFF2-40B4-BE49-F238E27FC236}">
              <a16:creationId xmlns:a16="http://schemas.microsoft.com/office/drawing/2014/main" id="{00000000-0008-0000-2400-00005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2" name="Shape 3">
          <a:extLst>
            <a:ext uri="{FF2B5EF4-FFF2-40B4-BE49-F238E27FC236}">
              <a16:creationId xmlns:a16="http://schemas.microsoft.com/office/drawing/2014/main" id="{00000000-0008-0000-2400-00005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3" name="Shape 3">
          <a:extLst>
            <a:ext uri="{FF2B5EF4-FFF2-40B4-BE49-F238E27FC236}">
              <a16:creationId xmlns:a16="http://schemas.microsoft.com/office/drawing/2014/main" id="{00000000-0008-0000-2400-00005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4" name="Shape 3">
          <a:extLst>
            <a:ext uri="{FF2B5EF4-FFF2-40B4-BE49-F238E27FC236}">
              <a16:creationId xmlns:a16="http://schemas.microsoft.com/office/drawing/2014/main" id="{00000000-0008-0000-2400-00006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5" name="Shape 3">
          <a:extLst>
            <a:ext uri="{FF2B5EF4-FFF2-40B4-BE49-F238E27FC236}">
              <a16:creationId xmlns:a16="http://schemas.microsoft.com/office/drawing/2014/main" id="{00000000-0008-0000-2400-00006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6" name="Shape 3">
          <a:extLst>
            <a:ext uri="{FF2B5EF4-FFF2-40B4-BE49-F238E27FC236}">
              <a16:creationId xmlns:a16="http://schemas.microsoft.com/office/drawing/2014/main" id="{00000000-0008-0000-2400-00006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7" name="Shape 3">
          <a:extLst>
            <a:ext uri="{FF2B5EF4-FFF2-40B4-BE49-F238E27FC236}">
              <a16:creationId xmlns:a16="http://schemas.microsoft.com/office/drawing/2014/main" id="{00000000-0008-0000-2400-00006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48" name="Shape 3">
          <a:extLst>
            <a:ext uri="{FF2B5EF4-FFF2-40B4-BE49-F238E27FC236}">
              <a16:creationId xmlns:a16="http://schemas.microsoft.com/office/drawing/2014/main" id="{00000000-0008-0000-2400-00006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49" name="Shape 3">
          <a:extLst>
            <a:ext uri="{FF2B5EF4-FFF2-40B4-BE49-F238E27FC236}">
              <a16:creationId xmlns:a16="http://schemas.microsoft.com/office/drawing/2014/main" id="{00000000-0008-0000-2400-000065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0" name="Shape 3">
          <a:extLst>
            <a:ext uri="{FF2B5EF4-FFF2-40B4-BE49-F238E27FC236}">
              <a16:creationId xmlns:a16="http://schemas.microsoft.com/office/drawing/2014/main" id="{00000000-0008-0000-2400-000066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1" name="Shape 3">
          <a:extLst>
            <a:ext uri="{FF2B5EF4-FFF2-40B4-BE49-F238E27FC236}">
              <a16:creationId xmlns:a16="http://schemas.microsoft.com/office/drawing/2014/main" id="{00000000-0008-0000-2400-00006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2" name="Shape 3">
          <a:extLst>
            <a:ext uri="{FF2B5EF4-FFF2-40B4-BE49-F238E27FC236}">
              <a16:creationId xmlns:a16="http://schemas.microsoft.com/office/drawing/2014/main" id="{00000000-0008-0000-2400-00006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3" name="Shape 3">
          <a:extLst>
            <a:ext uri="{FF2B5EF4-FFF2-40B4-BE49-F238E27FC236}">
              <a16:creationId xmlns:a16="http://schemas.microsoft.com/office/drawing/2014/main" id="{00000000-0008-0000-2400-00006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4" name="Shape 3">
          <a:extLst>
            <a:ext uri="{FF2B5EF4-FFF2-40B4-BE49-F238E27FC236}">
              <a16:creationId xmlns:a16="http://schemas.microsoft.com/office/drawing/2014/main" id="{00000000-0008-0000-2400-00006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5" name="Shape 3">
          <a:extLst>
            <a:ext uri="{FF2B5EF4-FFF2-40B4-BE49-F238E27FC236}">
              <a16:creationId xmlns:a16="http://schemas.microsoft.com/office/drawing/2014/main" id="{00000000-0008-0000-2400-00006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6" name="Shape 3">
          <a:extLst>
            <a:ext uri="{FF2B5EF4-FFF2-40B4-BE49-F238E27FC236}">
              <a16:creationId xmlns:a16="http://schemas.microsoft.com/office/drawing/2014/main" id="{00000000-0008-0000-2400-00006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7" name="Shape 3">
          <a:extLst>
            <a:ext uri="{FF2B5EF4-FFF2-40B4-BE49-F238E27FC236}">
              <a16:creationId xmlns:a16="http://schemas.microsoft.com/office/drawing/2014/main" id="{00000000-0008-0000-2400-00006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8" name="Shape 3">
          <a:extLst>
            <a:ext uri="{FF2B5EF4-FFF2-40B4-BE49-F238E27FC236}">
              <a16:creationId xmlns:a16="http://schemas.microsoft.com/office/drawing/2014/main" id="{00000000-0008-0000-2400-00006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9" name="Shape 3">
          <a:extLst>
            <a:ext uri="{FF2B5EF4-FFF2-40B4-BE49-F238E27FC236}">
              <a16:creationId xmlns:a16="http://schemas.microsoft.com/office/drawing/2014/main" id="{00000000-0008-0000-2400-00006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0" name="Shape 3">
          <a:extLst>
            <a:ext uri="{FF2B5EF4-FFF2-40B4-BE49-F238E27FC236}">
              <a16:creationId xmlns:a16="http://schemas.microsoft.com/office/drawing/2014/main" id="{00000000-0008-0000-2400-00007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1" name="Shape 3">
          <a:extLst>
            <a:ext uri="{FF2B5EF4-FFF2-40B4-BE49-F238E27FC236}">
              <a16:creationId xmlns:a16="http://schemas.microsoft.com/office/drawing/2014/main" id="{00000000-0008-0000-2400-00007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2" name="Shape 3">
          <a:extLst>
            <a:ext uri="{FF2B5EF4-FFF2-40B4-BE49-F238E27FC236}">
              <a16:creationId xmlns:a16="http://schemas.microsoft.com/office/drawing/2014/main" id="{00000000-0008-0000-2400-000072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3" name="Shape 3">
          <a:extLst>
            <a:ext uri="{FF2B5EF4-FFF2-40B4-BE49-F238E27FC236}">
              <a16:creationId xmlns:a16="http://schemas.microsoft.com/office/drawing/2014/main" id="{00000000-0008-0000-2400-000073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4" name="Shape 3">
          <a:extLst>
            <a:ext uri="{FF2B5EF4-FFF2-40B4-BE49-F238E27FC236}">
              <a16:creationId xmlns:a16="http://schemas.microsoft.com/office/drawing/2014/main" id="{00000000-0008-0000-2400-00007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765" name="Shape 4">
          <a:extLst>
            <a:ext uri="{FF2B5EF4-FFF2-40B4-BE49-F238E27FC236}">
              <a16:creationId xmlns:a16="http://schemas.microsoft.com/office/drawing/2014/main" id="{00000000-0008-0000-2400-0000756C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766" name="Shape 4">
          <a:extLst>
            <a:ext uri="{FF2B5EF4-FFF2-40B4-BE49-F238E27FC236}">
              <a16:creationId xmlns:a16="http://schemas.microsoft.com/office/drawing/2014/main" id="{00000000-0008-0000-2400-0000766C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7" name="Shape 3">
          <a:extLst>
            <a:ext uri="{FF2B5EF4-FFF2-40B4-BE49-F238E27FC236}">
              <a16:creationId xmlns:a16="http://schemas.microsoft.com/office/drawing/2014/main" id="{00000000-0008-0000-2400-00007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8" name="Shape 3">
          <a:extLst>
            <a:ext uri="{FF2B5EF4-FFF2-40B4-BE49-F238E27FC236}">
              <a16:creationId xmlns:a16="http://schemas.microsoft.com/office/drawing/2014/main" id="{00000000-0008-0000-2400-00007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9" name="Shape 3">
          <a:extLst>
            <a:ext uri="{FF2B5EF4-FFF2-40B4-BE49-F238E27FC236}">
              <a16:creationId xmlns:a16="http://schemas.microsoft.com/office/drawing/2014/main" id="{00000000-0008-0000-2400-00007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0" name="Shape 3">
          <a:extLst>
            <a:ext uri="{FF2B5EF4-FFF2-40B4-BE49-F238E27FC236}">
              <a16:creationId xmlns:a16="http://schemas.microsoft.com/office/drawing/2014/main" id="{00000000-0008-0000-2400-00007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1" name="Shape 3">
          <a:extLst>
            <a:ext uri="{FF2B5EF4-FFF2-40B4-BE49-F238E27FC236}">
              <a16:creationId xmlns:a16="http://schemas.microsoft.com/office/drawing/2014/main" id="{00000000-0008-0000-2400-00007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2" name="Shape 3">
          <a:extLst>
            <a:ext uri="{FF2B5EF4-FFF2-40B4-BE49-F238E27FC236}">
              <a16:creationId xmlns:a16="http://schemas.microsoft.com/office/drawing/2014/main" id="{00000000-0008-0000-2400-00007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3" name="Shape 3">
          <a:extLst>
            <a:ext uri="{FF2B5EF4-FFF2-40B4-BE49-F238E27FC236}">
              <a16:creationId xmlns:a16="http://schemas.microsoft.com/office/drawing/2014/main" id="{00000000-0008-0000-2400-00007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4" name="Shape 3">
          <a:extLst>
            <a:ext uri="{FF2B5EF4-FFF2-40B4-BE49-F238E27FC236}">
              <a16:creationId xmlns:a16="http://schemas.microsoft.com/office/drawing/2014/main" id="{00000000-0008-0000-2400-00007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5" name="Shape 3">
          <a:extLst>
            <a:ext uri="{FF2B5EF4-FFF2-40B4-BE49-F238E27FC236}">
              <a16:creationId xmlns:a16="http://schemas.microsoft.com/office/drawing/2014/main" id="{00000000-0008-0000-2400-00007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6" name="Shape 3">
          <a:extLst>
            <a:ext uri="{FF2B5EF4-FFF2-40B4-BE49-F238E27FC236}">
              <a16:creationId xmlns:a16="http://schemas.microsoft.com/office/drawing/2014/main" id="{00000000-0008-0000-2400-00008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7" name="Shape 3">
          <a:extLst>
            <a:ext uri="{FF2B5EF4-FFF2-40B4-BE49-F238E27FC236}">
              <a16:creationId xmlns:a16="http://schemas.microsoft.com/office/drawing/2014/main" id="{00000000-0008-0000-2400-00008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8" name="Shape 3">
          <a:extLst>
            <a:ext uri="{FF2B5EF4-FFF2-40B4-BE49-F238E27FC236}">
              <a16:creationId xmlns:a16="http://schemas.microsoft.com/office/drawing/2014/main" id="{00000000-0008-0000-2400-000082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9" name="Shape 3">
          <a:extLst>
            <a:ext uri="{FF2B5EF4-FFF2-40B4-BE49-F238E27FC236}">
              <a16:creationId xmlns:a16="http://schemas.microsoft.com/office/drawing/2014/main" id="{00000000-0008-0000-2400-000083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0" name="Shape 3">
          <a:extLst>
            <a:ext uri="{FF2B5EF4-FFF2-40B4-BE49-F238E27FC236}">
              <a16:creationId xmlns:a16="http://schemas.microsoft.com/office/drawing/2014/main" id="{00000000-0008-0000-2400-00008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1" name="Shape 3">
          <a:extLst>
            <a:ext uri="{FF2B5EF4-FFF2-40B4-BE49-F238E27FC236}">
              <a16:creationId xmlns:a16="http://schemas.microsoft.com/office/drawing/2014/main" id="{00000000-0008-0000-2400-000085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2" name="Shape 3">
          <a:extLst>
            <a:ext uri="{FF2B5EF4-FFF2-40B4-BE49-F238E27FC236}">
              <a16:creationId xmlns:a16="http://schemas.microsoft.com/office/drawing/2014/main" id="{00000000-0008-0000-2400-000086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3" name="Shape 3">
          <a:extLst>
            <a:ext uri="{FF2B5EF4-FFF2-40B4-BE49-F238E27FC236}">
              <a16:creationId xmlns:a16="http://schemas.microsoft.com/office/drawing/2014/main" id="{00000000-0008-0000-2400-00008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4" name="Shape 3">
          <a:extLst>
            <a:ext uri="{FF2B5EF4-FFF2-40B4-BE49-F238E27FC236}">
              <a16:creationId xmlns:a16="http://schemas.microsoft.com/office/drawing/2014/main" id="{00000000-0008-0000-2400-00008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5" name="Shape 3">
          <a:extLst>
            <a:ext uri="{FF2B5EF4-FFF2-40B4-BE49-F238E27FC236}">
              <a16:creationId xmlns:a16="http://schemas.microsoft.com/office/drawing/2014/main" id="{00000000-0008-0000-2400-00008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6" name="Shape 3">
          <a:extLst>
            <a:ext uri="{FF2B5EF4-FFF2-40B4-BE49-F238E27FC236}">
              <a16:creationId xmlns:a16="http://schemas.microsoft.com/office/drawing/2014/main" id="{00000000-0008-0000-2400-00008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7" name="Shape 3">
          <a:extLst>
            <a:ext uri="{FF2B5EF4-FFF2-40B4-BE49-F238E27FC236}">
              <a16:creationId xmlns:a16="http://schemas.microsoft.com/office/drawing/2014/main" id="{00000000-0008-0000-2400-00008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8" name="Shape 3">
          <a:extLst>
            <a:ext uri="{FF2B5EF4-FFF2-40B4-BE49-F238E27FC236}">
              <a16:creationId xmlns:a16="http://schemas.microsoft.com/office/drawing/2014/main" id="{00000000-0008-0000-2400-00008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9" name="Shape 3">
          <a:extLst>
            <a:ext uri="{FF2B5EF4-FFF2-40B4-BE49-F238E27FC236}">
              <a16:creationId xmlns:a16="http://schemas.microsoft.com/office/drawing/2014/main" id="{00000000-0008-0000-2400-00008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0" name="Shape 3">
          <a:extLst>
            <a:ext uri="{FF2B5EF4-FFF2-40B4-BE49-F238E27FC236}">
              <a16:creationId xmlns:a16="http://schemas.microsoft.com/office/drawing/2014/main" id="{00000000-0008-0000-2400-00008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1" name="Shape 3">
          <a:extLst>
            <a:ext uri="{FF2B5EF4-FFF2-40B4-BE49-F238E27FC236}">
              <a16:creationId xmlns:a16="http://schemas.microsoft.com/office/drawing/2014/main" id="{00000000-0008-0000-2400-00008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2" name="Shape 3">
          <a:extLst>
            <a:ext uri="{FF2B5EF4-FFF2-40B4-BE49-F238E27FC236}">
              <a16:creationId xmlns:a16="http://schemas.microsoft.com/office/drawing/2014/main" id="{00000000-0008-0000-2400-00009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3" name="Shape 3">
          <a:extLst>
            <a:ext uri="{FF2B5EF4-FFF2-40B4-BE49-F238E27FC236}">
              <a16:creationId xmlns:a16="http://schemas.microsoft.com/office/drawing/2014/main" id="{00000000-0008-0000-2400-00009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4" name="Shape 3">
          <a:extLst>
            <a:ext uri="{FF2B5EF4-FFF2-40B4-BE49-F238E27FC236}">
              <a16:creationId xmlns:a16="http://schemas.microsoft.com/office/drawing/2014/main" id="{00000000-0008-0000-2400-000092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5" name="Shape 3">
          <a:extLst>
            <a:ext uri="{FF2B5EF4-FFF2-40B4-BE49-F238E27FC236}">
              <a16:creationId xmlns:a16="http://schemas.microsoft.com/office/drawing/2014/main" id="{00000000-0008-0000-2400-000093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6" name="Shape 3">
          <a:extLst>
            <a:ext uri="{FF2B5EF4-FFF2-40B4-BE49-F238E27FC236}">
              <a16:creationId xmlns:a16="http://schemas.microsoft.com/office/drawing/2014/main" id="{00000000-0008-0000-2400-00009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7" name="Shape 3">
          <a:extLst>
            <a:ext uri="{FF2B5EF4-FFF2-40B4-BE49-F238E27FC236}">
              <a16:creationId xmlns:a16="http://schemas.microsoft.com/office/drawing/2014/main" id="{00000000-0008-0000-2400-000095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8" name="Shape 3">
          <a:extLst>
            <a:ext uri="{FF2B5EF4-FFF2-40B4-BE49-F238E27FC236}">
              <a16:creationId xmlns:a16="http://schemas.microsoft.com/office/drawing/2014/main" id="{00000000-0008-0000-2400-000096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9" name="Shape 3">
          <a:extLst>
            <a:ext uri="{FF2B5EF4-FFF2-40B4-BE49-F238E27FC236}">
              <a16:creationId xmlns:a16="http://schemas.microsoft.com/office/drawing/2014/main" id="{00000000-0008-0000-2400-00009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0" name="Shape 3">
          <a:extLst>
            <a:ext uri="{FF2B5EF4-FFF2-40B4-BE49-F238E27FC236}">
              <a16:creationId xmlns:a16="http://schemas.microsoft.com/office/drawing/2014/main" id="{00000000-0008-0000-2400-00009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1" name="Shape 3">
          <a:extLst>
            <a:ext uri="{FF2B5EF4-FFF2-40B4-BE49-F238E27FC236}">
              <a16:creationId xmlns:a16="http://schemas.microsoft.com/office/drawing/2014/main" id="{00000000-0008-0000-2400-00009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2" name="Shape 3">
          <a:extLst>
            <a:ext uri="{FF2B5EF4-FFF2-40B4-BE49-F238E27FC236}">
              <a16:creationId xmlns:a16="http://schemas.microsoft.com/office/drawing/2014/main" id="{00000000-0008-0000-2400-00009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3" name="Shape 3">
          <a:extLst>
            <a:ext uri="{FF2B5EF4-FFF2-40B4-BE49-F238E27FC236}">
              <a16:creationId xmlns:a16="http://schemas.microsoft.com/office/drawing/2014/main" id="{00000000-0008-0000-2400-00009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4" name="Shape 3">
          <a:extLst>
            <a:ext uri="{FF2B5EF4-FFF2-40B4-BE49-F238E27FC236}">
              <a16:creationId xmlns:a16="http://schemas.microsoft.com/office/drawing/2014/main" id="{00000000-0008-0000-2400-00009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5" name="Shape 3">
          <a:extLst>
            <a:ext uri="{FF2B5EF4-FFF2-40B4-BE49-F238E27FC236}">
              <a16:creationId xmlns:a16="http://schemas.microsoft.com/office/drawing/2014/main" id="{00000000-0008-0000-2400-00009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6" name="Shape 3">
          <a:extLst>
            <a:ext uri="{FF2B5EF4-FFF2-40B4-BE49-F238E27FC236}">
              <a16:creationId xmlns:a16="http://schemas.microsoft.com/office/drawing/2014/main" id="{00000000-0008-0000-2400-00009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7" name="Shape 3">
          <a:extLst>
            <a:ext uri="{FF2B5EF4-FFF2-40B4-BE49-F238E27FC236}">
              <a16:creationId xmlns:a16="http://schemas.microsoft.com/office/drawing/2014/main" id="{00000000-0008-0000-2400-00009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8" name="Shape 3">
          <a:extLst>
            <a:ext uri="{FF2B5EF4-FFF2-40B4-BE49-F238E27FC236}">
              <a16:creationId xmlns:a16="http://schemas.microsoft.com/office/drawing/2014/main" id="{00000000-0008-0000-2400-0000A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9" name="Shape 3">
          <a:extLst>
            <a:ext uri="{FF2B5EF4-FFF2-40B4-BE49-F238E27FC236}">
              <a16:creationId xmlns:a16="http://schemas.microsoft.com/office/drawing/2014/main" id="{00000000-0008-0000-2400-0000A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10" name="Shape 3">
          <a:extLst>
            <a:ext uri="{FF2B5EF4-FFF2-40B4-BE49-F238E27FC236}">
              <a16:creationId xmlns:a16="http://schemas.microsoft.com/office/drawing/2014/main" id="{00000000-0008-0000-2400-0000A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1" name="Shape 3">
          <a:extLst>
            <a:ext uri="{FF2B5EF4-FFF2-40B4-BE49-F238E27FC236}">
              <a16:creationId xmlns:a16="http://schemas.microsoft.com/office/drawing/2014/main" id="{00000000-0008-0000-2400-0000A3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2" name="Shape 3">
          <a:extLst>
            <a:ext uri="{FF2B5EF4-FFF2-40B4-BE49-F238E27FC236}">
              <a16:creationId xmlns:a16="http://schemas.microsoft.com/office/drawing/2014/main" id="{00000000-0008-0000-2400-0000A4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3" name="Shape 3">
          <a:extLst>
            <a:ext uri="{FF2B5EF4-FFF2-40B4-BE49-F238E27FC236}">
              <a16:creationId xmlns:a16="http://schemas.microsoft.com/office/drawing/2014/main" id="{00000000-0008-0000-2400-0000A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4" name="Shape 3">
          <a:extLst>
            <a:ext uri="{FF2B5EF4-FFF2-40B4-BE49-F238E27FC236}">
              <a16:creationId xmlns:a16="http://schemas.microsoft.com/office/drawing/2014/main" id="{00000000-0008-0000-2400-0000A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5" name="Shape 3">
          <a:extLst>
            <a:ext uri="{FF2B5EF4-FFF2-40B4-BE49-F238E27FC236}">
              <a16:creationId xmlns:a16="http://schemas.microsoft.com/office/drawing/2014/main" id="{00000000-0008-0000-2400-0000A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6" name="Shape 3">
          <a:extLst>
            <a:ext uri="{FF2B5EF4-FFF2-40B4-BE49-F238E27FC236}">
              <a16:creationId xmlns:a16="http://schemas.microsoft.com/office/drawing/2014/main" id="{00000000-0008-0000-2400-0000A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7" name="Shape 3">
          <a:extLst>
            <a:ext uri="{FF2B5EF4-FFF2-40B4-BE49-F238E27FC236}">
              <a16:creationId xmlns:a16="http://schemas.microsoft.com/office/drawing/2014/main" id="{00000000-0008-0000-2400-0000A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8" name="Shape 3">
          <a:extLst>
            <a:ext uri="{FF2B5EF4-FFF2-40B4-BE49-F238E27FC236}">
              <a16:creationId xmlns:a16="http://schemas.microsoft.com/office/drawing/2014/main" id="{00000000-0008-0000-2400-0000A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9" name="Shape 3">
          <a:extLst>
            <a:ext uri="{FF2B5EF4-FFF2-40B4-BE49-F238E27FC236}">
              <a16:creationId xmlns:a16="http://schemas.microsoft.com/office/drawing/2014/main" id="{00000000-0008-0000-2400-0000A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0" name="Shape 3">
          <a:extLst>
            <a:ext uri="{FF2B5EF4-FFF2-40B4-BE49-F238E27FC236}">
              <a16:creationId xmlns:a16="http://schemas.microsoft.com/office/drawing/2014/main" id="{00000000-0008-0000-2400-0000A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1" name="Shape 3">
          <a:extLst>
            <a:ext uri="{FF2B5EF4-FFF2-40B4-BE49-F238E27FC236}">
              <a16:creationId xmlns:a16="http://schemas.microsoft.com/office/drawing/2014/main" id="{00000000-0008-0000-2400-0000A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2" name="Shape 3">
          <a:extLst>
            <a:ext uri="{FF2B5EF4-FFF2-40B4-BE49-F238E27FC236}">
              <a16:creationId xmlns:a16="http://schemas.microsoft.com/office/drawing/2014/main" id="{00000000-0008-0000-2400-0000A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3" name="Shape 3">
          <a:extLst>
            <a:ext uri="{FF2B5EF4-FFF2-40B4-BE49-F238E27FC236}">
              <a16:creationId xmlns:a16="http://schemas.microsoft.com/office/drawing/2014/main" id="{00000000-0008-0000-2400-0000A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4" name="Shape 3">
          <a:extLst>
            <a:ext uri="{FF2B5EF4-FFF2-40B4-BE49-F238E27FC236}">
              <a16:creationId xmlns:a16="http://schemas.microsoft.com/office/drawing/2014/main" id="{00000000-0008-0000-2400-0000B0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5" name="Shape 3">
          <a:extLst>
            <a:ext uri="{FF2B5EF4-FFF2-40B4-BE49-F238E27FC236}">
              <a16:creationId xmlns:a16="http://schemas.microsoft.com/office/drawing/2014/main" id="{00000000-0008-0000-2400-0000B1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6" name="Shape 3">
          <a:extLst>
            <a:ext uri="{FF2B5EF4-FFF2-40B4-BE49-F238E27FC236}">
              <a16:creationId xmlns:a16="http://schemas.microsoft.com/office/drawing/2014/main" id="{00000000-0008-0000-2400-0000B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827" name="Shape 4">
          <a:extLst>
            <a:ext uri="{FF2B5EF4-FFF2-40B4-BE49-F238E27FC236}">
              <a16:creationId xmlns:a16="http://schemas.microsoft.com/office/drawing/2014/main" id="{00000000-0008-0000-2400-0000B36C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828" name="Shape 4">
          <a:extLst>
            <a:ext uri="{FF2B5EF4-FFF2-40B4-BE49-F238E27FC236}">
              <a16:creationId xmlns:a16="http://schemas.microsoft.com/office/drawing/2014/main" id="{00000000-0008-0000-2400-0000B46C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9" name="Shape 3">
          <a:extLst>
            <a:ext uri="{FF2B5EF4-FFF2-40B4-BE49-F238E27FC236}">
              <a16:creationId xmlns:a16="http://schemas.microsoft.com/office/drawing/2014/main" id="{00000000-0008-0000-2400-0000B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0" name="Shape 3">
          <a:extLst>
            <a:ext uri="{FF2B5EF4-FFF2-40B4-BE49-F238E27FC236}">
              <a16:creationId xmlns:a16="http://schemas.microsoft.com/office/drawing/2014/main" id="{00000000-0008-0000-2400-0000B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1" name="Shape 3">
          <a:extLst>
            <a:ext uri="{FF2B5EF4-FFF2-40B4-BE49-F238E27FC236}">
              <a16:creationId xmlns:a16="http://schemas.microsoft.com/office/drawing/2014/main" id="{00000000-0008-0000-2400-0000B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2" name="Shape 3">
          <a:extLst>
            <a:ext uri="{FF2B5EF4-FFF2-40B4-BE49-F238E27FC236}">
              <a16:creationId xmlns:a16="http://schemas.microsoft.com/office/drawing/2014/main" id="{00000000-0008-0000-2400-0000B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3" name="Shape 3">
          <a:extLst>
            <a:ext uri="{FF2B5EF4-FFF2-40B4-BE49-F238E27FC236}">
              <a16:creationId xmlns:a16="http://schemas.microsoft.com/office/drawing/2014/main" id="{00000000-0008-0000-2400-0000B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4" name="Shape 3">
          <a:extLst>
            <a:ext uri="{FF2B5EF4-FFF2-40B4-BE49-F238E27FC236}">
              <a16:creationId xmlns:a16="http://schemas.microsoft.com/office/drawing/2014/main" id="{00000000-0008-0000-2400-0000B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5" name="Shape 3">
          <a:extLst>
            <a:ext uri="{FF2B5EF4-FFF2-40B4-BE49-F238E27FC236}">
              <a16:creationId xmlns:a16="http://schemas.microsoft.com/office/drawing/2014/main" id="{00000000-0008-0000-2400-0000B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6" name="Shape 3">
          <a:extLst>
            <a:ext uri="{FF2B5EF4-FFF2-40B4-BE49-F238E27FC236}">
              <a16:creationId xmlns:a16="http://schemas.microsoft.com/office/drawing/2014/main" id="{00000000-0008-0000-2400-0000B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37" name="Shape 3">
          <a:extLst>
            <a:ext uri="{FF2B5EF4-FFF2-40B4-BE49-F238E27FC236}">
              <a16:creationId xmlns:a16="http://schemas.microsoft.com/office/drawing/2014/main" id="{00000000-0008-0000-2400-0000B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38" name="Shape 3">
          <a:extLst>
            <a:ext uri="{FF2B5EF4-FFF2-40B4-BE49-F238E27FC236}">
              <a16:creationId xmlns:a16="http://schemas.microsoft.com/office/drawing/2014/main" id="{00000000-0008-0000-2400-0000B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39" name="Shape 3">
          <a:extLst>
            <a:ext uri="{FF2B5EF4-FFF2-40B4-BE49-F238E27FC236}">
              <a16:creationId xmlns:a16="http://schemas.microsoft.com/office/drawing/2014/main" id="{00000000-0008-0000-2400-0000B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0" name="Shape 3">
          <a:extLst>
            <a:ext uri="{FF2B5EF4-FFF2-40B4-BE49-F238E27FC236}">
              <a16:creationId xmlns:a16="http://schemas.microsoft.com/office/drawing/2014/main" id="{00000000-0008-0000-2400-0000C0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1" name="Shape 3">
          <a:extLst>
            <a:ext uri="{FF2B5EF4-FFF2-40B4-BE49-F238E27FC236}">
              <a16:creationId xmlns:a16="http://schemas.microsoft.com/office/drawing/2014/main" id="{00000000-0008-0000-2400-0000C1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2" name="Shape 3">
          <a:extLst>
            <a:ext uri="{FF2B5EF4-FFF2-40B4-BE49-F238E27FC236}">
              <a16:creationId xmlns:a16="http://schemas.microsoft.com/office/drawing/2014/main" id="{00000000-0008-0000-2400-0000C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3" name="Shape 3">
          <a:extLst>
            <a:ext uri="{FF2B5EF4-FFF2-40B4-BE49-F238E27FC236}">
              <a16:creationId xmlns:a16="http://schemas.microsoft.com/office/drawing/2014/main" id="{00000000-0008-0000-2400-0000C3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4" name="Shape 3">
          <a:extLst>
            <a:ext uri="{FF2B5EF4-FFF2-40B4-BE49-F238E27FC236}">
              <a16:creationId xmlns:a16="http://schemas.microsoft.com/office/drawing/2014/main" id="{00000000-0008-0000-2400-0000C4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5" name="Shape 3">
          <a:extLst>
            <a:ext uri="{FF2B5EF4-FFF2-40B4-BE49-F238E27FC236}">
              <a16:creationId xmlns:a16="http://schemas.microsoft.com/office/drawing/2014/main" id="{00000000-0008-0000-2400-0000C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6" name="Shape 3">
          <a:extLst>
            <a:ext uri="{FF2B5EF4-FFF2-40B4-BE49-F238E27FC236}">
              <a16:creationId xmlns:a16="http://schemas.microsoft.com/office/drawing/2014/main" id="{00000000-0008-0000-2400-0000C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7" name="Shape 3">
          <a:extLst>
            <a:ext uri="{FF2B5EF4-FFF2-40B4-BE49-F238E27FC236}">
              <a16:creationId xmlns:a16="http://schemas.microsoft.com/office/drawing/2014/main" id="{00000000-0008-0000-2400-0000C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8" name="Shape 3">
          <a:extLst>
            <a:ext uri="{FF2B5EF4-FFF2-40B4-BE49-F238E27FC236}">
              <a16:creationId xmlns:a16="http://schemas.microsoft.com/office/drawing/2014/main" id="{00000000-0008-0000-2400-0000C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9" name="Shape 3">
          <a:extLst>
            <a:ext uri="{FF2B5EF4-FFF2-40B4-BE49-F238E27FC236}">
              <a16:creationId xmlns:a16="http://schemas.microsoft.com/office/drawing/2014/main" id="{00000000-0008-0000-2400-0000C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0" name="Shape 3">
          <a:extLst>
            <a:ext uri="{FF2B5EF4-FFF2-40B4-BE49-F238E27FC236}">
              <a16:creationId xmlns:a16="http://schemas.microsoft.com/office/drawing/2014/main" id="{00000000-0008-0000-2400-0000C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1" name="Shape 3">
          <a:extLst>
            <a:ext uri="{FF2B5EF4-FFF2-40B4-BE49-F238E27FC236}">
              <a16:creationId xmlns:a16="http://schemas.microsoft.com/office/drawing/2014/main" id="{00000000-0008-0000-2400-0000C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2" name="Shape 3">
          <a:extLst>
            <a:ext uri="{FF2B5EF4-FFF2-40B4-BE49-F238E27FC236}">
              <a16:creationId xmlns:a16="http://schemas.microsoft.com/office/drawing/2014/main" id="{00000000-0008-0000-2400-0000C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3" name="Shape 3">
          <a:extLst>
            <a:ext uri="{FF2B5EF4-FFF2-40B4-BE49-F238E27FC236}">
              <a16:creationId xmlns:a16="http://schemas.microsoft.com/office/drawing/2014/main" id="{00000000-0008-0000-2400-0000C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4" name="Shape 3">
          <a:extLst>
            <a:ext uri="{FF2B5EF4-FFF2-40B4-BE49-F238E27FC236}">
              <a16:creationId xmlns:a16="http://schemas.microsoft.com/office/drawing/2014/main" id="{00000000-0008-0000-2400-0000C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5" name="Shape 3">
          <a:extLst>
            <a:ext uri="{FF2B5EF4-FFF2-40B4-BE49-F238E27FC236}">
              <a16:creationId xmlns:a16="http://schemas.microsoft.com/office/drawing/2014/main" id="{00000000-0008-0000-2400-0000C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6" name="Shape 3">
          <a:extLst>
            <a:ext uri="{FF2B5EF4-FFF2-40B4-BE49-F238E27FC236}">
              <a16:creationId xmlns:a16="http://schemas.microsoft.com/office/drawing/2014/main" id="{00000000-0008-0000-2400-0000D0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7" name="Shape 3">
          <a:extLst>
            <a:ext uri="{FF2B5EF4-FFF2-40B4-BE49-F238E27FC236}">
              <a16:creationId xmlns:a16="http://schemas.microsoft.com/office/drawing/2014/main" id="{00000000-0008-0000-2400-0000D1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8" name="Shape 3">
          <a:extLst>
            <a:ext uri="{FF2B5EF4-FFF2-40B4-BE49-F238E27FC236}">
              <a16:creationId xmlns:a16="http://schemas.microsoft.com/office/drawing/2014/main" id="{00000000-0008-0000-2400-0000D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9" name="Shape 3">
          <a:extLst>
            <a:ext uri="{FF2B5EF4-FFF2-40B4-BE49-F238E27FC236}">
              <a16:creationId xmlns:a16="http://schemas.microsoft.com/office/drawing/2014/main" id="{00000000-0008-0000-2400-0000D3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0" name="Shape 3">
          <a:extLst>
            <a:ext uri="{FF2B5EF4-FFF2-40B4-BE49-F238E27FC236}">
              <a16:creationId xmlns:a16="http://schemas.microsoft.com/office/drawing/2014/main" id="{00000000-0008-0000-2400-0000D4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1" name="Shape 3">
          <a:extLst>
            <a:ext uri="{FF2B5EF4-FFF2-40B4-BE49-F238E27FC236}">
              <a16:creationId xmlns:a16="http://schemas.microsoft.com/office/drawing/2014/main" id="{00000000-0008-0000-2400-0000D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2" name="Shape 3">
          <a:extLst>
            <a:ext uri="{FF2B5EF4-FFF2-40B4-BE49-F238E27FC236}">
              <a16:creationId xmlns:a16="http://schemas.microsoft.com/office/drawing/2014/main" id="{00000000-0008-0000-2400-0000D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3" name="Shape 3">
          <a:extLst>
            <a:ext uri="{FF2B5EF4-FFF2-40B4-BE49-F238E27FC236}">
              <a16:creationId xmlns:a16="http://schemas.microsoft.com/office/drawing/2014/main" id="{00000000-0008-0000-2400-0000D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4" name="Shape 3">
          <a:extLst>
            <a:ext uri="{FF2B5EF4-FFF2-40B4-BE49-F238E27FC236}">
              <a16:creationId xmlns:a16="http://schemas.microsoft.com/office/drawing/2014/main" id="{00000000-0008-0000-2400-0000D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5" name="Shape 3">
          <a:extLst>
            <a:ext uri="{FF2B5EF4-FFF2-40B4-BE49-F238E27FC236}">
              <a16:creationId xmlns:a16="http://schemas.microsoft.com/office/drawing/2014/main" id="{00000000-0008-0000-2400-0000D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6" name="Shape 3">
          <a:extLst>
            <a:ext uri="{FF2B5EF4-FFF2-40B4-BE49-F238E27FC236}">
              <a16:creationId xmlns:a16="http://schemas.microsoft.com/office/drawing/2014/main" id="{00000000-0008-0000-2400-0000D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7" name="Shape 3">
          <a:extLst>
            <a:ext uri="{FF2B5EF4-FFF2-40B4-BE49-F238E27FC236}">
              <a16:creationId xmlns:a16="http://schemas.microsoft.com/office/drawing/2014/main" id="{00000000-0008-0000-2400-0000D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8" name="Shape 3">
          <a:extLst>
            <a:ext uri="{FF2B5EF4-FFF2-40B4-BE49-F238E27FC236}">
              <a16:creationId xmlns:a16="http://schemas.microsoft.com/office/drawing/2014/main" id="{00000000-0008-0000-2400-0000D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9" name="Shape 3">
          <a:extLst>
            <a:ext uri="{FF2B5EF4-FFF2-40B4-BE49-F238E27FC236}">
              <a16:creationId xmlns:a16="http://schemas.microsoft.com/office/drawing/2014/main" id="{00000000-0008-0000-2400-0000D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70" name="Shape 3">
          <a:extLst>
            <a:ext uri="{FF2B5EF4-FFF2-40B4-BE49-F238E27FC236}">
              <a16:creationId xmlns:a16="http://schemas.microsoft.com/office/drawing/2014/main" id="{00000000-0008-0000-2400-0000D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71" name="Shape 3">
          <a:extLst>
            <a:ext uri="{FF2B5EF4-FFF2-40B4-BE49-F238E27FC236}">
              <a16:creationId xmlns:a16="http://schemas.microsoft.com/office/drawing/2014/main" id="{00000000-0008-0000-2400-0000D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24" name="Shape 3">
          <a:extLst>
            <a:ext uri="{FF2B5EF4-FFF2-40B4-BE49-F238E27FC236}">
              <a16:creationId xmlns:a16="http://schemas.microsoft.com/office/drawing/2014/main" id="{00000000-0008-0000-2500-0000E8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25" name="Shape 3">
          <a:extLst>
            <a:ext uri="{FF2B5EF4-FFF2-40B4-BE49-F238E27FC236}">
              <a16:creationId xmlns:a16="http://schemas.microsoft.com/office/drawing/2014/main" id="{00000000-0008-0000-2500-0000E9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26" name="Shape 3">
          <a:extLst>
            <a:ext uri="{FF2B5EF4-FFF2-40B4-BE49-F238E27FC236}">
              <a16:creationId xmlns:a16="http://schemas.microsoft.com/office/drawing/2014/main" id="{00000000-0008-0000-2500-0000EA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27" name="Shape 3">
          <a:extLst>
            <a:ext uri="{FF2B5EF4-FFF2-40B4-BE49-F238E27FC236}">
              <a16:creationId xmlns:a16="http://schemas.microsoft.com/office/drawing/2014/main" id="{00000000-0008-0000-2500-0000EB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28" name="Shape 3">
          <a:extLst>
            <a:ext uri="{FF2B5EF4-FFF2-40B4-BE49-F238E27FC236}">
              <a16:creationId xmlns:a16="http://schemas.microsoft.com/office/drawing/2014/main" id="{00000000-0008-0000-2500-0000EC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29" name="Shape 3">
          <a:extLst>
            <a:ext uri="{FF2B5EF4-FFF2-40B4-BE49-F238E27FC236}">
              <a16:creationId xmlns:a16="http://schemas.microsoft.com/office/drawing/2014/main" id="{00000000-0008-0000-2500-0000ED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30" name="Shape 3">
          <a:extLst>
            <a:ext uri="{FF2B5EF4-FFF2-40B4-BE49-F238E27FC236}">
              <a16:creationId xmlns:a16="http://schemas.microsoft.com/office/drawing/2014/main" id="{00000000-0008-0000-2500-0000EE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31" name="Shape 3">
          <a:extLst>
            <a:ext uri="{FF2B5EF4-FFF2-40B4-BE49-F238E27FC236}">
              <a16:creationId xmlns:a16="http://schemas.microsoft.com/office/drawing/2014/main" id="{00000000-0008-0000-2500-0000EF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32" name="Shape 3">
          <a:extLst>
            <a:ext uri="{FF2B5EF4-FFF2-40B4-BE49-F238E27FC236}">
              <a16:creationId xmlns:a16="http://schemas.microsoft.com/office/drawing/2014/main" id="{00000000-0008-0000-2500-0000F0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33" name="Shape 3">
          <a:extLst>
            <a:ext uri="{FF2B5EF4-FFF2-40B4-BE49-F238E27FC236}">
              <a16:creationId xmlns:a16="http://schemas.microsoft.com/office/drawing/2014/main" id="{00000000-0008-0000-2500-0000F1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34" name="Shape 3">
          <a:extLst>
            <a:ext uri="{FF2B5EF4-FFF2-40B4-BE49-F238E27FC236}">
              <a16:creationId xmlns:a16="http://schemas.microsoft.com/office/drawing/2014/main" id="{00000000-0008-0000-2500-0000F2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35" name="Shape 3">
          <a:extLst>
            <a:ext uri="{FF2B5EF4-FFF2-40B4-BE49-F238E27FC236}">
              <a16:creationId xmlns:a16="http://schemas.microsoft.com/office/drawing/2014/main" id="{00000000-0008-0000-2500-0000F3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36" name="Shape 3">
          <a:extLst>
            <a:ext uri="{FF2B5EF4-FFF2-40B4-BE49-F238E27FC236}">
              <a16:creationId xmlns:a16="http://schemas.microsoft.com/office/drawing/2014/main" id="{00000000-0008-0000-2500-0000F4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37" name="Shape 3">
          <a:extLst>
            <a:ext uri="{FF2B5EF4-FFF2-40B4-BE49-F238E27FC236}">
              <a16:creationId xmlns:a16="http://schemas.microsoft.com/office/drawing/2014/main" id="{00000000-0008-0000-2500-0000F5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38" name="Shape 3">
          <a:extLst>
            <a:ext uri="{FF2B5EF4-FFF2-40B4-BE49-F238E27FC236}">
              <a16:creationId xmlns:a16="http://schemas.microsoft.com/office/drawing/2014/main" id="{00000000-0008-0000-2500-0000F6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39" name="Shape 3">
          <a:extLst>
            <a:ext uri="{FF2B5EF4-FFF2-40B4-BE49-F238E27FC236}">
              <a16:creationId xmlns:a16="http://schemas.microsoft.com/office/drawing/2014/main" id="{00000000-0008-0000-2500-0000F7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40" name="Shape 3">
          <a:extLst>
            <a:ext uri="{FF2B5EF4-FFF2-40B4-BE49-F238E27FC236}">
              <a16:creationId xmlns:a16="http://schemas.microsoft.com/office/drawing/2014/main" id="{00000000-0008-0000-2500-0000F8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27641" name="Shape 4">
          <a:extLst>
            <a:ext uri="{FF2B5EF4-FFF2-40B4-BE49-F238E27FC236}">
              <a16:creationId xmlns:a16="http://schemas.microsoft.com/office/drawing/2014/main" id="{00000000-0008-0000-2500-0000F96B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27642" name="Shape 4">
          <a:extLst>
            <a:ext uri="{FF2B5EF4-FFF2-40B4-BE49-F238E27FC236}">
              <a16:creationId xmlns:a16="http://schemas.microsoft.com/office/drawing/2014/main" id="{00000000-0008-0000-2500-0000FA6B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43" name="Shape 3">
          <a:extLst>
            <a:ext uri="{FF2B5EF4-FFF2-40B4-BE49-F238E27FC236}">
              <a16:creationId xmlns:a16="http://schemas.microsoft.com/office/drawing/2014/main" id="{00000000-0008-0000-2500-0000FB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44" name="Shape 3">
          <a:extLst>
            <a:ext uri="{FF2B5EF4-FFF2-40B4-BE49-F238E27FC236}">
              <a16:creationId xmlns:a16="http://schemas.microsoft.com/office/drawing/2014/main" id="{00000000-0008-0000-2500-0000FC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45" name="Shape 3">
          <a:extLst>
            <a:ext uri="{FF2B5EF4-FFF2-40B4-BE49-F238E27FC236}">
              <a16:creationId xmlns:a16="http://schemas.microsoft.com/office/drawing/2014/main" id="{00000000-0008-0000-2500-0000FD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46" name="Shape 3">
          <a:extLst>
            <a:ext uri="{FF2B5EF4-FFF2-40B4-BE49-F238E27FC236}">
              <a16:creationId xmlns:a16="http://schemas.microsoft.com/office/drawing/2014/main" id="{00000000-0008-0000-2500-0000FE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47" name="Shape 3">
          <a:extLst>
            <a:ext uri="{FF2B5EF4-FFF2-40B4-BE49-F238E27FC236}">
              <a16:creationId xmlns:a16="http://schemas.microsoft.com/office/drawing/2014/main" id="{00000000-0008-0000-2500-0000FF6B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48" name="Shape 3">
          <a:extLst>
            <a:ext uri="{FF2B5EF4-FFF2-40B4-BE49-F238E27FC236}">
              <a16:creationId xmlns:a16="http://schemas.microsoft.com/office/drawing/2014/main" id="{00000000-0008-0000-2500-000000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49" name="Shape 3">
          <a:extLst>
            <a:ext uri="{FF2B5EF4-FFF2-40B4-BE49-F238E27FC236}">
              <a16:creationId xmlns:a16="http://schemas.microsoft.com/office/drawing/2014/main" id="{00000000-0008-0000-2500-000001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7650" name="Shape 3">
          <a:extLst>
            <a:ext uri="{FF2B5EF4-FFF2-40B4-BE49-F238E27FC236}">
              <a16:creationId xmlns:a16="http://schemas.microsoft.com/office/drawing/2014/main" id="{00000000-0008-0000-2500-000002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51" name="Shape 3">
          <a:extLst>
            <a:ext uri="{FF2B5EF4-FFF2-40B4-BE49-F238E27FC236}">
              <a16:creationId xmlns:a16="http://schemas.microsoft.com/office/drawing/2014/main" id="{00000000-0008-0000-2500-000003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52" name="Shape 3">
          <a:extLst>
            <a:ext uri="{FF2B5EF4-FFF2-40B4-BE49-F238E27FC236}">
              <a16:creationId xmlns:a16="http://schemas.microsoft.com/office/drawing/2014/main" id="{00000000-0008-0000-2500-000004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53" name="Shape 3">
          <a:extLst>
            <a:ext uri="{FF2B5EF4-FFF2-40B4-BE49-F238E27FC236}">
              <a16:creationId xmlns:a16="http://schemas.microsoft.com/office/drawing/2014/main" id="{00000000-0008-0000-2500-000005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54" name="Shape 3">
          <a:extLst>
            <a:ext uri="{FF2B5EF4-FFF2-40B4-BE49-F238E27FC236}">
              <a16:creationId xmlns:a16="http://schemas.microsoft.com/office/drawing/2014/main" id="{00000000-0008-0000-2500-000006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55" name="Shape 3">
          <a:extLst>
            <a:ext uri="{FF2B5EF4-FFF2-40B4-BE49-F238E27FC236}">
              <a16:creationId xmlns:a16="http://schemas.microsoft.com/office/drawing/2014/main" id="{00000000-0008-0000-2500-000007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56" name="Shape 3">
          <a:extLst>
            <a:ext uri="{FF2B5EF4-FFF2-40B4-BE49-F238E27FC236}">
              <a16:creationId xmlns:a16="http://schemas.microsoft.com/office/drawing/2014/main" id="{00000000-0008-0000-2500-000008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57" name="Shape 3">
          <a:extLst>
            <a:ext uri="{FF2B5EF4-FFF2-40B4-BE49-F238E27FC236}">
              <a16:creationId xmlns:a16="http://schemas.microsoft.com/office/drawing/2014/main" id="{00000000-0008-0000-2500-000009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58" name="Shape 3">
          <a:extLst>
            <a:ext uri="{FF2B5EF4-FFF2-40B4-BE49-F238E27FC236}">
              <a16:creationId xmlns:a16="http://schemas.microsoft.com/office/drawing/2014/main" id="{00000000-0008-0000-2500-00000A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59" name="Shape 3">
          <a:extLst>
            <a:ext uri="{FF2B5EF4-FFF2-40B4-BE49-F238E27FC236}">
              <a16:creationId xmlns:a16="http://schemas.microsoft.com/office/drawing/2014/main" id="{00000000-0008-0000-2500-00000B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60" name="Shape 3">
          <a:extLst>
            <a:ext uri="{FF2B5EF4-FFF2-40B4-BE49-F238E27FC236}">
              <a16:creationId xmlns:a16="http://schemas.microsoft.com/office/drawing/2014/main" id="{00000000-0008-0000-2500-00000C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61" name="Shape 3">
          <a:extLst>
            <a:ext uri="{FF2B5EF4-FFF2-40B4-BE49-F238E27FC236}">
              <a16:creationId xmlns:a16="http://schemas.microsoft.com/office/drawing/2014/main" id="{00000000-0008-0000-2500-00000D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62" name="Shape 3">
          <a:extLst>
            <a:ext uri="{FF2B5EF4-FFF2-40B4-BE49-F238E27FC236}">
              <a16:creationId xmlns:a16="http://schemas.microsoft.com/office/drawing/2014/main" id="{00000000-0008-0000-2500-00000E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63" name="Shape 3">
          <a:extLst>
            <a:ext uri="{FF2B5EF4-FFF2-40B4-BE49-F238E27FC236}">
              <a16:creationId xmlns:a16="http://schemas.microsoft.com/office/drawing/2014/main" id="{00000000-0008-0000-2500-00000F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64" name="Shape 3">
          <a:extLst>
            <a:ext uri="{FF2B5EF4-FFF2-40B4-BE49-F238E27FC236}">
              <a16:creationId xmlns:a16="http://schemas.microsoft.com/office/drawing/2014/main" id="{00000000-0008-0000-2500-000010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65" name="Shape 3">
          <a:extLst>
            <a:ext uri="{FF2B5EF4-FFF2-40B4-BE49-F238E27FC236}">
              <a16:creationId xmlns:a16="http://schemas.microsoft.com/office/drawing/2014/main" id="{00000000-0008-0000-2500-000011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66" name="Shape 3">
          <a:extLst>
            <a:ext uri="{FF2B5EF4-FFF2-40B4-BE49-F238E27FC236}">
              <a16:creationId xmlns:a16="http://schemas.microsoft.com/office/drawing/2014/main" id="{00000000-0008-0000-2500-000012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67" name="Shape 3">
          <a:extLst>
            <a:ext uri="{FF2B5EF4-FFF2-40B4-BE49-F238E27FC236}">
              <a16:creationId xmlns:a16="http://schemas.microsoft.com/office/drawing/2014/main" id="{00000000-0008-0000-2500-000013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68" name="Shape 3">
          <a:extLst>
            <a:ext uri="{FF2B5EF4-FFF2-40B4-BE49-F238E27FC236}">
              <a16:creationId xmlns:a16="http://schemas.microsoft.com/office/drawing/2014/main" id="{00000000-0008-0000-2500-000014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69" name="Shape 3">
          <a:extLst>
            <a:ext uri="{FF2B5EF4-FFF2-40B4-BE49-F238E27FC236}">
              <a16:creationId xmlns:a16="http://schemas.microsoft.com/office/drawing/2014/main" id="{00000000-0008-0000-2500-000015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70" name="Shape 3">
          <a:extLst>
            <a:ext uri="{FF2B5EF4-FFF2-40B4-BE49-F238E27FC236}">
              <a16:creationId xmlns:a16="http://schemas.microsoft.com/office/drawing/2014/main" id="{00000000-0008-0000-2500-000016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71" name="Shape 3">
          <a:extLst>
            <a:ext uri="{FF2B5EF4-FFF2-40B4-BE49-F238E27FC236}">
              <a16:creationId xmlns:a16="http://schemas.microsoft.com/office/drawing/2014/main" id="{00000000-0008-0000-2500-000017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72" name="Shape 3">
          <a:extLst>
            <a:ext uri="{FF2B5EF4-FFF2-40B4-BE49-F238E27FC236}">
              <a16:creationId xmlns:a16="http://schemas.microsoft.com/office/drawing/2014/main" id="{00000000-0008-0000-2500-000018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73" name="Shape 3">
          <a:extLst>
            <a:ext uri="{FF2B5EF4-FFF2-40B4-BE49-F238E27FC236}">
              <a16:creationId xmlns:a16="http://schemas.microsoft.com/office/drawing/2014/main" id="{00000000-0008-0000-2500-000019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74" name="Shape 3">
          <a:extLst>
            <a:ext uri="{FF2B5EF4-FFF2-40B4-BE49-F238E27FC236}">
              <a16:creationId xmlns:a16="http://schemas.microsoft.com/office/drawing/2014/main" id="{00000000-0008-0000-2500-00001A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75" name="Shape 3">
          <a:extLst>
            <a:ext uri="{FF2B5EF4-FFF2-40B4-BE49-F238E27FC236}">
              <a16:creationId xmlns:a16="http://schemas.microsoft.com/office/drawing/2014/main" id="{00000000-0008-0000-2500-00001B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76" name="Shape 3">
          <a:extLst>
            <a:ext uri="{FF2B5EF4-FFF2-40B4-BE49-F238E27FC236}">
              <a16:creationId xmlns:a16="http://schemas.microsoft.com/office/drawing/2014/main" id="{00000000-0008-0000-2500-00001C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77" name="Shape 3">
          <a:extLst>
            <a:ext uri="{FF2B5EF4-FFF2-40B4-BE49-F238E27FC236}">
              <a16:creationId xmlns:a16="http://schemas.microsoft.com/office/drawing/2014/main" id="{00000000-0008-0000-2500-00001D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78" name="Shape 3">
          <a:extLst>
            <a:ext uri="{FF2B5EF4-FFF2-40B4-BE49-F238E27FC236}">
              <a16:creationId xmlns:a16="http://schemas.microsoft.com/office/drawing/2014/main" id="{00000000-0008-0000-2500-00001E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79" name="Shape 3">
          <a:extLst>
            <a:ext uri="{FF2B5EF4-FFF2-40B4-BE49-F238E27FC236}">
              <a16:creationId xmlns:a16="http://schemas.microsoft.com/office/drawing/2014/main" id="{00000000-0008-0000-2500-00001F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80" name="Shape 3">
          <a:extLst>
            <a:ext uri="{FF2B5EF4-FFF2-40B4-BE49-F238E27FC236}">
              <a16:creationId xmlns:a16="http://schemas.microsoft.com/office/drawing/2014/main" id="{00000000-0008-0000-2500-000020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81" name="Shape 3">
          <a:extLst>
            <a:ext uri="{FF2B5EF4-FFF2-40B4-BE49-F238E27FC236}">
              <a16:creationId xmlns:a16="http://schemas.microsoft.com/office/drawing/2014/main" id="{00000000-0008-0000-2500-000021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82" name="Shape 3">
          <a:extLst>
            <a:ext uri="{FF2B5EF4-FFF2-40B4-BE49-F238E27FC236}">
              <a16:creationId xmlns:a16="http://schemas.microsoft.com/office/drawing/2014/main" id="{00000000-0008-0000-2500-000022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83" name="Shape 3">
          <a:extLst>
            <a:ext uri="{FF2B5EF4-FFF2-40B4-BE49-F238E27FC236}">
              <a16:creationId xmlns:a16="http://schemas.microsoft.com/office/drawing/2014/main" id="{00000000-0008-0000-2500-000023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84" name="Shape 3">
          <a:extLst>
            <a:ext uri="{FF2B5EF4-FFF2-40B4-BE49-F238E27FC236}">
              <a16:creationId xmlns:a16="http://schemas.microsoft.com/office/drawing/2014/main" id="{00000000-0008-0000-2500-000024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7685" name="Shape 3">
          <a:extLst>
            <a:ext uri="{FF2B5EF4-FFF2-40B4-BE49-F238E27FC236}">
              <a16:creationId xmlns:a16="http://schemas.microsoft.com/office/drawing/2014/main" id="{00000000-0008-0000-2500-0000256C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686" name="Shape 3">
          <a:extLst>
            <a:ext uri="{FF2B5EF4-FFF2-40B4-BE49-F238E27FC236}">
              <a16:creationId xmlns:a16="http://schemas.microsoft.com/office/drawing/2014/main" id="{00000000-0008-0000-2500-00002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87" name="Shape 3">
          <a:extLst>
            <a:ext uri="{FF2B5EF4-FFF2-40B4-BE49-F238E27FC236}">
              <a16:creationId xmlns:a16="http://schemas.microsoft.com/office/drawing/2014/main" id="{00000000-0008-0000-2500-000027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88" name="Shape 3">
          <a:extLst>
            <a:ext uri="{FF2B5EF4-FFF2-40B4-BE49-F238E27FC236}">
              <a16:creationId xmlns:a16="http://schemas.microsoft.com/office/drawing/2014/main" id="{00000000-0008-0000-2500-000028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89" name="Shape 3">
          <a:extLst>
            <a:ext uri="{FF2B5EF4-FFF2-40B4-BE49-F238E27FC236}">
              <a16:creationId xmlns:a16="http://schemas.microsoft.com/office/drawing/2014/main" id="{00000000-0008-0000-2500-00002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0" name="Shape 3">
          <a:extLst>
            <a:ext uri="{FF2B5EF4-FFF2-40B4-BE49-F238E27FC236}">
              <a16:creationId xmlns:a16="http://schemas.microsoft.com/office/drawing/2014/main" id="{00000000-0008-0000-2500-00002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1" name="Shape 3">
          <a:extLst>
            <a:ext uri="{FF2B5EF4-FFF2-40B4-BE49-F238E27FC236}">
              <a16:creationId xmlns:a16="http://schemas.microsoft.com/office/drawing/2014/main" id="{00000000-0008-0000-2500-00002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2" name="Shape 3">
          <a:extLst>
            <a:ext uri="{FF2B5EF4-FFF2-40B4-BE49-F238E27FC236}">
              <a16:creationId xmlns:a16="http://schemas.microsoft.com/office/drawing/2014/main" id="{00000000-0008-0000-2500-00002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3" name="Shape 3">
          <a:extLst>
            <a:ext uri="{FF2B5EF4-FFF2-40B4-BE49-F238E27FC236}">
              <a16:creationId xmlns:a16="http://schemas.microsoft.com/office/drawing/2014/main" id="{00000000-0008-0000-2500-00002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4" name="Shape 3">
          <a:extLst>
            <a:ext uri="{FF2B5EF4-FFF2-40B4-BE49-F238E27FC236}">
              <a16:creationId xmlns:a16="http://schemas.microsoft.com/office/drawing/2014/main" id="{00000000-0008-0000-2500-00002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5" name="Shape 3">
          <a:extLst>
            <a:ext uri="{FF2B5EF4-FFF2-40B4-BE49-F238E27FC236}">
              <a16:creationId xmlns:a16="http://schemas.microsoft.com/office/drawing/2014/main" id="{00000000-0008-0000-2500-00002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6" name="Shape 3">
          <a:extLst>
            <a:ext uri="{FF2B5EF4-FFF2-40B4-BE49-F238E27FC236}">
              <a16:creationId xmlns:a16="http://schemas.microsoft.com/office/drawing/2014/main" id="{00000000-0008-0000-2500-00003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7" name="Shape 3">
          <a:extLst>
            <a:ext uri="{FF2B5EF4-FFF2-40B4-BE49-F238E27FC236}">
              <a16:creationId xmlns:a16="http://schemas.microsoft.com/office/drawing/2014/main" id="{00000000-0008-0000-2500-00003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8" name="Shape 3">
          <a:extLst>
            <a:ext uri="{FF2B5EF4-FFF2-40B4-BE49-F238E27FC236}">
              <a16:creationId xmlns:a16="http://schemas.microsoft.com/office/drawing/2014/main" id="{00000000-0008-0000-2500-00003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699" name="Shape 3">
          <a:extLst>
            <a:ext uri="{FF2B5EF4-FFF2-40B4-BE49-F238E27FC236}">
              <a16:creationId xmlns:a16="http://schemas.microsoft.com/office/drawing/2014/main" id="{00000000-0008-0000-2500-00003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0" name="Shape 3">
          <a:extLst>
            <a:ext uri="{FF2B5EF4-FFF2-40B4-BE49-F238E27FC236}">
              <a16:creationId xmlns:a16="http://schemas.microsoft.com/office/drawing/2014/main" id="{00000000-0008-0000-2500-000034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1" name="Shape 3">
          <a:extLst>
            <a:ext uri="{FF2B5EF4-FFF2-40B4-BE49-F238E27FC236}">
              <a16:creationId xmlns:a16="http://schemas.microsoft.com/office/drawing/2014/main" id="{00000000-0008-0000-2500-000035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2" name="Shape 3">
          <a:extLst>
            <a:ext uri="{FF2B5EF4-FFF2-40B4-BE49-F238E27FC236}">
              <a16:creationId xmlns:a16="http://schemas.microsoft.com/office/drawing/2014/main" id="{00000000-0008-0000-2500-00003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703" name="Shape 4">
          <a:extLst>
            <a:ext uri="{FF2B5EF4-FFF2-40B4-BE49-F238E27FC236}">
              <a16:creationId xmlns:a16="http://schemas.microsoft.com/office/drawing/2014/main" id="{00000000-0008-0000-2500-0000376C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704" name="Shape 4">
          <a:extLst>
            <a:ext uri="{FF2B5EF4-FFF2-40B4-BE49-F238E27FC236}">
              <a16:creationId xmlns:a16="http://schemas.microsoft.com/office/drawing/2014/main" id="{00000000-0008-0000-2500-0000386C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5" name="Shape 3">
          <a:extLst>
            <a:ext uri="{FF2B5EF4-FFF2-40B4-BE49-F238E27FC236}">
              <a16:creationId xmlns:a16="http://schemas.microsoft.com/office/drawing/2014/main" id="{00000000-0008-0000-2500-00003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6" name="Shape 3">
          <a:extLst>
            <a:ext uri="{FF2B5EF4-FFF2-40B4-BE49-F238E27FC236}">
              <a16:creationId xmlns:a16="http://schemas.microsoft.com/office/drawing/2014/main" id="{00000000-0008-0000-2500-00003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7" name="Shape 3">
          <a:extLst>
            <a:ext uri="{FF2B5EF4-FFF2-40B4-BE49-F238E27FC236}">
              <a16:creationId xmlns:a16="http://schemas.microsoft.com/office/drawing/2014/main" id="{00000000-0008-0000-2500-00003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8" name="Shape 3">
          <a:extLst>
            <a:ext uri="{FF2B5EF4-FFF2-40B4-BE49-F238E27FC236}">
              <a16:creationId xmlns:a16="http://schemas.microsoft.com/office/drawing/2014/main" id="{00000000-0008-0000-2500-00003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09" name="Shape 3">
          <a:extLst>
            <a:ext uri="{FF2B5EF4-FFF2-40B4-BE49-F238E27FC236}">
              <a16:creationId xmlns:a16="http://schemas.microsoft.com/office/drawing/2014/main" id="{00000000-0008-0000-2500-00003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10" name="Shape 3">
          <a:extLst>
            <a:ext uri="{FF2B5EF4-FFF2-40B4-BE49-F238E27FC236}">
              <a16:creationId xmlns:a16="http://schemas.microsoft.com/office/drawing/2014/main" id="{00000000-0008-0000-2500-00003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11" name="Shape 3">
          <a:extLst>
            <a:ext uri="{FF2B5EF4-FFF2-40B4-BE49-F238E27FC236}">
              <a16:creationId xmlns:a16="http://schemas.microsoft.com/office/drawing/2014/main" id="{00000000-0008-0000-2500-00003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712" name="Shape 3">
          <a:extLst>
            <a:ext uri="{FF2B5EF4-FFF2-40B4-BE49-F238E27FC236}">
              <a16:creationId xmlns:a16="http://schemas.microsoft.com/office/drawing/2014/main" id="{00000000-0008-0000-2500-00004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3" name="Shape 3">
          <a:extLst>
            <a:ext uri="{FF2B5EF4-FFF2-40B4-BE49-F238E27FC236}">
              <a16:creationId xmlns:a16="http://schemas.microsoft.com/office/drawing/2014/main" id="{00000000-0008-0000-2500-00004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4" name="Shape 3">
          <a:extLst>
            <a:ext uri="{FF2B5EF4-FFF2-40B4-BE49-F238E27FC236}">
              <a16:creationId xmlns:a16="http://schemas.microsoft.com/office/drawing/2014/main" id="{00000000-0008-0000-2500-00004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5" name="Shape 3">
          <a:extLst>
            <a:ext uri="{FF2B5EF4-FFF2-40B4-BE49-F238E27FC236}">
              <a16:creationId xmlns:a16="http://schemas.microsoft.com/office/drawing/2014/main" id="{00000000-0008-0000-2500-00004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6" name="Shape 3">
          <a:extLst>
            <a:ext uri="{FF2B5EF4-FFF2-40B4-BE49-F238E27FC236}">
              <a16:creationId xmlns:a16="http://schemas.microsoft.com/office/drawing/2014/main" id="{00000000-0008-0000-2500-000044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7" name="Shape 3">
          <a:extLst>
            <a:ext uri="{FF2B5EF4-FFF2-40B4-BE49-F238E27FC236}">
              <a16:creationId xmlns:a16="http://schemas.microsoft.com/office/drawing/2014/main" id="{00000000-0008-0000-2500-000045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8" name="Shape 3">
          <a:extLst>
            <a:ext uri="{FF2B5EF4-FFF2-40B4-BE49-F238E27FC236}">
              <a16:creationId xmlns:a16="http://schemas.microsoft.com/office/drawing/2014/main" id="{00000000-0008-0000-2500-00004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19" name="Shape 3">
          <a:extLst>
            <a:ext uri="{FF2B5EF4-FFF2-40B4-BE49-F238E27FC236}">
              <a16:creationId xmlns:a16="http://schemas.microsoft.com/office/drawing/2014/main" id="{00000000-0008-0000-2500-000047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0" name="Shape 3">
          <a:extLst>
            <a:ext uri="{FF2B5EF4-FFF2-40B4-BE49-F238E27FC236}">
              <a16:creationId xmlns:a16="http://schemas.microsoft.com/office/drawing/2014/main" id="{00000000-0008-0000-2500-000048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1" name="Shape 3">
          <a:extLst>
            <a:ext uri="{FF2B5EF4-FFF2-40B4-BE49-F238E27FC236}">
              <a16:creationId xmlns:a16="http://schemas.microsoft.com/office/drawing/2014/main" id="{00000000-0008-0000-2500-00004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2" name="Shape 3">
          <a:extLst>
            <a:ext uri="{FF2B5EF4-FFF2-40B4-BE49-F238E27FC236}">
              <a16:creationId xmlns:a16="http://schemas.microsoft.com/office/drawing/2014/main" id="{00000000-0008-0000-2500-00004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3" name="Shape 3">
          <a:extLst>
            <a:ext uri="{FF2B5EF4-FFF2-40B4-BE49-F238E27FC236}">
              <a16:creationId xmlns:a16="http://schemas.microsoft.com/office/drawing/2014/main" id="{00000000-0008-0000-2500-00004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4" name="Shape 3">
          <a:extLst>
            <a:ext uri="{FF2B5EF4-FFF2-40B4-BE49-F238E27FC236}">
              <a16:creationId xmlns:a16="http://schemas.microsoft.com/office/drawing/2014/main" id="{00000000-0008-0000-2500-00004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5" name="Shape 3">
          <a:extLst>
            <a:ext uri="{FF2B5EF4-FFF2-40B4-BE49-F238E27FC236}">
              <a16:creationId xmlns:a16="http://schemas.microsoft.com/office/drawing/2014/main" id="{00000000-0008-0000-2500-00004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6" name="Shape 3">
          <a:extLst>
            <a:ext uri="{FF2B5EF4-FFF2-40B4-BE49-F238E27FC236}">
              <a16:creationId xmlns:a16="http://schemas.microsoft.com/office/drawing/2014/main" id="{00000000-0008-0000-2500-00004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7" name="Shape 3">
          <a:extLst>
            <a:ext uri="{FF2B5EF4-FFF2-40B4-BE49-F238E27FC236}">
              <a16:creationId xmlns:a16="http://schemas.microsoft.com/office/drawing/2014/main" id="{00000000-0008-0000-2500-00004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8" name="Shape 3">
          <a:extLst>
            <a:ext uri="{FF2B5EF4-FFF2-40B4-BE49-F238E27FC236}">
              <a16:creationId xmlns:a16="http://schemas.microsoft.com/office/drawing/2014/main" id="{00000000-0008-0000-2500-00005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29" name="Shape 3">
          <a:extLst>
            <a:ext uri="{FF2B5EF4-FFF2-40B4-BE49-F238E27FC236}">
              <a16:creationId xmlns:a16="http://schemas.microsoft.com/office/drawing/2014/main" id="{00000000-0008-0000-2500-00005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0" name="Shape 3">
          <a:extLst>
            <a:ext uri="{FF2B5EF4-FFF2-40B4-BE49-F238E27FC236}">
              <a16:creationId xmlns:a16="http://schemas.microsoft.com/office/drawing/2014/main" id="{00000000-0008-0000-2500-00005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1" name="Shape 3">
          <a:extLst>
            <a:ext uri="{FF2B5EF4-FFF2-40B4-BE49-F238E27FC236}">
              <a16:creationId xmlns:a16="http://schemas.microsoft.com/office/drawing/2014/main" id="{00000000-0008-0000-2500-00005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2" name="Shape 3">
          <a:extLst>
            <a:ext uri="{FF2B5EF4-FFF2-40B4-BE49-F238E27FC236}">
              <a16:creationId xmlns:a16="http://schemas.microsoft.com/office/drawing/2014/main" id="{00000000-0008-0000-2500-000054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3" name="Shape 3">
          <a:extLst>
            <a:ext uri="{FF2B5EF4-FFF2-40B4-BE49-F238E27FC236}">
              <a16:creationId xmlns:a16="http://schemas.microsoft.com/office/drawing/2014/main" id="{00000000-0008-0000-2500-000055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4" name="Shape 3">
          <a:extLst>
            <a:ext uri="{FF2B5EF4-FFF2-40B4-BE49-F238E27FC236}">
              <a16:creationId xmlns:a16="http://schemas.microsoft.com/office/drawing/2014/main" id="{00000000-0008-0000-2500-000056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5" name="Shape 3">
          <a:extLst>
            <a:ext uri="{FF2B5EF4-FFF2-40B4-BE49-F238E27FC236}">
              <a16:creationId xmlns:a16="http://schemas.microsoft.com/office/drawing/2014/main" id="{00000000-0008-0000-2500-000057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6" name="Shape 3">
          <a:extLst>
            <a:ext uri="{FF2B5EF4-FFF2-40B4-BE49-F238E27FC236}">
              <a16:creationId xmlns:a16="http://schemas.microsoft.com/office/drawing/2014/main" id="{00000000-0008-0000-2500-000058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7" name="Shape 3">
          <a:extLst>
            <a:ext uri="{FF2B5EF4-FFF2-40B4-BE49-F238E27FC236}">
              <a16:creationId xmlns:a16="http://schemas.microsoft.com/office/drawing/2014/main" id="{00000000-0008-0000-2500-000059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8" name="Shape 3">
          <a:extLst>
            <a:ext uri="{FF2B5EF4-FFF2-40B4-BE49-F238E27FC236}">
              <a16:creationId xmlns:a16="http://schemas.microsoft.com/office/drawing/2014/main" id="{00000000-0008-0000-2500-00005A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39" name="Shape 3">
          <a:extLst>
            <a:ext uri="{FF2B5EF4-FFF2-40B4-BE49-F238E27FC236}">
              <a16:creationId xmlns:a16="http://schemas.microsoft.com/office/drawing/2014/main" id="{00000000-0008-0000-2500-00005B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0" name="Shape 3">
          <a:extLst>
            <a:ext uri="{FF2B5EF4-FFF2-40B4-BE49-F238E27FC236}">
              <a16:creationId xmlns:a16="http://schemas.microsoft.com/office/drawing/2014/main" id="{00000000-0008-0000-2500-00005C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1" name="Shape 3">
          <a:extLst>
            <a:ext uri="{FF2B5EF4-FFF2-40B4-BE49-F238E27FC236}">
              <a16:creationId xmlns:a16="http://schemas.microsoft.com/office/drawing/2014/main" id="{00000000-0008-0000-2500-00005D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2" name="Shape 3">
          <a:extLst>
            <a:ext uri="{FF2B5EF4-FFF2-40B4-BE49-F238E27FC236}">
              <a16:creationId xmlns:a16="http://schemas.microsoft.com/office/drawing/2014/main" id="{00000000-0008-0000-2500-00005E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3" name="Shape 3">
          <a:extLst>
            <a:ext uri="{FF2B5EF4-FFF2-40B4-BE49-F238E27FC236}">
              <a16:creationId xmlns:a16="http://schemas.microsoft.com/office/drawing/2014/main" id="{00000000-0008-0000-2500-00005F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4" name="Shape 3">
          <a:extLst>
            <a:ext uri="{FF2B5EF4-FFF2-40B4-BE49-F238E27FC236}">
              <a16:creationId xmlns:a16="http://schemas.microsoft.com/office/drawing/2014/main" id="{00000000-0008-0000-2500-000060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5" name="Shape 3">
          <a:extLst>
            <a:ext uri="{FF2B5EF4-FFF2-40B4-BE49-F238E27FC236}">
              <a16:creationId xmlns:a16="http://schemas.microsoft.com/office/drawing/2014/main" id="{00000000-0008-0000-2500-000061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6" name="Shape 3">
          <a:extLst>
            <a:ext uri="{FF2B5EF4-FFF2-40B4-BE49-F238E27FC236}">
              <a16:creationId xmlns:a16="http://schemas.microsoft.com/office/drawing/2014/main" id="{00000000-0008-0000-2500-000062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747" name="Shape 3">
          <a:extLst>
            <a:ext uri="{FF2B5EF4-FFF2-40B4-BE49-F238E27FC236}">
              <a16:creationId xmlns:a16="http://schemas.microsoft.com/office/drawing/2014/main" id="{00000000-0008-0000-2500-0000636C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48" name="Shape 3">
          <a:extLst>
            <a:ext uri="{FF2B5EF4-FFF2-40B4-BE49-F238E27FC236}">
              <a16:creationId xmlns:a16="http://schemas.microsoft.com/office/drawing/2014/main" id="{00000000-0008-0000-2500-00006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49" name="Shape 3">
          <a:extLst>
            <a:ext uri="{FF2B5EF4-FFF2-40B4-BE49-F238E27FC236}">
              <a16:creationId xmlns:a16="http://schemas.microsoft.com/office/drawing/2014/main" id="{00000000-0008-0000-2500-000065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0" name="Shape 3">
          <a:extLst>
            <a:ext uri="{FF2B5EF4-FFF2-40B4-BE49-F238E27FC236}">
              <a16:creationId xmlns:a16="http://schemas.microsoft.com/office/drawing/2014/main" id="{00000000-0008-0000-2500-000066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1" name="Shape 3">
          <a:extLst>
            <a:ext uri="{FF2B5EF4-FFF2-40B4-BE49-F238E27FC236}">
              <a16:creationId xmlns:a16="http://schemas.microsoft.com/office/drawing/2014/main" id="{00000000-0008-0000-2500-00006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2" name="Shape 3">
          <a:extLst>
            <a:ext uri="{FF2B5EF4-FFF2-40B4-BE49-F238E27FC236}">
              <a16:creationId xmlns:a16="http://schemas.microsoft.com/office/drawing/2014/main" id="{00000000-0008-0000-2500-00006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3" name="Shape 3">
          <a:extLst>
            <a:ext uri="{FF2B5EF4-FFF2-40B4-BE49-F238E27FC236}">
              <a16:creationId xmlns:a16="http://schemas.microsoft.com/office/drawing/2014/main" id="{00000000-0008-0000-2500-00006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4" name="Shape 3">
          <a:extLst>
            <a:ext uri="{FF2B5EF4-FFF2-40B4-BE49-F238E27FC236}">
              <a16:creationId xmlns:a16="http://schemas.microsoft.com/office/drawing/2014/main" id="{00000000-0008-0000-2500-00006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5" name="Shape 3">
          <a:extLst>
            <a:ext uri="{FF2B5EF4-FFF2-40B4-BE49-F238E27FC236}">
              <a16:creationId xmlns:a16="http://schemas.microsoft.com/office/drawing/2014/main" id="{00000000-0008-0000-2500-00006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6" name="Shape 3">
          <a:extLst>
            <a:ext uri="{FF2B5EF4-FFF2-40B4-BE49-F238E27FC236}">
              <a16:creationId xmlns:a16="http://schemas.microsoft.com/office/drawing/2014/main" id="{00000000-0008-0000-2500-00006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7" name="Shape 3">
          <a:extLst>
            <a:ext uri="{FF2B5EF4-FFF2-40B4-BE49-F238E27FC236}">
              <a16:creationId xmlns:a16="http://schemas.microsoft.com/office/drawing/2014/main" id="{00000000-0008-0000-2500-00006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8" name="Shape 3">
          <a:extLst>
            <a:ext uri="{FF2B5EF4-FFF2-40B4-BE49-F238E27FC236}">
              <a16:creationId xmlns:a16="http://schemas.microsoft.com/office/drawing/2014/main" id="{00000000-0008-0000-2500-00006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59" name="Shape 3">
          <a:extLst>
            <a:ext uri="{FF2B5EF4-FFF2-40B4-BE49-F238E27FC236}">
              <a16:creationId xmlns:a16="http://schemas.microsoft.com/office/drawing/2014/main" id="{00000000-0008-0000-2500-00006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0" name="Shape 3">
          <a:extLst>
            <a:ext uri="{FF2B5EF4-FFF2-40B4-BE49-F238E27FC236}">
              <a16:creationId xmlns:a16="http://schemas.microsoft.com/office/drawing/2014/main" id="{00000000-0008-0000-2500-00007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1" name="Shape 3">
          <a:extLst>
            <a:ext uri="{FF2B5EF4-FFF2-40B4-BE49-F238E27FC236}">
              <a16:creationId xmlns:a16="http://schemas.microsoft.com/office/drawing/2014/main" id="{00000000-0008-0000-2500-00007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2" name="Shape 3">
          <a:extLst>
            <a:ext uri="{FF2B5EF4-FFF2-40B4-BE49-F238E27FC236}">
              <a16:creationId xmlns:a16="http://schemas.microsoft.com/office/drawing/2014/main" id="{00000000-0008-0000-2500-000072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3" name="Shape 3">
          <a:extLst>
            <a:ext uri="{FF2B5EF4-FFF2-40B4-BE49-F238E27FC236}">
              <a16:creationId xmlns:a16="http://schemas.microsoft.com/office/drawing/2014/main" id="{00000000-0008-0000-2500-000073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4" name="Shape 3">
          <a:extLst>
            <a:ext uri="{FF2B5EF4-FFF2-40B4-BE49-F238E27FC236}">
              <a16:creationId xmlns:a16="http://schemas.microsoft.com/office/drawing/2014/main" id="{00000000-0008-0000-2500-00007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765" name="Shape 4">
          <a:extLst>
            <a:ext uri="{FF2B5EF4-FFF2-40B4-BE49-F238E27FC236}">
              <a16:creationId xmlns:a16="http://schemas.microsoft.com/office/drawing/2014/main" id="{00000000-0008-0000-2500-0000756C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766" name="Shape 4">
          <a:extLst>
            <a:ext uri="{FF2B5EF4-FFF2-40B4-BE49-F238E27FC236}">
              <a16:creationId xmlns:a16="http://schemas.microsoft.com/office/drawing/2014/main" id="{00000000-0008-0000-2500-0000766C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7" name="Shape 3">
          <a:extLst>
            <a:ext uri="{FF2B5EF4-FFF2-40B4-BE49-F238E27FC236}">
              <a16:creationId xmlns:a16="http://schemas.microsoft.com/office/drawing/2014/main" id="{00000000-0008-0000-2500-00007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8" name="Shape 3">
          <a:extLst>
            <a:ext uri="{FF2B5EF4-FFF2-40B4-BE49-F238E27FC236}">
              <a16:creationId xmlns:a16="http://schemas.microsoft.com/office/drawing/2014/main" id="{00000000-0008-0000-2500-00007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69" name="Shape 3">
          <a:extLst>
            <a:ext uri="{FF2B5EF4-FFF2-40B4-BE49-F238E27FC236}">
              <a16:creationId xmlns:a16="http://schemas.microsoft.com/office/drawing/2014/main" id="{00000000-0008-0000-2500-00007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0" name="Shape 3">
          <a:extLst>
            <a:ext uri="{FF2B5EF4-FFF2-40B4-BE49-F238E27FC236}">
              <a16:creationId xmlns:a16="http://schemas.microsoft.com/office/drawing/2014/main" id="{00000000-0008-0000-2500-00007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1" name="Shape 3">
          <a:extLst>
            <a:ext uri="{FF2B5EF4-FFF2-40B4-BE49-F238E27FC236}">
              <a16:creationId xmlns:a16="http://schemas.microsoft.com/office/drawing/2014/main" id="{00000000-0008-0000-2500-00007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2" name="Shape 3">
          <a:extLst>
            <a:ext uri="{FF2B5EF4-FFF2-40B4-BE49-F238E27FC236}">
              <a16:creationId xmlns:a16="http://schemas.microsoft.com/office/drawing/2014/main" id="{00000000-0008-0000-2500-00007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3" name="Shape 3">
          <a:extLst>
            <a:ext uri="{FF2B5EF4-FFF2-40B4-BE49-F238E27FC236}">
              <a16:creationId xmlns:a16="http://schemas.microsoft.com/office/drawing/2014/main" id="{00000000-0008-0000-2500-00007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774" name="Shape 3">
          <a:extLst>
            <a:ext uri="{FF2B5EF4-FFF2-40B4-BE49-F238E27FC236}">
              <a16:creationId xmlns:a16="http://schemas.microsoft.com/office/drawing/2014/main" id="{00000000-0008-0000-2500-00007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5" name="Shape 3">
          <a:extLst>
            <a:ext uri="{FF2B5EF4-FFF2-40B4-BE49-F238E27FC236}">
              <a16:creationId xmlns:a16="http://schemas.microsoft.com/office/drawing/2014/main" id="{00000000-0008-0000-2500-00007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6" name="Shape 3">
          <a:extLst>
            <a:ext uri="{FF2B5EF4-FFF2-40B4-BE49-F238E27FC236}">
              <a16:creationId xmlns:a16="http://schemas.microsoft.com/office/drawing/2014/main" id="{00000000-0008-0000-2500-00008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7" name="Shape 3">
          <a:extLst>
            <a:ext uri="{FF2B5EF4-FFF2-40B4-BE49-F238E27FC236}">
              <a16:creationId xmlns:a16="http://schemas.microsoft.com/office/drawing/2014/main" id="{00000000-0008-0000-2500-00008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8" name="Shape 3">
          <a:extLst>
            <a:ext uri="{FF2B5EF4-FFF2-40B4-BE49-F238E27FC236}">
              <a16:creationId xmlns:a16="http://schemas.microsoft.com/office/drawing/2014/main" id="{00000000-0008-0000-2500-000082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79" name="Shape 3">
          <a:extLst>
            <a:ext uri="{FF2B5EF4-FFF2-40B4-BE49-F238E27FC236}">
              <a16:creationId xmlns:a16="http://schemas.microsoft.com/office/drawing/2014/main" id="{00000000-0008-0000-2500-000083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0" name="Shape 3">
          <a:extLst>
            <a:ext uri="{FF2B5EF4-FFF2-40B4-BE49-F238E27FC236}">
              <a16:creationId xmlns:a16="http://schemas.microsoft.com/office/drawing/2014/main" id="{00000000-0008-0000-2500-00008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1" name="Shape 3">
          <a:extLst>
            <a:ext uri="{FF2B5EF4-FFF2-40B4-BE49-F238E27FC236}">
              <a16:creationId xmlns:a16="http://schemas.microsoft.com/office/drawing/2014/main" id="{00000000-0008-0000-2500-000085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2" name="Shape 3">
          <a:extLst>
            <a:ext uri="{FF2B5EF4-FFF2-40B4-BE49-F238E27FC236}">
              <a16:creationId xmlns:a16="http://schemas.microsoft.com/office/drawing/2014/main" id="{00000000-0008-0000-2500-000086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3" name="Shape 3">
          <a:extLst>
            <a:ext uri="{FF2B5EF4-FFF2-40B4-BE49-F238E27FC236}">
              <a16:creationId xmlns:a16="http://schemas.microsoft.com/office/drawing/2014/main" id="{00000000-0008-0000-2500-00008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4" name="Shape 3">
          <a:extLst>
            <a:ext uri="{FF2B5EF4-FFF2-40B4-BE49-F238E27FC236}">
              <a16:creationId xmlns:a16="http://schemas.microsoft.com/office/drawing/2014/main" id="{00000000-0008-0000-2500-00008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5" name="Shape 3">
          <a:extLst>
            <a:ext uri="{FF2B5EF4-FFF2-40B4-BE49-F238E27FC236}">
              <a16:creationId xmlns:a16="http://schemas.microsoft.com/office/drawing/2014/main" id="{00000000-0008-0000-2500-00008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6" name="Shape 3">
          <a:extLst>
            <a:ext uri="{FF2B5EF4-FFF2-40B4-BE49-F238E27FC236}">
              <a16:creationId xmlns:a16="http://schemas.microsoft.com/office/drawing/2014/main" id="{00000000-0008-0000-2500-00008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7" name="Shape 3">
          <a:extLst>
            <a:ext uri="{FF2B5EF4-FFF2-40B4-BE49-F238E27FC236}">
              <a16:creationId xmlns:a16="http://schemas.microsoft.com/office/drawing/2014/main" id="{00000000-0008-0000-2500-00008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8" name="Shape 3">
          <a:extLst>
            <a:ext uri="{FF2B5EF4-FFF2-40B4-BE49-F238E27FC236}">
              <a16:creationId xmlns:a16="http://schemas.microsoft.com/office/drawing/2014/main" id="{00000000-0008-0000-2500-00008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89" name="Shape 3">
          <a:extLst>
            <a:ext uri="{FF2B5EF4-FFF2-40B4-BE49-F238E27FC236}">
              <a16:creationId xmlns:a16="http://schemas.microsoft.com/office/drawing/2014/main" id="{00000000-0008-0000-2500-00008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0" name="Shape 3">
          <a:extLst>
            <a:ext uri="{FF2B5EF4-FFF2-40B4-BE49-F238E27FC236}">
              <a16:creationId xmlns:a16="http://schemas.microsoft.com/office/drawing/2014/main" id="{00000000-0008-0000-2500-00008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1" name="Shape 3">
          <a:extLst>
            <a:ext uri="{FF2B5EF4-FFF2-40B4-BE49-F238E27FC236}">
              <a16:creationId xmlns:a16="http://schemas.microsoft.com/office/drawing/2014/main" id="{00000000-0008-0000-2500-00008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2" name="Shape 3">
          <a:extLst>
            <a:ext uri="{FF2B5EF4-FFF2-40B4-BE49-F238E27FC236}">
              <a16:creationId xmlns:a16="http://schemas.microsoft.com/office/drawing/2014/main" id="{00000000-0008-0000-2500-00009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3" name="Shape 3">
          <a:extLst>
            <a:ext uri="{FF2B5EF4-FFF2-40B4-BE49-F238E27FC236}">
              <a16:creationId xmlns:a16="http://schemas.microsoft.com/office/drawing/2014/main" id="{00000000-0008-0000-2500-00009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4" name="Shape 3">
          <a:extLst>
            <a:ext uri="{FF2B5EF4-FFF2-40B4-BE49-F238E27FC236}">
              <a16:creationId xmlns:a16="http://schemas.microsoft.com/office/drawing/2014/main" id="{00000000-0008-0000-2500-000092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5" name="Shape 3">
          <a:extLst>
            <a:ext uri="{FF2B5EF4-FFF2-40B4-BE49-F238E27FC236}">
              <a16:creationId xmlns:a16="http://schemas.microsoft.com/office/drawing/2014/main" id="{00000000-0008-0000-2500-000093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6" name="Shape 3">
          <a:extLst>
            <a:ext uri="{FF2B5EF4-FFF2-40B4-BE49-F238E27FC236}">
              <a16:creationId xmlns:a16="http://schemas.microsoft.com/office/drawing/2014/main" id="{00000000-0008-0000-2500-000094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7" name="Shape 3">
          <a:extLst>
            <a:ext uri="{FF2B5EF4-FFF2-40B4-BE49-F238E27FC236}">
              <a16:creationId xmlns:a16="http://schemas.microsoft.com/office/drawing/2014/main" id="{00000000-0008-0000-2500-000095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8" name="Shape 3">
          <a:extLst>
            <a:ext uri="{FF2B5EF4-FFF2-40B4-BE49-F238E27FC236}">
              <a16:creationId xmlns:a16="http://schemas.microsoft.com/office/drawing/2014/main" id="{00000000-0008-0000-2500-000096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799" name="Shape 3">
          <a:extLst>
            <a:ext uri="{FF2B5EF4-FFF2-40B4-BE49-F238E27FC236}">
              <a16:creationId xmlns:a16="http://schemas.microsoft.com/office/drawing/2014/main" id="{00000000-0008-0000-2500-000097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0" name="Shape 3">
          <a:extLst>
            <a:ext uri="{FF2B5EF4-FFF2-40B4-BE49-F238E27FC236}">
              <a16:creationId xmlns:a16="http://schemas.microsoft.com/office/drawing/2014/main" id="{00000000-0008-0000-2500-000098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1" name="Shape 3">
          <a:extLst>
            <a:ext uri="{FF2B5EF4-FFF2-40B4-BE49-F238E27FC236}">
              <a16:creationId xmlns:a16="http://schemas.microsoft.com/office/drawing/2014/main" id="{00000000-0008-0000-2500-000099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2" name="Shape 3">
          <a:extLst>
            <a:ext uri="{FF2B5EF4-FFF2-40B4-BE49-F238E27FC236}">
              <a16:creationId xmlns:a16="http://schemas.microsoft.com/office/drawing/2014/main" id="{00000000-0008-0000-2500-00009A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3" name="Shape 3">
          <a:extLst>
            <a:ext uri="{FF2B5EF4-FFF2-40B4-BE49-F238E27FC236}">
              <a16:creationId xmlns:a16="http://schemas.microsoft.com/office/drawing/2014/main" id="{00000000-0008-0000-2500-00009B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4" name="Shape 3">
          <a:extLst>
            <a:ext uri="{FF2B5EF4-FFF2-40B4-BE49-F238E27FC236}">
              <a16:creationId xmlns:a16="http://schemas.microsoft.com/office/drawing/2014/main" id="{00000000-0008-0000-2500-00009C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5" name="Shape 3">
          <a:extLst>
            <a:ext uri="{FF2B5EF4-FFF2-40B4-BE49-F238E27FC236}">
              <a16:creationId xmlns:a16="http://schemas.microsoft.com/office/drawing/2014/main" id="{00000000-0008-0000-2500-00009D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6" name="Shape 3">
          <a:extLst>
            <a:ext uri="{FF2B5EF4-FFF2-40B4-BE49-F238E27FC236}">
              <a16:creationId xmlns:a16="http://schemas.microsoft.com/office/drawing/2014/main" id="{00000000-0008-0000-2500-00009E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7" name="Shape 3">
          <a:extLst>
            <a:ext uri="{FF2B5EF4-FFF2-40B4-BE49-F238E27FC236}">
              <a16:creationId xmlns:a16="http://schemas.microsoft.com/office/drawing/2014/main" id="{00000000-0008-0000-2500-00009F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8" name="Shape 3">
          <a:extLst>
            <a:ext uri="{FF2B5EF4-FFF2-40B4-BE49-F238E27FC236}">
              <a16:creationId xmlns:a16="http://schemas.microsoft.com/office/drawing/2014/main" id="{00000000-0008-0000-2500-0000A0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809" name="Shape 3">
          <a:extLst>
            <a:ext uri="{FF2B5EF4-FFF2-40B4-BE49-F238E27FC236}">
              <a16:creationId xmlns:a16="http://schemas.microsoft.com/office/drawing/2014/main" id="{00000000-0008-0000-2500-0000A16C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10" name="Shape 3">
          <a:extLst>
            <a:ext uri="{FF2B5EF4-FFF2-40B4-BE49-F238E27FC236}">
              <a16:creationId xmlns:a16="http://schemas.microsoft.com/office/drawing/2014/main" id="{00000000-0008-0000-2500-0000A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1" name="Shape 3">
          <a:extLst>
            <a:ext uri="{FF2B5EF4-FFF2-40B4-BE49-F238E27FC236}">
              <a16:creationId xmlns:a16="http://schemas.microsoft.com/office/drawing/2014/main" id="{00000000-0008-0000-2500-0000A3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2" name="Shape 3">
          <a:extLst>
            <a:ext uri="{FF2B5EF4-FFF2-40B4-BE49-F238E27FC236}">
              <a16:creationId xmlns:a16="http://schemas.microsoft.com/office/drawing/2014/main" id="{00000000-0008-0000-2500-0000A4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3" name="Shape 3">
          <a:extLst>
            <a:ext uri="{FF2B5EF4-FFF2-40B4-BE49-F238E27FC236}">
              <a16:creationId xmlns:a16="http://schemas.microsoft.com/office/drawing/2014/main" id="{00000000-0008-0000-2500-0000A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4" name="Shape 3">
          <a:extLst>
            <a:ext uri="{FF2B5EF4-FFF2-40B4-BE49-F238E27FC236}">
              <a16:creationId xmlns:a16="http://schemas.microsoft.com/office/drawing/2014/main" id="{00000000-0008-0000-2500-0000A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5" name="Shape 3">
          <a:extLst>
            <a:ext uri="{FF2B5EF4-FFF2-40B4-BE49-F238E27FC236}">
              <a16:creationId xmlns:a16="http://schemas.microsoft.com/office/drawing/2014/main" id="{00000000-0008-0000-2500-0000A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6" name="Shape 3">
          <a:extLst>
            <a:ext uri="{FF2B5EF4-FFF2-40B4-BE49-F238E27FC236}">
              <a16:creationId xmlns:a16="http://schemas.microsoft.com/office/drawing/2014/main" id="{00000000-0008-0000-2500-0000A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7" name="Shape 3">
          <a:extLst>
            <a:ext uri="{FF2B5EF4-FFF2-40B4-BE49-F238E27FC236}">
              <a16:creationId xmlns:a16="http://schemas.microsoft.com/office/drawing/2014/main" id="{00000000-0008-0000-2500-0000A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8" name="Shape 3">
          <a:extLst>
            <a:ext uri="{FF2B5EF4-FFF2-40B4-BE49-F238E27FC236}">
              <a16:creationId xmlns:a16="http://schemas.microsoft.com/office/drawing/2014/main" id="{00000000-0008-0000-2500-0000A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19" name="Shape 3">
          <a:extLst>
            <a:ext uri="{FF2B5EF4-FFF2-40B4-BE49-F238E27FC236}">
              <a16:creationId xmlns:a16="http://schemas.microsoft.com/office/drawing/2014/main" id="{00000000-0008-0000-2500-0000A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0" name="Shape 3">
          <a:extLst>
            <a:ext uri="{FF2B5EF4-FFF2-40B4-BE49-F238E27FC236}">
              <a16:creationId xmlns:a16="http://schemas.microsoft.com/office/drawing/2014/main" id="{00000000-0008-0000-2500-0000A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1" name="Shape 3">
          <a:extLst>
            <a:ext uri="{FF2B5EF4-FFF2-40B4-BE49-F238E27FC236}">
              <a16:creationId xmlns:a16="http://schemas.microsoft.com/office/drawing/2014/main" id="{00000000-0008-0000-2500-0000A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2" name="Shape 3">
          <a:extLst>
            <a:ext uri="{FF2B5EF4-FFF2-40B4-BE49-F238E27FC236}">
              <a16:creationId xmlns:a16="http://schemas.microsoft.com/office/drawing/2014/main" id="{00000000-0008-0000-2500-0000A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3" name="Shape 3">
          <a:extLst>
            <a:ext uri="{FF2B5EF4-FFF2-40B4-BE49-F238E27FC236}">
              <a16:creationId xmlns:a16="http://schemas.microsoft.com/office/drawing/2014/main" id="{00000000-0008-0000-2500-0000A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4" name="Shape 3">
          <a:extLst>
            <a:ext uri="{FF2B5EF4-FFF2-40B4-BE49-F238E27FC236}">
              <a16:creationId xmlns:a16="http://schemas.microsoft.com/office/drawing/2014/main" id="{00000000-0008-0000-2500-0000B0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5" name="Shape 3">
          <a:extLst>
            <a:ext uri="{FF2B5EF4-FFF2-40B4-BE49-F238E27FC236}">
              <a16:creationId xmlns:a16="http://schemas.microsoft.com/office/drawing/2014/main" id="{00000000-0008-0000-2500-0000B1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6" name="Shape 3">
          <a:extLst>
            <a:ext uri="{FF2B5EF4-FFF2-40B4-BE49-F238E27FC236}">
              <a16:creationId xmlns:a16="http://schemas.microsoft.com/office/drawing/2014/main" id="{00000000-0008-0000-2500-0000B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827" name="Shape 4">
          <a:extLst>
            <a:ext uri="{FF2B5EF4-FFF2-40B4-BE49-F238E27FC236}">
              <a16:creationId xmlns:a16="http://schemas.microsoft.com/office/drawing/2014/main" id="{00000000-0008-0000-2500-0000B36C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828" name="Shape 4">
          <a:extLst>
            <a:ext uri="{FF2B5EF4-FFF2-40B4-BE49-F238E27FC236}">
              <a16:creationId xmlns:a16="http://schemas.microsoft.com/office/drawing/2014/main" id="{00000000-0008-0000-2500-0000B46C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29" name="Shape 3">
          <a:extLst>
            <a:ext uri="{FF2B5EF4-FFF2-40B4-BE49-F238E27FC236}">
              <a16:creationId xmlns:a16="http://schemas.microsoft.com/office/drawing/2014/main" id="{00000000-0008-0000-2500-0000B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0" name="Shape 3">
          <a:extLst>
            <a:ext uri="{FF2B5EF4-FFF2-40B4-BE49-F238E27FC236}">
              <a16:creationId xmlns:a16="http://schemas.microsoft.com/office/drawing/2014/main" id="{00000000-0008-0000-2500-0000B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1" name="Shape 3">
          <a:extLst>
            <a:ext uri="{FF2B5EF4-FFF2-40B4-BE49-F238E27FC236}">
              <a16:creationId xmlns:a16="http://schemas.microsoft.com/office/drawing/2014/main" id="{00000000-0008-0000-2500-0000B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2" name="Shape 3">
          <a:extLst>
            <a:ext uri="{FF2B5EF4-FFF2-40B4-BE49-F238E27FC236}">
              <a16:creationId xmlns:a16="http://schemas.microsoft.com/office/drawing/2014/main" id="{00000000-0008-0000-2500-0000B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3" name="Shape 3">
          <a:extLst>
            <a:ext uri="{FF2B5EF4-FFF2-40B4-BE49-F238E27FC236}">
              <a16:creationId xmlns:a16="http://schemas.microsoft.com/office/drawing/2014/main" id="{00000000-0008-0000-2500-0000B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4" name="Shape 3">
          <a:extLst>
            <a:ext uri="{FF2B5EF4-FFF2-40B4-BE49-F238E27FC236}">
              <a16:creationId xmlns:a16="http://schemas.microsoft.com/office/drawing/2014/main" id="{00000000-0008-0000-2500-0000B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5" name="Shape 3">
          <a:extLst>
            <a:ext uri="{FF2B5EF4-FFF2-40B4-BE49-F238E27FC236}">
              <a16:creationId xmlns:a16="http://schemas.microsoft.com/office/drawing/2014/main" id="{00000000-0008-0000-2500-0000B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836" name="Shape 3">
          <a:extLst>
            <a:ext uri="{FF2B5EF4-FFF2-40B4-BE49-F238E27FC236}">
              <a16:creationId xmlns:a16="http://schemas.microsoft.com/office/drawing/2014/main" id="{00000000-0008-0000-2500-0000B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37" name="Shape 3">
          <a:extLst>
            <a:ext uri="{FF2B5EF4-FFF2-40B4-BE49-F238E27FC236}">
              <a16:creationId xmlns:a16="http://schemas.microsoft.com/office/drawing/2014/main" id="{00000000-0008-0000-2500-0000B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38" name="Shape 3">
          <a:extLst>
            <a:ext uri="{FF2B5EF4-FFF2-40B4-BE49-F238E27FC236}">
              <a16:creationId xmlns:a16="http://schemas.microsoft.com/office/drawing/2014/main" id="{00000000-0008-0000-2500-0000B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39" name="Shape 3">
          <a:extLst>
            <a:ext uri="{FF2B5EF4-FFF2-40B4-BE49-F238E27FC236}">
              <a16:creationId xmlns:a16="http://schemas.microsoft.com/office/drawing/2014/main" id="{00000000-0008-0000-2500-0000B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0" name="Shape 3">
          <a:extLst>
            <a:ext uri="{FF2B5EF4-FFF2-40B4-BE49-F238E27FC236}">
              <a16:creationId xmlns:a16="http://schemas.microsoft.com/office/drawing/2014/main" id="{00000000-0008-0000-2500-0000C0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1" name="Shape 3">
          <a:extLst>
            <a:ext uri="{FF2B5EF4-FFF2-40B4-BE49-F238E27FC236}">
              <a16:creationId xmlns:a16="http://schemas.microsoft.com/office/drawing/2014/main" id="{00000000-0008-0000-2500-0000C1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2" name="Shape 3">
          <a:extLst>
            <a:ext uri="{FF2B5EF4-FFF2-40B4-BE49-F238E27FC236}">
              <a16:creationId xmlns:a16="http://schemas.microsoft.com/office/drawing/2014/main" id="{00000000-0008-0000-2500-0000C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3" name="Shape 3">
          <a:extLst>
            <a:ext uri="{FF2B5EF4-FFF2-40B4-BE49-F238E27FC236}">
              <a16:creationId xmlns:a16="http://schemas.microsoft.com/office/drawing/2014/main" id="{00000000-0008-0000-2500-0000C3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4" name="Shape 3">
          <a:extLst>
            <a:ext uri="{FF2B5EF4-FFF2-40B4-BE49-F238E27FC236}">
              <a16:creationId xmlns:a16="http://schemas.microsoft.com/office/drawing/2014/main" id="{00000000-0008-0000-2500-0000C4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5" name="Shape 3">
          <a:extLst>
            <a:ext uri="{FF2B5EF4-FFF2-40B4-BE49-F238E27FC236}">
              <a16:creationId xmlns:a16="http://schemas.microsoft.com/office/drawing/2014/main" id="{00000000-0008-0000-2500-0000C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6" name="Shape 3">
          <a:extLst>
            <a:ext uri="{FF2B5EF4-FFF2-40B4-BE49-F238E27FC236}">
              <a16:creationId xmlns:a16="http://schemas.microsoft.com/office/drawing/2014/main" id="{00000000-0008-0000-2500-0000C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7" name="Shape 3">
          <a:extLst>
            <a:ext uri="{FF2B5EF4-FFF2-40B4-BE49-F238E27FC236}">
              <a16:creationId xmlns:a16="http://schemas.microsoft.com/office/drawing/2014/main" id="{00000000-0008-0000-2500-0000C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8" name="Shape 3">
          <a:extLst>
            <a:ext uri="{FF2B5EF4-FFF2-40B4-BE49-F238E27FC236}">
              <a16:creationId xmlns:a16="http://schemas.microsoft.com/office/drawing/2014/main" id="{00000000-0008-0000-2500-0000C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49" name="Shape 3">
          <a:extLst>
            <a:ext uri="{FF2B5EF4-FFF2-40B4-BE49-F238E27FC236}">
              <a16:creationId xmlns:a16="http://schemas.microsoft.com/office/drawing/2014/main" id="{00000000-0008-0000-2500-0000C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0" name="Shape 3">
          <a:extLst>
            <a:ext uri="{FF2B5EF4-FFF2-40B4-BE49-F238E27FC236}">
              <a16:creationId xmlns:a16="http://schemas.microsoft.com/office/drawing/2014/main" id="{00000000-0008-0000-2500-0000C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1" name="Shape 3">
          <a:extLst>
            <a:ext uri="{FF2B5EF4-FFF2-40B4-BE49-F238E27FC236}">
              <a16:creationId xmlns:a16="http://schemas.microsoft.com/office/drawing/2014/main" id="{00000000-0008-0000-2500-0000C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2" name="Shape 3">
          <a:extLst>
            <a:ext uri="{FF2B5EF4-FFF2-40B4-BE49-F238E27FC236}">
              <a16:creationId xmlns:a16="http://schemas.microsoft.com/office/drawing/2014/main" id="{00000000-0008-0000-2500-0000C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3" name="Shape 3">
          <a:extLst>
            <a:ext uri="{FF2B5EF4-FFF2-40B4-BE49-F238E27FC236}">
              <a16:creationId xmlns:a16="http://schemas.microsoft.com/office/drawing/2014/main" id="{00000000-0008-0000-2500-0000C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4" name="Shape 3">
          <a:extLst>
            <a:ext uri="{FF2B5EF4-FFF2-40B4-BE49-F238E27FC236}">
              <a16:creationId xmlns:a16="http://schemas.microsoft.com/office/drawing/2014/main" id="{00000000-0008-0000-2500-0000C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5" name="Shape 3">
          <a:extLst>
            <a:ext uri="{FF2B5EF4-FFF2-40B4-BE49-F238E27FC236}">
              <a16:creationId xmlns:a16="http://schemas.microsoft.com/office/drawing/2014/main" id="{00000000-0008-0000-2500-0000C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6" name="Shape 3">
          <a:extLst>
            <a:ext uri="{FF2B5EF4-FFF2-40B4-BE49-F238E27FC236}">
              <a16:creationId xmlns:a16="http://schemas.microsoft.com/office/drawing/2014/main" id="{00000000-0008-0000-2500-0000D0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7" name="Shape 3">
          <a:extLst>
            <a:ext uri="{FF2B5EF4-FFF2-40B4-BE49-F238E27FC236}">
              <a16:creationId xmlns:a16="http://schemas.microsoft.com/office/drawing/2014/main" id="{00000000-0008-0000-2500-0000D1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8" name="Shape 3">
          <a:extLst>
            <a:ext uri="{FF2B5EF4-FFF2-40B4-BE49-F238E27FC236}">
              <a16:creationId xmlns:a16="http://schemas.microsoft.com/office/drawing/2014/main" id="{00000000-0008-0000-2500-0000D2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59" name="Shape 3">
          <a:extLst>
            <a:ext uri="{FF2B5EF4-FFF2-40B4-BE49-F238E27FC236}">
              <a16:creationId xmlns:a16="http://schemas.microsoft.com/office/drawing/2014/main" id="{00000000-0008-0000-2500-0000D3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0" name="Shape 3">
          <a:extLst>
            <a:ext uri="{FF2B5EF4-FFF2-40B4-BE49-F238E27FC236}">
              <a16:creationId xmlns:a16="http://schemas.microsoft.com/office/drawing/2014/main" id="{00000000-0008-0000-2500-0000D4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1" name="Shape 3">
          <a:extLst>
            <a:ext uri="{FF2B5EF4-FFF2-40B4-BE49-F238E27FC236}">
              <a16:creationId xmlns:a16="http://schemas.microsoft.com/office/drawing/2014/main" id="{00000000-0008-0000-2500-0000D5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2" name="Shape 3">
          <a:extLst>
            <a:ext uri="{FF2B5EF4-FFF2-40B4-BE49-F238E27FC236}">
              <a16:creationId xmlns:a16="http://schemas.microsoft.com/office/drawing/2014/main" id="{00000000-0008-0000-2500-0000D6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3" name="Shape 3">
          <a:extLst>
            <a:ext uri="{FF2B5EF4-FFF2-40B4-BE49-F238E27FC236}">
              <a16:creationId xmlns:a16="http://schemas.microsoft.com/office/drawing/2014/main" id="{00000000-0008-0000-2500-0000D7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4" name="Shape 3">
          <a:extLst>
            <a:ext uri="{FF2B5EF4-FFF2-40B4-BE49-F238E27FC236}">
              <a16:creationId xmlns:a16="http://schemas.microsoft.com/office/drawing/2014/main" id="{00000000-0008-0000-2500-0000D8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5" name="Shape 3">
          <a:extLst>
            <a:ext uri="{FF2B5EF4-FFF2-40B4-BE49-F238E27FC236}">
              <a16:creationId xmlns:a16="http://schemas.microsoft.com/office/drawing/2014/main" id="{00000000-0008-0000-2500-0000D9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6" name="Shape 3">
          <a:extLst>
            <a:ext uri="{FF2B5EF4-FFF2-40B4-BE49-F238E27FC236}">
              <a16:creationId xmlns:a16="http://schemas.microsoft.com/office/drawing/2014/main" id="{00000000-0008-0000-2500-0000DA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7" name="Shape 3">
          <a:extLst>
            <a:ext uri="{FF2B5EF4-FFF2-40B4-BE49-F238E27FC236}">
              <a16:creationId xmlns:a16="http://schemas.microsoft.com/office/drawing/2014/main" id="{00000000-0008-0000-2500-0000DB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8" name="Shape 3">
          <a:extLst>
            <a:ext uri="{FF2B5EF4-FFF2-40B4-BE49-F238E27FC236}">
              <a16:creationId xmlns:a16="http://schemas.microsoft.com/office/drawing/2014/main" id="{00000000-0008-0000-2500-0000DC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69" name="Shape 3">
          <a:extLst>
            <a:ext uri="{FF2B5EF4-FFF2-40B4-BE49-F238E27FC236}">
              <a16:creationId xmlns:a16="http://schemas.microsoft.com/office/drawing/2014/main" id="{00000000-0008-0000-2500-0000DD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70" name="Shape 3">
          <a:extLst>
            <a:ext uri="{FF2B5EF4-FFF2-40B4-BE49-F238E27FC236}">
              <a16:creationId xmlns:a16="http://schemas.microsoft.com/office/drawing/2014/main" id="{00000000-0008-0000-2500-0000DE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871" name="Shape 3">
          <a:extLst>
            <a:ext uri="{FF2B5EF4-FFF2-40B4-BE49-F238E27FC236}">
              <a16:creationId xmlns:a16="http://schemas.microsoft.com/office/drawing/2014/main" id="{00000000-0008-0000-2500-0000DF6C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792" name="Shape 3">
          <a:extLst>
            <a:ext uri="{FF2B5EF4-FFF2-40B4-BE49-F238E27FC236}">
              <a16:creationId xmlns:a16="http://schemas.microsoft.com/office/drawing/2014/main" id="{00000000-0008-0000-2600-0000E8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793" name="Shape 3">
          <a:extLst>
            <a:ext uri="{FF2B5EF4-FFF2-40B4-BE49-F238E27FC236}">
              <a16:creationId xmlns:a16="http://schemas.microsoft.com/office/drawing/2014/main" id="{00000000-0008-0000-2600-0000E9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794" name="Shape 3">
          <a:extLst>
            <a:ext uri="{FF2B5EF4-FFF2-40B4-BE49-F238E27FC236}">
              <a16:creationId xmlns:a16="http://schemas.microsoft.com/office/drawing/2014/main" id="{00000000-0008-0000-2600-0000EA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795" name="Shape 3">
          <a:extLst>
            <a:ext uri="{FF2B5EF4-FFF2-40B4-BE49-F238E27FC236}">
              <a16:creationId xmlns:a16="http://schemas.microsoft.com/office/drawing/2014/main" id="{00000000-0008-0000-2600-0000EB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796" name="Shape 3">
          <a:extLst>
            <a:ext uri="{FF2B5EF4-FFF2-40B4-BE49-F238E27FC236}">
              <a16:creationId xmlns:a16="http://schemas.microsoft.com/office/drawing/2014/main" id="{00000000-0008-0000-2600-0000EC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797" name="Shape 3">
          <a:extLst>
            <a:ext uri="{FF2B5EF4-FFF2-40B4-BE49-F238E27FC236}">
              <a16:creationId xmlns:a16="http://schemas.microsoft.com/office/drawing/2014/main" id="{00000000-0008-0000-2600-0000ED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798" name="Shape 3">
          <a:extLst>
            <a:ext uri="{FF2B5EF4-FFF2-40B4-BE49-F238E27FC236}">
              <a16:creationId xmlns:a16="http://schemas.microsoft.com/office/drawing/2014/main" id="{00000000-0008-0000-2600-0000EE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799" name="Shape 3">
          <a:extLst>
            <a:ext uri="{FF2B5EF4-FFF2-40B4-BE49-F238E27FC236}">
              <a16:creationId xmlns:a16="http://schemas.microsoft.com/office/drawing/2014/main" id="{00000000-0008-0000-2600-0000EF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00" name="Shape 3">
          <a:extLst>
            <a:ext uri="{FF2B5EF4-FFF2-40B4-BE49-F238E27FC236}">
              <a16:creationId xmlns:a16="http://schemas.microsoft.com/office/drawing/2014/main" id="{00000000-0008-0000-2600-0000F0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01" name="Shape 3">
          <a:extLst>
            <a:ext uri="{FF2B5EF4-FFF2-40B4-BE49-F238E27FC236}">
              <a16:creationId xmlns:a16="http://schemas.microsoft.com/office/drawing/2014/main" id="{00000000-0008-0000-2600-0000F1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02" name="Shape 3">
          <a:extLst>
            <a:ext uri="{FF2B5EF4-FFF2-40B4-BE49-F238E27FC236}">
              <a16:creationId xmlns:a16="http://schemas.microsoft.com/office/drawing/2014/main" id="{00000000-0008-0000-2600-0000F2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03" name="Shape 3">
          <a:extLst>
            <a:ext uri="{FF2B5EF4-FFF2-40B4-BE49-F238E27FC236}">
              <a16:creationId xmlns:a16="http://schemas.microsoft.com/office/drawing/2014/main" id="{00000000-0008-0000-2600-0000F3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04" name="Shape 3">
          <a:extLst>
            <a:ext uri="{FF2B5EF4-FFF2-40B4-BE49-F238E27FC236}">
              <a16:creationId xmlns:a16="http://schemas.microsoft.com/office/drawing/2014/main" id="{00000000-0008-0000-2600-0000F4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05" name="Shape 3">
          <a:extLst>
            <a:ext uri="{FF2B5EF4-FFF2-40B4-BE49-F238E27FC236}">
              <a16:creationId xmlns:a16="http://schemas.microsoft.com/office/drawing/2014/main" id="{00000000-0008-0000-2600-0000F5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06" name="Shape 3">
          <a:extLst>
            <a:ext uri="{FF2B5EF4-FFF2-40B4-BE49-F238E27FC236}">
              <a16:creationId xmlns:a16="http://schemas.microsoft.com/office/drawing/2014/main" id="{00000000-0008-0000-2600-0000F6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07" name="Shape 3">
          <a:extLst>
            <a:ext uri="{FF2B5EF4-FFF2-40B4-BE49-F238E27FC236}">
              <a16:creationId xmlns:a16="http://schemas.microsoft.com/office/drawing/2014/main" id="{00000000-0008-0000-2600-0000F7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08" name="Shape 3">
          <a:extLst>
            <a:ext uri="{FF2B5EF4-FFF2-40B4-BE49-F238E27FC236}">
              <a16:creationId xmlns:a16="http://schemas.microsoft.com/office/drawing/2014/main" id="{00000000-0008-0000-2600-0000F8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34809" name="Shape 4">
          <a:extLst>
            <a:ext uri="{FF2B5EF4-FFF2-40B4-BE49-F238E27FC236}">
              <a16:creationId xmlns:a16="http://schemas.microsoft.com/office/drawing/2014/main" id="{00000000-0008-0000-2600-0000F987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34810" name="Shape 4">
          <a:extLst>
            <a:ext uri="{FF2B5EF4-FFF2-40B4-BE49-F238E27FC236}">
              <a16:creationId xmlns:a16="http://schemas.microsoft.com/office/drawing/2014/main" id="{00000000-0008-0000-2600-0000FA87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11" name="Shape 3">
          <a:extLst>
            <a:ext uri="{FF2B5EF4-FFF2-40B4-BE49-F238E27FC236}">
              <a16:creationId xmlns:a16="http://schemas.microsoft.com/office/drawing/2014/main" id="{00000000-0008-0000-2600-0000FB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12" name="Shape 3">
          <a:extLst>
            <a:ext uri="{FF2B5EF4-FFF2-40B4-BE49-F238E27FC236}">
              <a16:creationId xmlns:a16="http://schemas.microsoft.com/office/drawing/2014/main" id="{00000000-0008-0000-2600-0000FC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13" name="Shape 3">
          <a:extLst>
            <a:ext uri="{FF2B5EF4-FFF2-40B4-BE49-F238E27FC236}">
              <a16:creationId xmlns:a16="http://schemas.microsoft.com/office/drawing/2014/main" id="{00000000-0008-0000-2600-0000FD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14" name="Shape 3">
          <a:extLst>
            <a:ext uri="{FF2B5EF4-FFF2-40B4-BE49-F238E27FC236}">
              <a16:creationId xmlns:a16="http://schemas.microsoft.com/office/drawing/2014/main" id="{00000000-0008-0000-2600-0000FE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15" name="Shape 3">
          <a:extLst>
            <a:ext uri="{FF2B5EF4-FFF2-40B4-BE49-F238E27FC236}">
              <a16:creationId xmlns:a16="http://schemas.microsoft.com/office/drawing/2014/main" id="{00000000-0008-0000-2600-0000FF87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16" name="Shape 3">
          <a:extLst>
            <a:ext uri="{FF2B5EF4-FFF2-40B4-BE49-F238E27FC236}">
              <a16:creationId xmlns:a16="http://schemas.microsoft.com/office/drawing/2014/main" id="{00000000-0008-0000-2600-000000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17" name="Shape 3">
          <a:extLst>
            <a:ext uri="{FF2B5EF4-FFF2-40B4-BE49-F238E27FC236}">
              <a16:creationId xmlns:a16="http://schemas.microsoft.com/office/drawing/2014/main" id="{00000000-0008-0000-2600-000001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34818" name="Shape 3">
          <a:extLst>
            <a:ext uri="{FF2B5EF4-FFF2-40B4-BE49-F238E27FC236}">
              <a16:creationId xmlns:a16="http://schemas.microsoft.com/office/drawing/2014/main" id="{00000000-0008-0000-2600-000002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19" name="Shape 3">
          <a:extLst>
            <a:ext uri="{FF2B5EF4-FFF2-40B4-BE49-F238E27FC236}">
              <a16:creationId xmlns:a16="http://schemas.microsoft.com/office/drawing/2014/main" id="{00000000-0008-0000-2600-000003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20" name="Shape 3">
          <a:extLst>
            <a:ext uri="{FF2B5EF4-FFF2-40B4-BE49-F238E27FC236}">
              <a16:creationId xmlns:a16="http://schemas.microsoft.com/office/drawing/2014/main" id="{00000000-0008-0000-2600-000004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21" name="Shape 3">
          <a:extLst>
            <a:ext uri="{FF2B5EF4-FFF2-40B4-BE49-F238E27FC236}">
              <a16:creationId xmlns:a16="http://schemas.microsoft.com/office/drawing/2014/main" id="{00000000-0008-0000-2600-000005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22" name="Shape 3">
          <a:extLst>
            <a:ext uri="{FF2B5EF4-FFF2-40B4-BE49-F238E27FC236}">
              <a16:creationId xmlns:a16="http://schemas.microsoft.com/office/drawing/2014/main" id="{00000000-0008-0000-2600-000006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23" name="Shape 3">
          <a:extLst>
            <a:ext uri="{FF2B5EF4-FFF2-40B4-BE49-F238E27FC236}">
              <a16:creationId xmlns:a16="http://schemas.microsoft.com/office/drawing/2014/main" id="{00000000-0008-0000-2600-000007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24" name="Shape 3">
          <a:extLst>
            <a:ext uri="{FF2B5EF4-FFF2-40B4-BE49-F238E27FC236}">
              <a16:creationId xmlns:a16="http://schemas.microsoft.com/office/drawing/2014/main" id="{00000000-0008-0000-2600-000008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25" name="Shape 3">
          <a:extLst>
            <a:ext uri="{FF2B5EF4-FFF2-40B4-BE49-F238E27FC236}">
              <a16:creationId xmlns:a16="http://schemas.microsoft.com/office/drawing/2014/main" id="{00000000-0008-0000-2600-000009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26" name="Shape 3">
          <a:extLst>
            <a:ext uri="{FF2B5EF4-FFF2-40B4-BE49-F238E27FC236}">
              <a16:creationId xmlns:a16="http://schemas.microsoft.com/office/drawing/2014/main" id="{00000000-0008-0000-2600-00000A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27" name="Shape 3">
          <a:extLst>
            <a:ext uri="{FF2B5EF4-FFF2-40B4-BE49-F238E27FC236}">
              <a16:creationId xmlns:a16="http://schemas.microsoft.com/office/drawing/2014/main" id="{00000000-0008-0000-2600-00000B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28" name="Shape 3">
          <a:extLst>
            <a:ext uri="{FF2B5EF4-FFF2-40B4-BE49-F238E27FC236}">
              <a16:creationId xmlns:a16="http://schemas.microsoft.com/office/drawing/2014/main" id="{00000000-0008-0000-2600-00000C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29" name="Shape 3">
          <a:extLst>
            <a:ext uri="{FF2B5EF4-FFF2-40B4-BE49-F238E27FC236}">
              <a16:creationId xmlns:a16="http://schemas.microsoft.com/office/drawing/2014/main" id="{00000000-0008-0000-2600-00000D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30" name="Shape 3">
          <a:extLst>
            <a:ext uri="{FF2B5EF4-FFF2-40B4-BE49-F238E27FC236}">
              <a16:creationId xmlns:a16="http://schemas.microsoft.com/office/drawing/2014/main" id="{00000000-0008-0000-2600-00000E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31" name="Shape 3">
          <a:extLst>
            <a:ext uri="{FF2B5EF4-FFF2-40B4-BE49-F238E27FC236}">
              <a16:creationId xmlns:a16="http://schemas.microsoft.com/office/drawing/2014/main" id="{00000000-0008-0000-2600-00000F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32" name="Shape 3">
          <a:extLst>
            <a:ext uri="{FF2B5EF4-FFF2-40B4-BE49-F238E27FC236}">
              <a16:creationId xmlns:a16="http://schemas.microsoft.com/office/drawing/2014/main" id="{00000000-0008-0000-2600-000010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33" name="Shape 3">
          <a:extLst>
            <a:ext uri="{FF2B5EF4-FFF2-40B4-BE49-F238E27FC236}">
              <a16:creationId xmlns:a16="http://schemas.microsoft.com/office/drawing/2014/main" id="{00000000-0008-0000-2600-000011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34" name="Shape 3">
          <a:extLst>
            <a:ext uri="{FF2B5EF4-FFF2-40B4-BE49-F238E27FC236}">
              <a16:creationId xmlns:a16="http://schemas.microsoft.com/office/drawing/2014/main" id="{00000000-0008-0000-2600-000012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35" name="Shape 3">
          <a:extLst>
            <a:ext uri="{FF2B5EF4-FFF2-40B4-BE49-F238E27FC236}">
              <a16:creationId xmlns:a16="http://schemas.microsoft.com/office/drawing/2014/main" id="{00000000-0008-0000-2600-000013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36" name="Shape 3">
          <a:extLst>
            <a:ext uri="{FF2B5EF4-FFF2-40B4-BE49-F238E27FC236}">
              <a16:creationId xmlns:a16="http://schemas.microsoft.com/office/drawing/2014/main" id="{00000000-0008-0000-2600-000014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37" name="Shape 3">
          <a:extLst>
            <a:ext uri="{FF2B5EF4-FFF2-40B4-BE49-F238E27FC236}">
              <a16:creationId xmlns:a16="http://schemas.microsoft.com/office/drawing/2014/main" id="{00000000-0008-0000-2600-000015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38" name="Shape 3">
          <a:extLst>
            <a:ext uri="{FF2B5EF4-FFF2-40B4-BE49-F238E27FC236}">
              <a16:creationId xmlns:a16="http://schemas.microsoft.com/office/drawing/2014/main" id="{00000000-0008-0000-2600-000016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39" name="Shape 3">
          <a:extLst>
            <a:ext uri="{FF2B5EF4-FFF2-40B4-BE49-F238E27FC236}">
              <a16:creationId xmlns:a16="http://schemas.microsoft.com/office/drawing/2014/main" id="{00000000-0008-0000-2600-000017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40" name="Shape 3">
          <a:extLst>
            <a:ext uri="{FF2B5EF4-FFF2-40B4-BE49-F238E27FC236}">
              <a16:creationId xmlns:a16="http://schemas.microsoft.com/office/drawing/2014/main" id="{00000000-0008-0000-2600-000018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41" name="Shape 3">
          <a:extLst>
            <a:ext uri="{FF2B5EF4-FFF2-40B4-BE49-F238E27FC236}">
              <a16:creationId xmlns:a16="http://schemas.microsoft.com/office/drawing/2014/main" id="{00000000-0008-0000-2600-000019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42" name="Shape 3">
          <a:extLst>
            <a:ext uri="{FF2B5EF4-FFF2-40B4-BE49-F238E27FC236}">
              <a16:creationId xmlns:a16="http://schemas.microsoft.com/office/drawing/2014/main" id="{00000000-0008-0000-2600-00001A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43" name="Shape 3">
          <a:extLst>
            <a:ext uri="{FF2B5EF4-FFF2-40B4-BE49-F238E27FC236}">
              <a16:creationId xmlns:a16="http://schemas.microsoft.com/office/drawing/2014/main" id="{00000000-0008-0000-2600-00001B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44" name="Shape 3">
          <a:extLst>
            <a:ext uri="{FF2B5EF4-FFF2-40B4-BE49-F238E27FC236}">
              <a16:creationId xmlns:a16="http://schemas.microsoft.com/office/drawing/2014/main" id="{00000000-0008-0000-2600-00001C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45" name="Shape 3">
          <a:extLst>
            <a:ext uri="{FF2B5EF4-FFF2-40B4-BE49-F238E27FC236}">
              <a16:creationId xmlns:a16="http://schemas.microsoft.com/office/drawing/2014/main" id="{00000000-0008-0000-2600-00001D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46" name="Shape 3">
          <a:extLst>
            <a:ext uri="{FF2B5EF4-FFF2-40B4-BE49-F238E27FC236}">
              <a16:creationId xmlns:a16="http://schemas.microsoft.com/office/drawing/2014/main" id="{00000000-0008-0000-2600-00001E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47" name="Shape 3">
          <a:extLst>
            <a:ext uri="{FF2B5EF4-FFF2-40B4-BE49-F238E27FC236}">
              <a16:creationId xmlns:a16="http://schemas.microsoft.com/office/drawing/2014/main" id="{00000000-0008-0000-2600-00001F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48" name="Shape 3">
          <a:extLst>
            <a:ext uri="{FF2B5EF4-FFF2-40B4-BE49-F238E27FC236}">
              <a16:creationId xmlns:a16="http://schemas.microsoft.com/office/drawing/2014/main" id="{00000000-0008-0000-2600-000020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49" name="Shape 3">
          <a:extLst>
            <a:ext uri="{FF2B5EF4-FFF2-40B4-BE49-F238E27FC236}">
              <a16:creationId xmlns:a16="http://schemas.microsoft.com/office/drawing/2014/main" id="{00000000-0008-0000-2600-000021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50" name="Shape 3">
          <a:extLst>
            <a:ext uri="{FF2B5EF4-FFF2-40B4-BE49-F238E27FC236}">
              <a16:creationId xmlns:a16="http://schemas.microsoft.com/office/drawing/2014/main" id="{00000000-0008-0000-2600-000022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51" name="Shape 3">
          <a:extLst>
            <a:ext uri="{FF2B5EF4-FFF2-40B4-BE49-F238E27FC236}">
              <a16:creationId xmlns:a16="http://schemas.microsoft.com/office/drawing/2014/main" id="{00000000-0008-0000-2600-000023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52" name="Shape 3">
          <a:extLst>
            <a:ext uri="{FF2B5EF4-FFF2-40B4-BE49-F238E27FC236}">
              <a16:creationId xmlns:a16="http://schemas.microsoft.com/office/drawing/2014/main" id="{00000000-0008-0000-2600-000024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34853" name="Shape 3">
          <a:extLst>
            <a:ext uri="{FF2B5EF4-FFF2-40B4-BE49-F238E27FC236}">
              <a16:creationId xmlns:a16="http://schemas.microsoft.com/office/drawing/2014/main" id="{00000000-0008-0000-2600-00002588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54" name="Shape 3">
          <a:extLst>
            <a:ext uri="{FF2B5EF4-FFF2-40B4-BE49-F238E27FC236}">
              <a16:creationId xmlns:a16="http://schemas.microsoft.com/office/drawing/2014/main" id="{00000000-0008-0000-2600-000026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55" name="Shape 3">
          <a:extLst>
            <a:ext uri="{FF2B5EF4-FFF2-40B4-BE49-F238E27FC236}">
              <a16:creationId xmlns:a16="http://schemas.microsoft.com/office/drawing/2014/main" id="{00000000-0008-0000-2600-000027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56" name="Shape 3">
          <a:extLst>
            <a:ext uri="{FF2B5EF4-FFF2-40B4-BE49-F238E27FC236}">
              <a16:creationId xmlns:a16="http://schemas.microsoft.com/office/drawing/2014/main" id="{00000000-0008-0000-2600-000028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57" name="Shape 3">
          <a:extLst>
            <a:ext uri="{FF2B5EF4-FFF2-40B4-BE49-F238E27FC236}">
              <a16:creationId xmlns:a16="http://schemas.microsoft.com/office/drawing/2014/main" id="{00000000-0008-0000-2600-000029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58" name="Shape 3">
          <a:extLst>
            <a:ext uri="{FF2B5EF4-FFF2-40B4-BE49-F238E27FC236}">
              <a16:creationId xmlns:a16="http://schemas.microsoft.com/office/drawing/2014/main" id="{00000000-0008-0000-2600-00002A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59" name="Shape 3">
          <a:extLst>
            <a:ext uri="{FF2B5EF4-FFF2-40B4-BE49-F238E27FC236}">
              <a16:creationId xmlns:a16="http://schemas.microsoft.com/office/drawing/2014/main" id="{00000000-0008-0000-2600-00002B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60" name="Shape 3">
          <a:extLst>
            <a:ext uri="{FF2B5EF4-FFF2-40B4-BE49-F238E27FC236}">
              <a16:creationId xmlns:a16="http://schemas.microsoft.com/office/drawing/2014/main" id="{00000000-0008-0000-2600-00002C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61" name="Shape 3">
          <a:extLst>
            <a:ext uri="{FF2B5EF4-FFF2-40B4-BE49-F238E27FC236}">
              <a16:creationId xmlns:a16="http://schemas.microsoft.com/office/drawing/2014/main" id="{00000000-0008-0000-2600-00002D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62" name="Shape 3">
          <a:extLst>
            <a:ext uri="{FF2B5EF4-FFF2-40B4-BE49-F238E27FC236}">
              <a16:creationId xmlns:a16="http://schemas.microsoft.com/office/drawing/2014/main" id="{00000000-0008-0000-2600-00002E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63" name="Shape 3">
          <a:extLst>
            <a:ext uri="{FF2B5EF4-FFF2-40B4-BE49-F238E27FC236}">
              <a16:creationId xmlns:a16="http://schemas.microsoft.com/office/drawing/2014/main" id="{00000000-0008-0000-2600-00002F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64" name="Shape 3">
          <a:extLst>
            <a:ext uri="{FF2B5EF4-FFF2-40B4-BE49-F238E27FC236}">
              <a16:creationId xmlns:a16="http://schemas.microsoft.com/office/drawing/2014/main" id="{00000000-0008-0000-2600-000030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65" name="Shape 3">
          <a:extLst>
            <a:ext uri="{FF2B5EF4-FFF2-40B4-BE49-F238E27FC236}">
              <a16:creationId xmlns:a16="http://schemas.microsoft.com/office/drawing/2014/main" id="{00000000-0008-0000-2600-000031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66" name="Shape 3">
          <a:extLst>
            <a:ext uri="{FF2B5EF4-FFF2-40B4-BE49-F238E27FC236}">
              <a16:creationId xmlns:a16="http://schemas.microsoft.com/office/drawing/2014/main" id="{00000000-0008-0000-2600-000032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67" name="Shape 3">
          <a:extLst>
            <a:ext uri="{FF2B5EF4-FFF2-40B4-BE49-F238E27FC236}">
              <a16:creationId xmlns:a16="http://schemas.microsoft.com/office/drawing/2014/main" id="{00000000-0008-0000-2600-000033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68" name="Shape 3">
          <a:extLst>
            <a:ext uri="{FF2B5EF4-FFF2-40B4-BE49-F238E27FC236}">
              <a16:creationId xmlns:a16="http://schemas.microsoft.com/office/drawing/2014/main" id="{00000000-0008-0000-2600-000034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69" name="Shape 3">
          <a:extLst>
            <a:ext uri="{FF2B5EF4-FFF2-40B4-BE49-F238E27FC236}">
              <a16:creationId xmlns:a16="http://schemas.microsoft.com/office/drawing/2014/main" id="{00000000-0008-0000-2600-000035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70" name="Shape 3">
          <a:extLst>
            <a:ext uri="{FF2B5EF4-FFF2-40B4-BE49-F238E27FC236}">
              <a16:creationId xmlns:a16="http://schemas.microsoft.com/office/drawing/2014/main" id="{00000000-0008-0000-2600-000036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34871" name="Shape 4">
          <a:extLst>
            <a:ext uri="{FF2B5EF4-FFF2-40B4-BE49-F238E27FC236}">
              <a16:creationId xmlns:a16="http://schemas.microsoft.com/office/drawing/2014/main" id="{00000000-0008-0000-2600-00003788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34872" name="Shape 4">
          <a:extLst>
            <a:ext uri="{FF2B5EF4-FFF2-40B4-BE49-F238E27FC236}">
              <a16:creationId xmlns:a16="http://schemas.microsoft.com/office/drawing/2014/main" id="{00000000-0008-0000-2600-00003888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73" name="Shape 3">
          <a:extLst>
            <a:ext uri="{FF2B5EF4-FFF2-40B4-BE49-F238E27FC236}">
              <a16:creationId xmlns:a16="http://schemas.microsoft.com/office/drawing/2014/main" id="{00000000-0008-0000-2600-000039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74" name="Shape 3">
          <a:extLst>
            <a:ext uri="{FF2B5EF4-FFF2-40B4-BE49-F238E27FC236}">
              <a16:creationId xmlns:a16="http://schemas.microsoft.com/office/drawing/2014/main" id="{00000000-0008-0000-2600-00003A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75" name="Shape 3">
          <a:extLst>
            <a:ext uri="{FF2B5EF4-FFF2-40B4-BE49-F238E27FC236}">
              <a16:creationId xmlns:a16="http://schemas.microsoft.com/office/drawing/2014/main" id="{00000000-0008-0000-2600-00003B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76" name="Shape 3">
          <a:extLst>
            <a:ext uri="{FF2B5EF4-FFF2-40B4-BE49-F238E27FC236}">
              <a16:creationId xmlns:a16="http://schemas.microsoft.com/office/drawing/2014/main" id="{00000000-0008-0000-2600-00003C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77" name="Shape 3">
          <a:extLst>
            <a:ext uri="{FF2B5EF4-FFF2-40B4-BE49-F238E27FC236}">
              <a16:creationId xmlns:a16="http://schemas.microsoft.com/office/drawing/2014/main" id="{00000000-0008-0000-2600-00003D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78" name="Shape 3">
          <a:extLst>
            <a:ext uri="{FF2B5EF4-FFF2-40B4-BE49-F238E27FC236}">
              <a16:creationId xmlns:a16="http://schemas.microsoft.com/office/drawing/2014/main" id="{00000000-0008-0000-2600-00003E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79" name="Shape 3">
          <a:extLst>
            <a:ext uri="{FF2B5EF4-FFF2-40B4-BE49-F238E27FC236}">
              <a16:creationId xmlns:a16="http://schemas.microsoft.com/office/drawing/2014/main" id="{00000000-0008-0000-2600-00003F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4880" name="Shape 3">
          <a:extLst>
            <a:ext uri="{FF2B5EF4-FFF2-40B4-BE49-F238E27FC236}">
              <a16:creationId xmlns:a16="http://schemas.microsoft.com/office/drawing/2014/main" id="{00000000-0008-0000-2600-000040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81" name="Shape 3">
          <a:extLst>
            <a:ext uri="{FF2B5EF4-FFF2-40B4-BE49-F238E27FC236}">
              <a16:creationId xmlns:a16="http://schemas.microsoft.com/office/drawing/2014/main" id="{00000000-0008-0000-2600-000041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82" name="Shape 3">
          <a:extLst>
            <a:ext uri="{FF2B5EF4-FFF2-40B4-BE49-F238E27FC236}">
              <a16:creationId xmlns:a16="http://schemas.microsoft.com/office/drawing/2014/main" id="{00000000-0008-0000-2600-000042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83" name="Shape 3">
          <a:extLst>
            <a:ext uri="{FF2B5EF4-FFF2-40B4-BE49-F238E27FC236}">
              <a16:creationId xmlns:a16="http://schemas.microsoft.com/office/drawing/2014/main" id="{00000000-0008-0000-2600-000043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84" name="Shape 3">
          <a:extLst>
            <a:ext uri="{FF2B5EF4-FFF2-40B4-BE49-F238E27FC236}">
              <a16:creationId xmlns:a16="http://schemas.microsoft.com/office/drawing/2014/main" id="{00000000-0008-0000-2600-000044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85" name="Shape 3">
          <a:extLst>
            <a:ext uri="{FF2B5EF4-FFF2-40B4-BE49-F238E27FC236}">
              <a16:creationId xmlns:a16="http://schemas.microsoft.com/office/drawing/2014/main" id="{00000000-0008-0000-2600-000045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86" name="Shape 3">
          <a:extLst>
            <a:ext uri="{FF2B5EF4-FFF2-40B4-BE49-F238E27FC236}">
              <a16:creationId xmlns:a16="http://schemas.microsoft.com/office/drawing/2014/main" id="{00000000-0008-0000-2600-000046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87" name="Shape 3">
          <a:extLst>
            <a:ext uri="{FF2B5EF4-FFF2-40B4-BE49-F238E27FC236}">
              <a16:creationId xmlns:a16="http://schemas.microsoft.com/office/drawing/2014/main" id="{00000000-0008-0000-2600-000047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88" name="Shape 3">
          <a:extLst>
            <a:ext uri="{FF2B5EF4-FFF2-40B4-BE49-F238E27FC236}">
              <a16:creationId xmlns:a16="http://schemas.microsoft.com/office/drawing/2014/main" id="{00000000-0008-0000-2600-000048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89" name="Shape 3">
          <a:extLst>
            <a:ext uri="{FF2B5EF4-FFF2-40B4-BE49-F238E27FC236}">
              <a16:creationId xmlns:a16="http://schemas.microsoft.com/office/drawing/2014/main" id="{00000000-0008-0000-2600-000049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90" name="Shape 3">
          <a:extLst>
            <a:ext uri="{FF2B5EF4-FFF2-40B4-BE49-F238E27FC236}">
              <a16:creationId xmlns:a16="http://schemas.microsoft.com/office/drawing/2014/main" id="{00000000-0008-0000-2600-00004A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91" name="Shape 3">
          <a:extLst>
            <a:ext uri="{FF2B5EF4-FFF2-40B4-BE49-F238E27FC236}">
              <a16:creationId xmlns:a16="http://schemas.microsoft.com/office/drawing/2014/main" id="{00000000-0008-0000-2600-00004B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92" name="Shape 3">
          <a:extLst>
            <a:ext uri="{FF2B5EF4-FFF2-40B4-BE49-F238E27FC236}">
              <a16:creationId xmlns:a16="http://schemas.microsoft.com/office/drawing/2014/main" id="{00000000-0008-0000-2600-00004C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93" name="Shape 3">
          <a:extLst>
            <a:ext uri="{FF2B5EF4-FFF2-40B4-BE49-F238E27FC236}">
              <a16:creationId xmlns:a16="http://schemas.microsoft.com/office/drawing/2014/main" id="{00000000-0008-0000-2600-00004D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94" name="Shape 3">
          <a:extLst>
            <a:ext uri="{FF2B5EF4-FFF2-40B4-BE49-F238E27FC236}">
              <a16:creationId xmlns:a16="http://schemas.microsoft.com/office/drawing/2014/main" id="{00000000-0008-0000-2600-00004E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95" name="Shape 3">
          <a:extLst>
            <a:ext uri="{FF2B5EF4-FFF2-40B4-BE49-F238E27FC236}">
              <a16:creationId xmlns:a16="http://schemas.microsoft.com/office/drawing/2014/main" id="{00000000-0008-0000-2600-00004F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96" name="Shape 3">
          <a:extLst>
            <a:ext uri="{FF2B5EF4-FFF2-40B4-BE49-F238E27FC236}">
              <a16:creationId xmlns:a16="http://schemas.microsoft.com/office/drawing/2014/main" id="{00000000-0008-0000-2600-000050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97" name="Shape 3">
          <a:extLst>
            <a:ext uri="{FF2B5EF4-FFF2-40B4-BE49-F238E27FC236}">
              <a16:creationId xmlns:a16="http://schemas.microsoft.com/office/drawing/2014/main" id="{00000000-0008-0000-2600-000051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98" name="Shape 3">
          <a:extLst>
            <a:ext uri="{FF2B5EF4-FFF2-40B4-BE49-F238E27FC236}">
              <a16:creationId xmlns:a16="http://schemas.microsoft.com/office/drawing/2014/main" id="{00000000-0008-0000-2600-000052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899" name="Shape 3">
          <a:extLst>
            <a:ext uri="{FF2B5EF4-FFF2-40B4-BE49-F238E27FC236}">
              <a16:creationId xmlns:a16="http://schemas.microsoft.com/office/drawing/2014/main" id="{00000000-0008-0000-2600-000053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00" name="Shape 3">
          <a:extLst>
            <a:ext uri="{FF2B5EF4-FFF2-40B4-BE49-F238E27FC236}">
              <a16:creationId xmlns:a16="http://schemas.microsoft.com/office/drawing/2014/main" id="{00000000-0008-0000-2600-000054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01" name="Shape 3">
          <a:extLst>
            <a:ext uri="{FF2B5EF4-FFF2-40B4-BE49-F238E27FC236}">
              <a16:creationId xmlns:a16="http://schemas.microsoft.com/office/drawing/2014/main" id="{00000000-0008-0000-2600-000055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02" name="Shape 3">
          <a:extLst>
            <a:ext uri="{FF2B5EF4-FFF2-40B4-BE49-F238E27FC236}">
              <a16:creationId xmlns:a16="http://schemas.microsoft.com/office/drawing/2014/main" id="{00000000-0008-0000-2600-000056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03" name="Shape 3">
          <a:extLst>
            <a:ext uri="{FF2B5EF4-FFF2-40B4-BE49-F238E27FC236}">
              <a16:creationId xmlns:a16="http://schemas.microsoft.com/office/drawing/2014/main" id="{00000000-0008-0000-2600-000057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04" name="Shape 3">
          <a:extLst>
            <a:ext uri="{FF2B5EF4-FFF2-40B4-BE49-F238E27FC236}">
              <a16:creationId xmlns:a16="http://schemas.microsoft.com/office/drawing/2014/main" id="{00000000-0008-0000-2600-000058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05" name="Shape 3">
          <a:extLst>
            <a:ext uri="{FF2B5EF4-FFF2-40B4-BE49-F238E27FC236}">
              <a16:creationId xmlns:a16="http://schemas.microsoft.com/office/drawing/2014/main" id="{00000000-0008-0000-2600-000059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06" name="Shape 3">
          <a:extLst>
            <a:ext uri="{FF2B5EF4-FFF2-40B4-BE49-F238E27FC236}">
              <a16:creationId xmlns:a16="http://schemas.microsoft.com/office/drawing/2014/main" id="{00000000-0008-0000-2600-00005A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07" name="Shape 3">
          <a:extLst>
            <a:ext uri="{FF2B5EF4-FFF2-40B4-BE49-F238E27FC236}">
              <a16:creationId xmlns:a16="http://schemas.microsoft.com/office/drawing/2014/main" id="{00000000-0008-0000-2600-00005B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08" name="Shape 3">
          <a:extLst>
            <a:ext uri="{FF2B5EF4-FFF2-40B4-BE49-F238E27FC236}">
              <a16:creationId xmlns:a16="http://schemas.microsoft.com/office/drawing/2014/main" id="{00000000-0008-0000-2600-00005C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09" name="Shape 3">
          <a:extLst>
            <a:ext uri="{FF2B5EF4-FFF2-40B4-BE49-F238E27FC236}">
              <a16:creationId xmlns:a16="http://schemas.microsoft.com/office/drawing/2014/main" id="{00000000-0008-0000-2600-00005D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10" name="Shape 3">
          <a:extLst>
            <a:ext uri="{FF2B5EF4-FFF2-40B4-BE49-F238E27FC236}">
              <a16:creationId xmlns:a16="http://schemas.microsoft.com/office/drawing/2014/main" id="{00000000-0008-0000-2600-00005E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11" name="Shape 3">
          <a:extLst>
            <a:ext uri="{FF2B5EF4-FFF2-40B4-BE49-F238E27FC236}">
              <a16:creationId xmlns:a16="http://schemas.microsoft.com/office/drawing/2014/main" id="{00000000-0008-0000-2600-00005F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12" name="Shape 3">
          <a:extLst>
            <a:ext uri="{FF2B5EF4-FFF2-40B4-BE49-F238E27FC236}">
              <a16:creationId xmlns:a16="http://schemas.microsoft.com/office/drawing/2014/main" id="{00000000-0008-0000-2600-000060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13" name="Shape 3">
          <a:extLst>
            <a:ext uri="{FF2B5EF4-FFF2-40B4-BE49-F238E27FC236}">
              <a16:creationId xmlns:a16="http://schemas.microsoft.com/office/drawing/2014/main" id="{00000000-0008-0000-2600-000061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14" name="Shape 3">
          <a:extLst>
            <a:ext uri="{FF2B5EF4-FFF2-40B4-BE49-F238E27FC236}">
              <a16:creationId xmlns:a16="http://schemas.microsoft.com/office/drawing/2014/main" id="{00000000-0008-0000-2600-000062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4915" name="Shape 3">
          <a:extLst>
            <a:ext uri="{FF2B5EF4-FFF2-40B4-BE49-F238E27FC236}">
              <a16:creationId xmlns:a16="http://schemas.microsoft.com/office/drawing/2014/main" id="{00000000-0008-0000-2600-00006388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16" name="Shape 3">
          <a:extLst>
            <a:ext uri="{FF2B5EF4-FFF2-40B4-BE49-F238E27FC236}">
              <a16:creationId xmlns:a16="http://schemas.microsoft.com/office/drawing/2014/main" id="{00000000-0008-0000-2600-000064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17" name="Shape 3">
          <a:extLst>
            <a:ext uri="{FF2B5EF4-FFF2-40B4-BE49-F238E27FC236}">
              <a16:creationId xmlns:a16="http://schemas.microsoft.com/office/drawing/2014/main" id="{00000000-0008-0000-2600-000065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18" name="Shape 3">
          <a:extLst>
            <a:ext uri="{FF2B5EF4-FFF2-40B4-BE49-F238E27FC236}">
              <a16:creationId xmlns:a16="http://schemas.microsoft.com/office/drawing/2014/main" id="{00000000-0008-0000-2600-000066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19" name="Shape 3">
          <a:extLst>
            <a:ext uri="{FF2B5EF4-FFF2-40B4-BE49-F238E27FC236}">
              <a16:creationId xmlns:a16="http://schemas.microsoft.com/office/drawing/2014/main" id="{00000000-0008-0000-2600-000067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20" name="Shape 3">
          <a:extLst>
            <a:ext uri="{FF2B5EF4-FFF2-40B4-BE49-F238E27FC236}">
              <a16:creationId xmlns:a16="http://schemas.microsoft.com/office/drawing/2014/main" id="{00000000-0008-0000-2600-000068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21" name="Shape 3">
          <a:extLst>
            <a:ext uri="{FF2B5EF4-FFF2-40B4-BE49-F238E27FC236}">
              <a16:creationId xmlns:a16="http://schemas.microsoft.com/office/drawing/2014/main" id="{00000000-0008-0000-2600-000069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22" name="Shape 3">
          <a:extLst>
            <a:ext uri="{FF2B5EF4-FFF2-40B4-BE49-F238E27FC236}">
              <a16:creationId xmlns:a16="http://schemas.microsoft.com/office/drawing/2014/main" id="{00000000-0008-0000-2600-00006A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23" name="Shape 3">
          <a:extLst>
            <a:ext uri="{FF2B5EF4-FFF2-40B4-BE49-F238E27FC236}">
              <a16:creationId xmlns:a16="http://schemas.microsoft.com/office/drawing/2014/main" id="{00000000-0008-0000-2600-00006B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24" name="Shape 3">
          <a:extLst>
            <a:ext uri="{FF2B5EF4-FFF2-40B4-BE49-F238E27FC236}">
              <a16:creationId xmlns:a16="http://schemas.microsoft.com/office/drawing/2014/main" id="{00000000-0008-0000-2600-00006C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25" name="Shape 3">
          <a:extLst>
            <a:ext uri="{FF2B5EF4-FFF2-40B4-BE49-F238E27FC236}">
              <a16:creationId xmlns:a16="http://schemas.microsoft.com/office/drawing/2014/main" id="{00000000-0008-0000-2600-00006D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26" name="Shape 3">
          <a:extLst>
            <a:ext uri="{FF2B5EF4-FFF2-40B4-BE49-F238E27FC236}">
              <a16:creationId xmlns:a16="http://schemas.microsoft.com/office/drawing/2014/main" id="{00000000-0008-0000-2600-00006E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27" name="Shape 3">
          <a:extLst>
            <a:ext uri="{FF2B5EF4-FFF2-40B4-BE49-F238E27FC236}">
              <a16:creationId xmlns:a16="http://schemas.microsoft.com/office/drawing/2014/main" id="{00000000-0008-0000-2600-00006F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28" name="Shape 3">
          <a:extLst>
            <a:ext uri="{FF2B5EF4-FFF2-40B4-BE49-F238E27FC236}">
              <a16:creationId xmlns:a16="http://schemas.microsoft.com/office/drawing/2014/main" id="{00000000-0008-0000-2600-000070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29" name="Shape 3">
          <a:extLst>
            <a:ext uri="{FF2B5EF4-FFF2-40B4-BE49-F238E27FC236}">
              <a16:creationId xmlns:a16="http://schemas.microsoft.com/office/drawing/2014/main" id="{00000000-0008-0000-2600-000071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30" name="Shape 3">
          <a:extLst>
            <a:ext uri="{FF2B5EF4-FFF2-40B4-BE49-F238E27FC236}">
              <a16:creationId xmlns:a16="http://schemas.microsoft.com/office/drawing/2014/main" id="{00000000-0008-0000-2600-000072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31" name="Shape 3">
          <a:extLst>
            <a:ext uri="{FF2B5EF4-FFF2-40B4-BE49-F238E27FC236}">
              <a16:creationId xmlns:a16="http://schemas.microsoft.com/office/drawing/2014/main" id="{00000000-0008-0000-2600-000073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32" name="Shape 3">
          <a:extLst>
            <a:ext uri="{FF2B5EF4-FFF2-40B4-BE49-F238E27FC236}">
              <a16:creationId xmlns:a16="http://schemas.microsoft.com/office/drawing/2014/main" id="{00000000-0008-0000-2600-000074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4933" name="Shape 4">
          <a:extLst>
            <a:ext uri="{FF2B5EF4-FFF2-40B4-BE49-F238E27FC236}">
              <a16:creationId xmlns:a16="http://schemas.microsoft.com/office/drawing/2014/main" id="{00000000-0008-0000-2600-00007588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4934" name="Shape 4">
          <a:extLst>
            <a:ext uri="{FF2B5EF4-FFF2-40B4-BE49-F238E27FC236}">
              <a16:creationId xmlns:a16="http://schemas.microsoft.com/office/drawing/2014/main" id="{00000000-0008-0000-2600-00007688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35" name="Shape 3">
          <a:extLst>
            <a:ext uri="{FF2B5EF4-FFF2-40B4-BE49-F238E27FC236}">
              <a16:creationId xmlns:a16="http://schemas.microsoft.com/office/drawing/2014/main" id="{00000000-0008-0000-2600-000077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36" name="Shape 3">
          <a:extLst>
            <a:ext uri="{FF2B5EF4-FFF2-40B4-BE49-F238E27FC236}">
              <a16:creationId xmlns:a16="http://schemas.microsoft.com/office/drawing/2014/main" id="{00000000-0008-0000-2600-000078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37" name="Shape 3">
          <a:extLst>
            <a:ext uri="{FF2B5EF4-FFF2-40B4-BE49-F238E27FC236}">
              <a16:creationId xmlns:a16="http://schemas.microsoft.com/office/drawing/2014/main" id="{00000000-0008-0000-2600-000079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38" name="Shape 3">
          <a:extLst>
            <a:ext uri="{FF2B5EF4-FFF2-40B4-BE49-F238E27FC236}">
              <a16:creationId xmlns:a16="http://schemas.microsoft.com/office/drawing/2014/main" id="{00000000-0008-0000-2600-00007A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39" name="Shape 3">
          <a:extLst>
            <a:ext uri="{FF2B5EF4-FFF2-40B4-BE49-F238E27FC236}">
              <a16:creationId xmlns:a16="http://schemas.microsoft.com/office/drawing/2014/main" id="{00000000-0008-0000-2600-00007B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40" name="Shape 3">
          <a:extLst>
            <a:ext uri="{FF2B5EF4-FFF2-40B4-BE49-F238E27FC236}">
              <a16:creationId xmlns:a16="http://schemas.microsoft.com/office/drawing/2014/main" id="{00000000-0008-0000-2600-00007C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41" name="Shape 3">
          <a:extLst>
            <a:ext uri="{FF2B5EF4-FFF2-40B4-BE49-F238E27FC236}">
              <a16:creationId xmlns:a16="http://schemas.microsoft.com/office/drawing/2014/main" id="{00000000-0008-0000-2600-00007D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4942" name="Shape 3">
          <a:extLst>
            <a:ext uri="{FF2B5EF4-FFF2-40B4-BE49-F238E27FC236}">
              <a16:creationId xmlns:a16="http://schemas.microsoft.com/office/drawing/2014/main" id="{00000000-0008-0000-2600-00007E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43" name="Shape 3">
          <a:extLst>
            <a:ext uri="{FF2B5EF4-FFF2-40B4-BE49-F238E27FC236}">
              <a16:creationId xmlns:a16="http://schemas.microsoft.com/office/drawing/2014/main" id="{00000000-0008-0000-2600-00007F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44" name="Shape 3">
          <a:extLst>
            <a:ext uri="{FF2B5EF4-FFF2-40B4-BE49-F238E27FC236}">
              <a16:creationId xmlns:a16="http://schemas.microsoft.com/office/drawing/2014/main" id="{00000000-0008-0000-2600-000080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45" name="Shape 3">
          <a:extLst>
            <a:ext uri="{FF2B5EF4-FFF2-40B4-BE49-F238E27FC236}">
              <a16:creationId xmlns:a16="http://schemas.microsoft.com/office/drawing/2014/main" id="{00000000-0008-0000-2600-000081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46" name="Shape 3">
          <a:extLst>
            <a:ext uri="{FF2B5EF4-FFF2-40B4-BE49-F238E27FC236}">
              <a16:creationId xmlns:a16="http://schemas.microsoft.com/office/drawing/2014/main" id="{00000000-0008-0000-2600-000082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47" name="Shape 3">
          <a:extLst>
            <a:ext uri="{FF2B5EF4-FFF2-40B4-BE49-F238E27FC236}">
              <a16:creationId xmlns:a16="http://schemas.microsoft.com/office/drawing/2014/main" id="{00000000-0008-0000-2600-000083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48" name="Shape 3">
          <a:extLst>
            <a:ext uri="{FF2B5EF4-FFF2-40B4-BE49-F238E27FC236}">
              <a16:creationId xmlns:a16="http://schemas.microsoft.com/office/drawing/2014/main" id="{00000000-0008-0000-2600-000084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49" name="Shape 3">
          <a:extLst>
            <a:ext uri="{FF2B5EF4-FFF2-40B4-BE49-F238E27FC236}">
              <a16:creationId xmlns:a16="http://schemas.microsoft.com/office/drawing/2014/main" id="{00000000-0008-0000-2600-000085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50" name="Shape 3">
          <a:extLst>
            <a:ext uri="{FF2B5EF4-FFF2-40B4-BE49-F238E27FC236}">
              <a16:creationId xmlns:a16="http://schemas.microsoft.com/office/drawing/2014/main" id="{00000000-0008-0000-2600-000086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51" name="Shape 3">
          <a:extLst>
            <a:ext uri="{FF2B5EF4-FFF2-40B4-BE49-F238E27FC236}">
              <a16:creationId xmlns:a16="http://schemas.microsoft.com/office/drawing/2014/main" id="{00000000-0008-0000-2600-000087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52" name="Shape 3">
          <a:extLst>
            <a:ext uri="{FF2B5EF4-FFF2-40B4-BE49-F238E27FC236}">
              <a16:creationId xmlns:a16="http://schemas.microsoft.com/office/drawing/2014/main" id="{00000000-0008-0000-2600-000088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53" name="Shape 3">
          <a:extLst>
            <a:ext uri="{FF2B5EF4-FFF2-40B4-BE49-F238E27FC236}">
              <a16:creationId xmlns:a16="http://schemas.microsoft.com/office/drawing/2014/main" id="{00000000-0008-0000-2600-000089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54" name="Shape 3">
          <a:extLst>
            <a:ext uri="{FF2B5EF4-FFF2-40B4-BE49-F238E27FC236}">
              <a16:creationId xmlns:a16="http://schemas.microsoft.com/office/drawing/2014/main" id="{00000000-0008-0000-2600-00008A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55" name="Shape 3">
          <a:extLst>
            <a:ext uri="{FF2B5EF4-FFF2-40B4-BE49-F238E27FC236}">
              <a16:creationId xmlns:a16="http://schemas.microsoft.com/office/drawing/2014/main" id="{00000000-0008-0000-2600-00008B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56" name="Shape 3">
          <a:extLst>
            <a:ext uri="{FF2B5EF4-FFF2-40B4-BE49-F238E27FC236}">
              <a16:creationId xmlns:a16="http://schemas.microsoft.com/office/drawing/2014/main" id="{00000000-0008-0000-2600-00008C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57" name="Shape 3">
          <a:extLst>
            <a:ext uri="{FF2B5EF4-FFF2-40B4-BE49-F238E27FC236}">
              <a16:creationId xmlns:a16="http://schemas.microsoft.com/office/drawing/2014/main" id="{00000000-0008-0000-2600-00008D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58" name="Shape 3">
          <a:extLst>
            <a:ext uri="{FF2B5EF4-FFF2-40B4-BE49-F238E27FC236}">
              <a16:creationId xmlns:a16="http://schemas.microsoft.com/office/drawing/2014/main" id="{00000000-0008-0000-2600-00008E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59" name="Shape 3">
          <a:extLst>
            <a:ext uri="{FF2B5EF4-FFF2-40B4-BE49-F238E27FC236}">
              <a16:creationId xmlns:a16="http://schemas.microsoft.com/office/drawing/2014/main" id="{00000000-0008-0000-2600-00008F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60" name="Shape 3">
          <a:extLst>
            <a:ext uri="{FF2B5EF4-FFF2-40B4-BE49-F238E27FC236}">
              <a16:creationId xmlns:a16="http://schemas.microsoft.com/office/drawing/2014/main" id="{00000000-0008-0000-2600-000090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61" name="Shape 3">
          <a:extLst>
            <a:ext uri="{FF2B5EF4-FFF2-40B4-BE49-F238E27FC236}">
              <a16:creationId xmlns:a16="http://schemas.microsoft.com/office/drawing/2014/main" id="{00000000-0008-0000-2600-000091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62" name="Shape 3">
          <a:extLst>
            <a:ext uri="{FF2B5EF4-FFF2-40B4-BE49-F238E27FC236}">
              <a16:creationId xmlns:a16="http://schemas.microsoft.com/office/drawing/2014/main" id="{00000000-0008-0000-2600-000092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63" name="Shape 3">
          <a:extLst>
            <a:ext uri="{FF2B5EF4-FFF2-40B4-BE49-F238E27FC236}">
              <a16:creationId xmlns:a16="http://schemas.microsoft.com/office/drawing/2014/main" id="{00000000-0008-0000-2600-000093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64" name="Shape 3">
          <a:extLst>
            <a:ext uri="{FF2B5EF4-FFF2-40B4-BE49-F238E27FC236}">
              <a16:creationId xmlns:a16="http://schemas.microsoft.com/office/drawing/2014/main" id="{00000000-0008-0000-2600-000094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65" name="Shape 3">
          <a:extLst>
            <a:ext uri="{FF2B5EF4-FFF2-40B4-BE49-F238E27FC236}">
              <a16:creationId xmlns:a16="http://schemas.microsoft.com/office/drawing/2014/main" id="{00000000-0008-0000-2600-000095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66" name="Shape 3">
          <a:extLst>
            <a:ext uri="{FF2B5EF4-FFF2-40B4-BE49-F238E27FC236}">
              <a16:creationId xmlns:a16="http://schemas.microsoft.com/office/drawing/2014/main" id="{00000000-0008-0000-2600-000096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67" name="Shape 3">
          <a:extLst>
            <a:ext uri="{FF2B5EF4-FFF2-40B4-BE49-F238E27FC236}">
              <a16:creationId xmlns:a16="http://schemas.microsoft.com/office/drawing/2014/main" id="{00000000-0008-0000-2600-000097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68" name="Shape 3">
          <a:extLst>
            <a:ext uri="{FF2B5EF4-FFF2-40B4-BE49-F238E27FC236}">
              <a16:creationId xmlns:a16="http://schemas.microsoft.com/office/drawing/2014/main" id="{00000000-0008-0000-2600-000098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69" name="Shape 3">
          <a:extLst>
            <a:ext uri="{FF2B5EF4-FFF2-40B4-BE49-F238E27FC236}">
              <a16:creationId xmlns:a16="http://schemas.microsoft.com/office/drawing/2014/main" id="{00000000-0008-0000-2600-000099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70" name="Shape 3">
          <a:extLst>
            <a:ext uri="{FF2B5EF4-FFF2-40B4-BE49-F238E27FC236}">
              <a16:creationId xmlns:a16="http://schemas.microsoft.com/office/drawing/2014/main" id="{00000000-0008-0000-2600-00009A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71" name="Shape 3">
          <a:extLst>
            <a:ext uri="{FF2B5EF4-FFF2-40B4-BE49-F238E27FC236}">
              <a16:creationId xmlns:a16="http://schemas.microsoft.com/office/drawing/2014/main" id="{00000000-0008-0000-2600-00009B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72" name="Shape 3">
          <a:extLst>
            <a:ext uri="{FF2B5EF4-FFF2-40B4-BE49-F238E27FC236}">
              <a16:creationId xmlns:a16="http://schemas.microsoft.com/office/drawing/2014/main" id="{00000000-0008-0000-2600-00009C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73" name="Shape 3">
          <a:extLst>
            <a:ext uri="{FF2B5EF4-FFF2-40B4-BE49-F238E27FC236}">
              <a16:creationId xmlns:a16="http://schemas.microsoft.com/office/drawing/2014/main" id="{00000000-0008-0000-2600-00009D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74" name="Shape 3">
          <a:extLst>
            <a:ext uri="{FF2B5EF4-FFF2-40B4-BE49-F238E27FC236}">
              <a16:creationId xmlns:a16="http://schemas.microsoft.com/office/drawing/2014/main" id="{00000000-0008-0000-2600-00009E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75" name="Shape 3">
          <a:extLst>
            <a:ext uri="{FF2B5EF4-FFF2-40B4-BE49-F238E27FC236}">
              <a16:creationId xmlns:a16="http://schemas.microsoft.com/office/drawing/2014/main" id="{00000000-0008-0000-2600-00009F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76" name="Shape 3">
          <a:extLst>
            <a:ext uri="{FF2B5EF4-FFF2-40B4-BE49-F238E27FC236}">
              <a16:creationId xmlns:a16="http://schemas.microsoft.com/office/drawing/2014/main" id="{00000000-0008-0000-2600-0000A0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4977" name="Shape 3">
          <a:extLst>
            <a:ext uri="{FF2B5EF4-FFF2-40B4-BE49-F238E27FC236}">
              <a16:creationId xmlns:a16="http://schemas.microsoft.com/office/drawing/2014/main" id="{00000000-0008-0000-2600-0000A188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4978" name="Shape 3">
          <a:extLst>
            <a:ext uri="{FF2B5EF4-FFF2-40B4-BE49-F238E27FC236}">
              <a16:creationId xmlns:a16="http://schemas.microsoft.com/office/drawing/2014/main" id="{00000000-0008-0000-2600-0000A2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79" name="Shape 3">
          <a:extLst>
            <a:ext uri="{FF2B5EF4-FFF2-40B4-BE49-F238E27FC236}">
              <a16:creationId xmlns:a16="http://schemas.microsoft.com/office/drawing/2014/main" id="{00000000-0008-0000-2600-0000A3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80" name="Shape 3">
          <a:extLst>
            <a:ext uri="{FF2B5EF4-FFF2-40B4-BE49-F238E27FC236}">
              <a16:creationId xmlns:a16="http://schemas.microsoft.com/office/drawing/2014/main" id="{00000000-0008-0000-2600-0000A4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81" name="Shape 3">
          <a:extLst>
            <a:ext uri="{FF2B5EF4-FFF2-40B4-BE49-F238E27FC236}">
              <a16:creationId xmlns:a16="http://schemas.microsoft.com/office/drawing/2014/main" id="{00000000-0008-0000-2600-0000A5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82" name="Shape 3">
          <a:extLst>
            <a:ext uri="{FF2B5EF4-FFF2-40B4-BE49-F238E27FC236}">
              <a16:creationId xmlns:a16="http://schemas.microsoft.com/office/drawing/2014/main" id="{00000000-0008-0000-2600-0000A6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83" name="Shape 3">
          <a:extLst>
            <a:ext uri="{FF2B5EF4-FFF2-40B4-BE49-F238E27FC236}">
              <a16:creationId xmlns:a16="http://schemas.microsoft.com/office/drawing/2014/main" id="{00000000-0008-0000-2600-0000A7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84" name="Shape 3">
          <a:extLst>
            <a:ext uri="{FF2B5EF4-FFF2-40B4-BE49-F238E27FC236}">
              <a16:creationId xmlns:a16="http://schemas.microsoft.com/office/drawing/2014/main" id="{00000000-0008-0000-2600-0000A8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85" name="Shape 3">
          <a:extLst>
            <a:ext uri="{FF2B5EF4-FFF2-40B4-BE49-F238E27FC236}">
              <a16:creationId xmlns:a16="http://schemas.microsoft.com/office/drawing/2014/main" id="{00000000-0008-0000-2600-0000A9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86" name="Shape 3">
          <a:extLst>
            <a:ext uri="{FF2B5EF4-FFF2-40B4-BE49-F238E27FC236}">
              <a16:creationId xmlns:a16="http://schemas.microsoft.com/office/drawing/2014/main" id="{00000000-0008-0000-2600-0000AA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87" name="Shape 3">
          <a:extLst>
            <a:ext uri="{FF2B5EF4-FFF2-40B4-BE49-F238E27FC236}">
              <a16:creationId xmlns:a16="http://schemas.microsoft.com/office/drawing/2014/main" id="{00000000-0008-0000-2600-0000AB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88" name="Shape 3">
          <a:extLst>
            <a:ext uri="{FF2B5EF4-FFF2-40B4-BE49-F238E27FC236}">
              <a16:creationId xmlns:a16="http://schemas.microsoft.com/office/drawing/2014/main" id="{00000000-0008-0000-2600-0000AC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89" name="Shape 3">
          <a:extLst>
            <a:ext uri="{FF2B5EF4-FFF2-40B4-BE49-F238E27FC236}">
              <a16:creationId xmlns:a16="http://schemas.microsoft.com/office/drawing/2014/main" id="{00000000-0008-0000-2600-0000AD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90" name="Shape 3">
          <a:extLst>
            <a:ext uri="{FF2B5EF4-FFF2-40B4-BE49-F238E27FC236}">
              <a16:creationId xmlns:a16="http://schemas.microsoft.com/office/drawing/2014/main" id="{00000000-0008-0000-2600-0000AE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91" name="Shape 3">
          <a:extLst>
            <a:ext uri="{FF2B5EF4-FFF2-40B4-BE49-F238E27FC236}">
              <a16:creationId xmlns:a16="http://schemas.microsoft.com/office/drawing/2014/main" id="{00000000-0008-0000-2600-0000AF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92" name="Shape 3">
          <a:extLst>
            <a:ext uri="{FF2B5EF4-FFF2-40B4-BE49-F238E27FC236}">
              <a16:creationId xmlns:a16="http://schemas.microsoft.com/office/drawing/2014/main" id="{00000000-0008-0000-2600-0000B0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93" name="Shape 3">
          <a:extLst>
            <a:ext uri="{FF2B5EF4-FFF2-40B4-BE49-F238E27FC236}">
              <a16:creationId xmlns:a16="http://schemas.microsoft.com/office/drawing/2014/main" id="{00000000-0008-0000-2600-0000B1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94" name="Shape 3">
          <a:extLst>
            <a:ext uri="{FF2B5EF4-FFF2-40B4-BE49-F238E27FC236}">
              <a16:creationId xmlns:a16="http://schemas.microsoft.com/office/drawing/2014/main" id="{00000000-0008-0000-2600-0000B2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4995" name="Shape 4">
          <a:extLst>
            <a:ext uri="{FF2B5EF4-FFF2-40B4-BE49-F238E27FC236}">
              <a16:creationId xmlns:a16="http://schemas.microsoft.com/office/drawing/2014/main" id="{00000000-0008-0000-2600-0000B388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4996" name="Shape 4">
          <a:extLst>
            <a:ext uri="{FF2B5EF4-FFF2-40B4-BE49-F238E27FC236}">
              <a16:creationId xmlns:a16="http://schemas.microsoft.com/office/drawing/2014/main" id="{00000000-0008-0000-2600-0000B488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97" name="Shape 3">
          <a:extLst>
            <a:ext uri="{FF2B5EF4-FFF2-40B4-BE49-F238E27FC236}">
              <a16:creationId xmlns:a16="http://schemas.microsoft.com/office/drawing/2014/main" id="{00000000-0008-0000-2600-0000B5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98" name="Shape 3">
          <a:extLst>
            <a:ext uri="{FF2B5EF4-FFF2-40B4-BE49-F238E27FC236}">
              <a16:creationId xmlns:a16="http://schemas.microsoft.com/office/drawing/2014/main" id="{00000000-0008-0000-2600-0000B6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4999" name="Shape 3">
          <a:extLst>
            <a:ext uri="{FF2B5EF4-FFF2-40B4-BE49-F238E27FC236}">
              <a16:creationId xmlns:a16="http://schemas.microsoft.com/office/drawing/2014/main" id="{00000000-0008-0000-2600-0000B7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5000" name="Shape 3">
          <a:extLst>
            <a:ext uri="{FF2B5EF4-FFF2-40B4-BE49-F238E27FC236}">
              <a16:creationId xmlns:a16="http://schemas.microsoft.com/office/drawing/2014/main" id="{00000000-0008-0000-2600-0000B8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5001" name="Shape 3">
          <a:extLst>
            <a:ext uri="{FF2B5EF4-FFF2-40B4-BE49-F238E27FC236}">
              <a16:creationId xmlns:a16="http://schemas.microsoft.com/office/drawing/2014/main" id="{00000000-0008-0000-2600-0000B9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5002" name="Shape 3">
          <a:extLst>
            <a:ext uri="{FF2B5EF4-FFF2-40B4-BE49-F238E27FC236}">
              <a16:creationId xmlns:a16="http://schemas.microsoft.com/office/drawing/2014/main" id="{00000000-0008-0000-2600-0000BA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5003" name="Shape 3">
          <a:extLst>
            <a:ext uri="{FF2B5EF4-FFF2-40B4-BE49-F238E27FC236}">
              <a16:creationId xmlns:a16="http://schemas.microsoft.com/office/drawing/2014/main" id="{00000000-0008-0000-2600-0000BB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5004" name="Shape 3">
          <a:extLst>
            <a:ext uri="{FF2B5EF4-FFF2-40B4-BE49-F238E27FC236}">
              <a16:creationId xmlns:a16="http://schemas.microsoft.com/office/drawing/2014/main" id="{00000000-0008-0000-2600-0000BC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05" name="Shape 3">
          <a:extLst>
            <a:ext uri="{FF2B5EF4-FFF2-40B4-BE49-F238E27FC236}">
              <a16:creationId xmlns:a16="http://schemas.microsoft.com/office/drawing/2014/main" id="{00000000-0008-0000-2600-0000BD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06" name="Shape 3">
          <a:extLst>
            <a:ext uri="{FF2B5EF4-FFF2-40B4-BE49-F238E27FC236}">
              <a16:creationId xmlns:a16="http://schemas.microsoft.com/office/drawing/2014/main" id="{00000000-0008-0000-2600-0000BE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07" name="Shape 3">
          <a:extLst>
            <a:ext uri="{FF2B5EF4-FFF2-40B4-BE49-F238E27FC236}">
              <a16:creationId xmlns:a16="http://schemas.microsoft.com/office/drawing/2014/main" id="{00000000-0008-0000-2600-0000BF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08" name="Shape 3">
          <a:extLst>
            <a:ext uri="{FF2B5EF4-FFF2-40B4-BE49-F238E27FC236}">
              <a16:creationId xmlns:a16="http://schemas.microsoft.com/office/drawing/2014/main" id="{00000000-0008-0000-2600-0000C0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09" name="Shape 3">
          <a:extLst>
            <a:ext uri="{FF2B5EF4-FFF2-40B4-BE49-F238E27FC236}">
              <a16:creationId xmlns:a16="http://schemas.microsoft.com/office/drawing/2014/main" id="{00000000-0008-0000-2600-0000C1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10" name="Shape 3">
          <a:extLst>
            <a:ext uri="{FF2B5EF4-FFF2-40B4-BE49-F238E27FC236}">
              <a16:creationId xmlns:a16="http://schemas.microsoft.com/office/drawing/2014/main" id="{00000000-0008-0000-2600-0000C2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11" name="Shape 3">
          <a:extLst>
            <a:ext uri="{FF2B5EF4-FFF2-40B4-BE49-F238E27FC236}">
              <a16:creationId xmlns:a16="http://schemas.microsoft.com/office/drawing/2014/main" id="{00000000-0008-0000-2600-0000C3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12" name="Shape 3">
          <a:extLst>
            <a:ext uri="{FF2B5EF4-FFF2-40B4-BE49-F238E27FC236}">
              <a16:creationId xmlns:a16="http://schemas.microsoft.com/office/drawing/2014/main" id="{00000000-0008-0000-2600-0000C4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13" name="Shape 3">
          <a:extLst>
            <a:ext uri="{FF2B5EF4-FFF2-40B4-BE49-F238E27FC236}">
              <a16:creationId xmlns:a16="http://schemas.microsoft.com/office/drawing/2014/main" id="{00000000-0008-0000-2600-0000C5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14" name="Shape 3">
          <a:extLst>
            <a:ext uri="{FF2B5EF4-FFF2-40B4-BE49-F238E27FC236}">
              <a16:creationId xmlns:a16="http://schemas.microsoft.com/office/drawing/2014/main" id="{00000000-0008-0000-2600-0000C6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15" name="Shape 3">
          <a:extLst>
            <a:ext uri="{FF2B5EF4-FFF2-40B4-BE49-F238E27FC236}">
              <a16:creationId xmlns:a16="http://schemas.microsoft.com/office/drawing/2014/main" id="{00000000-0008-0000-2600-0000C7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16" name="Shape 3">
          <a:extLst>
            <a:ext uri="{FF2B5EF4-FFF2-40B4-BE49-F238E27FC236}">
              <a16:creationId xmlns:a16="http://schemas.microsoft.com/office/drawing/2014/main" id="{00000000-0008-0000-2600-0000C8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17" name="Shape 3">
          <a:extLst>
            <a:ext uri="{FF2B5EF4-FFF2-40B4-BE49-F238E27FC236}">
              <a16:creationId xmlns:a16="http://schemas.microsoft.com/office/drawing/2014/main" id="{00000000-0008-0000-2600-0000C9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18" name="Shape 3">
          <a:extLst>
            <a:ext uri="{FF2B5EF4-FFF2-40B4-BE49-F238E27FC236}">
              <a16:creationId xmlns:a16="http://schemas.microsoft.com/office/drawing/2014/main" id="{00000000-0008-0000-2600-0000CA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19" name="Shape 3">
          <a:extLst>
            <a:ext uri="{FF2B5EF4-FFF2-40B4-BE49-F238E27FC236}">
              <a16:creationId xmlns:a16="http://schemas.microsoft.com/office/drawing/2014/main" id="{00000000-0008-0000-2600-0000CB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20" name="Shape 3">
          <a:extLst>
            <a:ext uri="{FF2B5EF4-FFF2-40B4-BE49-F238E27FC236}">
              <a16:creationId xmlns:a16="http://schemas.microsoft.com/office/drawing/2014/main" id="{00000000-0008-0000-2600-0000CC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21" name="Shape 3">
          <a:extLst>
            <a:ext uri="{FF2B5EF4-FFF2-40B4-BE49-F238E27FC236}">
              <a16:creationId xmlns:a16="http://schemas.microsoft.com/office/drawing/2014/main" id="{00000000-0008-0000-2600-0000CD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22" name="Shape 3">
          <a:extLst>
            <a:ext uri="{FF2B5EF4-FFF2-40B4-BE49-F238E27FC236}">
              <a16:creationId xmlns:a16="http://schemas.microsoft.com/office/drawing/2014/main" id="{00000000-0008-0000-2600-0000CE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23" name="Shape 3">
          <a:extLst>
            <a:ext uri="{FF2B5EF4-FFF2-40B4-BE49-F238E27FC236}">
              <a16:creationId xmlns:a16="http://schemas.microsoft.com/office/drawing/2014/main" id="{00000000-0008-0000-2600-0000CF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24" name="Shape 3">
          <a:extLst>
            <a:ext uri="{FF2B5EF4-FFF2-40B4-BE49-F238E27FC236}">
              <a16:creationId xmlns:a16="http://schemas.microsoft.com/office/drawing/2014/main" id="{00000000-0008-0000-2600-0000D0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25" name="Shape 3">
          <a:extLst>
            <a:ext uri="{FF2B5EF4-FFF2-40B4-BE49-F238E27FC236}">
              <a16:creationId xmlns:a16="http://schemas.microsoft.com/office/drawing/2014/main" id="{00000000-0008-0000-2600-0000D1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26" name="Shape 3">
          <a:extLst>
            <a:ext uri="{FF2B5EF4-FFF2-40B4-BE49-F238E27FC236}">
              <a16:creationId xmlns:a16="http://schemas.microsoft.com/office/drawing/2014/main" id="{00000000-0008-0000-2600-0000D2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27" name="Shape 3">
          <a:extLst>
            <a:ext uri="{FF2B5EF4-FFF2-40B4-BE49-F238E27FC236}">
              <a16:creationId xmlns:a16="http://schemas.microsoft.com/office/drawing/2014/main" id="{00000000-0008-0000-2600-0000D3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28" name="Shape 3">
          <a:extLst>
            <a:ext uri="{FF2B5EF4-FFF2-40B4-BE49-F238E27FC236}">
              <a16:creationId xmlns:a16="http://schemas.microsoft.com/office/drawing/2014/main" id="{00000000-0008-0000-2600-0000D4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29" name="Shape 3">
          <a:extLst>
            <a:ext uri="{FF2B5EF4-FFF2-40B4-BE49-F238E27FC236}">
              <a16:creationId xmlns:a16="http://schemas.microsoft.com/office/drawing/2014/main" id="{00000000-0008-0000-2600-0000D5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30" name="Shape 3">
          <a:extLst>
            <a:ext uri="{FF2B5EF4-FFF2-40B4-BE49-F238E27FC236}">
              <a16:creationId xmlns:a16="http://schemas.microsoft.com/office/drawing/2014/main" id="{00000000-0008-0000-2600-0000D6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31" name="Shape 3">
          <a:extLst>
            <a:ext uri="{FF2B5EF4-FFF2-40B4-BE49-F238E27FC236}">
              <a16:creationId xmlns:a16="http://schemas.microsoft.com/office/drawing/2014/main" id="{00000000-0008-0000-2600-0000D7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32" name="Shape 3">
          <a:extLst>
            <a:ext uri="{FF2B5EF4-FFF2-40B4-BE49-F238E27FC236}">
              <a16:creationId xmlns:a16="http://schemas.microsoft.com/office/drawing/2014/main" id="{00000000-0008-0000-2600-0000D8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33" name="Shape 3">
          <a:extLst>
            <a:ext uri="{FF2B5EF4-FFF2-40B4-BE49-F238E27FC236}">
              <a16:creationId xmlns:a16="http://schemas.microsoft.com/office/drawing/2014/main" id="{00000000-0008-0000-2600-0000D9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34" name="Shape 3">
          <a:extLst>
            <a:ext uri="{FF2B5EF4-FFF2-40B4-BE49-F238E27FC236}">
              <a16:creationId xmlns:a16="http://schemas.microsoft.com/office/drawing/2014/main" id="{00000000-0008-0000-2600-0000DA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35" name="Shape 3">
          <a:extLst>
            <a:ext uri="{FF2B5EF4-FFF2-40B4-BE49-F238E27FC236}">
              <a16:creationId xmlns:a16="http://schemas.microsoft.com/office/drawing/2014/main" id="{00000000-0008-0000-2600-0000DB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36" name="Shape 3">
          <a:extLst>
            <a:ext uri="{FF2B5EF4-FFF2-40B4-BE49-F238E27FC236}">
              <a16:creationId xmlns:a16="http://schemas.microsoft.com/office/drawing/2014/main" id="{00000000-0008-0000-2600-0000DC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37" name="Shape 3">
          <a:extLst>
            <a:ext uri="{FF2B5EF4-FFF2-40B4-BE49-F238E27FC236}">
              <a16:creationId xmlns:a16="http://schemas.microsoft.com/office/drawing/2014/main" id="{00000000-0008-0000-2600-0000DD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38" name="Shape 3">
          <a:extLst>
            <a:ext uri="{FF2B5EF4-FFF2-40B4-BE49-F238E27FC236}">
              <a16:creationId xmlns:a16="http://schemas.microsoft.com/office/drawing/2014/main" id="{00000000-0008-0000-2600-0000DE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5039" name="Shape 3">
          <a:extLst>
            <a:ext uri="{FF2B5EF4-FFF2-40B4-BE49-F238E27FC236}">
              <a16:creationId xmlns:a16="http://schemas.microsoft.com/office/drawing/2014/main" id="{00000000-0008-0000-2600-0000DF88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ropbox\shared%20folder\AUCS\101_AUCS%202021%20final2%20(John%20Voltaire%20Ancla's%20conflicted%20copy%202021-03-31)%20(John%20Voltaire%20Ancla's%20conflicted%20copy%202021-04-08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ell\Dropbox\My%20PC%20(DESKTOP-DSLJ0CF)\Desktop\2020%20FUND%20101%20RAO_MAIN_V2_DECEMBER%20202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bo\Desktop\WORK2\RAO\2020\2020%20FUND%20101%20RAO_MAIN_V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ownloads\grid-export%20(5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y"/>
      <sheetName val="MAIN-RAPID-LP"/>
      <sheetName val="For MRD"/>
      <sheetName val="Cash"/>
      <sheetName val="Bank Accounts"/>
      <sheetName val="MFO.PAP"/>
      <sheetName val="MAIN-101"/>
      <sheetName val="DV Process"/>
      <sheetName val="Sheet2"/>
      <sheetName val="2021 CADADR"/>
      <sheetName val="Advances"/>
      <sheetName val="Sheet5"/>
      <sheetName val="Advances 2020"/>
      <sheetName val="Advances Summary"/>
      <sheetName val="CADADR Summary"/>
      <sheetName val="MAIN (2)"/>
      <sheetName val="Sheet4"/>
      <sheetName val="Sheet1"/>
      <sheetName val="Sheet3"/>
      <sheetName val="FAR 4 - MRD 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Z3">
            <v>62571193.640000001</v>
          </cell>
        </row>
        <row r="5">
          <cell r="Z5">
            <v>49849295.960000001</v>
          </cell>
        </row>
        <row r="6">
          <cell r="X6" t="str">
            <v>DV NO.</v>
          </cell>
          <cell r="Z6" t="str">
            <v>DISBURSEMENTS (NET OF TAX)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 t="str">
            <v>0001</v>
          </cell>
          <cell r="C13" t="str">
            <v>01</v>
          </cell>
          <cell r="D13" t="str">
            <v>001</v>
          </cell>
          <cell r="E13" t="str">
            <v>Land Bank of the Philippines</v>
          </cell>
          <cell r="F13" t="str">
            <v>PS</v>
          </cell>
          <cell r="G13" t="str">
            <v>RO</v>
          </cell>
          <cell r="I13" t="str">
            <v>R</v>
          </cell>
          <cell r="J13" t="str">
            <v>PS</v>
          </cell>
          <cell r="M13" t="str">
            <v>Payment for RATA for January 2021</v>
          </cell>
          <cell r="X13" t="str">
            <v>0001</v>
          </cell>
          <cell r="Z13">
            <v>126494.55</v>
          </cell>
        </row>
        <row r="14">
          <cell r="B14" t="str">
            <v>0002</v>
          </cell>
          <cell r="C14" t="str">
            <v>01</v>
          </cell>
          <cell r="D14" t="str">
            <v>002</v>
          </cell>
          <cell r="E14" t="str">
            <v>Edwin O. Banquerigo</v>
          </cell>
          <cell r="F14" t="str">
            <v>MOOE</v>
          </cell>
          <cell r="G14" t="str">
            <v>RO</v>
          </cell>
          <cell r="I14" t="str">
            <v>R</v>
          </cell>
          <cell r="J14" t="str">
            <v>MOOE</v>
          </cell>
          <cell r="M14" t="str">
            <v>Payment for extradordinary expenses</v>
          </cell>
          <cell r="X14" t="str">
            <v>0002</v>
          </cell>
          <cell r="Z14">
            <v>10000</v>
          </cell>
        </row>
        <row r="15">
          <cell r="B15" t="str">
            <v>0003</v>
          </cell>
          <cell r="C15" t="str">
            <v>01</v>
          </cell>
          <cell r="E15" t="str">
            <v>DREAMCO</v>
          </cell>
          <cell r="F15" t="str">
            <v>PS</v>
          </cell>
          <cell r="L15">
            <v>23505.45</v>
          </cell>
          <cell r="M15" t="str">
            <v>Remittance coop deductions from RATA for January 2021</v>
          </cell>
          <cell r="X15" t="str">
            <v>0003</v>
          </cell>
          <cell r="Z15">
            <v>23505.45</v>
          </cell>
        </row>
        <row r="16">
          <cell r="B16" t="str">
            <v>0004</v>
          </cell>
          <cell r="C16" t="str">
            <v>01</v>
          </cell>
          <cell r="E16" t="str">
            <v>DREAMCO</v>
          </cell>
          <cell r="F16" t="str">
            <v>PS</v>
          </cell>
          <cell r="L16">
            <v>8083.33</v>
          </cell>
          <cell r="M16" t="str">
            <v>Remittance, JO coop deductions forr the period December 16-31, 2020</v>
          </cell>
          <cell r="X16" t="str">
            <v>0004</v>
          </cell>
          <cell r="Z16">
            <v>8083.33</v>
          </cell>
        </row>
        <row r="17">
          <cell r="B17" t="str">
            <v>0005</v>
          </cell>
          <cell r="C17" t="str">
            <v>01</v>
          </cell>
          <cell r="D17" t="str">
            <v>003</v>
          </cell>
          <cell r="E17" t="str">
            <v>LBP F/O DTI-RO</v>
          </cell>
          <cell r="F17" t="str">
            <v>PS</v>
          </cell>
          <cell r="G17" t="str">
            <v>RO</v>
          </cell>
          <cell r="I17" t="str">
            <v>R</v>
          </cell>
          <cell r="J17" t="str">
            <v>PS</v>
          </cell>
          <cell r="M17" t="str">
            <v>Payment for the salaries and allowances of regular employees for the period of January 1-15, 2021</v>
          </cell>
          <cell r="X17" t="str">
            <v>0005</v>
          </cell>
          <cell r="Z17">
            <v>327788.25</v>
          </cell>
        </row>
        <row r="18">
          <cell r="B18" t="str">
            <v>0006</v>
          </cell>
          <cell r="C18" t="str">
            <v>01</v>
          </cell>
          <cell r="E18" t="str">
            <v>DREAMCO- MPC</v>
          </cell>
          <cell r="F18" t="str">
            <v>PS</v>
          </cell>
          <cell r="I18" t="str">
            <v>R</v>
          </cell>
          <cell r="J18" t="str">
            <v>PS</v>
          </cell>
          <cell r="L18">
            <v>195626.4</v>
          </cell>
          <cell r="M18" t="str">
            <v>Remittance coop deductions for the month of Januray 2021</v>
          </cell>
          <cell r="X18" t="str">
            <v>0006</v>
          </cell>
          <cell r="Z18">
            <v>195626.4</v>
          </cell>
        </row>
        <row r="19">
          <cell r="B19" t="str">
            <v>0007</v>
          </cell>
          <cell r="C19" t="str">
            <v>01</v>
          </cell>
          <cell r="D19" t="str">
            <v>004</v>
          </cell>
          <cell r="E19" t="str">
            <v>LBP F/O DTI-SDN</v>
          </cell>
          <cell r="F19" t="str">
            <v>PS</v>
          </cell>
          <cell r="G19" t="str">
            <v>SDN</v>
          </cell>
          <cell r="I19" t="str">
            <v>R</v>
          </cell>
          <cell r="J19" t="str">
            <v>PS</v>
          </cell>
          <cell r="M19" t="str">
            <v>Payment for the salaries and allowances of regular employees for the period of January 1-15, 2021</v>
          </cell>
          <cell r="X19" t="str">
            <v>0007</v>
          </cell>
          <cell r="Z19">
            <v>76343.53</v>
          </cell>
        </row>
        <row r="20">
          <cell r="B20" t="str">
            <v>0008</v>
          </cell>
          <cell r="C20" t="str">
            <v>01</v>
          </cell>
          <cell r="D20" t="str">
            <v>007</v>
          </cell>
          <cell r="E20" t="str">
            <v>Arleen P. Pahamtang</v>
          </cell>
          <cell r="F20" t="str">
            <v>MOOE</v>
          </cell>
          <cell r="G20" t="str">
            <v>RO</v>
          </cell>
          <cell r="I20" t="str">
            <v>R</v>
          </cell>
          <cell r="J20" t="str">
            <v>PS</v>
          </cell>
          <cell r="M20" t="str">
            <v>Set up the Petty Cash Fund, 2021</v>
          </cell>
          <cell r="X20" t="str">
            <v>0008</v>
          </cell>
          <cell r="Z20">
            <v>5000</v>
          </cell>
        </row>
        <row r="21">
          <cell r="B21" t="str">
            <v>0009</v>
          </cell>
          <cell r="C21" t="str">
            <v>01</v>
          </cell>
          <cell r="D21" t="str">
            <v>006</v>
          </cell>
          <cell r="E21" t="str">
            <v>LBP F/O DTI-SDS</v>
          </cell>
          <cell r="F21" t="str">
            <v>PS</v>
          </cell>
          <cell r="G21" t="str">
            <v>SDS</v>
          </cell>
          <cell r="I21" t="str">
            <v>R</v>
          </cell>
          <cell r="J21" t="str">
            <v>PS</v>
          </cell>
          <cell r="M21" t="str">
            <v>Payment for the salaries and allowances of regular employees for the period of January 1-15, 2021</v>
          </cell>
          <cell r="X21" t="str">
            <v>0009</v>
          </cell>
          <cell r="Z21">
            <v>138638.1</v>
          </cell>
        </row>
        <row r="22">
          <cell r="B22" t="str">
            <v>0010</v>
          </cell>
          <cell r="C22" t="str">
            <v>01</v>
          </cell>
          <cell r="D22" t="str">
            <v>005</v>
          </cell>
          <cell r="E22" t="str">
            <v>LBP F/O DTI-PDI</v>
          </cell>
          <cell r="F22" t="str">
            <v>PS</v>
          </cell>
          <cell r="G22" t="str">
            <v>PDI</v>
          </cell>
          <cell r="I22" t="str">
            <v>R</v>
          </cell>
          <cell r="J22" t="str">
            <v>PS</v>
          </cell>
          <cell r="M22" t="str">
            <v>Payment for the salaries and allowances of regular employees for the period of January 1-15, 2021</v>
          </cell>
          <cell r="X22" t="str">
            <v>0010</v>
          </cell>
          <cell r="Z22">
            <v>81815.520000000004</v>
          </cell>
        </row>
        <row r="23">
          <cell r="B23" t="str">
            <v>0011</v>
          </cell>
          <cell r="C23" t="str">
            <v>01</v>
          </cell>
          <cell r="E23" t="str">
            <v>DREAMCO</v>
          </cell>
          <cell r="F23" t="str">
            <v>PS</v>
          </cell>
          <cell r="I23" t="str">
            <v>R</v>
          </cell>
          <cell r="J23" t="str">
            <v>PS</v>
          </cell>
          <cell r="L23">
            <v>46629.23</v>
          </cell>
          <cell r="M23" t="str">
            <v>Remittance of Coop deductions from RATA for the month of October &amp; December 2020</v>
          </cell>
          <cell r="X23" t="str">
            <v>0011</v>
          </cell>
          <cell r="Z23">
            <v>46629.23</v>
          </cell>
        </row>
        <row r="24">
          <cell r="B24" t="str">
            <v>0012</v>
          </cell>
          <cell r="C24" t="str">
            <v>01</v>
          </cell>
          <cell r="D24" t="str">
            <v>008</v>
          </cell>
          <cell r="E24" t="str">
            <v>LBP F/O DTI-PDI</v>
          </cell>
          <cell r="F24" t="str">
            <v>PS</v>
          </cell>
          <cell r="G24" t="str">
            <v>ADS</v>
          </cell>
          <cell r="I24" t="str">
            <v>R</v>
          </cell>
          <cell r="J24" t="str">
            <v>PS</v>
          </cell>
          <cell r="M24" t="str">
            <v>Payment for the salaries and allowances of regular employees for the period of January 1-15, 2021</v>
          </cell>
          <cell r="X24" t="str">
            <v>0012</v>
          </cell>
          <cell r="Z24">
            <v>104743.53</v>
          </cell>
        </row>
        <row r="25">
          <cell r="B25" t="str">
            <v>0013</v>
          </cell>
          <cell r="C25" t="str">
            <v>12</v>
          </cell>
          <cell r="D25" t="str">
            <v>1845</v>
          </cell>
          <cell r="E25" t="str">
            <v>Hi-5 Signages Fabricator</v>
          </cell>
          <cell r="F25" t="str">
            <v>MOOE</v>
          </cell>
          <cell r="G25" t="str">
            <v>RO</v>
          </cell>
          <cell r="I25" t="str">
            <v>R</v>
          </cell>
          <cell r="J25" t="str">
            <v>MOOE</v>
          </cell>
          <cell r="M25" t="str">
            <v>DTI- Caraga Motor Vehicle Marketing and Trapaulin Printing(ISOand Deaf awareness Week Campaign)</v>
          </cell>
          <cell r="X25" t="str">
            <v>0013</v>
          </cell>
          <cell r="Z25">
            <v>2793.75</v>
          </cell>
        </row>
        <row r="26">
          <cell r="B26" t="str">
            <v>0014</v>
          </cell>
          <cell r="C26" t="str">
            <v>12</v>
          </cell>
          <cell r="D26" t="str">
            <v>1985</v>
          </cell>
          <cell r="E26" t="str">
            <v>Fil Products Service TV Butuan, Inc</v>
          </cell>
          <cell r="F26" t="str">
            <v>MOOE</v>
          </cell>
          <cell r="G26" t="str">
            <v>RO</v>
          </cell>
          <cell r="I26" t="str">
            <v>R</v>
          </cell>
          <cell r="J26" t="str">
            <v>MOOE</v>
          </cell>
          <cell r="M26" t="str">
            <v>Payment for subscription expense- cable TV subscription for the period November 28- December 27, 2020</v>
          </cell>
          <cell r="X26" t="str">
            <v>0014</v>
          </cell>
          <cell r="Z26">
            <v>506.25</v>
          </cell>
        </row>
        <row r="27">
          <cell r="B27" t="str">
            <v>0015</v>
          </cell>
          <cell r="C27" t="str">
            <v>12</v>
          </cell>
          <cell r="D27" t="str">
            <v>1921</v>
          </cell>
          <cell r="E27" t="str">
            <v>Lime &amp; Zest Kitchen</v>
          </cell>
          <cell r="F27" t="str">
            <v>MOOE</v>
          </cell>
          <cell r="G27" t="str">
            <v>RO</v>
          </cell>
          <cell r="I27" t="str">
            <v>R</v>
          </cell>
          <cell r="J27" t="str">
            <v>MOOE</v>
          </cell>
          <cell r="M27" t="str">
            <v>Payment for the provision of snacks and meal for the Salamat Mabuhay Awardee</v>
          </cell>
          <cell r="X27" t="str">
            <v>0015</v>
          </cell>
          <cell r="Z27">
            <v>22265.62</v>
          </cell>
        </row>
        <row r="28">
          <cell r="B28" t="str">
            <v>0016</v>
          </cell>
          <cell r="C28" t="str">
            <v>12</v>
          </cell>
          <cell r="E28" t="str">
            <v>Bureau of Treasury</v>
          </cell>
          <cell r="F28" t="str">
            <v>MOOE</v>
          </cell>
          <cell r="G28" t="str">
            <v>RO</v>
          </cell>
          <cell r="L28">
            <v>21734.22</v>
          </cell>
          <cell r="M28" t="str">
            <v>Reversion of tax withheld on 2020 salaries of RAPID Growth Project Staff</v>
          </cell>
          <cell r="X28" t="str">
            <v>0016</v>
          </cell>
          <cell r="Z28">
            <v>21734.22</v>
          </cell>
        </row>
        <row r="29">
          <cell r="B29" t="str">
            <v>0017</v>
          </cell>
          <cell r="C29" t="str">
            <v>12</v>
          </cell>
          <cell r="D29" t="str">
            <v>1991</v>
          </cell>
          <cell r="E29" t="str">
            <v>Globe Telecom, Inc</v>
          </cell>
          <cell r="F29" t="str">
            <v>MOOE</v>
          </cell>
          <cell r="G29" t="str">
            <v>RO</v>
          </cell>
          <cell r="I29" t="str">
            <v>R</v>
          </cell>
          <cell r="J29" t="str">
            <v>MOOE</v>
          </cell>
          <cell r="M29" t="str">
            <v>Payment of Globe Postpaid Plan Subscription for the month of December 16-January 15, 2021</v>
          </cell>
          <cell r="X29" t="str">
            <v>0017</v>
          </cell>
          <cell r="Z29">
            <v>2343.75</v>
          </cell>
        </row>
        <row r="30">
          <cell r="B30" t="str">
            <v>0018</v>
          </cell>
          <cell r="C30" t="str">
            <v>12</v>
          </cell>
          <cell r="D30" t="str">
            <v>1976</v>
          </cell>
          <cell r="E30" t="str">
            <v>Globe Telecom, Inc</v>
          </cell>
          <cell r="F30" t="str">
            <v>MOOE</v>
          </cell>
          <cell r="G30" t="str">
            <v>RO</v>
          </cell>
          <cell r="I30" t="str">
            <v>R</v>
          </cell>
          <cell r="J30" t="str">
            <v>MOOE</v>
          </cell>
          <cell r="M30" t="str">
            <v>Payment for postpaid plan subscription with cell no. 09177036798 acct. 49017022 for the period October- November 2020</v>
          </cell>
          <cell r="X30" t="str">
            <v>0018</v>
          </cell>
          <cell r="Z30">
            <v>2250</v>
          </cell>
        </row>
        <row r="31">
          <cell r="B31" t="str">
            <v>0019</v>
          </cell>
          <cell r="C31" t="str">
            <v>12</v>
          </cell>
          <cell r="D31" t="str">
            <v>1984</v>
          </cell>
          <cell r="E31" t="str">
            <v>Atoy Paint Center</v>
          </cell>
          <cell r="F31" t="str">
            <v>MOOE</v>
          </cell>
          <cell r="G31" t="str">
            <v>RO</v>
          </cell>
          <cell r="I31" t="str">
            <v>R</v>
          </cell>
          <cell r="J31" t="str">
            <v>MOOE</v>
          </cell>
          <cell r="M31" t="str">
            <v>Payment of paint materials for repainting of IDD office shelves and cabinets.</v>
          </cell>
          <cell r="X31" t="str">
            <v>0019</v>
          </cell>
          <cell r="Z31">
            <v>4576.93</v>
          </cell>
        </row>
        <row r="32">
          <cell r="B32" t="str">
            <v>0020</v>
          </cell>
          <cell r="C32" t="str">
            <v>12</v>
          </cell>
          <cell r="D32" t="str">
            <v>1988</v>
          </cell>
          <cell r="E32" t="str">
            <v>Compañero Commercial</v>
          </cell>
          <cell r="F32" t="str">
            <v>MOOE</v>
          </cell>
          <cell r="G32" t="str">
            <v>RO</v>
          </cell>
          <cell r="I32" t="str">
            <v>R</v>
          </cell>
          <cell r="J32" t="str">
            <v>MOOE</v>
          </cell>
          <cell r="M32" t="str">
            <v>Payment of  IDD office supplies- 4th quarter 2020</v>
          </cell>
          <cell r="X32" t="str">
            <v>0020</v>
          </cell>
          <cell r="Z32">
            <v>2801.43</v>
          </cell>
        </row>
        <row r="33">
          <cell r="B33" t="str">
            <v>0021</v>
          </cell>
          <cell r="C33" t="str">
            <v>12</v>
          </cell>
          <cell r="D33" t="str">
            <v>1989</v>
          </cell>
          <cell r="E33" t="str">
            <v>Kimson Commercial</v>
          </cell>
          <cell r="F33" t="str">
            <v>MOOE</v>
          </cell>
          <cell r="G33" t="str">
            <v>RO</v>
          </cell>
          <cell r="I33" t="str">
            <v>R</v>
          </cell>
          <cell r="J33" t="str">
            <v>MOOE</v>
          </cell>
          <cell r="M33" t="str">
            <v>Payment of  IDD office supplies- 4th quarter 2020</v>
          </cell>
          <cell r="X33" t="str">
            <v>0021</v>
          </cell>
          <cell r="Z33">
            <v>5229.0200000000004</v>
          </cell>
        </row>
        <row r="34">
          <cell r="B34" t="str">
            <v>0022</v>
          </cell>
          <cell r="C34" t="str">
            <v>12</v>
          </cell>
          <cell r="D34" t="str">
            <v>1809</v>
          </cell>
          <cell r="E34" t="str">
            <v>Lime &amp; Zest Kitchen</v>
          </cell>
          <cell r="F34" t="str">
            <v>MOOE</v>
          </cell>
          <cell r="G34" t="str">
            <v>RO</v>
          </cell>
          <cell r="I34" t="str">
            <v>R</v>
          </cell>
          <cell r="J34" t="str">
            <v>MOOE</v>
          </cell>
          <cell r="M34" t="str">
            <v>Payment for the meals during the SSF RTWG Deliberation on November 26, 2020</v>
          </cell>
          <cell r="X34" t="str">
            <v>0022</v>
          </cell>
          <cell r="Z34">
            <v>3937.5</v>
          </cell>
        </row>
        <row r="35">
          <cell r="B35" t="str">
            <v>0023</v>
          </cell>
          <cell r="C35" t="str">
            <v>12</v>
          </cell>
          <cell r="D35" t="str">
            <v>1986</v>
          </cell>
          <cell r="E35" t="str">
            <v>True Brew Gourmet Coffee Shop</v>
          </cell>
          <cell r="F35" t="str">
            <v>MOOE</v>
          </cell>
          <cell r="G35" t="str">
            <v>RO</v>
          </cell>
          <cell r="I35" t="str">
            <v>R</v>
          </cell>
          <cell r="J35" t="str">
            <v>MOOE</v>
          </cell>
          <cell r="M35" t="str">
            <v>Payment for the provision of meals during level 1 planning on December 10, 2020</v>
          </cell>
          <cell r="X35" t="str">
            <v>0023</v>
          </cell>
          <cell r="Z35">
            <v>11625</v>
          </cell>
        </row>
        <row r="36">
          <cell r="B36" t="str">
            <v>0023</v>
          </cell>
          <cell r="C36" t="str">
            <v>12</v>
          </cell>
          <cell r="D36" t="str">
            <v>1986</v>
          </cell>
          <cell r="E36" t="str">
            <v>True Brew Gourmet Coffee Shop</v>
          </cell>
          <cell r="F36" t="str">
            <v>MOOE</v>
          </cell>
          <cell r="G36" t="str">
            <v>RO</v>
          </cell>
          <cell r="I36" t="str">
            <v>R</v>
          </cell>
          <cell r="J36" t="str">
            <v>MOOE</v>
          </cell>
          <cell r="M36" t="str">
            <v>Payment for the provision of meals during level 1 planning on December 10, 2020</v>
          </cell>
          <cell r="X36" t="str">
            <v>0023</v>
          </cell>
          <cell r="Z36">
            <v>-11625</v>
          </cell>
        </row>
        <row r="37">
          <cell r="B37" t="str">
            <v>0024</v>
          </cell>
          <cell r="C37" t="str">
            <v>12</v>
          </cell>
          <cell r="D37" t="str">
            <v>1939</v>
          </cell>
          <cell r="E37" t="str">
            <v>Lime &amp; Zest Kitchen</v>
          </cell>
          <cell r="F37" t="str">
            <v>MOOE</v>
          </cell>
          <cell r="G37" t="str">
            <v>RO</v>
          </cell>
          <cell r="I37" t="str">
            <v>R</v>
          </cell>
          <cell r="J37" t="str">
            <v>MOOE</v>
          </cell>
          <cell r="M37" t="str">
            <v>Payment for the provision of meals during level 0 planning on December 04, 2020</v>
          </cell>
          <cell r="X37" t="str">
            <v>0024</v>
          </cell>
          <cell r="Z37">
            <v>24492.19</v>
          </cell>
        </row>
        <row r="38">
          <cell r="B38" t="str">
            <v>0025</v>
          </cell>
          <cell r="C38" t="str">
            <v>12</v>
          </cell>
          <cell r="D38" t="str">
            <v>1964</v>
          </cell>
          <cell r="E38" t="str">
            <v>LG Supplies and General Merchandise</v>
          </cell>
          <cell r="F38" t="str">
            <v>MOOE</v>
          </cell>
          <cell r="G38" t="str">
            <v>RO</v>
          </cell>
          <cell r="I38" t="str">
            <v>R</v>
          </cell>
          <cell r="J38" t="str">
            <v>MOOE</v>
          </cell>
          <cell r="M38" t="str">
            <v>Payment for IT Supplies for ORD use.</v>
          </cell>
          <cell r="X38" t="str">
            <v>0025</v>
          </cell>
          <cell r="Z38">
            <v>6067.2</v>
          </cell>
        </row>
        <row r="39">
          <cell r="B39" t="str">
            <v>0026</v>
          </cell>
          <cell r="C39" t="str">
            <v>01</v>
          </cell>
          <cell r="D39" t="str">
            <v>010</v>
          </cell>
          <cell r="E39" t="str">
            <v>Bureau of Treasury</v>
          </cell>
          <cell r="F39" t="str">
            <v>MOOE</v>
          </cell>
          <cell r="G39" t="str">
            <v>RO</v>
          </cell>
          <cell r="I39" t="str">
            <v>R</v>
          </cell>
          <cell r="J39" t="str">
            <v>MOOE</v>
          </cell>
          <cell r="M39" t="str">
            <v>Bond Premium for the renewal of Application for bond of accountable officers and employees- Marry Ann L. Pascual</v>
          </cell>
          <cell r="X39" t="str">
            <v>0026</v>
          </cell>
          <cell r="Z39">
            <v>11250</v>
          </cell>
        </row>
        <row r="40">
          <cell r="B40" t="str">
            <v>0027</v>
          </cell>
          <cell r="C40" t="str">
            <v>01</v>
          </cell>
          <cell r="D40" t="str">
            <v>011</v>
          </cell>
          <cell r="E40" t="str">
            <v>LBPF/O DTI-AD N</v>
          </cell>
          <cell r="F40" t="str">
            <v>PS</v>
          </cell>
          <cell r="G40" t="str">
            <v>AD N</v>
          </cell>
          <cell r="I40" t="str">
            <v>R</v>
          </cell>
          <cell r="J40" t="str">
            <v>PS</v>
          </cell>
          <cell r="M40" t="str">
            <v>Payment for the salaries and allowances of regular employees for the period of January 1-15, 2021</v>
          </cell>
          <cell r="X40" t="str">
            <v>0027</v>
          </cell>
          <cell r="Z40">
            <v>75692.009999999995</v>
          </cell>
        </row>
        <row r="41">
          <cell r="B41" t="str">
            <v>0028</v>
          </cell>
          <cell r="C41" t="str">
            <v>01</v>
          </cell>
          <cell r="D41" t="str">
            <v>012</v>
          </cell>
          <cell r="E41" t="str">
            <v>Gay A. Tidalgo</v>
          </cell>
          <cell r="F41" t="str">
            <v>MOOE</v>
          </cell>
          <cell r="G41" t="str">
            <v>RO</v>
          </cell>
          <cell r="I41" t="str">
            <v>R</v>
          </cell>
          <cell r="J41" t="str">
            <v>MOOE</v>
          </cell>
          <cell r="M41" t="str">
            <v>To reimburse the payment for globe postpaid plan subscription for the month of November 16- December 15, 2020 for the acct # 65087463</v>
          </cell>
          <cell r="X41" t="str">
            <v>0028</v>
          </cell>
          <cell r="Z41">
            <v>2500</v>
          </cell>
        </row>
        <row r="42">
          <cell r="B42" t="str">
            <v>0029</v>
          </cell>
          <cell r="C42" t="str">
            <v>01</v>
          </cell>
          <cell r="D42" t="str">
            <v>013</v>
          </cell>
          <cell r="E42" t="str">
            <v>Fil Products Service TV Butuan, Inc</v>
          </cell>
          <cell r="F42" t="str">
            <v>MOOE</v>
          </cell>
          <cell r="G42" t="str">
            <v>RO</v>
          </cell>
          <cell r="I42" t="str">
            <v>R</v>
          </cell>
          <cell r="J42" t="str">
            <v>MOOE</v>
          </cell>
          <cell r="M42" t="str">
            <v>Payment for subscription expense- cable TV subscription for the period December 28- January 27, 2021</v>
          </cell>
          <cell r="X42" t="str">
            <v>0029</v>
          </cell>
          <cell r="Z42">
            <v>506.25</v>
          </cell>
        </row>
        <row r="43">
          <cell r="B43" t="str">
            <v>0029</v>
          </cell>
          <cell r="C43" t="str">
            <v>01</v>
          </cell>
          <cell r="D43" t="str">
            <v>013</v>
          </cell>
          <cell r="E43" t="str">
            <v>Fil Products Service TV Butuan, Inc</v>
          </cell>
          <cell r="F43" t="str">
            <v>MOOE</v>
          </cell>
          <cell r="G43" t="str">
            <v>RO</v>
          </cell>
          <cell r="I43" t="str">
            <v>R</v>
          </cell>
          <cell r="J43" t="str">
            <v>MOOE</v>
          </cell>
          <cell r="M43" t="str">
            <v>Payment for subscription expense- cable TV subscription for the period December 28- January 27, 2021</v>
          </cell>
          <cell r="X43" t="str">
            <v>0029</v>
          </cell>
          <cell r="Z43">
            <v>-506.25</v>
          </cell>
        </row>
        <row r="44">
          <cell r="B44" t="str">
            <v>0030</v>
          </cell>
          <cell r="C44" t="str">
            <v>12</v>
          </cell>
          <cell r="D44" t="str">
            <v>1847</v>
          </cell>
          <cell r="E44" t="str">
            <v>Toyota Butuan City</v>
          </cell>
          <cell r="F44" t="str">
            <v>MOOE</v>
          </cell>
          <cell r="G44" t="str">
            <v>RO</v>
          </cell>
          <cell r="I44" t="str">
            <v>R</v>
          </cell>
          <cell r="J44" t="str">
            <v>MOOE</v>
          </cell>
          <cell r="M44" t="str">
            <v>Labor and materials for the DTI- Caraga Motor Vehicle 50km periodic maintenance- toyota Hilux</v>
          </cell>
          <cell r="X44" t="str">
            <v>0030</v>
          </cell>
          <cell r="Z44">
            <v>16862.849999999999</v>
          </cell>
        </row>
        <row r="45">
          <cell r="B45" t="str">
            <v>0031</v>
          </cell>
          <cell r="C45" t="str">
            <v>12</v>
          </cell>
          <cell r="D45" t="str">
            <v>1981</v>
          </cell>
          <cell r="E45" t="str">
            <v>Compañero Commercial</v>
          </cell>
          <cell r="F45" t="str">
            <v>MOOE</v>
          </cell>
          <cell r="G45" t="str">
            <v>RO</v>
          </cell>
          <cell r="I45" t="str">
            <v>R</v>
          </cell>
          <cell r="J45" t="str">
            <v>SAA</v>
          </cell>
          <cell r="K45" t="str">
            <v>RAPID-GOP</v>
          </cell>
          <cell r="M45" t="str">
            <v>Payment for the 4th quarter 2020 FAD Office supplies</v>
          </cell>
          <cell r="X45" t="str">
            <v>0031</v>
          </cell>
          <cell r="Z45">
            <v>8304.91</v>
          </cell>
        </row>
        <row r="46">
          <cell r="B46" t="str">
            <v>0032</v>
          </cell>
          <cell r="C46" t="str">
            <v>12</v>
          </cell>
          <cell r="D46" t="str">
            <v>1945</v>
          </cell>
          <cell r="E46" t="str">
            <v>Hope Radio Phils DXHR Inc.</v>
          </cell>
          <cell r="F46" t="str">
            <v>MOOE</v>
          </cell>
          <cell r="G46" t="str">
            <v>RO</v>
          </cell>
          <cell r="I46" t="str">
            <v>R</v>
          </cell>
          <cell r="J46" t="str">
            <v>MOOE</v>
          </cell>
          <cell r="M46" t="str">
            <v>Payment for radio subscription for the month of October to December 2020</v>
          </cell>
          <cell r="X46" t="str">
            <v>0032</v>
          </cell>
          <cell r="Z46">
            <v>28500</v>
          </cell>
        </row>
        <row r="47">
          <cell r="B47" t="str">
            <v>0033</v>
          </cell>
          <cell r="C47" t="str">
            <v>12</v>
          </cell>
          <cell r="D47" t="str">
            <v>1849</v>
          </cell>
          <cell r="E47" t="str">
            <v>JMN Multimedia Sales and Services</v>
          </cell>
          <cell r="F47" t="str">
            <v>MOOE</v>
          </cell>
          <cell r="G47" t="str">
            <v>RO</v>
          </cell>
          <cell r="I47" t="str">
            <v>R</v>
          </cell>
          <cell r="K47" t="str">
            <v>LSP NSB</v>
          </cell>
          <cell r="M47" t="str">
            <v>Payment for IT Supplies for ORD use.</v>
          </cell>
          <cell r="X47" t="str">
            <v>0033</v>
          </cell>
          <cell r="Z47">
            <v>3710</v>
          </cell>
        </row>
        <row r="48">
          <cell r="B48" t="str">
            <v>0034</v>
          </cell>
          <cell r="C48" t="str">
            <v>01</v>
          </cell>
          <cell r="E48" t="str">
            <v>Ramil J. Leongas</v>
          </cell>
          <cell r="F48" t="str">
            <v>PS</v>
          </cell>
          <cell r="G48" t="str">
            <v>RO</v>
          </cell>
          <cell r="I48" t="str">
            <v>R</v>
          </cell>
          <cell r="J48" t="str">
            <v>PS</v>
          </cell>
          <cell r="M48" t="str">
            <v>Full payment of Terminal Leave Benefits of Mr. Ramil J. Leongas</v>
          </cell>
          <cell r="X48" t="str">
            <v>0034</v>
          </cell>
          <cell r="Z48">
            <v>520698.79</v>
          </cell>
        </row>
        <row r="49">
          <cell r="B49" t="str">
            <v>0035</v>
          </cell>
          <cell r="C49" t="str">
            <v>12</v>
          </cell>
          <cell r="D49" t="str">
            <v>1940</v>
          </cell>
          <cell r="E49" t="str">
            <v>Hi-5 Signages Fabricator</v>
          </cell>
          <cell r="F49" t="str">
            <v>MOOE</v>
          </cell>
          <cell r="G49" t="str">
            <v>RO</v>
          </cell>
          <cell r="I49" t="str">
            <v>R</v>
          </cell>
          <cell r="J49" t="str">
            <v>MOOE</v>
          </cell>
          <cell r="K49" t="str">
            <v>LSP NSB</v>
          </cell>
          <cell r="M49" t="str">
            <v>Payment for the tarpaulins during the conduct of Cooperative Month, 18-day campaign to end VAW and International Day of PWD's</v>
          </cell>
          <cell r="X49" t="str">
            <v>0035</v>
          </cell>
          <cell r="Z49">
            <v>1406.25</v>
          </cell>
        </row>
        <row r="50">
          <cell r="B50" t="str">
            <v>0036</v>
          </cell>
          <cell r="C50" t="str">
            <v>12</v>
          </cell>
          <cell r="D50" t="str">
            <v>1790</v>
          </cell>
          <cell r="E50" t="str">
            <v>Mahaneh Garments</v>
          </cell>
          <cell r="F50" t="str">
            <v>MOOE</v>
          </cell>
          <cell r="G50" t="str">
            <v>RO</v>
          </cell>
          <cell r="I50" t="str">
            <v>R</v>
          </cell>
          <cell r="J50" t="str">
            <v>LF</v>
          </cell>
          <cell r="K50" t="str">
            <v>NC</v>
          </cell>
          <cell r="M50" t="str">
            <v>Payment for customized poloshirt during KMME Online sesssion batch 2 tokens for graduation</v>
          </cell>
          <cell r="X50" t="str">
            <v>0036</v>
          </cell>
          <cell r="Z50">
            <v>16875</v>
          </cell>
        </row>
        <row r="51">
          <cell r="B51" t="str">
            <v>0037</v>
          </cell>
          <cell r="C51" t="str">
            <v>12</v>
          </cell>
          <cell r="D51" t="str">
            <v>1980</v>
          </cell>
          <cell r="E51" t="str">
            <v>True Brew Gourmet Coffee Shop</v>
          </cell>
          <cell r="F51" t="str">
            <v>MOOE</v>
          </cell>
          <cell r="G51" t="str">
            <v>RO</v>
          </cell>
          <cell r="I51" t="str">
            <v>R</v>
          </cell>
          <cell r="J51" t="str">
            <v>SAA</v>
          </cell>
          <cell r="K51" t="str">
            <v>LSP NSB</v>
          </cell>
          <cell r="M51" t="str">
            <v>Payment of meals during LSP-NSB and PPG Year end assessment on December 22, 2020</v>
          </cell>
          <cell r="X51" t="str">
            <v>0037</v>
          </cell>
          <cell r="Z51">
            <v>7500</v>
          </cell>
        </row>
        <row r="52">
          <cell r="B52" t="str">
            <v>0038</v>
          </cell>
          <cell r="C52" t="str">
            <v>12</v>
          </cell>
          <cell r="D52" t="str">
            <v>1960</v>
          </cell>
          <cell r="E52" t="str">
            <v>True Brew Gourmet Coffee Shop</v>
          </cell>
          <cell r="F52" t="str">
            <v>MOOE</v>
          </cell>
          <cell r="G52" t="str">
            <v>RO</v>
          </cell>
          <cell r="I52" t="str">
            <v>R</v>
          </cell>
          <cell r="J52" t="str">
            <v>MOOE</v>
          </cell>
          <cell r="M52" t="str">
            <v>Payment of meals during NC Year end Assessment and planning on December 9, 2020</v>
          </cell>
          <cell r="X52" t="str">
            <v>0038</v>
          </cell>
          <cell r="Z52">
            <v>4500</v>
          </cell>
        </row>
        <row r="53">
          <cell r="B53" t="str">
            <v>0039</v>
          </cell>
          <cell r="C53" t="str">
            <v>12</v>
          </cell>
          <cell r="D53" t="str">
            <v>1894</v>
          </cell>
          <cell r="E53" t="str">
            <v>Efren Sotto</v>
          </cell>
          <cell r="F53" t="str">
            <v>MOOE</v>
          </cell>
          <cell r="G53" t="str">
            <v>RO</v>
          </cell>
          <cell r="I53" t="str">
            <v>R</v>
          </cell>
          <cell r="J53" t="str">
            <v>MOOE</v>
          </cell>
          <cell r="K53" t="str">
            <v>NC</v>
          </cell>
          <cell r="M53" t="str">
            <v>Payment of Honorariumj of panelist during BIP Presentation on September 21-23, 2020(KMME Online Session Batch 1</v>
          </cell>
          <cell r="X53" t="str">
            <v>0039</v>
          </cell>
          <cell r="Z53">
            <v>950</v>
          </cell>
        </row>
        <row r="54">
          <cell r="B54" t="str">
            <v>0039</v>
          </cell>
          <cell r="C54" t="str">
            <v>12</v>
          </cell>
          <cell r="D54" t="str">
            <v>1894</v>
          </cell>
          <cell r="E54" t="str">
            <v>Efren Sotto</v>
          </cell>
          <cell r="F54" t="str">
            <v>MOOE</v>
          </cell>
          <cell r="G54" t="str">
            <v>RO</v>
          </cell>
          <cell r="I54" t="str">
            <v>R</v>
          </cell>
          <cell r="J54" t="str">
            <v>MOOE</v>
          </cell>
          <cell r="K54" t="str">
            <v>NC</v>
          </cell>
          <cell r="M54" t="str">
            <v>Payment of Honorariumj of panelist during BIP Presentation on September 21-23, 2020(KMME Online Session Batch 1</v>
          </cell>
          <cell r="X54" t="str">
            <v>0039</v>
          </cell>
          <cell r="Z54">
            <v>-950</v>
          </cell>
        </row>
        <row r="55">
          <cell r="B55" t="str">
            <v>0040</v>
          </cell>
          <cell r="C55" t="str">
            <v>12</v>
          </cell>
          <cell r="D55" t="str">
            <v>1896</v>
          </cell>
          <cell r="E55" t="str">
            <v>Angelito Cagulada</v>
          </cell>
          <cell r="F55" t="str">
            <v>MOOE</v>
          </cell>
          <cell r="G55" t="str">
            <v>RO</v>
          </cell>
          <cell r="I55" t="str">
            <v>R</v>
          </cell>
          <cell r="J55" t="str">
            <v>MOOE</v>
          </cell>
          <cell r="K55" t="str">
            <v>NC</v>
          </cell>
          <cell r="M55" t="str">
            <v>Payment of Honorarium of panelist during BIP Presentation on September 21-23, 2020(KMME Online Session Batch 1</v>
          </cell>
          <cell r="X55" t="str">
            <v>0040</v>
          </cell>
          <cell r="Z55">
            <v>1900</v>
          </cell>
        </row>
        <row r="56">
          <cell r="B56" t="str">
            <v>0040</v>
          </cell>
          <cell r="C56" t="str">
            <v>12</v>
          </cell>
          <cell r="D56" t="str">
            <v>1896</v>
          </cell>
          <cell r="E56" t="str">
            <v>Angelito Cagulada</v>
          </cell>
          <cell r="F56" t="str">
            <v>MOOE</v>
          </cell>
          <cell r="G56" t="str">
            <v>RO</v>
          </cell>
          <cell r="I56" t="str">
            <v>R</v>
          </cell>
          <cell r="J56" t="str">
            <v>MOOE</v>
          </cell>
          <cell r="K56" t="str">
            <v>NC</v>
          </cell>
          <cell r="M56" t="str">
            <v>Payment of Honorarium of panelist during BIP Presentation on September 21-23, 2020(KMME Online Session Batch 1</v>
          </cell>
          <cell r="X56" t="str">
            <v>0040</v>
          </cell>
          <cell r="Z56">
            <v>-1900</v>
          </cell>
        </row>
        <row r="57">
          <cell r="B57" t="str">
            <v>0041</v>
          </cell>
          <cell r="C57" t="str">
            <v>12</v>
          </cell>
          <cell r="D57" t="str">
            <v>1897</v>
          </cell>
          <cell r="E57" t="str">
            <v>Maximo R. Yap</v>
          </cell>
          <cell r="F57" t="str">
            <v>MOOE</v>
          </cell>
          <cell r="G57" t="str">
            <v>RO</v>
          </cell>
          <cell r="I57" t="str">
            <v>R</v>
          </cell>
          <cell r="J57" t="str">
            <v>MOOE</v>
          </cell>
          <cell r="K57" t="str">
            <v>NC</v>
          </cell>
          <cell r="M57" t="str">
            <v>Payment of Honorarium of panelist during BIP Presentation on September 21-23, 2020(KMME Online Session Batch 1</v>
          </cell>
          <cell r="X57" t="str">
            <v>0041</v>
          </cell>
          <cell r="Z57">
            <v>950</v>
          </cell>
        </row>
        <row r="58">
          <cell r="B58" t="str">
            <v>0041</v>
          </cell>
          <cell r="C58" t="str">
            <v>12</v>
          </cell>
          <cell r="D58" t="str">
            <v>1897</v>
          </cell>
          <cell r="E58" t="str">
            <v>Maximo R. Yap</v>
          </cell>
          <cell r="F58" t="str">
            <v>MOOE</v>
          </cell>
          <cell r="G58" t="str">
            <v>RO</v>
          </cell>
          <cell r="I58" t="str">
            <v>R</v>
          </cell>
          <cell r="J58" t="str">
            <v>MOOE</v>
          </cell>
          <cell r="K58" t="str">
            <v>NC</v>
          </cell>
          <cell r="M58" t="str">
            <v>Payment of Honorarium of panelist during BIP Presentation on September 21-23, 2020(KMME Online Session Batch 1</v>
          </cell>
          <cell r="X58" t="str">
            <v>0041</v>
          </cell>
          <cell r="Z58">
            <v>-950</v>
          </cell>
        </row>
        <row r="59">
          <cell r="B59" t="str">
            <v>0042</v>
          </cell>
          <cell r="C59" t="str">
            <v>12</v>
          </cell>
          <cell r="D59" t="str">
            <v>1898</v>
          </cell>
          <cell r="E59" t="str">
            <v>Kamile Angelie  Mabano</v>
          </cell>
          <cell r="F59" t="str">
            <v>MOOE</v>
          </cell>
          <cell r="G59" t="str">
            <v>RO</v>
          </cell>
          <cell r="I59" t="str">
            <v>R</v>
          </cell>
          <cell r="J59" t="str">
            <v>MOOE</v>
          </cell>
          <cell r="K59" t="str">
            <v>NC</v>
          </cell>
          <cell r="M59" t="str">
            <v>Payment of Honorarium of panelist during BIP Presentation on September 21-23, 2020(KMME Online Session Batch 1</v>
          </cell>
          <cell r="X59" t="str">
            <v>0042</v>
          </cell>
          <cell r="Z59">
            <v>950</v>
          </cell>
        </row>
        <row r="60">
          <cell r="B60" t="str">
            <v>0042</v>
          </cell>
          <cell r="C60" t="str">
            <v>12</v>
          </cell>
          <cell r="D60" t="str">
            <v>1898</v>
          </cell>
          <cell r="E60" t="str">
            <v>Kamile Angelie  Mabano</v>
          </cell>
          <cell r="F60" t="str">
            <v>MOOE</v>
          </cell>
          <cell r="G60" t="str">
            <v>RO</v>
          </cell>
          <cell r="I60" t="str">
            <v>R</v>
          </cell>
          <cell r="J60" t="str">
            <v>MOOE</v>
          </cell>
          <cell r="K60" t="str">
            <v>NC</v>
          </cell>
          <cell r="M60" t="str">
            <v>Payment of Honorarium of panelist during BIP Presentation on September 21-23, 2020(KMME Online Session Batch 1</v>
          </cell>
          <cell r="X60" t="str">
            <v>0042</v>
          </cell>
          <cell r="Z60">
            <v>-950</v>
          </cell>
        </row>
        <row r="61">
          <cell r="B61" t="str">
            <v>0043</v>
          </cell>
          <cell r="C61" t="str">
            <v>12</v>
          </cell>
          <cell r="D61" t="str">
            <v>1901</v>
          </cell>
          <cell r="E61" t="str">
            <v>Renato Gatchalian</v>
          </cell>
          <cell r="F61" t="str">
            <v>MOOE</v>
          </cell>
          <cell r="G61" t="str">
            <v>RO</v>
          </cell>
          <cell r="I61" t="str">
            <v>R</v>
          </cell>
          <cell r="J61" t="str">
            <v>MOOE</v>
          </cell>
          <cell r="K61" t="str">
            <v>NC</v>
          </cell>
          <cell r="M61" t="str">
            <v>Payment of Honorarium of panelist during BIP Presentation on September 21-23, 2020(KMME Online Session Batch 1</v>
          </cell>
          <cell r="X61" t="str">
            <v>0043</v>
          </cell>
          <cell r="Z61">
            <v>950</v>
          </cell>
        </row>
        <row r="62">
          <cell r="B62" t="str">
            <v>0043</v>
          </cell>
          <cell r="C62" t="str">
            <v>12</v>
          </cell>
          <cell r="D62" t="str">
            <v>1901</v>
          </cell>
          <cell r="E62" t="str">
            <v>Renato Gatchalian</v>
          </cell>
          <cell r="F62" t="str">
            <v>MOOE</v>
          </cell>
          <cell r="G62" t="str">
            <v>RO</v>
          </cell>
          <cell r="I62" t="str">
            <v>R</v>
          </cell>
          <cell r="J62" t="str">
            <v>MOOE</v>
          </cell>
          <cell r="K62" t="str">
            <v>NC</v>
          </cell>
          <cell r="M62" t="str">
            <v>Payment of Honorarium of panelist during BIP Presentation on September 21-23, 2020(KMME Online Session Batch 1</v>
          </cell>
          <cell r="X62" t="str">
            <v>0043</v>
          </cell>
          <cell r="Z62">
            <v>-950</v>
          </cell>
        </row>
        <row r="63">
          <cell r="B63" t="str">
            <v>0044</v>
          </cell>
          <cell r="C63" t="str">
            <v>12</v>
          </cell>
          <cell r="D63" t="str">
            <v>1900</v>
          </cell>
          <cell r="E63" t="str">
            <v>Cherille Ann Marie Mulawan</v>
          </cell>
          <cell r="F63" t="str">
            <v>MOOE</v>
          </cell>
          <cell r="G63" t="str">
            <v>RO</v>
          </cell>
          <cell r="I63" t="str">
            <v>R</v>
          </cell>
          <cell r="J63" t="str">
            <v>MOOE</v>
          </cell>
          <cell r="K63" t="str">
            <v>NC</v>
          </cell>
          <cell r="M63" t="str">
            <v>Payment of Honorarium of panelist during BIP Presentation on September 21-23, 2020(KMME Online Session Batch 1</v>
          </cell>
          <cell r="X63" t="str">
            <v>0044</v>
          </cell>
          <cell r="Z63">
            <v>2850</v>
          </cell>
        </row>
        <row r="64">
          <cell r="B64" t="str">
            <v>0044</v>
          </cell>
          <cell r="C64" t="str">
            <v>12</v>
          </cell>
          <cell r="D64" t="str">
            <v>1900</v>
          </cell>
          <cell r="E64" t="str">
            <v>Cherille Ann Marie Mulawan</v>
          </cell>
          <cell r="F64" t="str">
            <v>MOOE</v>
          </cell>
          <cell r="G64" t="str">
            <v>RO</v>
          </cell>
          <cell r="I64" t="str">
            <v>R</v>
          </cell>
          <cell r="J64" t="str">
            <v>MOOE</v>
          </cell>
          <cell r="K64" t="str">
            <v>NC</v>
          </cell>
          <cell r="M64" t="str">
            <v>Payment of Honorarium of panelist during BIP Presentation on September 21-23, 2020(KMME Online Session Batch 1</v>
          </cell>
          <cell r="X64" t="str">
            <v>0044</v>
          </cell>
          <cell r="Z64">
            <v>-2850</v>
          </cell>
        </row>
        <row r="65">
          <cell r="B65" t="str">
            <v>0045</v>
          </cell>
          <cell r="C65" t="str">
            <v>12</v>
          </cell>
          <cell r="D65" t="str">
            <v>1899</v>
          </cell>
          <cell r="E65" t="str">
            <v>Vonne Vincent Gador</v>
          </cell>
          <cell r="F65" t="str">
            <v>MOOE</v>
          </cell>
          <cell r="G65" t="str">
            <v>RO</v>
          </cell>
          <cell r="I65" t="str">
            <v>R</v>
          </cell>
          <cell r="J65" t="str">
            <v>MOOE</v>
          </cell>
          <cell r="K65" t="str">
            <v>NC</v>
          </cell>
          <cell r="M65" t="str">
            <v>Payment of Honorarium of panelist during BIP Presentation on September 21-23, 2020(KMME Online Session Batch 1</v>
          </cell>
          <cell r="X65" t="str">
            <v>0045</v>
          </cell>
          <cell r="Z65">
            <v>2850</v>
          </cell>
        </row>
        <row r="66">
          <cell r="B66" t="str">
            <v>0045</v>
          </cell>
          <cell r="C66" t="str">
            <v>12</v>
          </cell>
          <cell r="D66" t="str">
            <v>1899</v>
          </cell>
          <cell r="E66" t="str">
            <v>Vonne Vincent Gador</v>
          </cell>
          <cell r="F66" t="str">
            <v>MOOE</v>
          </cell>
          <cell r="G66" t="str">
            <v>RO</v>
          </cell>
          <cell r="I66" t="str">
            <v>R</v>
          </cell>
          <cell r="J66" t="str">
            <v>MOOE</v>
          </cell>
          <cell r="K66" t="str">
            <v>NC</v>
          </cell>
          <cell r="M66" t="str">
            <v>Payment of Honorarium of panelist during BIP Presentation on September 21-23, 2020(KMME Online Session Batch 1</v>
          </cell>
          <cell r="X66" t="str">
            <v>0045</v>
          </cell>
          <cell r="Z66">
            <v>-2850</v>
          </cell>
        </row>
        <row r="67">
          <cell r="B67" t="str">
            <v>0046</v>
          </cell>
          <cell r="C67" t="str">
            <v>12</v>
          </cell>
          <cell r="D67" t="str">
            <v>1907</v>
          </cell>
          <cell r="E67" t="str">
            <v>Gesila Laput</v>
          </cell>
          <cell r="F67" t="str">
            <v>MOOE</v>
          </cell>
          <cell r="G67" t="str">
            <v>RO</v>
          </cell>
          <cell r="I67" t="str">
            <v>R</v>
          </cell>
          <cell r="J67" t="str">
            <v>MOOE</v>
          </cell>
          <cell r="K67" t="str">
            <v>NC</v>
          </cell>
          <cell r="M67" t="str">
            <v>Payment of Honorarium of panelist during BIP Presentation on September 21-23, 2020(KMME Online Session Batch 1</v>
          </cell>
          <cell r="X67" t="str">
            <v>0046</v>
          </cell>
          <cell r="Z67">
            <v>1900</v>
          </cell>
        </row>
        <row r="68">
          <cell r="B68" t="str">
            <v>0046</v>
          </cell>
          <cell r="C68" t="str">
            <v>12</v>
          </cell>
          <cell r="D68" t="str">
            <v>1907</v>
          </cell>
          <cell r="E68" t="str">
            <v>Gesila Laput</v>
          </cell>
          <cell r="F68" t="str">
            <v>MOOE</v>
          </cell>
          <cell r="G68" t="str">
            <v>RO</v>
          </cell>
          <cell r="I68" t="str">
            <v>R</v>
          </cell>
          <cell r="J68" t="str">
            <v>MOOE</v>
          </cell>
          <cell r="K68" t="str">
            <v>NC</v>
          </cell>
          <cell r="M68" t="str">
            <v>Payment of Honorarium of panelist during BIP Presentation on September 21-23, 2020(KMME Online Session Batch 1</v>
          </cell>
          <cell r="X68" t="str">
            <v>0046</v>
          </cell>
          <cell r="Z68">
            <v>-1900</v>
          </cell>
        </row>
        <row r="69">
          <cell r="B69" t="str">
            <v>0047</v>
          </cell>
          <cell r="C69" t="str">
            <v>12</v>
          </cell>
          <cell r="D69" t="str">
            <v>1987</v>
          </cell>
          <cell r="E69" t="str">
            <v>April Dabalos</v>
          </cell>
          <cell r="F69" t="str">
            <v>MOOE</v>
          </cell>
          <cell r="G69" t="str">
            <v>RO</v>
          </cell>
          <cell r="I69" t="str">
            <v>R</v>
          </cell>
          <cell r="J69" t="str">
            <v>MOOE</v>
          </cell>
          <cell r="K69" t="str">
            <v>NC</v>
          </cell>
          <cell r="M69" t="str">
            <v>Payment of coaching session during KMME Online session batch 2(mentees: Ladlad, Galinato, Ranoa) on November 16-27, 2020</v>
          </cell>
          <cell r="X69" t="str">
            <v>0047</v>
          </cell>
          <cell r="Z69">
            <v>9500</v>
          </cell>
        </row>
        <row r="70">
          <cell r="B70" t="str">
            <v>0047</v>
          </cell>
          <cell r="C70" t="str">
            <v>12</v>
          </cell>
          <cell r="D70" t="str">
            <v>1987</v>
          </cell>
          <cell r="E70" t="str">
            <v>April Dabalos</v>
          </cell>
          <cell r="F70" t="str">
            <v>MOOE</v>
          </cell>
          <cell r="G70" t="str">
            <v>RO</v>
          </cell>
          <cell r="I70" t="str">
            <v>R</v>
          </cell>
          <cell r="J70" t="str">
            <v>MOOE</v>
          </cell>
          <cell r="K70" t="str">
            <v>NC</v>
          </cell>
          <cell r="M70" t="str">
            <v>Payment of coaching session during KMME Online session batch 2(mentees: Ladlad, Galinato, Ranoa) on November 16-27, 2020</v>
          </cell>
          <cell r="X70" t="str">
            <v>0047</v>
          </cell>
          <cell r="Z70">
            <v>-9500</v>
          </cell>
        </row>
        <row r="71">
          <cell r="B71" t="str">
            <v>0048</v>
          </cell>
          <cell r="C71" t="str">
            <v>01</v>
          </cell>
          <cell r="D71" t="str">
            <v>015</v>
          </cell>
          <cell r="E71" t="str">
            <v>JWL Sourcing Group, Inc</v>
          </cell>
          <cell r="F71" t="str">
            <v>MOOE</v>
          </cell>
          <cell r="G71" t="str">
            <v>RO</v>
          </cell>
          <cell r="I71" t="str">
            <v>R</v>
          </cell>
          <cell r="J71" t="str">
            <v>MOOE</v>
          </cell>
          <cell r="M71" t="str">
            <v>Fuel comsumption for the period December 1-31, 2020</v>
          </cell>
          <cell r="X71" t="str">
            <v>0048</v>
          </cell>
          <cell r="Z71">
            <v>21342.43</v>
          </cell>
        </row>
        <row r="72">
          <cell r="B72" t="str">
            <v>0049</v>
          </cell>
          <cell r="C72" t="str">
            <v>01</v>
          </cell>
          <cell r="D72" t="str">
            <v>017</v>
          </cell>
          <cell r="E72" t="str">
            <v>OIC, DTI-ADS</v>
          </cell>
          <cell r="F72" t="str">
            <v>MOOE</v>
          </cell>
          <cell r="G72" t="str">
            <v>ADS</v>
          </cell>
          <cell r="I72" t="str">
            <v>R</v>
          </cell>
          <cell r="J72" t="str">
            <v>MOOE</v>
          </cell>
          <cell r="M72" t="str">
            <v>Advances for the conduct of FAD Functional Team Meeting on January 25, 2021</v>
          </cell>
          <cell r="X72" t="str">
            <v>0049</v>
          </cell>
          <cell r="Z72">
            <v>7800</v>
          </cell>
        </row>
        <row r="73">
          <cell r="B73" t="str">
            <v>0050</v>
          </cell>
          <cell r="C73" t="str">
            <v>01</v>
          </cell>
          <cell r="D73" t="str">
            <v>018</v>
          </cell>
          <cell r="E73" t="str">
            <v>OIC, DTI-SDN</v>
          </cell>
          <cell r="F73" t="str">
            <v>MOOE</v>
          </cell>
          <cell r="G73" t="str">
            <v>SDN</v>
          </cell>
          <cell r="I73" t="str">
            <v>R</v>
          </cell>
          <cell r="J73" t="str">
            <v>MOOE</v>
          </cell>
          <cell r="M73" t="str">
            <v>Advances for the conduct of FAD Functional Team Meeting on January 25, 2021</v>
          </cell>
          <cell r="X73" t="str">
            <v>0050</v>
          </cell>
          <cell r="Z73">
            <v>7800</v>
          </cell>
        </row>
        <row r="74">
          <cell r="B74" t="str">
            <v>0051</v>
          </cell>
          <cell r="C74" t="str">
            <v>01</v>
          </cell>
          <cell r="D74" t="str">
            <v>019</v>
          </cell>
          <cell r="E74" t="str">
            <v>OIC, DTI-SDS</v>
          </cell>
          <cell r="F74" t="str">
            <v>MOOE</v>
          </cell>
          <cell r="G74" t="str">
            <v>SDS</v>
          </cell>
          <cell r="I74" t="str">
            <v>R</v>
          </cell>
          <cell r="J74" t="str">
            <v>MOOE</v>
          </cell>
          <cell r="M74" t="str">
            <v>Advances for the conduct of FAD Functional Team Meeting on January 25, 2021</v>
          </cell>
          <cell r="X74" t="str">
            <v>0051</v>
          </cell>
          <cell r="Z74">
            <v>7800</v>
          </cell>
        </row>
        <row r="75">
          <cell r="B75" t="str">
            <v>0052</v>
          </cell>
          <cell r="C75" t="str">
            <v>01</v>
          </cell>
          <cell r="D75" t="str">
            <v>020</v>
          </cell>
          <cell r="E75" t="str">
            <v>PD,DTI-PDI</v>
          </cell>
          <cell r="F75" t="str">
            <v>MOOE</v>
          </cell>
          <cell r="G75" t="str">
            <v>PDI</v>
          </cell>
          <cell r="I75" t="str">
            <v>R</v>
          </cell>
          <cell r="J75" t="str">
            <v>MOOE</v>
          </cell>
          <cell r="M75" t="str">
            <v>Advances for the conduct of FAD Functional Team Meeting on January 25, 2021</v>
          </cell>
          <cell r="X75" t="str">
            <v>0052</v>
          </cell>
          <cell r="Z75">
            <v>7800</v>
          </cell>
        </row>
        <row r="76">
          <cell r="B76" t="str">
            <v>0053</v>
          </cell>
          <cell r="C76" t="str">
            <v>01</v>
          </cell>
          <cell r="D76" t="str">
            <v>016</v>
          </cell>
          <cell r="E76" t="str">
            <v>PD,DTI-AND</v>
          </cell>
          <cell r="F76" t="str">
            <v>MOOE</v>
          </cell>
          <cell r="G76" t="str">
            <v>AD N</v>
          </cell>
          <cell r="I76" t="str">
            <v>R</v>
          </cell>
          <cell r="J76" t="str">
            <v>MOOE</v>
          </cell>
          <cell r="M76" t="str">
            <v>Advances for the conduct of FAD Functional Team Meeting on January 25, 2021</v>
          </cell>
          <cell r="X76" t="str">
            <v>0053</v>
          </cell>
          <cell r="Z76">
            <v>7800</v>
          </cell>
        </row>
        <row r="77">
          <cell r="B77" t="str">
            <v>0054</v>
          </cell>
          <cell r="C77" t="str">
            <v>01</v>
          </cell>
          <cell r="E77" t="str">
            <v>LBP F/O DTI-RO</v>
          </cell>
          <cell r="F77" t="str">
            <v>PS</v>
          </cell>
          <cell r="G77" t="str">
            <v>RO</v>
          </cell>
          <cell r="I77" t="str">
            <v>R</v>
          </cell>
          <cell r="J77" t="str">
            <v>PS</v>
          </cell>
          <cell r="M77" t="str">
            <v>Payment for the salaries and allowances of regular employees for the period of January 16-31, 2021</v>
          </cell>
          <cell r="X77" t="str">
            <v>0054</v>
          </cell>
          <cell r="Z77">
            <v>331488.05</v>
          </cell>
        </row>
        <row r="78">
          <cell r="B78" t="str">
            <v>0055</v>
          </cell>
          <cell r="C78" t="str">
            <v>01</v>
          </cell>
          <cell r="E78" t="str">
            <v>LBP F/O DTI-ADS</v>
          </cell>
          <cell r="F78" t="str">
            <v>PS</v>
          </cell>
          <cell r="G78" t="str">
            <v>ADS</v>
          </cell>
          <cell r="I78" t="str">
            <v>R</v>
          </cell>
          <cell r="J78" t="str">
            <v>PS</v>
          </cell>
          <cell r="M78" t="str">
            <v>Payment for the salaries and allowances of regular employees for the period of January 16-31, 2021</v>
          </cell>
          <cell r="X78" t="str">
            <v>0055</v>
          </cell>
          <cell r="Z78">
            <v>104743.46</v>
          </cell>
        </row>
        <row r="79">
          <cell r="B79" t="str">
            <v>0056</v>
          </cell>
          <cell r="C79" t="str">
            <v>01</v>
          </cell>
          <cell r="E79" t="str">
            <v>LBP F/O DTI-SDN</v>
          </cell>
          <cell r="F79" t="str">
            <v>PS</v>
          </cell>
          <cell r="G79" t="str">
            <v>SDN</v>
          </cell>
          <cell r="I79" t="str">
            <v>R</v>
          </cell>
          <cell r="J79" t="str">
            <v>PS</v>
          </cell>
          <cell r="M79" t="str">
            <v>Payment for the salaries and allowances of regular employees for the period of January 16-31, 2021</v>
          </cell>
          <cell r="X79" t="str">
            <v>0056</v>
          </cell>
          <cell r="Z79">
            <v>76343.490000000005</v>
          </cell>
        </row>
        <row r="80">
          <cell r="B80" t="str">
            <v>0057</v>
          </cell>
          <cell r="C80" t="str">
            <v>01</v>
          </cell>
          <cell r="E80" t="str">
            <v>LBP F/O DTI-SDS</v>
          </cell>
          <cell r="F80" t="str">
            <v>PS</v>
          </cell>
          <cell r="G80" t="str">
            <v>SDS</v>
          </cell>
          <cell r="I80" t="str">
            <v>R</v>
          </cell>
          <cell r="J80" t="str">
            <v>PS</v>
          </cell>
          <cell r="M80" t="str">
            <v>Payment for the salaries and allowances of regular employees for the period of January 16-31, 2021</v>
          </cell>
          <cell r="X80" t="str">
            <v>0057</v>
          </cell>
          <cell r="Z80">
            <v>138575.47</v>
          </cell>
        </row>
        <row r="81">
          <cell r="B81" t="str">
            <v>0058</v>
          </cell>
          <cell r="C81" t="str">
            <v>01</v>
          </cell>
          <cell r="E81" t="str">
            <v>LBP F/O DTI-PDI</v>
          </cell>
          <cell r="F81" t="str">
            <v>PS</v>
          </cell>
          <cell r="G81" t="str">
            <v>PDI</v>
          </cell>
          <cell r="I81" t="str">
            <v>R</v>
          </cell>
          <cell r="J81" t="str">
            <v>PS</v>
          </cell>
          <cell r="M81" t="str">
            <v>Payment for the salaries and allowances of regular employees for the period of January 16-31, 2021</v>
          </cell>
          <cell r="X81" t="str">
            <v>0058</v>
          </cell>
          <cell r="Z81">
            <v>81815.55</v>
          </cell>
        </row>
        <row r="82">
          <cell r="B82" t="str">
            <v>0059</v>
          </cell>
          <cell r="C82" t="str">
            <v>01</v>
          </cell>
          <cell r="E82" t="str">
            <v>LBP F/O DTI-AD N</v>
          </cell>
          <cell r="F82" t="str">
            <v>PS</v>
          </cell>
          <cell r="G82" t="str">
            <v>AD N</v>
          </cell>
          <cell r="I82" t="str">
            <v>R</v>
          </cell>
          <cell r="J82" t="str">
            <v>PS</v>
          </cell>
          <cell r="M82" t="str">
            <v>Payment for the salaries and allowances of regular employees for the period of January 16-31, 2021</v>
          </cell>
          <cell r="X82" t="str">
            <v>0059</v>
          </cell>
          <cell r="Z82">
            <v>82918.22</v>
          </cell>
        </row>
        <row r="83">
          <cell r="B83" t="str">
            <v>0060</v>
          </cell>
          <cell r="C83" t="str">
            <v>01</v>
          </cell>
          <cell r="D83" t="str">
            <v>014</v>
          </cell>
          <cell r="E83" t="str">
            <v>Arleen P. Pahamtang</v>
          </cell>
          <cell r="F83" t="str">
            <v>MOOE</v>
          </cell>
          <cell r="G83" t="str">
            <v>RO</v>
          </cell>
          <cell r="I83" t="str">
            <v>R</v>
          </cell>
          <cell r="J83" t="str">
            <v>MOOE</v>
          </cell>
          <cell r="M83" t="str">
            <v>Petty cash Fund Replenishment (2021-01-001, Jan 18-20, 2021</v>
          </cell>
          <cell r="X83" t="str">
            <v>0060</v>
          </cell>
          <cell r="Z83">
            <v>4313.25</v>
          </cell>
        </row>
        <row r="84">
          <cell r="B84" t="str">
            <v>0061</v>
          </cell>
          <cell r="C84" t="str">
            <v>12</v>
          </cell>
          <cell r="D84" t="str">
            <v>2052</v>
          </cell>
          <cell r="E84" t="str">
            <v>ANECO, Inc.</v>
          </cell>
          <cell r="F84" t="str">
            <v>MOOE</v>
          </cell>
          <cell r="G84" t="str">
            <v>RO</v>
          </cell>
          <cell r="I84" t="str">
            <v>R</v>
          </cell>
          <cell r="J84" t="str">
            <v>MOOE</v>
          </cell>
          <cell r="M84" t="str">
            <v>Payment for utilities expense- electricity for the period September 20- October 19, 2020</v>
          </cell>
          <cell r="X84" t="str">
            <v>0061</v>
          </cell>
          <cell r="Z84">
            <v>73005.710000000006</v>
          </cell>
        </row>
        <row r="85">
          <cell r="B85" t="str">
            <v>0062</v>
          </cell>
          <cell r="C85" t="str">
            <v>12</v>
          </cell>
          <cell r="D85" t="str">
            <v>1886</v>
          </cell>
          <cell r="E85" t="str">
            <v>True Brew Gourmet Coffee Shop</v>
          </cell>
          <cell r="F85" t="str">
            <v>MOOE</v>
          </cell>
          <cell r="G85" t="str">
            <v>RO</v>
          </cell>
          <cell r="I85" t="str">
            <v>R</v>
          </cell>
          <cell r="J85" t="str">
            <v>MOOE</v>
          </cell>
          <cell r="M85" t="str">
            <v>Payment for the lunch during the soft launching of OTOP PH Hub at SM City Butuan on November 13, 2020.</v>
          </cell>
          <cell r="X85" t="str">
            <v>0062</v>
          </cell>
          <cell r="Z85">
            <v>7500</v>
          </cell>
        </row>
        <row r="86">
          <cell r="B86" t="str">
            <v>0063</v>
          </cell>
          <cell r="C86" t="str">
            <v>01</v>
          </cell>
          <cell r="D86" t="str">
            <v>009</v>
          </cell>
          <cell r="E86" t="str">
            <v>D.O Plaza Holdings Corp.</v>
          </cell>
          <cell r="F86" t="str">
            <v>MOOE</v>
          </cell>
          <cell r="G86" t="str">
            <v>RO</v>
          </cell>
          <cell r="I86" t="str">
            <v>R</v>
          </cell>
          <cell r="J86" t="str">
            <v>MOOE</v>
          </cell>
          <cell r="M86" t="str">
            <v>Partial payment for office rental for the month of January 2021</v>
          </cell>
          <cell r="X86" t="str">
            <v>0063</v>
          </cell>
          <cell r="Z86">
            <v>145887.85999999999</v>
          </cell>
        </row>
        <row r="87">
          <cell r="B87" t="str">
            <v>0063</v>
          </cell>
          <cell r="C87" t="str">
            <v>01</v>
          </cell>
          <cell r="D87" t="str">
            <v>009</v>
          </cell>
          <cell r="E87" t="str">
            <v>D.O Plaza Holdings Corp.</v>
          </cell>
          <cell r="F87" t="str">
            <v>MOOE</v>
          </cell>
          <cell r="G87" t="str">
            <v>RO</v>
          </cell>
          <cell r="I87" t="str">
            <v>R</v>
          </cell>
          <cell r="J87" t="str">
            <v>MOOE</v>
          </cell>
          <cell r="M87" t="str">
            <v>Partial payment for office rental for the month of January 2021</v>
          </cell>
          <cell r="X87" t="str">
            <v>0063</v>
          </cell>
          <cell r="Z87">
            <v>-145887.85999999999</v>
          </cell>
        </row>
        <row r="88">
          <cell r="B88" t="str">
            <v>0064</v>
          </cell>
          <cell r="C88" t="str">
            <v>01</v>
          </cell>
          <cell r="D88" t="str">
            <v>009A</v>
          </cell>
          <cell r="E88" t="str">
            <v>D.O Plaza Holdings Corp.</v>
          </cell>
          <cell r="F88" t="str">
            <v>MOOE</v>
          </cell>
          <cell r="G88" t="str">
            <v>RO</v>
          </cell>
          <cell r="I88" t="str">
            <v>R</v>
          </cell>
          <cell r="J88" t="str">
            <v>MOOE</v>
          </cell>
          <cell r="M88" t="str">
            <v>Full payment for office rental for the month of January 2021</v>
          </cell>
          <cell r="X88" t="str">
            <v>0064</v>
          </cell>
          <cell r="Z88">
            <v>9390.77</v>
          </cell>
        </row>
        <row r="89">
          <cell r="B89" t="str">
            <v>0064</v>
          </cell>
          <cell r="C89" t="str">
            <v>01</v>
          </cell>
          <cell r="D89" t="str">
            <v>009A</v>
          </cell>
          <cell r="E89" t="str">
            <v>D.O Plaza Holdings Corp.</v>
          </cell>
          <cell r="F89" t="str">
            <v>MOOE</v>
          </cell>
          <cell r="G89" t="str">
            <v>RO</v>
          </cell>
          <cell r="I89" t="str">
            <v>R</v>
          </cell>
          <cell r="J89" t="str">
            <v>MOOE</v>
          </cell>
          <cell r="M89" t="str">
            <v>Full payment for office rental for the month of January 2021</v>
          </cell>
          <cell r="X89" t="str">
            <v>0064</v>
          </cell>
          <cell r="Z89">
            <v>-9390.77</v>
          </cell>
        </row>
        <row r="90">
          <cell r="B90" t="str">
            <v>0065</v>
          </cell>
          <cell r="C90" t="str">
            <v>12</v>
          </cell>
          <cell r="D90" t="str">
            <v>2053</v>
          </cell>
          <cell r="E90" t="str">
            <v>JRS Business Corporation</v>
          </cell>
          <cell r="F90" t="str">
            <v>MOOE</v>
          </cell>
          <cell r="G90" t="str">
            <v>RO</v>
          </cell>
          <cell r="I90" t="str">
            <v>R</v>
          </cell>
          <cell r="J90" t="str">
            <v>MOOE</v>
          </cell>
          <cell r="M90" t="str">
            <v>Payment for courier services for the month December 2020</v>
          </cell>
          <cell r="X90" t="str">
            <v>0065</v>
          </cell>
          <cell r="Z90">
            <v>9230.6299999999992</v>
          </cell>
        </row>
        <row r="91">
          <cell r="B91" t="str">
            <v>0066</v>
          </cell>
          <cell r="C91" t="str">
            <v>12</v>
          </cell>
          <cell r="D91" t="str">
            <v>2050</v>
          </cell>
          <cell r="E91" t="str">
            <v>Hi-5 Signages Fabricator</v>
          </cell>
          <cell r="F91" t="str">
            <v>MOOE</v>
          </cell>
          <cell r="G91" t="str">
            <v>RO</v>
          </cell>
          <cell r="I91" t="str">
            <v>R</v>
          </cell>
          <cell r="J91" t="str">
            <v>MOOE</v>
          </cell>
          <cell r="M91" t="str">
            <v>Payment for the plaque of recognition for Salamat Mabuhay Awardee</v>
          </cell>
          <cell r="X91" t="str">
            <v>0066</v>
          </cell>
          <cell r="Z91">
            <v>1125</v>
          </cell>
        </row>
        <row r="92">
          <cell r="B92" t="str">
            <v>0066</v>
          </cell>
          <cell r="C92" t="str">
            <v>12</v>
          </cell>
          <cell r="D92" t="str">
            <v>2050</v>
          </cell>
          <cell r="E92" t="str">
            <v>Hi-5 Signages Fabricator</v>
          </cell>
          <cell r="F92" t="str">
            <v>MOOE</v>
          </cell>
          <cell r="G92" t="str">
            <v>RO</v>
          </cell>
          <cell r="I92" t="str">
            <v>R</v>
          </cell>
          <cell r="J92" t="str">
            <v>MOOE</v>
          </cell>
          <cell r="M92" t="str">
            <v>Payment for the plaque of recognition for Salamat Mabuhay Awardee</v>
          </cell>
          <cell r="X92" t="str">
            <v>0066</v>
          </cell>
          <cell r="Z92">
            <v>-1125</v>
          </cell>
        </row>
        <row r="93">
          <cell r="B93" t="str">
            <v>0067</v>
          </cell>
          <cell r="C93" t="str">
            <v>12</v>
          </cell>
          <cell r="D93" t="str">
            <v>2049</v>
          </cell>
          <cell r="E93" t="str">
            <v>Busa Interbiz Center</v>
          </cell>
          <cell r="F93" t="str">
            <v>MOOE</v>
          </cell>
          <cell r="G93" t="str">
            <v>RO</v>
          </cell>
          <cell r="I93" t="str">
            <v>R</v>
          </cell>
          <cell r="J93" t="str">
            <v>MOOE</v>
          </cell>
          <cell r="M93" t="str">
            <v>Payment for subscription expense- Newspaper for the period December 2020</v>
          </cell>
          <cell r="X93" t="str">
            <v>0067</v>
          </cell>
          <cell r="Z93">
            <v>1218.24</v>
          </cell>
        </row>
        <row r="94">
          <cell r="B94" t="str">
            <v>0068</v>
          </cell>
          <cell r="C94" t="str">
            <v>01</v>
          </cell>
          <cell r="D94" t="str">
            <v>021</v>
          </cell>
          <cell r="E94" t="str">
            <v>LG Supplies and General Merchandise</v>
          </cell>
          <cell r="F94" t="str">
            <v>CO</v>
          </cell>
          <cell r="G94" t="str">
            <v>RO</v>
          </cell>
          <cell r="I94" t="str">
            <v>R</v>
          </cell>
          <cell r="J94" t="str">
            <v>LF</v>
          </cell>
          <cell r="K94" t="str">
            <v>SSF-CO</v>
          </cell>
          <cell r="M94" t="str">
            <v>Payment of Laptop (JPPA) for IDD office use.</v>
          </cell>
          <cell r="X94" t="str">
            <v>0068</v>
          </cell>
          <cell r="Z94">
            <v>57120</v>
          </cell>
        </row>
        <row r="95">
          <cell r="B95" t="str">
            <v>0069</v>
          </cell>
          <cell r="C95" t="str">
            <v>01</v>
          </cell>
          <cell r="D95" t="str">
            <v>022</v>
          </cell>
          <cell r="E95" t="str">
            <v>Maribel P. Timogan</v>
          </cell>
          <cell r="F95" t="str">
            <v>PS</v>
          </cell>
          <cell r="G95" t="str">
            <v>RO</v>
          </cell>
          <cell r="I95" t="str">
            <v>R</v>
          </cell>
          <cell r="J95" t="str">
            <v>PS</v>
          </cell>
          <cell r="M95" t="str">
            <v>Payment for initial salary as Admin Aide VI of DTI-RO for the period Jan 4-31, 2021</v>
          </cell>
          <cell r="X95" t="str">
            <v>0069</v>
          </cell>
          <cell r="Z95">
            <v>13940.25</v>
          </cell>
        </row>
        <row r="96">
          <cell r="B96" t="str">
            <v>0070</v>
          </cell>
          <cell r="C96" t="str">
            <v>12</v>
          </cell>
          <cell r="D96" t="str">
            <v>1885</v>
          </cell>
          <cell r="E96" t="str">
            <v>Visual Arts &amp; scenography</v>
          </cell>
          <cell r="F96" t="str">
            <v>MOOE</v>
          </cell>
          <cell r="G96" t="str">
            <v>RO</v>
          </cell>
          <cell r="I96" t="str">
            <v>R</v>
          </cell>
          <cell r="J96" t="str">
            <v>LF</v>
          </cell>
          <cell r="K96" t="str">
            <v>OTOP</v>
          </cell>
          <cell r="M96" t="str">
            <v>Payment for the tokens during the soft launching of OTOP PH Hub at SM City Butuan on November 13, 2020</v>
          </cell>
          <cell r="X96" t="str">
            <v>0070</v>
          </cell>
          <cell r="Z96">
            <v>17100</v>
          </cell>
        </row>
        <row r="97">
          <cell r="B97" t="str">
            <v>0070</v>
          </cell>
          <cell r="C97" t="str">
            <v>12</v>
          </cell>
          <cell r="D97" t="str">
            <v>1885</v>
          </cell>
          <cell r="E97" t="str">
            <v>Visual Arts &amp; scenography</v>
          </cell>
          <cell r="F97" t="str">
            <v>MOOE</v>
          </cell>
          <cell r="G97" t="str">
            <v>RO</v>
          </cell>
          <cell r="I97" t="str">
            <v>R</v>
          </cell>
          <cell r="J97" t="str">
            <v>LF</v>
          </cell>
          <cell r="K97" t="str">
            <v>OTOP</v>
          </cell>
          <cell r="M97" t="str">
            <v>Payment for the tokens during the soft launching of OTOP PH Hub at SM City Butuan on November 13, 2020</v>
          </cell>
          <cell r="X97" t="str">
            <v>0070</v>
          </cell>
          <cell r="Z97">
            <v>-17100</v>
          </cell>
        </row>
        <row r="98">
          <cell r="B98" t="str">
            <v>0071</v>
          </cell>
          <cell r="C98" t="str">
            <v>12</v>
          </cell>
          <cell r="D98" t="str">
            <v>1990</v>
          </cell>
          <cell r="E98" t="str">
            <v>Joseph Arnold de Guzman</v>
          </cell>
          <cell r="F98" t="str">
            <v>MOOE</v>
          </cell>
          <cell r="G98" t="str">
            <v>RO</v>
          </cell>
          <cell r="I98" t="str">
            <v>R</v>
          </cell>
          <cell r="J98" t="str">
            <v>PS</v>
          </cell>
          <cell r="K98" t="str">
            <v>NC</v>
          </cell>
          <cell r="M98" t="str">
            <v>Payment of coaching session during KMME Online session batch 2(mentees:Ragas, Magtibay, Nojara) on November 16-27, 2020</v>
          </cell>
          <cell r="X98" t="str">
            <v>0071</v>
          </cell>
          <cell r="Z98">
            <v>9500</v>
          </cell>
        </row>
        <row r="99">
          <cell r="B99" t="str">
            <v>0071</v>
          </cell>
          <cell r="C99" t="str">
            <v>12</v>
          </cell>
          <cell r="D99" t="str">
            <v>1990</v>
          </cell>
          <cell r="E99" t="str">
            <v>Joseph Arnold de Guzman</v>
          </cell>
          <cell r="F99" t="str">
            <v>MOOE</v>
          </cell>
          <cell r="G99" t="str">
            <v>RO</v>
          </cell>
          <cell r="I99" t="str">
            <v>R</v>
          </cell>
          <cell r="J99" t="str">
            <v>PS</v>
          </cell>
          <cell r="K99" t="str">
            <v>NC</v>
          </cell>
          <cell r="M99" t="str">
            <v>Payment of coaching session during KMME Online session batch 2(mentees:Ragas, Magtibay, Nojara) on November 16-27, 2020</v>
          </cell>
          <cell r="X99" t="str">
            <v>0071</v>
          </cell>
          <cell r="Z99">
            <v>-9500</v>
          </cell>
        </row>
        <row r="100">
          <cell r="B100" t="str">
            <v>0072</v>
          </cell>
          <cell r="C100" t="str">
            <v>12</v>
          </cell>
          <cell r="D100" t="str">
            <v>2047</v>
          </cell>
          <cell r="E100" t="str">
            <v>Compañero Commercial</v>
          </cell>
          <cell r="F100" t="str">
            <v>MOOE</v>
          </cell>
          <cell r="G100" t="str">
            <v>RO</v>
          </cell>
          <cell r="I100" t="str">
            <v>P</v>
          </cell>
          <cell r="J100" t="str">
            <v>SAA</v>
          </cell>
          <cell r="K100" t="str">
            <v>GMS, PBG</v>
          </cell>
          <cell r="M100" t="str">
            <v>Payment for 4th quarter 2020 office supplies for ORD office use</v>
          </cell>
          <cell r="X100" t="str">
            <v>0072</v>
          </cell>
          <cell r="Z100">
            <v>8762.98</v>
          </cell>
        </row>
        <row r="101">
          <cell r="B101" t="str">
            <v>0073</v>
          </cell>
          <cell r="C101" t="str">
            <v>12</v>
          </cell>
          <cell r="D101" t="str">
            <v>2014</v>
          </cell>
          <cell r="E101" t="str">
            <v>Compañero Commercial</v>
          </cell>
          <cell r="F101" t="str">
            <v>MOOE</v>
          </cell>
          <cell r="G101" t="str">
            <v>RO</v>
          </cell>
          <cell r="I101" t="str">
            <v>P</v>
          </cell>
          <cell r="K101" t="str">
            <v>GOP-OO3</v>
          </cell>
          <cell r="M101" t="str">
            <v>Payment for RAPID office supplies-4th quarter</v>
          </cell>
          <cell r="X101" t="str">
            <v>0073</v>
          </cell>
          <cell r="Z101">
            <v>17035.72</v>
          </cell>
        </row>
        <row r="102">
          <cell r="B102" t="str">
            <v>0074</v>
          </cell>
          <cell r="C102" t="str">
            <v>12</v>
          </cell>
          <cell r="D102" t="str">
            <v>2017</v>
          </cell>
          <cell r="E102" t="str">
            <v>Datalan Communications</v>
          </cell>
          <cell r="F102" t="str">
            <v>MOOE</v>
          </cell>
          <cell r="G102" t="str">
            <v>RO</v>
          </cell>
          <cell r="I102" t="str">
            <v>P</v>
          </cell>
          <cell r="K102" t="str">
            <v>GOP-OO3</v>
          </cell>
          <cell r="M102" t="str">
            <v>Payment for wifi adapter, usb 2.0 for ORD and RAPID Office</v>
          </cell>
          <cell r="X102" t="str">
            <v>0074</v>
          </cell>
          <cell r="Z102">
            <v>8044.65</v>
          </cell>
        </row>
        <row r="103">
          <cell r="B103" t="str">
            <v>0075</v>
          </cell>
          <cell r="C103" t="str">
            <v>12</v>
          </cell>
          <cell r="D103" t="str">
            <v>2006</v>
          </cell>
          <cell r="E103" t="str">
            <v>Datalan Communications</v>
          </cell>
          <cell r="F103" t="str">
            <v>MOOE</v>
          </cell>
          <cell r="G103" t="str">
            <v>RO</v>
          </cell>
          <cell r="I103" t="str">
            <v>P</v>
          </cell>
          <cell r="K103" t="str">
            <v>OO1</v>
          </cell>
          <cell r="M103" t="str">
            <v>Payment for the purchase of laptop computer for CPD Office use</v>
          </cell>
          <cell r="X103" t="str">
            <v>0075</v>
          </cell>
          <cell r="Z103">
            <v>44103.57</v>
          </cell>
        </row>
        <row r="104">
          <cell r="B104" t="str">
            <v>0076</v>
          </cell>
          <cell r="C104" t="str">
            <v>12</v>
          </cell>
          <cell r="D104" t="str">
            <v>2022</v>
          </cell>
          <cell r="E104" t="str">
            <v>Berfabs Arts and Crafts Manufacturing</v>
          </cell>
          <cell r="F104" t="str">
            <v>MOOE</v>
          </cell>
          <cell r="G104" t="str">
            <v>RO</v>
          </cell>
          <cell r="I104" t="str">
            <v>R</v>
          </cell>
          <cell r="J104" t="str">
            <v>LF</v>
          </cell>
          <cell r="K104" t="str">
            <v>NC</v>
          </cell>
          <cell r="M104" t="str">
            <v>Payment of token (customized tumbler) for mentees during the KMME Graduation Batch 2 on December 7, 2020.</v>
          </cell>
          <cell r="X104" t="str">
            <v>0076</v>
          </cell>
          <cell r="Z104">
            <v>34320</v>
          </cell>
        </row>
        <row r="105">
          <cell r="B105" t="str">
            <v>0076</v>
          </cell>
          <cell r="C105" t="str">
            <v>12</v>
          </cell>
          <cell r="D105" t="str">
            <v>2022</v>
          </cell>
          <cell r="E105" t="str">
            <v>Berfabs Arts and Crafts Manufacturing</v>
          </cell>
          <cell r="F105" t="str">
            <v>MOOE</v>
          </cell>
          <cell r="G105" t="str">
            <v>RO</v>
          </cell>
          <cell r="I105" t="str">
            <v>R</v>
          </cell>
          <cell r="J105" t="str">
            <v>LF</v>
          </cell>
          <cell r="K105" t="str">
            <v>NC</v>
          </cell>
          <cell r="M105" t="str">
            <v>Payment of token (customized tumbler) for mentees during the KMME Graduation Batch 2 on December 7, 2020.</v>
          </cell>
          <cell r="X105" t="str">
            <v>0076</v>
          </cell>
          <cell r="Z105">
            <v>-34320</v>
          </cell>
        </row>
        <row r="106">
          <cell r="B106" t="str">
            <v>0077</v>
          </cell>
          <cell r="C106" t="str">
            <v>12</v>
          </cell>
          <cell r="D106" t="str">
            <v>1999</v>
          </cell>
          <cell r="E106" t="str">
            <v>Mercado's Sudlanan Atbp</v>
          </cell>
          <cell r="F106" t="str">
            <v>MOOE</v>
          </cell>
          <cell r="G106" t="str">
            <v>RO</v>
          </cell>
          <cell r="I106" t="str">
            <v>R</v>
          </cell>
          <cell r="M106" t="str">
            <v>Payment for the committee tshirts during the grand launching of OTOP PH Hub at SM City Butuan on December 18, 2020</v>
          </cell>
          <cell r="X106" t="str">
            <v>0077</v>
          </cell>
          <cell r="Z106">
            <v>5875</v>
          </cell>
        </row>
        <row r="107">
          <cell r="B107" t="str">
            <v>0077</v>
          </cell>
          <cell r="C107" t="str">
            <v>12</v>
          </cell>
          <cell r="D107" t="str">
            <v>1999</v>
          </cell>
          <cell r="E107" t="str">
            <v>Mercado's Sudlanan Atbp</v>
          </cell>
          <cell r="F107" t="str">
            <v>MOOE</v>
          </cell>
          <cell r="G107" t="str">
            <v>RO</v>
          </cell>
          <cell r="I107" t="str">
            <v>R</v>
          </cell>
          <cell r="M107" t="str">
            <v>Payment for the committee tshirts during the grand launching of OTOP PH Hub at SM City Butuan on December 18, 2020</v>
          </cell>
          <cell r="X107" t="str">
            <v>0077</v>
          </cell>
          <cell r="Z107">
            <v>-5875</v>
          </cell>
        </row>
        <row r="108">
          <cell r="B108" t="str">
            <v>0078</v>
          </cell>
          <cell r="C108" t="str">
            <v>12</v>
          </cell>
          <cell r="D108" t="str">
            <v>2005</v>
          </cell>
          <cell r="E108" t="str">
            <v>Create Food, Inc</v>
          </cell>
          <cell r="F108" t="str">
            <v>MOOE</v>
          </cell>
          <cell r="G108" t="str">
            <v>RO</v>
          </cell>
          <cell r="I108" t="str">
            <v>R</v>
          </cell>
          <cell r="M108" t="str">
            <v>Payment for the tokens during the conduct of grand launching of OTOP PH Hub at SM City Butuan on December 18, 2020</v>
          </cell>
          <cell r="X108" t="str">
            <v>0078</v>
          </cell>
          <cell r="Z108">
            <v>11313.6</v>
          </cell>
        </row>
        <row r="109">
          <cell r="B109" t="str">
            <v>0078</v>
          </cell>
          <cell r="C109" t="str">
            <v>12</v>
          </cell>
          <cell r="D109" t="str">
            <v>2005</v>
          </cell>
          <cell r="E109" t="str">
            <v>Create Food, Inc</v>
          </cell>
          <cell r="F109" t="str">
            <v>MOOE</v>
          </cell>
          <cell r="G109" t="str">
            <v>RO</v>
          </cell>
          <cell r="I109" t="str">
            <v>R</v>
          </cell>
          <cell r="M109" t="str">
            <v>Payment for the tokens during the conduct of grand launching of OTOP PH Hub at SM City Butuan on December 18, 2020</v>
          </cell>
          <cell r="X109" t="str">
            <v>0078</v>
          </cell>
          <cell r="Z109">
            <v>-11313.6</v>
          </cell>
        </row>
        <row r="110">
          <cell r="B110" t="str">
            <v>0079</v>
          </cell>
          <cell r="C110" t="str">
            <v>12</v>
          </cell>
          <cell r="D110" t="str">
            <v>2003</v>
          </cell>
          <cell r="E110" t="str">
            <v>Sinograpiko Art Services</v>
          </cell>
          <cell r="F110" t="str">
            <v>MOOE</v>
          </cell>
          <cell r="G110" t="str">
            <v>RO</v>
          </cell>
          <cell r="I110" t="str">
            <v>R</v>
          </cell>
          <cell r="M110" t="str">
            <v>Payment for the customized leis during the grand launching of OTOP PH Hub at SM City Butuan on December 18, 2020</v>
          </cell>
          <cell r="X110" t="str">
            <v>0079</v>
          </cell>
          <cell r="Z110">
            <v>7680</v>
          </cell>
        </row>
        <row r="111">
          <cell r="B111" t="str">
            <v>0079</v>
          </cell>
          <cell r="C111" t="str">
            <v>12</v>
          </cell>
          <cell r="D111" t="str">
            <v>2003</v>
          </cell>
          <cell r="E111" t="str">
            <v>Sinograpiko Art Services</v>
          </cell>
          <cell r="F111" t="str">
            <v>MOOE</v>
          </cell>
          <cell r="G111" t="str">
            <v>RO</v>
          </cell>
          <cell r="I111" t="str">
            <v>R</v>
          </cell>
          <cell r="M111" t="str">
            <v>Payment for the customized leis during the grand launching of OTOP PH Hub at SM City Butuan on December 18, 2020</v>
          </cell>
          <cell r="X111" t="str">
            <v>0079</v>
          </cell>
          <cell r="Z111">
            <v>-7680</v>
          </cell>
        </row>
        <row r="112">
          <cell r="B112" t="str">
            <v>0080</v>
          </cell>
          <cell r="C112" t="str">
            <v>12</v>
          </cell>
          <cell r="D112" t="str">
            <v>1982</v>
          </cell>
          <cell r="E112" t="str">
            <v>Essential Vows Weddings &amp; Events</v>
          </cell>
          <cell r="F112" t="str">
            <v>MOOE</v>
          </cell>
          <cell r="G112" t="str">
            <v>RO</v>
          </cell>
          <cell r="I112" t="str">
            <v>R</v>
          </cell>
          <cell r="K112" t="str">
            <v>LSP NSB</v>
          </cell>
          <cell r="M112" t="str">
            <v>Payment for the event organizer during the conduct of Grand Launching of OTOP PH Hub at SM City Butuan on December 18, 2020</v>
          </cell>
          <cell r="X112" t="str">
            <v>0080</v>
          </cell>
          <cell r="Z112">
            <v>42750</v>
          </cell>
        </row>
        <row r="113">
          <cell r="B113" t="str">
            <v>0080</v>
          </cell>
          <cell r="C113" t="str">
            <v>12</v>
          </cell>
          <cell r="D113" t="str">
            <v>1982</v>
          </cell>
          <cell r="E113" t="str">
            <v>Essential Vows Weddings &amp; Events</v>
          </cell>
          <cell r="F113" t="str">
            <v>MOOE</v>
          </cell>
          <cell r="G113" t="str">
            <v>RO</v>
          </cell>
          <cell r="I113" t="str">
            <v>R</v>
          </cell>
          <cell r="K113" t="str">
            <v>LSP NSB</v>
          </cell>
          <cell r="M113" t="str">
            <v>Payment for the event organizer during the conduct of Grand Launching of OTOP PH Hub at SM City Butuan on December 18, 2020</v>
          </cell>
          <cell r="X113" t="str">
            <v>0080</v>
          </cell>
          <cell r="Z113">
            <v>-42750</v>
          </cell>
        </row>
        <row r="114">
          <cell r="B114" t="str">
            <v>0081</v>
          </cell>
          <cell r="C114" t="str">
            <v>12</v>
          </cell>
          <cell r="D114" t="str">
            <v>1983</v>
          </cell>
          <cell r="E114" t="str">
            <v>New Era Audio and Light Sales &amp; Rental</v>
          </cell>
          <cell r="F114" t="str">
            <v>MOOE</v>
          </cell>
          <cell r="G114" t="str">
            <v>RO</v>
          </cell>
          <cell r="I114" t="str">
            <v>R</v>
          </cell>
          <cell r="K114" t="str">
            <v>LSP</v>
          </cell>
          <cell r="M114" t="str">
            <v>Payment for the sounds and lights during the conduct of grand launching of OTOP PH Hub at SM City Butuan on Dec 18, 2020.</v>
          </cell>
          <cell r="X114" t="str">
            <v>0081</v>
          </cell>
          <cell r="Z114">
            <v>7125</v>
          </cell>
        </row>
        <row r="115">
          <cell r="B115" t="str">
            <v>0081</v>
          </cell>
          <cell r="C115" t="str">
            <v>12</v>
          </cell>
          <cell r="D115" t="str">
            <v>1983</v>
          </cell>
          <cell r="E115" t="str">
            <v>New Era Audio and Light Sales &amp; Rental</v>
          </cell>
          <cell r="F115" t="str">
            <v>MOOE</v>
          </cell>
          <cell r="G115" t="str">
            <v>RO</v>
          </cell>
          <cell r="I115" t="str">
            <v>R</v>
          </cell>
          <cell r="K115" t="str">
            <v>LSP</v>
          </cell>
          <cell r="M115" t="str">
            <v>Payment for the sounds and lights during the conduct of grand launching of OTOP PH Hub at SM City Butuan on Dec 18, 2020.</v>
          </cell>
          <cell r="X115" t="str">
            <v>0081</v>
          </cell>
          <cell r="Z115">
            <v>-7125</v>
          </cell>
        </row>
        <row r="116">
          <cell r="B116" t="str">
            <v>0081</v>
          </cell>
          <cell r="C116" t="str">
            <v>12</v>
          </cell>
          <cell r="D116" t="str">
            <v>1983</v>
          </cell>
          <cell r="E116" t="str">
            <v>New Era Audio and Light Sales &amp; Rental</v>
          </cell>
          <cell r="F116" t="str">
            <v>MOOE</v>
          </cell>
          <cell r="G116" t="str">
            <v>RO</v>
          </cell>
          <cell r="I116" t="str">
            <v>R</v>
          </cell>
          <cell r="K116" t="str">
            <v>OTOP</v>
          </cell>
          <cell r="M116" t="str">
            <v>Payment for the sounds and lights during the conduct of grand launching of OTOP PH Hub at SM City Butuan on Dec 18, 2020.</v>
          </cell>
          <cell r="X116" t="str">
            <v>0081</v>
          </cell>
          <cell r="Z116">
            <v>0</v>
          </cell>
        </row>
        <row r="117">
          <cell r="B117" t="str">
            <v>0081</v>
          </cell>
          <cell r="C117" t="str">
            <v>12</v>
          </cell>
          <cell r="D117" t="str">
            <v>1983</v>
          </cell>
          <cell r="E117" t="str">
            <v>New Era Audio and Light Sales &amp; Rental</v>
          </cell>
          <cell r="F117" t="str">
            <v>MOOE</v>
          </cell>
          <cell r="G117" t="str">
            <v>RO</v>
          </cell>
          <cell r="I117" t="str">
            <v>R</v>
          </cell>
          <cell r="K117" t="str">
            <v>OTOP</v>
          </cell>
          <cell r="M117" t="str">
            <v>Payment for the sounds and lights during the conduct of grand launching of OTOP PH Hub at SM City Butuan on Dec 18, 2020.</v>
          </cell>
          <cell r="X117" t="str">
            <v>0081</v>
          </cell>
        </row>
        <row r="118">
          <cell r="B118" t="str">
            <v>0082</v>
          </cell>
          <cell r="C118" t="str">
            <v>12</v>
          </cell>
          <cell r="D118" t="str">
            <v>2001</v>
          </cell>
          <cell r="E118" t="str">
            <v>JCB Express Solution</v>
          </cell>
          <cell r="F118" t="str">
            <v>MOOE</v>
          </cell>
          <cell r="G118" t="str">
            <v>RO</v>
          </cell>
          <cell r="I118" t="str">
            <v>R</v>
          </cell>
          <cell r="M118" t="str">
            <v>Payment for the tarpaulins during the grand launching of OTOP PH Hub at SM City Butuan Cityon December 18, 2020</v>
          </cell>
          <cell r="X118" t="str">
            <v>0082</v>
          </cell>
          <cell r="Z118">
            <v>6175</v>
          </cell>
        </row>
        <row r="119">
          <cell r="B119" t="str">
            <v>0082</v>
          </cell>
          <cell r="C119" t="str">
            <v>12</v>
          </cell>
          <cell r="D119" t="str">
            <v>2001</v>
          </cell>
          <cell r="E119" t="str">
            <v>JCB Express Solution</v>
          </cell>
          <cell r="F119" t="str">
            <v>MOOE</v>
          </cell>
          <cell r="G119" t="str">
            <v>RO</v>
          </cell>
          <cell r="I119" t="str">
            <v>R</v>
          </cell>
          <cell r="M119" t="str">
            <v>Payment for the tarpaulins during the grand launching of OTOP PH Hub at SM City Butuan Cityon December 18, 2020</v>
          </cell>
          <cell r="X119" t="str">
            <v>0082</v>
          </cell>
          <cell r="Z119">
            <v>-6175</v>
          </cell>
        </row>
        <row r="120">
          <cell r="B120" t="str">
            <v>0083</v>
          </cell>
          <cell r="C120" t="str">
            <v>12</v>
          </cell>
          <cell r="D120" t="str">
            <v>2000</v>
          </cell>
          <cell r="E120" t="str">
            <v>JCB Express Solution</v>
          </cell>
          <cell r="F120" t="str">
            <v>MOOE</v>
          </cell>
          <cell r="G120" t="str">
            <v>RO</v>
          </cell>
          <cell r="I120" t="str">
            <v>R</v>
          </cell>
          <cell r="K120" t="str">
            <v>OTOP-gop</v>
          </cell>
          <cell r="M120" t="str">
            <v>Payment for customized invitations for the OTOP PH Hub Launching last December 18, 2020</v>
          </cell>
          <cell r="X120" t="str">
            <v>0083</v>
          </cell>
          <cell r="Z120">
            <v>14250</v>
          </cell>
        </row>
        <row r="121">
          <cell r="B121" t="str">
            <v>0083</v>
          </cell>
          <cell r="C121" t="str">
            <v>12</v>
          </cell>
          <cell r="D121" t="str">
            <v>2000</v>
          </cell>
          <cell r="E121" t="str">
            <v>JCB Express Solution</v>
          </cell>
          <cell r="F121" t="str">
            <v>MOOE</v>
          </cell>
          <cell r="G121" t="str">
            <v>RO</v>
          </cell>
          <cell r="I121" t="str">
            <v>R</v>
          </cell>
          <cell r="K121" t="str">
            <v>OTOP-gop</v>
          </cell>
          <cell r="M121" t="str">
            <v>Payment for customized invitations for the OTOP PH Hub Launching last December 18, 2020</v>
          </cell>
          <cell r="X121" t="str">
            <v>0083</v>
          </cell>
          <cell r="Z121">
            <v>-14250</v>
          </cell>
        </row>
        <row r="122">
          <cell r="B122" t="str">
            <v>0084</v>
          </cell>
          <cell r="C122" t="str">
            <v>12</v>
          </cell>
          <cell r="D122" t="str">
            <v>2008</v>
          </cell>
          <cell r="E122" t="str">
            <v>Ralph O. Gorgonio</v>
          </cell>
          <cell r="F122" t="str">
            <v>MOOE</v>
          </cell>
          <cell r="G122" t="str">
            <v>RO</v>
          </cell>
          <cell r="I122" t="str">
            <v>R</v>
          </cell>
          <cell r="K122" t="str">
            <v>RAPID-GOP</v>
          </cell>
          <cell r="M122" t="str">
            <v>Reimbursement  portable wifi modem for office of the RD</v>
          </cell>
          <cell r="X122" t="str">
            <v>0084</v>
          </cell>
          <cell r="Z122">
            <v>1295</v>
          </cell>
        </row>
        <row r="123">
          <cell r="B123" t="str">
            <v>0084</v>
          </cell>
          <cell r="C123" t="str">
            <v>12</v>
          </cell>
          <cell r="D123" t="str">
            <v>2008</v>
          </cell>
          <cell r="E123" t="str">
            <v>Ralph O. Gorgonio</v>
          </cell>
          <cell r="F123" t="str">
            <v>MOOE</v>
          </cell>
          <cell r="G123" t="str">
            <v>RO</v>
          </cell>
          <cell r="I123" t="str">
            <v>R</v>
          </cell>
          <cell r="K123" t="str">
            <v>RAPID-GOP</v>
          </cell>
          <cell r="M123" t="str">
            <v>Reimbursement  portable wifi modem for office of the RD</v>
          </cell>
          <cell r="X123" t="str">
            <v>0084</v>
          </cell>
          <cell r="Z123">
            <v>-1295</v>
          </cell>
        </row>
        <row r="124">
          <cell r="B124" t="str">
            <v>0085</v>
          </cell>
          <cell r="C124" t="str">
            <v>01</v>
          </cell>
          <cell r="D124" t="str">
            <v>028</v>
          </cell>
          <cell r="E124" t="str">
            <v>LBP, F/O DTI- JO</v>
          </cell>
          <cell r="F124" t="str">
            <v>MOOE</v>
          </cell>
          <cell r="G124" t="str">
            <v>RO</v>
          </cell>
          <cell r="I124" t="str">
            <v>R</v>
          </cell>
          <cell r="K124" t="str">
            <v>GMS</v>
          </cell>
          <cell r="M124" t="str">
            <v>Payment of Jor orders for the period January 5-15, 2021</v>
          </cell>
          <cell r="X124" t="str">
            <v>0085</v>
          </cell>
          <cell r="Z124">
            <v>10812.52</v>
          </cell>
        </row>
        <row r="125">
          <cell r="B125" t="str">
            <v>0085</v>
          </cell>
          <cell r="C125" t="str">
            <v>01</v>
          </cell>
          <cell r="D125" t="str">
            <v>028</v>
          </cell>
          <cell r="E125" t="str">
            <v>LBP, F/O DTI- JO</v>
          </cell>
          <cell r="F125" t="str">
            <v>MOOE</v>
          </cell>
          <cell r="G125" t="str">
            <v>RO</v>
          </cell>
          <cell r="I125" t="str">
            <v>R</v>
          </cell>
          <cell r="J125" t="str">
            <v>LF</v>
          </cell>
          <cell r="K125" t="str">
            <v>SSF</v>
          </cell>
          <cell r="M125" t="str">
            <v>Payment of Jor orders for the period January 5-15, 2021</v>
          </cell>
          <cell r="X125" t="str">
            <v>0085</v>
          </cell>
          <cell r="Z125">
            <v>0</v>
          </cell>
        </row>
        <row r="126">
          <cell r="B126" t="str">
            <v>0086</v>
          </cell>
          <cell r="C126" t="str">
            <v>01</v>
          </cell>
          <cell r="D126" t="str">
            <v>029</v>
          </cell>
          <cell r="E126" t="str">
            <v>LBP, F/O DTI- JO</v>
          </cell>
          <cell r="F126" t="str">
            <v>MOOE</v>
          </cell>
          <cell r="G126" t="str">
            <v>RO</v>
          </cell>
          <cell r="I126" t="str">
            <v>R</v>
          </cell>
          <cell r="K126" t="str">
            <v>OTOP</v>
          </cell>
          <cell r="M126" t="str">
            <v>Payment of Jor orders for the period January 5-15, 2021</v>
          </cell>
          <cell r="X126" t="str">
            <v>0086</v>
          </cell>
          <cell r="Z126">
            <v>11158</v>
          </cell>
        </row>
        <row r="127">
          <cell r="B127" t="str">
            <v>0086</v>
          </cell>
          <cell r="C127" t="str">
            <v>01</v>
          </cell>
          <cell r="D127" t="str">
            <v>029</v>
          </cell>
          <cell r="E127" t="str">
            <v>LBP, F/O DTI- JO</v>
          </cell>
          <cell r="F127" t="str">
            <v>MOOE</v>
          </cell>
          <cell r="G127" t="str">
            <v>RO</v>
          </cell>
          <cell r="I127" t="str">
            <v>R</v>
          </cell>
          <cell r="K127" t="str">
            <v>LSP NSB</v>
          </cell>
          <cell r="M127" t="str">
            <v>Payment of Jor orders for the period January 5-15, 2021</v>
          </cell>
          <cell r="X127" t="str">
            <v>0086</v>
          </cell>
          <cell r="Z127">
            <v>11158</v>
          </cell>
        </row>
        <row r="128">
          <cell r="B128" t="str">
            <v>0086</v>
          </cell>
          <cell r="C128" t="str">
            <v>01</v>
          </cell>
          <cell r="D128" t="str">
            <v>029</v>
          </cell>
          <cell r="E128" t="str">
            <v>LBP, F/O DTI- JO</v>
          </cell>
          <cell r="F128" t="str">
            <v>MOOE</v>
          </cell>
          <cell r="G128" t="str">
            <v>RO</v>
          </cell>
          <cell r="I128" t="str">
            <v>R</v>
          </cell>
          <cell r="J128" t="str">
            <v>SAA</v>
          </cell>
          <cell r="K128" t="str">
            <v>NC</v>
          </cell>
          <cell r="M128" t="str">
            <v>Payment of Jor orders for the period January 5-15, 2021</v>
          </cell>
          <cell r="X128" t="str">
            <v>0086</v>
          </cell>
          <cell r="Z128">
            <v>9658</v>
          </cell>
        </row>
        <row r="129">
          <cell r="B129" t="str">
            <v>0087</v>
          </cell>
          <cell r="C129" t="str">
            <v>01</v>
          </cell>
          <cell r="D129" t="str">
            <v>025</v>
          </cell>
          <cell r="E129" t="str">
            <v>LBP, F/O DTI- JO</v>
          </cell>
          <cell r="F129" t="str">
            <v>MOOE</v>
          </cell>
          <cell r="G129" t="str">
            <v>RO</v>
          </cell>
          <cell r="I129" t="str">
            <v>R</v>
          </cell>
          <cell r="M129" t="str">
            <v>Payment of Jor orders for the period January 5-15, 2021</v>
          </cell>
          <cell r="X129" t="str">
            <v>0087</v>
          </cell>
          <cell r="Z129">
            <v>14080</v>
          </cell>
        </row>
        <row r="130">
          <cell r="B130" t="str">
            <v>0088</v>
          </cell>
          <cell r="C130" t="str">
            <v>01</v>
          </cell>
          <cell r="E130" t="str">
            <v>PHIC-Butuan City</v>
          </cell>
          <cell r="F130" t="str">
            <v>PS</v>
          </cell>
          <cell r="G130" t="str">
            <v>RO</v>
          </cell>
          <cell r="I130" t="str">
            <v>R</v>
          </cell>
          <cell r="J130" t="str">
            <v>PS</v>
          </cell>
          <cell r="L130">
            <v>98027.49</v>
          </cell>
          <cell r="M130" t="str">
            <v>Remittance of PHIC premiums (EE &amp; ER) for the month of January 2021</v>
          </cell>
          <cell r="X130" t="str">
            <v>0088</v>
          </cell>
          <cell r="Z130">
            <v>98027.49</v>
          </cell>
        </row>
        <row r="131">
          <cell r="B131" t="str">
            <v>0089</v>
          </cell>
          <cell r="C131" t="str">
            <v>01</v>
          </cell>
          <cell r="D131" t="str">
            <v>027</v>
          </cell>
          <cell r="E131" t="str">
            <v>Joselyn  Ang</v>
          </cell>
          <cell r="F131" t="str">
            <v>MOOE</v>
          </cell>
          <cell r="G131" t="str">
            <v>RO</v>
          </cell>
          <cell r="I131" t="str">
            <v>R</v>
          </cell>
          <cell r="M131" t="str">
            <v>Space rental DTI Storage area</v>
          </cell>
          <cell r="X131" t="str">
            <v>0089</v>
          </cell>
          <cell r="Z131">
            <v>16028.58</v>
          </cell>
        </row>
        <row r="132">
          <cell r="B132" t="str">
            <v>0089</v>
          </cell>
          <cell r="C132" t="str">
            <v>01</v>
          </cell>
          <cell r="D132" t="str">
            <v>027</v>
          </cell>
          <cell r="E132" t="str">
            <v>Joselyn  Ang</v>
          </cell>
          <cell r="F132" t="str">
            <v>MOOE</v>
          </cell>
          <cell r="G132" t="str">
            <v>RO</v>
          </cell>
          <cell r="I132" t="str">
            <v>R</v>
          </cell>
          <cell r="M132" t="str">
            <v>Space rental DTI Storage area</v>
          </cell>
          <cell r="X132" t="str">
            <v>0089</v>
          </cell>
          <cell r="Z132">
            <v>-16028.58</v>
          </cell>
        </row>
        <row r="133">
          <cell r="B133" t="str">
            <v>0090</v>
          </cell>
          <cell r="C133" t="str">
            <v>01</v>
          </cell>
          <cell r="D133" t="str">
            <v>024</v>
          </cell>
          <cell r="E133" t="str">
            <v>Butuan City Water District</v>
          </cell>
          <cell r="F133" t="str">
            <v>MOOE</v>
          </cell>
          <cell r="G133" t="str">
            <v>RO</v>
          </cell>
          <cell r="I133" t="str">
            <v>R</v>
          </cell>
          <cell r="M133" t="str">
            <v>Payment for utilities expense- water for the period December ,2020- January 2021</v>
          </cell>
          <cell r="X133" t="str">
            <v>0090</v>
          </cell>
          <cell r="Z133">
            <v>10895.41</v>
          </cell>
        </row>
        <row r="134">
          <cell r="B134" t="str">
            <v>0091</v>
          </cell>
          <cell r="C134" t="str">
            <v>01</v>
          </cell>
          <cell r="D134" t="str">
            <v>023</v>
          </cell>
          <cell r="E134" t="str">
            <v>A &amp; C Yelo Submarine Corporation</v>
          </cell>
          <cell r="F134" t="str">
            <v>MOOE</v>
          </cell>
          <cell r="G134" t="str">
            <v>RO</v>
          </cell>
          <cell r="I134" t="str">
            <v>R</v>
          </cell>
          <cell r="M134" t="str">
            <v>Payment of drinking water for the period November to December 2020</v>
          </cell>
          <cell r="X134" t="str">
            <v>0091</v>
          </cell>
          <cell r="Z134">
            <v>3478.13</v>
          </cell>
        </row>
        <row r="135">
          <cell r="B135" t="str">
            <v>0092</v>
          </cell>
          <cell r="C135" t="str">
            <v>01</v>
          </cell>
          <cell r="D135" t="str">
            <v>026</v>
          </cell>
          <cell r="E135" t="str">
            <v>Marry Ann L. Pascual</v>
          </cell>
          <cell r="F135" t="str">
            <v>MOOE</v>
          </cell>
          <cell r="G135" t="str">
            <v>RO</v>
          </cell>
          <cell r="I135" t="str">
            <v>R</v>
          </cell>
          <cell r="M135" t="str">
            <v>Reimbursement  for the decorations and supplies during the oath taking ceremony cum orientation for newly hired and promoted employees on Januray 11, 2021</v>
          </cell>
          <cell r="X135" t="str">
            <v>0092</v>
          </cell>
          <cell r="Z135">
            <v>1880</v>
          </cell>
        </row>
        <row r="136">
          <cell r="B136" t="str">
            <v>0093</v>
          </cell>
          <cell r="C136" t="str">
            <v>01</v>
          </cell>
          <cell r="E136" t="str">
            <v>Bureau of Treasury</v>
          </cell>
          <cell r="F136" t="str">
            <v>MOOE</v>
          </cell>
          <cell r="G136" t="str">
            <v>RO</v>
          </cell>
          <cell r="I136" t="str">
            <v>R</v>
          </cell>
          <cell r="L136">
            <v>2000</v>
          </cell>
          <cell r="M136" t="str">
            <v>Remittance of refund on disallowance of Mr. JonathanLagang for the month of January 2021</v>
          </cell>
          <cell r="X136" t="str">
            <v>0093</v>
          </cell>
          <cell r="Z136">
            <v>2000</v>
          </cell>
        </row>
        <row r="137">
          <cell r="B137" t="str">
            <v>0094</v>
          </cell>
          <cell r="C137" t="str">
            <v>01</v>
          </cell>
          <cell r="E137" t="str">
            <v>Bureau of Treasury</v>
          </cell>
          <cell r="F137" t="str">
            <v>MOOE</v>
          </cell>
          <cell r="G137" t="str">
            <v>RO</v>
          </cell>
          <cell r="I137" t="str">
            <v>R</v>
          </cell>
          <cell r="L137">
            <v>2674.02</v>
          </cell>
          <cell r="M137" t="str">
            <v>Remittance of payment of refund on wtx on compensation for the year 2020 deducted from the full payment of Terminal Leave Benefits of Ramil Leongas</v>
          </cell>
          <cell r="X137" t="str">
            <v>0094</v>
          </cell>
          <cell r="Z137">
            <v>2674.02</v>
          </cell>
        </row>
        <row r="138">
          <cell r="B138" t="str">
            <v>0095</v>
          </cell>
          <cell r="C138" t="str">
            <v>01</v>
          </cell>
          <cell r="E138" t="str">
            <v>DTI-Employees Union</v>
          </cell>
          <cell r="F138" t="str">
            <v>PS</v>
          </cell>
          <cell r="G138" t="str">
            <v>RO</v>
          </cell>
          <cell r="I138" t="str">
            <v>R</v>
          </cell>
          <cell r="L138">
            <v>27440</v>
          </cell>
          <cell r="M138" t="str">
            <v>Remittance of HMO premium for principal &amp; dependents for the month of January 2021</v>
          </cell>
          <cell r="X138" t="str">
            <v>0095</v>
          </cell>
          <cell r="Z138">
            <v>27440</v>
          </cell>
        </row>
        <row r="139">
          <cell r="B139" t="str">
            <v>0096</v>
          </cell>
          <cell r="C139" t="str">
            <v>01</v>
          </cell>
          <cell r="E139" t="str">
            <v>DTI-Provident Fund</v>
          </cell>
          <cell r="F139" t="str">
            <v>PS</v>
          </cell>
          <cell r="G139" t="str">
            <v>RO</v>
          </cell>
          <cell r="I139" t="str">
            <v>R</v>
          </cell>
          <cell r="L139">
            <v>44865.51</v>
          </cell>
          <cell r="M139" t="str">
            <v>Remittance of Provident premium &amp; loan payment for the month of January 2021</v>
          </cell>
          <cell r="X139" t="str">
            <v>0096</v>
          </cell>
          <cell r="Z139">
            <v>44865.51</v>
          </cell>
        </row>
        <row r="140">
          <cell r="B140" t="str">
            <v>0097</v>
          </cell>
          <cell r="C140" t="str">
            <v>01</v>
          </cell>
          <cell r="E140" t="str">
            <v>DTI-MDBF</v>
          </cell>
          <cell r="F140" t="str">
            <v>PS</v>
          </cell>
          <cell r="G140" t="str">
            <v>RO</v>
          </cell>
          <cell r="I140" t="str">
            <v>R</v>
          </cell>
          <cell r="L140">
            <v>9700</v>
          </cell>
          <cell r="M140" t="str">
            <v>Remittance of MDBF premium for the month of January 2021</v>
          </cell>
          <cell r="X140" t="str">
            <v>0097</v>
          </cell>
          <cell r="Z140">
            <v>9700</v>
          </cell>
        </row>
        <row r="141">
          <cell r="B141" t="str">
            <v>0098</v>
          </cell>
          <cell r="C141" t="str">
            <v>01</v>
          </cell>
          <cell r="E141" t="str">
            <v>Sunlife of Canada Phils. Inc</v>
          </cell>
          <cell r="F141" t="str">
            <v>PS</v>
          </cell>
          <cell r="G141" t="str">
            <v>RO</v>
          </cell>
          <cell r="L141">
            <v>903</v>
          </cell>
          <cell r="M141" t="str">
            <v>Remittance of insurance premium for the month of January 2021</v>
          </cell>
          <cell r="X141" t="str">
            <v>0098</v>
          </cell>
          <cell r="Z141">
            <v>903</v>
          </cell>
        </row>
        <row r="142">
          <cell r="B142" t="str">
            <v>0099</v>
          </cell>
          <cell r="C142" t="str">
            <v>01</v>
          </cell>
          <cell r="E142" t="str">
            <v>HDMF- Butuan City</v>
          </cell>
          <cell r="F142" t="str">
            <v>PS</v>
          </cell>
          <cell r="G142" t="str">
            <v>RO</v>
          </cell>
          <cell r="L142">
            <v>194068.8</v>
          </cell>
          <cell r="M142" t="str">
            <v>Remittance of HDMF premiums and loans payment of regular employees for the month of Januray 2021</v>
          </cell>
          <cell r="X142" t="str">
            <v>0099</v>
          </cell>
          <cell r="Z142">
            <v>194068.8</v>
          </cell>
        </row>
        <row r="143">
          <cell r="B143" t="str">
            <v>0100</v>
          </cell>
          <cell r="C143" t="str">
            <v>01</v>
          </cell>
          <cell r="E143" t="str">
            <v>Sure Dev't Cooperative</v>
          </cell>
          <cell r="F143" t="str">
            <v>PS</v>
          </cell>
          <cell r="G143" t="str">
            <v>RO</v>
          </cell>
          <cell r="L143">
            <v>31716.67</v>
          </cell>
          <cell r="M143" t="str">
            <v>Remittance of Regular employees coop deductions for the month of January 2021</v>
          </cell>
          <cell r="X143" t="str">
            <v>0100</v>
          </cell>
          <cell r="Z143">
            <v>31716.67</v>
          </cell>
        </row>
        <row r="144">
          <cell r="B144" t="str">
            <v>0101</v>
          </cell>
          <cell r="C144" t="str">
            <v>01</v>
          </cell>
          <cell r="E144" t="str">
            <v>GLAD MPC</v>
          </cell>
          <cell r="F144" t="str">
            <v>PS</v>
          </cell>
          <cell r="G144" t="str">
            <v>RO</v>
          </cell>
          <cell r="L144">
            <v>58756.68</v>
          </cell>
          <cell r="M144" t="str">
            <v>Remittance of Regular employees coop deductions for the month of January 2021</v>
          </cell>
          <cell r="X144" t="str">
            <v>0101</v>
          </cell>
          <cell r="Z144">
            <v>58756.68</v>
          </cell>
        </row>
        <row r="145">
          <cell r="B145" t="str">
            <v>0102</v>
          </cell>
          <cell r="C145" t="str">
            <v>01</v>
          </cell>
          <cell r="E145" t="str">
            <v>DREAMCO MPC</v>
          </cell>
          <cell r="F145" t="str">
            <v>PS</v>
          </cell>
          <cell r="G145" t="str">
            <v>RO</v>
          </cell>
          <cell r="L145">
            <v>98042.33</v>
          </cell>
          <cell r="M145" t="str">
            <v>Remittance of Regular employees coop deductions for the month of January 2021</v>
          </cell>
          <cell r="X145" t="str">
            <v>0102</v>
          </cell>
          <cell r="Z145">
            <v>98042.33</v>
          </cell>
        </row>
        <row r="146">
          <cell r="B146" t="str">
            <v>0103</v>
          </cell>
          <cell r="C146" t="str">
            <v>01</v>
          </cell>
          <cell r="E146" t="str">
            <v>Rhosallee V. Espinoza</v>
          </cell>
          <cell r="F146" t="str">
            <v>PS</v>
          </cell>
          <cell r="G146" t="str">
            <v>RO</v>
          </cell>
          <cell r="L146">
            <v>3955.36</v>
          </cell>
          <cell r="M146" t="str">
            <v>Refund of HDMF Multi[purpose loan deducted from January payrol</v>
          </cell>
          <cell r="X146" t="str">
            <v>0103</v>
          </cell>
          <cell r="Z146">
            <v>3955.36</v>
          </cell>
        </row>
        <row r="147">
          <cell r="B147" t="str">
            <v>0104</v>
          </cell>
          <cell r="C147" t="str">
            <v>01</v>
          </cell>
          <cell r="D147" t="str">
            <v>031</v>
          </cell>
          <cell r="E147" t="str">
            <v>Joselito B.Paler</v>
          </cell>
          <cell r="F147" t="str">
            <v>PS</v>
          </cell>
          <cell r="G147" t="str">
            <v>RO</v>
          </cell>
          <cell r="J147" t="str">
            <v>SAA</v>
          </cell>
          <cell r="K147" t="str">
            <v>CARP</v>
          </cell>
          <cell r="M147" t="str">
            <v>Payment of CARP staff salaries &amp; allowances for the month of January 2021</v>
          </cell>
          <cell r="X147" t="str">
            <v>0104</v>
          </cell>
          <cell r="Z147">
            <v>28194.01</v>
          </cell>
        </row>
        <row r="148">
          <cell r="B148" t="str">
            <v>0105</v>
          </cell>
          <cell r="C148" t="str">
            <v>01</v>
          </cell>
          <cell r="D148" t="str">
            <v>032</v>
          </cell>
          <cell r="E148" t="str">
            <v>LBP F/O DTI AND</v>
          </cell>
          <cell r="F148" t="str">
            <v>PS</v>
          </cell>
          <cell r="G148" t="str">
            <v>AD N</v>
          </cell>
          <cell r="I148" t="str">
            <v>R</v>
          </cell>
          <cell r="J148" t="str">
            <v>SAA</v>
          </cell>
          <cell r="K148" t="str">
            <v>CARP</v>
          </cell>
          <cell r="M148" t="str">
            <v>Payment of CARP staff salaries &amp; allowances for the month of January 2021</v>
          </cell>
          <cell r="X148" t="str">
            <v>0105</v>
          </cell>
          <cell r="Z148">
            <v>59624.21</v>
          </cell>
        </row>
        <row r="149">
          <cell r="B149" t="str">
            <v>0106</v>
          </cell>
          <cell r="C149" t="str">
            <v>01</v>
          </cell>
          <cell r="D149" t="str">
            <v>033</v>
          </cell>
          <cell r="E149" t="str">
            <v>Lemuel D. Roboca</v>
          </cell>
          <cell r="F149" t="str">
            <v>PS</v>
          </cell>
          <cell r="G149" t="str">
            <v>ADS</v>
          </cell>
          <cell r="I149" t="str">
            <v>R</v>
          </cell>
          <cell r="J149" t="str">
            <v>SAA</v>
          </cell>
          <cell r="K149" t="str">
            <v>CARP</v>
          </cell>
          <cell r="M149" t="str">
            <v>Payment of CARP staff salaries &amp; allowances for the month of January 2021</v>
          </cell>
          <cell r="X149" t="str">
            <v>0106</v>
          </cell>
          <cell r="Z149">
            <v>29978.37</v>
          </cell>
        </row>
        <row r="150">
          <cell r="B150" t="str">
            <v>0107</v>
          </cell>
          <cell r="C150" t="str">
            <v>01</v>
          </cell>
          <cell r="D150" t="str">
            <v>034</v>
          </cell>
          <cell r="E150" t="str">
            <v>Ma. Malen B. Catamora</v>
          </cell>
          <cell r="F150" t="str">
            <v>PS</v>
          </cell>
          <cell r="G150" t="str">
            <v>SDN</v>
          </cell>
          <cell r="I150" t="str">
            <v>R</v>
          </cell>
          <cell r="J150" t="str">
            <v>SAA</v>
          </cell>
          <cell r="K150" t="str">
            <v>CARP</v>
          </cell>
          <cell r="M150" t="str">
            <v>Payment of CARP staff salaries &amp; allowances for the month of January 2021</v>
          </cell>
          <cell r="X150" t="str">
            <v>0107</v>
          </cell>
          <cell r="Z150">
            <v>18148.37</v>
          </cell>
        </row>
        <row r="151">
          <cell r="B151" t="str">
            <v>0108</v>
          </cell>
          <cell r="C151" t="str">
            <v>01</v>
          </cell>
          <cell r="D151" t="str">
            <v>035</v>
          </cell>
          <cell r="E151" t="str">
            <v>LBP F/O DTI SDS</v>
          </cell>
          <cell r="F151" t="str">
            <v>PS</v>
          </cell>
          <cell r="G151" t="str">
            <v>SDS</v>
          </cell>
          <cell r="I151" t="str">
            <v>R</v>
          </cell>
          <cell r="J151" t="str">
            <v>SAA</v>
          </cell>
          <cell r="K151" t="str">
            <v>CARP</v>
          </cell>
          <cell r="M151" t="str">
            <v>Payment of CARP staff salaries &amp; allowances for the month of January 2021</v>
          </cell>
          <cell r="X151" t="str">
            <v>0108</v>
          </cell>
          <cell r="Z151">
            <v>64105.75</v>
          </cell>
        </row>
        <row r="152">
          <cell r="B152" t="str">
            <v>0109</v>
          </cell>
          <cell r="C152" t="str">
            <v>01</v>
          </cell>
          <cell r="D152" t="str">
            <v>036</v>
          </cell>
          <cell r="E152" t="str">
            <v>Jumar H. Llorente</v>
          </cell>
          <cell r="F152" t="str">
            <v>PS</v>
          </cell>
          <cell r="G152" t="str">
            <v>PDI</v>
          </cell>
          <cell r="I152" t="str">
            <v>R</v>
          </cell>
          <cell r="J152" t="str">
            <v>SAA</v>
          </cell>
          <cell r="K152" t="str">
            <v>CARP</v>
          </cell>
          <cell r="M152" t="str">
            <v>Payment of CARP staff salaries &amp; allowances for the month of January 2021</v>
          </cell>
          <cell r="X152" t="str">
            <v>0109</v>
          </cell>
          <cell r="Z152">
            <v>28358.37</v>
          </cell>
        </row>
        <row r="153">
          <cell r="B153" t="str">
            <v>0110</v>
          </cell>
          <cell r="C153" t="str">
            <v>12</v>
          </cell>
          <cell r="D153" t="str">
            <v>1884</v>
          </cell>
          <cell r="E153" t="str">
            <v>Innove Communications, Inc</v>
          </cell>
          <cell r="F153" t="str">
            <v>MOOE</v>
          </cell>
          <cell r="G153" t="str">
            <v>RO</v>
          </cell>
          <cell r="I153" t="str">
            <v>R</v>
          </cell>
          <cell r="J153" t="str">
            <v>LF</v>
          </cell>
          <cell r="K153" t="str">
            <v>NC</v>
          </cell>
          <cell r="M153" t="str">
            <v>Payment of zoom application for the month of July- Oct 2020</v>
          </cell>
          <cell r="X153" t="str">
            <v>0110</v>
          </cell>
          <cell r="Z153">
            <v>17595.310000000001</v>
          </cell>
        </row>
        <row r="154">
          <cell r="B154" t="str">
            <v>0110</v>
          </cell>
          <cell r="C154" t="str">
            <v>12</v>
          </cell>
          <cell r="D154" t="str">
            <v>1884</v>
          </cell>
          <cell r="E154" t="str">
            <v>Innove Communications, Inc</v>
          </cell>
          <cell r="F154" t="str">
            <v>MOOE</v>
          </cell>
          <cell r="G154" t="str">
            <v>RO</v>
          </cell>
          <cell r="I154" t="str">
            <v>R</v>
          </cell>
          <cell r="J154" t="str">
            <v>LF</v>
          </cell>
          <cell r="K154" t="str">
            <v>NC</v>
          </cell>
          <cell r="M154" t="str">
            <v>Payment of zoom application for the month of July- Oct 2020</v>
          </cell>
          <cell r="X154" t="str">
            <v>0110</v>
          </cell>
          <cell r="Z154">
            <v>-17595.310000000001</v>
          </cell>
        </row>
        <row r="155">
          <cell r="B155" t="str">
            <v>0111</v>
          </cell>
          <cell r="C155" t="str">
            <v>12</v>
          </cell>
          <cell r="D155" t="str">
            <v>1906</v>
          </cell>
          <cell r="E155" t="str">
            <v>LBP F/O Honoraria of the KMME Panelist</v>
          </cell>
          <cell r="F155" t="str">
            <v>MOOE</v>
          </cell>
          <cell r="G155" t="str">
            <v>RO</v>
          </cell>
          <cell r="I155" t="str">
            <v>R</v>
          </cell>
          <cell r="M155" t="str">
            <v>Honoraria of panelist during KMME Online class session batch 1 BIP presentation on September 21-23, 2020 thru zoom app</v>
          </cell>
          <cell r="X155" t="str">
            <v>0111</v>
          </cell>
          <cell r="Z155">
            <v>31350</v>
          </cell>
        </row>
        <row r="156">
          <cell r="B156" t="str">
            <v>0111</v>
          </cell>
          <cell r="C156" t="str">
            <v>12</v>
          </cell>
          <cell r="D156" t="str">
            <v>1906</v>
          </cell>
          <cell r="E156" t="str">
            <v>LBP F/O Honoraria of the KMME Panelist</v>
          </cell>
          <cell r="F156" t="str">
            <v>MOOE</v>
          </cell>
          <cell r="G156" t="str">
            <v>RO</v>
          </cell>
          <cell r="I156" t="str">
            <v>R</v>
          </cell>
          <cell r="M156" t="str">
            <v>Honoraria of panelist during KMME Online class session batch 1 BIP presentation on September 21-23, 2020 thru zoom app</v>
          </cell>
          <cell r="X156" t="str">
            <v>0111</v>
          </cell>
          <cell r="Z156">
            <v>-31350</v>
          </cell>
        </row>
        <row r="157">
          <cell r="B157">
            <v>0</v>
          </cell>
          <cell r="L157">
            <v>867728.49</v>
          </cell>
          <cell r="Z157">
            <v>3935646.23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  <cell r="E161" t="str">
            <v>NTA Control No. 2021-02-032
NCA-BMB-A-21-0000351</v>
          </cell>
          <cell r="M161" t="str">
            <v>Transfer of funds to cover for the PS requirement of DTI-CARP for the month of February, 2021 and MOOE requirement for the months of January and February 2021</v>
          </cell>
        </row>
        <row r="162">
          <cell r="B162">
            <v>0</v>
          </cell>
          <cell r="E162" t="str">
            <v>NTA Control No. 2021-02-040 
NCA-BMB-A-21-0000351 dated 2/23/2021</v>
          </cell>
          <cell r="M162" t="str">
            <v>Transfer of funds to cover GOP counterpart requirement for the payment of JO/COS for the 1st Quarter of CY2021 under RAPID Growth Project. (GOP Continuing)</v>
          </cell>
        </row>
        <row r="163">
          <cell r="B163" t="str">
            <v>0112</v>
          </cell>
          <cell r="C163" t="str">
            <v>01</v>
          </cell>
          <cell r="E163" t="str">
            <v>GSIS</v>
          </cell>
          <cell r="F163" t="str">
            <v>PS</v>
          </cell>
          <cell r="L163">
            <v>1623829.3</v>
          </cell>
          <cell r="M163" t="str">
            <v>Remittance of GSIS Premiums (EE &amp; ER Share) and loans payment for the month of January 2021.</v>
          </cell>
          <cell r="X163" t="str">
            <v>0112</v>
          </cell>
          <cell r="Z163">
            <v>1623829.3</v>
          </cell>
        </row>
        <row r="164">
          <cell r="B164" t="str">
            <v>0113</v>
          </cell>
          <cell r="C164" t="str">
            <v>12</v>
          </cell>
          <cell r="D164" t="str">
            <v>1971</v>
          </cell>
          <cell r="E164" t="str">
            <v>Lyza D. Trapal</v>
          </cell>
          <cell r="F164" t="str">
            <v>MOOE</v>
          </cell>
          <cell r="G164" t="str">
            <v>RO</v>
          </cell>
          <cell r="I164" t="str">
            <v>R</v>
          </cell>
          <cell r="K164" t="str">
            <v>LSP-NSB</v>
          </cell>
          <cell r="M164" t="str">
            <v>Reimb of tokens/prizes during LSP-NSB and PPG Year end asessment on December 22, 2020</v>
          </cell>
          <cell r="X164" t="str">
            <v>0113</v>
          </cell>
          <cell r="Z164">
            <v>9500</v>
          </cell>
        </row>
        <row r="165">
          <cell r="B165" t="str">
            <v>0113A</v>
          </cell>
          <cell r="C165" t="str">
            <v>01</v>
          </cell>
          <cell r="D165" t="str">
            <v>041A</v>
          </cell>
          <cell r="E165" t="str">
            <v>Joselyn  Ang</v>
          </cell>
          <cell r="F165" t="str">
            <v>MOOE</v>
          </cell>
          <cell r="G165" t="str">
            <v>RO</v>
          </cell>
          <cell r="I165" t="str">
            <v>R</v>
          </cell>
          <cell r="M165" t="str">
            <v>Space rental DTI Storage area</v>
          </cell>
          <cell r="X165" t="str">
            <v>0113A</v>
          </cell>
          <cell r="Z165">
            <v>16028.58</v>
          </cell>
        </row>
        <row r="166">
          <cell r="B166" t="str">
            <v>0113B</v>
          </cell>
          <cell r="C166" t="str">
            <v>12</v>
          </cell>
          <cell r="D166" t="str">
            <v>1894</v>
          </cell>
          <cell r="E166" t="str">
            <v>Efren Sotto</v>
          </cell>
          <cell r="F166" t="str">
            <v>MOOE</v>
          </cell>
          <cell r="G166" t="str">
            <v>RO</v>
          </cell>
          <cell r="I166" t="str">
            <v>R</v>
          </cell>
          <cell r="J166" t="str">
            <v>MOOE</v>
          </cell>
          <cell r="K166" t="str">
            <v>NC</v>
          </cell>
          <cell r="M166" t="str">
            <v>Payment of Honorariumj of panelist during BIP Presentation on September 21-23, 2020(KMME Online Session Batch 1</v>
          </cell>
          <cell r="X166" t="str">
            <v>0113B</v>
          </cell>
          <cell r="Z166">
            <v>950</v>
          </cell>
        </row>
        <row r="167">
          <cell r="B167" t="str">
            <v>0113C</v>
          </cell>
          <cell r="C167" t="str">
            <v>12</v>
          </cell>
          <cell r="D167" t="str">
            <v>1896</v>
          </cell>
          <cell r="E167" t="str">
            <v>Angelito Cagulada</v>
          </cell>
          <cell r="F167" t="str">
            <v>MOOE</v>
          </cell>
          <cell r="G167" t="str">
            <v>RO</v>
          </cell>
          <cell r="I167" t="str">
            <v>R</v>
          </cell>
          <cell r="J167" t="str">
            <v>MOOE</v>
          </cell>
          <cell r="K167" t="str">
            <v>NC</v>
          </cell>
          <cell r="M167" t="str">
            <v>Payment of Honorarium of panelist during BIP Presentation on September 21-23, 2020(KMME Online Session Batch 1</v>
          </cell>
          <cell r="X167" t="str">
            <v>0113C</v>
          </cell>
          <cell r="Z167">
            <v>1900</v>
          </cell>
        </row>
        <row r="168">
          <cell r="B168" t="str">
            <v>0113D</v>
          </cell>
          <cell r="C168" t="str">
            <v>12</v>
          </cell>
          <cell r="D168" t="str">
            <v>1897</v>
          </cell>
          <cell r="E168" t="str">
            <v>Maximo R. Yap</v>
          </cell>
          <cell r="F168" t="str">
            <v>MOOE</v>
          </cell>
          <cell r="G168" t="str">
            <v>RO</v>
          </cell>
          <cell r="I168" t="str">
            <v>R</v>
          </cell>
          <cell r="J168" t="str">
            <v>MOOE</v>
          </cell>
          <cell r="K168" t="str">
            <v>NC</v>
          </cell>
          <cell r="M168" t="str">
            <v>Payment of Honorarium of panelist during BIP Presentation on September 21-23, 2020(KMME Online Session Batch 1</v>
          </cell>
          <cell r="X168" t="str">
            <v>0113D</v>
          </cell>
          <cell r="Z168">
            <v>950</v>
          </cell>
        </row>
        <row r="169">
          <cell r="B169" t="str">
            <v>0113E</v>
          </cell>
          <cell r="C169" t="str">
            <v>12</v>
          </cell>
          <cell r="D169" t="str">
            <v>1898</v>
          </cell>
          <cell r="E169" t="str">
            <v>Kamile Angelie  Mabano</v>
          </cell>
          <cell r="F169" t="str">
            <v>MOOE</v>
          </cell>
          <cell r="G169" t="str">
            <v>RO</v>
          </cell>
          <cell r="I169" t="str">
            <v>R</v>
          </cell>
          <cell r="J169" t="str">
            <v>MOOE</v>
          </cell>
          <cell r="K169" t="str">
            <v>NC</v>
          </cell>
          <cell r="M169" t="str">
            <v>Payment of Honorarium of panelist during BIP Presentation on September 21-23, 2020(KMME Online Session Batch 1</v>
          </cell>
          <cell r="X169" t="str">
            <v>0113E</v>
          </cell>
          <cell r="Z169">
            <v>950</v>
          </cell>
        </row>
        <row r="170">
          <cell r="B170" t="str">
            <v>0113F</v>
          </cell>
          <cell r="C170" t="str">
            <v>12</v>
          </cell>
          <cell r="D170" t="str">
            <v>1899</v>
          </cell>
          <cell r="E170" t="str">
            <v>Vonne Vincent Gador</v>
          </cell>
          <cell r="F170" t="str">
            <v>MOOE</v>
          </cell>
          <cell r="G170" t="str">
            <v>RO</v>
          </cell>
          <cell r="I170" t="str">
            <v>R</v>
          </cell>
          <cell r="J170" t="str">
            <v>MOOE</v>
          </cell>
          <cell r="K170" t="str">
            <v>NC</v>
          </cell>
          <cell r="M170" t="str">
            <v>Payment of Honorarium of panelist during BIP Presentation on September 21-23, 2020(KMME Online Session Batch 1</v>
          </cell>
          <cell r="X170" t="str">
            <v>0113F</v>
          </cell>
          <cell r="Z170">
            <v>2850</v>
          </cell>
        </row>
        <row r="171">
          <cell r="B171" t="str">
            <v>0113G</v>
          </cell>
          <cell r="C171" t="str">
            <v>12</v>
          </cell>
          <cell r="D171" t="str">
            <v>1907</v>
          </cell>
          <cell r="E171" t="str">
            <v>Gesila Laput</v>
          </cell>
          <cell r="F171" t="str">
            <v>MOOE</v>
          </cell>
          <cell r="G171" t="str">
            <v>RO</v>
          </cell>
          <cell r="I171" t="str">
            <v>R</v>
          </cell>
          <cell r="J171" t="str">
            <v>MOOE</v>
          </cell>
          <cell r="K171" t="str">
            <v>NC</v>
          </cell>
          <cell r="M171" t="str">
            <v>Payment of Honorarium of panelist during BIP Presentation on September 21-23, 2020(KMME Online Session Batch 1</v>
          </cell>
          <cell r="X171" t="str">
            <v>0113G</v>
          </cell>
          <cell r="Z171">
            <v>1900</v>
          </cell>
        </row>
        <row r="172">
          <cell r="B172" t="str">
            <v>0044</v>
          </cell>
          <cell r="C172" t="str">
            <v>12</v>
          </cell>
          <cell r="D172" t="str">
            <v>1900</v>
          </cell>
          <cell r="E172" t="str">
            <v>Cherille Ann Marie Mulawan</v>
          </cell>
          <cell r="F172" t="str">
            <v>MOOE</v>
          </cell>
          <cell r="G172" t="str">
            <v>RO</v>
          </cell>
          <cell r="I172" t="str">
            <v>R</v>
          </cell>
          <cell r="J172" t="str">
            <v>MOOE</v>
          </cell>
          <cell r="K172" t="str">
            <v>NC</v>
          </cell>
          <cell r="M172" t="str">
            <v>Payment of Honorarium of panelist during BIP Presentation on September 21-23, 2020(KMME Online Session Batch 1</v>
          </cell>
          <cell r="X172" t="str">
            <v>0044</v>
          </cell>
          <cell r="Z172">
            <v>2850</v>
          </cell>
        </row>
        <row r="173">
          <cell r="B173" t="str">
            <v>0114</v>
          </cell>
          <cell r="C173" t="str">
            <v>12</v>
          </cell>
          <cell r="D173" t="str">
            <v>1982</v>
          </cell>
          <cell r="E173" t="str">
            <v>Essential Vows Weddings &amp; Events</v>
          </cell>
          <cell r="F173" t="str">
            <v>MOOE</v>
          </cell>
          <cell r="G173" t="str">
            <v>RO</v>
          </cell>
          <cell r="I173" t="str">
            <v>R</v>
          </cell>
          <cell r="K173" t="str">
            <v>LSP NSB</v>
          </cell>
          <cell r="M173" t="str">
            <v>Payment for the event organizer during the conduct of Grand Launching of OTOP PH Hub at SM City Butuan on December 18, 2020</v>
          </cell>
          <cell r="X173" t="str">
            <v>0114</v>
          </cell>
          <cell r="Z173">
            <v>42750</v>
          </cell>
        </row>
        <row r="174">
          <cell r="B174" t="str">
            <v>0115</v>
          </cell>
          <cell r="C174" t="str">
            <v>12</v>
          </cell>
          <cell r="D174" t="str">
            <v>1999</v>
          </cell>
          <cell r="E174" t="str">
            <v>Mercado's Sudlanan Atbp</v>
          </cell>
          <cell r="F174" t="str">
            <v>MOOE</v>
          </cell>
          <cell r="G174" t="str">
            <v>RO</v>
          </cell>
          <cell r="I174" t="str">
            <v>R</v>
          </cell>
          <cell r="M174" t="str">
            <v>Payment for the committee tshirts during the grand launching of OTOP PH Hub at SM City Butuan on December 18, 2020</v>
          </cell>
          <cell r="X174" t="str">
            <v>0115</v>
          </cell>
          <cell r="Z174">
            <v>6000</v>
          </cell>
        </row>
        <row r="175">
          <cell r="B175" t="str">
            <v>0116</v>
          </cell>
          <cell r="C175" t="str">
            <v>12</v>
          </cell>
          <cell r="D175" t="str">
            <v>1983</v>
          </cell>
          <cell r="E175" t="str">
            <v>New Era Audio and Light Sales &amp; Rental</v>
          </cell>
          <cell r="F175" t="str">
            <v>MOOE</v>
          </cell>
          <cell r="G175" t="str">
            <v>RO</v>
          </cell>
          <cell r="I175" t="str">
            <v>R</v>
          </cell>
          <cell r="K175" t="str">
            <v>LSP</v>
          </cell>
          <cell r="M175" t="str">
            <v>Payment for the sounds and lights during the conduct of grand launching of OTOP PH Hub at SM City Butuan on Dec 18, 2020.</v>
          </cell>
          <cell r="X175" t="str">
            <v>0116</v>
          </cell>
          <cell r="Z175">
            <v>7125</v>
          </cell>
        </row>
        <row r="176">
          <cell r="B176" t="str">
            <v>0117</v>
          </cell>
          <cell r="C176" t="str">
            <v>12</v>
          </cell>
          <cell r="D176" t="str">
            <v>2001</v>
          </cell>
          <cell r="E176" t="str">
            <v>JCB Express Solution</v>
          </cell>
          <cell r="F176" t="str">
            <v>MOOE</v>
          </cell>
          <cell r="G176" t="str">
            <v>RO</v>
          </cell>
          <cell r="I176" t="str">
            <v>R</v>
          </cell>
          <cell r="M176" t="str">
            <v>Payment for the tarpaulins during the grand launching of OTOP PH Hub at SM City Butuan Cityon December 18, 2020</v>
          </cell>
          <cell r="X176" t="str">
            <v>0117</v>
          </cell>
          <cell r="Z176">
            <v>6175</v>
          </cell>
        </row>
        <row r="177">
          <cell r="B177" t="str">
            <v>0118</v>
          </cell>
          <cell r="C177" t="str">
            <v>02</v>
          </cell>
          <cell r="D177" t="str">
            <v>005</v>
          </cell>
          <cell r="E177" t="str">
            <v>Dreamco MPC</v>
          </cell>
          <cell r="F177" t="str">
            <v>PS</v>
          </cell>
          <cell r="G177" t="str">
            <v>PDI</v>
          </cell>
          <cell r="I177" t="str">
            <v>R</v>
          </cell>
          <cell r="L177">
            <v>1566.1</v>
          </cell>
          <cell r="M177" t="str">
            <v>Remittance of coop deductions from PDI( additional remittance) for the month of January 2021</v>
          </cell>
          <cell r="X177" t="str">
            <v>0118</v>
          </cell>
          <cell r="Z177">
            <v>1566.1</v>
          </cell>
        </row>
        <row r="178">
          <cell r="B178" t="str">
            <v>0119</v>
          </cell>
          <cell r="C178" t="str">
            <v>02</v>
          </cell>
          <cell r="D178" t="str">
            <v>003</v>
          </cell>
          <cell r="E178" t="str">
            <v>PHIC- Butuan City</v>
          </cell>
          <cell r="F178" t="str">
            <v>PS</v>
          </cell>
          <cell r="G178" t="str">
            <v>RO</v>
          </cell>
          <cell r="L178">
            <v>465.72</v>
          </cell>
          <cell r="M178" t="str">
            <v>Remittance of PHIC premiums ( EE &amp; ER share) of newly hired employee, Ms. Maribel P. Timogan for the month of January 2021</v>
          </cell>
          <cell r="X178" t="str">
            <v>0119</v>
          </cell>
          <cell r="Z178">
            <v>465.72</v>
          </cell>
        </row>
        <row r="179">
          <cell r="B179" t="str">
            <v>0120</v>
          </cell>
          <cell r="C179" t="str">
            <v>02</v>
          </cell>
          <cell r="D179" t="str">
            <v>003</v>
          </cell>
          <cell r="E179" t="str">
            <v>HDMF-Butuan City</v>
          </cell>
          <cell r="F179" t="str">
            <v>PS</v>
          </cell>
          <cell r="G179" t="str">
            <v>RO</v>
          </cell>
          <cell r="L179">
            <v>200</v>
          </cell>
          <cell r="M179" t="str">
            <v>Remittance of HDMF premiums ( EE &amp; ER share) of newly hired employee, Ms. Maribel P. Timogan for the month of January 2021</v>
          </cell>
          <cell r="X179" t="str">
            <v>0120</v>
          </cell>
          <cell r="Z179">
            <v>200</v>
          </cell>
        </row>
        <row r="180">
          <cell r="B180" t="str">
            <v>0121</v>
          </cell>
          <cell r="C180" t="str">
            <v>12</v>
          </cell>
          <cell r="D180" t="str">
            <v>2010</v>
          </cell>
          <cell r="E180" t="str">
            <v>Land Bank of the Philippines</v>
          </cell>
          <cell r="F180" t="str">
            <v>MOOE</v>
          </cell>
          <cell r="G180" t="str">
            <v>RO</v>
          </cell>
          <cell r="I180" t="str">
            <v>R</v>
          </cell>
          <cell r="K180" t="str">
            <v>GOP RAPID</v>
          </cell>
          <cell r="M180" t="str">
            <v>Gratuity Pay for RAPID Staff</v>
          </cell>
          <cell r="X180" t="str">
            <v>0121</v>
          </cell>
          <cell r="Z180">
            <v>39000</v>
          </cell>
        </row>
        <row r="181">
          <cell r="B181" t="str">
            <v>0122</v>
          </cell>
          <cell r="C181" t="str">
            <v>02</v>
          </cell>
          <cell r="D181" t="str">
            <v>003</v>
          </cell>
          <cell r="E181" t="str">
            <v>GSIS</v>
          </cell>
          <cell r="F181" t="str">
            <v>PS</v>
          </cell>
          <cell r="G181" t="str">
            <v>RO</v>
          </cell>
          <cell r="L181">
            <v>3044.55</v>
          </cell>
          <cell r="M181" t="str">
            <v>Remittance of HDMF premiums ( EE &amp; ER share) of newly hired employee, Ms. Maribel P. Timogan for the month of January 2021</v>
          </cell>
          <cell r="X181" t="str">
            <v>0122</v>
          </cell>
          <cell r="Z181">
            <v>3044.55</v>
          </cell>
        </row>
        <row r="182">
          <cell r="B182" t="str">
            <v>0123</v>
          </cell>
          <cell r="C182" t="str">
            <v>02</v>
          </cell>
          <cell r="D182" t="str">
            <v>003</v>
          </cell>
          <cell r="E182" t="str">
            <v>DTI-Employees Union</v>
          </cell>
          <cell r="F182" t="str">
            <v>PS</v>
          </cell>
          <cell r="G182" t="str">
            <v>RO</v>
          </cell>
          <cell r="L182">
            <v>170</v>
          </cell>
          <cell r="M182" t="str">
            <v>Remittance of DTI EU membership and EU dues premium of newly hired employee, Ms. Maribel P. Timogan for the month of January 2021</v>
          </cell>
          <cell r="X182" t="str">
            <v>0123</v>
          </cell>
          <cell r="Z182">
            <v>170</v>
          </cell>
        </row>
        <row r="183">
          <cell r="B183" t="str">
            <v>0124</v>
          </cell>
          <cell r="C183" t="str">
            <v>02</v>
          </cell>
          <cell r="D183" t="str">
            <v>003</v>
          </cell>
          <cell r="E183" t="str">
            <v>DTI-Provident Fund</v>
          </cell>
          <cell r="F183" t="str">
            <v>PS</v>
          </cell>
          <cell r="G183" t="str">
            <v>RO</v>
          </cell>
          <cell r="L183">
            <v>200</v>
          </cell>
          <cell r="M183" t="str">
            <v>Remittance of provident fund premium and membership fee of newly hired employee, Ms. Maribel P. Timogan for the month of January 2021</v>
          </cell>
          <cell r="X183" t="str">
            <v>0124</v>
          </cell>
          <cell r="Z183">
            <v>200</v>
          </cell>
        </row>
        <row r="184">
          <cell r="B184" t="str">
            <v>0125</v>
          </cell>
          <cell r="C184" t="str">
            <v>02</v>
          </cell>
          <cell r="D184" t="str">
            <v>003</v>
          </cell>
          <cell r="E184" t="str">
            <v>DTI-MDBF</v>
          </cell>
          <cell r="F184" t="str">
            <v>PS</v>
          </cell>
          <cell r="G184" t="str">
            <v>RO</v>
          </cell>
          <cell r="L184">
            <v>50</v>
          </cell>
          <cell r="M184" t="str">
            <v>Remittance of MDBF premium of newly hired employee, Ms. Maribel P. Timogan for the month of January 2021</v>
          </cell>
          <cell r="X184" t="str">
            <v>0125</v>
          </cell>
          <cell r="Z184">
            <v>50</v>
          </cell>
        </row>
        <row r="185">
          <cell r="B185" t="str">
            <v>0126</v>
          </cell>
          <cell r="C185" t="str">
            <v>12</v>
          </cell>
          <cell r="D185" t="str">
            <v>2025</v>
          </cell>
          <cell r="E185" t="str">
            <v>Almont Hotel Inc.</v>
          </cell>
          <cell r="F185" t="str">
            <v>MOOE</v>
          </cell>
          <cell r="G185" t="str">
            <v>RO</v>
          </cell>
          <cell r="I185" t="str">
            <v>R</v>
          </cell>
          <cell r="K185" t="str">
            <v>OO3</v>
          </cell>
          <cell r="M185" t="str">
            <v>Payment for packed lunched re: OTOP Ph Hub (Food) launching last December 18, 2020</v>
          </cell>
          <cell r="X185" t="str">
            <v>0126</v>
          </cell>
          <cell r="Z185">
            <v>16406.25</v>
          </cell>
        </row>
        <row r="186">
          <cell r="B186" t="str">
            <v>0127</v>
          </cell>
          <cell r="C186" t="str">
            <v>01</v>
          </cell>
          <cell r="D186" t="str">
            <v>031</v>
          </cell>
          <cell r="E186" t="str">
            <v>PHIC- Butuan City</v>
          </cell>
          <cell r="F186" t="str">
            <v>PS</v>
          </cell>
          <cell r="G186" t="str">
            <v>RO</v>
          </cell>
          <cell r="K186" t="str">
            <v>CARP</v>
          </cell>
          <cell r="L186">
            <v>1310.43</v>
          </cell>
          <cell r="M186" t="str">
            <v>Remittance of premiums (EE &amp; ER share) and loans payment for the month of January 2021</v>
          </cell>
          <cell r="X186" t="str">
            <v>0127</v>
          </cell>
          <cell r="Z186">
            <v>1310.43</v>
          </cell>
        </row>
        <row r="187">
          <cell r="B187" t="str">
            <v>0127</v>
          </cell>
          <cell r="C187" t="str">
            <v>01</v>
          </cell>
          <cell r="D187" t="str">
            <v>032</v>
          </cell>
          <cell r="E187" t="str">
            <v>PHIC- Butuan City</v>
          </cell>
          <cell r="F187" t="str">
            <v>PS</v>
          </cell>
          <cell r="G187" t="str">
            <v>AD N</v>
          </cell>
          <cell r="K187" t="str">
            <v>CARP</v>
          </cell>
          <cell r="L187">
            <v>2317.6799999999998</v>
          </cell>
          <cell r="M187" t="str">
            <v>Remittance of premiums (EE &amp; ER share) and loans payment for the month of January 2021</v>
          </cell>
          <cell r="X187" t="str">
            <v>0127</v>
          </cell>
          <cell r="Z187">
            <v>2317.6799999999998</v>
          </cell>
        </row>
        <row r="188">
          <cell r="B188" t="str">
            <v>0127</v>
          </cell>
          <cell r="C188" t="str">
            <v>01</v>
          </cell>
          <cell r="D188" t="str">
            <v>033</v>
          </cell>
          <cell r="E188" t="str">
            <v>PHIC- Butuan City</v>
          </cell>
          <cell r="F188" t="str">
            <v>PS</v>
          </cell>
          <cell r="G188" t="str">
            <v>ADS</v>
          </cell>
          <cell r="K188" t="str">
            <v>CARP</v>
          </cell>
          <cell r="L188">
            <v>1007.25</v>
          </cell>
          <cell r="M188" t="str">
            <v>Remittance of premiums (EE &amp; ER share) and loans payment for the month of January 2021</v>
          </cell>
          <cell r="X188" t="str">
            <v>0127</v>
          </cell>
          <cell r="Z188">
            <v>1007.25</v>
          </cell>
        </row>
        <row r="189">
          <cell r="B189" t="str">
            <v>0127</v>
          </cell>
          <cell r="C189" t="str">
            <v>01</v>
          </cell>
          <cell r="D189" t="str">
            <v>034</v>
          </cell>
          <cell r="E189" t="str">
            <v>PHIC- Butuan City</v>
          </cell>
          <cell r="F189" t="str">
            <v>PS</v>
          </cell>
          <cell r="G189" t="str">
            <v>SDN</v>
          </cell>
          <cell r="K189" t="str">
            <v>CARP</v>
          </cell>
          <cell r="L189">
            <v>1007.25</v>
          </cell>
          <cell r="M189" t="str">
            <v>Remittance of premiums (EE &amp; ER share) and loans payment for the month of January 2021</v>
          </cell>
          <cell r="X189" t="str">
            <v>0127</v>
          </cell>
          <cell r="Z189">
            <v>1007.25</v>
          </cell>
        </row>
        <row r="190">
          <cell r="B190" t="str">
            <v>0127</v>
          </cell>
          <cell r="C190" t="str">
            <v>01</v>
          </cell>
          <cell r="D190" t="str">
            <v>035</v>
          </cell>
          <cell r="E190" t="str">
            <v>PHIC- Butuan City</v>
          </cell>
          <cell r="F190" t="str">
            <v>PS</v>
          </cell>
          <cell r="G190" t="str">
            <v>SDS</v>
          </cell>
          <cell r="K190" t="str">
            <v>CARP</v>
          </cell>
          <cell r="L190">
            <v>2317.6799999999998</v>
          </cell>
          <cell r="M190" t="str">
            <v>Remittance of premiums (EE &amp; ER share) and loans payment for the month of January 2021</v>
          </cell>
          <cell r="X190" t="str">
            <v>0127</v>
          </cell>
          <cell r="Z190">
            <v>2317.6799999999998</v>
          </cell>
        </row>
        <row r="191">
          <cell r="B191" t="str">
            <v>0127</v>
          </cell>
          <cell r="C191" t="str">
            <v>01</v>
          </cell>
          <cell r="D191" t="str">
            <v>036</v>
          </cell>
          <cell r="E191" t="str">
            <v>PHIC- Butuan City</v>
          </cell>
          <cell r="F191" t="str">
            <v>PS</v>
          </cell>
          <cell r="G191" t="str">
            <v>PDI</v>
          </cell>
          <cell r="K191" t="str">
            <v>CARP</v>
          </cell>
          <cell r="L191">
            <v>1007.25</v>
          </cell>
          <cell r="M191" t="str">
            <v>Remittance of premiums (EE &amp; ER share) and loans payment for the month of January 2021</v>
          </cell>
          <cell r="X191" t="str">
            <v>0127</v>
          </cell>
          <cell r="Z191">
            <v>1007.25</v>
          </cell>
        </row>
        <row r="192">
          <cell r="B192" t="str">
            <v>0128</v>
          </cell>
          <cell r="C192" t="str">
            <v>01</v>
          </cell>
          <cell r="D192" t="str">
            <v>031</v>
          </cell>
          <cell r="E192" t="str">
            <v>GSIS</v>
          </cell>
          <cell r="F192" t="str">
            <v>PS</v>
          </cell>
          <cell r="G192" t="str">
            <v>RO</v>
          </cell>
          <cell r="K192" t="str">
            <v>CARP</v>
          </cell>
          <cell r="L192">
            <v>17541.5</v>
          </cell>
          <cell r="M192" t="str">
            <v>Remittance of premiums (EE &amp; ER share) and loans payment for the month of January 2021</v>
          </cell>
          <cell r="X192" t="str">
            <v>0128</v>
          </cell>
          <cell r="Z192">
            <v>17541.5</v>
          </cell>
        </row>
        <row r="193">
          <cell r="B193" t="str">
            <v>0128</v>
          </cell>
          <cell r="C193" t="str">
            <v>01</v>
          </cell>
          <cell r="D193" t="str">
            <v>032</v>
          </cell>
          <cell r="E193" t="str">
            <v>GSIS</v>
          </cell>
          <cell r="F193" t="str">
            <v>PS</v>
          </cell>
          <cell r="G193" t="str">
            <v>AD N</v>
          </cell>
          <cell r="K193" t="str">
            <v>CARP</v>
          </cell>
          <cell r="L193">
            <v>16423.759999999998</v>
          </cell>
          <cell r="M193" t="str">
            <v>Remittance of premiums (EE &amp; ER share) and loans payment for the month of January 2021</v>
          </cell>
          <cell r="X193" t="str">
            <v>0128</v>
          </cell>
          <cell r="Z193">
            <v>16423.759999999998</v>
          </cell>
        </row>
        <row r="194">
          <cell r="B194" t="str">
            <v>0128</v>
          </cell>
          <cell r="C194" t="str">
            <v>01</v>
          </cell>
          <cell r="D194" t="str">
            <v>033</v>
          </cell>
          <cell r="E194" t="str">
            <v>GSIS</v>
          </cell>
          <cell r="F194" t="str">
            <v>PS</v>
          </cell>
          <cell r="G194" t="str">
            <v>ADS</v>
          </cell>
          <cell r="K194" t="str">
            <v>CARP</v>
          </cell>
          <cell r="L194">
            <v>7150.75</v>
          </cell>
          <cell r="M194" t="str">
            <v>Remittance of premiums (EE &amp; ER share) and loans payment for the month of January 2021</v>
          </cell>
          <cell r="X194" t="str">
            <v>0128</v>
          </cell>
          <cell r="Z194">
            <v>7150.75</v>
          </cell>
        </row>
        <row r="195">
          <cell r="B195" t="str">
            <v>0128</v>
          </cell>
          <cell r="C195" t="str">
            <v>01</v>
          </cell>
          <cell r="D195" t="str">
            <v>034</v>
          </cell>
          <cell r="E195" t="str">
            <v>GSIS</v>
          </cell>
          <cell r="F195" t="str">
            <v>PS</v>
          </cell>
          <cell r="G195" t="str">
            <v>SDN</v>
          </cell>
          <cell r="K195" t="str">
            <v>CARP</v>
          </cell>
          <cell r="L195">
            <v>14320.75</v>
          </cell>
          <cell r="M195" t="str">
            <v>Remittance of premiums (EE &amp; ER share) and loans payment for the month of January 2021</v>
          </cell>
          <cell r="X195" t="str">
            <v>0128</v>
          </cell>
          <cell r="Z195">
            <v>14320.75</v>
          </cell>
        </row>
        <row r="196">
          <cell r="B196" t="str">
            <v>0128</v>
          </cell>
          <cell r="C196" t="str">
            <v>01</v>
          </cell>
          <cell r="D196" t="str">
            <v>035</v>
          </cell>
          <cell r="E196" t="str">
            <v>GSIS</v>
          </cell>
          <cell r="F196" t="str">
            <v>PS</v>
          </cell>
          <cell r="G196" t="str">
            <v>SDS</v>
          </cell>
          <cell r="K196" t="str">
            <v>CARP</v>
          </cell>
          <cell r="L196">
            <v>16423.759999999998</v>
          </cell>
          <cell r="M196" t="str">
            <v>Remittance of premiums (EE &amp; ER share) and loans payment for the month of January 2021</v>
          </cell>
          <cell r="X196" t="str">
            <v>0128</v>
          </cell>
          <cell r="Z196">
            <v>16423.759999999998</v>
          </cell>
        </row>
        <row r="197">
          <cell r="B197" t="str">
            <v>0128</v>
          </cell>
          <cell r="C197" t="str">
            <v>01</v>
          </cell>
          <cell r="D197" t="str">
            <v>036</v>
          </cell>
          <cell r="E197" t="str">
            <v>GSIS</v>
          </cell>
          <cell r="F197" t="str">
            <v>PS</v>
          </cell>
          <cell r="G197" t="str">
            <v>PDI</v>
          </cell>
          <cell r="K197" t="str">
            <v>CARP</v>
          </cell>
          <cell r="L197">
            <v>7150.75</v>
          </cell>
          <cell r="M197" t="str">
            <v>Remittance of premiums (EE &amp; ER share) and loans payment for the month of January 2021</v>
          </cell>
          <cell r="X197" t="str">
            <v>0128</v>
          </cell>
          <cell r="Z197">
            <v>7150.75</v>
          </cell>
        </row>
        <row r="198">
          <cell r="B198" t="str">
            <v>0129</v>
          </cell>
          <cell r="C198" t="str">
            <v>01</v>
          </cell>
          <cell r="D198" t="str">
            <v>031</v>
          </cell>
          <cell r="E198" t="str">
            <v>HDMF-Butuan City</v>
          </cell>
          <cell r="F198" t="str">
            <v>PS</v>
          </cell>
          <cell r="G198" t="str">
            <v>RO</v>
          </cell>
          <cell r="K198" t="str">
            <v>CARP</v>
          </cell>
          <cell r="L198">
            <v>200</v>
          </cell>
          <cell r="M198" t="str">
            <v>Remittance of premiums and loans payment for the month of January 2021</v>
          </cell>
          <cell r="X198" t="str">
            <v>0129</v>
          </cell>
          <cell r="Z198">
            <v>200</v>
          </cell>
        </row>
        <row r="199">
          <cell r="B199" t="str">
            <v>0129</v>
          </cell>
          <cell r="C199" t="str">
            <v>01</v>
          </cell>
          <cell r="D199" t="str">
            <v>032</v>
          </cell>
          <cell r="E199" t="str">
            <v>HDMF-Butuan City</v>
          </cell>
          <cell r="F199" t="str">
            <v>PS</v>
          </cell>
          <cell r="G199" t="str">
            <v>AD N</v>
          </cell>
          <cell r="K199" t="str">
            <v>CARP</v>
          </cell>
          <cell r="L199">
            <v>400</v>
          </cell>
          <cell r="M199" t="str">
            <v>Remittance of premiums and loans payment for the month of January 2021</v>
          </cell>
          <cell r="X199" t="str">
            <v>0129</v>
          </cell>
          <cell r="Z199">
            <v>400</v>
          </cell>
        </row>
        <row r="200">
          <cell r="B200" t="str">
            <v>0129</v>
          </cell>
          <cell r="C200" t="str">
            <v>01</v>
          </cell>
          <cell r="D200" t="str">
            <v>033</v>
          </cell>
          <cell r="E200" t="str">
            <v>HDMF-Butuan City</v>
          </cell>
          <cell r="F200" t="str">
            <v>PS</v>
          </cell>
          <cell r="G200" t="str">
            <v>ADS</v>
          </cell>
          <cell r="K200" t="str">
            <v>CARP</v>
          </cell>
          <cell r="L200">
            <v>200</v>
          </cell>
          <cell r="M200" t="str">
            <v>Remittance of premiums and loans payment for the month of January 2021</v>
          </cell>
          <cell r="X200" t="str">
            <v>0129</v>
          </cell>
          <cell r="Z200">
            <v>200</v>
          </cell>
        </row>
        <row r="201">
          <cell r="B201" t="str">
            <v>0129</v>
          </cell>
          <cell r="C201" t="str">
            <v>01</v>
          </cell>
          <cell r="D201" t="str">
            <v>034</v>
          </cell>
          <cell r="E201" t="str">
            <v>HDMF-Butuan City</v>
          </cell>
          <cell r="F201" t="str">
            <v>PS</v>
          </cell>
          <cell r="G201" t="str">
            <v>SDN</v>
          </cell>
          <cell r="K201" t="str">
            <v>CARP</v>
          </cell>
          <cell r="L201">
            <v>2100</v>
          </cell>
          <cell r="M201" t="str">
            <v>Remittance of premiums and loans payment for the month of January 2021</v>
          </cell>
          <cell r="X201" t="str">
            <v>0129</v>
          </cell>
          <cell r="Z201">
            <v>2100</v>
          </cell>
        </row>
        <row r="202">
          <cell r="B202" t="str">
            <v>0129</v>
          </cell>
          <cell r="C202" t="str">
            <v>01</v>
          </cell>
          <cell r="D202" t="str">
            <v>035</v>
          </cell>
          <cell r="E202" t="str">
            <v>HDMF-Butuan City</v>
          </cell>
          <cell r="F202" t="str">
            <v>PS</v>
          </cell>
          <cell r="G202" t="str">
            <v>SDS</v>
          </cell>
          <cell r="K202" t="str">
            <v>CARP</v>
          </cell>
          <cell r="L202">
            <v>1745.12</v>
          </cell>
          <cell r="M202" t="str">
            <v>Remittance of premiums and loans payment for the month of January 2021</v>
          </cell>
          <cell r="X202" t="str">
            <v>0129</v>
          </cell>
          <cell r="Z202">
            <v>1745.12</v>
          </cell>
        </row>
        <row r="203">
          <cell r="B203" t="str">
            <v>0129</v>
          </cell>
          <cell r="C203" t="str">
            <v>01</v>
          </cell>
          <cell r="D203" t="str">
            <v>036</v>
          </cell>
          <cell r="E203" t="str">
            <v>HDMF-Butuan City</v>
          </cell>
          <cell r="F203" t="str">
            <v>PS</v>
          </cell>
          <cell r="G203" t="str">
            <v>PDI</v>
          </cell>
          <cell r="K203" t="str">
            <v>CARP</v>
          </cell>
          <cell r="L203">
            <v>200</v>
          </cell>
          <cell r="M203" t="str">
            <v>Remittance of premiums and loans payment for the month of January 2021</v>
          </cell>
          <cell r="X203" t="str">
            <v>0129</v>
          </cell>
          <cell r="Z203">
            <v>200</v>
          </cell>
        </row>
        <row r="204">
          <cell r="B204" t="str">
            <v>0130</v>
          </cell>
          <cell r="C204" t="str">
            <v>01</v>
          </cell>
          <cell r="D204" t="str">
            <v>031</v>
          </cell>
          <cell r="E204" t="str">
            <v>DTI-Employees Union</v>
          </cell>
          <cell r="F204" t="str">
            <v>PS</v>
          </cell>
          <cell r="G204" t="str">
            <v>RO</v>
          </cell>
          <cell r="K204" t="str">
            <v>CARP</v>
          </cell>
          <cell r="L204">
            <v>120</v>
          </cell>
          <cell r="M204" t="str">
            <v>Remittance of DTI-EU dues of CARP employees for the month of January 2021</v>
          </cell>
          <cell r="X204" t="str">
            <v>0130</v>
          </cell>
          <cell r="Z204">
            <v>120</v>
          </cell>
        </row>
        <row r="205">
          <cell r="B205" t="str">
            <v>0130</v>
          </cell>
          <cell r="C205" t="str">
            <v>01</v>
          </cell>
          <cell r="D205" t="str">
            <v>032</v>
          </cell>
          <cell r="E205" t="str">
            <v>DTI-Employees Union</v>
          </cell>
          <cell r="F205" t="str">
            <v>PS</v>
          </cell>
          <cell r="G205" t="str">
            <v>AD N</v>
          </cell>
          <cell r="K205" t="str">
            <v>CARP</v>
          </cell>
          <cell r="L205">
            <v>240</v>
          </cell>
          <cell r="M205" t="str">
            <v>Remittance of DTI-EU dues of CARP employees for the month of January 2021</v>
          </cell>
          <cell r="X205" t="str">
            <v>0130</v>
          </cell>
          <cell r="Z205">
            <v>240</v>
          </cell>
        </row>
        <row r="206">
          <cell r="B206" t="str">
            <v>0130</v>
          </cell>
          <cell r="C206" t="str">
            <v>01</v>
          </cell>
          <cell r="D206" t="str">
            <v>034</v>
          </cell>
          <cell r="E206" t="str">
            <v>DTI-Employees Union</v>
          </cell>
          <cell r="F206" t="str">
            <v>PS</v>
          </cell>
          <cell r="G206" t="str">
            <v>SDN</v>
          </cell>
          <cell r="K206" t="str">
            <v>CARP</v>
          </cell>
          <cell r="L206">
            <v>120</v>
          </cell>
          <cell r="M206" t="str">
            <v>Remittance of DTI-EU dues of CARP employees for the month of January 2021</v>
          </cell>
          <cell r="X206" t="str">
            <v>0130</v>
          </cell>
          <cell r="Z206">
            <v>120</v>
          </cell>
        </row>
        <row r="207">
          <cell r="B207" t="str">
            <v>0130</v>
          </cell>
          <cell r="C207" t="str">
            <v>01</v>
          </cell>
          <cell r="D207" t="str">
            <v>035</v>
          </cell>
          <cell r="E207" t="str">
            <v>DTI-Employees Union</v>
          </cell>
          <cell r="F207" t="str">
            <v>PS</v>
          </cell>
          <cell r="G207" t="str">
            <v>SDS</v>
          </cell>
          <cell r="K207" t="str">
            <v>CARP</v>
          </cell>
          <cell r="L207">
            <v>240</v>
          </cell>
          <cell r="M207" t="str">
            <v>Remittance of DTI-EU dues of CARP employees for the month of January 2021</v>
          </cell>
          <cell r="X207" t="str">
            <v>0130</v>
          </cell>
          <cell r="Z207">
            <v>240</v>
          </cell>
        </row>
        <row r="208">
          <cell r="B208" t="str">
            <v>0130</v>
          </cell>
          <cell r="C208" t="str">
            <v>01</v>
          </cell>
          <cell r="D208" t="str">
            <v>036</v>
          </cell>
          <cell r="E208" t="str">
            <v>DTI-Employees Union</v>
          </cell>
          <cell r="F208" t="str">
            <v>PS</v>
          </cell>
          <cell r="G208" t="str">
            <v>PDI</v>
          </cell>
          <cell r="K208" t="str">
            <v>CARP</v>
          </cell>
          <cell r="L208">
            <v>120</v>
          </cell>
          <cell r="M208" t="str">
            <v>Remittance of DTI-EU dues of CARP employees for the month of January 2021</v>
          </cell>
          <cell r="X208" t="str">
            <v>0130</v>
          </cell>
          <cell r="Z208">
            <v>120</v>
          </cell>
        </row>
        <row r="209">
          <cell r="B209" t="str">
            <v>0131</v>
          </cell>
          <cell r="C209" t="str">
            <v>01</v>
          </cell>
          <cell r="D209" t="str">
            <v>031</v>
          </cell>
          <cell r="E209" t="str">
            <v>DTI-MDBF</v>
          </cell>
          <cell r="F209" t="str">
            <v>PS</v>
          </cell>
          <cell r="G209" t="str">
            <v>RO</v>
          </cell>
          <cell r="K209" t="str">
            <v>CARP</v>
          </cell>
          <cell r="L209">
            <v>50</v>
          </cell>
          <cell r="M209" t="str">
            <v>Remittance of MDBF of CARP employees for the month of January 2021</v>
          </cell>
          <cell r="X209" t="str">
            <v>0131</v>
          </cell>
          <cell r="Z209">
            <v>50</v>
          </cell>
        </row>
        <row r="210">
          <cell r="B210" t="str">
            <v>0131</v>
          </cell>
          <cell r="C210" t="str">
            <v>01</v>
          </cell>
          <cell r="D210" t="str">
            <v>032</v>
          </cell>
          <cell r="E210" t="str">
            <v>DTI-MDBF</v>
          </cell>
          <cell r="F210" t="str">
            <v>PS</v>
          </cell>
          <cell r="G210" t="str">
            <v>AD N</v>
          </cell>
          <cell r="K210" t="str">
            <v>CARP</v>
          </cell>
          <cell r="L210">
            <v>100</v>
          </cell>
          <cell r="M210" t="str">
            <v>Remittance of MDBF of CARP employees for the month of January 2021</v>
          </cell>
          <cell r="X210" t="str">
            <v>0131</v>
          </cell>
          <cell r="Z210">
            <v>100</v>
          </cell>
        </row>
        <row r="211">
          <cell r="B211" t="str">
            <v>0131</v>
          </cell>
          <cell r="C211" t="str">
            <v>01</v>
          </cell>
          <cell r="D211" t="str">
            <v>033</v>
          </cell>
          <cell r="E211" t="str">
            <v>DTI-MDBF</v>
          </cell>
          <cell r="F211" t="str">
            <v>PS</v>
          </cell>
          <cell r="G211" t="str">
            <v>ADS</v>
          </cell>
          <cell r="K211" t="str">
            <v>CARP</v>
          </cell>
          <cell r="L211">
            <v>50</v>
          </cell>
          <cell r="M211" t="str">
            <v>Remittance of MDBF of CARP employees for the month of January 2021</v>
          </cell>
          <cell r="X211" t="str">
            <v>0131</v>
          </cell>
          <cell r="Z211">
            <v>50</v>
          </cell>
        </row>
        <row r="212">
          <cell r="B212" t="str">
            <v>0131</v>
          </cell>
          <cell r="C212" t="str">
            <v>01</v>
          </cell>
          <cell r="D212" t="str">
            <v>034</v>
          </cell>
          <cell r="E212" t="str">
            <v>DTI-MDBF</v>
          </cell>
          <cell r="F212" t="str">
            <v>PS</v>
          </cell>
          <cell r="G212" t="str">
            <v>SDN</v>
          </cell>
          <cell r="K212" t="str">
            <v>CARP</v>
          </cell>
          <cell r="L212">
            <v>50</v>
          </cell>
          <cell r="M212" t="str">
            <v>Remittance of MDBF of CARP employees for the month of January 2021</v>
          </cell>
          <cell r="X212" t="str">
            <v>0131</v>
          </cell>
          <cell r="Z212">
            <v>50</v>
          </cell>
        </row>
        <row r="213">
          <cell r="B213" t="str">
            <v>0131</v>
          </cell>
          <cell r="C213" t="str">
            <v>01</v>
          </cell>
          <cell r="D213" t="str">
            <v>035</v>
          </cell>
          <cell r="E213" t="str">
            <v>DTI-MDBF</v>
          </cell>
          <cell r="F213" t="str">
            <v>PS</v>
          </cell>
          <cell r="G213" t="str">
            <v>SDS</v>
          </cell>
          <cell r="K213" t="str">
            <v>CARP</v>
          </cell>
          <cell r="L213">
            <v>1200</v>
          </cell>
          <cell r="M213" t="str">
            <v>Remittance of MDBF of CARP employees for the month of January 2021</v>
          </cell>
          <cell r="X213" t="str">
            <v>0131</v>
          </cell>
          <cell r="Z213">
            <v>1200</v>
          </cell>
        </row>
        <row r="214">
          <cell r="B214" t="str">
            <v>0131</v>
          </cell>
          <cell r="C214" t="str">
            <v>01</v>
          </cell>
          <cell r="D214" t="str">
            <v>036</v>
          </cell>
          <cell r="E214" t="str">
            <v>DTI-MDBF</v>
          </cell>
          <cell r="F214" t="str">
            <v>PS</v>
          </cell>
          <cell r="G214" t="str">
            <v>PDI</v>
          </cell>
          <cell r="K214" t="str">
            <v>CARP</v>
          </cell>
          <cell r="L214">
            <v>50</v>
          </cell>
          <cell r="M214" t="str">
            <v>Remittance of MDBF of CARP employees for the month of January 2021</v>
          </cell>
          <cell r="X214" t="str">
            <v>0131</v>
          </cell>
          <cell r="Z214">
            <v>50</v>
          </cell>
        </row>
        <row r="215">
          <cell r="B215" t="str">
            <v>0132</v>
          </cell>
          <cell r="C215" t="str">
            <v>01</v>
          </cell>
          <cell r="D215" t="str">
            <v>031</v>
          </cell>
          <cell r="E215" t="str">
            <v>Dreamco MPC</v>
          </cell>
          <cell r="F215" t="str">
            <v>PS</v>
          </cell>
          <cell r="G215" t="str">
            <v>RO</v>
          </cell>
          <cell r="K215" t="str">
            <v>CARP</v>
          </cell>
          <cell r="L215">
            <v>300</v>
          </cell>
          <cell r="M215" t="str">
            <v>Remittance of coop deductions ( additional remittance) for the month of January 2021</v>
          </cell>
          <cell r="X215" t="str">
            <v>0132</v>
          </cell>
          <cell r="Z215">
            <v>300</v>
          </cell>
        </row>
        <row r="216">
          <cell r="B216" t="str">
            <v>0132</v>
          </cell>
          <cell r="C216" t="str">
            <v>01</v>
          </cell>
          <cell r="D216" t="str">
            <v>034</v>
          </cell>
          <cell r="E216" t="str">
            <v>Dreamco MPC</v>
          </cell>
          <cell r="F216" t="str">
            <v>PS</v>
          </cell>
          <cell r="G216" t="str">
            <v>SDN</v>
          </cell>
          <cell r="K216" t="str">
            <v>CARP</v>
          </cell>
          <cell r="L216">
            <v>2640</v>
          </cell>
          <cell r="M216" t="str">
            <v>Remittance of coop deductions ( additional remittance) for the month of January 2021</v>
          </cell>
          <cell r="X216" t="str">
            <v>0132</v>
          </cell>
          <cell r="Z216">
            <v>2640</v>
          </cell>
        </row>
        <row r="217">
          <cell r="B217" t="str">
            <v>0132</v>
          </cell>
          <cell r="C217" t="str">
            <v>01</v>
          </cell>
          <cell r="D217" t="str">
            <v>036</v>
          </cell>
          <cell r="E217" t="str">
            <v>Dreamco MPC</v>
          </cell>
          <cell r="F217" t="str">
            <v>PS</v>
          </cell>
          <cell r="G217" t="str">
            <v>PDI</v>
          </cell>
          <cell r="K217" t="str">
            <v>CARP</v>
          </cell>
          <cell r="L217">
            <v>1500</v>
          </cell>
          <cell r="M217" t="str">
            <v>Remittance of coop deductions ( additional remittance) for the month of January 2021</v>
          </cell>
          <cell r="X217" t="str">
            <v>0132</v>
          </cell>
          <cell r="Z217">
            <v>1500</v>
          </cell>
        </row>
        <row r="218">
          <cell r="B218" t="str">
            <v>0133</v>
          </cell>
          <cell r="C218" t="str">
            <v>02</v>
          </cell>
          <cell r="D218" t="str">
            <v>037</v>
          </cell>
          <cell r="E218" t="str">
            <v>Land Bank of the Philippines</v>
          </cell>
          <cell r="F218" t="str">
            <v>PS</v>
          </cell>
          <cell r="G218" t="str">
            <v>RO</v>
          </cell>
          <cell r="M218" t="str">
            <v>Payment for RATA for February 2021</v>
          </cell>
          <cell r="X218" t="str">
            <v>0133</v>
          </cell>
          <cell r="Z218">
            <v>127518.05</v>
          </cell>
        </row>
        <row r="219">
          <cell r="B219" t="str">
            <v>0134</v>
          </cell>
          <cell r="C219" t="str">
            <v>02</v>
          </cell>
          <cell r="D219" t="str">
            <v>037</v>
          </cell>
          <cell r="E219" t="str">
            <v>DREAMCO</v>
          </cell>
          <cell r="F219" t="str">
            <v>PS</v>
          </cell>
          <cell r="G219" t="str">
            <v>RO</v>
          </cell>
          <cell r="L219">
            <v>22481.95</v>
          </cell>
          <cell r="M219" t="str">
            <v>Remittance coop deductions from RATA for February 2021</v>
          </cell>
          <cell r="X219" t="str">
            <v>0134</v>
          </cell>
          <cell r="Z219">
            <v>22481.95</v>
          </cell>
        </row>
        <row r="220">
          <cell r="B220" t="str">
            <v>0135</v>
          </cell>
          <cell r="C220" t="str">
            <v>02</v>
          </cell>
          <cell r="D220" t="str">
            <v>042</v>
          </cell>
          <cell r="E220" t="str">
            <v>PD, DTI-AD N</v>
          </cell>
          <cell r="F220" t="str">
            <v>MOOE</v>
          </cell>
          <cell r="G220" t="str">
            <v>AD N</v>
          </cell>
          <cell r="J220" t="str">
            <v>LF</v>
          </cell>
          <cell r="K220" t="str">
            <v>SSF MOOE</v>
          </cell>
          <cell r="M220" t="str">
            <v>Advances to the SSF MOOE 2021 for the cosultancy/ repair of defective SSF Equipments</v>
          </cell>
          <cell r="X220" t="str">
            <v>0135</v>
          </cell>
          <cell r="Z220">
            <v>80000</v>
          </cell>
        </row>
        <row r="221">
          <cell r="B221" t="str">
            <v>0136</v>
          </cell>
          <cell r="C221" t="str">
            <v>02</v>
          </cell>
          <cell r="D221" t="str">
            <v>046</v>
          </cell>
          <cell r="E221" t="str">
            <v>PD, DTI-AD N</v>
          </cell>
          <cell r="F221" t="str">
            <v>MOOE</v>
          </cell>
          <cell r="G221" t="str">
            <v>AD N</v>
          </cell>
          <cell r="M221" t="str">
            <v>Advances to the IDD Regular MOOE OO2 2021-1st quarter 2021</v>
          </cell>
          <cell r="X221" t="str">
            <v>0136</v>
          </cell>
          <cell r="Z221">
            <v>97200</v>
          </cell>
        </row>
        <row r="222">
          <cell r="B222" t="str">
            <v>0137</v>
          </cell>
          <cell r="C222" t="str">
            <v>02</v>
          </cell>
          <cell r="D222" t="str">
            <v>047</v>
          </cell>
          <cell r="E222" t="str">
            <v>OIC, DTI-ADS</v>
          </cell>
          <cell r="F222" t="str">
            <v>MOOE</v>
          </cell>
          <cell r="G222" t="str">
            <v>ADS</v>
          </cell>
          <cell r="M222" t="str">
            <v>Advances to the IDD Regular MOOE OO2 2021-1st quarter 2021</v>
          </cell>
          <cell r="X222" t="str">
            <v>0137</v>
          </cell>
          <cell r="Z222">
            <v>97200</v>
          </cell>
        </row>
        <row r="223">
          <cell r="B223" t="str">
            <v>0138</v>
          </cell>
          <cell r="C223" t="str">
            <v>02</v>
          </cell>
          <cell r="D223" t="str">
            <v>048</v>
          </cell>
          <cell r="E223" t="str">
            <v>PD, DTI-SDN</v>
          </cell>
          <cell r="F223" t="str">
            <v>MOOE</v>
          </cell>
          <cell r="G223" t="str">
            <v>SDN</v>
          </cell>
          <cell r="M223" t="str">
            <v>Advances to the IDD Regular MOOE OO2 2021-1st quarter 2021</v>
          </cell>
          <cell r="X223" t="str">
            <v>0138</v>
          </cell>
          <cell r="Z223">
            <v>97200</v>
          </cell>
        </row>
        <row r="224">
          <cell r="B224" t="str">
            <v>0139</v>
          </cell>
          <cell r="C224" t="str">
            <v>02</v>
          </cell>
          <cell r="D224" t="str">
            <v>049</v>
          </cell>
          <cell r="E224" t="str">
            <v>PD, DTI-SDS</v>
          </cell>
          <cell r="F224" t="str">
            <v>MOOE</v>
          </cell>
          <cell r="G224" t="str">
            <v>SDS</v>
          </cell>
          <cell r="M224" t="str">
            <v>Advances to the IDD Regular MOOE OO2 2021-1st quarter 2021</v>
          </cell>
          <cell r="X224" t="str">
            <v>0139</v>
          </cell>
          <cell r="Z224">
            <v>97200</v>
          </cell>
        </row>
        <row r="225">
          <cell r="B225" t="str">
            <v>0140</v>
          </cell>
          <cell r="C225" t="str">
            <v>02</v>
          </cell>
          <cell r="D225" t="str">
            <v>050</v>
          </cell>
          <cell r="E225" t="str">
            <v>PD, DTI-PDI</v>
          </cell>
          <cell r="F225" t="str">
            <v>MOOE</v>
          </cell>
          <cell r="G225" t="str">
            <v>PDI</v>
          </cell>
          <cell r="M225" t="str">
            <v>Advances to the IDD Regular MOOE OO2 2021-1st quarter 2021</v>
          </cell>
          <cell r="X225" t="str">
            <v>0140</v>
          </cell>
          <cell r="Z225">
            <v>97200</v>
          </cell>
        </row>
        <row r="226">
          <cell r="B226" t="str">
            <v>0141</v>
          </cell>
          <cell r="C226" t="str">
            <v>02</v>
          </cell>
          <cell r="D226" t="str">
            <v>051</v>
          </cell>
          <cell r="E226" t="str">
            <v>PD, DTI-AD N</v>
          </cell>
          <cell r="F226" t="str">
            <v>MOOE</v>
          </cell>
          <cell r="G226" t="str">
            <v>AD N</v>
          </cell>
          <cell r="M226" t="str">
            <v>Advances to the IDD Regular MOOE OO1 2021-1st quarter 2021</v>
          </cell>
          <cell r="X226" t="str">
            <v>0141</v>
          </cell>
          <cell r="Z226">
            <v>62500</v>
          </cell>
        </row>
        <row r="227">
          <cell r="B227" t="str">
            <v>0142</v>
          </cell>
          <cell r="C227" t="str">
            <v>02</v>
          </cell>
          <cell r="D227" t="str">
            <v>052</v>
          </cell>
          <cell r="E227" t="str">
            <v>OIC, DTI-ADS</v>
          </cell>
          <cell r="F227" t="str">
            <v>MOOE</v>
          </cell>
          <cell r="G227" t="str">
            <v>ADS</v>
          </cell>
          <cell r="M227" t="str">
            <v>Advances to the IDD Regular MOOE OO1 2021-1st quarter 2021</v>
          </cell>
          <cell r="X227" t="str">
            <v>0142</v>
          </cell>
          <cell r="Z227">
            <v>50000</v>
          </cell>
        </row>
        <row r="228">
          <cell r="B228" t="str">
            <v>0143</v>
          </cell>
          <cell r="C228" t="str">
            <v>02</v>
          </cell>
          <cell r="D228" t="str">
            <v>053</v>
          </cell>
          <cell r="E228" t="str">
            <v>PD, DTI-SDN</v>
          </cell>
          <cell r="F228" t="str">
            <v>MOOE</v>
          </cell>
          <cell r="G228" t="str">
            <v>SDN</v>
          </cell>
          <cell r="M228" t="str">
            <v>Advances to the IDD Regular MOOE OO1 2021-1st quarter 2021</v>
          </cell>
          <cell r="X228" t="str">
            <v>0143</v>
          </cell>
          <cell r="Z228">
            <v>50000</v>
          </cell>
        </row>
        <row r="229">
          <cell r="B229" t="str">
            <v>0144</v>
          </cell>
          <cell r="C229" t="str">
            <v>02</v>
          </cell>
          <cell r="D229" t="str">
            <v>054</v>
          </cell>
          <cell r="E229" t="str">
            <v>PD, DTI-SDS</v>
          </cell>
          <cell r="F229" t="str">
            <v>MOOE</v>
          </cell>
          <cell r="G229" t="str">
            <v>SDS</v>
          </cell>
          <cell r="M229" t="str">
            <v>Advances to the IDD Regular MOOE OO1 2021-1st quarter 2021</v>
          </cell>
          <cell r="X229" t="str">
            <v>0144</v>
          </cell>
          <cell r="Z229">
            <v>50000</v>
          </cell>
        </row>
        <row r="230">
          <cell r="B230" t="str">
            <v>0145</v>
          </cell>
          <cell r="C230" t="str">
            <v>02</v>
          </cell>
          <cell r="D230" t="str">
            <v>055</v>
          </cell>
          <cell r="E230" t="str">
            <v>PD, DTI-PDI</v>
          </cell>
          <cell r="F230" t="str">
            <v>MOOE</v>
          </cell>
          <cell r="G230" t="str">
            <v>PDI</v>
          </cell>
          <cell r="M230" t="str">
            <v>Advances to the IDD Regular MOOE OO1 2021-1st quarter 2021</v>
          </cell>
          <cell r="X230" t="str">
            <v>0145</v>
          </cell>
          <cell r="Z230">
            <v>50000</v>
          </cell>
        </row>
        <row r="231">
          <cell r="B231" t="str">
            <v>0146</v>
          </cell>
          <cell r="C231" t="str">
            <v>02</v>
          </cell>
          <cell r="D231" t="str">
            <v>058</v>
          </cell>
          <cell r="E231" t="str">
            <v>PD, DTI-AD N</v>
          </cell>
          <cell r="F231" t="str">
            <v>MOOE</v>
          </cell>
          <cell r="G231" t="str">
            <v>AD N</v>
          </cell>
          <cell r="M231" t="str">
            <v>Advances, regular MOOE for January and February 2021</v>
          </cell>
          <cell r="X231" t="str">
            <v>0146</v>
          </cell>
          <cell r="Z231">
            <v>528841.48</v>
          </cell>
        </row>
        <row r="232">
          <cell r="B232" t="str">
            <v>0147</v>
          </cell>
          <cell r="C232" t="str">
            <v>02</v>
          </cell>
          <cell r="D232" t="str">
            <v>059</v>
          </cell>
          <cell r="E232" t="str">
            <v>OIC, DTI-ADS</v>
          </cell>
          <cell r="F232" t="str">
            <v>MOOE</v>
          </cell>
          <cell r="G232" t="str">
            <v>ADS</v>
          </cell>
          <cell r="M232" t="str">
            <v>Advances, regular MOOE for January and February 2021</v>
          </cell>
          <cell r="X232" t="str">
            <v>0147</v>
          </cell>
          <cell r="Z232">
            <v>241528.69</v>
          </cell>
        </row>
        <row r="233">
          <cell r="B233" t="str">
            <v>0148</v>
          </cell>
          <cell r="C233" t="str">
            <v>02</v>
          </cell>
          <cell r="D233" t="str">
            <v>060</v>
          </cell>
          <cell r="E233" t="str">
            <v>OIC, DTI-SDN</v>
          </cell>
          <cell r="F233" t="str">
            <v>MOOE</v>
          </cell>
          <cell r="G233" t="str">
            <v>SDN</v>
          </cell>
          <cell r="M233" t="str">
            <v>Advances, regular MOOE for January and February 2021</v>
          </cell>
          <cell r="X233" t="str">
            <v>0148</v>
          </cell>
          <cell r="Z233">
            <v>337586.4</v>
          </cell>
        </row>
        <row r="234">
          <cell r="B234" t="str">
            <v>0149</v>
          </cell>
          <cell r="C234" t="str">
            <v>02</v>
          </cell>
          <cell r="D234" t="str">
            <v>061</v>
          </cell>
          <cell r="E234" t="str">
            <v>PD, DTI-SDS</v>
          </cell>
          <cell r="F234" t="str">
            <v>MOOE</v>
          </cell>
          <cell r="G234" t="str">
            <v>SDS</v>
          </cell>
          <cell r="M234" t="str">
            <v>Advances, regular MOOE for January and February 2021</v>
          </cell>
          <cell r="X234" t="str">
            <v>0149</v>
          </cell>
          <cell r="Z234">
            <v>355426.36</v>
          </cell>
        </row>
        <row r="235">
          <cell r="B235" t="str">
            <v>0150</v>
          </cell>
          <cell r="C235" t="str">
            <v>02</v>
          </cell>
          <cell r="D235" t="str">
            <v>062</v>
          </cell>
          <cell r="E235" t="str">
            <v>PD, DTI-PDI</v>
          </cell>
          <cell r="F235" t="str">
            <v>MOOE</v>
          </cell>
          <cell r="G235" t="str">
            <v>PDI</v>
          </cell>
          <cell r="M235" t="str">
            <v>Advances, regular MOOE for January and February 2021</v>
          </cell>
          <cell r="X235" t="str">
            <v>0150</v>
          </cell>
          <cell r="Z235">
            <v>230967.52</v>
          </cell>
        </row>
        <row r="236">
          <cell r="B236" t="str">
            <v>0151</v>
          </cell>
          <cell r="C236" t="str">
            <v>02</v>
          </cell>
          <cell r="D236" t="str">
            <v>063</v>
          </cell>
          <cell r="E236" t="str">
            <v>LBP F/O DTI-JO</v>
          </cell>
          <cell r="F236" t="str">
            <v>MOOE</v>
          </cell>
          <cell r="G236" t="str">
            <v>RO</v>
          </cell>
          <cell r="K236" t="str">
            <v>OO3</v>
          </cell>
          <cell r="M236" t="str">
            <v>Payment for JO for the period January 16-31, 2021</v>
          </cell>
          <cell r="X236" t="str">
            <v>0151</v>
          </cell>
          <cell r="Z236">
            <v>59233.58</v>
          </cell>
        </row>
        <row r="237">
          <cell r="B237" t="str">
            <v>0151</v>
          </cell>
          <cell r="C237" t="str">
            <v>02</v>
          </cell>
          <cell r="D237" t="str">
            <v>063</v>
          </cell>
          <cell r="E237" t="str">
            <v>LBP F/O DTI-JO</v>
          </cell>
          <cell r="F237" t="str">
            <v>MOOE</v>
          </cell>
          <cell r="G237" t="str">
            <v>RO</v>
          </cell>
          <cell r="K237" t="str">
            <v>SSF</v>
          </cell>
          <cell r="M237" t="str">
            <v>Payment for JO for the period January 16-31, 2021</v>
          </cell>
          <cell r="X237" t="str">
            <v>0151</v>
          </cell>
          <cell r="Z237">
            <v>0</v>
          </cell>
        </row>
        <row r="238">
          <cell r="B238" t="str">
            <v>0151</v>
          </cell>
          <cell r="C238" t="str">
            <v>02</v>
          </cell>
          <cell r="D238" t="str">
            <v>063</v>
          </cell>
          <cell r="E238" t="str">
            <v>LBP F/O DTI-JO</v>
          </cell>
          <cell r="F238" t="str">
            <v>MOOE</v>
          </cell>
          <cell r="G238" t="str">
            <v>RO</v>
          </cell>
          <cell r="K238" t="str">
            <v>GMS</v>
          </cell>
          <cell r="M238" t="str">
            <v>Payment for JO for the period January 16-31, 2021</v>
          </cell>
          <cell r="X238" t="str">
            <v>0151</v>
          </cell>
          <cell r="Z238">
            <v>0</v>
          </cell>
        </row>
        <row r="239">
          <cell r="B239" t="str">
            <v>0151</v>
          </cell>
          <cell r="C239" t="str">
            <v>02</v>
          </cell>
          <cell r="D239" t="str">
            <v>063</v>
          </cell>
          <cell r="E239" t="str">
            <v>LBP F/O DTI-JO</v>
          </cell>
          <cell r="F239" t="str">
            <v>MOOE</v>
          </cell>
          <cell r="G239" t="str">
            <v>RO</v>
          </cell>
          <cell r="K239" t="str">
            <v>OO3</v>
          </cell>
          <cell r="M239" t="str">
            <v>Payment for JO for the period January 16-31, 2021</v>
          </cell>
          <cell r="X239" t="str">
            <v>0151</v>
          </cell>
          <cell r="Z239">
            <v>0</v>
          </cell>
        </row>
        <row r="240">
          <cell r="B240" t="str">
            <v>0151</v>
          </cell>
          <cell r="C240" t="str">
            <v>02</v>
          </cell>
          <cell r="D240" t="str">
            <v>063</v>
          </cell>
          <cell r="E240" t="str">
            <v>LBP F/O DTI-JO</v>
          </cell>
          <cell r="F240" t="str">
            <v>MOOE</v>
          </cell>
          <cell r="G240" t="str">
            <v>RO</v>
          </cell>
          <cell r="K240" t="str">
            <v>SSF</v>
          </cell>
          <cell r="M240" t="str">
            <v>Payment for JO for the period January 16-31, 2021</v>
          </cell>
          <cell r="X240" t="str">
            <v>0151</v>
          </cell>
          <cell r="Z240">
            <v>0</v>
          </cell>
        </row>
        <row r="241">
          <cell r="B241" t="str">
            <v>0151</v>
          </cell>
          <cell r="C241" t="str">
            <v>02</v>
          </cell>
          <cell r="D241" t="str">
            <v>063</v>
          </cell>
          <cell r="E241" t="str">
            <v>LBP F/O DTI-JO</v>
          </cell>
          <cell r="F241" t="str">
            <v>MOOE</v>
          </cell>
          <cell r="G241" t="str">
            <v>RO</v>
          </cell>
          <cell r="K241" t="str">
            <v>GMS</v>
          </cell>
          <cell r="M241" t="str">
            <v>Payment for JO for the period January 16-31, 2021</v>
          </cell>
          <cell r="X241" t="str">
            <v>0151</v>
          </cell>
          <cell r="Z241">
            <v>0</v>
          </cell>
        </row>
        <row r="242">
          <cell r="B242" t="str">
            <v>0152</v>
          </cell>
          <cell r="C242" t="str">
            <v>02</v>
          </cell>
          <cell r="D242" t="str">
            <v>064</v>
          </cell>
          <cell r="E242" t="str">
            <v>LBP F/O DTI-JO</v>
          </cell>
          <cell r="F242" t="str">
            <v>MOOE</v>
          </cell>
          <cell r="G242" t="str">
            <v>RO</v>
          </cell>
          <cell r="M242" t="str">
            <v>Payment for JO for the period January 16-31, 2021</v>
          </cell>
          <cell r="X242" t="str">
            <v>0152</v>
          </cell>
          <cell r="Z242">
            <v>16881.330000000002</v>
          </cell>
        </row>
        <row r="243">
          <cell r="B243" t="str">
            <v>0153</v>
          </cell>
          <cell r="C243" t="str">
            <v>12</v>
          </cell>
          <cell r="D243" t="str">
            <v>1906</v>
          </cell>
          <cell r="E243" t="str">
            <v>LBP F/O Honoraria of the KMME Panelist</v>
          </cell>
          <cell r="F243" t="str">
            <v>MOOE</v>
          </cell>
          <cell r="G243" t="str">
            <v>RO</v>
          </cell>
          <cell r="I243" t="str">
            <v>R</v>
          </cell>
          <cell r="M243" t="str">
            <v>Honoraria of panelist during KMME Online class session batch 1 BIP presentation on September 21-23, 2020 thru zoom app</v>
          </cell>
          <cell r="X243" t="str">
            <v>0153</v>
          </cell>
          <cell r="Z243">
            <v>31350</v>
          </cell>
        </row>
        <row r="244">
          <cell r="B244" t="str">
            <v>0154</v>
          </cell>
          <cell r="C244" t="str">
            <v>12</v>
          </cell>
          <cell r="D244" t="str">
            <v>2022</v>
          </cell>
          <cell r="E244" t="str">
            <v>Berfabs Arts and Crafts Manufacturing</v>
          </cell>
          <cell r="F244" t="str">
            <v>MOOE</v>
          </cell>
          <cell r="G244" t="str">
            <v>RO</v>
          </cell>
          <cell r="I244" t="str">
            <v>R</v>
          </cell>
          <cell r="J244" t="str">
            <v>LF</v>
          </cell>
          <cell r="K244" t="str">
            <v>NC</v>
          </cell>
          <cell r="M244" t="str">
            <v>Payment of token (customized tumbler) for mentees during the KMME Graduation Batch 2 on December 7, 2020.</v>
          </cell>
          <cell r="X244" t="str">
            <v>0154</v>
          </cell>
          <cell r="Z244">
            <v>34320</v>
          </cell>
        </row>
        <row r="245">
          <cell r="B245" t="str">
            <v>0155</v>
          </cell>
          <cell r="C245" t="str">
            <v>12</v>
          </cell>
          <cell r="D245" t="str">
            <v>2005</v>
          </cell>
          <cell r="E245" t="str">
            <v>Create Food, Inc</v>
          </cell>
          <cell r="F245" t="str">
            <v>MOOE</v>
          </cell>
          <cell r="G245" t="str">
            <v>RO</v>
          </cell>
          <cell r="I245" t="str">
            <v>R</v>
          </cell>
          <cell r="M245" t="str">
            <v>Payment for the tokens during the conduct of grand launching of OTOP PH Hub at SM City Butuan on December 18, 2020</v>
          </cell>
          <cell r="X245" t="str">
            <v>0155</v>
          </cell>
          <cell r="Z245">
            <v>11313.6</v>
          </cell>
        </row>
        <row r="246">
          <cell r="B246" t="str">
            <v>0156</v>
          </cell>
          <cell r="C246" t="str">
            <v>02</v>
          </cell>
          <cell r="D246" t="str">
            <v>011</v>
          </cell>
          <cell r="E246" t="str">
            <v>Renato S. Corvera Jr.</v>
          </cell>
          <cell r="F246" t="str">
            <v>MOOE</v>
          </cell>
          <cell r="G246" t="str">
            <v>RO</v>
          </cell>
          <cell r="I246" t="str">
            <v>R</v>
          </cell>
          <cell r="L246">
            <v>655.56</v>
          </cell>
          <cell r="M246" t="str">
            <v>Refund of GSIS-Emergency Loan deduction for the month of January 2021</v>
          </cell>
          <cell r="X246" t="str">
            <v>0156</v>
          </cell>
          <cell r="Z246">
            <v>655.56</v>
          </cell>
        </row>
        <row r="247">
          <cell r="B247" t="str">
            <v>0157</v>
          </cell>
          <cell r="C247" t="str">
            <v>02</v>
          </cell>
          <cell r="D247" t="str">
            <v>038</v>
          </cell>
          <cell r="E247" t="str">
            <v>Edwin O. Banquerigo</v>
          </cell>
          <cell r="F247" t="str">
            <v>MOOE</v>
          </cell>
          <cell r="G247" t="str">
            <v>RO</v>
          </cell>
          <cell r="I247" t="str">
            <v>R</v>
          </cell>
          <cell r="M247" t="str">
            <v>Payment for the  extraordinary expenses</v>
          </cell>
          <cell r="X247" t="str">
            <v>0157</v>
          </cell>
          <cell r="Z247">
            <v>10000</v>
          </cell>
        </row>
        <row r="248">
          <cell r="B248" t="str">
            <v>0158</v>
          </cell>
          <cell r="C248" t="str">
            <v>02</v>
          </cell>
          <cell r="D248" t="str">
            <v>039</v>
          </cell>
          <cell r="E248" t="str">
            <v>Land Bank of the Philippines</v>
          </cell>
          <cell r="F248" t="str">
            <v>PS</v>
          </cell>
          <cell r="G248" t="str">
            <v>RO</v>
          </cell>
          <cell r="I248" t="str">
            <v>R</v>
          </cell>
          <cell r="M248" t="str">
            <v>Reimbursement of RATA for January 2021</v>
          </cell>
          <cell r="X248" t="str">
            <v>0158</v>
          </cell>
          <cell r="Z248">
            <v>28636.36</v>
          </cell>
        </row>
        <row r="249">
          <cell r="B249" t="str">
            <v>0159</v>
          </cell>
          <cell r="C249" t="str">
            <v>12</v>
          </cell>
          <cell r="D249" t="str">
            <v>1885</v>
          </cell>
          <cell r="E249" t="str">
            <v>Papelemento Visual Arts &amp; scenography</v>
          </cell>
          <cell r="F249" t="str">
            <v>MOOE</v>
          </cell>
          <cell r="G249" t="str">
            <v>RO</v>
          </cell>
          <cell r="I249" t="str">
            <v>R</v>
          </cell>
          <cell r="J249" t="str">
            <v>LF</v>
          </cell>
          <cell r="K249" t="str">
            <v>OTOP</v>
          </cell>
          <cell r="M249" t="str">
            <v>Payment for the tokens during the soft launching of OTOP PH Hub at SM City Butuan on November 13, 2020</v>
          </cell>
          <cell r="X249" t="str">
            <v>0159</v>
          </cell>
          <cell r="Z249">
            <v>17100</v>
          </cell>
        </row>
        <row r="250">
          <cell r="B250" t="str">
            <v>0160</v>
          </cell>
          <cell r="C250" t="str">
            <v>02</v>
          </cell>
          <cell r="D250" t="str">
            <v>056</v>
          </cell>
          <cell r="E250" t="str">
            <v>Arleen P. Pahamtang</v>
          </cell>
          <cell r="F250" t="str">
            <v>MOOE</v>
          </cell>
          <cell r="G250" t="str">
            <v>RO</v>
          </cell>
          <cell r="I250" t="str">
            <v>R</v>
          </cell>
          <cell r="M250" t="str">
            <v>Petty cash fund replenishment 2021-02-002 Jan 21- Feb 3, 2021</v>
          </cell>
          <cell r="X250" t="str">
            <v>0160</v>
          </cell>
          <cell r="Z250">
            <v>4734.25</v>
          </cell>
        </row>
        <row r="251">
          <cell r="B251" t="str">
            <v>0161</v>
          </cell>
          <cell r="C251" t="str">
            <v>02</v>
          </cell>
          <cell r="D251" t="str">
            <v>057</v>
          </cell>
          <cell r="E251" t="str">
            <v>Busa Interbiz Center</v>
          </cell>
          <cell r="F251" t="str">
            <v>MOOE</v>
          </cell>
          <cell r="G251" t="str">
            <v>RO</v>
          </cell>
          <cell r="I251" t="str">
            <v>R</v>
          </cell>
          <cell r="M251" t="str">
            <v>Payment for subscription expense- newspaper for the period January 2021</v>
          </cell>
          <cell r="X251" t="str">
            <v>0161</v>
          </cell>
          <cell r="Z251">
            <v>1296</v>
          </cell>
        </row>
        <row r="252">
          <cell r="B252" t="str">
            <v>0162</v>
          </cell>
          <cell r="C252" t="str">
            <v>02</v>
          </cell>
          <cell r="D252" t="str">
            <v>043</v>
          </cell>
          <cell r="E252" t="str">
            <v>Freedcarmariam D. Gonzaga</v>
          </cell>
          <cell r="F252" t="str">
            <v>MOOE</v>
          </cell>
          <cell r="G252" t="str">
            <v>RO</v>
          </cell>
          <cell r="I252" t="str">
            <v>R</v>
          </cell>
          <cell r="M252" t="str">
            <v>Travel expenses incurred during the SSF Monitoring and validation visit in VARARBEMCO and ASSAT last January 20, 2021</v>
          </cell>
          <cell r="X252" t="str">
            <v>0162</v>
          </cell>
          <cell r="Z252">
            <v>750</v>
          </cell>
        </row>
        <row r="253">
          <cell r="B253" t="str">
            <v>0163</v>
          </cell>
          <cell r="C253" t="str">
            <v>02</v>
          </cell>
          <cell r="D253" t="str">
            <v>044</v>
          </cell>
          <cell r="E253" t="str">
            <v>Ira S. Mantilla</v>
          </cell>
          <cell r="F253" t="str">
            <v>MOOE</v>
          </cell>
          <cell r="G253" t="str">
            <v>RO</v>
          </cell>
          <cell r="I253" t="str">
            <v>R</v>
          </cell>
          <cell r="M253" t="str">
            <v>Travel expenses incurred during the SSF Monitoring and validation visit in VARARBEMCO and ASSAT last January 20, 2021</v>
          </cell>
          <cell r="X253" t="str">
            <v>0163</v>
          </cell>
          <cell r="Z253">
            <v>750</v>
          </cell>
        </row>
        <row r="254">
          <cell r="B254" t="str">
            <v>0164</v>
          </cell>
          <cell r="C254" t="str">
            <v>02</v>
          </cell>
          <cell r="D254" t="str">
            <v>045</v>
          </cell>
          <cell r="E254" t="str">
            <v>Rey B. Acabo</v>
          </cell>
          <cell r="F254" t="str">
            <v>MOOE</v>
          </cell>
          <cell r="G254" t="str">
            <v>RO</v>
          </cell>
          <cell r="I254" t="str">
            <v>R</v>
          </cell>
          <cell r="M254" t="str">
            <v>Travel expenses incurred during the SSF Monitoring and validation visit in VARARBEMCO and ASSAT last January 20, 2021</v>
          </cell>
          <cell r="X254" t="str">
            <v>0164</v>
          </cell>
          <cell r="Z254">
            <v>750</v>
          </cell>
        </row>
        <row r="255">
          <cell r="B255" t="str">
            <v>0165</v>
          </cell>
          <cell r="C255" t="str">
            <v>12</v>
          </cell>
          <cell r="D255" t="str">
            <v>2000</v>
          </cell>
          <cell r="E255" t="str">
            <v>JCB Express Solution</v>
          </cell>
          <cell r="F255" t="str">
            <v>MOOE</v>
          </cell>
          <cell r="G255" t="str">
            <v>RO</v>
          </cell>
          <cell r="I255" t="str">
            <v>R</v>
          </cell>
          <cell r="K255" t="str">
            <v>OTOP-gop</v>
          </cell>
          <cell r="M255" t="str">
            <v>Payment for customized invitations for the OTOP PH Hub Launching last December 18, 2020</v>
          </cell>
          <cell r="X255" t="str">
            <v>0165</v>
          </cell>
          <cell r="Z255">
            <v>14250</v>
          </cell>
        </row>
        <row r="256">
          <cell r="B256" t="str">
            <v>0166</v>
          </cell>
          <cell r="C256" t="str">
            <v>12</v>
          </cell>
          <cell r="D256" t="str">
            <v>2008</v>
          </cell>
          <cell r="E256" t="str">
            <v>Ralph O. Gorgonio</v>
          </cell>
          <cell r="F256" t="str">
            <v>MOOE</v>
          </cell>
          <cell r="G256" t="str">
            <v>RO</v>
          </cell>
          <cell r="I256" t="str">
            <v>R</v>
          </cell>
          <cell r="K256" t="str">
            <v>RAPID-GOP</v>
          </cell>
          <cell r="M256" t="str">
            <v>Reimbursement  portable wifi modem for office of the RD</v>
          </cell>
          <cell r="X256" t="str">
            <v>0166</v>
          </cell>
          <cell r="Z256">
            <v>1295</v>
          </cell>
        </row>
        <row r="257">
          <cell r="B257" t="str">
            <v>0167</v>
          </cell>
          <cell r="C257" t="str">
            <v>12</v>
          </cell>
          <cell r="D257" t="str">
            <v>2007</v>
          </cell>
          <cell r="E257" t="str">
            <v>Need Ink Sales and Services</v>
          </cell>
          <cell r="F257" t="str">
            <v>MOOE</v>
          </cell>
          <cell r="G257" t="str">
            <v>RO</v>
          </cell>
          <cell r="I257" t="str">
            <v>R</v>
          </cell>
          <cell r="M257" t="str">
            <v>Payment for printer toners for ORD use</v>
          </cell>
          <cell r="X257" t="str">
            <v>0167</v>
          </cell>
          <cell r="Z257">
            <v>7041.43</v>
          </cell>
        </row>
        <row r="258">
          <cell r="B258" t="str">
            <v>0168</v>
          </cell>
          <cell r="C258" t="str">
            <v>12</v>
          </cell>
          <cell r="D258" t="str">
            <v>2019</v>
          </cell>
          <cell r="E258" t="str">
            <v>ZJ Trading and Services</v>
          </cell>
          <cell r="F258" t="str">
            <v>MOOE</v>
          </cell>
          <cell r="G258" t="str">
            <v>RO</v>
          </cell>
          <cell r="I258" t="str">
            <v>R</v>
          </cell>
          <cell r="M258" t="str">
            <v>Payment of Combinations Blinds for IDD Office use</v>
          </cell>
          <cell r="X258" t="str">
            <v>0168</v>
          </cell>
          <cell r="Z258">
            <v>19268.16</v>
          </cell>
        </row>
        <row r="259">
          <cell r="B259" t="str">
            <v>0169</v>
          </cell>
          <cell r="C259" t="str">
            <v>12</v>
          </cell>
          <cell r="D259" t="str">
            <v>2016</v>
          </cell>
          <cell r="E259" t="str">
            <v>Tammy Emporium</v>
          </cell>
          <cell r="F259" t="str">
            <v>MOOE</v>
          </cell>
          <cell r="G259" t="str">
            <v>RO</v>
          </cell>
          <cell r="I259" t="str">
            <v>R</v>
          </cell>
          <cell r="M259" t="str">
            <v>Payment for the 4th quarter office supplies for RAPID office use.</v>
          </cell>
          <cell r="X259" t="str">
            <v>0169</v>
          </cell>
          <cell r="Z259">
            <v>5606.65</v>
          </cell>
        </row>
        <row r="260">
          <cell r="B260" t="str">
            <v>0170</v>
          </cell>
          <cell r="C260" t="str">
            <v>02</v>
          </cell>
          <cell r="D260" t="str">
            <v>040</v>
          </cell>
          <cell r="E260" t="str">
            <v>Procurement Service</v>
          </cell>
          <cell r="F260" t="str">
            <v>MOOE</v>
          </cell>
          <cell r="G260" t="str">
            <v>RO</v>
          </cell>
          <cell r="I260" t="str">
            <v>R</v>
          </cell>
          <cell r="M260" t="str">
            <v>Payment for IDD Office supplies for 1st quarter 2021, for IDD office use</v>
          </cell>
          <cell r="X260" t="str">
            <v>0170</v>
          </cell>
          <cell r="Z260">
            <v>2073.09</v>
          </cell>
        </row>
        <row r="261">
          <cell r="B261" t="str">
            <v>0171</v>
          </cell>
          <cell r="C261" t="str">
            <v>02</v>
          </cell>
          <cell r="D261" t="str">
            <v>041</v>
          </cell>
          <cell r="E261" t="str">
            <v>Royelen B. Taala</v>
          </cell>
          <cell r="F261" t="str">
            <v>MOOE</v>
          </cell>
          <cell r="G261" t="str">
            <v>RO</v>
          </cell>
          <cell r="I261" t="str">
            <v>R</v>
          </cell>
          <cell r="M261" t="str">
            <v>Reimbursement for the payment of the Planner 2021 for IDD office use.</v>
          </cell>
          <cell r="X261" t="str">
            <v>0171</v>
          </cell>
          <cell r="Z261">
            <v>3075</v>
          </cell>
        </row>
        <row r="262">
          <cell r="B262" t="str">
            <v>0171</v>
          </cell>
          <cell r="C262" t="str">
            <v>02</v>
          </cell>
          <cell r="D262" t="str">
            <v>041</v>
          </cell>
          <cell r="E262" t="str">
            <v>Royelen B. Taala</v>
          </cell>
          <cell r="F262" t="str">
            <v>MOOE</v>
          </cell>
          <cell r="G262" t="str">
            <v>RO</v>
          </cell>
          <cell r="I262" t="str">
            <v>R</v>
          </cell>
          <cell r="M262" t="str">
            <v>Reimbursement for the payment of the Planner 2021 for IDD office use.</v>
          </cell>
          <cell r="X262" t="str">
            <v>0171</v>
          </cell>
          <cell r="Z262">
            <v>-3075</v>
          </cell>
        </row>
        <row r="263">
          <cell r="B263" t="str">
            <v>0172</v>
          </cell>
          <cell r="C263" t="str">
            <v>02</v>
          </cell>
          <cell r="D263" t="str">
            <v>065</v>
          </cell>
          <cell r="E263" t="str">
            <v>Gay A. Tidalgo</v>
          </cell>
          <cell r="F263" t="str">
            <v>PS</v>
          </cell>
          <cell r="G263" t="str">
            <v>RO</v>
          </cell>
          <cell r="I263" t="str">
            <v>R</v>
          </cell>
          <cell r="M263" t="str">
            <v>Payment for salary differential due to CES salary adjustment for the period Dec. 3, 2020 to Jan 31, 2021.</v>
          </cell>
          <cell r="X263" t="str">
            <v>0172</v>
          </cell>
          <cell r="Z263">
            <v>3599.87</v>
          </cell>
        </row>
        <row r="264">
          <cell r="B264" t="str">
            <v>0173</v>
          </cell>
          <cell r="C264" t="str">
            <v>02</v>
          </cell>
          <cell r="D264" t="str">
            <v>065</v>
          </cell>
          <cell r="E264" t="str">
            <v>GSIS</v>
          </cell>
          <cell r="F264" t="str">
            <v>PS</v>
          </cell>
          <cell r="G264" t="str">
            <v>RO</v>
          </cell>
          <cell r="I264" t="str">
            <v>R</v>
          </cell>
          <cell r="L264">
            <v>424.62</v>
          </cell>
          <cell r="M264" t="str">
            <v>Remittance of GSIS Premiums (SIC &amp; RLIP) deducted from the salary of ARD Gay A. Tidalgom for the month of Jan 2021</v>
          </cell>
          <cell r="X264" t="str">
            <v>0173</v>
          </cell>
          <cell r="Z264">
            <v>424.62</v>
          </cell>
        </row>
        <row r="265">
          <cell r="B265" t="str">
            <v>0174</v>
          </cell>
          <cell r="C265" t="str">
            <v>02</v>
          </cell>
          <cell r="D265" t="str">
            <v>065</v>
          </cell>
          <cell r="E265" t="str">
            <v>GSIS</v>
          </cell>
          <cell r="F265" t="str">
            <v>PS</v>
          </cell>
          <cell r="G265" t="str">
            <v>RO</v>
          </cell>
          <cell r="I265" t="str">
            <v>R</v>
          </cell>
          <cell r="L265">
            <v>170.24</v>
          </cell>
          <cell r="M265" t="str">
            <v>Remittance of GSIS Premiums (SIC) deducted from the salary of ARD Gay A. Tidalgom for the month of Jan 2021</v>
          </cell>
          <cell r="X265" t="str">
            <v>0174</v>
          </cell>
          <cell r="Z265">
            <v>170.24</v>
          </cell>
        </row>
        <row r="266">
          <cell r="B266" t="str">
            <v>0175</v>
          </cell>
          <cell r="C266" t="str">
            <v>02</v>
          </cell>
          <cell r="E266" t="str">
            <v>DREAMCO MPC</v>
          </cell>
          <cell r="F266" t="str">
            <v>MOOE</v>
          </cell>
          <cell r="G266" t="str">
            <v>RO</v>
          </cell>
          <cell r="I266" t="str">
            <v>R</v>
          </cell>
          <cell r="L266">
            <v>17032.63</v>
          </cell>
          <cell r="M266" t="str">
            <v>Remittance Job orders coop deductions for the period January 5-31, 2020</v>
          </cell>
          <cell r="X266" t="str">
            <v>0175</v>
          </cell>
          <cell r="Z266">
            <v>17032.63</v>
          </cell>
        </row>
        <row r="267">
          <cell r="B267" t="str">
            <v>0175</v>
          </cell>
          <cell r="C267" t="str">
            <v>02</v>
          </cell>
          <cell r="E267" t="str">
            <v>DREAMCO MPC</v>
          </cell>
          <cell r="F267" t="str">
            <v>MOOE</v>
          </cell>
          <cell r="G267" t="str">
            <v>RO</v>
          </cell>
          <cell r="I267" t="str">
            <v>R</v>
          </cell>
          <cell r="L267">
            <v>-17032.63</v>
          </cell>
          <cell r="M267" t="str">
            <v>Remittance Job orders coop deductions for the period January 5-31, 2020</v>
          </cell>
          <cell r="X267" t="str">
            <v>0175</v>
          </cell>
          <cell r="Z267">
            <v>-17032.63</v>
          </cell>
        </row>
        <row r="268">
          <cell r="B268" t="str">
            <v>0176</v>
          </cell>
          <cell r="C268" t="str">
            <v>02</v>
          </cell>
          <cell r="D268" t="str">
            <v>066</v>
          </cell>
          <cell r="E268" t="str">
            <v>LBP, F/O DTI-JO</v>
          </cell>
          <cell r="F268" t="str">
            <v>MOOE</v>
          </cell>
          <cell r="G268" t="str">
            <v>RO</v>
          </cell>
          <cell r="I268" t="str">
            <v>R</v>
          </cell>
          <cell r="J268" t="str">
            <v>LF</v>
          </cell>
          <cell r="K268" t="str">
            <v>OTOP</v>
          </cell>
          <cell r="M268" t="str">
            <v>Payment of Job orders for the period January 16-31, 2021</v>
          </cell>
          <cell r="X268" t="str">
            <v>0176</v>
          </cell>
          <cell r="Z268">
            <v>11158</v>
          </cell>
        </row>
        <row r="269">
          <cell r="B269" t="str">
            <v>0176</v>
          </cell>
          <cell r="C269" t="str">
            <v>02</v>
          </cell>
          <cell r="D269" t="str">
            <v>066</v>
          </cell>
          <cell r="E269" t="str">
            <v>LBP, F/O DTI-JO</v>
          </cell>
          <cell r="F269" t="str">
            <v>MOOE</v>
          </cell>
          <cell r="G269" t="str">
            <v>RO</v>
          </cell>
          <cell r="K269" t="str">
            <v>LSP</v>
          </cell>
          <cell r="M269" t="str">
            <v>Payment of Job orders for the period January 16-31, 2021</v>
          </cell>
          <cell r="X269" t="str">
            <v>0176</v>
          </cell>
          <cell r="Z269">
            <v>10000</v>
          </cell>
        </row>
        <row r="270">
          <cell r="B270" t="str">
            <v>0176</v>
          </cell>
          <cell r="C270" t="str">
            <v>02</v>
          </cell>
          <cell r="D270" t="str">
            <v>066</v>
          </cell>
          <cell r="E270" t="str">
            <v>LBP, F/O DTI-JO</v>
          </cell>
          <cell r="F270" t="str">
            <v>MOOE</v>
          </cell>
          <cell r="G270" t="str">
            <v>RO</v>
          </cell>
          <cell r="K270" t="str">
            <v>OO3</v>
          </cell>
          <cell r="M270" t="str">
            <v>Payment of Job orders for the period January 16-31, 2021</v>
          </cell>
          <cell r="X270" t="str">
            <v>0176</v>
          </cell>
          <cell r="Z270">
            <v>14500</v>
          </cell>
        </row>
        <row r="271">
          <cell r="B271" t="str">
            <v>0177</v>
          </cell>
          <cell r="C271" t="str">
            <v>02</v>
          </cell>
          <cell r="D271" t="str">
            <v>067</v>
          </cell>
          <cell r="E271" t="str">
            <v>PD, DTI-AD N</v>
          </cell>
          <cell r="F271" t="str">
            <v>MOOE</v>
          </cell>
          <cell r="G271" t="str">
            <v>AD N</v>
          </cell>
          <cell r="J271" t="str">
            <v>SAA</v>
          </cell>
          <cell r="K271" t="str">
            <v>NC-MOOE</v>
          </cell>
          <cell r="M271" t="str">
            <v>FT transfer for NC implementation- January 2021</v>
          </cell>
          <cell r="X271" t="str">
            <v>0177</v>
          </cell>
          <cell r="Z271">
            <v>546300</v>
          </cell>
        </row>
        <row r="272">
          <cell r="B272" t="str">
            <v>0177</v>
          </cell>
          <cell r="C272" t="str">
            <v>02</v>
          </cell>
          <cell r="D272" t="str">
            <v>067</v>
          </cell>
          <cell r="E272" t="str">
            <v>PD, DTI-AD N</v>
          </cell>
          <cell r="F272" t="str">
            <v>CO</v>
          </cell>
          <cell r="G272" t="str">
            <v>AD N</v>
          </cell>
          <cell r="J272" t="str">
            <v>SAA</v>
          </cell>
          <cell r="K272" t="str">
            <v>NC-CO</v>
          </cell>
          <cell r="M272" t="str">
            <v>FT transfer for NC implementation- January 2021</v>
          </cell>
          <cell r="X272" t="str">
            <v>0177</v>
          </cell>
          <cell r="Z272">
            <v>500000</v>
          </cell>
        </row>
        <row r="273">
          <cell r="B273" t="str">
            <v>0178</v>
          </cell>
          <cell r="C273" t="str">
            <v>02</v>
          </cell>
          <cell r="D273" t="str">
            <v>068</v>
          </cell>
          <cell r="E273" t="str">
            <v>OIC, DTI-ADS</v>
          </cell>
          <cell r="F273" t="str">
            <v>MOOE</v>
          </cell>
          <cell r="G273" t="str">
            <v>ADS</v>
          </cell>
          <cell r="J273" t="str">
            <v>SAA</v>
          </cell>
          <cell r="K273" t="str">
            <v>NC-MOOE</v>
          </cell>
          <cell r="M273" t="str">
            <v>FT transfer for NC implementation- January 2021</v>
          </cell>
          <cell r="X273" t="str">
            <v>0178</v>
          </cell>
          <cell r="Z273">
            <v>535050</v>
          </cell>
        </row>
        <row r="274">
          <cell r="B274" t="str">
            <v>0179</v>
          </cell>
          <cell r="C274" t="str">
            <v>02</v>
          </cell>
          <cell r="D274" t="str">
            <v>069</v>
          </cell>
          <cell r="E274" t="str">
            <v>OIC, DTI-SDN</v>
          </cell>
          <cell r="F274" t="str">
            <v>MOOE</v>
          </cell>
          <cell r="G274" t="str">
            <v>SDN</v>
          </cell>
          <cell r="J274" t="str">
            <v>SAA</v>
          </cell>
          <cell r="K274" t="str">
            <v>NC-MOOE</v>
          </cell>
          <cell r="M274" t="str">
            <v>FT transfer for NC implementation- January 2021</v>
          </cell>
          <cell r="X274" t="str">
            <v>0179</v>
          </cell>
          <cell r="Z274">
            <v>463500</v>
          </cell>
        </row>
        <row r="275">
          <cell r="B275" t="str">
            <v>0179</v>
          </cell>
          <cell r="C275" t="str">
            <v>02</v>
          </cell>
          <cell r="D275" t="str">
            <v>069</v>
          </cell>
          <cell r="E275" t="str">
            <v>OIC, DTI-SDN</v>
          </cell>
          <cell r="F275" t="str">
            <v>CO</v>
          </cell>
          <cell r="G275" t="str">
            <v>SDN</v>
          </cell>
          <cell r="J275" t="str">
            <v>SAA</v>
          </cell>
          <cell r="K275" t="str">
            <v>NC-CO</v>
          </cell>
          <cell r="M275" t="str">
            <v>FT transfer for NC implementation- January 2021</v>
          </cell>
          <cell r="X275" t="str">
            <v>0179</v>
          </cell>
          <cell r="Z275">
            <v>500000</v>
          </cell>
        </row>
        <row r="276">
          <cell r="B276" t="str">
            <v>0180</v>
          </cell>
          <cell r="C276" t="str">
            <v>02</v>
          </cell>
          <cell r="D276" t="str">
            <v>070</v>
          </cell>
          <cell r="E276" t="str">
            <v>PD, DTI-SDS</v>
          </cell>
          <cell r="F276" t="str">
            <v>MOOE</v>
          </cell>
          <cell r="G276" t="str">
            <v>SDS</v>
          </cell>
          <cell r="J276" t="str">
            <v>SAA</v>
          </cell>
          <cell r="K276" t="str">
            <v>NC-MOOE</v>
          </cell>
          <cell r="M276" t="str">
            <v>FT transfer for NC implementation- January 2021</v>
          </cell>
          <cell r="X276" t="str">
            <v>0180</v>
          </cell>
          <cell r="Z276">
            <v>370350</v>
          </cell>
        </row>
        <row r="277">
          <cell r="B277" t="str">
            <v>0180</v>
          </cell>
          <cell r="C277" t="str">
            <v>02</v>
          </cell>
          <cell r="D277" t="str">
            <v>070</v>
          </cell>
          <cell r="E277" t="str">
            <v>PD, DTI-SDS</v>
          </cell>
          <cell r="F277" t="str">
            <v>CO</v>
          </cell>
          <cell r="G277" t="str">
            <v>SDS</v>
          </cell>
          <cell r="J277" t="str">
            <v>SAA</v>
          </cell>
          <cell r="K277" t="str">
            <v>NC-CO</v>
          </cell>
          <cell r="M277" t="str">
            <v>FT transfer for NC implementation- January 2021</v>
          </cell>
          <cell r="X277" t="str">
            <v>0180</v>
          </cell>
          <cell r="Z277">
            <v>500000</v>
          </cell>
        </row>
        <row r="278">
          <cell r="B278" t="str">
            <v>0181</v>
          </cell>
          <cell r="C278" t="str">
            <v>02</v>
          </cell>
          <cell r="D278" t="str">
            <v>071</v>
          </cell>
          <cell r="E278" t="str">
            <v>PD, DTI-PDI</v>
          </cell>
          <cell r="F278" t="str">
            <v>MOOE</v>
          </cell>
          <cell r="G278" t="str">
            <v>PDI</v>
          </cell>
          <cell r="J278" t="str">
            <v>SAA</v>
          </cell>
          <cell r="K278" t="str">
            <v>NC-MOOE</v>
          </cell>
          <cell r="M278" t="str">
            <v>FT transfer for NC implementation- January 2021</v>
          </cell>
          <cell r="X278" t="str">
            <v>0181</v>
          </cell>
          <cell r="Z278">
            <v>315900</v>
          </cell>
        </row>
        <row r="279">
          <cell r="B279" t="str">
            <v>0181</v>
          </cell>
          <cell r="C279" t="str">
            <v>02</v>
          </cell>
          <cell r="D279" t="str">
            <v>071</v>
          </cell>
          <cell r="E279" t="str">
            <v>PD, DTI-PDI</v>
          </cell>
          <cell r="F279" t="str">
            <v>CO</v>
          </cell>
          <cell r="G279" t="str">
            <v>PDI</v>
          </cell>
          <cell r="J279" t="str">
            <v>SAA</v>
          </cell>
          <cell r="K279" t="str">
            <v>NC-CO</v>
          </cell>
          <cell r="M279" t="str">
            <v>FT transfer for NC implementation- January 2021</v>
          </cell>
          <cell r="X279" t="str">
            <v>0181</v>
          </cell>
          <cell r="Z279">
            <v>500000</v>
          </cell>
        </row>
        <row r="280">
          <cell r="B280" t="str">
            <v>0182</v>
          </cell>
          <cell r="C280" t="str">
            <v>12</v>
          </cell>
          <cell r="D280" t="str">
            <v>2003</v>
          </cell>
          <cell r="E280" t="str">
            <v>Sinograpiko Art Services</v>
          </cell>
          <cell r="F280" t="str">
            <v>MOOE</v>
          </cell>
          <cell r="M280" t="str">
            <v>Payment for the customized leis during the grand launching of OTOP PH Hub at SM City Butuan on December 18, 2020</v>
          </cell>
          <cell r="X280" t="str">
            <v>0182</v>
          </cell>
          <cell r="Z280">
            <v>7680</v>
          </cell>
        </row>
        <row r="281">
          <cell r="B281" t="str">
            <v>0183</v>
          </cell>
          <cell r="C281" t="str">
            <v>12</v>
          </cell>
          <cell r="D281" t="str">
            <v>2021</v>
          </cell>
          <cell r="E281" t="str">
            <v>Jasmin B. Faelnar</v>
          </cell>
          <cell r="F281" t="str">
            <v>MOOE</v>
          </cell>
          <cell r="G281" t="str">
            <v>RO</v>
          </cell>
          <cell r="M281" t="str">
            <v>Reimbursement for the prizes for teambuilding activities during the 2020 Negosyo Center Year end and Planning.</v>
          </cell>
          <cell r="X281" t="str">
            <v>0183</v>
          </cell>
          <cell r="Z281">
            <v>10000</v>
          </cell>
        </row>
        <row r="282">
          <cell r="B282" t="str">
            <v>0184</v>
          </cell>
          <cell r="C282" t="str">
            <v>12</v>
          </cell>
          <cell r="D282" t="str">
            <v>2050</v>
          </cell>
          <cell r="E282" t="str">
            <v>Hi-5 Signages Fabricator</v>
          </cell>
          <cell r="F282" t="str">
            <v>MOOE</v>
          </cell>
          <cell r="G282" t="str">
            <v>RO</v>
          </cell>
          <cell r="I282" t="str">
            <v>R</v>
          </cell>
          <cell r="J282" t="str">
            <v>MOOE</v>
          </cell>
          <cell r="M282" t="str">
            <v>Payment for the plaque of recognition for Salamat Mabuhay Awardee</v>
          </cell>
          <cell r="X282" t="str">
            <v>0184</v>
          </cell>
          <cell r="Z282">
            <v>1125</v>
          </cell>
        </row>
        <row r="283">
          <cell r="B283" t="str">
            <v>0185</v>
          </cell>
          <cell r="C283" t="str">
            <v>02</v>
          </cell>
          <cell r="D283" t="str">
            <v>072</v>
          </cell>
          <cell r="E283" t="str">
            <v>LBP F/O DTI-RO</v>
          </cell>
          <cell r="F283" t="str">
            <v>PS</v>
          </cell>
          <cell r="G283" t="str">
            <v>RO</v>
          </cell>
          <cell r="I283" t="str">
            <v>R</v>
          </cell>
          <cell r="J283" t="str">
            <v>PS</v>
          </cell>
          <cell r="M283" t="str">
            <v>Payment for salary differential due to SSL 5 for the month of January 2021</v>
          </cell>
          <cell r="X283" t="str">
            <v>0185</v>
          </cell>
          <cell r="Z283">
            <v>49219.63</v>
          </cell>
        </row>
        <row r="284">
          <cell r="B284" t="str">
            <v>0186</v>
          </cell>
          <cell r="C284" t="str">
            <v>02</v>
          </cell>
          <cell r="D284" t="str">
            <v>073</v>
          </cell>
          <cell r="E284" t="str">
            <v>LBP F/O DTI-AND</v>
          </cell>
          <cell r="F284" t="str">
            <v>PS</v>
          </cell>
          <cell r="G284" t="str">
            <v>AD N</v>
          </cell>
          <cell r="I284" t="str">
            <v>R</v>
          </cell>
          <cell r="J284" t="str">
            <v>PS</v>
          </cell>
          <cell r="M284" t="str">
            <v>Payment for salary differential due to SSL 5 for the month of January 2021</v>
          </cell>
          <cell r="X284" t="str">
            <v>0186</v>
          </cell>
          <cell r="Z284">
            <v>13654.27</v>
          </cell>
        </row>
        <row r="285">
          <cell r="B285" t="str">
            <v>0187</v>
          </cell>
          <cell r="C285" t="str">
            <v>02</v>
          </cell>
          <cell r="D285" t="str">
            <v>074</v>
          </cell>
          <cell r="E285" t="str">
            <v>LBP F/O DTI-ADS</v>
          </cell>
          <cell r="F285" t="str">
            <v>PS</v>
          </cell>
          <cell r="G285" t="str">
            <v>ADS</v>
          </cell>
          <cell r="I285" t="str">
            <v>R</v>
          </cell>
          <cell r="J285" t="str">
            <v>PS</v>
          </cell>
          <cell r="M285" t="str">
            <v>Payment for salary differential due to SSL 5 for the month of January 2021</v>
          </cell>
          <cell r="X285" t="str">
            <v>0187</v>
          </cell>
          <cell r="Z285">
            <v>13997.75</v>
          </cell>
        </row>
        <row r="286">
          <cell r="B286" t="str">
            <v>0188</v>
          </cell>
          <cell r="C286" t="str">
            <v>02</v>
          </cell>
          <cell r="D286" t="str">
            <v>075</v>
          </cell>
          <cell r="E286" t="str">
            <v>LBP F/O DTI-SDN</v>
          </cell>
          <cell r="F286" t="str">
            <v>PS</v>
          </cell>
          <cell r="G286" t="str">
            <v>SDN</v>
          </cell>
          <cell r="I286" t="str">
            <v>R</v>
          </cell>
          <cell r="J286" t="str">
            <v>PS</v>
          </cell>
          <cell r="M286" t="str">
            <v>Payment for salary differential due to SSL 5 for the month of January 2021</v>
          </cell>
          <cell r="X286" t="str">
            <v>0188</v>
          </cell>
          <cell r="Z286">
            <v>14367.37</v>
          </cell>
        </row>
        <row r="287">
          <cell r="B287" t="str">
            <v>0189</v>
          </cell>
          <cell r="C287" t="str">
            <v>02</v>
          </cell>
          <cell r="D287" t="str">
            <v>076</v>
          </cell>
          <cell r="E287" t="str">
            <v>LBP F/O DTI-SDS</v>
          </cell>
          <cell r="F287" t="str">
            <v>PS</v>
          </cell>
          <cell r="G287" t="str">
            <v>SDS</v>
          </cell>
          <cell r="I287" t="str">
            <v>R</v>
          </cell>
          <cell r="J287" t="str">
            <v>PS</v>
          </cell>
          <cell r="M287" t="str">
            <v>Payment for salary differential due to SSL 5 for the month of January 2021</v>
          </cell>
          <cell r="X287" t="str">
            <v>0189</v>
          </cell>
          <cell r="Z287">
            <v>17130.28</v>
          </cell>
        </row>
        <row r="288">
          <cell r="B288" t="str">
            <v>0190</v>
          </cell>
          <cell r="C288" t="str">
            <v>02</v>
          </cell>
          <cell r="D288" t="str">
            <v>077</v>
          </cell>
          <cell r="E288" t="str">
            <v>LBP F/O DTI-PDI</v>
          </cell>
          <cell r="F288" t="str">
            <v>PS</v>
          </cell>
          <cell r="G288" t="str">
            <v>PDI</v>
          </cell>
          <cell r="I288" t="str">
            <v>R</v>
          </cell>
          <cell r="J288" t="str">
            <v>PS</v>
          </cell>
          <cell r="M288" t="str">
            <v>Payment for salary differential due to SSL 5 for the month of January 2021</v>
          </cell>
          <cell r="X288" t="str">
            <v>0190</v>
          </cell>
          <cell r="Z288">
            <v>10233.43</v>
          </cell>
        </row>
        <row r="289">
          <cell r="B289" t="str">
            <v>0191</v>
          </cell>
          <cell r="C289" t="str">
            <v>02</v>
          </cell>
          <cell r="D289" t="str">
            <v>078</v>
          </cell>
          <cell r="E289" t="str">
            <v>Globe Telecom, Inc.</v>
          </cell>
          <cell r="F289" t="str">
            <v>MOOE</v>
          </cell>
          <cell r="G289" t="str">
            <v>RO</v>
          </cell>
          <cell r="I289" t="str">
            <v>R</v>
          </cell>
          <cell r="J289" t="str">
            <v>MOOE</v>
          </cell>
          <cell r="M289" t="str">
            <v>Payment for postpaid plan with cell no. 091770367098 acct no. 49017022</v>
          </cell>
          <cell r="X289" t="str">
            <v>0191</v>
          </cell>
          <cell r="Z289">
            <v>1125</v>
          </cell>
        </row>
        <row r="290">
          <cell r="B290" t="str">
            <v>0192</v>
          </cell>
          <cell r="C290" t="str">
            <v>02</v>
          </cell>
          <cell r="D290" t="str">
            <v>079</v>
          </cell>
          <cell r="E290" t="str">
            <v>GSIS</v>
          </cell>
          <cell r="F290" t="str">
            <v>MOOE</v>
          </cell>
          <cell r="G290" t="str">
            <v>RO</v>
          </cell>
          <cell r="I290" t="str">
            <v>R</v>
          </cell>
          <cell r="J290" t="str">
            <v>MOOE</v>
          </cell>
          <cell r="M290" t="str">
            <v>Vehicle insurance for Toyota Hilux for the period March 1, 2021-March 1, 2022</v>
          </cell>
          <cell r="X290" t="str">
            <v>0192</v>
          </cell>
          <cell r="Z290">
            <v>8885.08</v>
          </cell>
        </row>
        <row r="291">
          <cell r="B291" t="str">
            <v>0193</v>
          </cell>
          <cell r="C291" t="str">
            <v>02</v>
          </cell>
          <cell r="D291" t="str">
            <v>081</v>
          </cell>
          <cell r="E291" t="str">
            <v>Globe Telecom, Inc.</v>
          </cell>
          <cell r="F291" t="str">
            <v>MOOE</v>
          </cell>
          <cell r="G291" t="str">
            <v>RO</v>
          </cell>
          <cell r="I291" t="str">
            <v>R</v>
          </cell>
          <cell r="J291" t="str">
            <v>MOOE</v>
          </cell>
          <cell r="M291" t="str">
            <v>Payment for postpaid plan with cell no. 09178656567-acct no.1094019348</v>
          </cell>
          <cell r="X291" t="str">
            <v>0193</v>
          </cell>
          <cell r="Z291">
            <v>2250</v>
          </cell>
        </row>
        <row r="292">
          <cell r="B292" t="str">
            <v>0194</v>
          </cell>
          <cell r="C292" t="str">
            <v>02</v>
          </cell>
          <cell r="D292" t="str">
            <v>080</v>
          </cell>
          <cell r="E292" t="str">
            <v>True Brew Gourmet Coffee Shop</v>
          </cell>
          <cell r="F292" t="str">
            <v>MOOE</v>
          </cell>
          <cell r="G292" t="str">
            <v>RO</v>
          </cell>
          <cell r="I292" t="str">
            <v>R</v>
          </cell>
          <cell r="J292" t="str">
            <v>MOOE</v>
          </cell>
          <cell r="M292" t="str">
            <v>Payment of meals during the SDD Functional Team Meeting on January 19, 2021</v>
          </cell>
          <cell r="X292" t="str">
            <v>0194</v>
          </cell>
          <cell r="Z292">
            <v>9937.5</v>
          </cell>
        </row>
        <row r="293">
          <cell r="B293" t="str">
            <v>0195</v>
          </cell>
          <cell r="C293" t="str">
            <v>02</v>
          </cell>
          <cell r="D293" t="str">
            <v>082</v>
          </cell>
          <cell r="E293" t="str">
            <v>LBP F/O DTI-RO</v>
          </cell>
          <cell r="F293" t="str">
            <v>PS</v>
          </cell>
          <cell r="G293" t="str">
            <v>RO</v>
          </cell>
          <cell r="I293" t="str">
            <v>R</v>
          </cell>
          <cell r="J293" t="str">
            <v>PS</v>
          </cell>
          <cell r="M293" t="str">
            <v>Payment for salaries and allowances for Regular employees for the month of February 2021</v>
          </cell>
          <cell r="X293" t="str">
            <v>0195</v>
          </cell>
          <cell r="Z293">
            <v>380927.66</v>
          </cell>
        </row>
        <row r="294">
          <cell r="B294" t="str">
            <v>0196</v>
          </cell>
          <cell r="C294" t="str">
            <v>02</v>
          </cell>
          <cell r="D294" t="str">
            <v>083</v>
          </cell>
          <cell r="E294" t="str">
            <v>LBP F/O DTI-ADS</v>
          </cell>
          <cell r="F294" t="str">
            <v>PS</v>
          </cell>
          <cell r="G294" t="str">
            <v>ADS</v>
          </cell>
          <cell r="I294" t="str">
            <v>R</v>
          </cell>
          <cell r="J294" t="str">
            <v>PS</v>
          </cell>
          <cell r="M294" t="str">
            <v>Payment for salaries and allowances for Regular employees for the month of February 2021</v>
          </cell>
          <cell r="X294" t="str">
            <v>0196</v>
          </cell>
          <cell r="Z294">
            <v>102762.6</v>
          </cell>
        </row>
        <row r="295">
          <cell r="B295" t="str">
            <v>0197</v>
          </cell>
          <cell r="C295" t="str">
            <v>02</v>
          </cell>
          <cell r="D295" t="str">
            <v>084</v>
          </cell>
          <cell r="E295" t="str">
            <v>LBP F/O DTI-PDI</v>
          </cell>
          <cell r="F295" t="str">
            <v>PS</v>
          </cell>
          <cell r="G295" t="str">
            <v>PDI</v>
          </cell>
          <cell r="I295" t="str">
            <v>R</v>
          </cell>
          <cell r="J295" t="str">
            <v>PS</v>
          </cell>
          <cell r="M295" t="str">
            <v>Payment for salaries and allowances for Regular employees for the month of February 2021</v>
          </cell>
          <cell r="X295" t="str">
            <v>0197</v>
          </cell>
          <cell r="Z295">
            <v>95341.3</v>
          </cell>
        </row>
        <row r="296">
          <cell r="B296" t="str">
            <v>0198</v>
          </cell>
          <cell r="C296" t="str">
            <v>02</v>
          </cell>
          <cell r="D296" t="str">
            <v>085</v>
          </cell>
          <cell r="E296" t="str">
            <v>Marry Ann L. Pascual</v>
          </cell>
          <cell r="F296" t="str">
            <v>PS</v>
          </cell>
          <cell r="G296" t="str">
            <v>RO</v>
          </cell>
          <cell r="I296" t="str">
            <v>R</v>
          </cell>
          <cell r="J296" t="str">
            <v>PS</v>
          </cell>
          <cell r="M296" t="str">
            <v>Payment for salary differential due to step increment from Jan 4-31, 2021</v>
          </cell>
          <cell r="X296" t="str">
            <v>0198</v>
          </cell>
          <cell r="Z296">
            <v>416.38</v>
          </cell>
        </row>
        <row r="297">
          <cell r="B297" t="str">
            <v>0199</v>
          </cell>
          <cell r="C297" t="str">
            <v>02</v>
          </cell>
          <cell r="D297" t="str">
            <v>086</v>
          </cell>
          <cell r="E297" t="str">
            <v>Marian Corazon R. Togonon</v>
          </cell>
          <cell r="F297" t="str">
            <v>PS</v>
          </cell>
          <cell r="G297" t="str">
            <v>ADS</v>
          </cell>
          <cell r="I297" t="str">
            <v>R</v>
          </cell>
          <cell r="J297" t="str">
            <v>PS</v>
          </cell>
          <cell r="M297" t="str">
            <v>Payment for salary differential due to step increment from Jan 4-31, 2021</v>
          </cell>
          <cell r="X297" t="str">
            <v>0199</v>
          </cell>
          <cell r="Z297">
            <v>235.09</v>
          </cell>
        </row>
        <row r="298">
          <cell r="B298" t="str">
            <v>0200</v>
          </cell>
          <cell r="C298" t="str">
            <v>02</v>
          </cell>
          <cell r="D298" t="str">
            <v>087</v>
          </cell>
          <cell r="E298" t="str">
            <v>Maribel P. Timogan</v>
          </cell>
          <cell r="F298" t="str">
            <v>PS</v>
          </cell>
          <cell r="G298" t="str">
            <v>RO</v>
          </cell>
          <cell r="I298" t="str">
            <v>R</v>
          </cell>
          <cell r="J298" t="str">
            <v>PS</v>
          </cell>
          <cell r="M298" t="str">
            <v>Payment for salary differential due to step increment from Jan 4-31, 2021</v>
          </cell>
          <cell r="X298" t="str">
            <v>0200</v>
          </cell>
          <cell r="Z298">
            <v>559.6</v>
          </cell>
        </row>
        <row r="299">
          <cell r="B299" t="str">
            <v>0201</v>
          </cell>
          <cell r="C299" t="str">
            <v>02</v>
          </cell>
          <cell r="D299" t="str">
            <v>088</v>
          </cell>
          <cell r="E299" t="str">
            <v>Land Bank of the Philippines</v>
          </cell>
          <cell r="F299" t="str">
            <v>PS</v>
          </cell>
          <cell r="G299" t="str">
            <v>RO</v>
          </cell>
          <cell r="I299" t="str">
            <v>R</v>
          </cell>
          <cell r="J299" t="str">
            <v>PS</v>
          </cell>
          <cell r="M299" t="str">
            <v>Payment for salary differential due to promotion from Jan 4-31, 2021</v>
          </cell>
          <cell r="X299" t="str">
            <v>0201</v>
          </cell>
          <cell r="Z299">
            <v>84139.95</v>
          </cell>
        </row>
        <row r="300">
          <cell r="B300" t="str">
            <v>0202</v>
          </cell>
          <cell r="C300" t="str">
            <v>02</v>
          </cell>
          <cell r="D300" t="str">
            <v>089</v>
          </cell>
          <cell r="E300" t="str">
            <v>Jumar H. Llorente</v>
          </cell>
          <cell r="F300" t="str">
            <v>PS</v>
          </cell>
          <cell r="G300" t="str">
            <v>PDI</v>
          </cell>
          <cell r="I300" t="str">
            <v>R</v>
          </cell>
          <cell r="J300" t="str">
            <v>SAA</v>
          </cell>
          <cell r="K300" t="str">
            <v>CARP</v>
          </cell>
          <cell r="M300" t="str">
            <v>Payment for salaries and allowances for Regular employees for the month of February 2021</v>
          </cell>
          <cell r="X300" t="str">
            <v>0202</v>
          </cell>
          <cell r="Z300">
            <v>14179.18</v>
          </cell>
        </row>
        <row r="301">
          <cell r="B301" t="str">
            <v>0203</v>
          </cell>
          <cell r="C301" t="str">
            <v>02</v>
          </cell>
          <cell r="D301" t="str">
            <v>090</v>
          </cell>
          <cell r="E301" t="str">
            <v>Joselito B. Paler</v>
          </cell>
          <cell r="F301" t="str">
            <v>PS</v>
          </cell>
          <cell r="G301" t="str">
            <v>RO</v>
          </cell>
          <cell r="I301" t="str">
            <v>R</v>
          </cell>
          <cell r="J301" t="str">
            <v>SAA</v>
          </cell>
          <cell r="K301" t="str">
            <v>CARP</v>
          </cell>
          <cell r="M301" t="str">
            <v>Payment for salaries and allowances for Regular employees for the month of February 2021</v>
          </cell>
          <cell r="X301" t="str">
            <v>0203</v>
          </cell>
          <cell r="Z301">
            <v>13134.87</v>
          </cell>
        </row>
        <row r="302">
          <cell r="B302" t="str">
            <v>0204</v>
          </cell>
          <cell r="C302" t="str">
            <v>02</v>
          </cell>
          <cell r="D302" t="str">
            <v>116</v>
          </cell>
          <cell r="E302" t="str">
            <v>LBP F/O DTI-SDN</v>
          </cell>
          <cell r="F302" t="str">
            <v>PS</v>
          </cell>
          <cell r="G302" t="str">
            <v>SDN</v>
          </cell>
          <cell r="I302" t="str">
            <v>R</v>
          </cell>
          <cell r="J302" t="str">
            <v>PS</v>
          </cell>
          <cell r="M302" t="str">
            <v>Payment for salaries and allowances for Regular employees for the month of February 2021</v>
          </cell>
          <cell r="X302" t="str">
            <v>0204</v>
          </cell>
          <cell r="Z302">
            <v>83314.61</v>
          </cell>
        </row>
        <row r="303">
          <cell r="B303" t="str">
            <v>0205</v>
          </cell>
          <cell r="C303" t="str">
            <v>02</v>
          </cell>
          <cell r="D303" t="str">
            <v>115</v>
          </cell>
          <cell r="E303" t="str">
            <v>Lemuel D. Roboca</v>
          </cell>
          <cell r="F303" t="str">
            <v>PS</v>
          </cell>
          <cell r="G303" t="str">
            <v>ADS</v>
          </cell>
          <cell r="I303" t="str">
            <v>R</v>
          </cell>
          <cell r="J303" t="str">
            <v>SAA</v>
          </cell>
          <cell r="K303" t="str">
            <v>CARP</v>
          </cell>
          <cell r="M303" t="str">
            <v>Payment for salaries and allowances for Regular employees for the month of February 2021</v>
          </cell>
          <cell r="X303" t="str">
            <v>0205</v>
          </cell>
          <cell r="Z303">
            <v>14989.19</v>
          </cell>
        </row>
        <row r="304">
          <cell r="B304" t="str">
            <v>0206</v>
          </cell>
          <cell r="C304" t="str">
            <v>02</v>
          </cell>
          <cell r="D304" t="str">
            <v>114</v>
          </cell>
          <cell r="E304" t="str">
            <v>LBP F/O DTI-SDS</v>
          </cell>
          <cell r="F304" t="str">
            <v>PS</v>
          </cell>
          <cell r="G304" t="str">
            <v>SDS</v>
          </cell>
          <cell r="I304" t="str">
            <v>R</v>
          </cell>
          <cell r="J304" t="str">
            <v>SAA</v>
          </cell>
          <cell r="K304" t="str">
            <v>CARP</v>
          </cell>
          <cell r="M304" t="str">
            <v>Payment for salaries and allowances for Regular employees for the month of February 2021</v>
          </cell>
          <cell r="X304" t="str">
            <v>0206</v>
          </cell>
          <cell r="Z304">
            <v>30522.880000000001</v>
          </cell>
        </row>
        <row r="305">
          <cell r="B305" t="str">
            <v>0207</v>
          </cell>
          <cell r="C305" t="str">
            <v>02</v>
          </cell>
          <cell r="D305" t="str">
            <v>113</v>
          </cell>
          <cell r="E305" t="str">
            <v>LBP F/O DTI-SDS</v>
          </cell>
          <cell r="F305" t="str">
            <v>PS</v>
          </cell>
          <cell r="G305" t="str">
            <v>SDS</v>
          </cell>
          <cell r="I305" t="str">
            <v>R</v>
          </cell>
          <cell r="J305" t="str">
            <v>PS</v>
          </cell>
          <cell r="M305" t="str">
            <v>Payment for salaries and allowances for Regular employees for the month of February 2021</v>
          </cell>
          <cell r="X305" t="str">
            <v>0207</v>
          </cell>
          <cell r="Z305">
            <v>145801.79</v>
          </cell>
        </row>
        <row r="306">
          <cell r="B306" t="str">
            <v>0208</v>
          </cell>
          <cell r="C306" t="str">
            <v>02</v>
          </cell>
          <cell r="D306" t="str">
            <v>111</v>
          </cell>
          <cell r="E306" t="str">
            <v>LBP F/O DTI-AND</v>
          </cell>
          <cell r="F306" t="str">
            <v>PS</v>
          </cell>
          <cell r="G306" t="str">
            <v>AND</v>
          </cell>
          <cell r="I306" t="str">
            <v>R</v>
          </cell>
          <cell r="J306" t="str">
            <v>PS</v>
          </cell>
          <cell r="M306" t="str">
            <v>Payment for salaries and allowances for Regular employees for the month of February 2021</v>
          </cell>
          <cell r="X306" t="str">
            <v>0208</v>
          </cell>
          <cell r="Z306">
            <v>99408.34</v>
          </cell>
        </row>
        <row r="307">
          <cell r="B307" t="str">
            <v>0209</v>
          </cell>
          <cell r="C307" t="str">
            <v>02</v>
          </cell>
          <cell r="D307" t="str">
            <v>112</v>
          </cell>
          <cell r="E307" t="str">
            <v>LBP F/O DTI-AND</v>
          </cell>
          <cell r="F307" t="str">
            <v>PS</v>
          </cell>
          <cell r="G307" t="str">
            <v>AND</v>
          </cell>
          <cell r="I307" t="str">
            <v>R</v>
          </cell>
          <cell r="J307" t="str">
            <v>SAA</v>
          </cell>
          <cell r="K307" t="str">
            <v>CARP</v>
          </cell>
          <cell r="M307" t="str">
            <v>Payment for salaries and allowances for Regular employees for the month of February 2021</v>
          </cell>
          <cell r="X307" t="str">
            <v>0209</v>
          </cell>
          <cell r="Z307">
            <v>26940.43</v>
          </cell>
        </row>
        <row r="308">
          <cell r="B308" t="str">
            <v>0210</v>
          </cell>
          <cell r="C308" t="str">
            <v>02</v>
          </cell>
          <cell r="D308" t="str">
            <v>117</v>
          </cell>
          <cell r="E308" t="str">
            <v>Ma. Malen B. Catamora</v>
          </cell>
          <cell r="F308" t="str">
            <v>PS</v>
          </cell>
          <cell r="G308" t="str">
            <v>SDN</v>
          </cell>
          <cell r="I308" t="str">
            <v>R</v>
          </cell>
          <cell r="J308" t="str">
            <v>SAA</v>
          </cell>
          <cell r="K308" t="str">
            <v>CARP</v>
          </cell>
          <cell r="M308" t="str">
            <v>Payment for salaries and allowances for Regular employees for the month of February 2021</v>
          </cell>
          <cell r="X308" t="str">
            <v>0210</v>
          </cell>
          <cell r="Z308">
            <v>9184.18</v>
          </cell>
        </row>
        <row r="309">
          <cell r="B309" t="str">
            <v>0210A</v>
          </cell>
          <cell r="C309" t="str">
            <v>12</v>
          </cell>
          <cell r="D309" t="str">
            <v>1901</v>
          </cell>
          <cell r="E309" t="str">
            <v>Renato Gatchalian</v>
          </cell>
          <cell r="F309" t="str">
            <v>MOOE</v>
          </cell>
          <cell r="G309" t="str">
            <v>RO</v>
          </cell>
          <cell r="I309" t="str">
            <v>R</v>
          </cell>
          <cell r="J309" t="str">
            <v>MOOE</v>
          </cell>
          <cell r="K309" t="str">
            <v>NC</v>
          </cell>
          <cell r="M309" t="str">
            <v>Payment of Honorarium of panelist during BIP Presentation on September 21-23, 2020(KMME Online Session Batch 1</v>
          </cell>
          <cell r="X309" t="str">
            <v>0210A</v>
          </cell>
          <cell r="Z309">
            <v>950</v>
          </cell>
        </row>
        <row r="310">
          <cell r="B310" t="str">
            <v>0211</v>
          </cell>
          <cell r="C310" t="str">
            <v>02</v>
          </cell>
          <cell r="D310" t="str">
            <v>118</v>
          </cell>
          <cell r="E310" t="str">
            <v>Loida C. Gumahin</v>
          </cell>
          <cell r="F310" t="str">
            <v>MOOE</v>
          </cell>
          <cell r="G310" t="str">
            <v>RO</v>
          </cell>
          <cell r="I310" t="str">
            <v>R</v>
          </cell>
          <cell r="J310" t="str">
            <v>SAA</v>
          </cell>
          <cell r="K310" t="str">
            <v>NC</v>
          </cell>
          <cell r="M310" t="str">
            <v>Payment for initial salary as Contractual Staff under NC PROGRAM for January 18-31, 2021</v>
          </cell>
          <cell r="X310" t="str">
            <v>0211</v>
          </cell>
          <cell r="Z310">
            <v>9913.64</v>
          </cell>
        </row>
        <row r="311">
          <cell r="B311" t="str">
            <v>0212</v>
          </cell>
          <cell r="C311" t="str">
            <v>02</v>
          </cell>
          <cell r="D311" t="str">
            <v>119</v>
          </cell>
          <cell r="E311" t="str">
            <v>Rezel May C. Goloran</v>
          </cell>
          <cell r="F311" t="str">
            <v>MOOE</v>
          </cell>
          <cell r="G311" t="str">
            <v>ADS</v>
          </cell>
          <cell r="I311" t="str">
            <v>R</v>
          </cell>
          <cell r="J311" t="str">
            <v>SAA</v>
          </cell>
          <cell r="K311" t="str">
            <v>NC</v>
          </cell>
          <cell r="M311" t="str">
            <v>Payment for initial salary as Contractual Staff under NC PROGRAM for January 18-31, 2021</v>
          </cell>
          <cell r="X311" t="str">
            <v>0212</v>
          </cell>
          <cell r="Z311">
            <v>9913.64</v>
          </cell>
        </row>
        <row r="312">
          <cell r="B312" t="str">
            <v>0213</v>
          </cell>
          <cell r="C312" t="str">
            <v>02</v>
          </cell>
          <cell r="D312" t="str">
            <v>120</v>
          </cell>
          <cell r="E312" t="str">
            <v>Elyn Rose A. Ranario</v>
          </cell>
          <cell r="F312" t="str">
            <v>MOOE</v>
          </cell>
          <cell r="G312" t="str">
            <v>AD N</v>
          </cell>
          <cell r="I312" t="str">
            <v>R</v>
          </cell>
          <cell r="J312" t="str">
            <v>SAA</v>
          </cell>
          <cell r="K312" t="str">
            <v>NC</v>
          </cell>
          <cell r="M312" t="str">
            <v>Payment for initial salary as Contractual Staff under NC PROGRAM for January 18-31, 2021</v>
          </cell>
          <cell r="X312" t="str">
            <v>0213</v>
          </cell>
          <cell r="Z312">
            <v>9913.64</v>
          </cell>
        </row>
        <row r="313">
          <cell r="B313" t="str">
            <v>0214</v>
          </cell>
          <cell r="C313" t="str">
            <v>02</v>
          </cell>
          <cell r="D313" t="str">
            <v>121</v>
          </cell>
          <cell r="E313" t="str">
            <v>Carl Mars P. Ravelo</v>
          </cell>
          <cell r="F313" t="str">
            <v>MOOE</v>
          </cell>
          <cell r="G313" t="str">
            <v>PDI</v>
          </cell>
          <cell r="I313" t="str">
            <v>R</v>
          </cell>
          <cell r="J313" t="str">
            <v>SAA</v>
          </cell>
          <cell r="K313" t="str">
            <v>NC</v>
          </cell>
          <cell r="M313" t="str">
            <v>Payment for initial salary as Contractual Staff under NC PROGRAM for January 18-31, 2021</v>
          </cell>
          <cell r="X313" t="str">
            <v>0214</v>
          </cell>
          <cell r="Z313">
            <v>9913.64</v>
          </cell>
        </row>
        <row r="314">
          <cell r="B314" t="str">
            <v>0215</v>
          </cell>
          <cell r="C314" t="str">
            <v>02</v>
          </cell>
          <cell r="D314" t="str">
            <v>122</v>
          </cell>
          <cell r="E314" t="str">
            <v>Olimar O. Sulapas</v>
          </cell>
          <cell r="F314" t="str">
            <v>MOOE</v>
          </cell>
          <cell r="G314" t="str">
            <v>SDN</v>
          </cell>
          <cell r="I314" t="str">
            <v>R</v>
          </cell>
          <cell r="J314" t="str">
            <v>SAA</v>
          </cell>
          <cell r="K314" t="str">
            <v>NC</v>
          </cell>
          <cell r="M314" t="str">
            <v>Payment for initial salary as Contractual Staff under NC PROGRAM for January 18-31, 2021</v>
          </cell>
          <cell r="X314" t="str">
            <v>0215</v>
          </cell>
          <cell r="Z314">
            <v>9913.64</v>
          </cell>
        </row>
        <row r="315">
          <cell r="B315" t="str">
            <v>0216</v>
          </cell>
          <cell r="C315" t="str">
            <v>02</v>
          </cell>
          <cell r="D315" t="str">
            <v>123</v>
          </cell>
          <cell r="E315" t="str">
            <v>Loida C. Gumahin</v>
          </cell>
          <cell r="F315" t="str">
            <v>MOOE</v>
          </cell>
          <cell r="G315" t="str">
            <v>RO</v>
          </cell>
          <cell r="I315" t="str">
            <v>R</v>
          </cell>
          <cell r="J315" t="str">
            <v>SAA</v>
          </cell>
          <cell r="K315" t="str">
            <v>NC</v>
          </cell>
          <cell r="M315" t="str">
            <v>Payment for salary of NC staff for the month of February 2021</v>
          </cell>
          <cell r="X315" t="str">
            <v>0216</v>
          </cell>
          <cell r="Z315">
            <v>11559.96</v>
          </cell>
        </row>
        <row r="316">
          <cell r="B316" t="str">
            <v>0217</v>
          </cell>
          <cell r="C316" t="str">
            <v>02</v>
          </cell>
          <cell r="D316" t="str">
            <v>082</v>
          </cell>
          <cell r="E316" t="str">
            <v>Dreamco MPC</v>
          </cell>
          <cell r="F316" t="str">
            <v>PS</v>
          </cell>
          <cell r="G316" t="str">
            <v>RO</v>
          </cell>
          <cell r="I316" t="str">
            <v>R</v>
          </cell>
          <cell r="L316">
            <v>177751.92</v>
          </cell>
          <cell r="M316" t="str">
            <v>Remittance of COOP deductions for the month of February 2021</v>
          </cell>
          <cell r="X316" t="str">
            <v>0217</v>
          </cell>
          <cell r="Z316">
            <v>177751.92</v>
          </cell>
        </row>
        <row r="317">
          <cell r="B317" t="str">
            <v>0218</v>
          </cell>
          <cell r="C317" t="str">
            <v>02</v>
          </cell>
          <cell r="D317" t="str">
            <v>095</v>
          </cell>
          <cell r="E317" t="str">
            <v>PD, DTI-AND</v>
          </cell>
          <cell r="F317" t="str">
            <v>MOOE</v>
          </cell>
          <cell r="G317" t="str">
            <v>AD N</v>
          </cell>
          <cell r="I317" t="str">
            <v>P</v>
          </cell>
          <cell r="J317" t="str">
            <v>SAA</v>
          </cell>
          <cell r="K317" t="str">
            <v>LSP-NSB</v>
          </cell>
          <cell r="M317" t="str">
            <v>Advances for LSP-NSB Implementation for 1st qtr 2021</v>
          </cell>
          <cell r="X317" t="str">
            <v>0218</v>
          </cell>
          <cell r="Z317">
            <v>640000</v>
          </cell>
        </row>
        <row r="318">
          <cell r="B318" t="str">
            <v>0218</v>
          </cell>
          <cell r="C318" t="str">
            <v>02</v>
          </cell>
          <cell r="D318" t="str">
            <v>095</v>
          </cell>
          <cell r="E318" t="str">
            <v>PD, DTI-AND</v>
          </cell>
          <cell r="F318" t="str">
            <v>MOOE</v>
          </cell>
          <cell r="G318" t="str">
            <v>AD N</v>
          </cell>
          <cell r="I318" t="str">
            <v>P</v>
          </cell>
          <cell r="J318" t="str">
            <v>SAA</v>
          </cell>
          <cell r="K318" t="str">
            <v>LSP-NSB</v>
          </cell>
          <cell r="M318" t="str">
            <v>Advances for LSP-NSB Implementation for 1st qtr 2021</v>
          </cell>
          <cell r="X318" t="str">
            <v>0218</v>
          </cell>
          <cell r="Z318">
            <v>-640000</v>
          </cell>
        </row>
        <row r="319">
          <cell r="B319" t="str">
            <v>0219</v>
          </cell>
          <cell r="C319" t="str">
            <v>02</v>
          </cell>
          <cell r="D319" t="str">
            <v>096</v>
          </cell>
          <cell r="E319" t="str">
            <v>OIC, DTI-ADS</v>
          </cell>
          <cell r="F319" t="str">
            <v>MOOE</v>
          </cell>
          <cell r="G319" t="str">
            <v>ADS</v>
          </cell>
          <cell r="I319" t="str">
            <v>P</v>
          </cell>
          <cell r="J319" t="str">
            <v>SAA</v>
          </cell>
          <cell r="K319" t="str">
            <v>LSP-NSB</v>
          </cell>
          <cell r="M319" t="str">
            <v>Advances for LSP-NSB Implementation for 1st qtr 2021</v>
          </cell>
          <cell r="X319" t="str">
            <v>0219</v>
          </cell>
          <cell r="Z319">
            <v>640000</v>
          </cell>
        </row>
        <row r="320">
          <cell r="B320" t="str">
            <v>0220</v>
          </cell>
          <cell r="C320" t="str">
            <v>02</v>
          </cell>
          <cell r="D320" t="str">
            <v>097</v>
          </cell>
          <cell r="E320" t="str">
            <v>OIC, DTI-SDN</v>
          </cell>
          <cell r="F320" t="str">
            <v>MOOE</v>
          </cell>
          <cell r="G320" t="str">
            <v>SDN</v>
          </cell>
          <cell r="I320" t="str">
            <v>P</v>
          </cell>
          <cell r="J320" t="str">
            <v>SAA</v>
          </cell>
          <cell r="K320" t="str">
            <v>LSP-NSB</v>
          </cell>
          <cell r="M320" t="str">
            <v>Advances for LSP-NSB Implementation for 1st qtr 2021</v>
          </cell>
          <cell r="X320" t="str">
            <v>0220</v>
          </cell>
          <cell r="Z320">
            <v>640000</v>
          </cell>
        </row>
        <row r="321">
          <cell r="B321" t="str">
            <v>0220</v>
          </cell>
          <cell r="C321" t="str">
            <v>02</v>
          </cell>
          <cell r="D321" t="str">
            <v>097</v>
          </cell>
          <cell r="E321" t="str">
            <v>OIC, DTI-SDN</v>
          </cell>
          <cell r="F321" t="str">
            <v>MOOE</v>
          </cell>
          <cell r="G321" t="str">
            <v>SDN</v>
          </cell>
          <cell r="I321" t="str">
            <v>P</v>
          </cell>
          <cell r="J321" t="str">
            <v>SAA</v>
          </cell>
          <cell r="K321" t="str">
            <v>LSP-NSB</v>
          </cell>
          <cell r="M321" t="str">
            <v>Advances for LSP-NSB Implementation for 1st qtr 2021</v>
          </cell>
          <cell r="X321" t="str">
            <v>0220</v>
          </cell>
          <cell r="Z321">
            <v>-640000</v>
          </cell>
        </row>
        <row r="322">
          <cell r="B322" t="str">
            <v>0221</v>
          </cell>
          <cell r="C322" t="str">
            <v>02</v>
          </cell>
          <cell r="D322" t="str">
            <v>098</v>
          </cell>
          <cell r="E322" t="str">
            <v>PD, DTI-SDS</v>
          </cell>
          <cell r="F322" t="str">
            <v>MOOE</v>
          </cell>
          <cell r="G322" t="str">
            <v>SDS</v>
          </cell>
          <cell r="I322" t="str">
            <v>P</v>
          </cell>
          <cell r="J322" t="str">
            <v>SAA</v>
          </cell>
          <cell r="K322" t="str">
            <v>LSP-NSB</v>
          </cell>
          <cell r="M322" t="str">
            <v>Advances for LSP-NSB Implementation for 1st qtr 2021</v>
          </cell>
          <cell r="X322" t="str">
            <v>0221</v>
          </cell>
          <cell r="Z322">
            <v>640000</v>
          </cell>
        </row>
        <row r="323">
          <cell r="B323" t="str">
            <v>0221</v>
          </cell>
          <cell r="C323" t="str">
            <v>02</v>
          </cell>
          <cell r="D323" t="str">
            <v>098</v>
          </cell>
          <cell r="E323" t="str">
            <v>PD, DTI-SDS</v>
          </cell>
          <cell r="F323" t="str">
            <v>MOOE</v>
          </cell>
          <cell r="G323" t="str">
            <v>SDS</v>
          </cell>
          <cell r="I323" t="str">
            <v>P</v>
          </cell>
          <cell r="J323" t="str">
            <v>SAA</v>
          </cell>
          <cell r="K323" t="str">
            <v>LSP-NSB</v>
          </cell>
          <cell r="M323" t="str">
            <v>Advances for LSP-NSB Implementation for 1st qtr 2021</v>
          </cell>
          <cell r="X323" t="str">
            <v>0221</v>
          </cell>
          <cell r="Z323">
            <v>-640000</v>
          </cell>
        </row>
        <row r="324">
          <cell r="B324" t="str">
            <v>0222</v>
          </cell>
          <cell r="C324" t="str">
            <v>02</v>
          </cell>
          <cell r="D324" t="str">
            <v>099</v>
          </cell>
          <cell r="E324" t="str">
            <v>PD, DTI-PDI</v>
          </cell>
          <cell r="F324" t="str">
            <v>MOOE</v>
          </cell>
          <cell r="G324" t="str">
            <v>PDI</v>
          </cell>
          <cell r="I324" t="str">
            <v>P</v>
          </cell>
          <cell r="J324" t="str">
            <v>SAA</v>
          </cell>
          <cell r="K324" t="str">
            <v>LSP-NSB</v>
          </cell>
          <cell r="M324" t="str">
            <v>Advances for LSP-NSB Implementation for 1st qtr 2021</v>
          </cell>
          <cell r="X324" t="str">
            <v>0222</v>
          </cell>
          <cell r="Z324">
            <v>640000</v>
          </cell>
        </row>
        <row r="325">
          <cell r="B325" t="str">
            <v>0222</v>
          </cell>
          <cell r="C325" t="str">
            <v>02</v>
          </cell>
          <cell r="D325" t="str">
            <v>099</v>
          </cell>
          <cell r="E325" t="str">
            <v>PD, DTI-PDI</v>
          </cell>
          <cell r="F325" t="str">
            <v>MOOE</v>
          </cell>
          <cell r="G325" t="str">
            <v>PDI</v>
          </cell>
          <cell r="I325" t="str">
            <v>P</v>
          </cell>
          <cell r="J325" t="str">
            <v>SAA</v>
          </cell>
          <cell r="K325" t="str">
            <v>LSP-NSB</v>
          </cell>
          <cell r="M325" t="str">
            <v>Advances for LSP-NSB Implementation for 1st qtr 2021</v>
          </cell>
          <cell r="X325" t="str">
            <v>0222</v>
          </cell>
          <cell r="Z325">
            <v>-640000</v>
          </cell>
        </row>
        <row r="326">
          <cell r="B326" t="str">
            <v>0223</v>
          </cell>
          <cell r="C326" t="str">
            <v>02</v>
          </cell>
          <cell r="D326" t="str">
            <v>144</v>
          </cell>
          <cell r="E326" t="str">
            <v>Land Bank of the Philippines</v>
          </cell>
          <cell r="F326" t="str">
            <v>MOOE</v>
          </cell>
          <cell r="G326" t="str">
            <v>RO</v>
          </cell>
          <cell r="I326" t="str">
            <v>P</v>
          </cell>
          <cell r="J326" t="str">
            <v>SAA</v>
          </cell>
          <cell r="K326" t="str">
            <v>RAPID-GOP</v>
          </cell>
          <cell r="M326" t="str">
            <v>Salaries paid RAPID RCU Staff- January 1-31, 2021</v>
          </cell>
          <cell r="X326" t="str">
            <v>0223</v>
          </cell>
          <cell r="Z326">
            <v>144603.29</v>
          </cell>
        </row>
        <row r="327">
          <cell r="B327" t="str">
            <v>0224</v>
          </cell>
          <cell r="C327" t="str">
            <v>02</v>
          </cell>
          <cell r="D327" t="str">
            <v>094</v>
          </cell>
          <cell r="E327" t="str">
            <v>D.O Plaza Holdings Corp.</v>
          </cell>
          <cell r="F327" t="str">
            <v>MOOE</v>
          </cell>
          <cell r="G327" t="str">
            <v>RO</v>
          </cell>
          <cell r="I327" t="str">
            <v>R</v>
          </cell>
          <cell r="M327" t="str">
            <v>Payment for office rental for the month of February 2021</v>
          </cell>
          <cell r="X327" t="str">
            <v>0224</v>
          </cell>
          <cell r="Z327">
            <v>155278.13</v>
          </cell>
        </row>
        <row r="328">
          <cell r="B328" t="str">
            <v>0225</v>
          </cell>
          <cell r="C328" t="str">
            <v>02</v>
          </cell>
          <cell r="D328" t="str">
            <v>110</v>
          </cell>
          <cell r="E328" t="str">
            <v>Neilab'z Express</v>
          </cell>
          <cell r="F328" t="str">
            <v>MOOE</v>
          </cell>
          <cell r="G328" t="str">
            <v>RO</v>
          </cell>
          <cell r="I328" t="str">
            <v>P</v>
          </cell>
          <cell r="J328" t="str">
            <v>LF</v>
          </cell>
          <cell r="K328" t="str">
            <v>OTOP</v>
          </cell>
          <cell r="M328" t="str">
            <v>Payment for van rental during the conduct of OTOP PH Hub briefing in Tandag City on Januray 21, 2021 and Surigao City on January 29, 2021.</v>
          </cell>
          <cell r="X328" t="str">
            <v>0225</v>
          </cell>
          <cell r="Z328">
            <v>10473.219999999999</v>
          </cell>
        </row>
        <row r="329">
          <cell r="B329" t="str">
            <v>0226</v>
          </cell>
          <cell r="C329" t="str">
            <v>02</v>
          </cell>
          <cell r="D329" t="str">
            <v>124</v>
          </cell>
          <cell r="E329" t="str">
            <v>PLDT Inc.</v>
          </cell>
          <cell r="F329" t="str">
            <v>MOOE</v>
          </cell>
          <cell r="G329" t="str">
            <v>RO</v>
          </cell>
          <cell r="I329" t="str">
            <v>R</v>
          </cell>
          <cell r="M329" t="str">
            <v>Payment for landline subsciprion acct no. 0606033214(815-1271)</v>
          </cell>
          <cell r="X329" t="str">
            <v>0226</v>
          </cell>
          <cell r="Z329">
            <v>27037.32</v>
          </cell>
        </row>
        <row r="330">
          <cell r="B330" t="str">
            <v>0227</v>
          </cell>
          <cell r="C330" t="str">
            <v>02</v>
          </cell>
          <cell r="D330" t="str">
            <v>125</v>
          </cell>
          <cell r="E330" t="str">
            <v>PLDT Inc.</v>
          </cell>
          <cell r="F330" t="str">
            <v>MOOE</v>
          </cell>
          <cell r="G330" t="str">
            <v>RO</v>
          </cell>
          <cell r="I330" t="str">
            <v>R</v>
          </cell>
          <cell r="M330" t="str">
            <v>Payment for landline subsciprion acct no. 0216371283(816-3136)</v>
          </cell>
          <cell r="X330" t="str">
            <v>0227</v>
          </cell>
          <cell r="Z330">
            <v>16875</v>
          </cell>
        </row>
        <row r="331">
          <cell r="B331" t="str">
            <v>0228</v>
          </cell>
          <cell r="C331" t="str">
            <v>02</v>
          </cell>
          <cell r="D331" t="str">
            <v>126</v>
          </cell>
          <cell r="E331" t="str">
            <v>PLDT Inc.</v>
          </cell>
          <cell r="F331" t="str">
            <v>MOOE</v>
          </cell>
          <cell r="G331" t="str">
            <v>RO</v>
          </cell>
          <cell r="I331" t="str">
            <v>R</v>
          </cell>
          <cell r="M331" t="str">
            <v>Payment for landline subsciprion acct no. 0606028075(816-0079)</v>
          </cell>
          <cell r="X331" t="str">
            <v>0228</v>
          </cell>
          <cell r="Z331">
            <v>525</v>
          </cell>
        </row>
        <row r="332">
          <cell r="B332" t="str">
            <v>0229</v>
          </cell>
          <cell r="C332" t="str">
            <v>02</v>
          </cell>
          <cell r="D332" t="str">
            <v>127</v>
          </cell>
          <cell r="E332" t="str">
            <v>PLDT Inc.</v>
          </cell>
          <cell r="F332" t="str">
            <v>MOOE</v>
          </cell>
          <cell r="G332" t="str">
            <v>RO</v>
          </cell>
          <cell r="I332" t="str">
            <v>R</v>
          </cell>
          <cell r="M332" t="str">
            <v>Payment for landline subsciprion acct no. 0197015144(225-5955)</v>
          </cell>
          <cell r="X332" t="str">
            <v>0229</v>
          </cell>
          <cell r="Z332">
            <v>861</v>
          </cell>
        </row>
        <row r="333">
          <cell r="B333" t="str">
            <v>0230</v>
          </cell>
          <cell r="C333" t="str">
            <v>02</v>
          </cell>
          <cell r="D333" t="str">
            <v>128</v>
          </cell>
          <cell r="E333" t="str">
            <v>Janikka's Catering Services</v>
          </cell>
          <cell r="F333" t="str">
            <v>MOOE</v>
          </cell>
          <cell r="G333" t="str">
            <v>RO</v>
          </cell>
          <cell r="I333" t="str">
            <v>R</v>
          </cell>
          <cell r="M333" t="str">
            <v>Payment for meals during the oath taking ceremony cum orientation for newly hired and prmoted employees on January 11, 2021</v>
          </cell>
          <cell r="X333" t="str">
            <v>0230</v>
          </cell>
          <cell r="Z333">
            <v>13125</v>
          </cell>
        </row>
        <row r="334">
          <cell r="B334" t="str">
            <v>0231</v>
          </cell>
          <cell r="C334" t="str">
            <v>02</v>
          </cell>
          <cell r="D334" t="str">
            <v>129</v>
          </cell>
          <cell r="E334" t="str">
            <v>Manila Auto Care</v>
          </cell>
          <cell r="F334" t="str">
            <v>MOOE</v>
          </cell>
          <cell r="G334" t="str">
            <v>RO</v>
          </cell>
          <cell r="I334" t="str">
            <v>R</v>
          </cell>
          <cell r="M334" t="str">
            <v>Payment for labor and Materials for DTI Caraga Motor Vehicle Periodic Maintenance of Toyota Innova(SKT-513)</v>
          </cell>
          <cell r="X334" t="str">
            <v>0231</v>
          </cell>
          <cell r="Z334">
            <v>8225.6200000000008</v>
          </cell>
        </row>
        <row r="335">
          <cell r="B335" t="str">
            <v>0232</v>
          </cell>
          <cell r="C335" t="str">
            <v>02</v>
          </cell>
          <cell r="D335" t="str">
            <v>130</v>
          </cell>
          <cell r="E335" t="str">
            <v>Rey B. Acabo</v>
          </cell>
          <cell r="F335" t="str">
            <v>MOOE</v>
          </cell>
          <cell r="G335" t="str">
            <v>RO</v>
          </cell>
          <cell r="I335" t="str">
            <v>R</v>
          </cell>
          <cell r="M335" t="str">
            <v>Reimbursement , TE RE: To fetch PD from Surigao to Butuan and paricipation to typhoon Vicky Rehab Activities</v>
          </cell>
          <cell r="X335" t="str">
            <v>0232</v>
          </cell>
          <cell r="Z335">
            <v>2850</v>
          </cell>
        </row>
        <row r="336">
          <cell r="B336" t="str">
            <v>0233</v>
          </cell>
          <cell r="C336" t="str">
            <v>02</v>
          </cell>
          <cell r="D336" t="str">
            <v>131</v>
          </cell>
          <cell r="E336" t="str">
            <v>Rey B. Acabo</v>
          </cell>
          <cell r="F336" t="str">
            <v>MOOE</v>
          </cell>
          <cell r="G336" t="str">
            <v>RO</v>
          </cell>
          <cell r="I336" t="str">
            <v>R</v>
          </cell>
          <cell r="M336" t="str">
            <v>Reimb. Motor vehicle fuel (diesel for toyota hilux) ferry staff during the site visit SSF</v>
          </cell>
          <cell r="X336" t="str">
            <v>0233</v>
          </cell>
          <cell r="Z336">
            <v>500</v>
          </cell>
        </row>
        <row r="337">
          <cell r="B337" t="str">
            <v>0234</v>
          </cell>
          <cell r="C337" t="str">
            <v>02</v>
          </cell>
          <cell r="D337" t="str">
            <v>143</v>
          </cell>
          <cell r="E337" t="str">
            <v>Need Ink Sales and Services</v>
          </cell>
          <cell r="F337" t="str">
            <v>MOOE</v>
          </cell>
          <cell r="G337" t="str">
            <v>RO</v>
          </cell>
          <cell r="I337" t="str">
            <v>R</v>
          </cell>
          <cell r="M337" t="str">
            <v>Payment for toner cartridge for IDD 1st quarter 2021 office supplies</v>
          </cell>
          <cell r="X337" t="str">
            <v>0234</v>
          </cell>
          <cell r="Z337">
            <v>21124.28</v>
          </cell>
        </row>
        <row r="338">
          <cell r="B338" t="str">
            <v>0235</v>
          </cell>
          <cell r="C338" t="str">
            <v>12</v>
          </cell>
          <cell r="D338" t="str">
            <v>1884</v>
          </cell>
          <cell r="E338" t="str">
            <v>Innove Communications, Inc</v>
          </cell>
          <cell r="F338" t="str">
            <v>MOOE</v>
          </cell>
          <cell r="G338" t="str">
            <v>RO</v>
          </cell>
          <cell r="I338" t="str">
            <v>P</v>
          </cell>
          <cell r="J338" t="str">
            <v>SAA</v>
          </cell>
          <cell r="K338" t="str">
            <v>NC</v>
          </cell>
          <cell r="M338" t="str">
            <v>Payment for ZOOM application for the month of Julty to Oct 2020</v>
          </cell>
          <cell r="X338" t="str">
            <v>0235</v>
          </cell>
          <cell r="Z338">
            <v>17967.22</v>
          </cell>
        </row>
        <row r="339">
          <cell r="B339" t="str">
            <v>0236</v>
          </cell>
          <cell r="C339" t="str">
            <v>12</v>
          </cell>
          <cell r="D339" t="str">
            <v>1986</v>
          </cell>
          <cell r="E339" t="str">
            <v>True Brew Gourmet Coffee Shop</v>
          </cell>
          <cell r="F339" t="str">
            <v>MOOE</v>
          </cell>
          <cell r="G339" t="str">
            <v>RO</v>
          </cell>
          <cell r="I339" t="str">
            <v>R</v>
          </cell>
          <cell r="J339" t="str">
            <v>MOOE</v>
          </cell>
          <cell r="M339" t="str">
            <v>Payment for the provision of meals during level 1 planning on December 10, 2020</v>
          </cell>
          <cell r="X339" t="str">
            <v>0236</v>
          </cell>
          <cell r="Z339">
            <v>11625</v>
          </cell>
        </row>
        <row r="340">
          <cell r="B340" t="str">
            <v>0237</v>
          </cell>
          <cell r="C340" t="str">
            <v>12</v>
          </cell>
          <cell r="D340" t="str">
            <v>1998</v>
          </cell>
          <cell r="E340" t="str">
            <v>Roland A. Ignacio</v>
          </cell>
          <cell r="F340" t="str">
            <v>MOOE</v>
          </cell>
          <cell r="G340" t="str">
            <v>RO</v>
          </cell>
          <cell r="I340" t="str">
            <v>P</v>
          </cell>
          <cell r="J340" t="str">
            <v>SAA</v>
          </cell>
          <cell r="K340" t="str">
            <v>RAPID-GOP</v>
          </cell>
          <cell r="M340" t="str">
            <v>Reimbursement for tokens re: Project Steering Meeting last December 15, 2020</v>
          </cell>
          <cell r="X340" t="str">
            <v>0237</v>
          </cell>
          <cell r="Z340">
            <v>37508.5</v>
          </cell>
        </row>
        <row r="341">
          <cell r="B341" t="str">
            <v>0238</v>
          </cell>
          <cell r="C341" t="str">
            <v>02</v>
          </cell>
          <cell r="D341" t="str">
            <v>092</v>
          </cell>
          <cell r="E341" t="str">
            <v>Ferbencom Technologies</v>
          </cell>
          <cell r="F341" t="str">
            <v>MOOE</v>
          </cell>
          <cell r="G341" t="str">
            <v>RO</v>
          </cell>
          <cell r="I341" t="str">
            <v>R</v>
          </cell>
          <cell r="M341" t="str">
            <v>Payment for subscription expense- internet(FT20200175) for the month of January 2021</v>
          </cell>
          <cell r="X341" t="str">
            <v>0238</v>
          </cell>
          <cell r="Z341">
            <v>23437.5</v>
          </cell>
        </row>
        <row r="342">
          <cell r="B342" t="str">
            <v>0239</v>
          </cell>
          <cell r="C342" t="str">
            <v>02</v>
          </cell>
          <cell r="D342" t="str">
            <v>093</v>
          </cell>
          <cell r="E342" t="str">
            <v>A&amp;C Yelo Submarine Corporation</v>
          </cell>
          <cell r="F342" t="str">
            <v>MOOE</v>
          </cell>
          <cell r="G342" t="str">
            <v>RO</v>
          </cell>
          <cell r="I342" t="str">
            <v>R</v>
          </cell>
          <cell r="M342" t="str">
            <v>Payment for drinking water for the month of January 2021</v>
          </cell>
          <cell r="X342" t="str">
            <v>0239</v>
          </cell>
          <cell r="Z342">
            <v>1883.39</v>
          </cell>
        </row>
        <row r="343">
          <cell r="B343" t="str">
            <v>0240</v>
          </cell>
          <cell r="C343" t="str">
            <v>12</v>
          </cell>
          <cell r="D343" t="str">
            <v>1992</v>
          </cell>
          <cell r="E343" t="str">
            <v>Tri- Tech Aircon Services</v>
          </cell>
          <cell r="F343" t="str">
            <v>MOOE</v>
          </cell>
          <cell r="G343" t="str">
            <v>RO</v>
          </cell>
          <cell r="I343" t="str">
            <v>R</v>
          </cell>
          <cell r="M343" t="str">
            <v>Office aircon maintenance for the 2nd semester</v>
          </cell>
          <cell r="X343" t="str">
            <v>0240</v>
          </cell>
          <cell r="Z343">
            <v>10735</v>
          </cell>
        </row>
        <row r="344">
          <cell r="B344" t="str">
            <v>0241</v>
          </cell>
          <cell r="C344" t="str">
            <v>02</v>
          </cell>
          <cell r="D344" t="str">
            <v>145</v>
          </cell>
          <cell r="E344" t="str">
            <v>Land Bank of the Philippines</v>
          </cell>
          <cell r="F344" t="str">
            <v>MOOE</v>
          </cell>
          <cell r="G344" t="str">
            <v>AD N</v>
          </cell>
          <cell r="I344" t="str">
            <v>P</v>
          </cell>
          <cell r="J344" t="str">
            <v>SAA</v>
          </cell>
          <cell r="K344" t="str">
            <v>RAPID-GOP</v>
          </cell>
          <cell r="M344" t="str">
            <v>Salaries paid RAPID RCU Staff- January 1-31, 2021</v>
          </cell>
          <cell r="X344" t="str">
            <v>0241</v>
          </cell>
          <cell r="Z344">
            <v>119889.07</v>
          </cell>
        </row>
        <row r="345">
          <cell r="B345" t="str">
            <v>0242</v>
          </cell>
          <cell r="C345" t="str">
            <v>02</v>
          </cell>
          <cell r="D345" t="str">
            <v>146</v>
          </cell>
          <cell r="E345" t="str">
            <v>Land Bank of the Philippines</v>
          </cell>
          <cell r="F345" t="str">
            <v>MOOE</v>
          </cell>
          <cell r="G345" t="str">
            <v>SDS</v>
          </cell>
          <cell r="I345" t="str">
            <v>P</v>
          </cell>
          <cell r="J345" t="str">
            <v>SAA</v>
          </cell>
          <cell r="K345" t="str">
            <v>RAPID-GOP</v>
          </cell>
          <cell r="M345" t="str">
            <v>Salaries paid RAPID RCU Staff- January 1-31, 2021</v>
          </cell>
          <cell r="X345" t="str">
            <v>0242</v>
          </cell>
          <cell r="Z345">
            <v>83142.720000000001</v>
          </cell>
        </row>
        <row r="346">
          <cell r="B346" t="str">
            <v>0243</v>
          </cell>
          <cell r="C346" t="str">
            <v>02</v>
          </cell>
          <cell r="D346" t="str">
            <v>147</v>
          </cell>
          <cell r="E346" t="str">
            <v>Land Bank of the Philippines</v>
          </cell>
          <cell r="F346" t="str">
            <v>MOOE</v>
          </cell>
          <cell r="G346" t="str">
            <v>ADS</v>
          </cell>
          <cell r="I346" t="str">
            <v>P</v>
          </cell>
          <cell r="J346" t="str">
            <v>SAA</v>
          </cell>
          <cell r="K346" t="str">
            <v>RAPID-GOP</v>
          </cell>
          <cell r="M346" t="str">
            <v>Salaries paid RAPID RCU Staff- January 1-31, 2021</v>
          </cell>
          <cell r="X346" t="str">
            <v>0243</v>
          </cell>
          <cell r="Z346">
            <v>106531.33</v>
          </cell>
        </row>
        <row r="347">
          <cell r="B347" t="str">
            <v>0244</v>
          </cell>
          <cell r="C347" t="str">
            <v>02</v>
          </cell>
          <cell r="D347" t="str">
            <v>135</v>
          </cell>
          <cell r="E347" t="str">
            <v>OIC, DTI-ADS</v>
          </cell>
          <cell r="F347" t="str">
            <v>MOOE</v>
          </cell>
          <cell r="G347" t="str">
            <v>ADS</v>
          </cell>
          <cell r="I347" t="str">
            <v>P</v>
          </cell>
          <cell r="K347" t="str">
            <v>CPD</v>
          </cell>
          <cell r="M347" t="str">
            <v>Transfer of funds to cover implementation of CPD activities for 1st quarter budget 2021.</v>
          </cell>
          <cell r="X347" t="str">
            <v>0244</v>
          </cell>
          <cell r="Z347">
            <v>135125</v>
          </cell>
        </row>
        <row r="348">
          <cell r="B348" t="str">
            <v>0245</v>
          </cell>
          <cell r="C348" t="str">
            <v>02</v>
          </cell>
          <cell r="D348" t="str">
            <v>102</v>
          </cell>
          <cell r="E348" t="str">
            <v>OIC, DTI-sdn</v>
          </cell>
          <cell r="F348" t="str">
            <v>MOOE</v>
          </cell>
          <cell r="G348" t="str">
            <v>SDN</v>
          </cell>
          <cell r="I348" t="str">
            <v>P</v>
          </cell>
          <cell r="J348" t="str">
            <v>LF</v>
          </cell>
          <cell r="K348" t="str">
            <v>SSF-MOOE</v>
          </cell>
          <cell r="M348" t="str">
            <v>Advances to the SSF MOOE- 1ST QUARTER 2021</v>
          </cell>
          <cell r="X348" t="str">
            <v>0245</v>
          </cell>
          <cell r="Z348">
            <v>80335.710000000006</v>
          </cell>
        </row>
        <row r="349">
          <cell r="B349" t="str">
            <v>0246</v>
          </cell>
          <cell r="C349" t="str">
            <v>02</v>
          </cell>
          <cell r="D349" t="str">
            <v>106</v>
          </cell>
          <cell r="E349" t="str">
            <v>OIC, DTI-ADS</v>
          </cell>
          <cell r="F349" t="str">
            <v>MOOE</v>
          </cell>
          <cell r="G349" t="str">
            <v>ADS</v>
          </cell>
          <cell r="I349" t="str">
            <v>P</v>
          </cell>
          <cell r="J349" t="str">
            <v>SAA</v>
          </cell>
          <cell r="K349" t="str">
            <v>CARP</v>
          </cell>
          <cell r="M349" t="str">
            <v>FT for DTI-CARP implementation for Q1 2021</v>
          </cell>
          <cell r="X349" t="str">
            <v>0246</v>
          </cell>
          <cell r="Z349">
            <v>31356</v>
          </cell>
        </row>
        <row r="350">
          <cell r="B350" t="str">
            <v>0247</v>
          </cell>
          <cell r="C350" t="str">
            <v>02</v>
          </cell>
          <cell r="D350" t="str">
            <v>132</v>
          </cell>
          <cell r="E350" t="str">
            <v>OIC, DTI-PDI</v>
          </cell>
          <cell r="F350" t="str">
            <v>MOOE</v>
          </cell>
          <cell r="G350" t="str">
            <v>PDI</v>
          </cell>
          <cell r="I350" t="str">
            <v>P</v>
          </cell>
          <cell r="K350" t="str">
            <v>CPD</v>
          </cell>
          <cell r="M350" t="str">
            <v>Transfer of funds to cover implementation of CPD activities for 1st quarter budget 2021.</v>
          </cell>
          <cell r="X350" t="str">
            <v>0247</v>
          </cell>
          <cell r="Z350">
            <v>100000</v>
          </cell>
        </row>
        <row r="351">
          <cell r="B351" t="str">
            <v>0248</v>
          </cell>
          <cell r="C351" t="str">
            <v>02</v>
          </cell>
          <cell r="D351" t="str">
            <v>RO-2021-02-018</v>
          </cell>
          <cell r="E351" t="str">
            <v>LBP F/O DTI-RO</v>
          </cell>
          <cell r="F351" t="str">
            <v>PS</v>
          </cell>
          <cell r="G351" t="str">
            <v>RO</v>
          </cell>
          <cell r="J351" t="str">
            <v>PS</v>
          </cell>
          <cell r="L351">
            <v>380927.53</v>
          </cell>
          <cell r="M351" t="str">
            <v>Payment for salaries and allowances for Regular employees for the period of February 16-28, 2021</v>
          </cell>
          <cell r="X351" t="str">
            <v>0248</v>
          </cell>
          <cell r="Z351">
            <v>380927.53</v>
          </cell>
        </row>
        <row r="352">
          <cell r="B352" t="str">
            <v>0249</v>
          </cell>
          <cell r="C352" t="str">
            <v>02</v>
          </cell>
          <cell r="D352" t="str">
            <v>RO-2021-02-018</v>
          </cell>
          <cell r="E352" t="str">
            <v>LBP F/O DTI-RO</v>
          </cell>
          <cell r="F352" t="str">
            <v>PS</v>
          </cell>
          <cell r="G352" t="str">
            <v>RO</v>
          </cell>
          <cell r="J352" t="str">
            <v>PS</v>
          </cell>
          <cell r="L352">
            <v>3900</v>
          </cell>
          <cell r="M352" t="str">
            <v>Refund of  overdeduction oF GSIS-ECIP from February payroll</v>
          </cell>
          <cell r="X352" t="str">
            <v>0249</v>
          </cell>
          <cell r="Z352">
            <v>3900</v>
          </cell>
        </row>
        <row r="353">
          <cell r="B353" t="str">
            <v>0250</v>
          </cell>
          <cell r="C353" t="str">
            <v>02</v>
          </cell>
          <cell r="E353" t="str">
            <v>LBP F/O DTI-AND</v>
          </cell>
          <cell r="F353" t="str">
            <v>PS</v>
          </cell>
          <cell r="G353" t="str">
            <v>AD N</v>
          </cell>
          <cell r="J353" t="str">
            <v>PS</v>
          </cell>
          <cell r="L353">
            <v>99285.77</v>
          </cell>
          <cell r="M353" t="str">
            <v>Payment for salaries and allowances for Regular employees for the period of February 16-28, 2021</v>
          </cell>
          <cell r="X353" t="str">
            <v>0250</v>
          </cell>
          <cell r="Z353">
            <v>99285.77</v>
          </cell>
        </row>
        <row r="354">
          <cell r="B354" t="str">
            <v>0251</v>
          </cell>
          <cell r="C354" t="str">
            <v>02</v>
          </cell>
          <cell r="E354" t="str">
            <v>LBP F/O DTI-ADS</v>
          </cell>
          <cell r="F354" t="str">
            <v>PS</v>
          </cell>
          <cell r="G354" t="str">
            <v>ADS</v>
          </cell>
          <cell r="J354" t="str">
            <v>PS</v>
          </cell>
          <cell r="L354">
            <v>102762.55</v>
          </cell>
          <cell r="M354" t="str">
            <v>Payment for salaries and allowances for Regular employees for the period of February 16-28, 2021</v>
          </cell>
          <cell r="X354" t="str">
            <v>0251</v>
          </cell>
          <cell r="Z354">
            <v>102762.55</v>
          </cell>
        </row>
        <row r="355">
          <cell r="B355" t="str">
            <v>0252</v>
          </cell>
          <cell r="C355" t="str">
            <v>02</v>
          </cell>
          <cell r="E355" t="str">
            <v>LBP F/O DTI-SDN</v>
          </cell>
          <cell r="F355" t="str">
            <v>PS</v>
          </cell>
          <cell r="G355" t="str">
            <v>SDN</v>
          </cell>
          <cell r="J355" t="str">
            <v>PS</v>
          </cell>
          <cell r="L355">
            <v>82214.570000000007</v>
          </cell>
          <cell r="M355" t="str">
            <v>Payment for salaries and allowances for Regular employees for the period of February 16-28, 2021</v>
          </cell>
          <cell r="X355" t="str">
            <v>0252</v>
          </cell>
          <cell r="Z355">
            <v>82214.570000000007</v>
          </cell>
        </row>
        <row r="356">
          <cell r="B356" t="str">
            <v>0253</v>
          </cell>
          <cell r="C356" t="str">
            <v>02</v>
          </cell>
          <cell r="E356" t="str">
            <v>LBP F/O DTI-SDS</v>
          </cell>
          <cell r="F356" t="str">
            <v>PS</v>
          </cell>
          <cell r="G356" t="str">
            <v>SDS</v>
          </cell>
          <cell r="J356" t="str">
            <v>PS</v>
          </cell>
          <cell r="L356">
            <v>145801.79</v>
          </cell>
          <cell r="M356" t="str">
            <v>Payment for salaries and allowances for Regular employees for the period of February 16-28, 2021</v>
          </cell>
          <cell r="X356" t="str">
            <v>0253</v>
          </cell>
          <cell r="Z356">
            <v>145801.79</v>
          </cell>
        </row>
        <row r="357">
          <cell r="B357" t="str">
            <v>0254</v>
          </cell>
          <cell r="C357" t="str">
            <v>02</v>
          </cell>
          <cell r="E357" t="str">
            <v>LBP F/O DTI-PDI</v>
          </cell>
          <cell r="F357" t="str">
            <v>PS</v>
          </cell>
          <cell r="G357" t="str">
            <v>PDI</v>
          </cell>
          <cell r="J357" t="str">
            <v>PS</v>
          </cell>
          <cell r="L357">
            <v>95341.34</v>
          </cell>
          <cell r="M357" t="str">
            <v>Payment for salaries and allowances for Regular employees for the period of February 16-28, 2021</v>
          </cell>
          <cell r="X357" t="str">
            <v>0254</v>
          </cell>
          <cell r="Z357">
            <v>95341.34</v>
          </cell>
        </row>
        <row r="358">
          <cell r="B358" t="str">
            <v>0255</v>
          </cell>
          <cell r="C358" t="str">
            <v>02</v>
          </cell>
          <cell r="E358" t="str">
            <v>Joselito B. Paler</v>
          </cell>
          <cell r="F358" t="str">
            <v>PS</v>
          </cell>
          <cell r="J358" t="str">
            <v>PS</v>
          </cell>
          <cell r="K358" t="str">
            <v>CARP</v>
          </cell>
          <cell r="L358">
            <v>13134.87</v>
          </cell>
          <cell r="M358" t="str">
            <v>Payment for salaries and allowances for CARP employees for the period of February 16-28, 2021</v>
          </cell>
          <cell r="X358" t="str">
            <v>0255</v>
          </cell>
          <cell r="Z358">
            <v>13134.87</v>
          </cell>
        </row>
        <row r="359">
          <cell r="B359" t="str">
            <v>0256</v>
          </cell>
          <cell r="C359" t="str">
            <v>02</v>
          </cell>
          <cell r="E359" t="str">
            <v>LBP F/O DTI-AD N</v>
          </cell>
          <cell r="F359" t="str">
            <v>PS</v>
          </cell>
          <cell r="G359" t="str">
            <v>AD N</v>
          </cell>
          <cell r="J359" t="str">
            <v>PS</v>
          </cell>
          <cell r="K359" t="str">
            <v>CARP</v>
          </cell>
          <cell r="L359">
            <v>26940.44</v>
          </cell>
          <cell r="M359" t="str">
            <v>Payment for salaries and allowances for CARP employees for the period of February 16-28, 2021</v>
          </cell>
          <cell r="X359" t="str">
            <v>0256</v>
          </cell>
          <cell r="Z359">
            <v>26940.44</v>
          </cell>
        </row>
        <row r="360">
          <cell r="B360" t="str">
            <v>0257</v>
          </cell>
          <cell r="C360" t="str">
            <v>02</v>
          </cell>
          <cell r="E360" t="str">
            <v>Lemuel D. Roboca</v>
          </cell>
          <cell r="F360" t="str">
            <v>PS</v>
          </cell>
          <cell r="J360" t="str">
            <v>PS</v>
          </cell>
          <cell r="K360" t="str">
            <v>CARP</v>
          </cell>
          <cell r="L360">
            <v>14989.18</v>
          </cell>
          <cell r="M360" t="str">
            <v>Payment for salaries and allowances for CARP employees for the period of February 16-28, 2021</v>
          </cell>
          <cell r="X360" t="str">
            <v>0257</v>
          </cell>
          <cell r="Z360">
            <v>14989.18</v>
          </cell>
        </row>
        <row r="361">
          <cell r="B361" t="str">
            <v>0258</v>
          </cell>
          <cell r="C361" t="str">
            <v>02</v>
          </cell>
          <cell r="E361" t="str">
            <v>Ma. Malen B. Catamora</v>
          </cell>
          <cell r="F361" t="str">
            <v>PS</v>
          </cell>
          <cell r="J361" t="str">
            <v>PS</v>
          </cell>
          <cell r="K361" t="str">
            <v>CARP</v>
          </cell>
          <cell r="L361">
            <v>8584.19</v>
          </cell>
          <cell r="M361" t="str">
            <v>Payment for salaries and allowances for CARP employees for the period of February 16-28, 2021</v>
          </cell>
          <cell r="X361" t="str">
            <v>0258</v>
          </cell>
          <cell r="Z361">
            <v>8584.19</v>
          </cell>
        </row>
        <row r="362">
          <cell r="B362" t="str">
            <v>0259</v>
          </cell>
          <cell r="C362" t="str">
            <v>02</v>
          </cell>
          <cell r="E362" t="str">
            <v>LBP F/O DTI-SDS</v>
          </cell>
          <cell r="F362" t="str">
            <v>PS</v>
          </cell>
          <cell r="G362" t="str">
            <v>SDS</v>
          </cell>
          <cell r="J362" t="str">
            <v>PS</v>
          </cell>
          <cell r="K362" t="str">
            <v>CARP</v>
          </cell>
          <cell r="L362">
            <v>30522.87</v>
          </cell>
          <cell r="M362" t="str">
            <v>Payment for salaries and allowances for CARP employees for the period of February 16-28, 2021</v>
          </cell>
          <cell r="X362" t="str">
            <v>0259</v>
          </cell>
          <cell r="Z362">
            <v>30522.87</v>
          </cell>
        </row>
        <row r="363">
          <cell r="B363" t="str">
            <v>0260</v>
          </cell>
          <cell r="C363" t="str">
            <v>02</v>
          </cell>
          <cell r="E363" t="str">
            <v>Jumar H. Llorente</v>
          </cell>
          <cell r="F363" t="str">
            <v>PS</v>
          </cell>
          <cell r="J363" t="str">
            <v>PS</v>
          </cell>
          <cell r="K363" t="str">
            <v>CARP</v>
          </cell>
          <cell r="L363">
            <v>14179.19</v>
          </cell>
          <cell r="M363" t="str">
            <v>Payment for salaries and allowances for CARP employees for the period of February 16-28, 2021</v>
          </cell>
          <cell r="X363" t="str">
            <v>0260</v>
          </cell>
          <cell r="Z363">
            <v>14179.19</v>
          </cell>
        </row>
        <row r="364">
          <cell r="B364" t="str">
            <v>0261</v>
          </cell>
          <cell r="C364" t="str">
            <v>02</v>
          </cell>
          <cell r="E364" t="str">
            <v>Joselito B. Paler</v>
          </cell>
          <cell r="F364" t="str">
            <v>PS</v>
          </cell>
          <cell r="J364" t="str">
            <v>PS</v>
          </cell>
          <cell r="K364" t="str">
            <v>CARP</v>
          </cell>
          <cell r="L364">
            <v>1744.26</v>
          </cell>
          <cell r="M364" t="str">
            <v>Refund of HDMF-MPL and Provident MPL for the month of February 2021</v>
          </cell>
          <cell r="X364" t="str">
            <v>0261</v>
          </cell>
          <cell r="Z364">
            <v>1744.26</v>
          </cell>
        </row>
        <row r="365">
          <cell r="B365" t="str">
            <v>0262</v>
          </cell>
          <cell r="C365" t="str">
            <v>02</v>
          </cell>
          <cell r="E365" t="str">
            <v>GSIS</v>
          </cell>
          <cell r="F365" t="str">
            <v>PS</v>
          </cell>
          <cell r="J365" t="str">
            <v>PS</v>
          </cell>
          <cell r="L365">
            <v>277.5</v>
          </cell>
          <cell r="M365" t="str">
            <v>Remittance of GSIS premiums (RLIP &amp;SIC) for employees with salary differential due to to step increment (Pascual &amp; Togonon) and SSL 5 (Timogan) for the period January 4-31,2021</v>
          </cell>
          <cell r="X365" t="str">
            <v>0262</v>
          </cell>
          <cell r="Z365">
            <v>277.5</v>
          </cell>
        </row>
        <row r="366">
          <cell r="B366" t="str">
            <v>0262</v>
          </cell>
          <cell r="C366" t="str">
            <v>02</v>
          </cell>
          <cell r="E366" t="str">
            <v>GSIS</v>
          </cell>
          <cell r="F366" t="str">
            <v>PS</v>
          </cell>
          <cell r="J366" t="str">
            <v>PS</v>
          </cell>
          <cell r="L366">
            <v>-277.5</v>
          </cell>
          <cell r="M366" t="str">
            <v>Remittance of GSIS premiums (RLIP &amp;SIC) for employees with salary differential due to to step increment (Pascual &amp; Togonon) and SSL 5 (Timogan) for the period January 4-31,2021</v>
          </cell>
          <cell r="X366" t="str">
            <v>0262</v>
          </cell>
          <cell r="Z366">
            <v>-277.5</v>
          </cell>
        </row>
        <row r="367">
          <cell r="B367" t="str">
            <v>0263</v>
          </cell>
          <cell r="C367" t="str">
            <v>02</v>
          </cell>
          <cell r="E367" t="str">
            <v>GSIS</v>
          </cell>
          <cell r="F367" t="str">
            <v>PS</v>
          </cell>
          <cell r="J367" t="str">
            <v>PS</v>
          </cell>
          <cell r="L367">
            <v>91461.27</v>
          </cell>
          <cell r="M367" t="str">
            <v>Remittance of GSIS premiums and loan payment of CARP employees for the month of February 2021</v>
          </cell>
          <cell r="X367" t="str">
            <v>0263</v>
          </cell>
          <cell r="Z367">
            <v>91461.27</v>
          </cell>
        </row>
        <row r="368">
          <cell r="B368" t="str">
            <v>0264</v>
          </cell>
          <cell r="C368" t="str">
            <v>02</v>
          </cell>
          <cell r="E368" t="str">
            <v>HDMF-Butuan City</v>
          </cell>
          <cell r="F368" t="str">
            <v>PS</v>
          </cell>
          <cell r="J368" t="str">
            <v>PS</v>
          </cell>
          <cell r="L368">
            <v>4845.12</v>
          </cell>
          <cell r="M368" t="str">
            <v>Remittance of HDMF premiums and loan payment of CARP employees for the month of February 2021</v>
          </cell>
          <cell r="X368" t="str">
            <v>0264</v>
          </cell>
          <cell r="Z368">
            <v>4845.12</v>
          </cell>
        </row>
        <row r="369">
          <cell r="B369" t="str">
            <v>0265</v>
          </cell>
          <cell r="C369" t="str">
            <v>02</v>
          </cell>
          <cell r="E369" t="str">
            <v>PHIC</v>
          </cell>
          <cell r="F369" t="str">
            <v>PS</v>
          </cell>
          <cell r="J369" t="str">
            <v>PS</v>
          </cell>
          <cell r="L369">
            <v>8967.5400000000009</v>
          </cell>
          <cell r="M369" t="str">
            <v>Remittance of coop deductions from PDI( additional remittance) for the month of January 2021</v>
          </cell>
          <cell r="X369" t="str">
            <v>0265</v>
          </cell>
          <cell r="Z369">
            <v>8967.5400000000009</v>
          </cell>
        </row>
        <row r="370">
          <cell r="B370" t="str">
            <v>0266</v>
          </cell>
          <cell r="C370" t="str">
            <v>02</v>
          </cell>
          <cell r="E370" t="str">
            <v>DTI-Provident Fund</v>
          </cell>
          <cell r="F370" t="str">
            <v>PS</v>
          </cell>
          <cell r="J370" t="str">
            <v>PS</v>
          </cell>
          <cell r="L370">
            <v>800</v>
          </cell>
          <cell r="M370" t="str">
            <v>Remittance of provident premium of CARP employees for the month of January 2021</v>
          </cell>
          <cell r="X370" t="str">
            <v>0266</v>
          </cell>
          <cell r="Z370">
            <v>800</v>
          </cell>
        </row>
        <row r="371">
          <cell r="B371" t="str">
            <v>0267</v>
          </cell>
          <cell r="C371" t="str">
            <v>02</v>
          </cell>
          <cell r="E371" t="str">
            <v>DTI-Mutual Death Benefit Fund</v>
          </cell>
          <cell r="F371" t="str">
            <v>PS</v>
          </cell>
          <cell r="J371" t="str">
            <v>PS</v>
          </cell>
          <cell r="L371">
            <v>300</v>
          </cell>
          <cell r="M371" t="str">
            <v>Remittance of MDBF Premium of CARP employee for the period January- December 2021</v>
          </cell>
          <cell r="X371" t="str">
            <v>0267</v>
          </cell>
          <cell r="Z371">
            <v>300</v>
          </cell>
        </row>
        <row r="372">
          <cell r="B372" t="str">
            <v>0268</v>
          </cell>
          <cell r="C372" t="str">
            <v>02</v>
          </cell>
          <cell r="E372" t="str">
            <v>DREAMCO MPC</v>
          </cell>
          <cell r="F372" t="str">
            <v>PS</v>
          </cell>
          <cell r="J372" t="str">
            <v>PS</v>
          </cell>
          <cell r="L372">
            <v>4640</v>
          </cell>
          <cell r="M372" t="str">
            <v>Remittance of coop deductions from PDI( additional remittance) for the month of January 2021</v>
          </cell>
          <cell r="X372" t="str">
            <v>0268</v>
          </cell>
          <cell r="Z372">
            <v>4640</v>
          </cell>
        </row>
        <row r="373">
          <cell r="B373" t="str">
            <v>0269</v>
          </cell>
          <cell r="C373" t="str">
            <v>02</v>
          </cell>
          <cell r="E373" t="str">
            <v>GLAD MPC</v>
          </cell>
          <cell r="F373" t="str">
            <v>PS</v>
          </cell>
          <cell r="J373" t="str">
            <v>PS</v>
          </cell>
          <cell r="L373">
            <v>1030</v>
          </cell>
          <cell r="M373" t="str">
            <v>Remitance of CARP employees coop deductions for the month of Feb 2021</v>
          </cell>
          <cell r="X373" t="str">
            <v>0269</v>
          </cell>
          <cell r="Z373">
            <v>1030</v>
          </cell>
        </row>
        <row r="374">
          <cell r="B374" t="str">
            <v>0270</v>
          </cell>
          <cell r="C374" t="str">
            <v>02</v>
          </cell>
          <cell r="E374" t="str">
            <v>SURE DEV'T COOPERATIVE</v>
          </cell>
          <cell r="F374" t="str">
            <v>PS</v>
          </cell>
          <cell r="J374" t="str">
            <v>PS</v>
          </cell>
          <cell r="L374">
            <v>4500</v>
          </cell>
          <cell r="M374" t="str">
            <v>Remittance of coop deduction of CARP staff for the month of February 2021</v>
          </cell>
          <cell r="X374" t="str">
            <v>0270</v>
          </cell>
          <cell r="Z374">
            <v>4500</v>
          </cell>
        </row>
        <row r="375">
          <cell r="B375" t="str">
            <v>0271</v>
          </cell>
          <cell r="C375" t="str">
            <v>02</v>
          </cell>
          <cell r="E375" t="str">
            <v>Jumar H. Llorente</v>
          </cell>
          <cell r="F375" t="str">
            <v>PS</v>
          </cell>
          <cell r="J375" t="str">
            <v>PS</v>
          </cell>
          <cell r="K375" t="str">
            <v>CARP</v>
          </cell>
          <cell r="L375">
            <v>120</v>
          </cell>
          <cell r="M375" t="str">
            <v>Refund of DTI-EU dues deduction for the month of February 2021.</v>
          </cell>
          <cell r="X375" t="str">
            <v>0271</v>
          </cell>
          <cell r="Z375">
            <v>120</v>
          </cell>
        </row>
        <row r="376">
          <cell r="B376" t="str">
            <v>0272</v>
          </cell>
          <cell r="C376" t="str">
            <v>02</v>
          </cell>
          <cell r="D376" t="str">
            <v>137</v>
          </cell>
          <cell r="E376" t="str">
            <v>Procurement Service</v>
          </cell>
          <cell r="F376" t="str">
            <v>MOOE</v>
          </cell>
          <cell r="J376" t="str">
            <v>MOOE</v>
          </cell>
          <cell r="M376" t="str">
            <v>FAD Office use for the 1st quarter 2021.</v>
          </cell>
          <cell r="X376" t="str">
            <v>0272</v>
          </cell>
          <cell r="Z376">
            <v>2404.7800000000002</v>
          </cell>
        </row>
        <row r="377">
          <cell r="B377" t="str">
            <v>0272</v>
          </cell>
          <cell r="C377" t="str">
            <v>02</v>
          </cell>
          <cell r="D377" t="str">
            <v>137</v>
          </cell>
          <cell r="E377" t="str">
            <v>Procurement Service</v>
          </cell>
          <cell r="F377" t="str">
            <v>MOOE</v>
          </cell>
          <cell r="J377" t="str">
            <v>MOOE</v>
          </cell>
          <cell r="M377" t="str">
            <v>FAD Office use for the 1st quarter 2021.</v>
          </cell>
          <cell r="X377" t="str">
            <v>0272</v>
          </cell>
          <cell r="Z377">
            <v>-2404.7800000000002</v>
          </cell>
        </row>
        <row r="378">
          <cell r="B378" t="str">
            <v>0273</v>
          </cell>
          <cell r="C378" t="str">
            <v>02</v>
          </cell>
          <cell r="D378" t="str">
            <v>150</v>
          </cell>
          <cell r="E378" t="str">
            <v>Fevi V. Silvosa</v>
          </cell>
          <cell r="F378" t="str">
            <v>MOOE</v>
          </cell>
          <cell r="J378" t="str">
            <v>MOOE</v>
          </cell>
          <cell r="M378" t="str">
            <v>Payment for job orders for the period  February 1-15,2021</v>
          </cell>
          <cell r="X378" t="str">
            <v>0273</v>
          </cell>
          <cell r="Z378">
            <v>9000</v>
          </cell>
        </row>
        <row r="379">
          <cell r="B379" t="str">
            <v>0274</v>
          </cell>
          <cell r="C379" t="str">
            <v>02</v>
          </cell>
          <cell r="D379" t="str">
            <v>151</v>
          </cell>
          <cell r="E379" t="str">
            <v>LBP F/O DTI-JO</v>
          </cell>
          <cell r="F379" t="str">
            <v>MOOE</v>
          </cell>
          <cell r="J379" t="str">
            <v>MOOE</v>
          </cell>
          <cell r="M379" t="str">
            <v>Payment for job orders for the period  February 1-15,2021</v>
          </cell>
          <cell r="X379" t="str">
            <v>0274</v>
          </cell>
          <cell r="Z379">
            <v>10790</v>
          </cell>
        </row>
        <row r="380">
          <cell r="B380" t="str">
            <v>0275</v>
          </cell>
          <cell r="C380" t="str">
            <v>02</v>
          </cell>
          <cell r="D380" t="str">
            <v>152</v>
          </cell>
          <cell r="E380" t="str">
            <v>LBP F/O DTI-JO</v>
          </cell>
          <cell r="F380" t="str">
            <v>MOOE</v>
          </cell>
          <cell r="J380" t="str">
            <v>MOOE</v>
          </cell>
          <cell r="M380" t="str">
            <v>Payment for job orders for the period  February 1-15,2021</v>
          </cell>
          <cell r="X380" t="str">
            <v>0275</v>
          </cell>
          <cell r="Z380">
            <v>11852.18</v>
          </cell>
        </row>
        <row r="381">
          <cell r="B381" t="str">
            <v>0276</v>
          </cell>
          <cell r="C381" t="str">
            <v>02</v>
          </cell>
          <cell r="D381" t="str">
            <v>153</v>
          </cell>
          <cell r="E381" t="str">
            <v>LBP F/O DTI-JO</v>
          </cell>
          <cell r="F381" t="str">
            <v>MOOE</v>
          </cell>
          <cell r="J381" t="str">
            <v>MOOE</v>
          </cell>
          <cell r="M381" t="str">
            <v>Payment for job orders for the period  February 1-15,2021</v>
          </cell>
          <cell r="X381" t="str">
            <v>0276</v>
          </cell>
          <cell r="Z381">
            <v>23474</v>
          </cell>
        </row>
        <row r="382">
          <cell r="B382" t="str">
            <v>0277</v>
          </cell>
          <cell r="C382" t="str">
            <v>02</v>
          </cell>
          <cell r="D382" t="str">
            <v>154</v>
          </cell>
          <cell r="E382" t="str">
            <v>LBP F/O DTI-JO</v>
          </cell>
          <cell r="F382" t="str">
            <v>MOOE</v>
          </cell>
          <cell r="J382" t="str">
            <v>LF</v>
          </cell>
          <cell r="K382" t="str">
            <v>OTOP</v>
          </cell>
          <cell r="M382" t="str">
            <v>Payment for job orders for the period  February 1-15,2021</v>
          </cell>
          <cell r="X382" t="str">
            <v>0277</v>
          </cell>
          <cell r="Z382">
            <v>21473.58</v>
          </cell>
        </row>
        <row r="383">
          <cell r="B383" t="str">
            <v>0278</v>
          </cell>
          <cell r="C383" t="str">
            <v>02</v>
          </cell>
          <cell r="D383" t="str">
            <v>155</v>
          </cell>
          <cell r="E383" t="str">
            <v>Reynold C. Gulde</v>
          </cell>
          <cell r="F383" t="str">
            <v>MOOE</v>
          </cell>
          <cell r="G383" t="str">
            <v>RO</v>
          </cell>
          <cell r="J383" t="str">
            <v>MOOE</v>
          </cell>
          <cell r="M383" t="str">
            <v>Payment of overtime services for December and January 2021.</v>
          </cell>
          <cell r="X383" t="str">
            <v>0278</v>
          </cell>
          <cell r="Z383">
            <v>7321.62</v>
          </cell>
        </row>
        <row r="384">
          <cell r="B384" t="str">
            <v>0279</v>
          </cell>
          <cell r="C384" t="str">
            <v>02</v>
          </cell>
          <cell r="E384" t="str">
            <v>Dreamco MPC</v>
          </cell>
          <cell r="F384" t="str">
            <v>PS</v>
          </cell>
          <cell r="J384" t="str">
            <v>PS</v>
          </cell>
          <cell r="L384">
            <v>7283.33</v>
          </cell>
          <cell r="M384" t="str">
            <v>Remittance job orders coop deductions for the period February 1-15, 2021</v>
          </cell>
          <cell r="X384" t="str">
            <v>0279</v>
          </cell>
          <cell r="Z384">
            <v>7283.33</v>
          </cell>
        </row>
        <row r="385">
          <cell r="B385" t="str">
            <v>0280</v>
          </cell>
          <cell r="C385" t="str">
            <v>02</v>
          </cell>
          <cell r="D385" t="str">
            <v>148</v>
          </cell>
          <cell r="E385" t="str">
            <v>Lime and Zest Kitchen</v>
          </cell>
          <cell r="F385" t="str">
            <v>MOOE</v>
          </cell>
          <cell r="G385" t="str">
            <v>RO</v>
          </cell>
          <cell r="J385" t="str">
            <v>MOOE</v>
          </cell>
          <cell r="M385" t="str">
            <v>Payment of meals during the IDD Functional Team Meeting on January 26, 2021</v>
          </cell>
          <cell r="X385" t="str">
            <v>0280</v>
          </cell>
          <cell r="Z385">
            <v>10312.5</v>
          </cell>
        </row>
        <row r="386">
          <cell r="B386" t="str">
            <v>0281</v>
          </cell>
          <cell r="C386" t="str">
            <v>02</v>
          </cell>
          <cell r="D386" t="str">
            <v>149</v>
          </cell>
          <cell r="E386" t="str">
            <v>Globe Telecom, Inc.</v>
          </cell>
          <cell r="F386" t="str">
            <v>MOOE</v>
          </cell>
          <cell r="G386" t="str">
            <v>RO</v>
          </cell>
          <cell r="J386" t="str">
            <v>MOOE</v>
          </cell>
          <cell r="M386" t="str">
            <v>Payment of Globe postpaid plan subscription for the month of January 16-February 15, 2021 for acct 65087463</v>
          </cell>
          <cell r="X386" t="str">
            <v>0281</v>
          </cell>
          <cell r="Z386">
            <v>2343.75</v>
          </cell>
        </row>
        <row r="387">
          <cell r="B387" t="str">
            <v>0282</v>
          </cell>
          <cell r="C387" t="str">
            <v>02</v>
          </cell>
          <cell r="E387" t="str">
            <v>Sunlife of Canada Phils. Inc</v>
          </cell>
          <cell r="F387" t="str">
            <v>PS</v>
          </cell>
          <cell r="G387" t="str">
            <v>RO</v>
          </cell>
          <cell r="J387" t="str">
            <v>PS</v>
          </cell>
          <cell r="L387">
            <v>903</v>
          </cell>
          <cell r="M387" t="str">
            <v>Remittance of insurance premiums for the month of February 2021</v>
          </cell>
          <cell r="X387" t="str">
            <v>0282</v>
          </cell>
          <cell r="Z387">
            <v>903</v>
          </cell>
        </row>
        <row r="388">
          <cell r="B388" t="str">
            <v>0283</v>
          </cell>
          <cell r="C388" t="str">
            <v>02</v>
          </cell>
          <cell r="E388" t="str">
            <v>GLAD MPC</v>
          </cell>
          <cell r="F388" t="str">
            <v>PS</v>
          </cell>
          <cell r="G388" t="str">
            <v>RO</v>
          </cell>
          <cell r="J388" t="str">
            <v>PS</v>
          </cell>
          <cell r="L388">
            <v>54327.25</v>
          </cell>
          <cell r="M388" t="str">
            <v>Remittance of COOP deductions for the month of February 2021</v>
          </cell>
          <cell r="X388" t="str">
            <v>0283</v>
          </cell>
          <cell r="Z388">
            <v>54327.25</v>
          </cell>
        </row>
        <row r="389">
          <cell r="B389" t="str">
            <v>0279</v>
          </cell>
          <cell r="C389" t="str">
            <v>02</v>
          </cell>
          <cell r="E389" t="str">
            <v>Dreamco MPC</v>
          </cell>
          <cell r="F389" t="str">
            <v>PS</v>
          </cell>
          <cell r="J389" t="str">
            <v>PS</v>
          </cell>
          <cell r="L389">
            <v>-7283.33</v>
          </cell>
          <cell r="M389" t="str">
            <v>Remittance job orders coop deductions for the period February 1-15, 2021</v>
          </cell>
          <cell r="X389" t="str">
            <v>0279</v>
          </cell>
          <cell r="Z389">
            <v>-7283.33</v>
          </cell>
        </row>
        <row r="390">
          <cell r="B390" t="str">
            <v>0280</v>
          </cell>
          <cell r="C390" t="str">
            <v>02</v>
          </cell>
          <cell r="D390" t="str">
            <v>148</v>
          </cell>
          <cell r="E390" t="str">
            <v>Lime and Zest Kitchen</v>
          </cell>
          <cell r="F390" t="str">
            <v>MOOE</v>
          </cell>
          <cell r="G390" t="str">
            <v>RO</v>
          </cell>
          <cell r="J390" t="str">
            <v>MOOE</v>
          </cell>
          <cell r="M390" t="str">
            <v>Payment of meals during the IDD Functional Team Meeting on January 26, 2021</v>
          </cell>
          <cell r="X390" t="str">
            <v>0280</v>
          </cell>
          <cell r="Z390">
            <v>-10312.5</v>
          </cell>
        </row>
        <row r="391">
          <cell r="B391" t="str">
            <v>0281</v>
          </cell>
          <cell r="C391" t="str">
            <v>02</v>
          </cell>
          <cell r="D391" t="str">
            <v>149</v>
          </cell>
          <cell r="E391" t="str">
            <v>Globe Telecom, Inc.</v>
          </cell>
          <cell r="F391" t="str">
            <v>MOOE</v>
          </cell>
          <cell r="G391" t="str">
            <v>RO</v>
          </cell>
          <cell r="J391" t="str">
            <v>MOOE</v>
          </cell>
          <cell r="M391" t="str">
            <v>Payment of Globe postpaid plan subscription for the month of January 16-February 15, 2021 for acct 65087463</v>
          </cell>
          <cell r="X391" t="str">
            <v>0281</v>
          </cell>
          <cell r="Z391">
            <v>-2343.75</v>
          </cell>
        </row>
        <row r="392">
          <cell r="B392" t="str">
            <v>0282</v>
          </cell>
          <cell r="C392" t="str">
            <v>02</v>
          </cell>
          <cell r="E392" t="str">
            <v>Sunlife of Canada Phils. Inc</v>
          </cell>
          <cell r="F392" t="str">
            <v>PS</v>
          </cell>
          <cell r="G392" t="str">
            <v>RO</v>
          </cell>
          <cell r="J392" t="str">
            <v>PS</v>
          </cell>
          <cell r="L392">
            <v>-903</v>
          </cell>
          <cell r="M392" t="str">
            <v>Remittance of insurance premiums for the month of February 2021</v>
          </cell>
          <cell r="X392" t="str">
            <v>0282</v>
          </cell>
          <cell r="Z392">
            <v>-903</v>
          </cell>
        </row>
        <row r="393">
          <cell r="B393" t="str">
            <v>0283</v>
          </cell>
          <cell r="C393" t="str">
            <v>02</v>
          </cell>
          <cell r="E393" t="str">
            <v>GLAD MPC</v>
          </cell>
          <cell r="F393" t="str">
            <v>PS</v>
          </cell>
          <cell r="G393" t="str">
            <v>RO</v>
          </cell>
          <cell r="J393" t="str">
            <v>PS</v>
          </cell>
          <cell r="L393">
            <v>-54327.25</v>
          </cell>
          <cell r="M393" t="str">
            <v>Remittance of COOP deductions for the month of February 2021</v>
          </cell>
          <cell r="X393" t="str">
            <v>0283</v>
          </cell>
          <cell r="Z393">
            <v>-54327.25</v>
          </cell>
        </row>
        <row r="394">
          <cell r="B394">
            <v>0</v>
          </cell>
          <cell r="C394" t="str">
            <v>TOTAL</v>
          </cell>
          <cell r="L394">
            <v>3067606.37</v>
          </cell>
          <cell r="Z394">
            <v>13618784.220000001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  <cell r="C397" t="str">
            <v>03</v>
          </cell>
          <cell r="E397" t="str">
            <v>NTA Control No. 2021-03-055
NCA No. NCA-BMB-A-21-0000351</v>
          </cell>
          <cell r="M397" t="str">
            <v>Transfer of funds to cover for the PS and MOOE requirement of DTI-CARP for the month of March 2021</v>
          </cell>
        </row>
        <row r="398">
          <cell r="B398">
            <v>0</v>
          </cell>
          <cell r="E398" t="str">
            <v>NCA No. NCA-BMB-A-21-0000351</v>
          </cell>
        </row>
        <row r="399">
          <cell r="B399" t="str">
            <v>0175</v>
          </cell>
          <cell r="C399" t="str">
            <v>02</v>
          </cell>
          <cell r="E399" t="str">
            <v>DREAMCO MPC</v>
          </cell>
          <cell r="G399" t="str">
            <v>RO</v>
          </cell>
          <cell r="I399" t="str">
            <v>R</v>
          </cell>
          <cell r="L399">
            <v>17032.63</v>
          </cell>
          <cell r="M399" t="str">
            <v>Remittance Job orders coop deductions for the period January 5-31, 2020</v>
          </cell>
          <cell r="X399" t="str">
            <v>0175</v>
          </cell>
          <cell r="Z399">
            <v>17032.63</v>
          </cell>
        </row>
        <row r="400">
          <cell r="B400" t="str">
            <v>0284</v>
          </cell>
          <cell r="C400" t="str">
            <v>03</v>
          </cell>
          <cell r="E400" t="str">
            <v>DTI- Provident Fund</v>
          </cell>
          <cell r="F400" t="str">
            <v>PS</v>
          </cell>
          <cell r="G400" t="str">
            <v>RO</v>
          </cell>
          <cell r="J400" t="str">
            <v>PS</v>
          </cell>
          <cell r="L400">
            <v>46237.5</v>
          </cell>
          <cell r="M400" t="str">
            <v>Remittance of Provident premiums and loans of regular employees for the month of February 2021</v>
          </cell>
          <cell r="X400" t="str">
            <v>0284</v>
          </cell>
          <cell r="Z400">
            <v>46237.5</v>
          </cell>
        </row>
        <row r="401">
          <cell r="B401" t="str">
            <v>0285</v>
          </cell>
          <cell r="C401" t="str">
            <v>03</v>
          </cell>
          <cell r="E401" t="str">
            <v>Mutual Death Benefit Fund</v>
          </cell>
          <cell r="F401" t="str">
            <v>PS</v>
          </cell>
          <cell r="G401" t="str">
            <v>RO</v>
          </cell>
          <cell r="J401" t="str">
            <v>PS</v>
          </cell>
          <cell r="L401">
            <v>3750</v>
          </cell>
          <cell r="M401" t="str">
            <v>Remittance of MDBF premiums and loans of regular employees for the month of February 2021</v>
          </cell>
          <cell r="X401" t="str">
            <v>0285</v>
          </cell>
          <cell r="Z401">
            <v>3750</v>
          </cell>
        </row>
        <row r="402">
          <cell r="B402" t="str">
            <v>0286</v>
          </cell>
          <cell r="C402" t="str">
            <v>03</v>
          </cell>
          <cell r="E402" t="str">
            <v>PHIC Butuan City</v>
          </cell>
          <cell r="F402" t="str">
            <v>PS</v>
          </cell>
          <cell r="G402" t="str">
            <v>RO</v>
          </cell>
          <cell r="J402" t="str">
            <v>PS</v>
          </cell>
          <cell r="L402">
            <v>3217.58</v>
          </cell>
          <cell r="M402" t="str">
            <v>Remittance, PHIC premiums (EE and ER share) for Jan 2021.</v>
          </cell>
          <cell r="X402" t="str">
            <v>0286</v>
          </cell>
          <cell r="Z402">
            <v>3217.58</v>
          </cell>
        </row>
        <row r="403">
          <cell r="B403" t="str">
            <v>0287</v>
          </cell>
          <cell r="C403" t="str">
            <v>03</v>
          </cell>
          <cell r="E403" t="str">
            <v>GSIS</v>
          </cell>
          <cell r="F403" t="str">
            <v>PS</v>
          </cell>
          <cell r="G403" t="str">
            <v>RO</v>
          </cell>
          <cell r="J403" t="str">
            <v>PS</v>
          </cell>
          <cell r="L403">
            <v>27726.3</v>
          </cell>
          <cell r="M403" t="str">
            <v>Remittance of  GSIS Premiums(RLIP &amp; SIC) for employees with salary differential due to step increment (Pascual &amp; Togonon) and SSL5 Timogan for the period January 4-31, 2021</v>
          </cell>
          <cell r="X403" t="str">
            <v>0287</v>
          </cell>
          <cell r="Z403">
            <v>27726.3</v>
          </cell>
        </row>
        <row r="404">
          <cell r="B404" t="str">
            <v>0288</v>
          </cell>
          <cell r="C404" t="str">
            <v>03</v>
          </cell>
          <cell r="E404" t="str">
            <v>PHIC Butuan City</v>
          </cell>
          <cell r="F404" t="str">
            <v>PS</v>
          </cell>
          <cell r="G404" t="str">
            <v>RO</v>
          </cell>
          <cell r="J404" t="str">
            <v>PS</v>
          </cell>
          <cell r="L404">
            <v>103430.25</v>
          </cell>
          <cell r="M404" t="str">
            <v>Remittance of PHIC premiums of regular employees for the month of February 2021</v>
          </cell>
          <cell r="X404" t="str">
            <v>0288</v>
          </cell>
          <cell r="Z404">
            <v>103430.25</v>
          </cell>
        </row>
        <row r="405">
          <cell r="B405" t="str">
            <v>0289</v>
          </cell>
          <cell r="C405" t="str">
            <v>03</v>
          </cell>
          <cell r="E405" t="str">
            <v>Bureau of Treasury</v>
          </cell>
          <cell r="F405" t="str">
            <v>PS</v>
          </cell>
          <cell r="G405" t="str">
            <v>RO</v>
          </cell>
          <cell r="J405" t="str">
            <v>PS</v>
          </cell>
          <cell r="L405">
            <v>4000.04</v>
          </cell>
          <cell r="M405" t="str">
            <v>Remittance on refund of disallowance on salaries and allowances of Jonathan Lagang and disallowance of other employees withheld for the month of February 2021</v>
          </cell>
          <cell r="X405" t="str">
            <v>0289</v>
          </cell>
          <cell r="Z405">
            <v>4000.04</v>
          </cell>
        </row>
        <row r="406">
          <cell r="B406" t="str">
            <v>0290</v>
          </cell>
          <cell r="C406" t="str">
            <v>03</v>
          </cell>
          <cell r="D406" t="str">
            <v>DV-101-21-02-0203</v>
          </cell>
          <cell r="E406" t="str">
            <v>Rezel May C. Goloran</v>
          </cell>
          <cell r="F406" t="str">
            <v>PS</v>
          </cell>
          <cell r="J406" t="str">
            <v>PS</v>
          </cell>
          <cell r="K406" t="str">
            <v>NC</v>
          </cell>
          <cell r="L406">
            <v>11559.96</v>
          </cell>
          <cell r="M406" t="str">
            <v>Payment for salaries and allowances of DTI-ADS NC staff for the period February 16-28, 2021</v>
          </cell>
          <cell r="X406" t="str">
            <v>0290</v>
          </cell>
          <cell r="Z406">
            <v>11559.96</v>
          </cell>
        </row>
        <row r="407">
          <cell r="B407" t="str">
            <v>0291</v>
          </cell>
          <cell r="C407" t="str">
            <v>03</v>
          </cell>
          <cell r="E407" t="str">
            <v>Loida C. Gumahin</v>
          </cell>
          <cell r="F407" t="str">
            <v>PS</v>
          </cell>
          <cell r="J407" t="str">
            <v>PS</v>
          </cell>
          <cell r="K407" t="str">
            <v>NC</v>
          </cell>
          <cell r="L407">
            <v>11559.96</v>
          </cell>
          <cell r="M407" t="str">
            <v>Payment for salaries and allowances of DTI-RO NC staff for the period February 16-28, 2021</v>
          </cell>
          <cell r="X407" t="str">
            <v>0291</v>
          </cell>
          <cell r="Z407">
            <v>11559.96</v>
          </cell>
        </row>
        <row r="408">
          <cell r="B408" t="str">
            <v>0292</v>
          </cell>
          <cell r="C408" t="str">
            <v>03</v>
          </cell>
          <cell r="D408" t="str">
            <v>213</v>
          </cell>
          <cell r="E408" t="str">
            <v>JMN Multimedia Sales and Services</v>
          </cell>
          <cell r="F408" t="str">
            <v>MOOE</v>
          </cell>
          <cell r="G408" t="str">
            <v>RO</v>
          </cell>
          <cell r="J408" t="str">
            <v>MOOE</v>
          </cell>
          <cell r="M408" t="str">
            <v>Payment for prepaid load cards for FAD Load allowance for 1st quarter of 2021</v>
          </cell>
          <cell r="X408" t="str">
            <v>0292</v>
          </cell>
          <cell r="Z408">
            <v>3816</v>
          </cell>
        </row>
        <row r="409">
          <cell r="B409" t="str">
            <v>0293</v>
          </cell>
          <cell r="C409" t="str">
            <v>03</v>
          </cell>
          <cell r="E409" t="str">
            <v>Jardynne R. Narvasa</v>
          </cell>
          <cell r="F409" t="str">
            <v>PS</v>
          </cell>
          <cell r="G409" t="str">
            <v>RO</v>
          </cell>
          <cell r="J409" t="str">
            <v>PS</v>
          </cell>
          <cell r="L409">
            <v>2395.17</v>
          </cell>
          <cell r="M409" t="str">
            <v>Refund of GSIS-Conso Loan deduction for the month of February 2021</v>
          </cell>
          <cell r="X409" t="str">
            <v>0293</v>
          </cell>
          <cell r="Z409">
            <v>2395.17</v>
          </cell>
        </row>
        <row r="410">
          <cell r="B410" t="str">
            <v>0294</v>
          </cell>
          <cell r="C410" t="str">
            <v>03</v>
          </cell>
          <cell r="E410" t="str">
            <v>GSIS- Butuan City</v>
          </cell>
          <cell r="F410" t="str">
            <v>PS</v>
          </cell>
          <cell r="G410" t="str">
            <v>RO</v>
          </cell>
          <cell r="J410" t="str">
            <v>PS</v>
          </cell>
          <cell r="L410">
            <v>1680166.27</v>
          </cell>
          <cell r="M410" t="str">
            <v>Remittance of GSIS premiums and loans of regular employees for the month of February 2021</v>
          </cell>
          <cell r="X410" t="str">
            <v>0294</v>
          </cell>
          <cell r="Z410">
            <v>1680166.27</v>
          </cell>
        </row>
        <row r="411">
          <cell r="B411" t="str">
            <v>0295</v>
          </cell>
          <cell r="C411" t="str">
            <v>03</v>
          </cell>
          <cell r="E411" t="str">
            <v>DTI-EU</v>
          </cell>
          <cell r="F411" t="str">
            <v>PS</v>
          </cell>
          <cell r="G411" t="str">
            <v>RO</v>
          </cell>
          <cell r="J411" t="str">
            <v>PS</v>
          </cell>
          <cell r="L411">
            <v>1200</v>
          </cell>
          <cell r="M411" t="str">
            <v>Remittance of EU Dues and participation of regular employees for the month of February 2021</v>
          </cell>
          <cell r="X411" t="str">
            <v>0295</v>
          </cell>
          <cell r="Z411">
            <v>1200</v>
          </cell>
        </row>
        <row r="412">
          <cell r="B412" t="str">
            <v>0296</v>
          </cell>
          <cell r="C412" t="str">
            <v>03</v>
          </cell>
          <cell r="E412" t="str">
            <v>DTI-EU</v>
          </cell>
          <cell r="F412" t="str">
            <v>PS</v>
          </cell>
          <cell r="G412" t="str">
            <v>RO</v>
          </cell>
          <cell r="J412" t="str">
            <v>PS</v>
          </cell>
          <cell r="L412">
            <v>27440</v>
          </cell>
          <cell r="M412" t="str">
            <v>Remittance of HMO premiums on principal of regular employees for the month of February 2021</v>
          </cell>
          <cell r="X412" t="str">
            <v>0296</v>
          </cell>
          <cell r="Z412">
            <v>27440</v>
          </cell>
        </row>
        <row r="413">
          <cell r="B413" t="str">
            <v>0297</v>
          </cell>
          <cell r="C413" t="str">
            <v>03</v>
          </cell>
          <cell r="E413" t="str">
            <v>PHIC Butuan City</v>
          </cell>
          <cell r="F413" t="str">
            <v>PS</v>
          </cell>
          <cell r="G413" t="str">
            <v>RO</v>
          </cell>
          <cell r="J413" t="str">
            <v>PS</v>
          </cell>
          <cell r="L413">
            <v>1255.3</v>
          </cell>
          <cell r="M413" t="str">
            <v>Remittance of PHIC premiums for employees with salary differential due to promotion for the period January 4-31, 2021</v>
          </cell>
          <cell r="X413" t="str">
            <v>0297</v>
          </cell>
          <cell r="Z413">
            <v>1255.3</v>
          </cell>
        </row>
        <row r="414">
          <cell r="B414" t="str">
            <v>0298</v>
          </cell>
          <cell r="C414" t="str">
            <v>03</v>
          </cell>
          <cell r="E414" t="str">
            <v>GSIS</v>
          </cell>
          <cell r="F414" t="str">
            <v>PS</v>
          </cell>
          <cell r="G414" t="str">
            <v>RO</v>
          </cell>
          <cell r="J414" t="str">
            <v>PS</v>
          </cell>
          <cell r="L414">
            <v>19423.169999999998</v>
          </cell>
          <cell r="M414" t="str">
            <v>Remittance of GSIS premiums from employees with salary diff due to promotion for the period January 4-31, 2021</v>
          </cell>
          <cell r="X414" t="str">
            <v>0298</v>
          </cell>
          <cell r="Z414">
            <v>19423.169999999998</v>
          </cell>
        </row>
        <row r="415">
          <cell r="B415" t="str">
            <v>0299</v>
          </cell>
          <cell r="C415" t="str">
            <v>03</v>
          </cell>
          <cell r="E415" t="str">
            <v>GLAD MPC</v>
          </cell>
          <cell r="F415" t="str">
            <v>PS</v>
          </cell>
          <cell r="G415" t="str">
            <v>RO</v>
          </cell>
          <cell r="J415" t="str">
            <v>PS</v>
          </cell>
          <cell r="L415">
            <v>54327.25</v>
          </cell>
          <cell r="M415" t="str">
            <v>Remittance of COOP deductions for the month of February 2021</v>
          </cell>
          <cell r="X415" t="str">
            <v>0299</v>
          </cell>
          <cell r="Z415">
            <v>54327.25</v>
          </cell>
        </row>
        <row r="416">
          <cell r="B416" t="str">
            <v>0300</v>
          </cell>
          <cell r="C416" t="str">
            <v>03</v>
          </cell>
          <cell r="E416" t="str">
            <v>Sunlife of Canada Phils. Inc</v>
          </cell>
          <cell r="F416" t="str">
            <v>PS</v>
          </cell>
          <cell r="G416" t="str">
            <v>RO</v>
          </cell>
          <cell r="J416" t="str">
            <v>PS</v>
          </cell>
          <cell r="L416">
            <v>903</v>
          </cell>
          <cell r="M416" t="str">
            <v>Remittance of insurance premiums for the month of February 2021</v>
          </cell>
          <cell r="X416" t="str">
            <v>0300</v>
          </cell>
          <cell r="Z416">
            <v>903</v>
          </cell>
        </row>
        <row r="417">
          <cell r="B417" t="str">
            <v>0301</v>
          </cell>
          <cell r="C417" t="str">
            <v>03</v>
          </cell>
          <cell r="E417" t="str">
            <v>HDMF-Butuan City</v>
          </cell>
          <cell r="F417" t="str">
            <v>PS</v>
          </cell>
          <cell r="G417" t="str">
            <v>RO</v>
          </cell>
          <cell r="J417" t="str">
            <v>PS</v>
          </cell>
          <cell r="L417">
            <v>1000</v>
          </cell>
          <cell r="M417" t="str">
            <v>Remittance of HDMF premium of NC staff for the month of January, 2021</v>
          </cell>
          <cell r="X417" t="str">
            <v>0301</v>
          </cell>
          <cell r="Z417">
            <v>1000</v>
          </cell>
        </row>
        <row r="418">
          <cell r="B418" t="str">
            <v>0302</v>
          </cell>
          <cell r="C418" t="str">
            <v>03</v>
          </cell>
          <cell r="E418" t="str">
            <v>PHIC Butuan City</v>
          </cell>
          <cell r="F418" t="str">
            <v>PS</v>
          </cell>
          <cell r="G418" t="str">
            <v>RO</v>
          </cell>
          <cell r="J418" t="str">
            <v>PS</v>
          </cell>
          <cell r="L418">
            <v>3581.55</v>
          </cell>
          <cell r="M418" t="str">
            <v>Remittance of PHIC premium of NC staff for the month of January, 2021</v>
          </cell>
          <cell r="X418" t="str">
            <v>0302</v>
          </cell>
          <cell r="Z418">
            <v>3581.55</v>
          </cell>
        </row>
        <row r="419">
          <cell r="B419" t="str">
            <v>0303</v>
          </cell>
          <cell r="C419" t="str">
            <v>03</v>
          </cell>
          <cell r="E419" t="str">
            <v>GSIS</v>
          </cell>
          <cell r="F419" t="str">
            <v>PS</v>
          </cell>
          <cell r="G419" t="str">
            <v>RO</v>
          </cell>
          <cell r="J419" t="str">
            <v>PS</v>
          </cell>
          <cell r="L419">
            <v>11322.3</v>
          </cell>
          <cell r="M419" t="str">
            <v>Remittance of GSIS premium of NC staff for the month of Jnauary, 2021</v>
          </cell>
          <cell r="X419" t="str">
            <v>0303</v>
          </cell>
          <cell r="Z419">
            <v>11322.3</v>
          </cell>
        </row>
        <row r="420">
          <cell r="B420" t="str">
            <v>0304</v>
          </cell>
          <cell r="C420" t="str">
            <v>03</v>
          </cell>
          <cell r="E420" t="str">
            <v>DTI-Employees Union</v>
          </cell>
          <cell r="F420" t="str">
            <v>PS</v>
          </cell>
          <cell r="G420" t="str">
            <v>RO</v>
          </cell>
          <cell r="J420" t="str">
            <v>PS</v>
          </cell>
          <cell r="L420">
            <v>850</v>
          </cell>
          <cell r="M420" t="str">
            <v>Remittance of NC staff EU dues and membership fee for the month of January, 2021</v>
          </cell>
          <cell r="X420" t="str">
            <v>0304</v>
          </cell>
          <cell r="Z420">
            <v>850</v>
          </cell>
        </row>
        <row r="421">
          <cell r="B421" t="str">
            <v>0305</v>
          </cell>
          <cell r="C421" t="str">
            <v>03</v>
          </cell>
          <cell r="E421" t="str">
            <v>DTI MDBF</v>
          </cell>
          <cell r="F421" t="str">
            <v>PS</v>
          </cell>
          <cell r="G421" t="str">
            <v>RO</v>
          </cell>
          <cell r="J421" t="str">
            <v>PS</v>
          </cell>
          <cell r="L421">
            <v>250</v>
          </cell>
          <cell r="M421" t="str">
            <v>Remittance of NC staff MDBF for the month of January, 2021</v>
          </cell>
          <cell r="X421" t="str">
            <v>0305</v>
          </cell>
          <cell r="Z421">
            <v>250</v>
          </cell>
        </row>
        <row r="422">
          <cell r="B422" t="str">
            <v>0306</v>
          </cell>
          <cell r="C422" t="str">
            <v>03</v>
          </cell>
          <cell r="E422" t="str">
            <v>DTI-PF</v>
          </cell>
          <cell r="F422" t="str">
            <v>PS</v>
          </cell>
          <cell r="G422" t="str">
            <v>RO</v>
          </cell>
          <cell r="J422" t="str">
            <v>PS</v>
          </cell>
          <cell r="L422">
            <v>1000</v>
          </cell>
          <cell r="M422" t="str">
            <v>Remittance of NC staff PF Premiums for the month of January, 2021</v>
          </cell>
          <cell r="X422" t="str">
            <v>0306</v>
          </cell>
          <cell r="Z422">
            <v>1000</v>
          </cell>
        </row>
        <row r="423">
          <cell r="B423" t="str">
            <v>0307</v>
          </cell>
          <cell r="C423" t="str">
            <v>03</v>
          </cell>
          <cell r="E423" t="str">
            <v>HDMF-Butuan City</v>
          </cell>
          <cell r="F423" t="str">
            <v>PS</v>
          </cell>
          <cell r="G423" t="str">
            <v>RO</v>
          </cell>
          <cell r="J423" t="str">
            <v>PS</v>
          </cell>
          <cell r="L423">
            <v>202411.41</v>
          </cell>
          <cell r="M423" t="str">
            <v>Remittance of HDMF premium of Reg. for the month of Feb., 2021</v>
          </cell>
          <cell r="X423" t="str">
            <v>0307</v>
          </cell>
          <cell r="Z423">
            <v>202411.41</v>
          </cell>
        </row>
        <row r="424">
          <cell r="B424" t="str">
            <v>0308</v>
          </cell>
          <cell r="C424" t="str">
            <v>03</v>
          </cell>
          <cell r="D424" t="str">
            <v>173</v>
          </cell>
          <cell r="E424" t="str">
            <v>Elyn Rose A. Ranario</v>
          </cell>
          <cell r="F424" t="str">
            <v>PS</v>
          </cell>
          <cell r="G424" t="str">
            <v>RO</v>
          </cell>
          <cell r="J424" t="str">
            <v>PS</v>
          </cell>
          <cell r="M424" t="str">
            <v>Payment for Salaries and allowances of NC staff for the month of February, 2021</v>
          </cell>
          <cell r="X424" t="str">
            <v>0308</v>
          </cell>
          <cell r="Z424">
            <v>23119.919999999998</v>
          </cell>
        </row>
        <row r="425">
          <cell r="B425" t="str">
            <v>0309</v>
          </cell>
          <cell r="C425" t="str">
            <v>03</v>
          </cell>
          <cell r="D425" t="str">
            <v>174</v>
          </cell>
          <cell r="E425" t="str">
            <v>Carl Mars P. Ravelo</v>
          </cell>
          <cell r="F425" t="str">
            <v>PS</v>
          </cell>
          <cell r="G425" t="str">
            <v>RO</v>
          </cell>
          <cell r="J425" t="str">
            <v>PS</v>
          </cell>
          <cell r="M425" t="str">
            <v>Payment for Salaries and allowances of NC staff for the month of February, 2021</v>
          </cell>
          <cell r="X425" t="str">
            <v>0309</v>
          </cell>
          <cell r="Z425">
            <v>23119.919999999998</v>
          </cell>
        </row>
        <row r="426">
          <cell r="B426" t="str">
            <v>0310</v>
          </cell>
          <cell r="C426" t="str">
            <v>03</v>
          </cell>
          <cell r="D426" t="str">
            <v>169</v>
          </cell>
          <cell r="E426" t="str">
            <v>LBP, F/O DTI-Job Orders</v>
          </cell>
          <cell r="F426" t="str">
            <v>MOOE</v>
          </cell>
          <cell r="G426" t="str">
            <v>RO</v>
          </cell>
          <cell r="J426" t="str">
            <v>MOOE</v>
          </cell>
          <cell r="M426" t="str">
            <v>Payment of Job Orders for the period February 16-28, 2021</v>
          </cell>
          <cell r="X426" t="str">
            <v>0310</v>
          </cell>
          <cell r="Z426">
            <v>9170</v>
          </cell>
        </row>
        <row r="427">
          <cell r="B427" t="str">
            <v>0311</v>
          </cell>
          <cell r="C427" t="str">
            <v>03</v>
          </cell>
          <cell r="D427" t="str">
            <v>168</v>
          </cell>
          <cell r="E427" t="str">
            <v>Olimar O. Sulapas</v>
          </cell>
          <cell r="F427" t="str">
            <v>PS</v>
          </cell>
          <cell r="G427" t="str">
            <v>RO</v>
          </cell>
          <cell r="J427" t="str">
            <v>PS</v>
          </cell>
          <cell r="M427" t="str">
            <v>Payment for Salaries and allowances of NC staff for the month of February, 2021</v>
          </cell>
          <cell r="X427" t="str">
            <v>0311</v>
          </cell>
          <cell r="Z427">
            <v>23119.919999999998</v>
          </cell>
        </row>
        <row r="428">
          <cell r="B428" t="str">
            <v>0312</v>
          </cell>
          <cell r="C428" t="str">
            <v>03</v>
          </cell>
          <cell r="D428" t="str">
            <v>167</v>
          </cell>
          <cell r="E428" t="str">
            <v>Landbank of the Philippines</v>
          </cell>
          <cell r="F428" t="str">
            <v>MOOE</v>
          </cell>
          <cell r="G428" t="str">
            <v>RO</v>
          </cell>
          <cell r="J428" t="str">
            <v>MOOE</v>
          </cell>
          <cell r="M428" t="str">
            <v>Salaries for RAPID RCU Staff - February 16-28, 2021</v>
          </cell>
          <cell r="X428" t="str">
            <v>0312</v>
          </cell>
          <cell r="Z428">
            <v>83842.210000000006</v>
          </cell>
        </row>
        <row r="429">
          <cell r="B429" t="str">
            <v>0313</v>
          </cell>
          <cell r="C429" t="str">
            <v>03</v>
          </cell>
          <cell r="D429" t="str">
            <v>166</v>
          </cell>
          <cell r="E429" t="str">
            <v>Landbank of the Philippines</v>
          </cell>
          <cell r="F429" t="str">
            <v>MOOE</v>
          </cell>
          <cell r="G429" t="str">
            <v>RO</v>
          </cell>
          <cell r="J429" t="str">
            <v>MOOE</v>
          </cell>
          <cell r="M429" t="str">
            <v>Salaries for RAPID RCU Staff - February 1-15, 2021</v>
          </cell>
          <cell r="X429" t="str">
            <v>0313</v>
          </cell>
          <cell r="Z429">
            <v>83842.210000000006</v>
          </cell>
        </row>
        <row r="430">
          <cell r="B430" t="str">
            <v>0314</v>
          </cell>
          <cell r="C430" t="str">
            <v>03</v>
          </cell>
          <cell r="D430" t="str">
            <v>170</v>
          </cell>
          <cell r="E430" t="str">
            <v>Hazel O. Galve</v>
          </cell>
          <cell r="F430" t="str">
            <v>MOOE</v>
          </cell>
          <cell r="G430" t="str">
            <v>RO</v>
          </cell>
          <cell r="J430" t="str">
            <v>LF</v>
          </cell>
          <cell r="K430" t="str">
            <v>OTOP</v>
          </cell>
          <cell r="M430" t="str">
            <v>Reimbursement, TEV during the conudct of orientation on OTOP PH Hub and e-commerce platform of DTI-Caraga in ADS on January 15, 2021 &amp; in Surigao City on January 29, 2021</v>
          </cell>
          <cell r="X430" t="str">
            <v>0314</v>
          </cell>
          <cell r="Z430">
            <v>1200</v>
          </cell>
        </row>
        <row r="431">
          <cell r="B431" t="str">
            <v>0315</v>
          </cell>
          <cell r="C431" t="str">
            <v>03</v>
          </cell>
          <cell r="D431" t="str">
            <v>171</v>
          </cell>
          <cell r="E431" t="str">
            <v>Procurement Service</v>
          </cell>
          <cell r="F431" t="str">
            <v>MOOE</v>
          </cell>
          <cell r="G431" t="str">
            <v>RO</v>
          </cell>
          <cell r="J431" t="str">
            <v>MOOE</v>
          </cell>
          <cell r="M431" t="str">
            <v>FAD Office use for the 1st quarter 2021</v>
          </cell>
          <cell r="X431" t="str">
            <v>0315</v>
          </cell>
          <cell r="Z431">
            <v>2404.7800000000002</v>
          </cell>
        </row>
        <row r="432">
          <cell r="B432" t="str">
            <v>0316</v>
          </cell>
          <cell r="C432" t="str">
            <v>03</v>
          </cell>
          <cell r="D432" t="str">
            <v>175</v>
          </cell>
          <cell r="E432" t="str">
            <v>Lime and Zest Kitchen</v>
          </cell>
          <cell r="F432" t="str">
            <v>MOOE</v>
          </cell>
          <cell r="G432" t="str">
            <v>RO</v>
          </cell>
          <cell r="J432" t="str">
            <v>MOOE</v>
          </cell>
          <cell r="M432" t="str">
            <v>Payment of meals during the IDD Functional Team Meeting on January 26, 2021</v>
          </cell>
          <cell r="X432" t="str">
            <v>0316</v>
          </cell>
          <cell r="Z432">
            <v>10312.5</v>
          </cell>
        </row>
        <row r="433">
          <cell r="B433" t="str">
            <v>0317</v>
          </cell>
          <cell r="C433" t="str">
            <v>03</v>
          </cell>
          <cell r="D433" t="str">
            <v>176</v>
          </cell>
          <cell r="E433" t="str">
            <v>Globe Telecom, Inc.</v>
          </cell>
          <cell r="F433" t="str">
            <v>MOOE</v>
          </cell>
          <cell r="G433" t="str">
            <v>RO</v>
          </cell>
          <cell r="J433" t="str">
            <v>MOOE</v>
          </cell>
          <cell r="M433" t="str">
            <v>Payment of Globe postpaid plan subscription for the month of January 16-February 15, 2021 for acct 65087463</v>
          </cell>
          <cell r="X433" t="str">
            <v>0317</v>
          </cell>
          <cell r="Z433">
            <v>2343.75</v>
          </cell>
        </row>
        <row r="434">
          <cell r="B434" t="str">
            <v>0318</v>
          </cell>
          <cell r="C434" t="str">
            <v>03</v>
          </cell>
          <cell r="D434" t="str">
            <v>177</v>
          </cell>
          <cell r="E434" t="str">
            <v>Arleen P. Pahamtang</v>
          </cell>
          <cell r="F434" t="str">
            <v>MOOE</v>
          </cell>
          <cell r="G434" t="str">
            <v>RO</v>
          </cell>
          <cell r="J434" t="str">
            <v>MOOE</v>
          </cell>
          <cell r="M434" t="str">
            <v>Petty cash fund replenishment 2021-02-003 Feb 9-24,2021</v>
          </cell>
          <cell r="X434" t="str">
            <v>0318</v>
          </cell>
          <cell r="Z434">
            <v>4223.5</v>
          </cell>
        </row>
        <row r="435">
          <cell r="B435" t="str">
            <v>0319</v>
          </cell>
          <cell r="C435" t="str">
            <v>03</v>
          </cell>
          <cell r="E435" t="str">
            <v>Jamaica Arenal</v>
          </cell>
          <cell r="F435" t="str">
            <v>PS</v>
          </cell>
          <cell r="G435" t="str">
            <v>RO</v>
          </cell>
          <cell r="J435" t="str">
            <v>PS</v>
          </cell>
          <cell r="L435">
            <v>1000</v>
          </cell>
          <cell r="M435" t="str">
            <v>Refund of HDMF-MPL deducted from February 2021</v>
          </cell>
          <cell r="X435" t="str">
            <v>0319</v>
          </cell>
          <cell r="Z435">
            <v>1000</v>
          </cell>
        </row>
        <row r="436">
          <cell r="B436" t="str">
            <v>0320</v>
          </cell>
          <cell r="C436" t="str">
            <v>03</v>
          </cell>
          <cell r="E436" t="str">
            <v>Chona Marie L. Grado</v>
          </cell>
          <cell r="F436" t="str">
            <v>PS</v>
          </cell>
          <cell r="G436" t="str">
            <v>RO</v>
          </cell>
          <cell r="J436" t="str">
            <v>PS</v>
          </cell>
          <cell r="L436">
            <v>770.25</v>
          </cell>
          <cell r="M436" t="str">
            <v>Refund of HDMF-MPL deducted from February 2021</v>
          </cell>
          <cell r="X436" t="str">
            <v>0320</v>
          </cell>
          <cell r="Z436">
            <v>770.25</v>
          </cell>
        </row>
        <row r="437">
          <cell r="B437" t="str">
            <v>0321</v>
          </cell>
          <cell r="C437" t="str">
            <v>03</v>
          </cell>
          <cell r="E437" t="str">
            <v>DREAMCO MPC</v>
          </cell>
          <cell r="F437" t="str">
            <v>PS</v>
          </cell>
          <cell r="G437" t="str">
            <v>RO</v>
          </cell>
          <cell r="J437" t="str">
            <v>PS</v>
          </cell>
          <cell r="L437">
            <v>22481.95</v>
          </cell>
          <cell r="M437" t="str">
            <v>Remittance, coop deductions from RATA for March 2021.</v>
          </cell>
          <cell r="X437" t="str">
            <v>0321</v>
          </cell>
          <cell r="Z437">
            <v>22481.95</v>
          </cell>
        </row>
        <row r="438">
          <cell r="B438" t="str">
            <v>0322</v>
          </cell>
          <cell r="C438" t="str">
            <v>03</v>
          </cell>
          <cell r="D438" t="str">
            <v>JO21-02-01-003/ ORS 101-21-02-154</v>
          </cell>
          <cell r="E438" t="str">
            <v>DREAMCO MPC</v>
          </cell>
          <cell r="F438" t="str">
            <v>MOOE</v>
          </cell>
          <cell r="J438" t="str">
            <v>MOOE</v>
          </cell>
          <cell r="L438">
            <v>5783.33</v>
          </cell>
          <cell r="M438" t="str">
            <v>Remittance, Job Orders coop deductions for the period February 1-28, 2021</v>
          </cell>
          <cell r="X438" t="str">
            <v>0322</v>
          </cell>
          <cell r="Z438">
            <v>5783.33</v>
          </cell>
        </row>
        <row r="439">
          <cell r="B439" t="str">
            <v>0322</v>
          </cell>
          <cell r="C439" t="str">
            <v>03</v>
          </cell>
          <cell r="D439" t="str">
            <v>JO21-02-01-006 / ORS 101-21-02-152</v>
          </cell>
          <cell r="E439" t="str">
            <v>DREAMCO MPC</v>
          </cell>
          <cell r="F439" t="str">
            <v>MOOE</v>
          </cell>
          <cell r="J439" t="str">
            <v>MOOE</v>
          </cell>
          <cell r="L439">
            <v>500</v>
          </cell>
          <cell r="M439" t="str">
            <v>Remittance, Job Orders coop deductions for the period February 1-28, 2021</v>
          </cell>
          <cell r="X439" t="str">
            <v>0322</v>
          </cell>
          <cell r="Z439">
            <v>500</v>
          </cell>
        </row>
        <row r="440">
          <cell r="B440" t="str">
            <v>0322</v>
          </cell>
          <cell r="C440" t="str">
            <v>03</v>
          </cell>
          <cell r="D440" t="str">
            <v>JO21-02-01-001 / ORS 101-21-02-150</v>
          </cell>
          <cell r="E440" t="str">
            <v>DREAMCO MPC</v>
          </cell>
          <cell r="F440" t="str">
            <v>MOOE</v>
          </cell>
          <cell r="J440" t="str">
            <v>MOOE</v>
          </cell>
          <cell r="L440">
            <v>1000</v>
          </cell>
          <cell r="M440" t="str">
            <v>Remittance, Job Orders coop deductions for the period February 1-28, 2021</v>
          </cell>
          <cell r="X440" t="str">
            <v>0322</v>
          </cell>
          <cell r="Z440">
            <v>1000</v>
          </cell>
        </row>
        <row r="441">
          <cell r="B441" t="str">
            <v>0322</v>
          </cell>
          <cell r="C441" t="str">
            <v>03</v>
          </cell>
          <cell r="D441" t="str">
            <v>JO21-02-01-003</v>
          </cell>
          <cell r="E441" t="str">
            <v>DREAMCO MPC</v>
          </cell>
          <cell r="F441" t="str">
            <v>MOOE</v>
          </cell>
          <cell r="J441" t="str">
            <v>MOOE</v>
          </cell>
          <cell r="L441">
            <v>5083.33</v>
          </cell>
          <cell r="M441" t="str">
            <v>Remittance, Job Orders coop deductions for the period February 1-28, 2021</v>
          </cell>
          <cell r="X441" t="str">
            <v>0322</v>
          </cell>
          <cell r="Z441">
            <v>5083.33</v>
          </cell>
        </row>
        <row r="442">
          <cell r="B442" t="str">
            <v>0322</v>
          </cell>
          <cell r="C442" t="str">
            <v>03</v>
          </cell>
          <cell r="D442" t="str">
            <v>JO21-02-01-006</v>
          </cell>
          <cell r="E442" t="str">
            <v>DREAMCO MPC</v>
          </cell>
          <cell r="F442" t="str">
            <v>MOOE</v>
          </cell>
          <cell r="J442" t="str">
            <v>MOOE</v>
          </cell>
          <cell r="L442">
            <v>500</v>
          </cell>
          <cell r="M442" t="str">
            <v>Remittance, Job Orders coop deductions for the period February 1-28, 2021</v>
          </cell>
          <cell r="X442" t="str">
            <v>0322</v>
          </cell>
          <cell r="Z442">
            <v>500</v>
          </cell>
        </row>
        <row r="443">
          <cell r="B443" t="str">
            <v>0322</v>
          </cell>
          <cell r="C443" t="str">
            <v>03</v>
          </cell>
          <cell r="D443" t="str">
            <v>JO21-02-01-001 / ORS 101-21-02-150</v>
          </cell>
          <cell r="E443" t="str">
            <v>DREAMCO MPC</v>
          </cell>
          <cell r="F443" t="str">
            <v>MOOE</v>
          </cell>
          <cell r="J443" t="str">
            <v>MOOE</v>
          </cell>
          <cell r="L443">
            <v>1000</v>
          </cell>
          <cell r="M443" t="str">
            <v>Remittance, Job Orders coop deductions for the period February 1-28, 2021</v>
          </cell>
          <cell r="X443" t="str">
            <v>0322</v>
          </cell>
          <cell r="Z443">
            <v>1000</v>
          </cell>
        </row>
        <row r="444">
          <cell r="B444" t="str">
            <v>0323</v>
          </cell>
          <cell r="C444" t="str">
            <v>03</v>
          </cell>
          <cell r="D444" t="str">
            <v>184</v>
          </cell>
          <cell r="E444" t="str">
            <v>Norman Jhon G. Butalon</v>
          </cell>
          <cell r="F444" t="str">
            <v>MOOE</v>
          </cell>
          <cell r="J444" t="str">
            <v>MOOE</v>
          </cell>
          <cell r="M444" t="str">
            <v>Payment of Job Orders for the period January and February, 2021</v>
          </cell>
          <cell r="X444" t="str">
            <v>0323</v>
          </cell>
          <cell r="Z444">
            <v>64106</v>
          </cell>
        </row>
        <row r="445">
          <cell r="B445" t="str">
            <v>0324</v>
          </cell>
          <cell r="C445" t="str">
            <v>03</v>
          </cell>
          <cell r="D445" t="str">
            <v>077</v>
          </cell>
          <cell r="E445" t="str">
            <v>Arnold D. Faelnar</v>
          </cell>
          <cell r="F445" t="str">
            <v>MOOE</v>
          </cell>
          <cell r="J445" t="str">
            <v>MOOE</v>
          </cell>
          <cell r="L445">
            <v>5144.79</v>
          </cell>
          <cell r="M445" t="str">
            <v>Refund of HDMF-MPL deducted from February 2021</v>
          </cell>
          <cell r="X445" t="str">
            <v>0324</v>
          </cell>
          <cell r="Z445">
            <v>5144.79</v>
          </cell>
        </row>
        <row r="446">
          <cell r="B446" t="str">
            <v>0325</v>
          </cell>
          <cell r="C446" t="str">
            <v>03</v>
          </cell>
          <cell r="D446" t="str">
            <v>178</v>
          </cell>
          <cell r="E446" t="str">
            <v>Fevi V. Silvosa</v>
          </cell>
          <cell r="F446" t="str">
            <v>MOOE</v>
          </cell>
          <cell r="J446" t="str">
            <v>MOOE</v>
          </cell>
          <cell r="M446" t="str">
            <v>Payment of JO for the period February 16-28, 2021</v>
          </cell>
          <cell r="X446" t="str">
            <v>0325</v>
          </cell>
          <cell r="Z446">
            <v>9000</v>
          </cell>
        </row>
        <row r="447">
          <cell r="B447" t="str">
            <v>0326</v>
          </cell>
          <cell r="C447" t="str">
            <v>03</v>
          </cell>
          <cell r="D447" t="str">
            <v>179</v>
          </cell>
          <cell r="E447" t="str">
            <v>LBP, F/O DTI-Job Orders</v>
          </cell>
          <cell r="F447" t="str">
            <v>MOOE</v>
          </cell>
          <cell r="J447" t="str">
            <v>MOOE</v>
          </cell>
          <cell r="M447" t="str">
            <v>Payment for JO for February 16-28, 2021</v>
          </cell>
          <cell r="X447" t="str">
            <v>0326</v>
          </cell>
          <cell r="Z447">
            <v>22676.67</v>
          </cell>
        </row>
        <row r="448">
          <cell r="B448" t="str">
            <v>0327</v>
          </cell>
          <cell r="C448" t="str">
            <v>03</v>
          </cell>
          <cell r="D448" t="str">
            <v>180</v>
          </cell>
          <cell r="E448" t="str">
            <v>Armando G. Tabid</v>
          </cell>
          <cell r="F448" t="str">
            <v>MOOE</v>
          </cell>
          <cell r="J448" t="str">
            <v>SDO</v>
          </cell>
          <cell r="K448" t="str">
            <v>RAPID GOP</v>
          </cell>
          <cell r="M448" t="str">
            <v>Salaries for RAPID PCU ADS staff (driver)- February 1-28, 2021</v>
          </cell>
          <cell r="X448" t="str">
            <v>0327</v>
          </cell>
          <cell r="Z448">
            <v>16332.5</v>
          </cell>
        </row>
        <row r="449">
          <cell r="B449" t="str">
            <v>0328</v>
          </cell>
          <cell r="C449" t="str">
            <v>03</v>
          </cell>
          <cell r="D449" t="str">
            <v>181</v>
          </cell>
          <cell r="E449" t="str">
            <v>LBP, F/O DTI-Job Orders</v>
          </cell>
          <cell r="F449" t="str">
            <v>MOOE</v>
          </cell>
          <cell r="J449" t="str">
            <v>MOOE</v>
          </cell>
          <cell r="M449" t="str">
            <v>Payment for JO for February 16-28, 2021</v>
          </cell>
          <cell r="X449" t="str">
            <v>0328</v>
          </cell>
          <cell r="Z449">
            <v>22316</v>
          </cell>
        </row>
        <row r="450">
          <cell r="B450" t="str">
            <v>0329</v>
          </cell>
          <cell r="C450" t="str">
            <v>03</v>
          </cell>
          <cell r="D450" t="str">
            <v>182</v>
          </cell>
          <cell r="E450" t="str">
            <v>LBP, F/O DTI-Job Orders</v>
          </cell>
          <cell r="F450" t="str">
            <v>MOOE</v>
          </cell>
          <cell r="J450" t="str">
            <v>MOOE</v>
          </cell>
          <cell r="M450" t="str">
            <v>Payment for JO for February 16-28, 2021</v>
          </cell>
          <cell r="X450" t="str">
            <v>0329</v>
          </cell>
          <cell r="Z450">
            <v>12534</v>
          </cell>
        </row>
        <row r="451">
          <cell r="B451" t="str">
            <v>0330</v>
          </cell>
          <cell r="C451" t="str">
            <v>03</v>
          </cell>
          <cell r="D451" t="str">
            <v>183</v>
          </cell>
          <cell r="E451" t="str">
            <v>Landbank of the Philippines</v>
          </cell>
          <cell r="F451" t="str">
            <v>PS</v>
          </cell>
          <cell r="J451" t="str">
            <v>PS</v>
          </cell>
          <cell r="M451" t="str">
            <v>Payment for RATA for March 2021</v>
          </cell>
          <cell r="X451" t="str">
            <v>0330</v>
          </cell>
          <cell r="Z451">
            <v>127518.05</v>
          </cell>
        </row>
        <row r="452">
          <cell r="B452" t="str">
            <v>0331</v>
          </cell>
          <cell r="C452" t="str">
            <v>03</v>
          </cell>
          <cell r="D452" t="str">
            <v>185</v>
          </cell>
          <cell r="E452" t="str">
            <v>Bernie P. Curato</v>
          </cell>
          <cell r="F452" t="str">
            <v>MOOE</v>
          </cell>
          <cell r="J452" t="str">
            <v>SDO</v>
          </cell>
          <cell r="K452" t="str">
            <v>RAPID GOP</v>
          </cell>
          <cell r="M452" t="str">
            <v>Salaries for RAPID PCU ADN staff (driver)- February 1-28, 2021</v>
          </cell>
          <cell r="X452" t="str">
            <v>0331</v>
          </cell>
          <cell r="Z452">
            <v>16332.5</v>
          </cell>
        </row>
        <row r="453">
          <cell r="B453" t="str">
            <v>0332</v>
          </cell>
          <cell r="C453" t="str">
            <v>03</v>
          </cell>
          <cell r="D453" t="str">
            <v>187</v>
          </cell>
          <cell r="E453" t="str">
            <v>GSIS</v>
          </cell>
          <cell r="F453" t="str">
            <v>MOOE</v>
          </cell>
          <cell r="J453" t="str">
            <v>MOOE</v>
          </cell>
          <cell r="M453" t="str">
            <v>Payment for motor vehicle insurance  renewal  Toyota Innova</v>
          </cell>
          <cell r="X453" t="str">
            <v>0332</v>
          </cell>
          <cell r="Z453">
            <v>6617.76</v>
          </cell>
        </row>
        <row r="454">
          <cell r="B454" t="str">
            <v>0333</v>
          </cell>
          <cell r="C454" t="str">
            <v>03</v>
          </cell>
          <cell r="D454" t="str">
            <v>188</v>
          </cell>
          <cell r="E454" t="str">
            <v>Land Transportation Office</v>
          </cell>
          <cell r="F454" t="str">
            <v>MOOE</v>
          </cell>
          <cell r="J454" t="str">
            <v>MOOE</v>
          </cell>
          <cell r="M454" t="str">
            <v>DTI Caraga Motor vehicle Registration- Toyota Innova</v>
          </cell>
          <cell r="X454" t="str">
            <v>0333</v>
          </cell>
          <cell r="Z454">
            <v>2179.06</v>
          </cell>
        </row>
        <row r="455">
          <cell r="B455" t="str">
            <v>0334</v>
          </cell>
          <cell r="C455" t="str">
            <v>03</v>
          </cell>
          <cell r="D455" t="str">
            <v>189</v>
          </cell>
          <cell r="E455" t="str">
            <v>Royelen B.Taala</v>
          </cell>
          <cell r="F455" t="str">
            <v>MOOE</v>
          </cell>
          <cell r="J455" t="str">
            <v>MOOE</v>
          </cell>
          <cell r="M455" t="str">
            <v>Reimbursement for the payment of the planner 2021 for IDD office use</v>
          </cell>
          <cell r="X455" t="str">
            <v>0334</v>
          </cell>
          <cell r="Z455">
            <v>3075</v>
          </cell>
        </row>
        <row r="456">
          <cell r="B456" t="str">
            <v>0335</v>
          </cell>
          <cell r="C456" t="str">
            <v>03</v>
          </cell>
          <cell r="D456" t="str">
            <v>190</v>
          </cell>
          <cell r="E456" t="str">
            <v>JMN Multimedia Sales and Services</v>
          </cell>
          <cell r="F456" t="str">
            <v>MOOE</v>
          </cell>
          <cell r="J456" t="str">
            <v>MOOE</v>
          </cell>
          <cell r="M456" t="str">
            <v>Payment for the prepaid loadcards- IDD load allowance for the 1st quarter 2021</v>
          </cell>
          <cell r="X456" t="str">
            <v>0335</v>
          </cell>
          <cell r="Z456">
            <v>2884.72</v>
          </cell>
        </row>
        <row r="457">
          <cell r="B457" t="str">
            <v>0336</v>
          </cell>
          <cell r="C457" t="str">
            <v>03</v>
          </cell>
          <cell r="D457" t="str">
            <v>192</v>
          </cell>
          <cell r="E457" t="str">
            <v>Fil Products Service TV Butuan, Inc.</v>
          </cell>
          <cell r="F457" t="str">
            <v>MOOE</v>
          </cell>
          <cell r="J457" t="str">
            <v>MOOE</v>
          </cell>
          <cell r="M457" t="str">
            <v>Payment for cable TV subscription for Jan 28-March 27, 2021</v>
          </cell>
          <cell r="X457" t="str">
            <v>0336</v>
          </cell>
          <cell r="Z457">
            <v>1012.5</v>
          </cell>
        </row>
        <row r="458">
          <cell r="B458" t="str">
            <v>0337</v>
          </cell>
          <cell r="C458" t="str">
            <v>03</v>
          </cell>
          <cell r="D458" t="str">
            <v>193</v>
          </cell>
          <cell r="E458" t="str">
            <v>Jocelyn Ang</v>
          </cell>
          <cell r="F458" t="str">
            <v>MOOE</v>
          </cell>
          <cell r="J458" t="str">
            <v>MOOE</v>
          </cell>
          <cell r="M458" t="str">
            <v>Payment for records room rental for March 2021</v>
          </cell>
          <cell r="X458" t="str">
            <v>0337</v>
          </cell>
          <cell r="Z458">
            <v>8014.28</v>
          </cell>
        </row>
        <row r="459">
          <cell r="B459" t="str">
            <v>0338</v>
          </cell>
          <cell r="C459" t="str">
            <v>03</v>
          </cell>
          <cell r="D459" t="str">
            <v>194</v>
          </cell>
          <cell r="E459" t="str">
            <v>Land Bank of the Philippines</v>
          </cell>
          <cell r="F459" t="str">
            <v>PS</v>
          </cell>
          <cell r="J459" t="str">
            <v>PS</v>
          </cell>
          <cell r="M459" t="str">
            <v>Reimbursement, RATA for Feb 2021</v>
          </cell>
          <cell r="X459" t="str">
            <v>0338</v>
          </cell>
          <cell r="Z459">
            <v>29318.18</v>
          </cell>
        </row>
        <row r="460">
          <cell r="B460" t="str">
            <v>0339</v>
          </cell>
          <cell r="C460" t="str">
            <v>03</v>
          </cell>
          <cell r="D460" t="str">
            <v>195</v>
          </cell>
          <cell r="E460" t="str">
            <v>Kimson Commercial</v>
          </cell>
          <cell r="F460" t="str">
            <v>MOOE</v>
          </cell>
          <cell r="J460" t="str">
            <v>MOOE</v>
          </cell>
          <cell r="M460" t="str">
            <v>Payment for FAD 1st quarter 2021 office supplies</v>
          </cell>
          <cell r="X460" t="str">
            <v>0339</v>
          </cell>
          <cell r="Z460">
            <v>9052.59</v>
          </cell>
        </row>
        <row r="461">
          <cell r="B461" t="str">
            <v>0340</v>
          </cell>
          <cell r="C461" t="str">
            <v>03</v>
          </cell>
          <cell r="D461" t="str">
            <v>196</v>
          </cell>
          <cell r="E461" t="str">
            <v>Compañero Commercial</v>
          </cell>
          <cell r="F461" t="str">
            <v>MOOE</v>
          </cell>
          <cell r="J461" t="str">
            <v>MOOE</v>
          </cell>
          <cell r="M461" t="str">
            <v>Payment for FAD 1st quarter 2021 office supplies</v>
          </cell>
          <cell r="X461" t="str">
            <v>0340</v>
          </cell>
          <cell r="Z461">
            <v>1476.43</v>
          </cell>
        </row>
        <row r="462">
          <cell r="B462" t="str">
            <v>0341</v>
          </cell>
          <cell r="C462" t="str">
            <v>03</v>
          </cell>
          <cell r="D462" t="str">
            <v>197</v>
          </cell>
          <cell r="E462" t="str">
            <v>Tammy Emporium</v>
          </cell>
          <cell r="F462" t="str">
            <v>MOOE</v>
          </cell>
          <cell r="J462" t="str">
            <v>MOOE</v>
          </cell>
          <cell r="M462" t="str">
            <v>Payment for FAD 1st quarter 2021 office supplies</v>
          </cell>
          <cell r="X462" t="str">
            <v>0341</v>
          </cell>
          <cell r="Z462">
            <v>16865.349999999999</v>
          </cell>
        </row>
        <row r="463">
          <cell r="B463" t="str">
            <v>0342</v>
          </cell>
          <cell r="C463" t="str">
            <v>03</v>
          </cell>
          <cell r="D463" t="str">
            <v>198</v>
          </cell>
          <cell r="E463" t="str">
            <v>Innove Communiations, Inc</v>
          </cell>
          <cell r="F463" t="str">
            <v>MOOE</v>
          </cell>
          <cell r="J463" t="str">
            <v>MOOE</v>
          </cell>
          <cell r="M463" t="str">
            <v>Payment of Zoom Application for the month of November 2020- January 2021</v>
          </cell>
          <cell r="X463" t="str">
            <v>0342</v>
          </cell>
          <cell r="Z463">
            <v>10825.53</v>
          </cell>
        </row>
        <row r="464">
          <cell r="B464" t="str">
            <v>0343</v>
          </cell>
          <cell r="C464" t="str">
            <v>03</v>
          </cell>
          <cell r="D464" t="str">
            <v>186</v>
          </cell>
          <cell r="E464" t="str">
            <v>Mercado's Sudlanan ATBP</v>
          </cell>
          <cell r="F464" t="str">
            <v>MOOE</v>
          </cell>
          <cell r="J464" t="str">
            <v>MOOE</v>
          </cell>
          <cell r="M464" t="str">
            <v>Payment for the journal/planners during the conduct of the 2021 CPD Functional Meeting Team meeting on February 2-3, 2021</v>
          </cell>
          <cell r="X464" t="str">
            <v>0343</v>
          </cell>
          <cell r="Z464">
            <v>9405</v>
          </cell>
        </row>
        <row r="465">
          <cell r="B465" t="str">
            <v>0344</v>
          </cell>
          <cell r="C465" t="str">
            <v>03</v>
          </cell>
          <cell r="D465" t="str">
            <v>199</v>
          </cell>
          <cell r="E465" t="str">
            <v>Ralph O. Gorgonio</v>
          </cell>
          <cell r="F465" t="str">
            <v>MOOE</v>
          </cell>
          <cell r="J465" t="str">
            <v>MOOE</v>
          </cell>
          <cell r="M465" t="str">
            <v>Reimbursement , alcohol for the for the DTI Caraga implementation of workplace safety and healthy amid COVID19 Pandemic</v>
          </cell>
          <cell r="X465" t="str">
            <v>0344</v>
          </cell>
          <cell r="Z465">
            <v>1840</v>
          </cell>
        </row>
        <row r="466">
          <cell r="B466" t="str">
            <v>0345</v>
          </cell>
          <cell r="C466" t="str">
            <v>03</v>
          </cell>
          <cell r="D466" t="str">
            <v>200</v>
          </cell>
          <cell r="E466" t="str">
            <v>Road Way Auto Supply and Car Accessories</v>
          </cell>
          <cell r="F466" t="str">
            <v>MOOE</v>
          </cell>
          <cell r="J466" t="str">
            <v>MOOE</v>
          </cell>
          <cell r="M466" t="str">
            <v>Payment for Vehicle rear bumper of Toyota Hilux for DTI Caraga Motor Vehicle</v>
          </cell>
          <cell r="X466" t="str">
            <v>0345</v>
          </cell>
          <cell r="Z466">
            <v>16800</v>
          </cell>
        </row>
        <row r="467">
          <cell r="B467" t="str">
            <v>0346</v>
          </cell>
          <cell r="C467" t="str">
            <v>03</v>
          </cell>
          <cell r="D467" t="str">
            <v>201</v>
          </cell>
          <cell r="E467" t="str">
            <v>Eden D. Burnea</v>
          </cell>
          <cell r="F467" t="str">
            <v>MOOE</v>
          </cell>
          <cell r="J467" t="str">
            <v>MOOE</v>
          </cell>
          <cell r="M467" t="str">
            <v>TEV during the conduct of Orientation PH Hub and e-commerce platform of DTI-Caraga in ADS on Jan 15, 2021, Tandag City on Jan 21, 2021 and Surigao City on January 29, 2021</v>
          </cell>
          <cell r="X467" t="str">
            <v>0346</v>
          </cell>
          <cell r="Z467">
            <v>1800</v>
          </cell>
        </row>
        <row r="468">
          <cell r="B468" t="str">
            <v>0347</v>
          </cell>
          <cell r="C468" t="str">
            <v>03</v>
          </cell>
          <cell r="D468" t="str">
            <v>202</v>
          </cell>
          <cell r="E468" t="str">
            <v>Efren J. Tubaon</v>
          </cell>
          <cell r="F468" t="str">
            <v>MOOE</v>
          </cell>
          <cell r="J468" t="str">
            <v>MOOE</v>
          </cell>
          <cell r="M468" t="str">
            <v>Payment for JO for January and February 2021</v>
          </cell>
          <cell r="X468" t="str">
            <v>0347</v>
          </cell>
          <cell r="Z468">
            <v>20626.73</v>
          </cell>
        </row>
        <row r="469">
          <cell r="B469" t="str">
            <v>0348</v>
          </cell>
          <cell r="C469" t="str">
            <v>03</v>
          </cell>
          <cell r="D469" t="str">
            <v>203</v>
          </cell>
          <cell r="E469" t="str">
            <v>Al A. Oliverio</v>
          </cell>
          <cell r="F469" t="str">
            <v>MOOE</v>
          </cell>
          <cell r="J469" t="str">
            <v>MOOE</v>
          </cell>
          <cell r="K469" t="str">
            <v>RAPID GOP</v>
          </cell>
          <cell r="M469" t="str">
            <v>Payment for salaries for RAPID PCU AND Staff driver for Feb 1-28, 2021</v>
          </cell>
          <cell r="X469" t="str">
            <v>0348</v>
          </cell>
          <cell r="Z469">
            <v>16308.47</v>
          </cell>
        </row>
        <row r="470">
          <cell r="B470" t="str">
            <v>0349</v>
          </cell>
          <cell r="C470" t="str">
            <v>03</v>
          </cell>
          <cell r="D470" t="str">
            <v>204</v>
          </cell>
          <cell r="E470" t="str">
            <v>CSC Training Fund</v>
          </cell>
          <cell r="F470" t="str">
            <v>MOOE</v>
          </cell>
          <cell r="J470" t="str">
            <v>MOOE</v>
          </cell>
          <cell r="M470" t="str">
            <v>Payment for the Registration Fee for online course on coaching and mentoring on April 20, 27 and 30, 2021</v>
          </cell>
          <cell r="X470" t="str">
            <v>0349</v>
          </cell>
          <cell r="Z470">
            <v>7200</v>
          </cell>
        </row>
        <row r="471">
          <cell r="B471" t="str">
            <v>0350</v>
          </cell>
          <cell r="C471" t="str">
            <v>03</v>
          </cell>
          <cell r="D471" t="str">
            <v>205</v>
          </cell>
          <cell r="E471" t="str">
            <v>True Brew Gourmet Coffee Shop</v>
          </cell>
          <cell r="F471" t="str">
            <v>MOOE</v>
          </cell>
          <cell r="J471" t="str">
            <v>MOOE</v>
          </cell>
          <cell r="M471" t="str">
            <v>Payment for meals re: 2021 CPD Functional Team Meeting on February 2-3, 2021</v>
          </cell>
          <cell r="X471" t="str">
            <v>0350</v>
          </cell>
          <cell r="Z471">
            <v>12093.75</v>
          </cell>
        </row>
        <row r="472">
          <cell r="B472" t="str">
            <v>0351</v>
          </cell>
          <cell r="C472" t="str">
            <v>03</v>
          </cell>
          <cell r="D472" t="str">
            <v>206</v>
          </cell>
          <cell r="E472" t="str">
            <v>True Brew Gourmet Coffee Shop</v>
          </cell>
          <cell r="F472" t="str">
            <v>MOOE</v>
          </cell>
          <cell r="J472" t="str">
            <v>MOOE</v>
          </cell>
          <cell r="M472" t="str">
            <v>Payment of meals during the gender WEE Subcommittee Meeting on February 5, 2021</v>
          </cell>
          <cell r="X472" t="str">
            <v>0351</v>
          </cell>
          <cell r="Z472">
            <v>4640.63</v>
          </cell>
        </row>
        <row r="473">
          <cell r="B473" t="str">
            <v>0352</v>
          </cell>
          <cell r="C473" t="str">
            <v>03</v>
          </cell>
          <cell r="D473" t="str">
            <v>207</v>
          </cell>
          <cell r="E473" t="str">
            <v>Tammy Emporium</v>
          </cell>
          <cell r="F473" t="str">
            <v>MOOE</v>
          </cell>
          <cell r="J473" t="str">
            <v>MOOE</v>
          </cell>
          <cell r="M473" t="str">
            <v>Payment for  the office supplies of IDD office use- 1st quarter 2021</v>
          </cell>
          <cell r="X473" t="str">
            <v>0352</v>
          </cell>
          <cell r="Z473">
            <v>7410.54</v>
          </cell>
        </row>
        <row r="474">
          <cell r="B474" t="str">
            <v>0353</v>
          </cell>
          <cell r="C474" t="str">
            <v>03</v>
          </cell>
          <cell r="D474" t="str">
            <v>208</v>
          </cell>
          <cell r="E474" t="str">
            <v>Need Ink Sales &amp; Services</v>
          </cell>
          <cell r="F474" t="str">
            <v>MOOE</v>
          </cell>
          <cell r="J474" t="str">
            <v>MOOE</v>
          </cell>
          <cell r="M474" t="str">
            <v>Payment for toner cartridge for FAD 1st quarter 2021 office supplies.</v>
          </cell>
          <cell r="X474" t="str">
            <v>0353</v>
          </cell>
          <cell r="Z474">
            <v>25553.57</v>
          </cell>
        </row>
        <row r="475">
          <cell r="B475" t="str">
            <v>0354</v>
          </cell>
          <cell r="C475" t="str">
            <v>03</v>
          </cell>
          <cell r="E475" t="str">
            <v>DREAMCO MPC</v>
          </cell>
          <cell r="F475" t="str">
            <v>MOOE</v>
          </cell>
          <cell r="J475" t="str">
            <v>MOOE</v>
          </cell>
          <cell r="L475">
            <v>180829.47</v>
          </cell>
          <cell r="M475" t="str">
            <v>Remittance of coop deductions for the month of March 2021</v>
          </cell>
          <cell r="X475" t="str">
            <v>0354</v>
          </cell>
          <cell r="Z475">
            <v>180829.47</v>
          </cell>
        </row>
        <row r="476">
          <cell r="B476" t="str">
            <v>0355</v>
          </cell>
          <cell r="C476" t="str">
            <v>03</v>
          </cell>
          <cell r="D476" t="str">
            <v>209</v>
          </cell>
          <cell r="E476" t="str">
            <v>Butuan Glass Supply, Inc.</v>
          </cell>
          <cell r="F476" t="str">
            <v>MOOE</v>
          </cell>
          <cell r="J476" t="str">
            <v>MOOE</v>
          </cell>
          <cell r="M476" t="str">
            <v>Payment for frosted sticker for IDD Office</v>
          </cell>
          <cell r="X476" t="str">
            <v>0355</v>
          </cell>
          <cell r="Z476">
            <v>3187.5</v>
          </cell>
        </row>
        <row r="477">
          <cell r="B477" t="str">
            <v>0356</v>
          </cell>
          <cell r="C477" t="str">
            <v>03</v>
          </cell>
          <cell r="E477" t="str">
            <v>Joselito B. Paler</v>
          </cell>
          <cell r="F477" t="str">
            <v>MOOE</v>
          </cell>
          <cell r="J477" t="str">
            <v>MOOE</v>
          </cell>
          <cell r="L477">
            <v>220</v>
          </cell>
          <cell r="M477" t="str">
            <v>Refund of over deduction of EU dues &amp; GSIS- ECIP for the month of February 2021</v>
          </cell>
          <cell r="X477" t="str">
            <v>0356</v>
          </cell>
          <cell r="Z477">
            <v>220</v>
          </cell>
        </row>
        <row r="478">
          <cell r="B478" t="str">
            <v>0357</v>
          </cell>
          <cell r="C478" t="str">
            <v>03</v>
          </cell>
          <cell r="D478" t="str">
            <v>212</v>
          </cell>
          <cell r="E478" t="str">
            <v>New Aristocrat Enterprises,Inc.</v>
          </cell>
          <cell r="F478" t="str">
            <v>MOOE</v>
          </cell>
          <cell r="J478" t="str">
            <v>MOOE</v>
          </cell>
          <cell r="M478" t="str">
            <v>Payment for flush locks and reinstallation of glass board for DTI Caraga Office use.</v>
          </cell>
          <cell r="X478" t="str">
            <v>0357</v>
          </cell>
          <cell r="Z478">
            <v>5250</v>
          </cell>
        </row>
        <row r="479">
          <cell r="B479" t="str">
            <v>0358</v>
          </cell>
          <cell r="C479" t="str">
            <v>03</v>
          </cell>
          <cell r="D479" t="str">
            <v>214</v>
          </cell>
          <cell r="E479" t="str">
            <v>JWL Sourcing Group, Inc</v>
          </cell>
          <cell r="F479" t="str">
            <v>MOOE</v>
          </cell>
          <cell r="J479" t="str">
            <v>MOOE</v>
          </cell>
          <cell r="M479" t="str">
            <v>Payment for fuel consumption for Jan 1-31, 2021</v>
          </cell>
          <cell r="X479" t="str">
            <v>0358</v>
          </cell>
          <cell r="Z479">
            <v>21452.09</v>
          </cell>
        </row>
        <row r="480">
          <cell r="B480" t="str">
            <v>0359</v>
          </cell>
          <cell r="C480" t="str">
            <v>03</v>
          </cell>
          <cell r="D480" t="str">
            <v>215</v>
          </cell>
          <cell r="E480" t="str">
            <v>A&amp;C Yelo Submarine Corp.</v>
          </cell>
          <cell r="F480" t="str">
            <v>MOOE</v>
          </cell>
          <cell r="J480" t="str">
            <v>MOOE</v>
          </cell>
          <cell r="M480" t="str">
            <v>Payment for drinking water for Feb 2021</v>
          </cell>
          <cell r="X480" t="str">
            <v>0359</v>
          </cell>
          <cell r="Z480">
            <v>2153.13</v>
          </cell>
        </row>
        <row r="481">
          <cell r="B481" t="str">
            <v>0360</v>
          </cell>
          <cell r="C481" t="str">
            <v>03</v>
          </cell>
          <cell r="D481" t="str">
            <v>216</v>
          </cell>
          <cell r="E481" t="str">
            <v>JRS Business Corporation</v>
          </cell>
          <cell r="F481" t="str">
            <v>MOOE</v>
          </cell>
          <cell r="J481" t="str">
            <v>MOOE</v>
          </cell>
          <cell r="M481" t="str">
            <v>Payment for courier services for the month of January 2021</v>
          </cell>
          <cell r="X481" t="str">
            <v>0360</v>
          </cell>
          <cell r="Z481">
            <v>5927.81</v>
          </cell>
        </row>
        <row r="482">
          <cell r="B482" t="str">
            <v>0361</v>
          </cell>
          <cell r="C482" t="str">
            <v>03</v>
          </cell>
          <cell r="D482" t="str">
            <v>217</v>
          </cell>
          <cell r="E482" t="str">
            <v>Busa Interbiz Center</v>
          </cell>
          <cell r="F482" t="str">
            <v>MOOE</v>
          </cell>
          <cell r="J482" t="str">
            <v>MOOE</v>
          </cell>
          <cell r="M482" t="str">
            <v>Payment for subscription expense- newspaper for the period February 2021</v>
          </cell>
          <cell r="X482" t="str">
            <v>0361</v>
          </cell>
          <cell r="Z482">
            <v>1192.32</v>
          </cell>
        </row>
        <row r="483">
          <cell r="B483" t="str">
            <v>0362</v>
          </cell>
          <cell r="C483" t="str">
            <v>03</v>
          </cell>
          <cell r="D483" t="str">
            <v>218</v>
          </cell>
          <cell r="E483" t="str">
            <v>D.O Plaza Holdings Corp.</v>
          </cell>
          <cell r="F483" t="str">
            <v>MOOE</v>
          </cell>
          <cell r="J483" t="str">
            <v>MOOE</v>
          </cell>
          <cell r="M483" t="str">
            <v>Payment for office rental for the month of March 2021.</v>
          </cell>
          <cell r="X483" t="str">
            <v>0362</v>
          </cell>
          <cell r="Z483">
            <v>155278.13</v>
          </cell>
        </row>
        <row r="484">
          <cell r="B484" t="str">
            <v>0363</v>
          </cell>
          <cell r="C484" t="str">
            <v>03</v>
          </cell>
          <cell r="D484" t="str">
            <v>233</v>
          </cell>
          <cell r="E484" t="str">
            <v>LBP, F/O DTI-RO</v>
          </cell>
          <cell r="F484" t="str">
            <v>PS</v>
          </cell>
          <cell r="J484" t="str">
            <v>PS</v>
          </cell>
          <cell r="M484" t="str">
            <v>Payment for salaries and allowances for regular employees for the month of March 2021</v>
          </cell>
          <cell r="X484" t="str">
            <v>0363</v>
          </cell>
          <cell r="Z484">
            <v>375596.07</v>
          </cell>
        </row>
        <row r="485">
          <cell r="B485" t="str">
            <v>0364</v>
          </cell>
          <cell r="C485" t="str">
            <v>03</v>
          </cell>
          <cell r="D485" t="str">
            <v>220</v>
          </cell>
          <cell r="E485" t="str">
            <v>LBP, F/O DTI-ADS</v>
          </cell>
          <cell r="F485" t="str">
            <v>PS</v>
          </cell>
          <cell r="J485" t="str">
            <v>PS</v>
          </cell>
          <cell r="M485" t="str">
            <v>Payment for salaries and allowances for regular employees for the month of March 2021</v>
          </cell>
          <cell r="X485" t="str">
            <v>0364</v>
          </cell>
          <cell r="Z485">
            <v>102762.6</v>
          </cell>
        </row>
        <row r="486">
          <cell r="B486" t="str">
            <v>0365</v>
          </cell>
          <cell r="C486" t="str">
            <v>03</v>
          </cell>
          <cell r="D486" t="str">
            <v>221</v>
          </cell>
          <cell r="E486" t="str">
            <v>LBP, F/O DTI-SDS</v>
          </cell>
          <cell r="F486" t="str">
            <v>PS</v>
          </cell>
          <cell r="J486" t="str">
            <v>PS</v>
          </cell>
          <cell r="M486" t="str">
            <v>Payment for salaries and allowances for regular employees for the month of March 2021</v>
          </cell>
          <cell r="X486" t="str">
            <v>0365</v>
          </cell>
          <cell r="Z486">
            <v>146482.78</v>
          </cell>
        </row>
        <row r="487">
          <cell r="B487" t="str">
            <v>0366</v>
          </cell>
          <cell r="C487" t="str">
            <v>03</v>
          </cell>
          <cell r="D487" t="str">
            <v>222</v>
          </cell>
          <cell r="E487" t="str">
            <v>LBP, F/O DTI-PDI</v>
          </cell>
          <cell r="F487" t="str">
            <v>PS</v>
          </cell>
          <cell r="J487" t="str">
            <v>PS</v>
          </cell>
          <cell r="M487" t="str">
            <v>Payment for salaries and allowances for regular employees for the month of March 2021</v>
          </cell>
          <cell r="X487" t="str">
            <v>0366</v>
          </cell>
          <cell r="Z487">
            <v>93042.81</v>
          </cell>
        </row>
        <row r="488">
          <cell r="B488" t="str">
            <v>0367</v>
          </cell>
          <cell r="C488" t="str">
            <v>03</v>
          </cell>
          <cell r="D488" t="str">
            <v>223</v>
          </cell>
          <cell r="E488" t="str">
            <v>Jumar H. Llorente</v>
          </cell>
          <cell r="F488" t="str">
            <v>PS</v>
          </cell>
          <cell r="J488" t="str">
            <v>SAA</v>
          </cell>
          <cell r="K488" t="str">
            <v>CARP</v>
          </cell>
          <cell r="M488" t="str">
            <v>Payment for salaries and allowances for CARP employees for the month of March 2021</v>
          </cell>
          <cell r="X488" t="str">
            <v>0367</v>
          </cell>
          <cell r="Z488">
            <v>14239.18</v>
          </cell>
        </row>
        <row r="489">
          <cell r="B489" t="str">
            <v>0368</v>
          </cell>
          <cell r="C489" t="str">
            <v>03</v>
          </cell>
          <cell r="D489" t="str">
            <v>224</v>
          </cell>
          <cell r="E489" t="str">
            <v>Joselito B. Paler</v>
          </cell>
          <cell r="F489" t="str">
            <v>PS</v>
          </cell>
          <cell r="J489" t="str">
            <v>SAA</v>
          </cell>
          <cell r="K489" t="str">
            <v>CARP</v>
          </cell>
          <cell r="M489" t="str">
            <v>Payment for salaries and allowances for CARP employees for the month of March 2021</v>
          </cell>
          <cell r="X489" t="str">
            <v>0368</v>
          </cell>
          <cell r="Z489">
            <v>14057.01</v>
          </cell>
        </row>
        <row r="490">
          <cell r="B490" t="str">
            <v>0369</v>
          </cell>
          <cell r="C490" t="str">
            <v>03</v>
          </cell>
          <cell r="D490" t="str">
            <v>035</v>
          </cell>
          <cell r="E490" t="str">
            <v>LBP, FO DTI-SDS</v>
          </cell>
          <cell r="F490" t="str">
            <v>PS</v>
          </cell>
          <cell r="J490" t="str">
            <v>SAA</v>
          </cell>
          <cell r="K490" t="str">
            <v>CARP</v>
          </cell>
          <cell r="M490" t="str">
            <v>Payment for salaries and allowances for CARP employees for the month of March 2021</v>
          </cell>
          <cell r="X490" t="str">
            <v>0369</v>
          </cell>
          <cell r="Z490">
            <v>29322.880000000001</v>
          </cell>
        </row>
        <row r="491">
          <cell r="B491" t="str">
            <v>0370</v>
          </cell>
          <cell r="C491" t="str">
            <v>03</v>
          </cell>
          <cell r="D491" t="str">
            <v>226</v>
          </cell>
          <cell r="E491" t="str">
            <v>Lemuel D. Roboca</v>
          </cell>
          <cell r="F491" t="str">
            <v>PS</v>
          </cell>
          <cell r="J491" t="str">
            <v>SAA</v>
          </cell>
          <cell r="K491" t="str">
            <v>CARP</v>
          </cell>
          <cell r="M491" t="str">
            <v>Payment for salaries and allowances for CARP employees for the month of March 2021</v>
          </cell>
          <cell r="X491" t="str">
            <v>0370</v>
          </cell>
          <cell r="Z491">
            <v>14929.19</v>
          </cell>
        </row>
        <row r="492">
          <cell r="B492" t="str">
            <v>0371</v>
          </cell>
          <cell r="C492" t="str">
            <v>03</v>
          </cell>
          <cell r="D492" t="str">
            <v>227</v>
          </cell>
          <cell r="E492" t="str">
            <v>Loida C. Gumahin</v>
          </cell>
          <cell r="F492" t="str">
            <v>PS</v>
          </cell>
          <cell r="J492" t="str">
            <v>SAA</v>
          </cell>
          <cell r="K492" t="str">
            <v>NC</v>
          </cell>
          <cell r="M492" t="str">
            <v>Payment for salaries and allowances for NC Staff for the month of March 2021</v>
          </cell>
          <cell r="X492" t="str">
            <v>0371</v>
          </cell>
          <cell r="Z492">
            <v>9059.9599999999991</v>
          </cell>
        </row>
        <row r="493">
          <cell r="B493" t="str">
            <v>0372</v>
          </cell>
          <cell r="C493" t="str">
            <v>03</v>
          </cell>
          <cell r="D493" t="str">
            <v>228</v>
          </cell>
          <cell r="E493" t="str">
            <v>Rezel May C. Goloran</v>
          </cell>
          <cell r="F493" t="str">
            <v>PS</v>
          </cell>
          <cell r="J493" t="str">
            <v>SAA</v>
          </cell>
          <cell r="K493" t="str">
            <v>NC</v>
          </cell>
          <cell r="M493" t="str">
            <v>Payment for salaries and allowances for NC Staff for the month of March 2021</v>
          </cell>
          <cell r="X493" t="str">
            <v>0372</v>
          </cell>
          <cell r="Z493">
            <v>11559.96</v>
          </cell>
        </row>
        <row r="494">
          <cell r="B494" t="str">
            <v>0373</v>
          </cell>
          <cell r="C494" t="str">
            <v>03</v>
          </cell>
          <cell r="D494" t="str">
            <v>230</v>
          </cell>
          <cell r="E494" t="str">
            <v>Olimar O. Sulapas</v>
          </cell>
          <cell r="F494" t="str">
            <v>PS</v>
          </cell>
          <cell r="J494" t="str">
            <v>SAA</v>
          </cell>
          <cell r="K494" t="str">
            <v>NC</v>
          </cell>
          <cell r="M494" t="str">
            <v>Payment for salaries and allowances for NC Staff for the month of March 2021</v>
          </cell>
          <cell r="X494" t="str">
            <v>0373</v>
          </cell>
          <cell r="Z494">
            <v>11559.96</v>
          </cell>
        </row>
        <row r="495">
          <cell r="B495" t="str">
            <v>0374</v>
          </cell>
          <cell r="C495" t="str">
            <v>03</v>
          </cell>
          <cell r="D495" t="str">
            <v>231</v>
          </cell>
          <cell r="E495" t="str">
            <v>Cresal Grace C. Malabanan</v>
          </cell>
          <cell r="F495" t="str">
            <v>PS</v>
          </cell>
          <cell r="J495" t="str">
            <v>SAA</v>
          </cell>
          <cell r="K495" t="str">
            <v>NC</v>
          </cell>
          <cell r="M495" t="str">
            <v>Payment for salaries and allowances for NC Staff for the month of Feb2021</v>
          </cell>
          <cell r="X495" t="str">
            <v>0374</v>
          </cell>
          <cell r="Z495">
            <v>22949.919999999998</v>
          </cell>
        </row>
        <row r="496">
          <cell r="B496" t="str">
            <v>0375</v>
          </cell>
          <cell r="C496" t="str">
            <v>03</v>
          </cell>
          <cell r="D496" t="str">
            <v>229</v>
          </cell>
          <cell r="E496" t="str">
            <v>Carl Mars P. Ravelo</v>
          </cell>
          <cell r="F496" t="str">
            <v>PS</v>
          </cell>
          <cell r="J496" t="str">
            <v>SAA</v>
          </cell>
          <cell r="K496" t="str">
            <v>NC</v>
          </cell>
          <cell r="M496" t="str">
            <v>Payment for salaries and allowances for NC Staff for the month of March 2021</v>
          </cell>
          <cell r="X496" t="str">
            <v>0375</v>
          </cell>
          <cell r="Z496">
            <v>11559.96</v>
          </cell>
        </row>
        <row r="497">
          <cell r="B497" t="str">
            <v>0376</v>
          </cell>
          <cell r="C497" t="str">
            <v>03</v>
          </cell>
          <cell r="D497" t="str">
            <v>232</v>
          </cell>
          <cell r="E497" t="str">
            <v>Cresal Grace C. Malabanan</v>
          </cell>
          <cell r="F497" t="str">
            <v>PS</v>
          </cell>
          <cell r="J497" t="str">
            <v>SAA</v>
          </cell>
          <cell r="K497" t="str">
            <v>NC</v>
          </cell>
          <cell r="M497" t="str">
            <v>Payment for salaries and allowances for NC Staff for the month of March 2021</v>
          </cell>
          <cell r="X497" t="str">
            <v>0376</v>
          </cell>
          <cell r="Z497">
            <v>11559.96</v>
          </cell>
        </row>
        <row r="498">
          <cell r="B498" t="str">
            <v>0377</v>
          </cell>
          <cell r="C498" t="str">
            <v>03</v>
          </cell>
          <cell r="D498" t="str">
            <v>234</v>
          </cell>
          <cell r="E498" t="str">
            <v>LBP, FO DTI-SDN</v>
          </cell>
          <cell r="F498" t="str">
            <v>PS</v>
          </cell>
          <cell r="J498" t="str">
            <v>PS</v>
          </cell>
          <cell r="M498" t="str">
            <v>Payment for salaries and allowances for regular employees for the month of March 2021</v>
          </cell>
          <cell r="X498" t="str">
            <v>0377</v>
          </cell>
          <cell r="Z498">
            <v>82889.61</v>
          </cell>
        </row>
        <row r="499">
          <cell r="B499" t="str">
            <v>0378</v>
          </cell>
          <cell r="C499" t="str">
            <v>03</v>
          </cell>
          <cell r="D499" t="str">
            <v>235</v>
          </cell>
          <cell r="E499" t="str">
            <v>Ma. Malen B. Catamora</v>
          </cell>
          <cell r="F499" t="str">
            <v>PS</v>
          </cell>
          <cell r="J499" t="str">
            <v>SAA</v>
          </cell>
          <cell r="K499" t="str">
            <v>CARP</v>
          </cell>
          <cell r="M499" t="str">
            <v>Payment for salaries and allowances for CARP employees for the month of March 2021</v>
          </cell>
          <cell r="X499" t="str">
            <v>0378</v>
          </cell>
          <cell r="Z499">
            <v>8884.1799999999894</v>
          </cell>
        </row>
        <row r="500">
          <cell r="B500" t="str">
            <v>0379</v>
          </cell>
          <cell r="C500" t="str">
            <v>03</v>
          </cell>
          <cell r="D500" t="str">
            <v>211</v>
          </cell>
          <cell r="E500" t="str">
            <v>Mercado's Sudlanan ATBP</v>
          </cell>
          <cell r="F500" t="str">
            <v>MOOE</v>
          </cell>
          <cell r="J500" t="str">
            <v>MOOE</v>
          </cell>
          <cell r="M500" t="str">
            <v>Payment for the customized 2021 planner</v>
          </cell>
          <cell r="X500" t="str">
            <v>0379</v>
          </cell>
          <cell r="Z500">
            <v>37620</v>
          </cell>
        </row>
        <row r="501">
          <cell r="B501" t="str">
            <v>0380</v>
          </cell>
          <cell r="C501" t="str">
            <v>03</v>
          </cell>
          <cell r="D501" t="str">
            <v>210</v>
          </cell>
          <cell r="E501" t="str">
            <v>Royelen B.Taala</v>
          </cell>
          <cell r="F501" t="str">
            <v>MOOE</v>
          </cell>
          <cell r="J501" t="str">
            <v>MOOE</v>
          </cell>
          <cell r="M501" t="str">
            <v>Reimbursement for the payment of tokens (prepaid loadcards) for the IDD Functional Team 1st quarter meeting on January 26, 2021</v>
          </cell>
          <cell r="X501" t="str">
            <v>0380</v>
          </cell>
          <cell r="Z501">
            <v>1800</v>
          </cell>
        </row>
        <row r="502">
          <cell r="B502" t="str">
            <v>0381</v>
          </cell>
          <cell r="C502" t="str">
            <v>03</v>
          </cell>
          <cell r="D502" t="str">
            <v>219</v>
          </cell>
          <cell r="E502" t="str">
            <v>Mike Ariel P. Plaza</v>
          </cell>
          <cell r="F502" t="str">
            <v>MOOE</v>
          </cell>
          <cell r="J502" t="str">
            <v>MOOE</v>
          </cell>
          <cell r="M502" t="str">
            <v>Payment for the food and non food products featured in the 2020 DTI Pasalove Youtube Project</v>
          </cell>
          <cell r="X502" t="str">
            <v>0381</v>
          </cell>
          <cell r="Z502">
            <v>7635</v>
          </cell>
        </row>
        <row r="503">
          <cell r="B503" t="str">
            <v>0382</v>
          </cell>
          <cell r="C503" t="str">
            <v>03</v>
          </cell>
          <cell r="D503" t="str">
            <v>236</v>
          </cell>
          <cell r="E503" t="str">
            <v>Rezel May C. Goloran</v>
          </cell>
          <cell r="F503" t="str">
            <v>PS</v>
          </cell>
          <cell r="J503" t="str">
            <v>PS</v>
          </cell>
          <cell r="M503" t="str">
            <v>Payment for salaries and allowances for NC Staff for the month of February 2021</v>
          </cell>
          <cell r="X503" t="str">
            <v>0382</v>
          </cell>
          <cell r="Z503">
            <v>11559.96</v>
          </cell>
        </row>
        <row r="504">
          <cell r="B504" t="str">
            <v>0383</v>
          </cell>
          <cell r="C504" t="str">
            <v>03</v>
          </cell>
          <cell r="D504" t="str">
            <v>240</v>
          </cell>
          <cell r="E504" t="str">
            <v>Elyn Rose A. Ranario</v>
          </cell>
          <cell r="F504" t="str">
            <v>PS</v>
          </cell>
          <cell r="J504" t="str">
            <v>PS</v>
          </cell>
          <cell r="M504" t="str">
            <v>Payment for salaries and allowances for NC Staff for the month of March 2021</v>
          </cell>
          <cell r="X504" t="str">
            <v>0383</v>
          </cell>
          <cell r="Z504">
            <v>11559.96</v>
          </cell>
        </row>
        <row r="505">
          <cell r="B505" t="str">
            <v>0384</v>
          </cell>
          <cell r="C505" t="str">
            <v>03</v>
          </cell>
          <cell r="D505" t="str">
            <v>241</v>
          </cell>
          <cell r="E505" t="str">
            <v>LBP F/O DTI-AND</v>
          </cell>
          <cell r="F505" t="str">
            <v>PS</v>
          </cell>
          <cell r="J505" t="str">
            <v>SAA</v>
          </cell>
          <cell r="K505" t="str">
            <v>CARP</v>
          </cell>
          <cell r="M505" t="str">
            <v>Payment for salaries and allowances for CARP employees for the month of March 2021</v>
          </cell>
          <cell r="X505" t="str">
            <v>0384</v>
          </cell>
          <cell r="Z505">
            <v>26940.44</v>
          </cell>
        </row>
        <row r="506">
          <cell r="B506" t="str">
            <v>0385</v>
          </cell>
          <cell r="C506" t="str">
            <v>03</v>
          </cell>
          <cell r="D506" t="str">
            <v>242</v>
          </cell>
          <cell r="E506" t="str">
            <v>LBP F/O DTI-AND</v>
          </cell>
          <cell r="F506" t="str">
            <v>PS</v>
          </cell>
          <cell r="J506" t="str">
            <v>ps</v>
          </cell>
          <cell r="M506" t="str">
            <v>Payment for salaries and allowances for regular employees for the month of March 2021</v>
          </cell>
          <cell r="X506" t="str">
            <v>0385</v>
          </cell>
          <cell r="Z506">
            <v>100622.32</v>
          </cell>
        </row>
        <row r="507">
          <cell r="B507" t="str">
            <v>0386</v>
          </cell>
          <cell r="C507" t="str">
            <v>03</v>
          </cell>
          <cell r="D507" t="str">
            <v>237</v>
          </cell>
          <cell r="E507" t="str">
            <v>JMN Multimedia Sales and Services</v>
          </cell>
          <cell r="F507" t="str">
            <v>MOOE</v>
          </cell>
          <cell r="J507" t="str">
            <v>MOOE</v>
          </cell>
          <cell r="M507" t="str">
            <v>Payment for load allowance for CPD use- 1st quarter 2021</v>
          </cell>
          <cell r="X507" t="str">
            <v>0386</v>
          </cell>
          <cell r="Z507">
            <v>1908</v>
          </cell>
        </row>
        <row r="508">
          <cell r="B508" t="str">
            <v>0387</v>
          </cell>
          <cell r="C508" t="str">
            <v>03</v>
          </cell>
          <cell r="D508" t="str">
            <v>238</v>
          </cell>
          <cell r="E508" t="str">
            <v>JMN Multimedia Sales and Services</v>
          </cell>
          <cell r="F508" t="str">
            <v>MOOE</v>
          </cell>
          <cell r="J508" t="str">
            <v>MOOE</v>
          </cell>
          <cell r="M508" t="str">
            <v>Payment for prepaid load cards for ORD Load allowance for Director use.</v>
          </cell>
          <cell r="X508" t="str">
            <v>0387</v>
          </cell>
          <cell r="Z508">
            <v>1272</v>
          </cell>
        </row>
        <row r="509">
          <cell r="B509" t="str">
            <v>0388</v>
          </cell>
          <cell r="C509" t="str">
            <v>03</v>
          </cell>
          <cell r="D509" t="str">
            <v>239</v>
          </cell>
          <cell r="E509" t="str">
            <v>Procurement Service</v>
          </cell>
          <cell r="F509" t="str">
            <v>MOOE</v>
          </cell>
          <cell r="J509" t="str">
            <v>MOOE</v>
          </cell>
          <cell r="M509" t="str">
            <v>Payment for CPD 1st quarter 2021 office supplies</v>
          </cell>
          <cell r="X509" t="str">
            <v>0388</v>
          </cell>
          <cell r="Z509">
            <v>1651.12</v>
          </cell>
        </row>
        <row r="510">
          <cell r="B510" t="str">
            <v>0389</v>
          </cell>
          <cell r="C510" t="str">
            <v>03</v>
          </cell>
          <cell r="D510" t="str">
            <v>244</v>
          </cell>
          <cell r="E510" t="str">
            <v>Ermak Trading</v>
          </cell>
          <cell r="F510" t="str">
            <v>MOOE</v>
          </cell>
          <cell r="J510" t="str">
            <v>MOOE</v>
          </cell>
          <cell r="M510" t="str">
            <v>Payment for vehicle tires for DTI Caraga MV Maiintenance</v>
          </cell>
          <cell r="X510" t="str">
            <v>0389</v>
          </cell>
          <cell r="Z510">
            <v>20821.43</v>
          </cell>
        </row>
        <row r="511">
          <cell r="B511" t="str">
            <v>0390</v>
          </cell>
          <cell r="C511" t="str">
            <v>03</v>
          </cell>
          <cell r="D511" t="str">
            <v>250</v>
          </cell>
          <cell r="E511" t="str">
            <v>OIC, DTI-ADS</v>
          </cell>
          <cell r="F511" t="str">
            <v>MOOE</v>
          </cell>
          <cell r="J511" t="str">
            <v>MOOE</v>
          </cell>
          <cell r="M511" t="str">
            <v>Advances to the SSF MOOE - 1st Quarter 2021</v>
          </cell>
          <cell r="X511" t="str">
            <v>0390</v>
          </cell>
          <cell r="Z511">
            <v>94707.14</v>
          </cell>
        </row>
        <row r="512">
          <cell r="B512" t="str">
            <v>0391</v>
          </cell>
          <cell r="C512" t="str">
            <v>03</v>
          </cell>
          <cell r="D512" t="str">
            <v>247</v>
          </cell>
          <cell r="E512" t="str">
            <v>PD, DTI-PDI</v>
          </cell>
          <cell r="F512" t="str">
            <v>MOOE</v>
          </cell>
          <cell r="J512" t="str">
            <v>MOOE</v>
          </cell>
          <cell r="M512" t="str">
            <v>Fund Transfer for LSP-NSB Implementation for the 1st quarter 2021</v>
          </cell>
          <cell r="X512" t="str">
            <v>0391</v>
          </cell>
          <cell r="Z512">
            <v>640000</v>
          </cell>
        </row>
        <row r="513">
          <cell r="B513" t="str">
            <v>0392</v>
          </cell>
          <cell r="C513" t="str">
            <v>03</v>
          </cell>
          <cell r="D513" t="str">
            <v>248</v>
          </cell>
          <cell r="E513" t="str">
            <v>PD, DTI-ADN</v>
          </cell>
          <cell r="F513" t="str">
            <v>MOOE</v>
          </cell>
          <cell r="J513" t="str">
            <v>MOOE</v>
          </cell>
          <cell r="M513" t="str">
            <v>Transfer of funds to cover implementation of CPD activities for 1st Quarter Budget 2021</v>
          </cell>
          <cell r="X513" t="str">
            <v>0392</v>
          </cell>
          <cell r="Z513">
            <v>160000</v>
          </cell>
        </row>
        <row r="514">
          <cell r="B514" t="str">
            <v>0393</v>
          </cell>
          <cell r="C514" t="str">
            <v>03</v>
          </cell>
          <cell r="D514" t="str">
            <v>249</v>
          </cell>
          <cell r="E514" t="str">
            <v>PD, DTI-ADN</v>
          </cell>
          <cell r="F514" t="str">
            <v>MOOE</v>
          </cell>
          <cell r="J514" t="str">
            <v>MOOE</v>
          </cell>
          <cell r="M514" t="str">
            <v>Fund Transfer for DTI-CARP implementation for Q1 2021</v>
          </cell>
          <cell r="X514" t="str">
            <v>0393</v>
          </cell>
          <cell r="Z514">
            <v>119634</v>
          </cell>
        </row>
        <row r="515">
          <cell r="B515" t="str">
            <v>0394</v>
          </cell>
          <cell r="C515" t="str">
            <v>03</v>
          </cell>
          <cell r="D515" t="str">
            <v>256</v>
          </cell>
          <cell r="E515" t="str">
            <v>LBP F/O DTI-ADN</v>
          </cell>
          <cell r="F515" t="str">
            <v>PS</v>
          </cell>
          <cell r="J515" t="str">
            <v>PS</v>
          </cell>
          <cell r="M515" t="str">
            <v>Payment for regular employees' clothing allowance for CY2021</v>
          </cell>
          <cell r="X515" t="str">
            <v>0394</v>
          </cell>
          <cell r="Z515">
            <v>60000</v>
          </cell>
        </row>
        <row r="516">
          <cell r="B516" t="str">
            <v>0395</v>
          </cell>
          <cell r="C516" t="str">
            <v>03</v>
          </cell>
          <cell r="D516" t="str">
            <v>257</v>
          </cell>
          <cell r="E516" t="str">
            <v>LBP F/O DTI-ADS</v>
          </cell>
          <cell r="F516" t="str">
            <v>PS</v>
          </cell>
          <cell r="J516" t="str">
            <v>PS</v>
          </cell>
          <cell r="M516" t="str">
            <v>Payment for regular employees' clothing allowance for CY2021</v>
          </cell>
          <cell r="X516" t="str">
            <v>0395</v>
          </cell>
          <cell r="Z516">
            <v>60000</v>
          </cell>
        </row>
        <row r="517">
          <cell r="B517" t="str">
            <v>0396</v>
          </cell>
          <cell r="C517" t="str">
            <v>03</v>
          </cell>
          <cell r="D517" t="str">
            <v>258</v>
          </cell>
          <cell r="E517" t="str">
            <v>LBP F/O DTI-SDN</v>
          </cell>
          <cell r="F517" t="str">
            <v>PS</v>
          </cell>
          <cell r="J517" t="str">
            <v>PS</v>
          </cell>
          <cell r="M517" t="str">
            <v>Payment for regular employees' clothing allowance for CY2021</v>
          </cell>
          <cell r="X517" t="str">
            <v>0396</v>
          </cell>
          <cell r="Z517">
            <v>66000</v>
          </cell>
        </row>
        <row r="518">
          <cell r="B518" t="str">
            <v>0397</v>
          </cell>
          <cell r="C518" t="str">
            <v>03</v>
          </cell>
          <cell r="D518" t="str">
            <v>259</v>
          </cell>
          <cell r="E518" t="str">
            <v>LBP F/O DTI-SDS</v>
          </cell>
          <cell r="F518" t="str">
            <v>PS</v>
          </cell>
          <cell r="J518" t="str">
            <v>PS</v>
          </cell>
          <cell r="M518" t="str">
            <v>Payment for regular employees' clothing allowance for CY2021</v>
          </cell>
          <cell r="X518" t="str">
            <v>0397</v>
          </cell>
          <cell r="Z518">
            <v>72000</v>
          </cell>
        </row>
        <row r="519">
          <cell r="B519" t="str">
            <v>0398</v>
          </cell>
          <cell r="C519" t="str">
            <v>03</v>
          </cell>
          <cell r="D519" t="str">
            <v>260</v>
          </cell>
          <cell r="E519" t="str">
            <v>LBP F/O DTI-PDI</v>
          </cell>
          <cell r="F519" t="str">
            <v>PS</v>
          </cell>
          <cell r="J519" t="str">
            <v>PS</v>
          </cell>
          <cell r="M519" t="str">
            <v>Payment for regular employees' clothing allowance for CY2021</v>
          </cell>
          <cell r="X519" t="str">
            <v>0398</v>
          </cell>
          <cell r="Z519">
            <v>48000</v>
          </cell>
        </row>
        <row r="520">
          <cell r="B520" t="str">
            <v>0399</v>
          </cell>
          <cell r="C520" t="str">
            <v>03</v>
          </cell>
          <cell r="D520" t="str">
            <v>245</v>
          </cell>
          <cell r="E520" t="str">
            <v>CSC TRAINING FUND</v>
          </cell>
          <cell r="F520" t="str">
            <v>MOOE</v>
          </cell>
          <cell r="J520" t="str">
            <v>MOOE</v>
          </cell>
          <cell r="M520" t="str">
            <v>Payment of Registration Fee for the "Public Service Values in Times of Adversities" on June 8, 10, 15, 17, 22 and 24, 2021</v>
          </cell>
          <cell r="X520" t="str">
            <v>0399</v>
          </cell>
          <cell r="Z520">
            <v>14000</v>
          </cell>
        </row>
        <row r="521">
          <cell r="B521" t="str">
            <v>0400</v>
          </cell>
          <cell r="C521" t="str">
            <v>03</v>
          </cell>
          <cell r="D521" t="str">
            <v>255</v>
          </cell>
          <cell r="E521" t="str">
            <v>LBP F/O DTI-RO</v>
          </cell>
          <cell r="F521" t="str">
            <v>PS</v>
          </cell>
          <cell r="J521" t="str">
            <v>PS</v>
          </cell>
          <cell r="M521" t="str">
            <v>Payment for regular employees' clothing allowance for CY2021</v>
          </cell>
          <cell r="X521" t="str">
            <v>0400</v>
          </cell>
          <cell r="Z521">
            <v>216000</v>
          </cell>
        </row>
        <row r="522">
          <cell r="B522" t="str">
            <v>0401</v>
          </cell>
          <cell r="C522" t="str">
            <v>03</v>
          </cell>
          <cell r="E522" t="str">
            <v>Gideon B. Ursos</v>
          </cell>
          <cell r="F522" t="str">
            <v>PS</v>
          </cell>
          <cell r="J522" t="str">
            <v>PS</v>
          </cell>
          <cell r="L522">
            <v>2246.61</v>
          </cell>
          <cell r="M522" t="str">
            <v>Refund, GSIS-conso loan from Marc 2021 payrol</v>
          </cell>
          <cell r="X522" t="str">
            <v>0401</v>
          </cell>
          <cell r="Z522">
            <v>2246.61</v>
          </cell>
        </row>
        <row r="523">
          <cell r="B523" t="str">
            <v>0402</v>
          </cell>
          <cell r="C523" t="str">
            <v>03</v>
          </cell>
          <cell r="D523" t="str">
            <v>233</v>
          </cell>
          <cell r="E523" t="str">
            <v>HDMF-Butuan City</v>
          </cell>
          <cell r="F523" t="str">
            <v>PS</v>
          </cell>
          <cell r="J523" t="str">
            <v>PS</v>
          </cell>
          <cell r="L523">
            <v>68962.55</v>
          </cell>
          <cell r="M523" t="str">
            <v>Remittance for HDMF premiums and loans payment of regular employees for the month of March 2021</v>
          </cell>
          <cell r="X523" t="str">
            <v>0402</v>
          </cell>
          <cell r="Z523">
            <v>68962.55</v>
          </cell>
        </row>
        <row r="524">
          <cell r="B524" t="str">
            <v>0402</v>
          </cell>
          <cell r="C524" t="str">
            <v>03</v>
          </cell>
          <cell r="D524" t="str">
            <v>242</v>
          </cell>
          <cell r="E524" t="str">
            <v>HDMF-Butuan City</v>
          </cell>
          <cell r="F524" t="str">
            <v>PS</v>
          </cell>
          <cell r="J524" t="str">
            <v>PS</v>
          </cell>
          <cell r="L524">
            <v>25379.18</v>
          </cell>
          <cell r="M524" t="str">
            <v>Remittance for HDMF premiums and loans payment of regular employees for the month of March 2021</v>
          </cell>
          <cell r="X524" t="str">
            <v>0402</v>
          </cell>
          <cell r="Z524">
            <v>25379.18</v>
          </cell>
        </row>
        <row r="525">
          <cell r="B525" t="str">
            <v>0402</v>
          </cell>
          <cell r="C525" t="str">
            <v>03</v>
          </cell>
          <cell r="D525" t="str">
            <v>220</v>
          </cell>
          <cell r="E525" t="str">
            <v>HDMF-Butuan City</v>
          </cell>
          <cell r="F525" t="str">
            <v>PS</v>
          </cell>
          <cell r="J525" t="str">
            <v>PS</v>
          </cell>
          <cell r="L525">
            <v>35186.71</v>
          </cell>
          <cell r="M525" t="str">
            <v>Remittance for HDMF premiums and loans payment of regular employees for the month of March 2021</v>
          </cell>
          <cell r="X525" t="str">
            <v>0402</v>
          </cell>
          <cell r="Z525">
            <v>35186.71</v>
          </cell>
        </row>
        <row r="526">
          <cell r="B526" t="str">
            <v>0402</v>
          </cell>
          <cell r="C526" t="str">
            <v>03</v>
          </cell>
          <cell r="D526" t="str">
            <v>234</v>
          </cell>
          <cell r="E526" t="str">
            <v>HDMF-Butuan City</v>
          </cell>
          <cell r="F526" t="str">
            <v>PS</v>
          </cell>
          <cell r="J526" t="str">
            <v>PS</v>
          </cell>
          <cell r="L526">
            <v>26486.86</v>
          </cell>
          <cell r="M526" t="str">
            <v>Remittance for HDMF premiums and loans payment of regular employees for the month of March 2021</v>
          </cell>
          <cell r="X526" t="str">
            <v>0402</v>
          </cell>
          <cell r="Z526">
            <v>26486.86</v>
          </cell>
        </row>
        <row r="527">
          <cell r="B527" t="str">
            <v>0402</v>
          </cell>
          <cell r="C527" t="str">
            <v>03</v>
          </cell>
          <cell r="D527" t="str">
            <v>221</v>
          </cell>
          <cell r="E527" t="str">
            <v>HDMF-Butuan City</v>
          </cell>
          <cell r="F527" t="str">
            <v>PS</v>
          </cell>
          <cell r="J527" t="str">
            <v>PS</v>
          </cell>
          <cell r="L527">
            <v>28132.14</v>
          </cell>
          <cell r="M527" t="str">
            <v>Remittance for HDMF premiums and loans payment of regular employees for the month of March 2021</v>
          </cell>
          <cell r="X527" t="str">
            <v>0402</v>
          </cell>
          <cell r="Z527">
            <v>28132.14</v>
          </cell>
        </row>
        <row r="528">
          <cell r="B528" t="str">
            <v>0402</v>
          </cell>
          <cell r="C528" t="str">
            <v>03</v>
          </cell>
          <cell r="D528" t="str">
            <v>222</v>
          </cell>
          <cell r="E528" t="str">
            <v>HDMF-Butuan City</v>
          </cell>
          <cell r="F528" t="str">
            <v>PS</v>
          </cell>
          <cell r="J528" t="str">
            <v>PS</v>
          </cell>
          <cell r="L528">
            <v>6053.88</v>
          </cell>
          <cell r="M528" t="str">
            <v>Remittance for HDMF premiums and loans payment of regular employees for the month of March 2021</v>
          </cell>
          <cell r="X528" t="str">
            <v>0402</v>
          </cell>
          <cell r="Z528">
            <v>6053.88</v>
          </cell>
        </row>
        <row r="529">
          <cell r="B529" t="str">
            <v>0403</v>
          </cell>
          <cell r="C529" t="str">
            <v>03</v>
          </cell>
          <cell r="D529" t="str">
            <v>233</v>
          </cell>
          <cell r="E529" t="str">
            <v>PHIC-Butuan City</v>
          </cell>
          <cell r="F529" t="str">
            <v>PS</v>
          </cell>
          <cell r="J529" t="str">
            <v>PS</v>
          </cell>
          <cell r="L529">
            <v>44080.65</v>
          </cell>
          <cell r="M529" t="str">
            <v>Remittance for PHIC premiums and loans payment of regular employees for the month of March 2021</v>
          </cell>
          <cell r="X529" t="str">
            <v>0403</v>
          </cell>
          <cell r="Z529">
            <v>44080.65</v>
          </cell>
        </row>
        <row r="530">
          <cell r="B530" t="str">
            <v>0403</v>
          </cell>
          <cell r="C530" t="str">
            <v>03</v>
          </cell>
          <cell r="D530" t="str">
            <v>242</v>
          </cell>
          <cell r="E530" t="str">
            <v>PHIC-Butuan City</v>
          </cell>
          <cell r="F530" t="str">
            <v>PS</v>
          </cell>
          <cell r="J530" t="str">
            <v>PS</v>
          </cell>
          <cell r="L530">
            <v>13877.91</v>
          </cell>
          <cell r="M530" t="str">
            <v>Remittance for PHIC premiums and loans payment of regular employees for the month of March 2021</v>
          </cell>
          <cell r="X530" t="str">
            <v>0403</v>
          </cell>
          <cell r="Z530">
            <v>13877.91</v>
          </cell>
        </row>
        <row r="531">
          <cell r="B531" t="str">
            <v>0403</v>
          </cell>
          <cell r="C531" t="str">
            <v>03</v>
          </cell>
          <cell r="D531" t="str">
            <v>220</v>
          </cell>
          <cell r="E531" t="str">
            <v>PHIC-Butuan City</v>
          </cell>
          <cell r="F531" t="str">
            <v>PS</v>
          </cell>
          <cell r="J531" t="str">
            <v>PS</v>
          </cell>
          <cell r="L531">
            <v>10438.59</v>
          </cell>
          <cell r="M531" t="str">
            <v>Remittance for PHIC premiums and loans payment of regular employees for the month of March 2021</v>
          </cell>
          <cell r="X531" t="str">
            <v>0403</v>
          </cell>
          <cell r="Z531">
            <v>10438.59</v>
          </cell>
        </row>
        <row r="532">
          <cell r="B532" t="str">
            <v>0403</v>
          </cell>
          <cell r="C532" t="str">
            <v>03</v>
          </cell>
          <cell r="D532" t="str">
            <v>234</v>
          </cell>
          <cell r="E532" t="str">
            <v>PHIC-Butuan City</v>
          </cell>
          <cell r="F532" t="str">
            <v>PS</v>
          </cell>
          <cell r="J532" t="str">
            <v>PS</v>
          </cell>
          <cell r="L532">
            <v>11555.61</v>
          </cell>
          <cell r="M532" t="str">
            <v>Remittance for PHIC premiums and loans payment of regular employees for the month of March 2021</v>
          </cell>
          <cell r="X532" t="str">
            <v>0403</v>
          </cell>
          <cell r="Z532">
            <v>11555.61</v>
          </cell>
        </row>
        <row r="533">
          <cell r="B533" t="str">
            <v>0403</v>
          </cell>
          <cell r="C533" t="str">
            <v>03</v>
          </cell>
          <cell r="D533" t="str">
            <v>221</v>
          </cell>
          <cell r="E533" t="str">
            <v>PHIC-Butuan City</v>
          </cell>
          <cell r="F533" t="str">
            <v>PS</v>
          </cell>
          <cell r="J533" t="str">
            <v>PS</v>
          </cell>
          <cell r="L533">
            <v>15173.55</v>
          </cell>
          <cell r="M533" t="str">
            <v>Remittance for PHIC premiums and loans payment of regular employees for the month of March 2021</v>
          </cell>
          <cell r="X533" t="str">
            <v>0403</v>
          </cell>
          <cell r="Z533">
            <v>15173.55</v>
          </cell>
        </row>
        <row r="534">
          <cell r="B534" t="str">
            <v>0403</v>
          </cell>
          <cell r="C534" t="str">
            <v>03</v>
          </cell>
          <cell r="D534" t="str">
            <v>222</v>
          </cell>
          <cell r="E534" t="str">
            <v>PHIC-Butuan City</v>
          </cell>
          <cell r="F534" t="str">
            <v>PS</v>
          </cell>
          <cell r="J534" t="str">
            <v>PS</v>
          </cell>
          <cell r="L534">
            <v>8303.94</v>
          </cell>
          <cell r="M534" t="str">
            <v>Remittance for PHIC premiums and loans payment of regular employees for the month of March 2021</v>
          </cell>
          <cell r="X534" t="str">
            <v>0403</v>
          </cell>
          <cell r="Z534">
            <v>8303.94</v>
          </cell>
        </row>
        <row r="535">
          <cell r="B535" t="str">
            <v>0404</v>
          </cell>
          <cell r="C535" t="str">
            <v>03</v>
          </cell>
          <cell r="D535" t="str">
            <v>233</v>
          </cell>
          <cell r="E535" t="str">
            <v>DTI-Provident Fund</v>
          </cell>
          <cell r="F535" t="str">
            <v>PS</v>
          </cell>
          <cell r="J535" t="str">
            <v>PS</v>
          </cell>
          <cell r="L535">
            <v>23851.07</v>
          </cell>
          <cell r="M535" t="str">
            <v>Remittance for PF premiums and loans payment of regular employees for the month of March 2021</v>
          </cell>
          <cell r="X535" t="str">
            <v>0404</v>
          </cell>
          <cell r="Z535">
            <v>23851.07</v>
          </cell>
        </row>
        <row r="536">
          <cell r="B536" t="str">
            <v>0404</v>
          </cell>
          <cell r="C536" t="str">
            <v>03</v>
          </cell>
          <cell r="D536" t="str">
            <v>242</v>
          </cell>
          <cell r="E536" t="str">
            <v>DTI-Provident Fund</v>
          </cell>
          <cell r="F536" t="str">
            <v>PS</v>
          </cell>
          <cell r="J536" t="str">
            <v>PS</v>
          </cell>
          <cell r="L536">
            <v>14482.12</v>
          </cell>
          <cell r="M536" t="str">
            <v>Remittance for PF premiums and loans payment of regular employees for the month of March 2021</v>
          </cell>
          <cell r="X536" t="str">
            <v>0404</v>
          </cell>
          <cell r="Z536">
            <v>14482.12</v>
          </cell>
        </row>
        <row r="537">
          <cell r="B537" t="str">
            <v>0404</v>
          </cell>
          <cell r="C537" t="str">
            <v>03</v>
          </cell>
          <cell r="D537" t="str">
            <v>220</v>
          </cell>
          <cell r="E537" t="str">
            <v>DTI-Provident Fund</v>
          </cell>
          <cell r="F537" t="str">
            <v>PS</v>
          </cell>
          <cell r="J537" t="str">
            <v>PS</v>
          </cell>
          <cell r="L537">
            <v>2700</v>
          </cell>
          <cell r="M537" t="str">
            <v>Remittance for PF premiums and loans payment of regular employees for the month of March 2021</v>
          </cell>
          <cell r="X537" t="str">
            <v>0404</v>
          </cell>
          <cell r="Z537">
            <v>2700</v>
          </cell>
        </row>
        <row r="538">
          <cell r="B538" t="str">
            <v>0404</v>
          </cell>
          <cell r="C538" t="str">
            <v>03</v>
          </cell>
          <cell r="D538" t="str">
            <v>234</v>
          </cell>
          <cell r="E538" t="str">
            <v>DTI-Provident Fund</v>
          </cell>
          <cell r="F538" t="str">
            <v>PS</v>
          </cell>
          <cell r="J538" t="str">
            <v>PS</v>
          </cell>
          <cell r="L538">
            <v>2500</v>
          </cell>
          <cell r="M538" t="str">
            <v>Remittance for PF premiums and loans payment of regular employees for the month of March 2021</v>
          </cell>
          <cell r="X538" t="str">
            <v>0404</v>
          </cell>
          <cell r="Z538">
            <v>2500</v>
          </cell>
        </row>
        <row r="539">
          <cell r="B539" t="str">
            <v>0404</v>
          </cell>
          <cell r="C539" t="str">
            <v>03</v>
          </cell>
          <cell r="D539" t="str">
            <v>221</v>
          </cell>
          <cell r="E539" t="str">
            <v>DTI-Provident Fund</v>
          </cell>
          <cell r="F539" t="str">
            <v>PS</v>
          </cell>
          <cell r="J539" t="str">
            <v>PS</v>
          </cell>
          <cell r="L539">
            <v>3731.26</v>
          </cell>
          <cell r="M539" t="str">
            <v>Remittance for PF premiums and loans payment of regular employees for the month of March 2021</v>
          </cell>
          <cell r="X539" t="str">
            <v>0404</v>
          </cell>
          <cell r="Z539">
            <v>3731.26</v>
          </cell>
        </row>
        <row r="540">
          <cell r="B540" t="str">
            <v>0404</v>
          </cell>
          <cell r="C540" t="str">
            <v>03</v>
          </cell>
          <cell r="D540" t="str">
            <v>222</v>
          </cell>
          <cell r="E540" t="str">
            <v>DTI-Provident Fund</v>
          </cell>
          <cell r="F540" t="str">
            <v>PS</v>
          </cell>
          <cell r="J540" t="str">
            <v>PS</v>
          </cell>
          <cell r="L540">
            <v>2469.6</v>
          </cell>
          <cell r="M540" t="str">
            <v>Remittance for PF premiums and loans payment of regular employees for the month of March 2021</v>
          </cell>
          <cell r="X540" t="str">
            <v>0404</v>
          </cell>
          <cell r="Z540">
            <v>2469.6</v>
          </cell>
        </row>
        <row r="541">
          <cell r="B541" t="str">
            <v>0405</v>
          </cell>
          <cell r="C541" t="str">
            <v>03</v>
          </cell>
          <cell r="D541" t="str">
            <v>233</v>
          </cell>
          <cell r="E541" t="str">
            <v>DTI-MDBF</v>
          </cell>
          <cell r="F541" t="str">
            <v>PS</v>
          </cell>
          <cell r="J541" t="str">
            <v>PS</v>
          </cell>
          <cell r="L541">
            <v>1900</v>
          </cell>
          <cell r="M541" t="str">
            <v>Remittance for MDBF  premiums payment of regular employees for the month of March 2021</v>
          </cell>
          <cell r="X541" t="str">
            <v>0405</v>
          </cell>
          <cell r="Z541">
            <v>1900</v>
          </cell>
        </row>
        <row r="542">
          <cell r="B542" t="str">
            <v>0405</v>
          </cell>
          <cell r="C542" t="str">
            <v>03</v>
          </cell>
          <cell r="D542" t="str">
            <v>242</v>
          </cell>
          <cell r="E542" t="str">
            <v>DTI-MDBF</v>
          </cell>
          <cell r="F542" t="str">
            <v>PS</v>
          </cell>
          <cell r="J542" t="str">
            <v>PS</v>
          </cell>
          <cell r="L542">
            <v>300</v>
          </cell>
          <cell r="M542" t="str">
            <v>Remittance for MDBF  premiums payment of regular employees for the month of March 2021</v>
          </cell>
          <cell r="X542" t="str">
            <v>0405</v>
          </cell>
          <cell r="Z542">
            <v>300</v>
          </cell>
        </row>
        <row r="543">
          <cell r="B543" t="str">
            <v>0405</v>
          </cell>
          <cell r="C543" t="str">
            <v>03</v>
          </cell>
          <cell r="D543" t="str">
            <v>220</v>
          </cell>
          <cell r="E543" t="str">
            <v>DTI-MDBF</v>
          </cell>
          <cell r="F543" t="str">
            <v>PS</v>
          </cell>
          <cell r="J543" t="str">
            <v>PS</v>
          </cell>
          <cell r="L543">
            <v>500</v>
          </cell>
          <cell r="M543" t="str">
            <v>Remittance for MDBF  premiums payment of regular employees for the month of March 2021</v>
          </cell>
          <cell r="X543" t="str">
            <v>0405</v>
          </cell>
          <cell r="Z543">
            <v>500</v>
          </cell>
        </row>
        <row r="544">
          <cell r="B544" t="str">
            <v>0405</v>
          </cell>
          <cell r="C544" t="str">
            <v>03</v>
          </cell>
          <cell r="D544" t="str">
            <v>234</v>
          </cell>
          <cell r="E544" t="str">
            <v>DTI-MDBF</v>
          </cell>
          <cell r="F544" t="str">
            <v>PS</v>
          </cell>
          <cell r="J544" t="str">
            <v>PS</v>
          </cell>
          <cell r="L544">
            <v>550</v>
          </cell>
          <cell r="M544" t="str">
            <v>Remittance for MDBF  premiums payment of regular employees for the month of March 2021</v>
          </cell>
          <cell r="X544" t="str">
            <v>0405</v>
          </cell>
          <cell r="Z544">
            <v>550</v>
          </cell>
        </row>
        <row r="545">
          <cell r="B545" t="str">
            <v>0405</v>
          </cell>
          <cell r="C545" t="str">
            <v>03</v>
          </cell>
          <cell r="D545" t="str">
            <v>221</v>
          </cell>
          <cell r="E545" t="str">
            <v>DTI-MDBF</v>
          </cell>
          <cell r="F545" t="str">
            <v>PS</v>
          </cell>
          <cell r="J545" t="str">
            <v>PS</v>
          </cell>
          <cell r="L545">
            <v>100</v>
          </cell>
          <cell r="M545" t="str">
            <v>Remittance for MDBF  premiums payment of regular employees for the month of March 2021</v>
          </cell>
          <cell r="X545" t="str">
            <v>0405</v>
          </cell>
          <cell r="Z545">
            <v>100</v>
          </cell>
        </row>
        <row r="546">
          <cell r="B546" t="str">
            <v>0405</v>
          </cell>
          <cell r="C546" t="str">
            <v>03</v>
          </cell>
          <cell r="D546" t="str">
            <v>222</v>
          </cell>
          <cell r="E546" t="str">
            <v>DTI-MDBF</v>
          </cell>
          <cell r="F546" t="str">
            <v>PS</v>
          </cell>
          <cell r="J546" t="str">
            <v>PS</v>
          </cell>
          <cell r="L546">
            <v>400</v>
          </cell>
          <cell r="M546" t="str">
            <v>Remittance for MDBF  premiums payment of regular employees for the month of March 2021</v>
          </cell>
          <cell r="X546" t="str">
            <v>0405</v>
          </cell>
          <cell r="Z546">
            <v>400</v>
          </cell>
        </row>
        <row r="547">
          <cell r="B547" t="str">
            <v>0406</v>
          </cell>
          <cell r="C547" t="str">
            <v>03</v>
          </cell>
          <cell r="D547" t="str">
            <v>233</v>
          </cell>
          <cell r="E547" t="str">
            <v>DTI-Employees Union</v>
          </cell>
          <cell r="F547" t="str">
            <v>PS</v>
          </cell>
          <cell r="J547" t="str">
            <v>PS</v>
          </cell>
          <cell r="L547">
            <v>6934</v>
          </cell>
          <cell r="M547" t="str">
            <v>Remittance for HMO  premiums payment of regular employees for the month of March 2021</v>
          </cell>
          <cell r="X547" t="str">
            <v>0406</v>
          </cell>
          <cell r="Z547">
            <v>6934</v>
          </cell>
        </row>
        <row r="548">
          <cell r="B548" t="str">
            <v>0406</v>
          </cell>
          <cell r="C548" t="str">
            <v>03</v>
          </cell>
          <cell r="D548" t="str">
            <v>242</v>
          </cell>
          <cell r="E548" t="str">
            <v>DTI-Employees Union</v>
          </cell>
          <cell r="F548" t="str">
            <v>PS</v>
          </cell>
          <cell r="J548" t="str">
            <v>PS</v>
          </cell>
          <cell r="L548">
            <v>9890</v>
          </cell>
          <cell r="M548" t="str">
            <v>Remittance for HMO  premiums payment of regular employees for the month of March 2021</v>
          </cell>
          <cell r="X548" t="str">
            <v>0406</v>
          </cell>
          <cell r="Z548">
            <v>9890</v>
          </cell>
        </row>
        <row r="549">
          <cell r="B549" t="str">
            <v>0406</v>
          </cell>
          <cell r="C549" t="str">
            <v>03</v>
          </cell>
          <cell r="D549" t="str">
            <v>220</v>
          </cell>
          <cell r="E549" t="str">
            <v>DTI-Employees Union</v>
          </cell>
          <cell r="F549" t="str">
            <v>PS</v>
          </cell>
          <cell r="J549" t="str">
            <v>PS</v>
          </cell>
          <cell r="L549">
            <v>1989</v>
          </cell>
          <cell r="M549" t="str">
            <v>Remittance for HMO  premiums payment of regular employees for the month of March 2021</v>
          </cell>
          <cell r="X549" t="str">
            <v>0406</v>
          </cell>
          <cell r="Z549">
            <v>1989</v>
          </cell>
        </row>
        <row r="550">
          <cell r="B550" t="str">
            <v>0406</v>
          </cell>
          <cell r="C550" t="str">
            <v>03</v>
          </cell>
          <cell r="D550" t="str">
            <v>221</v>
          </cell>
          <cell r="E550" t="str">
            <v>DTI-Employees Union</v>
          </cell>
          <cell r="F550" t="str">
            <v>PS</v>
          </cell>
          <cell r="J550" t="str">
            <v>PS</v>
          </cell>
          <cell r="L550">
            <v>8627</v>
          </cell>
          <cell r="M550" t="str">
            <v>Remittance for HMO  premiums payment of regular employees for the month of March 2021</v>
          </cell>
          <cell r="X550" t="str">
            <v>0406</v>
          </cell>
          <cell r="Z550">
            <v>8627</v>
          </cell>
        </row>
        <row r="551">
          <cell r="B551" t="str">
            <v>0407</v>
          </cell>
          <cell r="C551" t="str">
            <v>03</v>
          </cell>
          <cell r="D551" t="str">
            <v>242</v>
          </cell>
          <cell r="E551" t="str">
            <v>DREAMCO</v>
          </cell>
          <cell r="F551" t="str">
            <v>PS</v>
          </cell>
          <cell r="J551" t="str">
            <v>PS</v>
          </cell>
          <cell r="L551">
            <v>21005.55</v>
          </cell>
          <cell r="M551" t="str">
            <v>Remittance for Coop deductions from PO's for the month of March, 2021</v>
          </cell>
          <cell r="X551" t="str">
            <v>0407</v>
          </cell>
          <cell r="Z551">
            <v>21005.55</v>
          </cell>
        </row>
        <row r="552">
          <cell r="B552" t="str">
            <v>0407</v>
          </cell>
          <cell r="C552" t="str">
            <v>03</v>
          </cell>
          <cell r="D552" t="str">
            <v>220</v>
          </cell>
          <cell r="E552" t="str">
            <v>DREAMCO</v>
          </cell>
          <cell r="F552" t="str">
            <v>PS</v>
          </cell>
          <cell r="J552" t="str">
            <v>PS</v>
          </cell>
          <cell r="L552">
            <v>13906.62</v>
          </cell>
          <cell r="M552" t="str">
            <v>Remittance for Coop deductions from PO's for the month of March, 2021</v>
          </cell>
          <cell r="X552" t="str">
            <v>0407</v>
          </cell>
          <cell r="Z552">
            <v>13906.62</v>
          </cell>
        </row>
        <row r="553">
          <cell r="B553" t="str">
            <v>0407</v>
          </cell>
          <cell r="C553" t="str">
            <v>03</v>
          </cell>
          <cell r="D553" t="str">
            <v>234</v>
          </cell>
          <cell r="E553" t="str">
            <v>DREAMCO</v>
          </cell>
          <cell r="F553" t="str">
            <v>PS</v>
          </cell>
          <cell r="J553" t="str">
            <v>PS</v>
          </cell>
          <cell r="L553">
            <v>45121</v>
          </cell>
          <cell r="M553" t="str">
            <v>Remittance for Coop deductions from PO's for the month of March, 2021</v>
          </cell>
          <cell r="X553" t="str">
            <v>0407</v>
          </cell>
          <cell r="Z553">
            <v>45121</v>
          </cell>
        </row>
        <row r="554">
          <cell r="B554" t="str">
            <v>0407</v>
          </cell>
          <cell r="C554" t="str">
            <v>03</v>
          </cell>
          <cell r="D554" t="str">
            <v>221</v>
          </cell>
          <cell r="E554" t="str">
            <v>DREAMCO</v>
          </cell>
          <cell r="F554" t="str">
            <v>PS</v>
          </cell>
          <cell r="J554" t="str">
            <v>PS</v>
          </cell>
          <cell r="L554">
            <v>6495</v>
          </cell>
          <cell r="M554" t="str">
            <v>Remittance for Coop deductions from PO's for the month of March, 2021</v>
          </cell>
          <cell r="X554" t="str">
            <v>0407</v>
          </cell>
          <cell r="Z554">
            <v>6495</v>
          </cell>
        </row>
        <row r="555">
          <cell r="B555" t="str">
            <v>0407</v>
          </cell>
          <cell r="C555" t="str">
            <v>03</v>
          </cell>
          <cell r="D555" t="str">
            <v>222</v>
          </cell>
          <cell r="E555" t="str">
            <v>DREAMCO</v>
          </cell>
          <cell r="F555" t="str">
            <v>PS</v>
          </cell>
          <cell r="J555" t="str">
            <v>PS</v>
          </cell>
          <cell r="L555">
            <v>14968.87</v>
          </cell>
          <cell r="M555" t="str">
            <v>Remittance for Coop deductions from PO's for the month of March, 2021</v>
          </cell>
          <cell r="X555" t="str">
            <v>0407</v>
          </cell>
          <cell r="Z555">
            <v>14968.87</v>
          </cell>
        </row>
        <row r="556">
          <cell r="B556" t="str">
            <v>0408</v>
          </cell>
          <cell r="C556" t="str">
            <v>03</v>
          </cell>
          <cell r="D556" t="str">
            <v>233</v>
          </cell>
          <cell r="E556" t="str">
            <v>GLAD MPC</v>
          </cell>
          <cell r="F556" t="str">
            <v>PS</v>
          </cell>
          <cell r="J556" t="str">
            <v>PS</v>
          </cell>
          <cell r="L556">
            <v>24041.84</v>
          </cell>
          <cell r="M556" t="str">
            <v>Remittance for Coop deductions from PO's for the month of March, 2021</v>
          </cell>
          <cell r="X556" t="str">
            <v>0408</v>
          </cell>
          <cell r="Z556">
            <v>24041.84</v>
          </cell>
        </row>
        <row r="557">
          <cell r="B557" t="str">
            <v>0408</v>
          </cell>
          <cell r="C557" t="str">
            <v>03</v>
          </cell>
          <cell r="D557" t="str">
            <v>242</v>
          </cell>
          <cell r="E557" t="str">
            <v>GLAD MPC</v>
          </cell>
          <cell r="F557" t="str">
            <v>PS</v>
          </cell>
          <cell r="J557" t="str">
            <v>PS</v>
          </cell>
          <cell r="L557">
            <v>39665.449999999997</v>
          </cell>
          <cell r="M557" t="str">
            <v>Remittance for Coop deductions from PO's for the month of March, 2021</v>
          </cell>
          <cell r="X557" t="str">
            <v>0408</v>
          </cell>
          <cell r="Z557">
            <v>39665.449999999997</v>
          </cell>
        </row>
        <row r="558">
          <cell r="B558" t="str">
            <v>0409</v>
          </cell>
          <cell r="C558" t="str">
            <v>03</v>
          </cell>
          <cell r="D558" t="str">
            <v>221</v>
          </cell>
          <cell r="E558" t="str">
            <v>SURE DEV'T COOPERATIVE</v>
          </cell>
          <cell r="F558" t="str">
            <v>PS</v>
          </cell>
          <cell r="J558" t="str">
            <v>PS</v>
          </cell>
          <cell r="L558">
            <v>37916.67</v>
          </cell>
          <cell r="M558" t="str">
            <v>Remittance for Coop deductions from PO's for the month of March, 2021</v>
          </cell>
          <cell r="X558" t="str">
            <v>0409</v>
          </cell>
          <cell r="Z558">
            <v>37916.67</v>
          </cell>
        </row>
        <row r="559">
          <cell r="B559" t="str">
            <v>0410</v>
          </cell>
          <cell r="C559" t="str">
            <v>03</v>
          </cell>
          <cell r="D559" t="str">
            <v>233</v>
          </cell>
          <cell r="E559" t="str">
            <v>Sunlife of Canada Phils. Inc</v>
          </cell>
          <cell r="F559" t="str">
            <v>PS</v>
          </cell>
          <cell r="J559" t="str">
            <v>PS</v>
          </cell>
          <cell r="L559">
            <v>602</v>
          </cell>
          <cell r="M559" t="str">
            <v>Remittance for insurance premium of Regular employees for the month of March, 2021</v>
          </cell>
          <cell r="X559" t="str">
            <v>0410</v>
          </cell>
          <cell r="Z559">
            <v>602</v>
          </cell>
        </row>
        <row r="560">
          <cell r="B560" t="str">
            <v>0410</v>
          </cell>
          <cell r="C560" t="str">
            <v>03</v>
          </cell>
          <cell r="D560" t="str">
            <v>222</v>
          </cell>
          <cell r="E560" t="str">
            <v>Sunlife of Canada Phils. Inc</v>
          </cell>
          <cell r="F560" t="str">
            <v>PS</v>
          </cell>
          <cell r="J560" t="str">
            <v>PS</v>
          </cell>
          <cell r="L560">
            <v>301</v>
          </cell>
          <cell r="M560" t="str">
            <v>Remittance for insurance premium of Regular employees for the month of March, 2021</v>
          </cell>
          <cell r="X560" t="str">
            <v>0410</v>
          </cell>
          <cell r="Z560">
            <v>301</v>
          </cell>
        </row>
        <row r="561">
          <cell r="B561" t="str">
            <v>0411</v>
          </cell>
          <cell r="C561" t="str">
            <v>03</v>
          </cell>
          <cell r="D561" t="str">
            <v>233</v>
          </cell>
          <cell r="E561" t="str">
            <v>Bureau of Treasury</v>
          </cell>
          <cell r="F561" t="str">
            <v>PS</v>
          </cell>
          <cell r="J561" t="str">
            <v>PS</v>
          </cell>
          <cell r="L561">
            <v>796.63</v>
          </cell>
          <cell r="M561" t="str">
            <v>Remittance for disallowances from regular employees for the month of March 2021</v>
          </cell>
          <cell r="X561" t="str">
            <v>0411</v>
          </cell>
          <cell r="Z561">
            <v>796.63</v>
          </cell>
        </row>
        <row r="562">
          <cell r="B562" t="str">
            <v>0411</v>
          </cell>
          <cell r="C562" t="str">
            <v>03</v>
          </cell>
          <cell r="D562" t="str">
            <v>221</v>
          </cell>
          <cell r="E562" t="str">
            <v>Bureau of Treasury</v>
          </cell>
          <cell r="F562" t="str">
            <v>PS</v>
          </cell>
          <cell r="J562" t="str">
            <v>PS</v>
          </cell>
          <cell r="L562">
            <v>2000</v>
          </cell>
          <cell r="M562" t="str">
            <v>Remittance for disallowances from regular employees for the month of March 2021</v>
          </cell>
          <cell r="X562" t="str">
            <v>0411</v>
          </cell>
          <cell r="Z562">
            <v>2000</v>
          </cell>
        </row>
        <row r="563">
          <cell r="B563" t="str">
            <v>0412</v>
          </cell>
          <cell r="C563" t="str">
            <v>03</v>
          </cell>
          <cell r="E563" t="str">
            <v>Maribel P. Timogan</v>
          </cell>
          <cell r="F563" t="str">
            <v>PS</v>
          </cell>
          <cell r="J563" t="str">
            <v>PS</v>
          </cell>
          <cell r="L563">
            <v>24.15</v>
          </cell>
          <cell r="M563" t="str">
            <v>Refund of over deduction of PHIC premium from initial salary Jan 2021</v>
          </cell>
          <cell r="X563" t="str">
            <v>0412</v>
          </cell>
          <cell r="Z563">
            <v>24.15</v>
          </cell>
        </row>
        <row r="564">
          <cell r="B564" t="str">
            <v>0413</v>
          </cell>
          <cell r="C564" t="str">
            <v>03</v>
          </cell>
          <cell r="D564" t="str">
            <v>073</v>
          </cell>
          <cell r="E564" t="str">
            <v>DREAMCO MPC</v>
          </cell>
          <cell r="F564" t="str">
            <v>PS</v>
          </cell>
          <cell r="J564" t="str">
            <v>PS</v>
          </cell>
          <cell r="L564">
            <v>21005.55</v>
          </cell>
          <cell r="M564" t="str">
            <v>Remittance for coop deductions from PO's for the month of Februar, 2021</v>
          </cell>
          <cell r="X564" t="str">
            <v>0413</v>
          </cell>
          <cell r="Z564">
            <v>21005.55</v>
          </cell>
        </row>
        <row r="565">
          <cell r="B565" t="str">
            <v>0413</v>
          </cell>
          <cell r="C565" t="str">
            <v>03</v>
          </cell>
          <cell r="D565" t="str">
            <v>074</v>
          </cell>
          <cell r="E565" t="str">
            <v>DREAMCO MPC</v>
          </cell>
          <cell r="F565" t="str">
            <v>PS</v>
          </cell>
          <cell r="J565" t="str">
            <v>PS</v>
          </cell>
          <cell r="L565">
            <v>12906.62</v>
          </cell>
          <cell r="M565" t="str">
            <v>Remittance for coop deductions from PO's for the month of Februar, 2021</v>
          </cell>
          <cell r="X565" t="str">
            <v>0413</v>
          </cell>
          <cell r="Z565">
            <v>12906.62</v>
          </cell>
        </row>
        <row r="566">
          <cell r="B566" t="str">
            <v>0413</v>
          </cell>
          <cell r="C566" t="str">
            <v>03</v>
          </cell>
          <cell r="D566" t="str">
            <v>075</v>
          </cell>
          <cell r="E566" t="str">
            <v>DREAMCO MPC</v>
          </cell>
          <cell r="F566" t="str">
            <v>PS</v>
          </cell>
          <cell r="J566" t="str">
            <v>PS</v>
          </cell>
          <cell r="L566">
            <v>45221</v>
          </cell>
          <cell r="M566" t="str">
            <v>Remittance for coop deductions from PO's for the month of Februar, 2021</v>
          </cell>
          <cell r="X566" t="str">
            <v>0413</v>
          </cell>
          <cell r="Z566">
            <v>45221</v>
          </cell>
        </row>
        <row r="567">
          <cell r="B567" t="str">
            <v>0413</v>
          </cell>
          <cell r="C567" t="str">
            <v>03</v>
          </cell>
          <cell r="D567" t="str">
            <v>076</v>
          </cell>
          <cell r="E567" t="str">
            <v>DREAMCO MPC</v>
          </cell>
          <cell r="F567" t="str">
            <v>PS</v>
          </cell>
          <cell r="J567" t="str">
            <v>PS</v>
          </cell>
          <cell r="L567">
            <v>2745</v>
          </cell>
          <cell r="M567" t="str">
            <v>Remittance for coop deductions from PO's for the month of Februar, 2021</v>
          </cell>
          <cell r="X567" t="str">
            <v>0413</v>
          </cell>
          <cell r="Z567">
            <v>2745</v>
          </cell>
        </row>
        <row r="568">
          <cell r="B568" t="str">
            <v>0413</v>
          </cell>
          <cell r="C568" t="str">
            <v>03</v>
          </cell>
          <cell r="D568" t="str">
            <v>077</v>
          </cell>
          <cell r="E568" t="str">
            <v>DREAMCO MPC</v>
          </cell>
          <cell r="F568" t="str">
            <v>PS</v>
          </cell>
          <cell r="J568" t="str">
            <v>PS</v>
          </cell>
          <cell r="L568">
            <v>22437.200000000001</v>
          </cell>
          <cell r="M568" t="str">
            <v>Remittance for coop deductions from PO's for the month of Februar, 2021</v>
          </cell>
          <cell r="X568" t="str">
            <v>0413</v>
          </cell>
          <cell r="Z568">
            <v>22437.200000000001</v>
          </cell>
        </row>
        <row r="569">
          <cell r="B569" t="str">
            <v>0414</v>
          </cell>
          <cell r="C569" t="str">
            <v>03</v>
          </cell>
          <cell r="D569" t="str">
            <v>233</v>
          </cell>
          <cell r="E569" t="str">
            <v>GSIS</v>
          </cell>
          <cell r="F569" t="str">
            <v>PS</v>
          </cell>
          <cell r="J569" t="str">
            <v>PS</v>
          </cell>
          <cell r="L569">
            <v>762486.29</v>
          </cell>
          <cell r="M569" t="str">
            <v>Remittance for GSIS premiums of regular employees for the month of March 2021</v>
          </cell>
          <cell r="X569" t="str">
            <v>0414</v>
          </cell>
          <cell r="Z569">
            <v>762486.29</v>
          </cell>
        </row>
        <row r="570">
          <cell r="B570" t="str">
            <v>0414</v>
          </cell>
          <cell r="C570" t="str">
            <v>03</v>
          </cell>
          <cell r="D570" t="str">
            <v>242</v>
          </cell>
          <cell r="E570" t="str">
            <v>GSIS</v>
          </cell>
          <cell r="F570" t="str">
            <v>PS</v>
          </cell>
          <cell r="J570" t="str">
            <v>PS</v>
          </cell>
          <cell r="L570">
            <v>257826.7</v>
          </cell>
          <cell r="M570" t="str">
            <v>Remittance for GSIS premiums of regular employees for the month of March 2021</v>
          </cell>
          <cell r="X570" t="str">
            <v>0414</v>
          </cell>
          <cell r="Z570">
            <v>257826.7</v>
          </cell>
        </row>
        <row r="571">
          <cell r="B571" t="str">
            <v>0414</v>
          </cell>
          <cell r="C571" t="str">
            <v>03</v>
          </cell>
          <cell r="D571" t="str">
            <v>220</v>
          </cell>
          <cell r="E571" t="str">
            <v>GSIS</v>
          </cell>
          <cell r="F571" t="str">
            <v>PS</v>
          </cell>
          <cell r="J571" t="str">
            <v>PS</v>
          </cell>
          <cell r="L571">
            <v>129010.81</v>
          </cell>
          <cell r="M571" t="str">
            <v>Remittance for GSIS premiums of regular employees for the month of March 2021</v>
          </cell>
          <cell r="X571" t="str">
            <v>0414</v>
          </cell>
          <cell r="Z571">
            <v>129010.81</v>
          </cell>
        </row>
        <row r="572">
          <cell r="B572" t="str">
            <v>0414</v>
          </cell>
          <cell r="C572" t="str">
            <v>03</v>
          </cell>
          <cell r="D572" t="str">
            <v>234</v>
          </cell>
          <cell r="E572" t="str">
            <v>GSIS</v>
          </cell>
          <cell r="F572" t="str">
            <v>PS</v>
          </cell>
          <cell r="J572" t="str">
            <v>PS</v>
          </cell>
          <cell r="L572">
            <v>189647.8</v>
          </cell>
          <cell r="M572" t="str">
            <v>Remittance for GSIS premiums of regular employees for the month of March 2021</v>
          </cell>
          <cell r="X572" t="str">
            <v>0414</v>
          </cell>
          <cell r="Z572">
            <v>189647.8</v>
          </cell>
        </row>
        <row r="573">
          <cell r="B573" t="str">
            <v>0414</v>
          </cell>
          <cell r="C573" t="str">
            <v>03</v>
          </cell>
          <cell r="D573" t="str">
            <v>221</v>
          </cell>
          <cell r="E573" t="str">
            <v>GSIS</v>
          </cell>
          <cell r="F573" t="str">
            <v>PS</v>
          </cell>
          <cell r="J573" t="str">
            <v>PS</v>
          </cell>
          <cell r="L573">
            <v>222616.76</v>
          </cell>
          <cell r="M573" t="str">
            <v>Remittance for GSIS premiums of regular employees for the month of March 2021</v>
          </cell>
          <cell r="X573" t="str">
            <v>0414</v>
          </cell>
          <cell r="Z573">
            <v>222616.76</v>
          </cell>
        </row>
        <row r="574">
          <cell r="B574" t="str">
            <v>0414</v>
          </cell>
          <cell r="C574" t="str">
            <v>03</v>
          </cell>
          <cell r="D574" t="str">
            <v>222</v>
          </cell>
          <cell r="E574" t="str">
            <v>GSIS</v>
          </cell>
          <cell r="F574" t="str">
            <v>PS</v>
          </cell>
          <cell r="J574" t="str">
            <v>PS</v>
          </cell>
          <cell r="L574">
            <v>136441.01</v>
          </cell>
          <cell r="M574" t="str">
            <v>Remittance for GSIS premiums of regular employees for the month of March 2021</v>
          </cell>
          <cell r="X574" t="str">
            <v>0414</v>
          </cell>
          <cell r="Z574">
            <v>136441.01</v>
          </cell>
        </row>
        <row r="575">
          <cell r="B575" t="str">
            <v>0415</v>
          </cell>
          <cell r="C575" t="str">
            <v>03</v>
          </cell>
          <cell r="D575" t="str">
            <v>267</v>
          </cell>
          <cell r="E575" t="str">
            <v>Edwin O. Banquerigo</v>
          </cell>
          <cell r="F575" t="str">
            <v>MOOE</v>
          </cell>
          <cell r="J575" t="str">
            <v>MOOE</v>
          </cell>
          <cell r="M575" t="str">
            <v>Payment for extraordinary expenses for March 2021</v>
          </cell>
          <cell r="X575" t="str">
            <v>0415</v>
          </cell>
          <cell r="Z575">
            <v>10000</v>
          </cell>
        </row>
        <row r="576">
          <cell r="B576" t="str">
            <v>0416</v>
          </cell>
          <cell r="C576" t="str">
            <v>03</v>
          </cell>
          <cell r="D576" t="str">
            <v>265</v>
          </cell>
          <cell r="E576" t="str">
            <v>Land Bank of the Philippines</v>
          </cell>
          <cell r="F576" t="str">
            <v>MOOE</v>
          </cell>
          <cell r="J576" t="str">
            <v>MOOE</v>
          </cell>
          <cell r="M576" t="str">
            <v>Payment for salaries for RAPID PCU AND Staff driver for March 1-15, 2021</v>
          </cell>
          <cell r="X576" t="str">
            <v>0416</v>
          </cell>
          <cell r="Z576">
            <v>82098.38</v>
          </cell>
        </row>
        <row r="577">
          <cell r="B577" t="str">
            <v>0417</v>
          </cell>
          <cell r="C577" t="str">
            <v>03</v>
          </cell>
          <cell r="D577" t="str">
            <v>264</v>
          </cell>
          <cell r="E577" t="str">
            <v>Land Bank of the Philippines</v>
          </cell>
          <cell r="F577" t="str">
            <v>MOOE</v>
          </cell>
          <cell r="J577" t="str">
            <v>MOOE</v>
          </cell>
          <cell r="M577" t="str">
            <v>Payment for salaries for RAPID PCU AND Staff driver for March 1-15, 2021</v>
          </cell>
          <cell r="X577" t="str">
            <v>0417</v>
          </cell>
          <cell r="Z577">
            <v>70905.22</v>
          </cell>
        </row>
        <row r="578">
          <cell r="B578" t="str">
            <v>0418</v>
          </cell>
          <cell r="C578" t="str">
            <v>03</v>
          </cell>
          <cell r="D578" t="str">
            <v>268</v>
          </cell>
          <cell r="E578" t="str">
            <v>Fevi V. Silvosa</v>
          </cell>
          <cell r="F578" t="str">
            <v>MOOE</v>
          </cell>
          <cell r="J578" t="str">
            <v>MOOE</v>
          </cell>
          <cell r="M578" t="str">
            <v>Payment for JO for the period March 1-15, 2021</v>
          </cell>
          <cell r="X578" t="str">
            <v>0418</v>
          </cell>
          <cell r="Z578">
            <v>9000</v>
          </cell>
        </row>
        <row r="579">
          <cell r="B579" t="str">
            <v>0419</v>
          </cell>
          <cell r="C579" t="str">
            <v>03</v>
          </cell>
          <cell r="D579" t="str">
            <v>227</v>
          </cell>
          <cell r="E579" t="str">
            <v>GSIS</v>
          </cell>
          <cell r="F579" t="str">
            <v>PS</v>
          </cell>
          <cell r="J579" t="str">
            <v>PS</v>
          </cell>
          <cell r="L579">
            <v>17541.5</v>
          </cell>
          <cell r="M579" t="str">
            <v>Remittance of GSIS premiums of CARP employees for the month of March 2021</v>
          </cell>
          <cell r="X579" t="str">
            <v>0419</v>
          </cell>
          <cell r="Z579">
            <v>17541.5</v>
          </cell>
        </row>
        <row r="580">
          <cell r="B580" t="str">
            <v>0419</v>
          </cell>
          <cell r="C580" t="str">
            <v>03</v>
          </cell>
          <cell r="D580" t="str">
            <v>240</v>
          </cell>
          <cell r="E580" t="str">
            <v>GSIS</v>
          </cell>
          <cell r="F580" t="str">
            <v>PS</v>
          </cell>
          <cell r="J580" t="str">
            <v>PS</v>
          </cell>
          <cell r="L580">
            <v>28373.759999999998</v>
          </cell>
          <cell r="M580" t="str">
            <v>Remittance of GSIS premiums of CARP employees for the month of March 2021</v>
          </cell>
          <cell r="X580" t="str">
            <v>0419</v>
          </cell>
          <cell r="Z580">
            <v>28373.759999999998</v>
          </cell>
        </row>
        <row r="581">
          <cell r="B581" t="str">
            <v>0419</v>
          </cell>
          <cell r="C581" t="str">
            <v>03</v>
          </cell>
          <cell r="D581" t="str">
            <v>228</v>
          </cell>
          <cell r="E581" t="str">
            <v>GSIS</v>
          </cell>
          <cell r="F581" t="str">
            <v>PS</v>
          </cell>
          <cell r="J581" t="str">
            <v>PS</v>
          </cell>
          <cell r="L581">
            <v>7150.75</v>
          </cell>
          <cell r="M581" t="str">
            <v>Remittance of GSIS premiums of CARP employees for the month of March 2021</v>
          </cell>
          <cell r="X581" t="str">
            <v>0419</v>
          </cell>
          <cell r="Z581">
            <v>7150.75</v>
          </cell>
        </row>
        <row r="582">
          <cell r="B582" t="str">
            <v>0419</v>
          </cell>
          <cell r="C582" t="str">
            <v>03</v>
          </cell>
          <cell r="D582" t="str">
            <v>230</v>
          </cell>
          <cell r="E582" t="str">
            <v>GSIS</v>
          </cell>
          <cell r="F582" t="str">
            <v>PS</v>
          </cell>
          <cell r="J582" t="str">
            <v>PS</v>
          </cell>
          <cell r="L582">
            <v>14820.75</v>
          </cell>
          <cell r="M582" t="str">
            <v>Remittance of GSIS premiums of CARP employees for the month of March 2021</v>
          </cell>
          <cell r="X582" t="str">
            <v>0419</v>
          </cell>
          <cell r="Z582">
            <v>14820.75</v>
          </cell>
        </row>
        <row r="583">
          <cell r="B583" t="str">
            <v>0419</v>
          </cell>
          <cell r="C583" t="str">
            <v>03</v>
          </cell>
          <cell r="D583" t="str">
            <v>232</v>
          </cell>
          <cell r="E583" t="str">
            <v>GSIS</v>
          </cell>
          <cell r="F583" t="str">
            <v>PS</v>
          </cell>
          <cell r="J583" t="str">
            <v>PS</v>
          </cell>
          <cell r="L583">
            <v>16423.759999999998</v>
          </cell>
          <cell r="M583" t="str">
            <v>Remittance of GSIS premiums of CARP employees for the month of March 2021</v>
          </cell>
          <cell r="X583" t="str">
            <v>0419</v>
          </cell>
          <cell r="Z583">
            <v>16423.759999999998</v>
          </cell>
        </row>
        <row r="584">
          <cell r="B584" t="str">
            <v>0419</v>
          </cell>
          <cell r="C584" t="str">
            <v>03</v>
          </cell>
          <cell r="D584" t="str">
            <v>229</v>
          </cell>
          <cell r="E584" t="str">
            <v>GSIS</v>
          </cell>
          <cell r="F584" t="str">
            <v>PS</v>
          </cell>
          <cell r="J584" t="str">
            <v>PS</v>
          </cell>
          <cell r="L584">
            <v>7150.75</v>
          </cell>
          <cell r="M584" t="str">
            <v>Remittance of GSIS premiums of CARP employees for the month of March 2021</v>
          </cell>
          <cell r="X584" t="str">
            <v>0419</v>
          </cell>
          <cell r="Z584">
            <v>7150.75</v>
          </cell>
        </row>
        <row r="585">
          <cell r="B585" t="str">
            <v>0420</v>
          </cell>
          <cell r="C585" t="str">
            <v>03</v>
          </cell>
          <cell r="D585" t="str">
            <v>227</v>
          </cell>
          <cell r="E585" t="str">
            <v>HDMF-Butuan City</v>
          </cell>
          <cell r="F585" t="str">
            <v>PS</v>
          </cell>
          <cell r="J585" t="str">
            <v>PS</v>
          </cell>
          <cell r="L585">
            <v>200</v>
          </cell>
          <cell r="M585" t="str">
            <v>Remittance of HDMF premiums of CARP employees for the month of March 2021</v>
          </cell>
          <cell r="X585" t="str">
            <v>0420</v>
          </cell>
          <cell r="Z585">
            <v>200</v>
          </cell>
        </row>
        <row r="586">
          <cell r="B586" t="str">
            <v>0420</v>
          </cell>
          <cell r="C586" t="str">
            <v>03</v>
          </cell>
          <cell r="D586" t="str">
            <v>240</v>
          </cell>
          <cell r="E586" t="str">
            <v>HDMF-Butuan City</v>
          </cell>
          <cell r="F586" t="str">
            <v>PS</v>
          </cell>
          <cell r="J586" t="str">
            <v>PS</v>
          </cell>
          <cell r="L586">
            <v>400</v>
          </cell>
          <cell r="M586" t="str">
            <v>Remittance of HDMF premiums of CARP employees for the month of March 2021</v>
          </cell>
          <cell r="X586" t="str">
            <v>0420</v>
          </cell>
          <cell r="Z586">
            <v>400</v>
          </cell>
        </row>
        <row r="587">
          <cell r="B587" t="str">
            <v>0420</v>
          </cell>
          <cell r="C587" t="str">
            <v>03</v>
          </cell>
          <cell r="D587" t="str">
            <v>228</v>
          </cell>
          <cell r="E587" t="str">
            <v>HDMF-Butuan City</v>
          </cell>
          <cell r="F587" t="str">
            <v>PS</v>
          </cell>
          <cell r="J587" t="str">
            <v>PS</v>
          </cell>
          <cell r="L587">
            <v>200</v>
          </cell>
          <cell r="M587" t="str">
            <v>Remittance of HDMF premiums of CARP employees for the month of March 2021</v>
          </cell>
          <cell r="X587" t="str">
            <v>0420</v>
          </cell>
          <cell r="Z587">
            <v>200</v>
          </cell>
        </row>
        <row r="588">
          <cell r="B588" t="str">
            <v>0420</v>
          </cell>
          <cell r="C588" t="str">
            <v>03</v>
          </cell>
          <cell r="D588" t="str">
            <v>230</v>
          </cell>
          <cell r="E588" t="str">
            <v>HDMF-Butuan City</v>
          </cell>
          <cell r="F588" t="str">
            <v>PS</v>
          </cell>
          <cell r="J588" t="str">
            <v>PS</v>
          </cell>
          <cell r="L588">
            <v>2100</v>
          </cell>
          <cell r="M588" t="str">
            <v>Remittance of HDMF premiums of CARP employees for the month of March 2021</v>
          </cell>
          <cell r="X588" t="str">
            <v>0420</v>
          </cell>
          <cell r="Z588">
            <v>2100</v>
          </cell>
        </row>
        <row r="589">
          <cell r="B589" t="str">
            <v>0420</v>
          </cell>
          <cell r="C589" t="str">
            <v>03</v>
          </cell>
          <cell r="D589" t="str">
            <v>232</v>
          </cell>
          <cell r="E589" t="str">
            <v>HDMF-Butuan City</v>
          </cell>
          <cell r="F589" t="str">
            <v>PS</v>
          </cell>
          <cell r="J589" t="str">
            <v>PS</v>
          </cell>
          <cell r="L589">
            <v>1745.12</v>
          </cell>
          <cell r="M589" t="str">
            <v>Remittance of HDMF premiums of CARP employees for the month of March 2021</v>
          </cell>
          <cell r="X589" t="str">
            <v>0420</v>
          </cell>
          <cell r="Z589">
            <v>1745.12</v>
          </cell>
        </row>
        <row r="590">
          <cell r="B590" t="str">
            <v>0420</v>
          </cell>
          <cell r="C590" t="str">
            <v>03</v>
          </cell>
          <cell r="D590" t="str">
            <v>229</v>
          </cell>
          <cell r="E590" t="str">
            <v>HDMF-Butuan City</v>
          </cell>
          <cell r="F590" t="str">
            <v>PS</v>
          </cell>
          <cell r="J590" t="str">
            <v>PS</v>
          </cell>
          <cell r="L590">
            <v>200</v>
          </cell>
          <cell r="M590" t="str">
            <v>Remittance of HDMF premiums of CARP employees for the month of March 2021</v>
          </cell>
          <cell r="X590" t="str">
            <v>0420</v>
          </cell>
          <cell r="Z590">
            <v>200</v>
          </cell>
        </row>
        <row r="591">
          <cell r="B591" t="str">
            <v>0421</v>
          </cell>
          <cell r="C591" t="str">
            <v>03</v>
          </cell>
          <cell r="D591" t="str">
            <v>227</v>
          </cell>
          <cell r="E591" t="str">
            <v>PHIC- Butuan City</v>
          </cell>
          <cell r="F591" t="str">
            <v>PS</v>
          </cell>
          <cell r="J591" t="str">
            <v>PS</v>
          </cell>
          <cell r="L591">
            <v>1310.43</v>
          </cell>
          <cell r="M591" t="str">
            <v>Remittance of CARP employees PHIC premium for the month of March 2021</v>
          </cell>
          <cell r="X591" t="str">
            <v>0421</v>
          </cell>
          <cell r="Z591">
            <v>1310.43</v>
          </cell>
        </row>
        <row r="592">
          <cell r="B592" t="str">
            <v>0421</v>
          </cell>
          <cell r="C592" t="str">
            <v>03</v>
          </cell>
          <cell r="D592" t="str">
            <v>240</v>
          </cell>
          <cell r="E592" t="str">
            <v>PHIC- Butuan City</v>
          </cell>
          <cell r="F592" t="str">
            <v>PS</v>
          </cell>
          <cell r="J592" t="str">
            <v>PS</v>
          </cell>
          <cell r="L592">
            <v>2317.6799999999998</v>
          </cell>
          <cell r="M592" t="str">
            <v>Remittance of CARP employees PHIC premium for the month of March 2021</v>
          </cell>
          <cell r="X592" t="str">
            <v>0421</v>
          </cell>
          <cell r="Z592">
            <v>2317.6799999999998</v>
          </cell>
        </row>
        <row r="593">
          <cell r="B593" t="str">
            <v>0421</v>
          </cell>
          <cell r="C593" t="str">
            <v>03</v>
          </cell>
          <cell r="D593" t="str">
            <v>228</v>
          </cell>
          <cell r="E593" t="str">
            <v>PHIC- Butuan City</v>
          </cell>
          <cell r="F593" t="str">
            <v>PS</v>
          </cell>
          <cell r="J593" t="str">
            <v>PS</v>
          </cell>
          <cell r="L593">
            <v>1007.25</v>
          </cell>
          <cell r="M593" t="str">
            <v>Remittance of CARP employees PHIC premium for the month of March 2021</v>
          </cell>
          <cell r="X593" t="str">
            <v>0421</v>
          </cell>
          <cell r="Z593">
            <v>1007.25</v>
          </cell>
        </row>
        <row r="594">
          <cell r="B594" t="str">
            <v>0421</v>
          </cell>
          <cell r="C594" t="str">
            <v>03</v>
          </cell>
          <cell r="D594" t="str">
            <v>230</v>
          </cell>
          <cell r="E594" t="str">
            <v>PHIC- Butuan City</v>
          </cell>
          <cell r="F594" t="str">
            <v>PS</v>
          </cell>
          <cell r="J594" t="str">
            <v>PS</v>
          </cell>
          <cell r="L594">
            <v>1007.25</v>
          </cell>
          <cell r="M594" t="str">
            <v>Remittance of CARP employees PHIC premium for the month of March 2021</v>
          </cell>
          <cell r="X594" t="str">
            <v>0421</v>
          </cell>
          <cell r="Z594">
            <v>1007.25</v>
          </cell>
        </row>
        <row r="595">
          <cell r="B595" t="str">
            <v>0421</v>
          </cell>
          <cell r="C595" t="str">
            <v>03</v>
          </cell>
          <cell r="D595" t="str">
            <v>232</v>
          </cell>
          <cell r="E595" t="str">
            <v>PHIC- Butuan City</v>
          </cell>
          <cell r="F595" t="str">
            <v>PS</v>
          </cell>
          <cell r="J595" t="str">
            <v>PS</v>
          </cell>
          <cell r="L595">
            <v>2317.6799999999998</v>
          </cell>
          <cell r="M595" t="str">
            <v>Remittance of CARP employees PHIC premium for the month of March 2021</v>
          </cell>
          <cell r="X595" t="str">
            <v>0421</v>
          </cell>
          <cell r="Z595">
            <v>2317.6799999999998</v>
          </cell>
        </row>
        <row r="596">
          <cell r="B596" t="str">
            <v>0421</v>
          </cell>
          <cell r="C596" t="str">
            <v>03</v>
          </cell>
          <cell r="D596" t="str">
            <v>229</v>
          </cell>
          <cell r="E596" t="str">
            <v>PHIC- Butuan City</v>
          </cell>
          <cell r="F596" t="str">
            <v>PS</v>
          </cell>
          <cell r="J596" t="str">
            <v>PS</v>
          </cell>
          <cell r="L596">
            <v>1007.25</v>
          </cell>
          <cell r="M596" t="str">
            <v>Remittance of CARP employees PHIC premium for the month of March 2021</v>
          </cell>
          <cell r="X596" t="str">
            <v>0421</v>
          </cell>
          <cell r="Z596">
            <v>1007.25</v>
          </cell>
        </row>
        <row r="597">
          <cell r="B597" t="str">
            <v>0422</v>
          </cell>
          <cell r="C597" t="str">
            <v>03</v>
          </cell>
          <cell r="D597" t="str">
            <v>227</v>
          </cell>
          <cell r="E597" t="str">
            <v>DTI-Provident Fund</v>
          </cell>
          <cell r="F597" t="str">
            <v>PS</v>
          </cell>
          <cell r="J597" t="str">
            <v>PS</v>
          </cell>
          <cell r="L597">
            <v>100</v>
          </cell>
          <cell r="M597" t="str">
            <v>Remittance of PF premiums of CARP employees for the month of March 2021</v>
          </cell>
          <cell r="X597" t="str">
            <v>0422</v>
          </cell>
          <cell r="Z597">
            <v>100</v>
          </cell>
        </row>
        <row r="598">
          <cell r="B598" t="str">
            <v>0422</v>
          </cell>
          <cell r="C598" t="str">
            <v>03</v>
          </cell>
          <cell r="D598" t="str">
            <v>240</v>
          </cell>
          <cell r="E598" t="str">
            <v>DTI-Provident Fund</v>
          </cell>
          <cell r="F598" t="str">
            <v>PS</v>
          </cell>
          <cell r="J598" t="str">
            <v>PS</v>
          </cell>
          <cell r="L598">
            <v>200</v>
          </cell>
          <cell r="M598" t="str">
            <v>Remittance of PF premiums of CARP employees for the month of March 2021</v>
          </cell>
          <cell r="X598" t="str">
            <v>0422</v>
          </cell>
          <cell r="Z598">
            <v>200</v>
          </cell>
        </row>
        <row r="599">
          <cell r="B599" t="str">
            <v>0422</v>
          </cell>
          <cell r="C599" t="str">
            <v>03</v>
          </cell>
          <cell r="D599" t="str">
            <v>228</v>
          </cell>
          <cell r="E599" t="str">
            <v>DTI-Provident Fund</v>
          </cell>
          <cell r="F599" t="str">
            <v>PS</v>
          </cell>
          <cell r="J599" t="str">
            <v>PS</v>
          </cell>
          <cell r="L599">
            <v>100</v>
          </cell>
          <cell r="M599" t="str">
            <v>Remittance of PF premiums of CARP employees for the month of March 2021</v>
          </cell>
          <cell r="X599" t="str">
            <v>0422</v>
          </cell>
          <cell r="Z599">
            <v>100</v>
          </cell>
        </row>
        <row r="600">
          <cell r="B600" t="str">
            <v>0422</v>
          </cell>
          <cell r="C600" t="str">
            <v>03</v>
          </cell>
          <cell r="D600" t="str">
            <v>230</v>
          </cell>
          <cell r="E600" t="str">
            <v>DTI-Provident Fund</v>
          </cell>
          <cell r="F600" t="str">
            <v>PS</v>
          </cell>
          <cell r="J600" t="str">
            <v>PS</v>
          </cell>
          <cell r="L600">
            <v>100</v>
          </cell>
          <cell r="M600" t="str">
            <v>Remittance of PF premiums of CARP employees for the month of March 2021</v>
          </cell>
          <cell r="X600" t="str">
            <v>0422</v>
          </cell>
          <cell r="Z600">
            <v>100</v>
          </cell>
        </row>
        <row r="601">
          <cell r="B601" t="str">
            <v>0422</v>
          </cell>
          <cell r="C601" t="str">
            <v>03</v>
          </cell>
          <cell r="D601" t="str">
            <v>232</v>
          </cell>
          <cell r="E601" t="str">
            <v>DTI-Provident Fund</v>
          </cell>
          <cell r="F601" t="str">
            <v>PS</v>
          </cell>
          <cell r="J601" t="str">
            <v>PS</v>
          </cell>
          <cell r="L601">
            <v>200</v>
          </cell>
          <cell r="M601" t="str">
            <v>Remittance of PF premiums of CARP employees for the month of March 2021</v>
          </cell>
          <cell r="X601" t="str">
            <v>0422</v>
          </cell>
          <cell r="Z601">
            <v>200</v>
          </cell>
        </row>
        <row r="602">
          <cell r="B602" t="str">
            <v>0422</v>
          </cell>
          <cell r="C602" t="str">
            <v>03</v>
          </cell>
          <cell r="D602" t="str">
            <v>229</v>
          </cell>
          <cell r="E602" t="str">
            <v>DTI-Provident Fund</v>
          </cell>
          <cell r="F602" t="str">
            <v>PS</v>
          </cell>
          <cell r="J602" t="str">
            <v>PS</v>
          </cell>
          <cell r="L602">
            <v>100</v>
          </cell>
          <cell r="M602" t="str">
            <v>Remittance of PF premiums of CARP employees for the month of March 2021</v>
          </cell>
          <cell r="X602" t="str">
            <v>0422</v>
          </cell>
          <cell r="Z602">
            <v>100</v>
          </cell>
        </row>
        <row r="603">
          <cell r="B603" t="str">
            <v>0423</v>
          </cell>
          <cell r="C603" t="str">
            <v>03</v>
          </cell>
          <cell r="D603" t="str">
            <v>227</v>
          </cell>
          <cell r="E603" t="str">
            <v>DTI-MDBF</v>
          </cell>
          <cell r="F603" t="str">
            <v>PS</v>
          </cell>
          <cell r="J603" t="str">
            <v>PS</v>
          </cell>
          <cell r="L603">
            <v>50</v>
          </cell>
          <cell r="M603" t="str">
            <v>Remittance of MDBF premiums of CARP employees for the month of March 2021</v>
          </cell>
          <cell r="X603" t="str">
            <v>0423</v>
          </cell>
          <cell r="Z603">
            <v>50</v>
          </cell>
        </row>
        <row r="604">
          <cell r="B604" t="str">
            <v>0423</v>
          </cell>
          <cell r="C604" t="str">
            <v>03</v>
          </cell>
          <cell r="D604" t="str">
            <v>240</v>
          </cell>
          <cell r="E604" t="str">
            <v>DTI-MDBF</v>
          </cell>
          <cell r="F604" t="str">
            <v>PS</v>
          </cell>
          <cell r="J604" t="str">
            <v>PS</v>
          </cell>
          <cell r="L604">
            <v>100</v>
          </cell>
          <cell r="M604" t="str">
            <v>Remittance of MDBF premiums of CARP employees for the month of March 2021</v>
          </cell>
          <cell r="X604" t="str">
            <v>0423</v>
          </cell>
          <cell r="Z604">
            <v>100</v>
          </cell>
        </row>
        <row r="605">
          <cell r="B605" t="str">
            <v>0423</v>
          </cell>
          <cell r="C605" t="str">
            <v>03</v>
          </cell>
          <cell r="D605" t="str">
            <v>228</v>
          </cell>
          <cell r="E605" t="str">
            <v>DTI-MDBF</v>
          </cell>
          <cell r="F605" t="str">
            <v>PS</v>
          </cell>
          <cell r="J605" t="str">
            <v>PS</v>
          </cell>
          <cell r="L605">
            <v>50</v>
          </cell>
          <cell r="M605" t="str">
            <v>Remittance of MDBF premiums of CARP employees for the month of March 2021</v>
          </cell>
          <cell r="X605" t="str">
            <v>0423</v>
          </cell>
          <cell r="Z605">
            <v>50</v>
          </cell>
        </row>
        <row r="606">
          <cell r="B606" t="str">
            <v>0423</v>
          </cell>
          <cell r="C606" t="str">
            <v>03</v>
          </cell>
          <cell r="D606" t="str">
            <v>230</v>
          </cell>
          <cell r="E606" t="str">
            <v>DTI-MDBF</v>
          </cell>
          <cell r="F606" t="str">
            <v>PS</v>
          </cell>
          <cell r="J606" t="str">
            <v>PS</v>
          </cell>
          <cell r="L606">
            <v>50</v>
          </cell>
          <cell r="M606" t="str">
            <v>Remittance of MDBF premiums of CARP employees for the month of March 2021</v>
          </cell>
          <cell r="X606" t="str">
            <v>0423</v>
          </cell>
          <cell r="Z606">
            <v>50</v>
          </cell>
        </row>
        <row r="607">
          <cell r="B607" t="str">
            <v>0423</v>
          </cell>
          <cell r="C607" t="str">
            <v>03</v>
          </cell>
          <cell r="D607" t="str">
            <v>229</v>
          </cell>
          <cell r="E607" t="str">
            <v>DTI-MDBF</v>
          </cell>
          <cell r="F607" t="str">
            <v>PS</v>
          </cell>
          <cell r="J607" t="str">
            <v>PS</v>
          </cell>
          <cell r="L607">
            <v>50</v>
          </cell>
          <cell r="M607" t="str">
            <v>Remittance of MDBF premiums of CARP employees for the month of March 2021</v>
          </cell>
          <cell r="X607" t="str">
            <v>0423</v>
          </cell>
          <cell r="Z607">
            <v>50</v>
          </cell>
        </row>
        <row r="608">
          <cell r="B608" t="str">
            <v>0424</v>
          </cell>
          <cell r="C608" t="str">
            <v>03</v>
          </cell>
          <cell r="D608" t="str">
            <v>228</v>
          </cell>
          <cell r="E608" t="str">
            <v>DTI-EU</v>
          </cell>
          <cell r="F608" t="str">
            <v>PS</v>
          </cell>
          <cell r="J608" t="str">
            <v>PS</v>
          </cell>
          <cell r="L608">
            <v>120</v>
          </cell>
          <cell r="M608" t="str">
            <v>Remittance of DTI-EU dues of Mr. Roboca for the month of March 2021</v>
          </cell>
          <cell r="X608" t="str">
            <v>0424</v>
          </cell>
          <cell r="Z608">
            <v>120</v>
          </cell>
        </row>
        <row r="609">
          <cell r="B609" t="str">
            <v>0425</v>
          </cell>
          <cell r="C609" t="str">
            <v>03</v>
          </cell>
          <cell r="E609" t="str">
            <v>Dreamco</v>
          </cell>
          <cell r="F609" t="str">
            <v>PS</v>
          </cell>
          <cell r="J609" t="str">
            <v>PS</v>
          </cell>
          <cell r="L609">
            <v>4640</v>
          </cell>
          <cell r="M609" t="str">
            <v>Remittance of coop deduction of CARP employees for the month of March 2021</v>
          </cell>
          <cell r="X609" t="str">
            <v>0425</v>
          </cell>
          <cell r="Z609">
            <v>4640</v>
          </cell>
        </row>
        <row r="610">
          <cell r="B610" t="str">
            <v>0426</v>
          </cell>
          <cell r="C610" t="str">
            <v>03</v>
          </cell>
          <cell r="E610" t="str">
            <v>GLAD MPC</v>
          </cell>
          <cell r="F610" t="str">
            <v>PS</v>
          </cell>
          <cell r="J610" t="str">
            <v>PS</v>
          </cell>
          <cell r="L610">
            <v>1030</v>
          </cell>
          <cell r="M610" t="str">
            <v>Remittance of coop deduction of CARP employees for the month of March 2021</v>
          </cell>
          <cell r="X610" t="str">
            <v>0426</v>
          </cell>
          <cell r="Z610">
            <v>1030</v>
          </cell>
        </row>
        <row r="611">
          <cell r="B611" t="str">
            <v>0427</v>
          </cell>
          <cell r="C611" t="str">
            <v>03</v>
          </cell>
          <cell r="E611" t="str">
            <v>SURE DEV'T COOPERATIVE</v>
          </cell>
          <cell r="F611" t="str">
            <v>PS</v>
          </cell>
          <cell r="J611" t="str">
            <v>PS</v>
          </cell>
          <cell r="L611">
            <v>6900</v>
          </cell>
          <cell r="M611" t="str">
            <v>Remittance of CARP employees for the month of March 2021</v>
          </cell>
          <cell r="X611" t="str">
            <v>0427</v>
          </cell>
          <cell r="Z611">
            <v>6900</v>
          </cell>
        </row>
        <row r="612">
          <cell r="B612" t="str">
            <v>0428</v>
          </cell>
          <cell r="C612" t="str">
            <v>03</v>
          </cell>
          <cell r="E612" t="str">
            <v>DTI-EU</v>
          </cell>
          <cell r="F612" t="str">
            <v>PS</v>
          </cell>
          <cell r="J612" t="str">
            <v>PS</v>
          </cell>
          <cell r="L612">
            <v>170</v>
          </cell>
          <cell r="M612" t="str">
            <v>Remittance of EU dues and Membership fee premium of NC staff for the month of February 2021.</v>
          </cell>
          <cell r="X612" t="str">
            <v>0428</v>
          </cell>
          <cell r="Z612">
            <v>170</v>
          </cell>
        </row>
        <row r="613">
          <cell r="B613" t="str">
            <v>0429</v>
          </cell>
          <cell r="C613" t="str">
            <v>03</v>
          </cell>
          <cell r="E613" t="str">
            <v>DTI-MDBF</v>
          </cell>
          <cell r="F613" t="str">
            <v>PS</v>
          </cell>
          <cell r="J613" t="str">
            <v>PS</v>
          </cell>
          <cell r="L613">
            <v>200</v>
          </cell>
          <cell r="M613" t="str">
            <v>Remittance of MDBF premium of NC Staff for the month of February, 2021</v>
          </cell>
          <cell r="X613" t="str">
            <v>0429</v>
          </cell>
          <cell r="Z613">
            <v>200</v>
          </cell>
        </row>
        <row r="614">
          <cell r="B614" t="str">
            <v>0430</v>
          </cell>
          <cell r="C614" t="str">
            <v>03</v>
          </cell>
          <cell r="E614" t="str">
            <v>DTI-Provident Fund</v>
          </cell>
          <cell r="F614" t="str">
            <v>PS</v>
          </cell>
          <cell r="J614" t="str">
            <v>PS</v>
          </cell>
          <cell r="L614">
            <v>600</v>
          </cell>
          <cell r="M614" t="str">
            <v>Remittance of Provident premium of NC Staff for the month of February, 2021</v>
          </cell>
          <cell r="X614" t="str">
            <v>0430</v>
          </cell>
          <cell r="Z614">
            <v>600</v>
          </cell>
        </row>
        <row r="615">
          <cell r="B615" t="str">
            <v>0431</v>
          </cell>
          <cell r="C615" t="str">
            <v>03</v>
          </cell>
          <cell r="E615" t="str">
            <v>PHIC Butuan City</v>
          </cell>
          <cell r="F615" t="str">
            <v>PS</v>
          </cell>
          <cell r="J615" t="str">
            <v>PS</v>
          </cell>
          <cell r="L615">
            <v>4297.8599999999997</v>
          </cell>
          <cell r="M615" t="str">
            <v>Remittance of PHIC PREMIUMS OF NC staff for the month of Feb 2021</v>
          </cell>
          <cell r="X615" t="str">
            <v>0431</v>
          </cell>
          <cell r="Z615">
            <v>4297.8599999999997</v>
          </cell>
        </row>
        <row r="616">
          <cell r="B616" t="str">
            <v>0432</v>
          </cell>
          <cell r="C616" t="str">
            <v>03</v>
          </cell>
          <cell r="E616" t="str">
            <v>HDMF-Butuan City</v>
          </cell>
          <cell r="F616" t="str">
            <v>PS</v>
          </cell>
          <cell r="J616" t="str">
            <v>PS</v>
          </cell>
          <cell r="L616">
            <v>1200</v>
          </cell>
          <cell r="M616" t="str">
            <v>Remittance of HDMF PREMIUMS OF NC staff for the month of Feb 2021</v>
          </cell>
          <cell r="X616" t="str">
            <v>0432</v>
          </cell>
          <cell r="Z616">
            <v>1200</v>
          </cell>
        </row>
        <row r="617">
          <cell r="B617" t="str">
            <v>0433</v>
          </cell>
          <cell r="C617" t="str">
            <v>03</v>
          </cell>
          <cell r="E617" t="str">
            <v>GSIS</v>
          </cell>
          <cell r="F617" t="str">
            <v>PS</v>
          </cell>
          <cell r="J617" t="str">
            <v>PS</v>
          </cell>
          <cell r="L617">
            <v>30685.02</v>
          </cell>
          <cell r="M617" t="str">
            <v>Remittance of GSIS premium of NC staff for the month of February, 2021</v>
          </cell>
          <cell r="X617" t="str">
            <v>0433</v>
          </cell>
          <cell r="Z617">
            <v>30685.02</v>
          </cell>
        </row>
        <row r="618">
          <cell r="B618" t="str">
            <v>0434</v>
          </cell>
          <cell r="C618" t="str">
            <v>03</v>
          </cell>
          <cell r="E618" t="str">
            <v>DREAMCO</v>
          </cell>
          <cell r="F618" t="str">
            <v>PS</v>
          </cell>
          <cell r="J618" t="str">
            <v>PS</v>
          </cell>
          <cell r="L618">
            <v>5000</v>
          </cell>
          <cell r="M618" t="str">
            <v>Remittance of COOP deduction of NC staff for the month of February, 2021</v>
          </cell>
          <cell r="X618" t="str">
            <v>0434</v>
          </cell>
          <cell r="Z618">
            <v>5000</v>
          </cell>
        </row>
        <row r="619">
          <cell r="B619" t="str">
            <v>0435</v>
          </cell>
          <cell r="C619" t="str">
            <v>03</v>
          </cell>
          <cell r="E619" t="str">
            <v>DTI-Mutual Death Benefit Fund</v>
          </cell>
          <cell r="F619" t="str">
            <v>PS</v>
          </cell>
          <cell r="J619" t="str">
            <v>PS</v>
          </cell>
          <cell r="L619">
            <v>300</v>
          </cell>
          <cell r="M619" t="str">
            <v>Remittance of MDBF premium of NC staff for the month of March, 2021</v>
          </cell>
          <cell r="X619" t="str">
            <v>0435</v>
          </cell>
          <cell r="Z619">
            <v>300</v>
          </cell>
        </row>
        <row r="620">
          <cell r="B620" t="str">
            <v>0436</v>
          </cell>
          <cell r="C620" t="str">
            <v>03</v>
          </cell>
          <cell r="E620" t="str">
            <v>DTI-Provident Fund</v>
          </cell>
          <cell r="F620" t="str">
            <v>PS</v>
          </cell>
          <cell r="J620" t="str">
            <v>PS</v>
          </cell>
          <cell r="L620">
            <v>600</v>
          </cell>
          <cell r="M620" t="str">
            <v>Remittance of PF premium of NC staff for the month of March, 2021</v>
          </cell>
          <cell r="X620" t="str">
            <v>0436</v>
          </cell>
          <cell r="Z620">
            <v>600</v>
          </cell>
        </row>
        <row r="621">
          <cell r="B621" t="str">
            <v>0437</v>
          </cell>
          <cell r="C621" t="str">
            <v>03</v>
          </cell>
          <cell r="E621" t="str">
            <v>PHIC-Butuan City</v>
          </cell>
          <cell r="F621" t="str">
            <v>PS</v>
          </cell>
          <cell r="J621" t="str">
            <v>PS</v>
          </cell>
          <cell r="L621">
            <v>4297.8599999999997</v>
          </cell>
          <cell r="M621" t="str">
            <v>Remittance of PHIC premium of NC staff for the month of March, 2021</v>
          </cell>
          <cell r="X621" t="str">
            <v>0437</v>
          </cell>
          <cell r="Z621">
            <v>4297.8599999999997</v>
          </cell>
        </row>
        <row r="622">
          <cell r="B622" t="str">
            <v>0438</v>
          </cell>
          <cell r="C622" t="str">
            <v>03</v>
          </cell>
          <cell r="E622" t="str">
            <v>HDMF-Butuan City</v>
          </cell>
          <cell r="F622" t="str">
            <v>PS</v>
          </cell>
          <cell r="J622" t="str">
            <v>PS</v>
          </cell>
          <cell r="L622">
            <v>1200</v>
          </cell>
          <cell r="M622" t="str">
            <v>Remittance of HDMF premium of NC staff for the month of March, 2021</v>
          </cell>
          <cell r="X622" t="str">
            <v>0438</v>
          </cell>
          <cell r="Z622">
            <v>1200</v>
          </cell>
        </row>
        <row r="623">
          <cell r="B623" t="str">
            <v>0439</v>
          </cell>
          <cell r="C623" t="str">
            <v>03</v>
          </cell>
          <cell r="E623" t="str">
            <v>GSIS</v>
          </cell>
          <cell r="F623" t="str">
            <v>PS</v>
          </cell>
          <cell r="J623" t="str">
            <v>PS</v>
          </cell>
          <cell r="L623">
            <v>30685.02</v>
          </cell>
          <cell r="M623" t="str">
            <v>Remittance of GSIS premium of NC staff for the month of March, 2021</v>
          </cell>
          <cell r="X623" t="str">
            <v>0439</v>
          </cell>
          <cell r="Z623">
            <v>30685.02</v>
          </cell>
        </row>
        <row r="624">
          <cell r="B624" t="str">
            <v>0440</v>
          </cell>
          <cell r="C624" t="str">
            <v>12</v>
          </cell>
          <cell r="D624" t="str">
            <v>2051A</v>
          </cell>
          <cell r="E624" t="str">
            <v>Caraga Realty Corporation</v>
          </cell>
          <cell r="F624" t="str">
            <v>MOOE</v>
          </cell>
          <cell r="J624" t="str">
            <v>MOOE</v>
          </cell>
          <cell r="M624" t="str">
            <v>Payment for office rental for the month of December 2020.</v>
          </cell>
          <cell r="X624" t="str">
            <v>0440</v>
          </cell>
          <cell r="Z624">
            <v>63576.73</v>
          </cell>
        </row>
        <row r="625">
          <cell r="B625" t="str">
            <v>0441</v>
          </cell>
          <cell r="C625" t="str">
            <v>12</v>
          </cell>
          <cell r="D625" t="str">
            <v>2051b</v>
          </cell>
          <cell r="E625" t="str">
            <v>CMIJ Green Scenery Garden and Accessories</v>
          </cell>
          <cell r="F625" t="str">
            <v>MOOE</v>
          </cell>
          <cell r="J625" t="str">
            <v>MOOE</v>
          </cell>
          <cell r="M625" t="str">
            <v>Payment for interior plants rental for DTI AND Office use for ecember 2020.</v>
          </cell>
          <cell r="X625" t="str">
            <v>0441</v>
          </cell>
          <cell r="Z625">
            <v>2375</v>
          </cell>
        </row>
        <row r="626">
          <cell r="B626" t="str">
            <v>0442</v>
          </cell>
          <cell r="C626" t="str">
            <v>12</v>
          </cell>
          <cell r="D626" t="str">
            <v>2051c</v>
          </cell>
          <cell r="E626" t="str">
            <v>Alba's Copy Center and Office  Supplies</v>
          </cell>
          <cell r="F626" t="str">
            <v>MOOE</v>
          </cell>
          <cell r="J626" t="str">
            <v>MOOE</v>
          </cell>
          <cell r="M626" t="str">
            <v>Payment for printing services for DTI-AND Office use for Dec. 7-28, 2020</v>
          </cell>
          <cell r="X626" t="str">
            <v>0442</v>
          </cell>
          <cell r="Z626">
            <v>3171.56</v>
          </cell>
        </row>
        <row r="627">
          <cell r="B627" t="str">
            <v>0443</v>
          </cell>
          <cell r="C627" t="str">
            <v>12</v>
          </cell>
          <cell r="D627" t="str">
            <v>2051d</v>
          </cell>
          <cell r="E627" t="str">
            <v>Rosie R. Vellesco</v>
          </cell>
          <cell r="F627" t="str">
            <v>MOOE</v>
          </cell>
          <cell r="J627" t="str">
            <v>MOOE</v>
          </cell>
          <cell r="M627" t="str">
            <v>Reimbursement, petty fare expenses for DTI- AD.N messengerial for October 29- November 11, 2020</v>
          </cell>
          <cell r="X627" t="str">
            <v>0443</v>
          </cell>
          <cell r="Z627">
            <v>230</v>
          </cell>
        </row>
        <row r="628">
          <cell r="B628" t="str">
            <v>0444</v>
          </cell>
          <cell r="C628" t="str">
            <v>12</v>
          </cell>
          <cell r="D628" t="str">
            <v>1843A</v>
          </cell>
          <cell r="E628" t="str">
            <v>News Multi-Purpose Cooperative</v>
          </cell>
          <cell r="F628" t="str">
            <v>MOOE</v>
          </cell>
          <cell r="J628" t="str">
            <v>MOOE</v>
          </cell>
          <cell r="M628" t="str">
            <v>Payment for meals re: DTI-PDI 2020 Level 2 planning cum GAD forum, PRAISE Awards for meritorious employees last Dec.14-15, 2020</v>
          </cell>
          <cell r="X628" t="str">
            <v>0444</v>
          </cell>
          <cell r="Z628">
            <v>40600</v>
          </cell>
        </row>
        <row r="629">
          <cell r="B629" t="str">
            <v>0445</v>
          </cell>
          <cell r="C629" t="str">
            <v>12</v>
          </cell>
          <cell r="D629" t="str">
            <v>1843b</v>
          </cell>
          <cell r="E629" t="str">
            <v>Mahayahay Multi-Purpose Cooperative</v>
          </cell>
          <cell r="F629" t="str">
            <v>MOOE</v>
          </cell>
          <cell r="J629" t="str">
            <v>MOOE</v>
          </cell>
          <cell r="M629" t="str">
            <v>Payment for computer accessories for DTI-PDI webinars and meeting use</v>
          </cell>
          <cell r="X629" t="str">
            <v>0445</v>
          </cell>
          <cell r="Z629">
            <v>18900</v>
          </cell>
        </row>
        <row r="630">
          <cell r="B630" t="str">
            <v>0445</v>
          </cell>
          <cell r="C630" t="str">
            <v>12</v>
          </cell>
          <cell r="D630" t="str">
            <v>1843b</v>
          </cell>
          <cell r="E630" t="str">
            <v>Mahayahay Multi-Purpose Cooperative</v>
          </cell>
          <cell r="F630" t="str">
            <v>MOOE</v>
          </cell>
          <cell r="J630" t="str">
            <v>MOOE</v>
          </cell>
          <cell r="M630" t="str">
            <v>Payment for computer accessories for DTI-PDI webinars and meeting use</v>
          </cell>
          <cell r="X630" t="str">
            <v>0445</v>
          </cell>
          <cell r="Z630">
            <v>-18900</v>
          </cell>
        </row>
        <row r="631">
          <cell r="B631" t="str">
            <v>0446</v>
          </cell>
          <cell r="C631" t="str">
            <v>12</v>
          </cell>
          <cell r="D631" t="str">
            <v>1843E</v>
          </cell>
          <cell r="E631" t="str">
            <v>Globe Telecom, Inc.</v>
          </cell>
          <cell r="F631" t="str">
            <v>MOOE</v>
          </cell>
          <cell r="J631" t="str">
            <v>MOOE</v>
          </cell>
          <cell r="M631" t="str">
            <v>Payment for post-paid plan subscription, 09178177806 , for the period Jan 27- February 26, 2020 for DTI- PDI Office use</v>
          </cell>
          <cell r="X631" t="str">
            <v>0446</v>
          </cell>
          <cell r="Z631">
            <v>1392.25</v>
          </cell>
        </row>
        <row r="632">
          <cell r="B632" t="str">
            <v>0447</v>
          </cell>
          <cell r="C632" t="str">
            <v>12</v>
          </cell>
          <cell r="D632" t="str">
            <v>1843d</v>
          </cell>
          <cell r="E632" t="str">
            <v>Isports Enterprise</v>
          </cell>
          <cell r="F632" t="str">
            <v>MOOE</v>
          </cell>
          <cell r="J632" t="str">
            <v>MOOE</v>
          </cell>
          <cell r="M632" t="str">
            <v>Payment for treadmill for DTI-PDI office use</v>
          </cell>
          <cell r="X632" t="str">
            <v>0447</v>
          </cell>
          <cell r="Z632">
            <v>36694.93</v>
          </cell>
        </row>
        <row r="633">
          <cell r="B633" t="str">
            <v>0447</v>
          </cell>
          <cell r="C633" t="str">
            <v>12</v>
          </cell>
          <cell r="D633" t="str">
            <v>1843d</v>
          </cell>
          <cell r="E633" t="str">
            <v>Isports Enterprise</v>
          </cell>
          <cell r="F633" t="str">
            <v>MOOE</v>
          </cell>
          <cell r="J633" t="str">
            <v>MOOE</v>
          </cell>
          <cell r="M633" t="str">
            <v>Payment for treadmill for DTI-PDI office use</v>
          </cell>
          <cell r="X633" t="str">
            <v>0447</v>
          </cell>
          <cell r="Z633">
            <v>-36694.93</v>
          </cell>
        </row>
        <row r="634">
          <cell r="B634" t="str">
            <v>0448</v>
          </cell>
          <cell r="C634" t="str">
            <v>12</v>
          </cell>
          <cell r="D634" t="str">
            <v>1843c</v>
          </cell>
          <cell r="E634" t="str">
            <v>Fast Tech Computers</v>
          </cell>
          <cell r="F634" t="str">
            <v>MOOE</v>
          </cell>
          <cell r="J634" t="str">
            <v>MOOE</v>
          </cell>
          <cell r="M634" t="str">
            <v>Payment for desktop computer for DTI-PDI Office use</v>
          </cell>
          <cell r="X634" t="str">
            <v>0448</v>
          </cell>
          <cell r="Z634">
            <v>37920</v>
          </cell>
        </row>
        <row r="635">
          <cell r="B635" t="str">
            <v>0448</v>
          </cell>
          <cell r="C635" t="str">
            <v>12</v>
          </cell>
          <cell r="D635" t="str">
            <v>1843c</v>
          </cell>
          <cell r="E635" t="str">
            <v>Fast Tech Computers</v>
          </cell>
          <cell r="F635" t="str">
            <v>MOOE</v>
          </cell>
          <cell r="J635" t="str">
            <v>MOOE</v>
          </cell>
          <cell r="M635" t="str">
            <v>Payment for desktop computer for DTI-PDI Office use</v>
          </cell>
          <cell r="X635" t="str">
            <v>0448</v>
          </cell>
          <cell r="Z635">
            <v>-37920</v>
          </cell>
        </row>
        <row r="636">
          <cell r="B636" t="str">
            <v>0449</v>
          </cell>
          <cell r="C636" t="str">
            <v>03</v>
          </cell>
          <cell r="D636" t="str">
            <v>253</v>
          </cell>
          <cell r="E636" t="str">
            <v>Hi-5 Signages Fabricator</v>
          </cell>
          <cell r="F636" t="str">
            <v>MOOE</v>
          </cell>
          <cell r="J636" t="str">
            <v>MOOE</v>
          </cell>
          <cell r="M636" t="str">
            <v>Payment for tarpaulin printing services re: 2021 media and CSO briefing last Feb 3, 2021</v>
          </cell>
          <cell r="X636" t="str">
            <v>0449</v>
          </cell>
          <cell r="Z636">
            <v>750</v>
          </cell>
        </row>
        <row r="637">
          <cell r="B637" t="str">
            <v>0450</v>
          </cell>
          <cell r="C637" t="str">
            <v>03</v>
          </cell>
          <cell r="D637" t="str">
            <v>1843H</v>
          </cell>
          <cell r="E637" t="str">
            <v>Mahayahay Multi-Purpose Cooperative</v>
          </cell>
          <cell r="F637" t="str">
            <v>MOOE</v>
          </cell>
          <cell r="J637" t="str">
            <v>MOOE</v>
          </cell>
          <cell r="M637" t="str">
            <v>Payment for 5 units CISS Printer for DTI-PDI Office use</v>
          </cell>
          <cell r="X637" t="str">
            <v>0450</v>
          </cell>
          <cell r="Z637">
            <v>48400</v>
          </cell>
        </row>
        <row r="638">
          <cell r="B638" t="str">
            <v>0450</v>
          </cell>
          <cell r="C638" t="str">
            <v>03</v>
          </cell>
          <cell r="D638" t="str">
            <v>1843H</v>
          </cell>
          <cell r="E638" t="str">
            <v>Mahayahay Multi-Purpose Cooperative</v>
          </cell>
          <cell r="F638" t="str">
            <v>MOOE</v>
          </cell>
          <cell r="J638" t="str">
            <v>MOOE</v>
          </cell>
          <cell r="M638" t="str">
            <v>Payment for 5 units CISS Printer for DTI-PDI Office use</v>
          </cell>
          <cell r="X638" t="str">
            <v>0450</v>
          </cell>
          <cell r="Z638">
            <v>-48400</v>
          </cell>
        </row>
        <row r="639">
          <cell r="B639" t="str">
            <v>0451</v>
          </cell>
          <cell r="C639" t="str">
            <v>12</v>
          </cell>
          <cell r="D639" t="str">
            <v>1843I</v>
          </cell>
          <cell r="E639" t="str">
            <v>Robinsons Appliances Corporation</v>
          </cell>
          <cell r="F639" t="str">
            <v>MOOE</v>
          </cell>
          <cell r="J639" t="str">
            <v>MOOE</v>
          </cell>
          <cell r="M639" t="str">
            <v>Payment for 1 unit laptop for DTI-PDI SSF use</v>
          </cell>
          <cell r="X639" t="str">
            <v>0451</v>
          </cell>
          <cell r="Z639">
            <v>40694.54</v>
          </cell>
        </row>
        <row r="640">
          <cell r="B640" t="str">
            <v>0452</v>
          </cell>
          <cell r="C640" t="str">
            <v>12</v>
          </cell>
          <cell r="D640" t="str">
            <v>1843J</v>
          </cell>
          <cell r="E640" t="str">
            <v>Integrated Services for development of Aquaculture and Fisheries Inc.</v>
          </cell>
          <cell r="F640" t="str">
            <v>MOOE</v>
          </cell>
          <cell r="J640" t="str">
            <v>MOOE</v>
          </cell>
          <cell r="M640" t="str">
            <v>Payment for PF as technical support to DTI-PDI and the cooperator of the SSF on crab Hatchery and Grow out Facility</v>
          </cell>
          <cell r="X640" t="str">
            <v>0452</v>
          </cell>
          <cell r="Z640">
            <v>40500</v>
          </cell>
        </row>
        <row r="641">
          <cell r="B641" t="str">
            <v>0452</v>
          </cell>
          <cell r="C641" t="str">
            <v>12</v>
          </cell>
          <cell r="D641" t="str">
            <v>1843J</v>
          </cell>
          <cell r="E641" t="str">
            <v>Integrated Services for development of Aquaculture and Fisheries Inc.</v>
          </cell>
          <cell r="F641" t="str">
            <v>MOOE</v>
          </cell>
          <cell r="J641" t="str">
            <v>MOOE</v>
          </cell>
          <cell r="M641" t="str">
            <v>Payment for PF as technical support to DTI-PDI and the cooperator of the SSF on crab Hatchery and Grow out Facility</v>
          </cell>
          <cell r="X641" t="str">
            <v>0452</v>
          </cell>
          <cell r="Z641">
            <v>-40500</v>
          </cell>
        </row>
        <row r="642">
          <cell r="B642" t="str">
            <v>0453</v>
          </cell>
          <cell r="C642" t="str">
            <v>12</v>
          </cell>
          <cell r="D642" t="str">
            <v>1990</v>
          </cell>
          <cell r="E642" t="str">
            <v>Joseph Arnold de Guzman</v>
          </cell>
          <cell r="F642" t="str">
            <v>MOOE</v>
          </cell>
          <cell r="G642" t="str">
            <v>RO</v>
          </cell>
          <cell r="I642" t="str">
            <v>R</v>
          </cell>
          <cell r="J642" t="str">
            <v>MOOE</v>
          </cell>
          <cell r="K642" t="str">
            <v>NC</v>
          </cell>
          <cell r="M642" t="str">
            <v>Payment of coaching session during KMME Online session batch 2(mentees:Ragas, Magtibay, Nojara) on November 16-27, 2020</v>
          </cell>
          <cell r="X642" t="str">
            <v>0453</v>
          </cell>
          <cell r="Z642">
            <v>9500</v>
          </cell>
        </row>
        <row r="643">
          <cell r="B643" t="str">
            <v>0454</v>
          </cell>
          <cell r="C643" t="str">
            <v>03</v>
          </cell>
          <cell r="D643" t="str">
            <v>252</v>
          </cell>
          <cell r="E643" t="str">
            <v>Compañero Commercial</v>
          </cell>
          <cell r="F643" t="str">
            <v>MOOE</v>
          </cell>
          <cell r="J643" t="str">
            <v>MOOE</v>
          </cell>
          <cell r="K643" t="str">
            <v>MSSV</v>
          </cell>
          <cell r="M643" t="str">
            <v>Payment for the 2020 Media AND CSO briefing training kits</v>
          </cell>
          <cell r="X643" t="str">
            <v>0454</v>
          </cell>
          <cell r="Z643">
            <v>3558.57</v>
          </cell>
        </row>
        <row r="644">
          <cell r="B644" t="str">
            <v>0455</v>
          </cell>
          <cell r="C644" t="str">
            <v>03</v>
          </cell>
          <cell r="D644" t="str">
            <v>254</v>
          </cell>
          <cell r="E644" t="str">
            <v>Almont Inland Resort</v>
          </cell>
          <cell r="F644" t="str">
            <v>MOOE</v>
          </cell>
          <cell r="J644" t="str">
            <v>MOOE</v>
          </cell>
          <cell r="M644" t="str">
            <v>Payment for the provision of meals and venue during the 2020 media and cso briefing on Feb 3, 2021</v>
          </cell>
          <cell r="X644" t="str">
            <v>0455</v>
          </cell>
          <cell r="Z644">
            <v>28125</v>
          </cell>
        </row>
        <row r="645">
          <cell r="B645" t="str">
            <v>0456</v>
          </cell>
          <cell r="C645" t="str">
            <v>12</v>
          </cell>
          <cell r="D645" t="str">
            <v>2023A</v>
          </cell>
          <cell r="E645" t="str">
            <v>G-Hoven Solutions</v>
          </cell>
          <cell r="F645" t="str">
            <v>MOOE</v>
          </cell>
          <cell r="J645" t="str">
            <v>MOOE</v>
          </cell>
          <cell r="M645" t="str">
            <v>Payment for online video conference and subscription of RPSB activities for 2020 Oct-Dec</v>
          </cell>
          <cell r="X645" t="str">
            <v>0456</v>
          </cell>
          <cell r="Z645">
            <v>4495.3100000000004</v>
          </cell>
        </row>
        <row r="646">
          <cell r="B646" t="str">
            <v>0457</v>
          </cell>
          <cell r="C646" t="str">
            <v>03</v>
          </cell>
          <cell r="D646" t="str">
            <v>172</v>
          </cell>
          <cell r="E646" t="str">
            <v>Julieta B. Ogoy</v>
          </cell>
          <cell r="F646" t="str">
            <v>MOOE</v>
          </cell>
          <cell r="J646" t="str">
            <v>MOOE</v>
          </cell>
          <cell r="M646" t="str">
            <v>Reimbursement, Registration fee for Public Service Values in times of adversities for the month of Feb 2021.</v>
          </cell>
          <cell r="X646" t="str">
            <v>0457</v>
          </cell>
          <cell r="Z646">
            <v>2800</v>
          </cell>
        </row>
        <row r="647">
          <cell r="B647" t="str">
            <v>0458</v>
          </cell>
          <cell r="C647" t="str">
            <v>03</v>
          </cell>
          <cell r="D647" t="str">
            <v>263</v>
          </cell>
          <cell r="E647" t="str">
            <v>Ralph O. Gorgonio</v>
          </cell>
          <cell r="F647" t="str">
            <v>MOOE</v>
          </cell>
          <cell r="J647" t="str">
            <v>MOOE</v>
          </cell>
          <cell r="M647" t="str">
            <v>Reimbursment, fuel consumption re: pick up DTI-CARAGA MV (Rapid) in CDO</v>
          </cell>
          <cell r="X647" t="str">
            <v>0458</v>
          </cell>
          <cell r="Z647">
            <v>2000</v>
          </cell>
        </row>
        <row r="648">
          <cell r="B648" t="str">
            <v>0459</v>
          </cell>
          <cell r="C648" t="str">
            <v>03</v>
          </cell>
          <cell r="D648" t="str">
            <v>266</v>
          </cell>
          <cell r="E648" t="str">
            <v>CSC TRAINING FUND</v>
          </cell>
          <cell r="F648" t="str">
            <v>MOOE</v>
          </cell>
          <cell r="J648" t="str">
            <v>MOOE</v>
          </cell>
          <cell r="M648" t="str">
            <v>Payment of registration fee for the "Online Course on Basic Customer Service Skills(BCSS) on May 4, 7, and 11, 2021</v>
          </cell>
          <cell r="X648" t="str">
            <v>0459</v>
          </cell>
          <cell r="Z648">
            <v>9600</v>
          </cell>
        </row>
        <row r="649">
          <cell r="B649" t="str">
            <v>0460</v>
          </cell>
          <cell r="C649" t="str">
            <v>03</v>
          </cell>
          <cell r="D649" t="str">
            <v>261</v>
          </cell>
          <cell r="E649" t="str">
            <v>Globe Telecpm, Inc.</v>
          </cell>
          <cell r="F649" t="str">
            <v>MOOE</v>
          </cell>
          <cell r="J649" t="str">
            <v>MOOE</v>
          </cell>
          <cell r="M649" t="str">
            <v>Payment for post paid plan subscription, DTIU95050-091770054687, for the month of Jan 13- Feb 12, 2021</v>
          </cell>
          <cell r="X649" t="str">
            <v>0460</v>
          </cell>
          <cell r="Z649">
            <v>3281.25</v>
          </cell>
        </row>
        <row r="650">
          <cell r="B650" t="str">
            <v>0461</v>
          </cell>
          <cell r="C650" t="str">
            <v>03</v>
          </cell>
          <cell r="D650" t="str">
            <v>243</v>
          </cell>
          <cell r="E650" t="str">
            <v>PD, DTI-SDS</v>
          </cell>
          <cell r="F650" t="str">
            <v>MOOE</v>
          </cell>
          <cell r="J650" t="str">
            <v>MOOE</v>
          </cell>
          <cell r="M650" t="str">
            <v>Advances , in support to areas affected by TS Auring</v>
          </cell>
          <cell r="X650" t="str">
            <v>0461</v>
          </cell>
          <cell r="Z650">
            <v>65000</v>
          </cell>
        </row>
        <row r="651">
          <cell r="B651" t="str">
            <v>0461</v>
          </cell>
          <cell r="C651" t="str">
            <v>03</v>
          </cell>
          <cell r="D651" t="str">
            <v>243</v>
          </cell>
          <cell r="E651" t="str">
            <v>PD, DTI-SDS</v>
          </cell>
          <cell r="F651" t="str">
            <v>MOOE</v>
          </cell>
          <cell r="J651" t="str">
            <v>MOOE</v>
          </cell>
          <cell r="M651" t="str">
            <v>Advances , in support to areas affected by TS Auring</v>
          </cell>
          <cell r="X651" t="str">
            <v>0461</v>
          </cell>
          <cell r="Z651">
            <v>-65000</v>
          </cell>
        </row>
        <row r="652">
          <cell r="B652" t="str">
            <v>0462</v>
          </cell>
          <cell r="C652" t="str">
            <v>03</v>
          </cell>
          <cell r="D652" t="str">
            <v>246</v>
          </cell>
          <cell r="E652" t="str">
            <v>JRS Business Corporation</v>
          </cell>
          <cell r="F652" t="str">
            <v>MOOE</v>
          </cell>
          <cell r="J652" t="str">
            <v>MOOE</v>
          </cell>
          <cell r="M652" t="str">
            <v>Payment for courier services for the month of February 2021</v>
          </cell>
          <cell r="X652" t="str">
            <v>0462</v>
          </cell>
          <cell r="Z652">
            <v>7380.94</v>
          </cell>
        </row>
        <row r="653">
          <cell r="B653" t="str">
            <v>0463</v>
          </cell>
          <cell r="C653" t="str">
            <v>03</v>
          </cell>
          <cell r="D653" t="str">
            <v>251</v>
          </cell>
          <cell r="E653" t="str">
            <v>Janikka's Catering Services</v>
          </cell>
          <cell r="F653" t="str">
            <v>MOOE</v>
          </cell>
          <cell r="J653" t="str">
            <v>MOOE</v>
          </cell>
          <cell r="M653" t="str">
            <v>Payment for meals re: FAD Functional Team meetinglast January 25, 2021</v>
          </cell>
          <cell r="X653" t="str">
            <v>0463</v>
          </cell>
          <cell r="Z653">
            <v>10312.5</v>
          </cell>
        </row>
        <row r="654">
          <cell r="B654" t="str">
            <v>0464</v>
          </cell>
          <cell r="C654" t="str">
            <v>12</v>
          </cell>
          <cell r="D654" t="str">
            <v>2018</v>
          </cell>
          <cell r="E654" t="str">
            <v>JMN Multimedia Sales and Services</v>
          </cell>
          <cell r="F654" t="str">
            <v>MOOE</v>
          </cell>
          <cell r="J654" t="str">
            <v>MOOE</v>
          </cell>
          <cell r="M654" t="str">
            <v>Payment for prepaid loadcards for OTOP Ph Hub launching last December 18,2020</v>
          </cell>
          <cell r="X654" t="str">
            <v>0464</v>
          </cell>
          <cell r="Z654">
            <v>480.78</v>
          </cell>
        </row>
        <row r="655">
          <cell r="B655" t="str">
            <v>0465</v>
          </cell>
          <cell r="C655" t="str">
            <v>12</v>
          </cell>
          <cell r="D655" t="str">
            <v>2023</v>
          </cell>
          <cell r="E655" t="str">
            <v>G-Hoven Solutions</v>
          </cell>
          <cell r="F655" t="str">
            <v>MOOE</v>
          </cell>
          <cell r="J655" t="str">
            <v>MOOE</v>
          </cell>
          <cell r="M655" t="str">
            <v>Payment for the online video conference and subscription of RPSB Activities for 2020 June to August</v>
          </cell>
          <cell r="X655" t="str">
            <v>0465</v>
          </cell>
          <cell r="Z655">
            <v>4495.3100000000004</v>
          </cell>
        </row>
        <row r="656">
          <cell r="B656" t="str">
            <v>0466</v>
          </cell>
          <cell r="C656" t="str">
            <v>12</v>
          </cell>
          <cell r="D656" t="str">
            <v>2015</v>
          </cell>
          <cell r="E656" t="str">
            <v>Mahaneh Garments</v>
          </cell>
          <cell r="F656" t="str">
            <v>MOOE</v>
          </cell>
          <cell r="J656" t="str">
            <v>MOOE</v>
          </cell>
          <cell r="M656" t="str">
            <v>Payment for poloshirts for rapid use</v>
          </cell>
          <cell r="X656" t="str">
            <v>0466</v>
          </cell>
          <cell r="Z656">
            <v>25781.25</v>
          </cell>
        </row>
        <row r="657">
          <cell r="B657" t="str">
            <v>0467</v>
          </cell>
          <cell r="C657" t="str">
            <v>03</v>
          </cell>
          <cell r="D657" t="str">
            <v>262</v>
          </cell>
          <cell r="E657" t="str">
            <v>Prince Warehouse Club, Inc.</v>
          </cell>
          <cell r="F657" t="str">
            <v>MOOE</v>
          </cell>
          <cell r="J657" t="str">
            <v>MOOE</v>
          </cell>
          <cell r="M657" t="str">
            <v>Livelihood kits for TS Auring affected MSME's in Tandag, Surigao del Sur</v>
          </cell>
          <cell r="X657" t="str">
            <v>0467</v>
          </cell>
          <cell r="Z657">
            <v>924244.28</v>
          </cell>
        </row>
        <row r="658">
          <cell r="B658" t="str">
            <v>0468</v>
          </cell>
          <cell r="C658" t="str">
            <v>12</v>
          </cell>
          <cell r="D658" t="str">
            <v>2004</v>
          </cell>
          <cell r="E658" t="str">
            <v>RK Internet Café and Prints</v>
          </cell>
          <cell r="F658" t="str">
            <v>MOOE</v>
          </cell>
          <cell r="J658" t="str">
            <v>MOOE</v>
          </cell>
          <cell r="M658" t="str">
            <v>Payment for Sintra Board with sticker for OTOP Ph Hub- Caraga</v>
          </cell>
          <cell r="X658" t="str">
            <v>0468</v>
          </cell>
          <cell r="Z658">
            <v>8755.2000000000007</v>
          </cell>
        </row>
        <row r="659">
          <cell r="B659" t="str">
            <v>0469</v>
          </cell>
          <cell r="C659" t="str">
            <v>03</v>
          </cell>
          <cell r="E659" t="str">
            <v>Wyn A. Palma</v>
          </cell>
          <cell r="F659" t="str">
            <v>PS</v>
          </cell>
          <cell r="J659" t="str">
            <v>PS</v>
          </cell>
          <cell r="M659" t="str">
            <v>Full payment of terminal leave benefits of Mr. Wyn A. Palma</v>
          </cell>
          <cell r="X659" t="str">
            <v>0469</v>
          </cell>
          <cell r="Z659">
            <v>1138282.71</v>
          </cell>
        </row>
        <row r="660">
          <cell r="B660" t="str">
            <v>0470</v>
          </cell>
          <cell r="C660" t="str">
            <v>03</v>
          </cell>
          <cell r="D660" t="str">
            <v>269</v>
          </cell>
          <cell r="E660" t="str">
            <v>JMN Multimedia Sales and Services</v>
          </cell>
          <cell r="F660" t="str">
            <v>MOOE</v>
          </cell>
          <cell r="J660" t="str">
            <v>MOOE</v>
          </cell>
          <cell r="M660" t="str">
            <v>Payment for the IT supplies for IDD office use</v>
          </cell>
          <cell r="X660" t="str">
            <v>0470</v>
          </cell>
          <cell r="Z660">
            <v>5981.43</v>
          </cell>
        </row>
        <row r="661">
          <cell r="B661" t="str">
            <v>0471</v>
          </cell>
          <cell r="C661" t="str">
            <v>03</v>
          </cell>
          <cell r="D661" t="str">
            <v>270</v>
          </cell>
          <cell r="E661" t="str">
            <v>Mid- Town Computers and Services</v>
          </cell>
          <cell r="F661" t="str">
            <v>MOOE</v>
          </cell>
          <cell r="J661" t="str">
            <v>MOOE</v>
          </cell>
          <cell r="M661" t="str">
            <v>Payment for computer accessories for IDD use</v>
          </cell>
          <cell r="X661" t="str">
            <v>0471</v>
          </cell>
          <cell r="Z661">
            <v>2688</v>
          </cell>
        </row>
        <row r="662">
          <cell r="B662" t="str">
            <v>0472</v>
          </cell>
          <cell r="C662" t="str">
            <v>03</v>
          </cell>
          <cell r="D662" t="str">
            <v>277</v>
          </cell>
          <cell r="E662" t="str">
            <v>Create Food, Inc</v>
          </cell>
          <cell r="F662" t="str">
            <v>MOOE</v>
          </cell>
          <cell r="J662" t="str">
            <v>MOOE</v>
          </cell>
          <cell r="M662" t="str">
            <v>Payment for tokens re: Women Honorees/entrepreneurs</v>
          </cell>
          <cell r="X662" t="str">
            <v>0472</v>
          </cell>
          <cell r="Z662">
            <v>2386.56</v>
          </cell>
        </row>
        <row r="663">
          <cell r="B663" t="str">
            <v>0473</v>
          </cell>
          <cell r="C663" t="str">
            <v>03</v>
          </cell>
          <cell r="D663" t="str">
            <v>278</v>
          </cell>
          <cell r="E663" t="str">
            <v>Globe Telecom, Inc</v>
          </cell>
          <cell r="F663" t="str">
            <v>MOOE</v>
          </cell>
          <cell r="J663" t="str">
            <v>MOOE</v>
          </cell>
          <cell r="M663" t="str">
            <v>Payment for post paid plan subscription, 09178656567, for SDD use for Feb 2021.</v>
          </cell>
          <cell r="X663" t="str">
            <v>0473</v>
          </cell>
          <cell r="Z663">
            <v>1125</v>
          </cell>
        </row>
        <row r="664">
          <cell r="B664" t="str">
            <v>0474</v>
          </cell>
          <cell r="C664" t="str">
            <v>03</v>
          </cell>
          <cell r="D664" t="str">
            <v>279</v>
          </cell>
          <cell r="E664" t="str">
            <v>LBP F/O DTI-JO</v>
          </cell>
          <cell r="F664" t="str">
            <v>MOOE</v>
          </cell>
          <cell r="J664" t="str">
            <v>MOOE</v>
          </cell>
          <cell r="M664" t="str">
            <v>Payment of job orders for the period March 1- 15, 2021</v>
          </cell>
          <cell r="X664" t="str">
            <v>0474</v>
          </cell>
          <cell r="Z664">
            <v>12534</v>
          </cell>
        </row>
        <row r="665">
          <cell r="B665" t="str">
            <v>0475</v>
          </cell>
          <cell r="C665" t="str">
            <v>03</v>
          </cell>
          <cell r="D665" t="str">
            <v>280</v>
          </cell>
          <cell r="E665" t="str">
            <v>LBP F/O DTI-JO</v>
          </cell>
          <cell r="F665" t="str">
            <v>MOOE</v>
          </cell>
          <cell r="J665" t="str">
            <v>MOOE</v>
          </cell>
          <cell r="M665" t="str">
            <v>Payment of job orders for the period March 1- 15, 2021</v>
          </cell>
          <cell r="X665" t="str">
            <v>0475</v>
          </cell>
          <cell r="Z665">
            <v>21301.64</v>
          </cell>
        </row>
        <row r="666">
          <cell r="B666" t="str">
            <v>0476</v>
          </cell>
          <cell r="C666" t="str">
            <v>03</v>
          </cell>
          <cell r="D666" t="str">
            <v>281</v>
          </cell>
          <cell r="E666" t="str">
            <v>Globe Telecom, Inc</v>
          </cell>
          <cell r="F666" t="str">
            <v>MOOE</v>
          </cell>
          <cell r="J666" t="str">
            <v>MOOE</v>
          </cell>
          <cell r="M666" t="str">
            <v>Payment for post paid plan subscription, 09177036798, for CPD use for Feb 2021.</v>
          </cell>
          <cell r="X666" t="str">
            <v>0476</v>
          </cell>
          <cell r="Z666">
            <v>1125</v>
          </cell>
        </row>
        <row r="667">
          <cell r="B667" t="str">
            <v>0477</v>
          </cell>
          <cell r="C667" t="str">
            <v>03</v>
          </cell>
          <cell r="D667" t="str">
            <v>275</v>
          </cell>
          <cell r="E667" t="str">
            <v>JWL Sourcing Group, Inc</v>
          </cell>
          <cell r="F667" t="str">
            <v>MOOE</v>
          </cell>
          <cell r="J667" t="str">
            <v>MOOE</v>
          </cell>
          <cell r="M667" t="str">
            <v>Payment for DTI Caraga Motor Vehicle Fuel for the period Feb 1-28,2021</v>
          </cell>
          <cell r="X667" t="str">
            <v>0477</v>
          </cell>
          <cell r="Z667">
            <v>17638.59</v>
          </cell>
        </row>
        <row r="668">
          <cell r="B668" t="str">
            <v>0478</v>
          </cell>
          <cell r="C668" t="str">
            <v>03</v>
          </cell>
          <cell r="D668" t="str">
            <v>274</v>
          </cell>
          <cell r="E668" t="str">
            <v>LBP F/O DTI-JO</v>
          </cell>
          <cell r="F668" t="str">
            <v>MOOE</v>
          </cell>
          <cell r="J668" t="str">
            <v>MOOE</v>
          </cell>
          <cell r="M668" t="str">
            <v>Payment of job orders for the period March 1- 15, 2021</v>
          </cell>
          <cell r="X668" t="str">
            <v>0478</v>
          </cell>
          <cell r="Z668">
            <v>12300</v>
          </cell>
        </row>
        <row r="669">
          <cell r="B669" t="str">
            <v>0479</v>
          </cell>
          <cell r="C669" t="str">
            <v>03</v>
          </cell>
          <cell r="D669" t="str">
            <v>273</v>
          </cell>
          <cell r="E669" t="str">
            <v>LBP F/O DTI-JO</v>
          </cell>
          <cell r="F669" t="str">
            <v>MOOE</v>
          </cell>
          <cell r="J669" t="str">
            <v>MOOE</v>
          </cell>
          <cell r="M669" t="str">
            <v>Payment for JO for March 1-15, 2021</v>
          </cell>
          <cell r="X669" t="str">
            <v>0479</v>
          </cell>
          <cell r="Z669">
            <v>35286.17</v>
          </cell>
        </row>
        <row r="670">
          <cell r="B670" t="str">
            <v>0480</v>
          </cell>
          <cell r="C670" t="str">
            <v>03</v>
          </cell>
          <cell r="D670" t="str">
            <v>271</v>
          </cell>
          <cell r="E670" t="str">
            <v>Globe Telecom, Inc</v>
          </cell>
          <cell r="F670" t="str">
            <v>MOOE</v>
          </cell>
          <cell r="J670" t="str">
            <v>MOOE</v>
          </cell>
          <cell r="M670" t="str">
            <v>Payment for globe post paid plan bills for 2mos. Of RD Banquerigo with cp 09177054627</v>
          </cell>
          <cell r="X670" t="str">
            <v>0480</v>
          </cell>
          <cell r="Z670">
            <v>5053.8900000000003</v>
          </cell>
        </row>
        <row r="671">
          <cell r="B671" t="str">
            <v>0481</v>
          </cell>
          <cell r="C671" t="str">
            <v>03</v>
          </cell>
          <cell r="D671" t="str">
            <v>276</v>
          </cell>
          <cell r="E671" t="str">
            <v>Hi-5 Signages Fabricator</v>
          </cell>
          <cell r="F671" t="str">
            <v>MOOE</v>
          </cell>
          <cell r="J671" t="str">
            <v>MOOE</v>
          </cell>
          <cell r="M671" t="str">
            <v>Payment for tarpaulin printing services in observance to DSWD's awareness on Legal Adoption Activities</v>
          </cell>
          <cell r="X671" t="str">
            <v>0481</v>
          </cell>
          <cell r="Z671">
            <v>862.5</v>
          </cell>
        </row>
        <row r="672">
          <cell r="B672" t="str">
            <v>0482</v>
          </cell>
          <cell r="C672" t="str">
            <v>12</v>
          </cell>
          <cell r="D672" t="str">
            <v>1906c</v>
          </cell>
          <cell r="E672" t="str">
            <v>Jon Harley Famador</v>
          </cell>
          <cell r="F672" t="str">
            <v>MOOE</v>
          </cell>
          <cell r="J672" t="str">
            <v>MOOE</v>
          </cell>
          <cell r="M672" t="str">
            <v>Honorarium of panelist on KMME online BIP Presentation- batch 2 Dec 1-3, 2021.</v>
          </cell>
          <cell r="X672" t="str">
            <v>0482</v>
          </cell>
          <cell r="Z672">
            <v>950</v>
          </cell>
        </row>
        <row r="673">
          <cell r="B673" t="str">
            <v>0483</v>
          </cell>
          <cell r="C673" t="str">
            <v>12</v>
          </cell>
          <cell r="D673" t="str">
            <v>1906a</v>
          </cell>
          <cell r="E673" t="str">
            <v>Rene P. Villagantol</v>
          </cell>
          <cell r="F673" t="str">
            <v>MOOE</v>
          </cell>
          <cell r="J673" t="str">
            <v>MOOE</v>
          </cell>
          <cell r="M673" t="str">
            <v>Honorarium of panelist on KMME online BIP Presentation- batch 2 Dec 1-3, 2021.</v>
          </cell>
          <cell r="X673" t="str">
            <v>0483</v>
          </cell>
          <cell r="Z673">
            <v>950</v>
          </cell>
        </row>
        <row r="674">
          <cell r="B674" t="str">
            <v>0484</v>
          </cell>
          <cell r="C674" t="str">
            <v>12</v>
          </cell>
          <cell r="D674" t="str">
            <v>1987</v>
          </cell>
          <cell r="E674" t="str">
            <v>April Dabalos</v>
          </cell>
          <cell r="F674" t="str">
            <v>MOOE</v>
          </cell>
          <cell r="J674" t="str">
            <v>MOOE</v>
          </cell>
          <cell r="M674" t="str">
            <v>Honorarium of panelist on KMME online BIP Presentation- batch 2 Dec 1-3, 2021.</v>
          </cell>
          <cell r="X674" t="str">
            <v>0484</v>
          </cell>
          <cell r="Z674">
            <v>9500</v>
          </cell>
        </row>
        <row r="675">
          <cell r="B675" t="str">
            <v>0485</v>
          </cell>
          <cell r="C675" t="str">
            <v>12</v>
          </cell>
          <cell r="D675" t="str">
            <v>1906b</v>
          </cell>
          <cell r="E675" t="str">
            <v>Kamille Angelie N. Mabano</v>
          </cell>
          <cell r="F675" t="str">
            <v>MOOE</v>
          </cell>
          <cell r="J675" t="str">
            <v>MOOE</v>
          </cell>
          <cell r="M675" t="str">
            <v>Honorarium of panelist on KMME online BIP Presentation- batch 2 Dec 1-3, 2021.</v>
          </cell>
          <cell r="X675" t="str">
            <v>0485</v>
          </cell>
          <cell r="Z675">
            <v>950</v>
          </cell>
        </row>
        <row r="676">
          <cell r="B676" t="str">
            <v>0486</v>
          </cell>
          <cell r="C676" t="str">
            <v>03</v>
          </cell>
          <cell r="D676" t="str">
            <v>272</v>
          </cell>
          <cell r="E676" t="str">
            <v>Compañero Commercial</v>
          </cell>
          <cell r="F676" t="str">
            <v>MOOE</v>
          </cell>
          <cell r="J676" t="str">
            <v>MOOE</v>
          </cell>
          <cell r="M676" t="str">
            <v>Payment for the office supplies of IDD office use -1st quarter 2021</v>
          </cell>
          <cell r="X676" t="str">
            <v>0486</v>
          </cell>
          <cell r="Z676">
            <v>12871.43</v>
          </cell>
        </row>
        <row r="677">
          <cell r="B677" t="str">
            <v>0487</v>
          </cell>
          <cell r="C677" t="str">
            <v>03</v>
          </cell>
          <cell r="D677" t="str">
            <v>282</v>
          </cell>
          <cell r="E677" t="str">
            <v>Marson Jan S. Dolendo</v>
          </cell>
          <cell r="F677" t="str">
            <v>MOOE</v>
          </cell>
          <cell r="J677" t="str">
            <v>MOOE</v>
          </cell>
          <cell r="M677" t="str">
            <v>Reimbursement of the payment for the cash gift og Rev. Fr. Nercipino C. Orbus during the blessing of the new DTI Vehicle</v>
          </cell>
          <cell r="X677" t="str">
            <v>0487</v>
          </cell>
          <cell r="Z677">
            <v>1500</v>
          </cell>
        </row>
        <row r="678">
          <cell r="B678" t="str">
            <v>0488</v>
          </cell>
          <cell r="C678" t="str">
            <v>03</v>
          </cell>
          <cell r="D678" t="str">
            <v>283</v>
          </cell>
          <cell r="E678" t="str">
            <v>Jasmin B. Faelnar</v>
          </cell>
          <cell r="F678" t="str">
            <v>MOOE</v>
          </cell>
          <cell r="J678" t="str">
            <v>MOOE</v>
          </cell>
          <cell r="M678" t="str">
            <v>Reimb. For the purchase of bouquet of flowers for the successful woman entrepreneur of DTI-AD N</v>
          </cell>
          <cell r="X678" t="str">
            <v>0488</v>
          </cell>
          <cell r="Z678">
            <v>350</v>
          </cell>
        </row>
        <row r="679">
          <cell r="B679" t="str">
            <v>0489</v>
          </cell>
          <cell r="C679" t="str">
            <v>03</v>
          </cell>
          <cell r="D679" t="str">
            <v>285</v>
          </cell>
          <cell r="E679" t="str">
            <v>True Brew Gourmet Coffee Shop</v>
          </cell>
          <cell r="F679" t="str">
            <v>MOOE</v>
          </cell>
          <cell r="J679" t="str">
            <v>MOOE</v>
          </cell>
          <cell r="M679" t="str">
            <v>Payment for the meals and snacks during the 2021 Women's Summit</v>
          </cell>
          <cell r="X679" t="str">
            <v>0489</v>
          </cell>
          <cell r="Z679">
            <v>29812.5</v>
          </cell>
        </row>
        <row r="680">
          <cell r="B680" t="str">
            <v>0490</v>
          </cell>
          <cell r="C680" t="str">
            <v>03</v>
          </cell>
          <cell r="D680" t="str">
            <v>286</v>
          </cell>
          <cell r="E680" t="str">
            <v>Hi-5 Signages Fabricator</v>
          </cell>
          <cell r="F680" t="str">
            <v>MOOE</v>
          </cell>
          <cell r="J680" t="str">
            <v>MOOE</v>
          </cell>
          <cell r="M680" t="str">
            <v>Payment for printing services re: National Women's Month Celebration</v>
          </cell>
          <cell r="X680" t="str">
            <v>0490</v>
          </cell>
          <cell r="Z680">
            <v>450</v>
          </cell>
        </row>
        <row r="681">
          <cell r="B681" t="str">
            <v>0491</v>
          </cell>
          <cell r="C681" t="str">
            <v>03</v>
          </cell>
          <cell r="D681" t="str">
            <v>287</v>
          </cell>
          <cell r="E681" t="str">
            <v>LBP F/O-CARP employee</v>
          </cell>
          <cell r="F681" t="str">
            <v>PS</v>
          </cell>
          <cell r="J681" t="str">
            <v>PS</v>
          </cell>
          <cell r="K681" t="str">
            <v>CARP</v>
          </cell>
          <cell r="M681" t="str">
            <v>Payment for CARP employees cothing allowance for CY 2021</v>
          </cell>
          <cell r="X681" t="str">
            <v>0491</v>
          </cell>
          <cell r="Z681">
            <v>48000</v>
          </cell>
        </row>
        <row r="682">
          <cell r="B682" t="str">
            <v>0492</v>
          </cell>
          <cell r="C682" t="str">
            <v>03</v>
          </cell>
          <cell r="E682" t="str">
            <v>LBP F/O DTI-RO</v>
          </cell>
          <cell r="F682" t="str">
            <v>PS</v>
          </cell>
          <cell r="J682" t="str">
            <v>PS</v>
          </cell>
          <cell r="L682">
            <v>351153.32</v>
          </cell>
          <cell r="M682" t="str">
            <v>Payment for salaries and allowances for regular employees for the month of March 16-31, 2021.</v>
          </cell>
          <cell r="X682" t="str">
            <v>0492</v>
          </cell>
          <cell r="Z682">
            <v>351153.32</v>
          </cell>
        </row>
        <row r="683">
          <cell r="B683" t="str">
            <v>0493</v>
          </cell>
          <cell r="C683" t="str">
            <v>03</v>
          </cell>
          <cell r="E683" t="str">
            <v>LBP F/O DTI-ads</v>
          </cell>
          <cell r="F683" t="str">
            <v>PS</v>
          </cell>
          <cell r="J683" t="str">
            <v>PS</v>
          </cell>
          <cell r="L683">
            <v>102762.55</v>
          </cell>
          <cell r="M683" t="str">
            <v>Payment for salaries and allowances for regular employees for the month of March 16-31, 2021.</v>
          </cell>
          <cell r="X683" t="str">
            <v>0493</v>
          </cell>
          <cell r="Z683">
            <v>102762.55</v>
          </cell>
        </row>
        <row r="684">
          <cell r="B684" t="str">
            <v>0494</v>
          </cell>
          <cell r="C684" t="str">
            <v>03</v>
          </cell>
          <cell r="E684" t="str">
            <v>LBP F/O DTI-SDN</v>
          </cell>
          <cell r="F684" t="str">
            <v>PS</v>
          </cell>
          <cell r="J684" t="str">
            <v>PS</v>
          </cell>
          <cell r="L684">
            <v>82889.570000000007</v>
          </cell>
          <cell r="M684" t="str">
            <v>Payment for salaries and allowances for regular employees for the month of March 16-31, 2021.</v>
          </cell>
          <cell r="X684" t="str">
            <v>0494</v>
          </cell>
          <cell r="Z684">
            <v>82889.570000000007</v>
          </cell>
        </row>
        <row r="685">
          <cell r="B685" t="str">
            <v>0495</v>
          </cell>
          <cell r="C685" t="str">
            <v>03</v>
          </cell>
          <cell r="E685" t="str">
            <v>LBP F/O DTI-SDS</v>
          </cell>
          <cell r="F685" t="str">
            <v>PS</v>
          </cell>
          <cell r="J685" t="str">
            <v>PS</v>
          </cell>
          <cell r="L685">
            <v>146482.78</v>
          </cell>
          <cell r="M685" t="str">
            <v>Payment for salaries and allowances for regular employees for the month of March 16-31, 2021.</v>
          </cell>
          <cell r="X685" t="str">
            <v>0495</v>
          </cell>
          <cell r="Z685">
            <v>146482.78</v>
          </cell>
        </row>
        <row r="686">
          <cell r="B686" t="str">
            <v>0496</v>
          </cell>
          <cell r="C686" t="str">
            <v>03</v>
          </cell>
          <cell r="E686" t="str">
            <v>LBP F/O DTI-PDI</v>
          </cell>
          <cell r="F686" t="str">
            <v>PS</v>
          </cell>
          <cell r="J686" t="str">
            <v>PS</v>
          </cell>
          <cell r="L686">
            <v>93042.85</v>
          </cell>
          <cell r="M686" t="str">
            <v>Payment for salaries and allowances for regular employees for the month of March 16-31, 2021.</v>
          </cell>
          <cell r="X686" t="str">
            <v>0496</v>
          </cell>
          <cell r="Z686">
            <v>93042.85</v>
          </cell>
        </row>
        <row r="687">
          <cell r="B687" t="str">
            <v>0497</v>
          </cell>
          <cell r="C687" t="str">
            <v>03</v>
          </cell>
          <cell r="E687" t="str">
            <v>LBP F/O DTI-ADN</v>
          </cell>
          <cell r="F687" t="str">
            <v>PS</v>
          </cell>
          <cell r="J687" t="str">
            <v>PS</v>
          </cell>
          <cell r="L687">
            <v>100622.32</v>
          </cell>
          <cell r="M687" t="str">
            <v>Payment for salaries and allowances for regular employees for the month of March 16-31, 2021.</v>
          </cell>
          <cell r="X687" t="str">
            <v>0497</v>
          </cell>
          <cell r="Z687">
            <v>100622.32</v>
          </cell>
        </row>
        <row r="688">
          <cell r="B688" t="str">
            <v>0498</v>
          </cell>
          <cell r="C688" t="str">
            <v>03</v>
          </cell>
          <cell r="E688" t="str">
            <v>LBP F/O DTI-SDS</v>
          </cell>
          <cell r="F688" t="str">
            <v>PS</v>
          </cell>
          <cell r="J688" t="str">
            <v>PS</v>
          </cell>
          <cell r="K688" t="str">
            <v>CARP</v>
          </cell>
          <cell r="L688">
            <v>29322.87</v>
          </cell>
          <cell r="M688" t="str">
            <v>Payment for salaries and allowances for CARP employees for the month of March 16-31, 2021.</v>
          </cell>
          <cell r="X688" t="str">
            <v>0498</v>
          </cell>
          <cell r="Z688">
            <v>29322.87</v>
          </cell>
        </row>
        <row r="689">
          <cell r="B689" t="str">
            <v>0499</v>
          </cell>
          <cell r="C689" t="str">
            <v>03</v>
          </cell>
          <cell r="D689" t="str">
            <v>289</v>
          </cell>
          <cell r="E689" t="str">
            <v>Land Bank of the Philippines</v>
          </cell>
          <cell r="F689" t="str">
            <v>MOOE</v>
          </cell>
          <cell r="G689" t="str">
            <v>SDS</v>
          </cell>
          <cell r="J689" t="str">
            <v>MOOE</v>
          </cell>
          <cell r="M689" t="str">
            <v>Payment for RAPID PCU SDS staff for March 1-15, 2021</v>
          </cell>
          <cell r="X689" t="str">
            <v>0499</v>
          </cell>
          <cell r="Z689">
            <v>41497.269999999997</v>
          </cell>
        </row>
        <row r="690">
          <cell r="B690" t="str">
            <v>0500</v>
          </cell>
          <cell r="C690" t="str">
            <v>03</v>
          </cell>
          <cell r="D690" t="str">
            <v>288</v>
          </cell>
          <cell r="E690" t="str">
            <v>Land Bank of the Philippines</v>
          </cell>
          <cell r="F690" t="str">
            <v>MOOE</v>
          </cell>
          <cell r="G690" t="str">
            <v>ADS</v>
          </cell>
          <cell r="J690" t="str">
            <v>MOOE</v>
          </cell>
          <cell r="M690" t="str">
            <v>Payment for RAPID PCU ADS staff for March 1-15, 2021</v>
          </cell>
          <cell r="X690" t="str">
            <v>0500</v>
          </cell>
          <cell r="Z690">
            <v>45808.9</v>
          </cell>
        </row>
        <row r="691">
          <cell r="B691" t="str">
            <v>0501</v>
          </cell>
          <cell r="C691" t="str">
            <v>03</v>
          </cell>
          <cell r="E691" t="str">
            <v>Joselito B. Paler</v>
          </cell>
          <cell r="F691" t="str">
            <v>PS</v>
          </cell>
          <cell r="J691" t="str">
            <v>PS</v>
          </cell>
          <cell r="K691" t="str">
            <v>CARP</v>
          </cell>
          <cell r="L691">
            <v>14057</v>
          </cell>
          <cell r="M691" t="str">
            <v>Payment for salaries and allowances for CARP employees for the month of March 16-31, 2021.</v>
          </cell>
          <cell r="X691" t="str">
            <v>0501</v>
          </cell>
          <cell r="Z691">
            <v>14057</v>
          </cell>
        </row>
        <row r="692">
          <cell r="B692" t="str">
            <v>0502</v>
          </cell>
          <cell r="C692" t="str">
            <v>03</v>
          </cell>
          <cell r="E692" t="str">
            <v>LBP F/O DTI-ADN</v>
          </cell>
          <cell r="F692" t="str">
            <v>PS</v>
          </cell>
          <cell r="J692" t="str">
            <v>PS</v>
          </cell>
          <cell r="K692" t="str">
            <v>CARP</v>
          </cell>
          <cell r="L692">
            <v>26940.43</v>
          </cell>
          <cell r="M692" t="str">
            <v>Payment for salaries and allowances for CARP employees for the month of March 16-31, 2021.</v>
          </cell>
          <cell r="X692" t="str">
            <v>0502</v>
          </cell>
          <cell r="Z692">
            <v>26940.43</v>
          </cell>
        </row>
        <row r="693">
          <cell r="B693" t="str">
            <v>0503</v>
          </cell>
          <cell r="C693" t="str">
            <v>03</v>
          </cell>
          <cell r="E693" t="str">
            <v>Lemuel D. Roboca</v>
          </cell>
          <cell r="F693" t="str">
            <v>PS</v>
          </cell>
          <cell r="J693" t="str">
            <v>PS</v>
          </cell>
          <cell r="K693" t="str">
            <v>CARP</v>
          </cell>
          <cell r="L693">
            <v>14929.18</v>
          </cell>
          <cell r="M693" t="str">
            <v>Payment for salaries and allowances for CARP employees for the month of March 16-31, 2021.</v>
          </cell>
          <cell r="X693" t="str">
            <v>0503</v>
          </cell>
          <cell r="Z693">
            <v>14929.18</v>
          </cell>
        </row>
        <row r="694">
          <cell r="B694" t="str">
            <v>0504</v>
          </cell>
          <cell r="C694" t="str">
            <v>03</v>
          </cell>
          <cell r="E694" t="str">
            <v>Ma. Malen B. Catamora</v>
          </cell>
          <cell r="F694" t="str">
            <v>PS</v>
          </cell>
          <cell r="J694" t="str">
            <v>PS</v>
          </cell>
          <cell r="K694" t="str">
            <v>CARP</v>
          </cell>
          <cell r="L694">
            <v>8884.19</v>
          </cell>
          <cell r="M694" t="str">
            <v>Payment for salaries and allowances for CARP employees for the month of March 16-31, 2021.</v>
          </cell>
          <cell r="X694" t="str">
            <v>0504</v>
          </cell>
          <cell r="Z694">
            <v>8884.19</v>
          </cell>
        </row>
        <row r="695">
          <cell r="B695" t="str">
            <v>0505</v>
          </cell>
          <cell r="C695" t="str">
            <v>03</v>
          </cell>
          <cell r="E695" t="str">
            <v>Jumar H. Llorente</v>
          </cell>
          <cell r="F695" t="str">
            <v>PS</v>
          </cell>
          <cell r="J695" t="str">
            <v>PS</v>
          </cell>
          <cell r="K695" t="str">
            <v>CARP</v>
          </cell>
          <cell r="L695">
            <v>14239.19</v>
          </cell>
          <cell r="M695" t="str">
            <v>Payment for salaries and allowances for CARP employees for the month of March 16-31, 2021.</v>
          </cell>
          <cell r="X695" t="str">
            <v>0505</v>
          </cell>
          <cell r="Z695">
            <v>14239.19</v>
          </cell>
        </row>
        <row r="696">
          <cell r="B696" t="str">
            <v>0506</v>
          </cell>
          <cell r="C696" t="str">
            <v>03</v>
          </cell>
          <cell r="E696" t="str">
            <v>Carl Mars P. Ravelo</v>
          </cell>
          <cell r="F696" t="str">
            <v>PS</v>
          </cell>
          <cell r="J696" t="str">
            <v>PS</v>
          </cell>
          <cell r="K696" t="str">
            <v>NC</v>
          </cell>
          <cell r="L696">
            <v>11559.96</v>
          </cell>
          <cell r="M696" t="str">
            <v>Payment for salaries and allowances for NC employees for the month of March 16-31, 2021.</v>
          </cell>
          <cell r="X696" t="str">
            <v>0506</v>
          </cell>
          <cell r="Z696">
            <v>11559.96</v>
          </cell>
        </row>
        <row r="697">
          <cell r="B697" t="str">
            <v>0507</v>
          </cell>
          <cell r="C697" t="str">
            <v>03</v>
          </cell>
          <cell r="E697" t="str">
            <v>Cresal Grace C. Malabanan</v>
          </cell>
          <cell r="F697" t="str">
            <v>PS</v>
          </cell>
          <cell r="J697" t="str">
            <v>PS</v>
          </cell>
          <cell r="K697" t="str">
            <v>NC</v>
          </cell>
          <cell r="L697">
            <v>11559.96</v>
          </cell>
          <cell r="M697" t="str">
            <v>Payment for salaries and allowances for NC employees for the month of March 16-31, 2021.</v>
          </cell>
          <cell r="X697" t="str">
            <v>0507</v>
          </cell>
          <cell r="Z697">
            <v>11559.96</v>
          </cell>
        </row>
        <row r="698">
          <cell r="B698" t="str">
            <v>0508</v>
          </cell>
          <cell r="C698" t="str">
            <v>03</v>
          </cell>
          <cell r="E698" t="str">
            <v>Olimar O. Sulapas</v>
          </cell>
          <cell r="F698" t="str">
            <v>PS</v>
          </cell>
          <cell r="J698" t="str">
            <v>PS</v>
          </cell>
          <cell r="K698" t="str">
            <v>NC</v>
          </cell>
          <cell r="L698">
            <v>11559.96</v>
          </cell>
          <cell r="M698" t="str">
            <v>Payment for salaries and allowances for NC employees for the month of March 16-31, 2021.</v>
          </cell>
          <cell r="X698" t="str">
            <v>0508</v>
          </cell>
          <cell r="Z698">
            <v>11559.96</v>
          </cell>
        </row>
        <row r="699">
          <cell r="B699" t="str">
            <v>0509</v>
          </cell>
          <cell r="C699" t="str">
            <v>03</v>
          </cell>
          <cell r="E699" t="str">
            <v>Rezel May C. Goloran</v>
          </cell>
          <cell r="F699" t="str">
            <v>PS</v>
          </cell>
          <cell r="J699" t="str">
            <v>PS</v>
          </cell>
          <cell r="K699" t="str">
            <v>NC</v>
          </cell>
          <cell r="L699">
            <v>11559.96</v>
          </cell>
          <cell r="M699" t="str">
            <v>Payment for salaries and allowances for NC employees for the month of March 16-31, 2021.</v>
          </cell>
          <cell r="X699" t="str">
            <v>0509</v>
          </cell>
          <cell r="Z699">
            <v>11559.96</v>
          </cell>
        </row>
        <row r="700">
          <cell r="B700" t="str">
            <v>0510</v>
          </cell>
          <cell r="C700" t="str">
            <v>03</v>
          </cell>
          <cell r="E700" t="str">
            <v>Elyn Rose A. Ranario</v>
          </cell>
          <cell r="F700" t="str">
            <v>PS</v>
          </cell>
          <cell r="J700" t="str">
            <v>PS</v>
          </cell>
          <cell r="K700" t="str">
            <v>NC</v>
          </cell>
          <cell r="L700">
            <v>11559.96</v>
          </cell>
          <cell r="M700" t="str">
            <v>Payment for salaries and allowances for NC employees for the month of March 16-31, 2021.</v>
          </cell>
          <cell r="X700" t="str">
            <v>0510</v>
          </cell>
          <cell r="Z700">
            <v>11559.96</v>
          </cell>
        </row>
        <row r="701">
          <cell r="B701" t="str">
            <v>0511</v>
          </cell>
          <cell r="C701" t="str">
            <v>03</v>
          </cell>
          <cell r="E701" t="str">
            <v>Loida C. Gumahin</v>
          </cell>
          <cell r="F701" t="str">
            <v>PS</v>
          </cell>
          <cell r="J701" t="str">
            <v>PS</v>
          </cell>
          <cell r="K701" t="str">
            <v>NC</v>
          </cell>
          <cell r="L701">
            <v>9059.9599999999991</v>
          </cell>
          <cell r="M701" t="str">
            <v>Payment for salaries and allowances for NC employees for the month of March 16-31, 2021.</v>
          </cell>
          <cell r="X701" t="str">
            <v>0511</v>
          </cell>
          <cell r="Z701">
            <v>9059.9599999999991</v>
          </cell>
        </row>
        <row r="702">
          <cell r="B702" t="str">
            <v>0512</v>
          </cell>
          <cell r="C702" t="str">
            <v>03</v>
          </cell>
          <cell r="D702" t="str">
            <v>299</v>
          </cell>
          <cell r="E702" t="str">
            <v>PD, DTI-AD N</v>
          </cell>
          <cell r="F702" t="str">
            <v>MOOE</v>
          </cell>
          <cell r="J702" t="str">
            <v>MOOE</v>
          </cell>
          <cell r="M702" t="str">
            <v>FT for regular transfer MOOE for the month of March- May2021</v>
          </cell>
          <cell r="X702" t="str">
            <v>0512</v>
          </cell>
          <cell r="Z702">
            <v>792144.86</v>
          </cell>
        </row>
        <row r="703">
          <cell r="B703" t="str">
            <v>0513</v>
          </cell>
          <cell r="C703" t="str">
            <v>03</v>
          </cell>
          <cell r="D703" t="str">
            <v>300</v>
          </cell>
          <cell r="E703" t="str">
            <v>OIC, DTI-ADS</v>
          </cell>
          <cell r="F703" t="str">
            <v>MOOE</v>
          </cell>
          <cell r="J703" t="str">
            <v>MOOE</v>
          </cell>
          <cell r="M703" t="str">
            <v>FT for regular transfer MOOE for the month of March- May2021</v>
          </cell>
          <cell r="X703" t="str">
            <v>0513</v>
          </cell>
          <cell r="Z703">
            <v>361782.7</v>
          </cell>
        </row>
        <row r="704">
          <cell r="B704" t="str">
            <v>0514</v>
          </cell>
          <cell r="C704" t="str">
            <v>03</v>
          </cell>
          <cell r="D704" t="str">
            <v>0301</v>
          </cell>
          <cell r="E704" t="str">
            <v>PD, DTI-SDN</v>
          </cell>
          <cell r="F704" t="str">
            <v>MOOE</v>
          </cell>
          <cell r="J704" t="str">
            <v>MOOE</v>
          </cell>
          <cell r="M704" t="str">
            <v>FT for regular transfer MOOE for the month of March- May2021</v>
          </cell>
          <cell r="X704" t="str">
            <v>0514</v>
          </cell>
          <cell r="Z704">
            <v>505666.32</v>
          </cell>
        </row>
        <row r="705">
          <cell r="B705" t="str">
            <v>0515</v>
          </cell>
          <cell r="C705" t="str">
            <v>03</v>
          </cell>
          <cell r="D705" t="str">
            <v>302</v>
          </cell>
          <cell r="E705" t="str">
            <v>PD, DTI-SDS</v>
          </cell>
          <cell r="F705" t="str">
            <v>MOOE</v>
          </cell>
          <cell r="J705" t="str">
            <v>MOOE</v>
          </cell>
          <cell r="M705" t="str">
            <v>FT for regular transfer MOOE for the month of March- May2021</v>
          </cell>
          <cell r="X705" t="str">
            <v>0515</v>
          </cell>
          <cell r="Z705">
            <v>532388.56000000006</v>
          </cell>
        </row>
        <row r="706">
          <cell r="B706" t="str">
            <v>0516</v>
          </cell>
          <cell r="C706" t="str">
            <v>03</v>
          </cell>
          <cell r="D706" t="str">
            <v>303</v>
          </cell>
          <cell r="E706" t="str">
            <v>OIC, DTI-PDI</v>
          </cell>
          <cell r="F706" t="str">
            <v>MOOE</v>
          </cell>
          <cell r="J706" t="str">
            <v>MOOE</v>
          </cell>
          <cell r="M706" t="str">
            <v>FT for regular transfer MOOE for the month of March- May2021</v>
          </cell>
          <cell r="X706" t="str">
            <v>0516</v>
          </cell>
          <cell r="Z706">
            <v>345963.3</v>
          </cell>
        </row>
        <row r="707">
          <cell r="B707" t="str">
            <v>0517</v>
          </cell>
          <cell r="C707" t="str">
            <v>03</v>
          </cell>
          <cell r="D707" t="str">
            <v>304</v>
          </cell>
          <cell r="E707" t="str">
            <v>PD,DTI-SDN</v>
          </cell>
          <cell r="F707" t="str">
            <v>MOOE</v>
          </cell>
          <cell r="J707" t="str">
            <v>MOOE</v>
          </cell>
          <cell r="K707" t="str">
            <v>LSP-NSB</v>
          </cell>
          <cell r="M707" t="str">
            <v>FT for LSP-NSB implementation for Jan- Spet, 2021.</v>
          </cell>
          <cell r="X707" t="str">
            <v>0517</v>
          </cell>
          <cell r="Z707">
            <v>900000</v>
          </cell>
        </row>
        <row r="708">
          <cell r="B708" t="str">
            <v>0518</v>
          </cell>
          <cell r="C708" t="str">
            <v>12</v>
          </cell>
          <cell r="D708" t="str">
            <v>1843F</v>
          </cell>
          <cell r="E708" t="str">
            <v>Globe Telecom, Inc</v>
          </cell>
          <cell r="F708" t="str">
            <v>MOOE</v>
          </cell>
          <cell r="J708" t="str">
            <v>MOOE</v>
          </cell>
          <cell r="M708" t="str">
            <v>Payment for post paid plan subscription 09178177806 for the period May 27- June 26, 2020</v>
          </cell>
          <cell r="X708" t="str">
            <v>0518</v>
          </cell>
          <cell r="Z708">
            <v>1598.88</v>
          </cell>
        </row>
        <row r="709">
          <cell r="B709" t="str">
            <v>0519</v>
          </cell>
          <cell r="C709" t="str">
            <v>12</v>
          </cell>
          <cell r="D709" t="str">
            <v>1843G</v>
          </cell>
          <cell r="E709" t="str">
            <v>Globe Telecom, Inc</v>
          </cell>
          <cell r="F709" t="str">
            <v>MOOE</v>
          </cell>
          <cell r="J709" t="str">
            <v>MOOE</v>
          </cell>
          <cell r="M709" t="str">
            <v>Payment for post paid plan subscription 09178177806 for the period June 27- H=July 26, 2020 for DTI-PDI Office</v>
          </cell>
          <cell r="X709" t="str">
            <v>0519</v>
          </cell>
          <cell r="Z709">
            <v>1802.65</v>
          </cell>
        </row>
        <row r="710">
          <cell r="B710" t="str">
            <v>0520</v>
          </cell>
          <cell r="C710" t="str">
            <v>03</v>
          </cell>
          <cell r="D710" t="str">
            <v>298</v>
          </cell>
          <cell r="E710" t="str">
            <v>Arleen P. Pahamtang</v>
          </cell>
          <cell r="F710" t="str">
            <v>MOOE</v>
          </cell>
          <cell r="J710" t="str">
            <v>MOOE</v>
          </cell>
          <cell r="M710" t="str">
            <v>Petty cash fund replenishment 2021-02-004 Mach 2-22,2021</v>
          </cell>
          <cell r="X710" t="str">
            <v>0520</v>
          </cell>
          <cell r="Z710">
            <v>4355.8500000000004</v>
          </cell>
        </row>
        <row r="711">
          <cell r="B711" t="str">
            <v>0521</v>
          </cell>
          <cell r="C711" t="str">
            <v>12</v>
          </cell>
          <cell r="D711" t="str">
            <v>2028</v>
          </cell>
          <cell r="E711" t="str">
            <v>Mary Mhel Decamotan</v>
          </cell>
          <cell r="F711" t="str">
            <v>MOOE</v>
          </cell>
          <cell r="J711" t="str">
            <v>MOOE</v>
          </cell>
          <cell r="M711" t="str">
            <v>Reimb. Of the freight for the Rattan Bags as tokens for the PSC Meeting last December 15, 2020</v>
          </cell>
          <cell r="X711" t="str">
            <v>0521</v>
          </cell>
          <cell r="Z711">
            <v>1962</v>
          </cell>
        </row>
        <row r="712">
          <cell r="B712" t="str">
            <v>0522</v>
          </cell>
          <cell r="C712" t="str">
            <v>12</v>
          </cell>
          <cell r="D712" t="str">
            <v>1878</v>
          </cell>
          <cell r="E712" t="str">
            <v>Myra Luz A. Gavero</v>
          </cell>
          <cell r="F712" t="str">
            <v>PS</v>
          </cell>
          <cell r="J712" t="str">
            <v>PS</v>
          </cell>
          <cell r="M712" t="str">
            <v>Payment of terminal leave benefits of Ms. Myra Luz A. Gavero</v>
          </cell>
          <cell r="X712" t="str">
            <v>0522</v>
          </cell>
          <cell r="Z712">
            <v>804437.39</v>
          </cell>
        </row>
        <row r="713">
          <cell r="B713" t="str">
            <v>0523</v>
          </cell>
          <cell r="C713" t="str">
            <v>12</v>
          </cell>
          <cell r="D713" t="str">
            <v>1994</v>
          </cell>
          <cell r="E713" t="str">
            <v>JMN Multimedia Sales and Services</v>
          </cell>
          <cell r="F713" t="str">
            <v>MOOE</v>
          </cell>
          <cell r="J713" t="str">
            <v>MOOE</v>
          </cell>
          <cell r="M713" t="str">
            <v>Payment for ORD Load allowance- 4th q 2020</v>
          </cell>
          <cell r="X713" t="str">
            <v>0523</v>
          </cell>
          <cell r="Z713">
            <v>1081.76</v>
          </cell>
        </row>
        <row r="714">
          <cell r="B714" t="str">
            <v>0524</v>
          </cell>
          <cell r="C714" t="str">
            <v>12</v>
          </cell>
          <cell r="D714" t="str">
            <v>2013</v>
          </cell>
          <cell r="E714" t="str">
            <v>Need Ink Sales &amp; Services</v>
          </cell>
          <cell r="F714" t="str">
            <v>MOOE</v>
          </cell>
          <cell r="J714" t="str">
            <v>MOOE</v>
          </cell>
          <cell r="M714" t="str">
            <v>Payment for Toner cartridge for FAD office use.</v>
          </cell>
          <cell r="X714" t="str">
            <v>0524</v>
          </cell>
          <cell r="Z714">
            <v>16562.5</v>
          </cell>
        </row>
        <row r="715">
          <cell r="B715" t="str">
            <v>0525</v>
          </cell>
          <cell r="C715" t="str">
            <v>03</v>
          </cell>
          <cell r="D715" t="str">
            <v>305</v>
          </cell>
          <cell r="E715" t="str">
            <v>PD, DTI-ADN</v>
          </cell>
          <cell r="F715" t="str">
            <v>MOOE</v>
          </cell>
          <cell r="J715" t="str">
            <v>MOOE</v>
          </cell>
          <cell r="M715" t="str">
            <v>Transfer of funds to cover implementation of CPD activities for 2nd and 3rd quarters budget 2021.</v>
          </cell>
          <cell r="X715" t="str">
            <v>0525</v>
          </cell>
          <cell r="Z715">
            <v>345500</v>
          </cell>
        </row>
        <row r="716">
          <cell r="B716" t="str">
            <v>0526</v>
          </cell>
          <cell r="C716" t="str">
            <v>03</v>
          </cell>
          <cell r="D716" t="str">
            <v>306</v>
          </cell>
          <cell r="E716" t="str">
            <v>PD, DTI-SDN</v>
          </cell>
          <cell r="F716" t="str">
            <v>MOOE</v>
          </cell>
          <cell r="J716" t="str">
            <v>MOOE</v>
          </cell>
          <cell r="M716" t="str">
            <v>Transfer of funds to cover implementation of CPD activities for 2nd and 3rd quarters budget 2021.</v>
          </cell>
          <cell r="X716" t="str">
            <v>0526</v>
          </cell>
          <cell r="Z716">
            <v>466200</v>
          </cell>
        </row>
        <row r="717">
          <cell r="B717" t="str">
            <v>0527</v>
          </cell>
          <cell r="C717" t="str">
            <v>03</v>
          </cell>
          <cell r="D717" t="str">
            <v>307</v>
          </cell>
          <cell r="E717" t="str">
            <v>OIC, DTI-PDI</v>
          </cell>
          <cell r="F717" t="str">
            <v>MOOE</v>
          </cell>
          <cell r="J717" t="str">
            <v>MOOE</v>
          </cell>
          <cell r="M717" t="str">
            <v>Transfer of funds to cover implementation of CPD activities for 2nd and 3rd quarters budget 2021.</v>
          </cell>
          <cell r="X717" t="str">
            <v>0527</v>
          </cell>
          <cell r="Z717">
            <v>205000</v>
          </cell>
        </row>
        <row r="718">
          <cell r="B718" t="str">
            <v>0528</v>
          </cell>
          <cell r="C718" t="str">
            <v>03</v>
          </cell>
          <cell r="D718" t="str">
            <v>308</v>
          </cell>
          <cell r="E718" t="str">
            <v>PD, DTI-AD N</v>
          </cell>
          <cell r="F718" t="str">
            <v>MOOE</v>
          </cell>
          <cell r="J718" t="str">
            <v>MOOE</v>
          </cell>
          <cell r="M718" t="str">
            <v>Advances to the SSF MOOE - 1st-3rd Quarter 2021</v>
          </cell>
          <cell r="X718" t="str">
            <v>0528</v>
          </cell>
          <cell r="Z718">
            <v>455476.19</v>
          </cell>
        </row>
        <row r="719">
          <cell r="B719" t="str">
            <v>0529</v>
          </cell>
          <cell r="C719" t="str">
            <v>03</v>
          </cell>
          <cell r="D719" t="str">
            <v>309</v>
          </cell>
          <cell r="E719" t="str">
            <v>OIC, DTI-ADS</v>
          </cell>
          <cell r="F719" t="str">
            <v>MOOE</v>
          </cell>
          <cell r="J719" t="str">
            <v>MOOE</v>
          </cell>
          <cell r="M719" t="str">
            <v>Advances to the SSF MOOE - 2nd-3rd Quarter 2021</v>
          </cell>
          <cell r="X719" t="str">
            <v>0529</v>
          </cell>
          <cell r="Z719">
            <v>284121.43</v>
          </cell>
        </row>
        <row r="720">
          <cell r="B720" t="str">
            <v>0530</v>
          </cell>
          <cell r="C720" t="str">
            <v>03</v>
          </cell>
          <cell r="D720" t="str">
            <v>310</v>
          </cell>
          <cell r="E720" t="str">
            <v>PD, DTI-SDN</v>
          </cell>
          <cell r="F720" t="str">
            <v>MOOE</v>
          </cell>
          <cell r="J720" t="str">
            <v>MOOE</v>
          </cell>
          <cell r="M720" t="str">
            <v>Advances to the SSF MOOE - 2nd-3rd Quarter 2021</v>
          </cell>
          <cell r="X720" t="str">
            <v>0530</v>
          </cell>
          <cell r="Z720">
            <v>241007.14</v>
          </cell>
        </row>
        <row r="721">
          <cell r="B721" t="str">
            <v>0531</v>
          </cell>
          <cell r="C721" t="str">
            <v>03</v>
          </cell>
          <cell r="D721" t="str">
            <v>311</v>
          </cell>
          <cell r="E721" t="str">
            <v>OIC, DTI- PDI</v>
          </cell>
          <cell r="F721" t="str">
            <v>MOOE</v>
          </cell>
          <cell r="J721" t="str">
            <v>MOOE</v>
          </cell>
          <cell r="M721" t="str">
            <v>Advances to the SSF MOOE - 2nd-3rd Quarter 2021</v>
          </cell>
          <cell r="X721" t="str">
            <v>0531</v>
          </cell>
          <cell r="Z721">
            <v>321342.84999999998</v>
          </cell>
        </row>
        <row r="722">
          <cell r="B722" t="str">
            <v>0532</v>
          </cell>
          <cell r="C722" t="str">
            <v>03</v>
          </cell>
          <cell r="D722" t="str">
            <v>314</v>
          </cell>
          <cell r="E722" t="str">
            <v>Globe Telecom, Inc</v>
          </cell>
          <cell r="F722" t="str">
            <v>MOOE</v>
          </cell>
          <cell r="J722" t="str">
            <v>MOOE</v>
          </cell>
          <cell r="M722" t="str">
            <v>Payment for globe post paid plan subscription for the month of January 2021</v>
          </cell>
          <cell r="X722" t="str">
            <v>0532</v>
          </cell>
          <cell r="Z722">
            <v>1125</v>
          </cell>
        </row>
        <row r="723">
          <cell r="B723" t="str">
            <v>0533</v>
          </cell>
          <cell r="C723" t="str">
            <v>03</v>
          </cell>
          <cell r="D723" t="str">
            <v>320</v>
          </cell>
          <cell r="E723" t="str">
            <v>Balanhai Hotel</v>
          </cell>
          <cell r="F723" t="str">
            <v>MOOE</v>
          </cell>
          <cell r="J723" t="str">
            <v>MOOE</v>
          </cell>
          <cell r="M723" t="str">
            <v>Payment for meals re: 8th DAR-DTI-DOST synchronized assessment and planning session last March 1-2, 2021</v>
          </cell>
          <cell r="X723" t="str">
            <v>0533</v>
          </cell>
          <cell r="Z723">
            <v>18750</v>
          </cell>
        </row>
        <row r="724">
          <cell r="B724" t="str">
            <v>0534</v>
          </cell>
          <cell r="C724" t="str">
            <v>03</v>
          </cell>
          <cell r="D724" t="str">
            <v>290</v>
          </cell>
          <cell r="E724" t="str">
            <v>Columbia Computer Center, Inc</v>
          </cell>
          <cell r="F724" t="str">
            <v>CO</v>
          </cell>
          <cell r="J724" t="str">
            <v>CO</v>
          </cell>
          <cell r="K724" t="str">
            <v>NC CO</v>
          </cell>
          <cell r="M724" t="str">
            <v>Payment for desktop computer for ORD use.</v>
          </cell>
          <cell r="X724" t="str">
            <v>0534</v>
          </cell>
          <cell r="Z724">
            <v>71928.570000000007</v>
          </cell>
        </row>
        <row r="725">
          <cell r="B725" t="str">
            <v>0535</v>
          </cell>
          <cell r="C725" t="str">
            <v>03</v>
          </cell>
          <cell r="D725" t="str">
            <v>291</v>
          </cell>
          <cell r="E725" t="str">
            <v>Ralph O. Gorgonio</v>
          </cell>
          <cell r="F725" t="str">
            <v>MOOE</v>
          </cell>
          <cell r="J725" t="str">
            <v>MOOE</v>
          </cell>
          <cell r="M725" t="str">
            <v>Reimbursment,for the procurement of Janitorial Supplies</v>
          </cell>
          <cell r="X725" t="str">
            <v>0535</v>
          </cell>
          <cell r="Z725">
            <v>2130</v>
          </cell>
        </row>
        <row r="726">
          <cell r="B726" t="str">
            <v>0536</v>
          </cell>
          <cell r="C726" t="str">
            <v>03</v>
          </cell>
          <cell r="D726" t="str">
            <v>292</v>
          </cell>
          <cell r="E726" t="str">
            <v>Bureau of Treasury</v>
          </cell>
          <cell r="F726" t="str">
            <v>MOOE</v>
          </cell>
          <cell r="J726" t="str">
            <v>MOOE</v>
          </cell>
          <cell r="M726" t="str">
            <v>Paymen for bond premium -renewal of application for accountable officers and employees</v>
          </cell>
          <cell r="X726" t="str">
            <v>0536</v>
          </cell>
          <cell r="Z726">
            <v>5175</v>
          </cell>
        </row>
        <row r="727">
          <cell r="B727" t="str">
            <v>0537</v>
          </cell>
          <cell r="C727" t="str">
            <v>03</v>
          </cell>
          <cell r="D727" t="str">
            <v>293</v>
          </cell>
          <cell r="E727" t="str">
            <v>Lorijane D. Sacote</v>
          </cell>
          <cell r="F727" t="str">
            <v>MOOE</v>
          </cell>
          <cell r="J727" t="str">
            <v>MOOE</v>
          </cell>
          <cell r="M727" t="str">
            <v>CA for the conduct of FTL enforcement and monitoring in Agusan del Sur on April 6-7, 2021</v>
          </cell>
          <cell r="X727" t="str">
            <v>0537</v>
          </cell>
          <cell r="Z727">
            <v>4200</v>
          </cell>
        </row>
        <row r="728">
          <cell r="B728" t="str">
            <v>0538</v>
          </cell>
          <cell r="C728" t="str">
            <v>03</v>
          </cell>
          <cell r="D728" t="str">
            <v>294</v>
          </cell>
          <cell r="E728" t="str">
            <v>JMN Multimedia Sales and Services</v>
          </cell>
          <cell r="F728" t="str">
            <v>MOOE</v>
          </cell>
          <cell r="J728" t="str">
            <v>MOOE</v>
          </cell>
          <cell r="M728" t="str">
            <v>Payment for the SDD 1st quarter prepaid loadcards</v>
          </cell>
          <cell r="X728" t="str">
            <v>0538</v>
          </cell>
          <cell r="Z728">
            <v>2544</v>
          </cell>
        </row>
        <row r="729">
          <cell r="B729" t="str">
            <v>0539</v>
          </cell>
          <cell r="C729" t="str">
            <v>03</v>
          </cell>
          <cell r="D729" t="str">
            <v>295</v>
          </cell>
          <cell r="E729" t="str">
            <v>New Aristocrat Enterprises,Inc.</v>
          </cell>
          <cell r="F729" t="str">
            <v>MOOE</v>
          </cell>
          <cell r="J729" t="str">
            <v>MOOE</v>
          </cell>
          <cell r="M729" t="str">
            <v>Payment for office supplies-glass board for IDD use.</v>
          </cell>
          <cell r="X729" t="str">
            <v>0539</v>
          </cell>
          <cell r="Z729">
            <v>2366.0700000000002</v>
          </cell>
        </row>
        <row r="730">
          <cell r="B730" t="str">
            <v>0540</v>
          </cell>
          <cell r="C730" t="str">
            <v>03</v>
          </cell>
          <cell r="D730" t="str">
            <v>296</v>
          </cell>
          <cell r="E730" t="str">
            <v>Hi-5 Signages Fabricator</v>
          </cell>
          <cell r="F730" t="str">
            <v>MOOE</v>
          </cell>
          <cell r="J730" t="str">
            <v>MOOE</v>
          </cell>
          <cell r="M730" t="str">
            <v>Payment for the tarpaulin printing in celebration of the 2021 World Consumer Rights Day</v>
          </cell>
          <cell r="X730" t="str">
            <v>0540</v>
          </cell>
          <cell r="Z730">
            <v>600.14</v>
          </cell>
        </row>
        <row r="731">
          <cell r="B731" t="str">
            <v>0541</v>
          </cell>
          <cell r="C731" t="str">
            <v>03</v>
          </cell>
          <cell r="D731" t="str">
            <v>297</v>
          </cell>
          <cell r="E731" t="str">
            <v>JT Auto Shop</v>
          </cell>
          <cell r="F731" t="str">
            <v>MOOE</v>
          </cell>
          <cell r="J731" t="str">
            <v>MOOE</v>
          </cell>
          <cell r="M731" t="str">
            <v>DTI Caraga Motor vehicle repair and maintenance</v>
          </cell>
          <cell r="X731" t="str">
            <v>0541</v>
          </cell>
          <cell r="Z731">
            <v>31521</v>
          </cell>
        </row>
        <row r="732">
          <cell r="B732" t="str">
            <v>0542</v>
          </cell>
          <cell r="C732" t="str">
            <v>12</v>
          </cell>
          <cell r="D732" t="str">
            <v>1993</v>
          </cell>
          <cell r="E732" t="str">
            <v>LG Supplies and General Merchandise</v>
          </cell>
          <cell r="F732" t="str">
            <v>MOOE</v>
          </cell>
          <cell r="J732" t="str">
            <v>MOOE</v>
          </cell>
          <cell r="M732" t="str">
            <v>Payment for IT Supplies- ORD use</v>
          </cell>
          <cell r="X732" t="str">
            <v>0542</v>
          </cell>
          <cell r="Z732">
            <v>16742.400000000001</v>
          </cell>
        </row>
        <row r="733">
          <cell r="B733" t="str">
            <v>0543</v>
          </cell>
          <cell r="C733" t="str">
            <v>03</v>
          </cell>
          <cell r="D733" t="str">
            <v>315</v>
          </cell>
          <cell r="E733" t="str">
            <v>PD, DTI-AD N</v>
          </cell>
          <cell r="F733" t="str">
            <v>MOOE</v>
          </cell>
          <cell r="J733" t="str">
            <v>MOOE</v>
          </cell>
          <cell r="K733" t="str">
            <v>OO3</v>
          </cell>
          <cell r="M733" t="str">
            <v>FT re: under OO3 programs</v>
          </cell>
          <cell r="X733" t="str">
            <v>0543</v>
          </cell>
          <cell r="Z733">
            <v>550000</v>
          </cell>
        </row>
        <row r="734">
          <cell r="B734" t="str">
            <v>0544</v>
          </cell>
          <cell r="C734" t="str">
            <v>03</v>
          </cell>
          <cell r="D734" t="str">
            <v>316</v>
          </cell>
          <cell r="E734" t="str">
            <v>OIC, DTI-ADS</v>
          </cell>
          <cell r="F734" t="str">
            <v>MOOE</v>
          </cell>
          <cell r="J734" t="str">
            <v>MOOE</v>
          </cell>
          <cell r="K734" t="str">
            <v>OO3</v>
          </cell>
          <cell r="M734" t="str">
            <v>FT re: under OO3 programs</v>
          </cell>
          <cell r="X734" t="str">
            <v>0544</v>
          </cell>
          <cell r="Z734">
            <v>550000</v>
          </cell>
        </row>
        <row r="735">
          <cell r="B735" t="str">
            <v>0545</v>
          </cell>
          <cell r="C735" t="str">
            <v>03</v>
          </cell>
          <cell r="D735" t="str">
            <v>317</v>
          </cell>
          <cell r="E735" t="str">
            <v>PD, DTI-SDN</v>
          </cell>
          <cell r="F735" t="str">
            <v>MOOE</v>
          </cell>
          <cell r="J735" t="str">
            <v>MOOE</v>
          </cell>
          <cell r="K735" t="str">
            <v>OO3</v>
          </cell>
          <cell r="M735" t="str">
            <v>FT re: under OO3 programs</v>
          </cell>
          <cell r="X735" t="str">
            <v>0545</v>
          </cell>
          <cell r="Z735">
            <v>600000</v>
          </cell>
        </row>
        <row r="736">
          <cell r="B736" t="str">
            <v>0546</v>
          </cell>
          <cell r="C736" t="str">
            <v>03</v>
          </cell>
          <cell r="D736" t="str">
            <v>318</v>
          </cell>
          <cell r="E736" t="str">
            <v>PD, DTI-SDS</v>
          </cell>
          <cell r="F736" t="str">
            <v>MOOE</v>
          </cell>
          <cell r="J736" t="str">
            <v>MOOE</v>
          </cell>
          <cell r="K736" t="str">
            <v>OO3</v>
          </cell>
          <cell r="M736" t="str">
            <v>FT re: under OO3 programs</v>
          </cell>
          <cell r="X736" t="str">
            <v>0546</v>
          </cell>
          <cell r="Z736">
            <v>550000</v>
          </cell>
        </row>
        <row r="737">
          <cell r="B737" t="str">
            <v>0547</v>
          </cell>
          <cell r="C737" t="str">
            <v>03</v>
          </cell>
          <cell r="D737" t="str">
            <v>319</v>
          </cell>
          <cell r="E737" t="str">
            <v>OIC, DTI-PDI</v>
          </cell>
          <cell r="F737" t="str">
            <v>MOOE</v>
          </cell>
          <cell r="J737" t="str">
            <v>MOOE</v>
          </cell>
          <cell r="K737" t="str">
            <v>OO3</v>
          </cell>
          <cell r="M737" t="str">
            <v>FT re: under OO3 programs</v>
          </cell>
          <cell r="X737" t="str">
            <v>0547</v>
          </cell>
          <cell r="Z737">
            <v>550000</v>
          </cell>
        </row>
        <row r="738">
          <cell r="B738" t="str">
            <v>0548</v>
          </cell>
          <cell r="C738" t="str">
            <v>12</v>
          </cell>
          <cell r="D738" t="str">
            <v>1841</v>
          </cell>
          <cell r="E738" t="str">
            <v>OIC-DTI-SDN</v>
          </cell>
          <cell r="F738" t="str">
            <v>MOOE</v>
          </cell>
          <cell r="G738" t="str">
            <v>SDN</v>
          </cell>
          <cell r="J738" t="str">
            <v>MOOE</v>
          </cell>
          <cell r="M738" t="str">
            <v>Advances, Regular MOOE for the month of November- December 2020</v>
          </cell>
          <cell r="X738" t="str">
            <v>0548</v>
          </cell>
          <cell r="Z738">
            <v>150000</v>
          </cell>
        </row>
        <row r="739">
          <cell r="B739" t="str">
            <v>0549</v>
          </cell>
          <cell r="C739" t="str">
            <v>12</v>
          </cell>
          <cell r="D739" t="str">
            <v>1842</v>
          </cell>
          <cell r="E739" t="str">
            <v>PD, DTI-SDS</v>
          </cell>
          <cell r="F739" t="str">
            <v>MOOE</v>
          </cell>
          <cell r="G739" t="str">
            <v>SDS</v>
          </cell>
          <cell r="J739" t="str">
            <v>MOOE</v>
          </cell>
          <cell r="M739" t="str">
            <v>Advances, Regular MOOE for the month of November- December 2020</v>
          </cell>
          <cell r="X739" t="str">
            <v>0549</v>
          </cell>
          <cell r="Z739">
            <v>426841.76</v>
          </cell>
        </row>
        <row r="740">
          <cell r="B740" t="str">
            <v>0550</v>
          </cell>
          <cell r="C740" t="str">
            <v>12</v>
          </cell>
          <cell r="D740" t="str">
            <v>1843</v>
          </cell>
          <cell r="E740" t="str">
            <v>PD, DTI-PDI</v>
          </cell>
          <cell r="F740" t="str">
            <v>MOOE</v>
          </cell>
          <cell r="G740" t="str">
            <v>PDI</v>
          </cell>
          <cell r="J740" t="str">
            <v>MOOE</v>
          </cell>
          <cell r="M740" t="str">
            <v>Advances, Regular MOOE for the month of November- December 2020</v>
          </cell>
          <cell r="X740" t="str">
            <v>0550</v>
          </cell>
          <cell r="Z740">
            <v>186833.71</v>
          </cell>
        </row>
        <row r="741">
          <cell r="B741" t="str">
            <v>0551</v>
          </cell>
          <cell r="C741" t="str">
            <v>03</v>
          </cell>
          <cell r="E741" t="str">
            <v>Elynur H. Gambet-Minglana</v>
          </cell>
          <cell r="F741" t="str">
            <v>PS</v>
          </cell>
          <cell r="J741" t="str">
            <v>PS</v>
          </cell>
          <cell r="L741">
            <v>24442.61</v>
          </cell>
          <cell r="M741" t="str">
            <v>Payment for salary and allowances for March 16-31, 2021</v>
          </cell>
          <cell r="X741" t="str">
            <v>0551</v>
          </cell>
          <cell r="Z741">
            <v>24442.61</v>
          </cell>
        </row>
        <row r="742">
          <cell r="B742" t="str">
            <v>0552</v>
          </cell>
          <cell r="C742" t="str">
            <v>03</v>
          </cell>
          <cell r="D742" t="str">
            <v>331</v>
          </cell>
          <cell r="E742" t="str">
            <v>PD, DTI-ADN</v>
          </cell>
          <cell r="F742" t="str">
            <v>MOOE</v>
          </cell>
          <cell r="J742" t="str">
            <v>MOOE</v>
          </cell>
          <cell r="M742" t="str">
            <v>FT for 2021 GAD activities OO1</v>
          </cell>
          <cell r="X742" t="str">
            <v>0552</v>
          </cell>
          <cell r="Z742">
            <v>51050</v>
          </cell>
        </row>
        <row r="743">
          <cell r="B743" t="str">
            <v>0553</v>
          </cell>
          <cell r="C743" t="str">
            <v>03</v>
          </cell>
          <cell r="D743" t="str">
            <v>332</v>
          </cell>
          <cell r="E743" t="str">
            <v>OIC, DTI-ADS</v>
          </cell>
          <cell r="F743" t="str">
            <v>MOOE</v>
          </cell>
          <cell r="J743" t="str">
            <v>MOOE</v>
          </cell>
          <cell r="M743" t="str">
            <v>FT for 2021 GAD activities OO1</v>
          </cell>
          <cell r="X743" t="str">
            <v>0553</v>
          </cell>
          <cell r="Z743">
            <v>100000</v>
          </cell>
        </row>
        <row r="744">
          <cell r="B744" t="str">
            <v>0554</v>
          </cell>
          <cell r="C744" t="str">
            <v>03</v>
          </cell>
          <cell r="D744" t="str">
            <v>333</v>
          </cell>
          <cell r="E744" t="str">
            <v>PD, DTI-SDN</v>
          </cell>
          <cell r="F744" t="str">
            <v>MOOE</v>
          </cell>
          <cell r="J744" t="str">
            <v>MOOE</v>
          </cell>
          <cell r="M744" t="str">
            <v>FT for 2021 GAD activities OO1</v>
          </cell>
          <cell r="X744" t="str">
            <v>0554</v>
          </cell>
          <cell r="Z744">
            <v>99030</v>
          </cell>
        </row>
        <row r="745">
          <cell r="B745" t="str">
            <v>0555</v>
          </cell>
          <cell r="C745" t="str">
            <v>03</v>
          </cell>
          <cell r="D745" t="str">
            <v>334</v>
          </cell>
          <cell r="E745" t="str">
            <v>OIC, DTI-PDI</v>
          </cell>
          <cell r="F745" t="str">
            <v>MOOE</v>
          </cell>
          <cell r="J745" t="str">
            <v>MOOE</v>
          </cell>
          <cell r="M745" t="str">
            <v>FT for 2021 GAD activities OO1</v>
          </cell>
          <cell r="X745" t="str">
            <v>0555</v>
          </cell>
          <cell r="Z745">
            <v>10250</v>
          </cell>
        </row>
        <row r="746">
          <cell r="B746" t="str">
            <v>0556</v>
          </cell>
          <cell r="C746" t="str">
            <v>03</v>
          </cell>
          <cell r="D746" t="str">
            <v>323</v>
          </cell>
          <cell r="E746" t="str">
            <v>LBP F/O DTI-JO</v>
          </cell>
          <cell r="F746" t="str">
            <v>MOOE</v>
          </cell>
          <cell r="J746" t="str">
            <v>MOOE</v>
          </cell>
          <cell r="M746" t="str">
            <v>Payment of Job orders for the period March 16-31, 2021</v>
          </cell>
          <cell r="X746" t="str">
            <v>0556</v>
          </cell>
          <cell r="Z746">
            <v>12034</v>
          </cell>
        </row>
        <row r="747">
          <cell r="B747" t="str">
            <v>0557</v>
          </cell>
          <cell r="C747" t="str">
            <v>03</v>
          </cell>
          <cell r="D747" t="str">
            <v>324</v>
          </cell>
          <cell r="E747" t="str">
            <v>Mandaue Foam</v>
          </cell>
          <cell r="F747" t="str">
            <v>MOOE</v>
          </cell>
          <cell r="J747" t="str">
            <v>MOOE</v>
          </cell>
          <cell r="M747" t="str">
            <v>Payment for the mobile pedestal for the office of the RD</v>
          </cell>
          <cell r="X747" t="str">
            <v>0557</v>
          </cell>
          <cell r="Z747">
            <v>6483.04</v>
          </cell>
        </row>
        <row r="748">
          <cell r="B748" t="str">
            <v>0558</v>
          </cell>
          <cell r="C748" t="str">
            <v>03</v>
          </cell>
          <cell r="D748" t="str">
            <v>322</v>
          </cell>
          <cell r="E748" t="str">
            <v>Aneco, Inc.</v>
          </cell>
          <cell r="F748" t="str">
            <v>MOOE</v>
          </cell>
          <cell r="J748" t="str">
            <v>MOOE</v>
          </cell>
          <cell r="M748" t="str">
            <v>Payment for electricity for Dec 20-Jan 19, 2021</v>
          </cell>
          <cell r="X748" t="str">
            <v>0558</v>
          </cell>
          <cell r="Z748">
            <v>101505.45</v>
          </cell>
        </row>
        <row r="749">
          <cell r="B749" t="str">
            <v>0559</v>
          </cell>
          <cell r="C749" t="str">
            <v>12</v>
          </cell>
          <cell r="D749" t="str">
            <v>2048</v>
          </cell>
          <cell r="E749" t="str">
            <v>Aneco, Inc.</v>
          </cell>
          <cell r="F749" t="str">
            <v>MOOE</v>
          </cell>
          <cell r="J749" t="str">
            <v>MOOE</v>
          </cell>
          <cell r="M749" t="str">
            <v>Payment for electricity for Oct 20-Nov 9, 2020</v>
          </cell>
          <cell r="X749" t="str">
            <v>0559</v>
          </cell>
          <cell r="Z749">
            <v>86607.18</v>
          </cell>
        </row>
        <row r="750">
          <cell r="B750" t="str">
            <v>0560</v>
          </cell>
          <cell r="C750" t="str">
            <v>03</v>
          </cell>
          <cell r="D750" t="str">
            <v>335</v>
          </cell>
          <cell r="E750" t="str">
            <v>Land Bank of the Philippines</v>
          </cell>
          <cell r="F750" t="str">
            <v>MOOE</v>
          </cell>
          <cell r="J750" t="str">
            <v>MOOE</v>
          </cell>
          <cell r="M750" t="str">
            <v>Reimb. Of excess expenses from cash advances of various employees</v>
          </cell>
          <cell r="X750" t="str">
            <v>0560</v>
          </cell>
          <cell r="Z750">
            <v>11455.25</v>
          </cell>
        </row>
        <row r="751">
          <cell r="B751" t="str">
            <v>0561</v>
          </cell>
          <cell r="C751" t="str">
            <v>03</v>
          </cell>
          <cell r="D751" t="str">
            <v>336</v>
          </cell>
          <cell r="E751" t="str">
            <v>Al. A. Oliverio</v>
          </cell>
          <cell r="F751" t="str">
            <v>MOOE</v>
          </cell>
          <cell r="J751" t="str">
            <v>MOOE</v>
          </cell>
          <cell r="K751" t="str">
            <v>RAPID GOP</v>
          </cell>
          <cell r="M751" t="str">
            <v>Salaries for RAPID PCU SDS staff(driver)-March 1-15, 2021</v>
          </cell>
          <cell r="X751" t="str">
            <v>0561</v>
          </cell>
          <cell r="Z751">
            <v>8164.75</v>
          </cell>
        </row>
        <row r="752">
          <cell r="B752" t="str">
            <v>0562</v>
          </cell>
          <cell r="C752" t="str">
            <v>03</v>
          </cell>
          <cell r="D752" t="str">
            <v>325</v>
          </cell>
          <cell r="E752" t="str">
            <v>Globe Telecom, Inc</v>
          </cell>
          <cell r="F752" t="str">
            <v>MOOE</v>
          </cell>
          <cell r="J752" t="str">
            <v>MOOE</v>
          </cell>
          <cell r="M752" t="str">
            <v>To payment of Globe postpaid plan subscription for the month of February 6-March 15, 2021</v>
          </cell>
          <cell r="X752" t="str">
            <v>0562</v>
          </cell>
          <cell r="Z752">
            <v>2343.75</v>
          </cell>
        </row>
        <row r="753">
          <cell r="B753" t="str">
            <v>0563</v>
          </cell>
          <cell r="C753" t="str">
            <v>03</v>
          </cell>
          <cell r="D753" t="str">
            <v>326</v>
          </cell>
          <cell r="E753" t="str">
            <v>Procurement Service</v>
          </cell>
          <cell r="F753" t="str">
            <v>MOOE</v>
          </cell>
          <cell r="J753" t="str">
            <v>MOOE</v>
          </cell>
          <cell r="M753" t="str">
            <v>Payment for SDD 1ST QUARTER 2021 Office supplies</v>
          </cell>
          <cell r="X753" t="str">
            <v>0563</v>
          </cell>
          <cell r="Z753">
            <v>2511.36</v>
          </cell>
        </row>
        <row r="754">
          <cell r="B754" t="str">
            <v>0564</v>
          </cell>
          <cell r="C754" t="str">
            <v>03</v>
          </cell>
          <cell r="D754" t="str">
            <v>327</v>
          </cell>
          <cell r="E754" t="str">
            <v>Fevi V. Silvosa</v>
          </cell>
          <cell r="F754" t="str">
            <v>MOOE</v>
          </cell>
          <cell r="J754" t="str">
            <v>MOOE</v>
          </cell>
          <cell r="M754" t="str">
            <v>Payment of Job orders for the period March 16-31, 2021</v>
          </cell>
          <cell r="X754" t="str">
            <v>0564</v>
          </cell>
          <cell r="Z754">
            <v>9000</v>
          </cell>
        </row>
        <row r="755">
          <cell r="B755" t="str">
            <v>0564</v>
          </cell>
          <cell r="C755" t="str">
            <v>03</v>
          </cell>
          <cell r="D755" t="str">
            <v>327</v>
          </cell>
          <cell r="E755" t="str">
            <v>Fevi V. Silvosa</v>
          </cell>
          <cell r="F755" t="str">
            <v>MOOE</v>
          </cell>
          <cell r="J755" t="str">
            <v>MOOE</v>
          </cell>
          <cell r="M755" t="str">
            <v>Payment of Job orders for the period March 16-31, 2021</v>
          </cell>
          <cell r="X755" t="str">
            <v>0564</v>
          </cell>
          <cell r="Z755">
            <v>-9000</v>
          </cell>
        </row>
        <row r="756">
          <cell r="B756" t="str">
            <v>0565</v>
          </cell>
          <cell r="C756" t="str">
            <v>03</v>
          </cell>
          <cell r="D756" t="str">
            <v>328</v>
          </cell>
          <cell r="E756" t="str">
            <v>D.O Plaza Holdings Corp.</v>
          </cell>
          <cell r="F756" t="str">
            <v>MOOE</v>
          </cell>
          <cell r="J756" t="str">
            <v>MOOE</v>
          </cell>
          <cell r="M756" t="str">
            <v>Payment for office rental for the month of January 2021</v>
          </cell>
          <cell r="X756" t="str">
            <v>0565</v>
          </cell>
          <cell r="Z756">
            <v>155278.13</v>
          </cell>
        </row>
        <row r="757">
          <cell r="B757" t="str">
            <v>0566</v>
          </cell>
          <cell r="C757" t="str">
            <v>03</v>
          </cell>
          <cell r="D757" t="str">
            <v>329</v>
          </cell>
          <cell r="E757" t="str">
            <v>Butuan City Water District</v>
          </cell>
          <cell r="F757" t="str">
            <v>MOOE</v>
          </cell>
          <cell r="J757" t="str">
            <v>MOOE</v>
          </cell>
          <cell r="M757" t="str">
            <v>Payment for water consumption for Feb 2021</v>
          </cell>
          <cell r="X757" t="str">
            <v>0566</v>
          </cell>
          <cell r="Z757">
            <v>7712.46</v>
          </cell>
        </row>
        <row r="758">
          <cell r="B758" t="str">
            <v>0567</v>
          </cell>
          <cell r="C758" t="str">
            <v>03</v>
          </cell>
          <cell r="D758" t="str">
            <v>330</v>
          </cell>
          <cell r="E758" t="str">
            <v>Aneco, Inc.</v>
          </cell>
          <cell r="F758" t="str">
            <v>MOOE</v>
          </cell>
          <cell r="J758" t="str">
            <v>MOOE</v>
          </cell>
          <cell r="M758" t="str">
            <v>Payment for electricity for November 20-Dec 19, 2020</v>
          </cell>
          <cell r="X758" t="str">
            <v>0567</v>
          </cell>
          <cell r="Z758">
            <v>9559.2900000000009</v>
          </cell>
        </row>
        <row r="759">
          <cell r="B759" t="str">
            <v>0568</v>
          </cell>
          <cell r="C759" t="str">
            <v>12</v>
          </cell>
          <cell r="D759" t="str">
            <v>2048A</v>
          </cell>
          <cell r="E759" t="str">
            <v>Aneco, Inc.</v>
          </cell>
          <cell r="F759" t="str">
            <v>MOOE</v>
          </cell>
          <cell r="J759" t="str">
            <v>MOOE</v>
          </cell>
          <cell r="M759" t="str">
            <v>Partial payment for utilities expenses -electricity for the period November 20- December 19, 2020</v>
          </cell>
          <cell r="X759" t="str">
            <v>0568</v>
          </cell>
          <cell r="Z759">
            <v>73582.86</v>
          </cell>
        </row>
        <row r="760">
          <cell r="B760" t="str">
            <v>0569</v>
          </cell>
          <cell r="C760" t="str">
            <v>03</v>
          </cell>
          <cell r="E760" t="str">
            <v>Land Bank of the Philippines</v>
          </cell>
          <cell r="F760" t="str">
            <v>PS</v>
          </cell>
          <cell r="J760" t="str">
            <v>PS</v>
          </cell>
          <cell r="L760">
            <v>118.93</v>
          </cell>
          <cell r="M760" t="str">
            <v>Remittance of GSIS premiums (RLIP &amp;SIC) for employees with salary differential due to to step increment (Pascual &amp; Togonon) and SSL 5 (Timogan) for the period January 4-31,2021</v>
          </cell>
          <cell r="X760" t="str">
            <v>0569</v>
          </cell>
          <cell r="Z760">
            <v>118.93</v>
          </cell>
        </row>
        <row r="761">
          <cell r="B761" t="str">
            <v>0570</v>
          </cell>
          <cell r="C761" t="str">
            <v>03</v>
          </cell>
          <cell r="D761" t="str">
            <v>284</v>
          </cell>
          <cell r="E761" t="str">
            <v>Hi-5 Signages Fabricator</v>
          </cell>
          <cell r="F761" t="str">
            <v>MOOE</v>
          </cell>
          <cell r="J761" t="str">
            <v>MOOE</v>
          </cell>
          <cell r="M761" t="str">
            <v>Payment for the plaques for the successful women entreprenuers during the 2021 Women's Summit</v>
          </cell>
          <cell r="X761" t="str">
            <v>0570</v>
          </cell>
          <cell r="Z761">
            <v>3562.5</v>
          </cell>
        </row>
        <row r="762">
          <cell r="B762" t="str">
            <v>0571</v>
          </cell>
          <cell r="C762" t="str">
            <v>12</v>
          </cell>
          <cell r="D762" t="str">
            <v>2054</v>
          </cell>
          <cell r="E762" t="str">
            <v>Land Bank of Philippines</v>
          </cell>
          <cell r="F762" t="str">
            <v>PS</v>
          </cell>
          <cell r="J762" t="str">
            <v>PS</v>
          </cell>
          <cell r="M762" t="str">
            <v>Payment of leave monetizations for DTI Caraga Employees for CY 2020.</v>
          </cell>
          <cell r="X762" t="str">
            <v>0571</v>
          </cell>
          <cell r="Z762">
            <v>838388.86</v>
          </cell>
        </row>
        <row r="763">
          <cell r="B763" t="str">
            <v>0572</v>
          </cell>
          <cell r="C763" t="str">
            <v>12</v>
          </cell>
          <cell r="D763" t="str">
            <v>2039</v>
          </cell>
          <cell r="E763" t="str">
            <v>Fruitful Enterprises</v>
          </cell>
          <cell r="F763" t="str">
            <v>CO</v>
          </cell>
          <cell r="J763" t="str">
            <v>CO</v>
          </cell>
          <cell r="K763" t="str">
            <v>SSF</v>
          </cell>
          <cell r="M763" t="str">
            <v>Payment for supply, delivery and installation of the SSF Project on Cacao processing by Dinagat Island Pure Organic Farmers Association Lot 1 with PO no. (20-12-23-007). 1unit Multi Commodity Solar Tunnel Dryer, 2 units of Fermentation Box, 2units Stainle</v>
          </cell>
          <cell r="X763" t="str">
            <v>0572</v>
          </cell>
          <cell r="Z763">
            <v>399360</v>
          </cell>
        </row>
        <row r="764">
          <cell r="B764" t="str">
            <v>0573</v>
          </cell>
          <cell r="C764" t="str">
            <v>12</v>
          </cell>
          <cell r="D764" t="str">
            <v>2040</v>
          </cell>
          <cell r="E764" t="str">
            <v>Davao Technocraft</v>
          </cell>
          <cell r="F764" t="str">
            <v>CO</v>
          </cell>
          <cell r="J764" t="str">
            <v>CO</v>
          </cell>
          <cell r="K764" t="str">
            <v>SSF</v>
          </cell>
          <cell r="M764" t="str">
            <v>Payment for supply, delivery and installation of the SSF Project on Cacao processing by Dinagat Island Pure Organic Farmers Association Lot 1 with PO no. (20-12-23-008). 1unit Cacao Roaster, 1 unit of Cacao Grinder, 1 unit cacao sheller with Sifter.</v>
          </cell>
          <cell r="X764" t="str">
            <v>0573</v>
          </cell>
          <cell r="Z764">
            <v>530000</v>
          </cell>
        </row>
        <row r="765">
          <cell r="B765" t="str">
            <v>0574</v>
          </cell>
          <cell r="C765" t="str">
            <v>03</v>
          </cell>
          <cell r="D765" t="str">
            <v>338</v>
          </cell>
          <cell r="E765" t="str">
            <v>OIC, DTI-PDI</v>
          </cell>
          <cell r="F765" t="str">
            <v>MOOE</v>
          </cell>
          <cell r="J765" t="str">
            <v>MOOE</v>
          </cell>
          <cell r="M765" t="str">
            <v>FT for DTI-CARP implementation for 1st-3rd Quarter</v>
          </cell>
          <cell r="X765" t="str">
            <v>0574</v>
          </cell>
          <cell r="Z765">
            <v>256101</v>
          </cell>
        </row>
        <row r="766">
          <cell r="B766" t="str">
            <v>0575</v>
          </cell>
          <cell r="C766" t="str">
            <v>03</v>
          </cell>
          <cell r="D766" t="str">
            <v>339</v>
          </cell>
          <cell r="E766" t="str">
            <v>PD, DTI-SDN</v>
          </cell>
          <cell r="F766" t="str">
            <v>MOOE</v>
          </cell>
          <cell r="J766" t="str">
            <v>MOOE</v>
          </cell>
          <cell r="M766" t="str">
            <v>FT for DTI-CARP implementation for 1st-3rd Quarter</v>
          </cell>
          <cell r="X766" t="str">
            <v>0575</v>
          </cell>
          <cell r="Z766">
            <v>184464</v>
          </cell>
        </row>
        <row r="767">
          <cell r="B767" t="str">
            <v>0576</v>
          </cell>
          <cell r="C767" t="str">
            <v>03</v>
          </cell>
          <cell r="D767" t="str">
            <v>337</v>
          </cell>
          <cell r="E767" t="str">
            <v>LBP, F/O DTI-JO</v>
          </cell>
          <cell r="F767" t="str">
            <v>MOOE</v>
          </cell>
          <cell r="J767" t="str">
            <v>MOOE</v>
          </cell>
          <cell r="M767" t="str">
            <v>Payment of JO for period March 16-31, 2021</v>
          </cell>
          <cell r="X767" t="str">
            <v>0576</v>
          </cell>
          <cell r="Z767">
            <v>22316</v>
          </cell>
        </row>
        <row r="768">
          <cell r="B768" t="str">
            <v>0577</v>
          </cell>
          <cell r="C768" t="str">
            <v>03</v>
          </cell>
          <cell r="D768" t="str">
            <v>312</v>
          </cell>
          <cell r="E768" t="str">
            <v>LBP, F/O DTI-JO</v>
          </cell>
          <cell r="F768" t="str">
            <v>MOOE</v>
          </cell>
          <cell r="J768" t="str">
            <v>MOOE</v>
          </cell>
          <cell r="M768" t="str">
            <v>Payment of JO for period March 16-31, 2021</v>
          </cell>
          <cell r="X768" t="str">
            <v>0577</v>
          </cell>
          <cell r="Z768">
            <v>14120</v>
          </cell>
        </row>
        <row r="769">
          <cell r="B769" t="str">
            <v>0578</v>
          </cell>
          <cell r="C769" t="str">
            <v>03</v>
          </cell>
          <cell r="D769" t="str">
            <v>313</v>
          </cell>
          <cell r="E769" t="str">
            <v>LBP, F/O DTI-JO</v>
          </cell>
          <cell r="F769" t="str">
            <v>MOOE</v>
          </cell>
          <cell r="J769" t="str">
            <v>MOOE</v>
          </cell>
          <cell r="M769" t="str">
            <v>Payment of JO for period March 16-31, 2021</v>
          </cell>
          <cell r="X769" t="str">
            <v>0578</v>
          </cell>
          <cell r="Z769">
            <v>38703.17</v>
          </cell>
        </row>
        <row r="770">
          <cell r="B770" t="str">
            <v>0579</v>
          </cell>
          <cell r="C770" t="str">
            <v>03</v>
          </cell>
          <cell r="D770" t="str">
            <v>327</v>
          </cell>
          <cell r="E770" t="str">
            <v>Fevi V. Silvosa</v>
          </cell>
          <cell r="F770" t="str">
            <v>MOOE</v>
          </cell>
          <cell r="J770" t="str">
            <v>MOOE</v>
          </cell>
          <cell r="M770" t="str">
            <v>Payment of JO for period March 16-31, 2021</v>
          </cell>
          <cell r="X770" t="str">
            <v>0579</v>
          </cell>
          <cell r="Z770">
            <v>9000</v>
          </cell>
        </row>
        <row r="771">
          <cell r="B771" t="str">
            <v>0580</v>
          </cell>
          <cell r="C771" t="str">
            <v>03</v>
          </cell>
          <cell r="D771" t="str">
            <v>340</v>
          </cell>
          <cell r="E771" t="str">
            <v>OIC, DTI-ADS</v>
          </cell>
          <cell r="F771" t="str">
            <v>MOOE</v>
          </cell>
          <cell r="J771" t="str">
            <v>MOOE</v>
          </cell>
          <cell r="M771" t="str">
            <v>FT for NC implementation (Feb-Sept 2021)</v>
          </cell>
          <cell r="X771" t="str">
            <v>0580</v>
          </cell>
          <cell r="Z771">
            <v>1464950</v>
          </cell>
        </row>
        <row r="772">
          <cell r="B772" t="str">
            <v>0581</v>
          </cell>
          <cell r="C772" t="str">
            <v>03</v>
          </cell>
          <cell r="D772" t="str">
            <v>341</v>
          </cell>
          <cell r="E772" t="str">
            <v>PD, D TI-SDN</v>
          </cell>
          <cell r="F772" t="str">
            <v>MOOE</v>
          </cell>
          <cell r="J772" t="str">
            <v>MOOE</v>
          </cell>
          <cell r="M772" t="str">
            <v>FT for NC implementation (Feb-Sept 2021)</v>
          </cell>
          <cell r="X772" t="str">
            <v>0581</v>
          </cell>
          <cell r="Z772">
            <v>1266031.2099999699</v>
          </cell>
        </row>
        <row r="773">
          <cell r="B773" t="str">
            <v>0582</v>
          </cell>
          <cell r="C773" t="str">
            <v>03</v>
          </cell>
          <cell r="D773" t="str">
            <v>342</v>
          </cell>
          <cell r="E773" t="str">
            <v>PD, D TI-ADN</v>
          </cell>
          <cell r="F773" t="str">
            <v>MOOE</v>
          </cell>
          <cell r="J773" t="str">
            <v>MOOE</v>
          </cell>
          <cell r="M773" t="str">
            <v>FT(FEB-APRIL, Partial) for the implementation of OTOP NG.</v>
          </cell>
          <cell r="X773" t="str">
            <v>0582</v>
          </cell>
          <cell r="Z773">
            <v>348243.76</v>
          </cell>
        </row>
        <row r="774">
          <cell r="B774" t="str">
            <v>0583</v>
          </cell>
          <cell r="C774" t="str">
            <v>03</v>
          </cell>
          <cell r="D774" t="str">
            <v>343</v>
          </cell>
          <cell r="E774" t="str">
            <v>PD, D TI-SDN</v>
          </cell>
          <cell r="F774" t="str">
            <v>MOOE</v>
          </cell>
          <cell r="J774" t="str">
            <v>MOOE</v>
          </cell>
          <cell r="M774" t="str">
            <v>FT(FEB-APRIL, Partial) for the implementation of OTOP NG.</v>
          </cell>
          <cell r="X774" t="str">
            <v>0583</v>
          </cell>
          <cell r="Z774">
            <v>333817.76</v>
          </cell>
        </row>
        <row r="775">
          <cell r="B775" t="str">
            <v>0584</v>
          </cell>
          <cell r="C775" t="str">
            <v>03</v>
          </cell>
          <cell r="D775" t="str">
            <v>344</v>
          </cell>
          <cell r="E775" t="str">
            <v>OIC, DTI-pdi</v>
          </cell>
          <cell r="F775" t="str">
            <v>MOOE</v>
          </cell>
          <cell r="J775" t="str">
            <v>MOOE</v>
          </cell>
          <cell r="M775" t="str">
            <v>FT(FEB-APRIL, Partial) for the implementation of OTOP NG.</v>
          </cell>
          <cell r="X775" t="str">
            <v>0584</v>
          </cell>
          <cell r="Z775">
            <v>348243.76</v>
          </cell>
        </row>
        <row r="776">
          <cell r="B776" t="str">
            <v>0585</v>
          </cell>
          <cell r="C776" t="str">
            <v>03</v>
          </cell>
          <cell r="E776" t="str">
            <v>GSIS</v>
          </cell>
          <cell r="F776" t="str">
            <v>PS</v>
          </cell>
          <cell r="J776" t="str">
            <v>PS</v>
          </cell>
          <cell r="L776">
            <v>500</v>
          </cell>
          <cell r="M776" t="str">
            <v>Remittance of NC staff GSIS (ECIP) premium for the month of January 2021</v>
          </cell>
          <cell r="X776" t="str">
            <v>0585</v>
          </cell>
          <cell r="Z776">
            <v>500</v>
          </cell>
        </row>
        <row r="777">
          <cell r="B777" t="str">
            <v>0586</v>
          </cell>
          <cell r="C777" t="str">
            <v>03</v>
          </cell>
          <cell r="D777" t="str">
            <v>345</v>
          </cell>
          <cell r="E777" t="str">
            <v>PD, DTI-SDS</v>
          </cell>
          <cell r="F777" t="str">
            <v>MOOE</v>
          </cell>
          <cell r="J777" t="str">
            <v>MOOE</v>
          </cell>
          <cell r="M777" t="str">
            <v>FT for NC implementation (Feb-April 2021)</v>
          </cell>
          <cell r="X777" t="str">
            <v>0586</v>
          </cell>
          <cell r="Z777">
            <v>760350</v>
          </cell>
        </row>
        <row r="778">
          <cell r="B778" t="str">
            <v>0587</v>
          </cell>
          <cell r="C778" t="str">
            <v>03</v>
          </cell>
          <cell r="D778" t="str">
            <v>346</v>
          </cell>
          <cell r="E778" t="str">
            <v>PD, DTI-AD N</v>
          </cell>
          <cell r="F778" t="str">
            <v>MOOE</v>
          </cell>
          <cell r="J778" t="str">
            <v>MOOE</v>
          </cell>
          <cell r="M778" t="str">
            <v>Advances to IDD Regular MOOE-OO2 2021-2nd and 3rd quarter 2021</v>
          </cell>
          <cell r="X778" t="str">
            <v>0587</v>
          </cell>
          <cell r="Z778">
            <v>194400</v>
          </cell>
        </row>
        <row r="779">
          <cell r="B779" t="str">
            <v>0588</v>
          </cell>
          <cell r="C779" t="str">
            <v>03</v>
          </cell>
          <cell r="D779" t="str">
            <v>347</v>
          </cell>
          <cell r="E779" t="str">
            <v>PD, DTI-SDN</v>
          </cell>
          <cell r="F779" t="str">
            <v>MOOE</v>
          </cell>
          <cell r="J779" t="str">
            <v>MOOE</v>
          </cell>
          <cell r="M779" t="str">
            <v>Advances to IDD Regular MOOE-OO2 2021-2nd and 3rd quarter 2021</v>
          </cell>
          <cell r="X779" t="str">
            <v>0588</v>
          </cell>
          <cell r="Z779">
            <v>194400</v>
          </cell>
        </row>
        <row r="780">
          <cell r="B780" t="str">
            <v>0589</v>
          </cell>
          <cell r="C780" t="str">
            <v>03</v>
          </cell>
          <cell r="D780" t="str">
            <v>348</v>
          </cell>
          <cell r="E780" t="str">
            <v>OIC, DTI-PDI</v>
          </cell>
          <cell r="F780" t="str">
            <v>MOOE</v>
          </cell>
          <cell r="J780" t="str">
            <v>MOOE</v>
          </cell>
          <cell r="M780" t="str">
            <v>Advances to IDD Regular MOOE-OO2 2021-2nd and 3rd quarter 2021</v>
          </cell>
          <cell r="X780" t="str">
            <v>0589</v>
          </cell>
          <cell r="Z780">
            <v>194400</v>
          </cell>
        </row>
        <row r="781">
          <cell r="B781" t="str">
            <v>0590</v>
          </cell>
          <cell r="C781" t="str">
            <v>03</v>
          </cell>
          <cell r="D781" t="str">
            <v>349</v>
          </cell>
          <cell r="E781" t="str">
            <v>PD, DTI-SDS</v>
          </cell>
          <cell r="F781" t="str">
            <v>MOOE</v>
          </cell>
          <cell r="J781" t="str">
            <v>MOOE</v>
          </cell>
          <cell r="M781" t="str">
            <v>FT for LSP-NSB implementation for 1ST quarter, 2021.</v>
          </cell>
          <cell r="X781" t="str">
            <v>0590</v>
          </cell>
          <cell r="Z781">
            <v>640000</v>
          </cell>
        </row>
        <row r="782">
          <cell r="B782" t="str">
            <v>0591</v>
          </cell>
          <cell r="D782" t="str">
            <v>350</v>
          </cell>
          <cell r="E782" t="str">
            <v>PD, DTI-SDS</v>
          </cell>
          <cell r="F782" t="str">
            <v>MOOE</v>
          </cell>
          <cell r="J782" t="str">
            <v>MOOE</v>
          </cell>
          <cell r="M782" t="str">
            <v>Advances to the SSF MOOE-1st quarter 2021, 2nd and 3rd quarter 2021</v>
          </cell>
          <cell r="X782" t="str">
            <v>0591</v>
          </cell>
          <cell r="Z782">
            <v>287809.53000000003</v>
          </cell>
        </row>
        <row r="783">
          <cell r="B783" t="str">
            <v>0592</v>
          </cell>
          <cell r="C783" t="str">
            <v>12</v>
          </cell>
          <cell r="D783" t="str">
            <v>1851</v>
          </cell>
          <cell r="E783" t="str">
            <v>Megamight Enterprises</v>
          </cell>
          <cell r="F783" t="str">
            <v>CO</v>
          </cell>
          <cell r="J783" t="str">
            <v>CO</v>
          </cell>
          <cell r="K783" t="str">
            <v>SSF</v>
          </cell>
          <cell r="M783" t="str">
            <v>Payment fir the supply, delivery and installation of the SSF on Palaw Processing of Liberty Women Association Lot 1 with PO No. (20-09-02-003) 1 unit Palaw/Cassava Grater Machine , 1unit coconut grater, 1 unit pulverizer</v>
          </cell>
          <cell r="X783" t="str">
            <v>0592</v>
          </cell>
          <cell r="Z783">
            <v>253642.85</v>
          </cell>
        </row>
        <row r="784">
          <cell r="B784" t="str">
            <v>0593</v>
          </cell>
          <cell r="C784" t="str">
            <v>03</v>
          </cell>
          <cell r="E784" t="str">
            <v>MDBF</v>
          </cell>
          <cell r="F784" t="str">
            <v>PS</v>
          </cell>
          <cell r="J784" t="str">
            <v>PS</v>
          </cell>
          <cell r="L784">
            <v>100</v>
          </cell>
          <cell r="M784" t="str">
            <v>Additional remittance for NC staff for the month of February 2021</v>
          </cell>
          <cell r="X784" t="str">
            <v>0593</v>
          </cell>
          <cell r="Z784">
            <v>100</v>
          </cell>
        </row>
        <row r="785">
          <cell r="B785" t="str">
            <v>0594</v>
          </cell>
          <cell r="C785" t="str">
            <v>03</v>
          </cell>
          <cell r="D785" t="str">
            <v>351</v>
          </cell>
          <cell r="E785" t="str">
            <v>Globe Telecom, Inc</v>
          </cell>
          <cell r="F785" t="str">
            <v>MOOE</v>
          </cell>
          <cell r="J785" t="str">
            <v>MOOE</v>
          </cell>
          <cell r="M785" t="str">
            <v>Payment for globe plan subscription for the Feb 13,- March 12, 2021 with cp no. 09177054627</v>
          </cell>
          <cell r="X785" t="str">
            <v>0594</v>
          </cell>
          <cell r="Z785">
            <v>3281.25</v>
          </cell>
        </row>
        <row r="786">
          <cell r="B786" t="str">
            <v>0595</v>
          </cell>
          <cell r="C786" t="str">
            <v>03</v>
          </cell>
          <cell r="D786" t="str">
            <v>352</v>
          </cell>
          <cell r="E786" t="str">
            <v>Edwin O. Banquerigo</v>
          </cell>
          <cell r="F786" t="str">
            <v>MOOE</v>
          </cell>
          <cell r="J786" t="str">
            <v>MOOE</v>
          </cell>
          <cell r="M786" t="str">
            <v>Reimbursement Quarter allowance for the period Dec 15- March 15, 2021.</v>
          </cell>
          <cell r="X786" t="str">
            <v>0595</v>
          </cell>
          <cell r="Z786">
            <v>12000</v>
          </cell>
        </row>
        <row r="787">
          <cell r="B787" t="str">
            <v>0596</v>
          </cell>
          <cell r="C787" t="str">
            <v>03</v>
          </cell>
          <cell r="D787" t="str">
            <v>353</v>
          </cell>
          <cell r="E787" t="str">
            <v>Elynur H. Gambet-Minglana</v>
          </cell>
          <cell r="F787" t="str">
            <v>MOOE</v>
          </cell>
          <cell r="J787" t="str">
            <v>MOOE</v>
          </cell>
          <cell r="M787" t="str">
            <v>Reimb. Load allowance for Nov, 2020- March 23, 2021</v>
          </cell>
          <cell r="X787" t="str">
            <v>0596</v>
          </cell>
          <cell r="Z787">
            <v>4800</v>
          </cell>
        </row>
        <row r="788">
          <cell r="Z788">
            <v>32294865.510000002</v>
          </cell>
        </row>
        <row r="789">
          <cell r="Z789">
            <v>0</v>
          </cell>
        </row>
        <row r="790">
          <cell r="Z790">
            <v>0</v>
          </cell>
        </row>
        <row r="791">
          <cell r="Z791">
            <v>0</v>
          </cell>
        </row>
        <row r="792">
          <cell r="Z792">
            <v>0</v>
          </cell>
        </row>
        <row r="793">
          <cell r="Z793">
            <v>0</v>
          </cell>
        </row>
        <row r="794">
          <cell r="Z794">
            <v>0</v>
          </cell>
        </row>
        <row r="795">
          <cell r="Z795">
            <v>0</v>
          </cell>
        </row>
        <row r="796">
          <cell r="Z796">
            <v>0</v>
          </cell>
        </row>
        <row r="797">
          <cell r="Z797">
            <v>0</v>
          </cell>
        </row>
        <row r="798">
          <cell r="Z798">
            <v>0</v>
          </cell>
        </row>
        <row r="799">
          <cell r="Z799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 refreshError="1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Worksheet"/>
      <sheetName val="Sheet1"/>
    </sheetNames>
    <sheetDataSet>
      <sheetData sheetId="0">
        <row r="2">
          <cell r="B2">
            <v>2143</v>
          </cell>
          <cell r="C2" t="str">
            <v>A &amp; C Yelo Submarine Corporation</v>
          </cell>
        </row>
        <row r="3">
          <cell r="B3">
            <v>2086</v>
          </cell>
          <cell r="C3" t="str">
            <v>ANECO, INC.</v>
          </cell>
        </row>
        <row r="4">
          <cell r="B4">
            <v>2040</v>
          </cell>
          <cell r="C4" t="str">
            <v>ARLEEN P. PAHAMTANG</v>
          </cell>
        </row>
        <row r="5">
          <cell r="B5">
            <v>2138</v>
          </cell>
          <cell r="C5" t="str">
            <v>ATOY PAINT CENTER</v>
          </cell>
        </row>
        <row r="6">
          <cell r="B6">
            <v>2048</v>
          </cell>
          <cell r="C6" t="str">
            <v>BUREAU OF THE TREASURY</v>
          </cell>
        </row>
        <row r="7">
          <cell r="B7">
            <v>2027</v>
          </cell>
          <cell r="C7" t="str">
            <v>Busa Interbiz Center</v>
          </cell>
        </row>
        <row r="8">
          <cell r="B8">
            <v>2064</v>
          </cell>
          <cell r="C8" t="str">
            <v>BUTUAN CITY WATER DISTRICT</v>
          </cell>
        </row>
        <row r="9">
          <cell r="B9">
            <v>2097</v>
          </cell>
          <cell r="C9" t="str">
            <v>COMPAÑERO COMMERCIAL</v>
          </cell>
        </row>
        <row r="10">
          <cell r="B10">
            <v>2100</v>
          </cell>
          <cell r="C10" t="str">
            <v>DATALAN COMMUNICATION SERVICES</v>
          </cell>
        </row>
        <row r="11">
          <cell r="B11">
            <v>2006</v>
          </cell>
          <cell r="C11" t="str">
            <v>DREAMCO</v>
          </cell>
        </row>
        <row r="12">
          <cell r="B12">
            <v>2019</v>
          </cell>
          <cell r="C12" t="str">
            <v>DTI-EMPLOYEES UNION</v>
          </cell>
        </row>
        <row r="13">
          <cell r="B13">
            <v>2020</v>
          </cell>
          <cell r="C13" t="str">
            <v>DTI-MUTUAL DEATH BENEFIT FUND</v>
          </cell>
        </row>
        <row r="14">
          <cell r="B14">
            <v>2021</v>
          </cell>
          <cell r="C14" t="str">
            <v>DTI-PROVIDENT FUND</v>
          </cell>
        </row>
        <row r="15">
          <cell r="B15">
            <v>2123</v>
          </cell>
          <cell r="C15" t="str">
            <v>EDWIN O. BANQUERIGO</v>
          </cell>
        </row>
        <row r="16">
          <cell r="B16">
            <v>2026</v>
          </cell>
          <cell r="C16" t="str">
            <v>Fil Products Service TV Butuan, Inc.</v>
          </cell>
        </row>
        <row r="17">
          <cell r="B17">
            <v>2016</v>
          </cell>
          <cell r="C17" t="str">
            <v>GLAD, MPC</v>
          </cell>
        </row>
        <row r="18">
          <cell r="B18">
            <v>2003</v>
          </cell>
          <cell r="C18" t="str">
            <v>GLOBE TELECOM, INC.</v>
          </cell>
        </row>
        <row r="19">
          <cell r="B19">
            <v>2140</v>
          </cell>
          <cell r="C19" t="str">
            <v>HDMF-Butuan City</v>
          </cell>
        </row>
        <row r="20">
          <cell r="B20">
            <v>2039</v>
          </cell>
          <cell r="C20" t="str">
            <v>HI-5 SIGNAGES FABRICATOR</v>
          </cell>
        </row>
        <row r="21">
          <cell r="B21">
            <v>2033</v>
          </cell>
          <cell r="C21" t="str">
            <v>HOPE RADIO PHILS., DXHR, INC.</v>
          </cell>
        </row>
        <row r="22">
          <cell r="B22">
            <v>2002</v>
          </cell>
          <cell r="C22" t="str">
            <v>JMN MULTIMEDIA SALES AND SERVICES</v>
          </cell>
        </row>
        <row r="23">
          <cell r="B23">
            <v>2079</v>
          </cell>
          <cell r="C23" t="str">
            <v>JOSELITO B. PALER</v>
          </cell>
        </row>
        <row r="24">
          <cell r="B24">
            <v>2090</v>
          </cell>
          <cell r="C24" t="str">
            <v>JRS BUSINESS CORPORATION</v>
          </cell>
        </row>
        <row r="25">
          <cell r="B25">
            <v>2137</v>
          </cell>
          <cell r="C25" t="str">
            <v>Jumar H. Llorente</v>
          </cell>
        </row>
        <row r="26">
          <cell r="B26">
            <v>2008</v>
          </cell>
          <cell r="C26" t="str">
            <v>JWL Sourcing Group, Inc.</v>
          </cell>
        </row>
        <row r="27">
          <cell r="B27">
            <v>2050</v>
          </cell>
          <cell r="C27" t="str">
            <v>KIMSON COMMERCIAL</v>
          </cell>
        </row>
        <row r="28">
          <cell r="B28">
            <v>2066</v>
          </cell>
          <cell r="C28" t="str">
            <v>LANDBANK OF THE PHILIPPINES</v>
          </cell>
        </row>
        <row r="29">
          <cell r="B29">
            <v>2109</v>
          </cell>
          <cell r="C29" t="str">
            <v>LBP, F/O DTI- Job Orders</v>
          </cell>
        </row>
        <row r="30">
          <cell r="B30">
            <v>2074</v>
          </cell>
          <cell r="C30" t="str">
            <v>LBP, F/O DTI-ADN</v>
          </cell>
        </row>
        <row r="31">
          <cell r="B31">
            <v>2075</v>
          </cell>
          <cell r="C31" t="str">
            <v>LBP, F/O DTI-ADS</v>
          </cell>
        </row>
        <row r="32">
          <cell r="B32">
            <v>2077</v>
          </cell>
          <cell r="C32" t="str">
            <v>LBP, F/O DTI-PDI</v>
          </cell>
        </row>
        <row r="33">
          <cell r="B33">
            <v>2073</v>
          </cell>
          <cell r="C33" t="str">
            <v>LBP, F/O DTI-RO</v>
          </cell>
        </row>
        <row r="34">
          <cell r="B34">
            <v>2130</v>
          </cell>
          <cell r="C34" t="str">
            <v>LBP, F/O DTI-SDN</v>
          </cell>
        </row>
        <row r="35">
          <cell r="B35">
            <v>2076</v>
          </cell>
          <cell r="C35" t="str">
            <v>LBP, F/O DTI-SDS</v>
          </cell>
        </row>
        <row r="36">
          <cell r="B36">
            <v>2136</v>
          </cell>
          <cell r="C36" t="str">
            <v>LEMUEL D. ROBOCA</v>
          </cell>
        </row>
        <row r="37">
          <cell r="B37">
            <v>2139</v>
          </cell>
          <cell r="C37" t="str">
            <v>LG SUPPLIES AND GENERAL MERCHANDISE</v>
          </cell>
        </row>
        <row r="38">
          <cell r="B38">
            <v>2070</v>
          </cell>
          <cell r="C38" t="str">
            <v>LIME AND ZEST KITCHEN</v>
          </cell>
        </row>
        <row r="39">
          <cell r="B39">
            <v>2092</v>
          </cell>
          <cell r="C39" t="str">
            <v>MAHANEH GARMENTS</v>
          </cell>
        </row>
        <row r="40">
          <cell r="B40">
            <v>2142</v>
          </cell>
          <cell r="C40" t="str">
            <v>Maribel P. Timogan</v>
          </cell>
        </row>
        <row r="41">
          <cell r="B41">
            <v>2061</v>
          </cell>
          <cell r="C41" t="str">
            <v>MARRY ANN L. PASCUAL</v>
          </cell>
        </row>
        <row r="42">
          <cell r="B42">
            <v>2022</v>
          </cell>
          <cell r="C42" t="str">
            <v>OIC, DTI-ADS</v>
          </cell>
        </row>
        <row r="43">
          <cell r="B43">
            <v>2010</v>
          </cell>
          <cell r="C43" t="str">
            <v>OIC, DTI-SDN</v>
          </cell>
        </row>
        <row r="44">
          <cell r="B44">
            <v>2014</v>
          </cell>
          <cell r="C44" t="str">
            <v>PD, DTI-ADN</v>
          </cell>
        </row>
        <row r="45">
          <cell r="B45">
            <v>2001</v>
          </cell>
          <cell r="C45" t="str">
            <v>PD, DTI-PDI</v>
          </cell>
        </row>
        <row r="46">
          <cell r="B46">
            <v>2013</v>
          </cell>
          <cell r="C46" t="str">
            <v>PD, DTI-SDS</v>
          </cell>
        </row>
        <row r="47">
          <cell r="B47">
            <v>2049</v>
          </cell>
          <cell r="C47" t="str">
            <v>PHIC- Butuan City</v>
          </cell>
        </row>
        <row r="48">
          <cell r="B48">
            <v>2058</v>
          </cell>
          <cell r="C48" t="str">
            <v>RAMIL J. LEONGAS</v>
          </cell>
        </row>
        <row r="49">
          <cell r="B49">
            <v>2134</v>
          </cell>
          <cell r="C49" t="str">
            <v>RHOSALLEE V. ESPINOZA</v>
          </cell>
        </row>
        <row r="50">
          <cell r="B50">
            <v>2015</v>
          </cell>
          <cell r="C50" t="str">
            <v>SUNLIFE OF CANADA PHILIPPINES, INC.</v>
          </cell>
        </row>
        <row r="51">
          <cell r="B51">
            <v>2018</v>
          </cell>
          <cell r="C51" t="str">
            <v>SUREDEV COOPERATIVE</v>
          </cell>
        </row>
        <row r="52">
          <cell r="B52">
            <v>2133</v>
          </cell>
          <cell r="C52" t="str">
            <v>Tidalgo, Gay A.</v>
          </cell>
        </row>
        <row r="53">
          <cell r="B53">
            <v>2141</v>
          </cell>
          <cell r="C53" t="str">
            <v>TOYOTA BUTUAN CITY</v>
          </cell>
        </row>
        <row r="54">
          <cell r="B54">
            <v>2028</v>
          </cell>
          <cell r="C54" t="str">
            <v>TRUE BREW GOURMET COFFEE SHOP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90.951218055598" createdVersion="3" recordCount="1690" xr:uid="{00000000-000A-0000-FFFF-FFFF01000000}">
  <cacheSource type="worksheet">
    <worksheetSource ref="A4:AB1694" sheet="Revised RAO"/>
  </cacheSource>
  <cacheFields count="28">
    <cacheField name="Cluster">
      <sharedItems containsBlank="1" count="2">
        <s v="MDS 101"/>
        <m/>
      </sharedItems>
    </cacheField>
    <cacheField name="Reporting Period">
      <sharedItems containsBlank="1" count="4">
        <s v="01 January 2021"/>
        <m/>
        <s v="02 February 2021"/>
        <s v="03 March 2021"/>
      </sharedItems>
    </cacheField>
    <cacheField name="DATE">
      <sharedItems/>
    </cacheField>
    <cacheField name="NO.">
      <sharedItems/>
    </cacheField>
    <cacheField name="Column1">
      <sharedItems/>
    </cacheField>
    <cacheField name="IN">
      <sharedItems/>
    </cacheField>
    <cacheField name="OUT">
      <sharedItems/>
    </cacheField>
    <cacheField name="Fund Source">
      <sharedItems/>
    </cacheField>
    <cacheField name="Old Code">
      <sharedItems/>
    </cacheField>
    <cacheField name="UACS Code">
      <sharedItems/>
    </cacheField>
    <cacheField name="Account Title">
      <sharedItems/>
    </cacheField>
    <cacheField name="Concatenate">
      <sharedItems containsBlank="1" count="51">
        <m/>
        <s v=""/>
        <s v="50102020 00 - Representation Allowance (713)"/>
        <s v="50102030 01 - Transportation Allowance   (714)"/>
        <s v="50210030 00 - Extraordinary and Miscellaneous Expense (883)"/>
        <s v="50101010 01 - Basic Salary - Civilian (701)"/>
        <s v="50102010 01 - PERA - Civilian (711)"/>
        <s v="50103010 00 - Retirement and Life Insurance Premiums (731)"/>
        <s v="50103020 01 - Pag-IBIG - Civilian (732)"/>
        <s v="50103030 01 - PhilHealth - Civilian (733)"/>
        <s v="50103040 01 - ECIP - Civilian (734)"/>
        <s v="50203010 00 - Office Supplies Expenses (755)"/>
        <s v="50203990 00 - Other Supplies and Materials Expenses (765)"/>
        <s v="50299020 00 - Printing and Binding Expenses (781)"/>
        <s v="50212990 00 - Other General Services (795)"/>
        <s v="50211990 00 - Other Professional Services (799)"/>
        <s v="50299990 99 - Other Maintenance and Operating Expenses (969)"/>
        <s v="50299050 01 - Rent - Buildings and Structures (782)"/>
        <s v="50215020 00 - Fidelity Bond Premiums (892)"/>
        <s v="50205020 01 - Telephone Expenses - Mobile  (773)"/>
        <s v="50205040 00 - Cable, Satellite, Telegraph, and Radio Expenses (775)"/>
        <s v="50211020 00 - Auditing Services (792)"/>
        <s v="50203090 00 - Fuel, Oil and Lubricants Expenses (761)"/>
        <s v="50299030 00 - Representation Expenses (783)"/>
        <s v="50604050 03 - ICT Equipment (223 CO)"/>
        <s v="50204010 00 - Water Expenses (766)"/>
        <s v="50212020 00 - Janitorial Services (796)"/>
        <s v="50101020 00 - Basic Salary - Contractual (706)"/>
        <s v="50213050 99 - Other Machinery and Equipment (840)"/>
        <s v="50299040 00 - Transportation and Delivery Expenses (784)"/>
        <s v="50201010 00 - Traveling Expenses - Local (751)"/>
        <s v="50299070 00 - Subscriptions Expenses (786)"/>
        <s v="50203020 00 - Accountable Forms Expenses  (756)"/>
        <s v="50202010 00 - Training Expenses (753)"/>
        <s v="50204020 00 - Electricity Expense (767)"/>
        <s v="50205010 00 - Postage and Courier Services (771)"/>
        <s v="50205020 02 - Telephone Expenses - Landline  (772)"/>
        <s v="50211010 00 - Legal Services (791)"/>
        <s v="50213050 02 - Office Equipment (821)"/>
        <s v="50213050 03 - ICT Equipment (823)"/>
        <s v="50213070 00 - Furniture and Fixture (822)"/>
        <s v="50213060 01 - Motor Vehicles (841)"/>
        <s v="50215010 01 - Taxes, Duties and Licenses (891)"/>
        <s v="50215030 00 - Insurance Expense (893)"/>
        <s v="50213040 01 - Buildings (820)"/>
        <s v="10605020 00 - Office Equipment (221)"/>
        <s v="50205030 00 - Internet Subscription Expenses (774)"/>
        <s v="50211030 00 - Consultancy Services (793)"/>
        <s v="50299050 03 - Rent - Motor Vehicle (782-VEH)"/>
        <s v="50299010 00 - Advertising Expenses (780)"/>
        <s v="50102040 01 - Clothing/Uniform Allowance - Civilian (715)"/>
      </sharedItems>
    </cacheField>
    <cacheField name="RC">
      <sharedItems/>
    </cacheField>
    <cacheField name="PAYEE">
      <sharedItems/>
    </cacheField>
    <cacheField name="PARTICULARS">
      <sharedItems/>
    </cacheField>
    <cacheField name="ALLOMENT RECEIVED">
      <sharedItems/>
    </cacheField>
    <cacheField name="OBLIGATION INCURRED">
      <sharedItems/>
    </cacheField>
    <cacheField name="Balance">
      <sharedItems/>
    </cacheField>
    <cacheField name="Allotment Class">
      <sharedItems containsBlank="1" count="5">
        <s v="PS"/>
        <s v="MOOE"/>
        <s v="CO"/>
        <e v="#N/A"/>
        <m/>
      </sharedItems>
    </cacheField>
    <cacheField name="Document Received">
      <sharedItems/>
    </cacheField>
    <cacheField name="No.2">
      <sharedItems/>
    </cacheField>
    <cacheField name="MFO-PAP Acronym">
      <sharedItems containsBlank="1" count="17">
        <s v="GAS(GMS)"/>
        <s v="GAS(ABP)"/>
        <s v="OO1"/>
        <s v="OO2"/>
        <s v="OO3"/>
        <s v="OO4.1(FTL)"/>
        <s v="OO4.1(Acc)"/>
        <s v="OO 4.2"/>
        <s v="NC"/>
        <s v="OTOP"/>
        <s v="SSF"/>
        <s v="LSP-PBG"/>
        <s v="CARP"/>
        <s v="RAPID"/>
        <s v="RAPID GOP"/>
        <e v="#N/A"/>
        <m/>
      </sharedItems>
    </cacheField>
    <cacheField name="Funding Code">
      <sharedItems/>
    </cacheField>
    <cacheField name="Fund Source3">
      <sharedItems/>
    </cacheField>
    <cacheField name="OLD Account">
      <sharedItems/>
    </cacheField>
    <cacheField name="UACS Accounts">
      <sharedItems/>
    </cacheField>
    <cacheField name="MFO/PAP Number">
      <sharedItems/>
    </cacheField>
    <cacheField name="MFO/PAP Description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0">
  <r>
    <x v="0"/>
    <x v="0"/>
    <m/>
    <m/>
    <m/>
    <m/>
    <m/>
    <s v="GAA-GAS(GMS)-PS-GOP"/>
    <m/>
    <m/>
    <m/>
    <x v="0"/>
    <m/>
    <m/>
    <s v="GAA CY2021"/>
    <n v="20425000"/>
    <m/>
    <m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m/>
    <m/>
    <m/>
    <m/>
    <m/>
    <s v="GAA-GAS(GMS)-MOOE-GOP"/>
    <m/>
    <m/>
    <m/>
    <x v="0"/>
    <m/>
    <m/>
    <s v="GAA CY2021"/>
    <n v="11251000"/>
    <m/>
    <m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m/>
    <m/>
    <m/>
    <m/>
    <m/>
    <s v="GAA-GAS(GMS)-RLIP-GOP"/>
    <m/>
    <m/>
    <m/>
    <x v="0"/>
    <m/>
    <m/>
    <s v="GAA CY2021"/>
    <n v="1872000"/>
    <m/>
    <m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m/>
    <m/>
    <m/>
    <m/>
    <m/>
    <s v="GAA-GAS(ABP)-742-GOP"/>
    <m/>
    <m/>
    <m/>
    <x v="0"/>
    <m/>
    <m/>
    <s v="GAA CY2021"/>
    <n v="2043000"/>
    <m/>
    <m/>
    <x v="0"/>
    <s v="GAA"/>
    <s v="FY2021, RA11518"/>
    <x v="1"/>
    <s v="01101101"/>
    <s v="GOP"/>
    <n v="742"/>
    <n v="5010403001"/>
    <s v="100000100001000"/>
    <s v="General Administration and Supervision - Administration of Personnel Benefits"/>
  </r>
  <r>
    <x v="0"/>
    <x v="0"/>
    <m/>
    <m/>
    <m/>
    <m/>
    <m/>
    <s v="GAA-OO1-PS-GOP"/>
    <m/>
    <m/>
    <m/>
    <x v="0"/>
    <m/>
    <m/>
    <s v="GAA CY2021"/>
    <n v="6704000"/>
    <m/>
    <m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m/>
    <m/>
    <m/>
    <m/>
    <m/>
    <s v="GAA-OO1-MOOE-GOP"/>
    <m/>
    <m/>
    <m/>
    <x v="0"/>
    <m/>
    <m/>
    <s v="GAA CY2021"/>
    <n v="3219000"/>
    <m/>
    <m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0"/>
    <m/>
    <m/>
    <m/>
    <m/>
    <m/>
    <s v="GAA-OO1-RLIP-GOP"/>
    <m/>
    <m/>
    <m/>
    <x v="0"/>
    <m/>
    <m/>
    <s v="GAA CY2021"/>
    <n v="638000"/>
    <m/>
    <m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m/>
    <m/>
    <m/>
    <m/>
    <m/>
    <s v="GAA-OO2-PS-GOP"/>
    <m/>
    <m/>
    <m/>
    <x v="0"/>
    <m/>
    <m/>
    <s v="GAA CY2021"/>
    <n v="8859000"/>
    <m/>
    <m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m/>
    <m/>
    <m/>
    <m/>
    <m/>
    <s v="GAA-OO2-MOOE-GOP"/>
    <m/>
    <m/>
    <m/>
    <x v="0"/>
    <m/>
    <m/>
    <s v="GAA CY2021"/>
    <n v="4712000"/>
    <m/>
    <m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0"/>
    <m/>
    <m/>
    <m/>
    <m/>
    <m/>
    <s v="GAA-OO2-RLIP-GOP"/>
    <m/>
    <m/>
    <m/>
    <x v="0"/>
    <m/>
    <m/>
    <s v="GAA CY2021"/>
    <n v="818000"/>
    <m/>
    <m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m/>
    <m/>
    <m/>
    <m/>
    <m/>
    <s v="GAA-OO3-PS-GOP"/>
    <m/>
    <m/>
    <m/>
    <x v="0"/>
    <m/>
    <m/>
    <s v="GAA CY2021"/>
    <n v="9805000"/>
    <m/>
    <m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MOOE-GOP"/>
    <m/>
    <m/>
    <m/>
    <x v="0"/>
    <m/>
    <m/>
    <s v="GAA CY2021"/>
    <n v="8135000"/>
    <m/>
    <m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RLIP-GOP"/>
    <m/>
    <m/>
    <m/>
    <x v="0"/>
    <m/>
    <m/>
    <s v="GAA CY2021"/>
    <n v="918000"/>
    <m/>
    <m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m/>
    <m/>
    <m/>
    <m/>
    <m/>
    <s v="GAA-OO4.1(FTL)-PS-GOP"/>
    <m/>
    <m/>
    <m/>
    <x v="0"/>
    <m/>
    <m/>
    <s v="GAA CY2021"/>
    <n v="7768000"/>
    <m/>
    <m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m/>
    <m/>
    <m/>
    <m/>
    <m/>
    <s v="GAA-OO4.1(FTL)-MOOE-GOP"/>
    <m/>
    <m/>
    <m/>
    <x v="0"/>
    <m/>
    <m/>
    <s v="GAA CY2021"/>
    <n v="1412000"/>
    <m/>
    <m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0"/>
    <m/>
    <m/>
    <m/>
    <m/>
    <m/>
    <s v="GAA-OO4.1(FTL)-RLIP-GOP"/>
    <m/>
    <m/>
    <m/>
    <x v="0"/>
    <m/>
    <m/>
    <s v="GAA CY2021"/>
    <n v="730000"/>
    <m/>
    <m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0"/>
    <m/>
    <m/>
    <m/>
    <m/>
    <m/>
    <s v="GAA-OO4.1(Acc)-PS-GOP"/>
    <m/>
    <m/>
    <m/>
    <x v="0"/>
    <m/>
    <m/>
    <s v="GAA CY2021"/>
    <n v="2643000"/>
    <m/>
    <m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0"/>
    <m/>
    <m/>
    <m/>
    <m/>
    <m/>
    <s v="GAA-OO4.1(Acc)-MOOE-GOP"/>
    <m/>
    <m/>
    <m/>
    <x v="0"/>
    <m/>
    <m/>
    <s v="GAA CY2021"/>
    <n v="1679000"/>
    <m/>
    <m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0"/>
    <m/>
    <m/>
    <m/>
    <m/>
    <m/>
    <s v="GAA-OO4.1(Acc)-RLIP-GOP"/>
    <m/>
    <m/>
    <m/>
    <x v="0"/>
    <m/>
    <m/>
    <s v="GAA CY2021"/>
    <n v="247000"/>
    <m/>
    <m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0"/>
    <m/>
    <m/>
    <m/>
    <m/>
    <m/>
    <s v="GAA-OO 4.2-MOOE-GOP"/>
    <m/>
    <m/>
    <m/>
    <x v="0"/>
    <m/>
    <m/>
    <s v="GAA CY2021"/>
    <n v="998000"/>
    <m/>
    <m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0"/>
    <m/>
    <m/>
    <m/>
    <m/>
    <m/>
    <s v="GAA-NC-MOOE-GOP"/>
    <m/>
    <m/>
    <m/>
    <x v="0"/>
    <m/>
    <m/>
    <s v="GAA CY2021"/>
    <n v="28602000"/>
    <m/>
    <m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m/>
    <m/>
    <m/>
    <m/>
    <m/>
    <s v="GAA-NC-CO-GOP"/>
    <m/>
    <m/>
    <m/>
    <x v="0"/>
    <m/>
    <m/>
    <s v="GAA CY2021"/>
    <n v="5150000"/>
    <m/>
    <m/>
    <x v="2"/>
    <s v="GAA"/>
    <s v="FY2021, RA11518"/>
    <x v="8"/>
    <s v="01101101"/>
    <s v="GOP"/>
    <s v="CO"/>
    <n v="5060000000"/>
    <s v="330100200001000"/>
    <s v="Establishment of Negosyo Centers"/>
  </r>
  <r>
    <x v="0"/>
    <x v="0"/>
    <m/>
    <m/>
    <m/>
    <m/>
    <m/>
    <s v="GAA-OTOP-MOOE-GOP"/>
    <m/>
    <m/>
    <m/>
    <x v="0"/>
    <m/>
    <m/>
    <s v="GAA CY2021"/>
    <n v="6894000"/>
    <m/>
    <m/>
    <x v="1"/>
    <s v="GAA"/>
    <s v="FY2021, RA11518"/>
    <x v="9"/>
    <s v="01101101"/>
    <s v="GOP"/>
    <s v="MOOE"/>
    <n v="5020000000"/>
    <s v="330100200002000"/>
    <s v="OTOP - Next Generation"/>
  </r>
  <r>
    <x v="0"/>
    <x v="0"/>
    <m/>
    <m/>
    <m/>
    <m/>
    <m/>
    <s v="GAA-SSF-MOOE-GOP"/>
    <m/>
    <m/>
    <m/>
    <x v="0"/>
    <m/>
    <m/>
    <s v="GAA CY2021"/>
    <n v="4416000"/>
    <m/>
    <m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m/>
    <m/>
    <m/>
    <m/>
    <m/>
    <s v="GAA-SSF-CO-GOP"/>
    <m/>
    <m/>
    <m/>
    <x v="0"/>
    <m/>
    <m/>
    <s v="GAA CY2021"/>
    <n v="97350000"/>
    <m/>
    <m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m/>
    <m/>
    <m/>
    <m/>
    <m/>
    <s v="GAA-LSP-PBG-MOOE-GOP"/>
    <m/>
    <m/>
    <m/>
    <x v="0"/>
    <m/>
    <m/>
    <s v="GAA CY2021"/>
    <n v="8628000"/>
    <m/>
    <m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m/>
    <m/>
    <m/>
    <m/>
    <m/>
    <s v="SAA37-CARP-751-GOP"/>
    <m/>
    <m/>
    <m/>
    <x v="0"/>
    <m/>
    <m/>
    <s v="SAA37"/>
    <n v="213400"/>
    <m/>
    <m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0"/>
    <m/>
    <m/>
    <m/>
    <m/>
    <m/>
    <s v="SAA37-CARP-753-GOP"/>
    <m/>
    <m/>
    <m/>
    <x v="0"/>
    <m/>
    <m/>
    <s v="SAA37"/>
    <n v="450261.72"/>
    <m/>
    <m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0"/>
    <m/>
    <m/>
    <m/>
    <m/>
    <m/>
    <s v="SAA37-CARP-755-GOP"/>
    <m/>
    <m/>
    <m/>
    <x v="0"/>
    <m/>
    <m/>
    <s v="SAA37"/>
    <n v="20004"/>
    <m/>
    <m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0"/>
    <m/>
    <m/>
    <m/>
    <m/>
    <m/>
    <s v="SAA37-CARP-761-GOP"/>
    <m/>
    <m/>
    <m/>
    <x v="0"/>
    <m/>
    <m/>
    <s v="SAA37"/>
    <n v="1000"/>
    <m/>
    <m/>
    <x v="1"/>
    <s v="SAA37"/>
    <s v="2021-01-0037"/>
    <x v="12"/>
    <s v="01101101"/>
    <s v="GOP"/>
    <n v="761"/>
    <s v="50203090 00"/>
    <s v="330100100003000"/>
    <s v="MSME Development Program : Program Beneficiaries Development Component of the Comprehensive Agrarian Reform Program"/>
  </r>
  <r>
    <x v="0"/>
    <x v="0"/>
    <m/>
    <m/>
    <m/>
    <m/>
    <m/>
    <s v="SAA37-CARP-771-GOP"/>
    <m/>
    <m/>
    <m/>
    <x v="0"/>
    <m/>
    <m/>
    <s v="SAA37"/>
    <n v="533.28"/>
    <m/>
    <m/>
    <x v="1"/>
    <s v="SAA37"/>
    <s v="2021-01-0037"/>
    <x v="12"/>
    <s v="01101101"/>
    <s v="GOP"/>
    <n v="771"/>
    <s v="50205010 00"/>
    <s v="330100100003000"/>
    <s v="MSME Development Program : Program Beneficiaries Development Component of the Comprehensive Agrarian Reform Program"/>
  </r>
  <r>
    <x v="0"/>
    <x v="0"/>
    <m/>
    <m/>
    <m/>
    <m/>
    <m/>
    <s v="SAA37-CARP-773-GOP"/>
    <m/>
    <m/>
    <m/>
    <x v="0"/>
    <m/>
    <m/>
    <s v="SAA37"/>
    <n v="7900"/>
    <m/>
    <m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0"/>
    <m/>
    <m/>
    <m/>
    <m/>
    <m/>
    <s v="SAA37-CARP-793-GOP"/>
    <m/>
    <m/>
    <m/>
    <x v="0"/>
    <m/>
    <m/>
    <s v="SAA37"/>
    <n v="1600"/>
    <m/>
    <m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0"/>
    <m/>
    <m/>
    <m/>
    <m/>
    <m/>
    <s v="SAA37-CARP-799-GOP"/>
    <m/>
    <m/>
    <m/>
    <x v="0"/>
    <m/>
    <m/>
    <s v="SAA37"/>
    <n v="384982.5"/>
    <m/>
    <m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0"/>
    <m/>
    <m/>
    <m/>
    <m/>
    <m/>
    <s v="SAA37-CARP-795-GOP"/>
    <m/>
    <m/>
    <m/>
    <x v="0"/>
    <m/>
    <m/>
    <s v="SAA37"/>
    <n v="6000"/>
    <m/>
    <m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0"/>
    <m/>
    <m/>
    <m/>
    <m/>
    <m/>
    <s v="SAA37-CARP-781-GOP"/>
    <m/>
    <m/>
    <m/>
    <x v="0"/>
    <m/>
    <m/>
    <s v="SAA37"/>
    <n v="937.5"/>
    <m/>
    <m/>
    <x v="1"/>
    <s v="SAA37"/>
    <s v="2021-01-0037"/>
    <x v="12"/>
    <s v="01101101"/>
    <s v="GOP"/>
    <n v="781"/>
    <s v="50299020 00"/>
    <s v="330100100003000"/>
    <s v="MSME Development Program : Program Beneficiaries Development Component of the Comprehensive Agrarian Reform Program"/>
  </r>
  <r>
    <x v="0"/>
    <x v="0"/>
    <m/>
    <m/>
    <m/>
    <m/>
    <m/>
    <s v="SAA37-CARP-783-GOP"/>
    <m/>
    <m/>
    <m/>
    <x v="0"/>
    <m/>
    <m/>
    <s v="SAA37"/>
    <n v="2500"/>
    <m/>
    <m/>
    <x v="1"/>
    <s v="SAA37"/>
    <s v="2021-01-0037"/>
    <x v="12"/>
    <s v="01101101"/>
    <s v="GOP"/>
    <n v="783"/>
    <s v="50299030 00"/>
    <s v="330100100003000"/>
    <s v="MSME Development Program : Program Beneficiaries Development Component of the Comprehensive Agrarian Reform Program"/>
  </r>
  <r>
    <x v="0"/>
    <x v="0"/>
    <m/>
    <m/>
    <m/>
    <m/>
    <m/>
    <s v="SAA37-CARP-784-GOP"/>
    <m/>
    <m/>
    <m/>
    <x v="0"/>
    <m/>
    <m/>
    <s v="SAA37"/>
    <n v="500"/>
    <m/>
    <m/>
    <x v="1"/>
    <s v="SAA37"/>
    <s v="2021-01-0037"/>
    <x v="12"/>
    <s v="01101101"/>
    <s v="GOP"/>
    <n v="784"/>
    <s v="50299040 00"/>
    <s v="330100100003000"/>
    <s v="MSME Development Program : Program Beneficiaries Development Component of the Comprehensive Agrarian Reform Program"/>
  </r>
  <r>
    <x v="0"/>
    <x v="0"/>
    <m/>
    <m/>
    <m/>
    <m/>
    <m/>
    <s v="SAA37-CARP-969-GOP"/>
    <m/>
    <m/>
    <m/>
    <x v="0"/>
    <m/>
    <m/>
    <s v="SAA37"/>
    <n v="2000"/>
    <m/>
    <m/>
    <x v="1"/>
    <s v="SAA37"/>
    <s v="2021-01-0037"/>
    <x v="12"/>
    <s v="01101101"/>
    <s v="GOP"/>
    <n v="969"/>
    <s v="50299990 99"/>
    <s v="330100100003000"/>
    <s v="MSME Development Program : Program Beneficiaries Development Component of the Comprehensive Agrarian Reform Program"/>
  </r>
  <r>
    <x v="0"/>
    <x v="0"/>
    <m/>
    <m/>
    <m/>
    <m/>
    <m/>
    <s v="SAA15-CARP-706-GOP"/>
    <m/>
    <m/>
    <m/>
    <x v="0"/>
    <m/>
    <m/>
    <s v="SAA15"/>
    <n v="5017266.7"/>
    <m/>
    <m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1"/>
    <m/>
    <m/>
    <m/>
    <m/>
    <m/>
    <s v="SAA040-RAPID GOP-799-GOP"/>
    <m/>
    <s v=""/>
    <s v=""/>
    <x v="1"/>
    <m/>
    <m/>
    <s v="SAA040"/>
    <n v="3562690.92"/>
    <m/>
    <n v="3562690.92"/>
    <x v="1"/>
    <s v="SAA040"/>
    <s v="21-02-0040"/>
    <x v="13"/>
    <s v="01101101"/>
    <s v="GOP"/>
    <n v="799"/>
    <n v="5021199000"/>
    <s v="330100300001000"/>
    <s v="Rural Agro Enterprise Partnership for Inclusive Development (RAPID) Growth GOP Continuing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4.1(FTL)-PS-GOP"/>
    <n v="713"/>
    <s v="50102020 00"/>
    <s v="Representation Allowance"/>
    <x v="2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4.1(FTL)-PS-GOP"/>
    <n v="714"/>
    <s v="50102030 01"/>
    <s v="Transportation Allowance  "/>
    <x v="3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2"/>
    <d v="1899-12-31T00:00:00.000"/>
    <d v="1899-12-31T00:00:00.000"/>
    <s v="GAA-GAS(GMS)-MOOE-GOP"/>
    <n v="883"/>
    <s v="50210030 00"/>
    <s v="Extraordinary and Miscellaneous Expense"/>
    <x v="4"/>
    <s v="01"/>
    <s v="EDWIN O. BANQUERIGO"/>
    <s v="EXTRAORDINARY EXPENSES FOR JAN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01"/>
    <s v="50101010 01"/>
    <s v="Basic Salary - Civilian"/>
    <x v="5"/>
    <s v="01"/>
    <s v="LBP F/O DTI-RO"/>
    <s v="SALARIES AND ALLOWANCES OF REGULAR EMPLOYEES FOR THE MONTH OF JANUARY 2021"/>
    <m/>
    <n v="1634515"/>
    <n v="-163451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11"/>
    <s v="50102010 01"/>
    <s v="PERA - Civilian"/>
    <x v="6"/>
    <s v="01"/>
    <s v="LBP F/O DTI-RO"/>
    <s v="SALARIES AND ALLOWANCES OF REGULAR EMPLOYEES FOR THE MONTH OF JANUARY 2021"/>
    <m/>
    <n v="76000"/>
    <n v="-7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IES AND ALLOWANCES OF REGULAR EMPLOYEES FOR THE MONTH OF JANUARY 2021"/>
    <m/>
    <n v="196141.8"/>
    <n v="-196141.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2"/>
    <s v="50103020 01"/>
    <s v="Pag-IBIG - Civilian"/>
    <x v="8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3"/>
    <s v="50103030 01"/>
    <s v="PhilHealth - Civilian"/>
    <x v="9"/>
    <s v="01"/>
    <s v="LBP F/O DTI-RO"/>
    <s v="SALARIES AND ALLOWANCES OF REGULAR EMPLOYEES FOR THE MONTH OF JANUARY 2021"/>
    <m/>
    <n v="21044.43"/>
    <n v="-21044.4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4"/>
    <s v="50103040 01"/>
    <s v="ECIP - Civilian"/>
    <x v="10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5T00:00:00.000"/>
    <s v="21-1"/>
    <s v="004"/>
    <d v="1899-12-31T00:00:00.000"/>
    <d v="1899-12-31T00:00:00.000"/>
    <s v="GAA-OO1-PS-GOP"/>
    <n v="701"/>
    <s v="50101010 01"/>
    <s v="Basic Salary - Civilian"/>
    <x v="5"/>
    <s v="68"/>
    <s v="LBP F/O DTI-SDN"/>
    <s v="SALARIES AND ALLOWANCES OF REGULAR EMPLOYEES FOR THE MONTH OF JANUARY 2021"/>
    <m/>
    <n v="377575"/>
    <n v="-377575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11"/>
    <s v="50102010 01"/>
    <s v="PERA - Civilian"/>
    <x v="6"/>
    <s v="68"/>
    <s v="LBP F/O DTI-SDN"/>
    <s v="SALARIES AND ALLOWANCES OF REGULAR EMPLOYEES FOR THE MONTH OF JANUARY 2021"/>
    <m/>
    <n v="22000"/>
    <n v="-2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RLIP-GOP"/>
    <n v="731"/>
    <s v="50103010 00"/>
    <s v="Retirement and Life Insurance Premiums"/>
    <x v="7"/>
    <s v="68"/>
    <s v="LBP F/O DTI-SDN"/>
    <s v="SALARIES AND ALLOWANCES OF REGULAR EMPLOYEES FOR THE MONTH OF JANUARY 2021"/>
    <m/>
    <n v="45309"/>
    <n v="-45309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2"/>
    <s v="50103020 01"/>
    <s v="Pag-IBIG - Civilian"/>
    <x v="8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3"/>
    <s v="50103030 01"/>
    <s v="PhilHealth - Civilian"/>
    <x v="9"/>
    <s v="68"/>
    <s v="LBP F/O DTI-SDN"/>
    <s v="SALARIES AND ALLOWANCES OF REGULAR EMPLOYEES FOR THE MONTH OF JANUARY 2021"/>
    <m/>
    <n v="5560.64"/>
    <n v="-5560.6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4"/>
    <s v="50103040 01"/>
    <s v="ECIP - Civilian"/>
    <x v="10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01"/>
    <s v="50101010 01"/>
    <s v="Basic Salary - Civilian"/>
    <x v="5"/>
    <s v="85"/>
    <s v="LBP F/O DTI-PDI"/>
    <s v="SALARIES AND ALLOWANCES OF REGULAR EMPLOYEES FOR THE MONTH OF JANUARY 2021"/>
    <m/>
    <n v="273461"/>
    <n v="-2734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11"/>
    <s v="50102010 01"/>
    <s v="PERA - Civilian"/>
    <x v="6"/>
    <s v="85"/>
    <s v="LBP F/O DTI-PDI"/>
    <s v="SALARIES AND ALLOWANCES OF REGULAR EMPLOYEES FOR THE MONTH OF JANUARY 2021"/>
    <m/>
    <n v="14000"/>
    <n v="-1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RLIP-GOP"/>
    <n v="731"/>
    <s v="50103010 00"/>
    <s v="Retirement and Life Insurance Premiums"/>
    <x v="7"/>
    <s v="85"/>
    <s v="LBP F/O DTI-PDI"/>
    <s v="SALARIES AND ALLOWANCES OF REGULAR EMPLOYEES FOR THE MONTH OF JANUARY 2021"/>
    <m/>
    <n v="32815.32"/>
    <n v="-32815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2"/>
    <s v="50103020 01"/>
    <s v="Pag-IBIG - Civilian"/>
    <x v="8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3"/>
    <s v="50103030 01"/>
    <s v="PhilHealth - Civilian"/>
    <x v="9"/>
    <s v="85"/>
    <s v="LBP F/O DTI-PDI"/>
    <s v="SALARIES AND ALLOWANCES OF REGULAR EMPLOYEES FOR THE MONTH OF JANUARY 2021"/>
    <m/>
    <n v="3358.03"/>
    <n v="-3358.0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4"/>
    <s v="50103040 01"/>
    <s v="ECIP - Civilian"/>
    <x v="10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01"/>
    <s v="50101010 01"/>
    <s v="Basic Salary - Civilian"/>
    <x v="5"/>
    <s v="67"/>
    <s v="LBP F/O DTI-SDS"/>
    <s v="SALARIES AND ALLOWANCES OF REGULAR EMPLOYEES FOR THE MONTH OF JANUARY 2021"/>
    <m/>
    <n v="565193"/>
    <n v="-5651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11"/>
    <s v="50102010 01"/>
    <s v="PERA - Civilian"/>
    <x v="6"/>
    <s v="67"/>
    <s v="LBP F/O DTI-SDS"/>
    <s v="SALARIES AND ALLOWANCES OF REGULAR EMPLOYEES FOR THE MONTH OF JANUARY 2021"/>
    <m/>
    <n v="24000"/>
    <n v="-2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RLIP-GOP"/>
    <n v="731"/>
    <s v="50103010 00"/>
    <s v="Retirement and Life Insurance Premiums"/>
    <x v="7"/>
    <s v="67"/>
    <s v="LBP F/O DTI-SDS"/>
    <s v="SALARIES AND ALLOWANCES OF REGULAR EMPLOYEES FOR THE MONTH OF JANUARY 2021"/>
    <m/>
    <n v="67823.16"/>
    <n v="-67823.1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2"/>
    <s v="50103020 01"/>
    <s v="Pag-IBIG - Civilian"/>
    <x v="8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3"/>
    <s v="50103030 01"/>
    <s v="PhilHealth - Civilian"/>
    <x v="9"/>
    <s v="67"/>
    <s v="LBP F/O DTI-SDS"/>
    <s v="SALARIES AND ALLOWANCES OF REGULAR EMPLOYEES FOR THE MONTH OF JANUARY 2021"/>
    <m/>
    <n v="7357.93"/>
    <n v="-7357.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4"/>
    <s v="50103040 01"/>
    <s v="ECIP - Civilian"/>
    <x v="10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8T00:00:00.000"/>
    <s v="21-1"/>
    <s v="007"/>
    <d v="1899-12-31T00:00:00.000"/>
    <d v="1899-12-31T00:00:00.000"/>
    <s v="GAA-GAS(GMS)-MOOE-GOP"/>
    <n v="755"/>
    <s v="50203010 00"/>
    <s v="Office Supplies Expenses"/>
    <x v="11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65"/>
    <s v="50203990 00"/>
    <s v="Other Supplies and Materials Expenses"/>
    <x v="12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81"/>
    <s v="50299020 00"/>
    <s v="Printing and Binding Expenses"/>
    <x v="13"/>
    <s v="01"/>
    <s v="ARLEEN P. PAHAMTANG"/>
    <s v="PETTY CASH FUND FOR 2021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5"/>
    <s v="50212990 00"/>
    <s v="Other General Services"/>
    <x v="14"/>
    <s v="01"/>
    <s v="ARLEEN P. PAHAMTANG"/>
    <s v="PETTY CASH FUND FOR 2021"/>
    <m/>
    <n v="1500"/>
    <n v="-1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9"/>
    <s v="50211990 00"/>
    <s v="Other Professional Services"/>
    <x v="15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969"/>
    <s v="50299990 99"/>
    <s v="Other Maintenance and Operating Expenses"/>
    <x v="16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8"/>
    <d v="1899-12-31T00:00:00.000"/>
    <d v="1899-12-31T00:00:00.000"/>
    <s v="GAA-OO2-PS-GOP"/>
    <n v="701"/>
    <s v="50101010 01"/>
    <s v="Basic Salary - Civilian"/>
    <x v="5"/>
    <s v="03"/>
    <s v="LBP F/O DTI-ADS"/>
    <s v="SALARIES AND ALLOWANCES OF REGULAR EMPLOYEES FOR THE MONTH OF JANUARY 2021"/>
    <m/>
    <n v="377147"/>
    <n v="-377147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11"/>
    <s v="50102010 01"/>
    <s v="PERA - Civilian"/>
    <x v="6"/>
    <s v="03"/>
    <s v="LBP F/O DTI-ADS"/>
    <s v="SALARIES AND ALLOWANCES OF REGULAR EMPLOYEES FOR THE MONTH OF JANUARY 2021"/>
    <m/>
    <n v="22000"/>
    <n v="-2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RLIP-GOP"/>
    <n v="731"/>
    <s v="50103010 00"/>
    <s v="Retirement and Life Insurance Premiums"/>
    <x v="7"/>
    <s v="03"/>
    <s v="LBP F/O DTI-ADS"/>
    <s v="SALARIES AND ALLOWANCES OF REGULAR EMPLOYEES FOR THE MONTH OF JANUARY 2021"/>
    <m/>
    <n v="45257.64"/>
    <n v="-45257.6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2"/>
    <s v="50103020 01"/>
    <s v="Pag-IBIG - Civilian"/>
    <x v="8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3"/>
    <s v="50103030 01"/>
    <s v="PhilHealth - Civilian"/>
    <x v="9"/>
    <s v="03"/>
    <s v="LBP F/O DTI-ADS"/>
    <s v="SALARIES AND ALLOWANCES OF REGULAR EMPLOYEES FOR THE MONTH OF JANUARY 2021"/>
    <m/>
    <n v="5521.98"/>
    <n v="-5521.98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4"/>
    <s v="50103040 01"/>
    <s v="ECIP - Civilian"/>
    <x v="10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9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PARTIAL PAYMENT FOR OFFICE RENTAL FOR THE MONTH OF JANUARY 2021"/>
    <m/>
    <n v="160190.04"/>
    <n v="-160190.0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9A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FULL PAYMENT OF OFFICE RENTAL FOR THE MONTH OF JANUARY 2021"/>
    <m/>
    <n v="10311.43"/>
    <n v="-10311.4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0"/>
    <d v="1899-12-31T00:00:00.000"/>
    <d v="1899-12-31T00:00:00.000"/>
    <s v="GAA-GAS(GMS)-MOOE-GOP"/>
    <n v="892"/>
    <s v="50215020 00"/>
    <s v="Fidelity Bond Premiums"/>
    <x v="18"/>
    <s v="01"/>
    <s v="BUREAU OF THE TREASURY"/>
    <s v="RENEWAL OF APPLICATION FOR BOND OF ACCOUNTABLE OFFICERS AND EMPLOYEES - MALP"/>
    <m/>
    <n v="11250"/>
    <n v="-11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1"/>
    <d v="1899-12-31T00:00:00.000"/>
    <d v="1899-12-31T00:00:00.000"/>
    <s v="GAA-OO3-PS-GOP"/>
    <n v="701"/>
    <s v="50101010 01"/>
    <s v="Basic Salary - Civilian"/>
    <x v="5"/>
    <s v="02"/>
    <s v="LBP F/O DTI-ADN "/>
    <s v="SALARIES AND ALLOWANCES OF REGULAR EMPLOYEES FOR THE MONTH OF JANUARY 2021"/>
    <m/>
    <n v="487450"/>
    <n v="-48745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11"/>
    <s v="50102010 01"/>
    <s v="PERA - Civilian"/>
    <x v="6"/>
    <s v="02"/>
    <s v="LBP F/O DTI-ADN "/>
    <s v="SALARIES AND ALLOWANCES OF REGULAR EMPLOYEES FOR THE MONTH OF JANUARY 2021"/>
    <m/>
    <n v="20000"/>
    <n v="-2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RLIP-GOP"/>
    <n v="731"/>
    <s v="50103010 00"/>
    <s v="Retirement and Life Insurance Premiums"/>
    <x v="7"/>
    <s v="02"/>
    <s v="LBP F/O DTI-ADN "/>
    <s v="SALARIES AND ALLOWANCES OF REGULAR EMPLOYEES FOR THE MONTH OF JANUARY 2021"/>
    <m/>
    <n v="58494"/>
    <n v="-5849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2"/>
    <s v="50103020 01"/>
    <s v="Pag-IBIG - Civilian"/>
    <x v="8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3"/>
    <s v="50103030 01"/>
    <s v="PhilHealth - Civilian"/>
    <x v="9"/>
    <s v="02"/>
    <s v="LBP F/O DTI-ADN "/>
    <s v="SALARIES AND ALLOWANCES OF REGULAR EMPLOYEES FOR THE MONTH OF JANUARY 2021"/>
    <m/>
    <n v="6170.95"/>
    <n v="-6170.95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4"/>
    <s v="50103040 01"/>
    <s v="ECIP - Civilian"/>
    <x v="10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2"/>
    <d v="1899-12-31T00:00:00.000"/>
    <d v="1899-12-31T00:00:00.000"/>
    <s v="GAA-GAS(GMS)-MOOE-GOP"/>
    <n v="773"/>
    <s v="50205020 01"/>
    <s v="Telephone Expenses - Mobile "/>
    <x v="19"/>
    <s v="01"/>
    <s v="GAY A . TIDALGO"/>
    <s v="REIM OF POST PAID SUBSCRIPTION PLAN 65087463-09173049729 FOR NOVEMBER 16-DECEMBER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3"/>
    <d v="1899-12-31T00:00:00.000"/>
    <d v="1899-12-31T00:00:00.000"/>
    <s v="GAA-GAS(GMS)-MOOE-GOP"/>
    <n v="775"/>
    <s v="50205040 00"/>
    <s v="Cable, Satellite, Telegraph, and Radio Expenses"/>
    <x v="20"/>
    <s v="01"/>
    <s v="FIL PRODUCTS SERVICE TV BUTUAN, INC."/>
    <s v="PAYMENT FOR CABLE SUBSCRIPTION FOR DEC. 28-JAN. 27,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55"/>
    <s v="50203010 00"/>
    <s v="Office Supplies Expenses"/>
    <x v="11"/>
    <s v="01"/>
    <s v="ARLEEN P. PAHAMTANG"/>
    <s v="REPLENISHMENT OF PETTY CASH FUND"/>
    <m/>
    <n v="1834.25"/>
    <n v="-183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2"/>
    <s v="50211020 00"/>
    <s v="Auditing Services"/>
    <x v="21"/>
    <s v="01"/>
    <s v="ARLEEN P. PAHAMTANG"/>
    <s v="REPLENISHMENT OF PETTY CASH FUND"/>
    <m/>
    <n v="219"/>
    <n v="-21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5"/>
    <s v="50212990 00"/>
    <s v="Other General Services"/>
    <x v="14"/>
    <s v="01"/>
    <s v="ARLEEN P. PAHAMTANG"/>
    <s v="REPLENISHMENT OF PETTY CASH FUND"/>
    <m/>
    <n v="1960"/>
    <n v="-1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9"/>
    <s v="50211990 00"/>
    <s v="Other Professional Services"/>
    <x v="15"/>
    <s v="01"/>
    <s v="ARLEEN P. PAHAMTANG"/>
    <s v="REPLENISHMENT OF PETTY CASH FUND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6006.93"/>
    <n v="-6006.9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5794.22"/>
    <n v="-5794.22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1558.07"/>
    <n v="-1558.0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759.68"/>
    <n v="-759.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8431.59"/>
    <n v="-8431.59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5T00:00:00.000"/>
    <s v="21-1"/>
    <s v="016"/>
    <d v="1899-12-31T00:00:00.000"/>
    <d v="1899-12-31T00:00:00.000"/>
    <s v="GAA-GAS(GMS)-MOOE-GOP"/>
    <n v="783"/>
    <s v="50299030 00"/>
    <s v="Representation Expenses"/>
    <x v="23"/>
    <s v="02"/>
    <s v="PD, DTI-A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7"/>
    <d v="1899-12-31T00:00:00.000"/>
    <d v="1899-12-31T00:00:00.000"/>
    <s v="GAA-GAS(GMS)-MOOE-GOP"/>
    <n v="783"/>
    <s v="50299030 00"/>
    <s v="Representation Expenses"/>
    <x v="23"/>
    <s v="03"/>
    <s v="OIC, DTI-A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8"/>
    <d v="1899-12-31T00:00:00.000"/>
    <d v="1899-12-31T00:00:00.000"/>
    <s v="GAA-GAS(GMS)-MOOE-GOP"/>
    <n v="783"/>
    <s v="50299030 00"/>
    <s v="Representation Expenses"/>
    <x v="23"/>
    <s v="68"/>
    <s v="OIC, DTI-S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9"/>
    <d v="1899-12-31T00:00:00.000"/>
    <d v="1899-12-31T00:00:00.000"/>
    <s v="GAA-GAS(GMS)-MOOE-GOP"/>
    <n v="783"/>
    <s v="50299030 00"/>
    <s v="Representation Expenses"/>
    <x v="23"/>
    <s v="67"/>
    <s v="PD, DTI-S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20"/>
    <d v="1899-12-31T00:00:00.000"/>
    <d v="1899-12-31T00:00:00.000"/>
    <s v="GAA-GAS(GMS)-MOOE-GOP"/>
    <n v="783"/>
    <s v="50299030 00"/>
    <s v="Representation Expenses"/>
    <x v="23"/>
    <s v="85"/>
    <s v="PD, DTI-PDI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6T00:00:00.000"/>
    <s v="21-1"/>
    <s v="021"/>
    <d v="1899-12-31T00:00:00.000"/>
    <d v="1899-12-31T00:00:00.000"/>
    <s v="GAA-SSF-CO-GOP"/>
    <s v="223 co"/>
    <s v="50604050 03"/>
    <s v="ICT Equipment"/>
    <x v="24"/>
    <s v="01"/>
    <s v="LG SUPPLIES AND GENERAL MERCHANDISE"/>
    <s v="PAYMENT FOR 1 UNIT LAPTOP COMPUTER FOR IDD USE"/>
    <m/>
    <n v="59500"/>
    <n v="-59500"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d v="2021-01-26T00:00:00.000"/>
    <s v="21-1"/>
    <s v="022"/>
    <d v="1899-12-31T00:00:00.000"/>
    <d v="1899-12-31T00:00:00.000"/>
    <s v="GAA-GAS(GMS)-PS-GOP"/>
    <n v="701"/>
    <s v="50101010 01"/>
    <s v="Basic Salary - Civilian"/>
    <x v="5"/>
    <s v="01"/>
    <s v="MARIBEL P. TIMOGAN"/>
    <s v="INITIAL SALARY OF AA VI FOR THE MONTH OF JANUARY 4-31, 2021"/>
    <m/>
    <n v="14112.73"/>
    <n v="-14112.7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11"/>
    <s v="50102010 01"/>
    <s v="PERA - Civilian"/>
    <x v="6"/>
    <s v="01"/>
    <s v="MARIBEL P. TIMOGAN"/>
    <s v="INITIAL SALARY OF AA VI FOR THE MONTH OF JANUARY 4-31, 2021"/>
    <m/>
    <n v="1818.18"/>
    <n v="-18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RLIP-GOP"/>
    <n v="731"/>
    <s v="50103010 00"/>
    <s v="Retirement and Life Insurance Premiums"/>
    <x v="7"/>
    <s v="01"/>
    <s v="MARIBEL P. TIMOGAN"/>
    <s v="INITIAL SALARY OF AA VI FOR THE MONTH OF JANUARY 4-31, 2021"/>
    <m/>
    <n v="1682.6"/>
    <n v="-1682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2"/>
    <s v="50103020 01"/>
    <s v="Pag-IBIG - Civilian"/>
    <x v="8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3"/>
    <s v="50103030 01"/>
    <s v="PhilHealth - Civilian"/>
    <x v="9"/>
    <s v="01"/>
    <s v="MARIBEL P. TIMOGAN"/>
    <s v="INITIAL SALARY OF AA VI FOR THE MONTH OF JANUARY 4-31, 2021"/>
    <m/>
    <n v="232.86"/>
    <n v="-232.8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4"/>
    <s v="50103040 01"/>
    <s v="ECIP - Civilian"/>
    <x v="10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7T00:00:00.000"/>
    <s v="21-1"/>
    <s v="023"/>
    <d v="1899-12-31T00:00:00.000"/>
    <d v="1899-12-31T00:00:00.000"/>
    <s v="GAA-GAS(GMS)-MOOE-GOP"/>
    <n v="766"/>
    <s v="50204010 00"/>
    <s v="Water Expenses"/>
    <x v="25"/>
    <s v="01"/>
    <s v="A&amp;C YELO SUBMARINE CORP."/>
    <s v="PAYMENT FOR DRINKING WATER USAGE FOR NOVEMBER TO DECEMBER 2020"/>
    <m/>
    <n v="3675"/>
    <n v="-36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4"/>
    <d v="1899-12-31T00:00:00.000"/>
    <d v="1899-12-31T00:00:00.000"/>
    <s v="GAA-GAS(GMS)-MOOE-GOP"/>
    <n v="766"/>
    <s v="50204010 00"/>
    <s v="Water Expenses"/>
    <x v="25"/>
    <s v="01"/>
    <s v="BUTUAN CITY WATER DISTRICT"/>
    <s v="PAYMENT FOR UTILITIES - WATER FOR THE MONTHS OF DECEMBER TO JANUARY 2021"/>
    <m/>
    <n v="10895.41"/>
    <n v="-10895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2480"/>
    <n v="-2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6"/>
    <s v="50212020 00"/>
    <s v="Janitorial Services"/>
    <x v="26"/>
    <s v="FAD"/>
    <s v="LBP, F/O DTI-JO"/>
    <s v="PAYMENT FOR JO FOR THE PERIOD JANUARY 5-15, 2021"/>
    <m/>
    <n v="7600"/>
    <n v="-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9"/>
    <s v="50211990 00"/>
    <s v="Other Professional Services"/>
    <x v="15"/>
    <s v="FAD"/>
    <s v="LBP, F/O DTI-JO"/>
    <s v="PAYMENT FOR JO FOR THE PERIOD JANUARY 5-15, 2021"/>
    <m/>
    <n v="4000"/>
    <n v="-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6"/>
    <d v="1899-12-31T00:00:00.000"/>
    <d v="1899-12-31T00:00:00.000"/>
    <s v="GAA-GAS(GMS)-MOOE-GOP"/>
    <n v="969"/>
    <s v="50299990 99"/>
    <s v="Other Maintenance and Operating Expenses"/>
    <x v="16"/>
    <s v="01"/>
    <s v="MARRY ANN L. PASCUAL"/>
    <s v="REIMBURSEMENT, DECORATIONS AND SUPPLIES RE: OAT-TAKING CEREMON CUM ORIENTATION FOR NEWLY-HIRED AND PROMOTED LAST JANUARY 11, 2021"/>
    <m/>
    <n v="1880"/>
    <n v="-1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7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2"/>
    <s v="50211020 00"/>
    <s v="Auditing Services"/>
    <x v="21"/>
    <s v="COA"/>
    <s v="LBP, F/O DTI-JO"/>
    <s v="PAYMENT FOR JO FOR THE PERIOD JANUARY 5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4527.82"/>
    <n v="-4527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SSF-MOOE-GOP"/>
    <n v="799"/>
    <s v="50211990 00"/>
    <s v="Other Professional Services"/>
    <x v="15"/>
    <s v="SSF"/>
    <s v="LBP, F/O DTI-JO"/>
    <s v="PAYMENT FOR JO FOR THE PERIOD JANUARY 5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d v="2021-01-28T00:00:00.000"/>
    <s v="21-1"/>
    <s v="029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5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0"/>
    <d v="2021-01-28T00:00:00.000"/>
    <s v="21-1"/>
    <s v="029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5-15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d v="2021-01-28T00:00:00.000"/>
    <s v="21-1"/>
    <s v="029"/>
    <d v="1899-12-31T00:00:00.000"/>
    <d v="1899-12-31T00:00:00.000"/>
    <s v="GAA-NC-MOOE-GOP"/>
    <n v="799"/>
    <s v="50211990 00"/>
    <s v="Other Professional Services"/>
    <x v="15"/>
    <s v="NC"/>
    <s v="LBP, F/O DTI-JO"/>
    <s v="PAYMENT FOR JO FOR THE PERIOD JANUARY 5-15, 2021"/>
    <m/>
    <n v="11158"/>
    <n v="-11158"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d v="2021-01-28T00:00:00.000"/>
    <s v="21-1"/>
    <s v="030"/>
    <d v="1899-12-31T00:00:00.000"/>
    <d v="1899-12-31T00:00:00.000"/>
    <s v="GAA-GAS(GMS)-MOOE-GOP"/>
    <n v="755"/>
    <s v="50203010 00"/>
    <s v="Office Supplies Expenses"/>
    <x v="11"/>
    <s v="MSSU"/>
    <s v="RALPH O. GORGONIO"/>
    <s v="REIM FOR THE PAYMENT OF PORTABLE WIFI MODEM FOR ORD USE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31"/>
    <d v="1899-12-31T00:00:00.000"/>
    <d v="1899-12-31T00:00:00.000"/>
    <s v="SAA15-CARP-706-GOP"/>
    <n v="706"/>
    <s v="50101020 00"/>
    <s v="Basic Salary - Contractual"/>
    <x v="27"/>
    <s v="01"/>
    <s v="JOSELITO B. PALER"/>
    <s v="SALARIES AND ALLOWANCES OF CARP EMPLOYEES FOR THE MONTH OF JANUARY 2021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11"/>
    <s v="50102010 01"/>
    <s v="PERA - Civilian"/>
    <x v="6"/>
    <s v="01"/>
    <s v="JOSELITO B. PALER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1"/>
    <s v="50103010 00"/>
    <s v="Retirement and Life Insurance Premiums"/>
    <x v="7"/>
    <s v="01"/>
    <s v="JOSELITO B. PALER"/>
    <s v="SALARIES AND ALLOWANCES OF CARP EMPLOYEES FOR THE MONTH OF JANUARY 2021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2"/>
    <s v="50103020 01"/>
    <s v="Pag-IBIG - Civilian"/>
    <x v="8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3"/>
    <s v="50103030 01"/>
    <s v="PhilHealth - Civilian"/>
    <x v="9"/>
    <s v="01"/>
    <s v="JOSELITO B. PALER"/>
    <s v="SALARIES AND ALLOWANCES OF CARP EMPLOYEES FOR THE MONTH OF JANUARY 2021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4"/>
    <s v="50103040 01"/>
    <s v="ECIP - Civilian"/>
    <x v="10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06"/>
    <s v="50101020 00"/>
    <s v="Basic Salary - Contractual"/>
    <x v="27"/>
    <s v="02"/>
    <s v="LBP F/O DTI-ADN 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11"/>
    <s v="50102010 01"/>
    <s v="PERA - Civilian"/>
    <x v="6"/>
    <s v="02"/>
    <s v="LBP F/O DTI-ADN 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1"/>
    <s v="50103010 00"/>
    <s v="Retirement and Life Insurance Premiums"/>
    <x v="7"/>
    <s v="02"/>
    <s v="LBP F/O DTI-ADN 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2"/>
    <s v="50103020 01"/>
    <s v="Pag-IBIG - Civilian"/>
    <x v="8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3"/>
    <s v="50103030 01"/>
    <s v="PhilHealth - Civilian"/>
    <x v="9"/>
    <s v="02"/>
    <s v="LBP F/O DTI-ADN 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4"/>
    <s v="50103040 01"/>
    <s v="ECIP - Civilian"/>
    <x v="10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06"/>
    <s v="50101020 00"/>
    <s v="Basic Salary - Contractual"/>
    <x v="27"/>
    <s v="03"/>
    <s v="LEMUEL D. ROBOC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11"/>
    <s v="50102010 01"/>
    <s v="PERA - Civilian"/>
    <x v="6"/>
    <s v="03"/>
    <s v="LEMUEL D. ROBOC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1"/>
    <s v="50103010 00"/>
    <s v="Retirement and Life Insurance Premiums"/>
    <x v="7"/>
    <s v="03"/>
    <s v="LEMUEL D. ROBOC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2"/>
    <s v="50103020 01"/>
    <s v="Pag-IBIG - Civilian"/>
    <x v="8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3"/>
    <s v="50103030 01"/>
    <s v="PhilHealth - Civilian"/>
    <x v="9"/>
    <s v="03"/>
    <s v="LEMUEL D. ROBOC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4"/>
    <s v="50103040 01"/>
    <s v="ECIP - Civilian"/>
    <x v="10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06"/>
    <s v="50101020 00"/>
    <s v="Basic Salary - Contractual"/>
    <x v="27"/>
    <s v="68"/>
    <s v="MA. MALEN B. CATAMOR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11"/>
    <s v="50102010 01"/>
    <s v="PERA - Civilian"/>
    <x v="6"/>
    <s v="68"/>
    <s v="MA. MALEN B. CATAMOR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1"/>
    <s v="50103010 00"/>
    <s v="Retirement and Life Insurance Premiums"/>
    <x v="7"/>
    <s v="68"/>
    <s v="MA. MALEN B. CATAMOR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2"/>
    <s v="50103020 01"/>
    <s v="Pag-IBIG - Civilian"/>
    <x v="8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3"/>
    <s v="50103030 01"/>
    <s v="PhilHealth - Civilian"/>
    <x v="9"/>
    <s v="68"/>
    <s v="MA. MALEN B. CATAMOR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4"/>
    <s v="50103040 01"/>
    <s v="ECIP - Civilian"/>
    <x v="10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06"/>
    <s v="50101020 00"/>
    <s v="Basic Salary - Contractual"/>
    <x v="27"/>
    <s v="67"/>
    <s v="LBP F/O DTI-SDS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11"/>
    <s v="50102010 01"/>
    <s v="PERA - Civilian"/>
    <x v="6"/>
    <s v="67"/>
    <s v="LBP F/O DTI-SDS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1"/>
    <s v="50103010 00"/>
    <s v="Retirement and Life Insurance Premiums"/>
    <x v="7"/>
    <s v="67"/>
    <s v="LBP F/O DTI-SDS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2"/>
    <s v="50103020 01"/>
    <s v="Pag-IBIG - Civilian"/>
    <x v="8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3"/>
    <s v="50103030 01"/>
    <s v="PhilHealth - Civilian"/>
    <x v="9"/>
    <s v="67"/>
    <s v="LBP F/O DTI-SDS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4"/>
    <s v="50103040 01"/>
    <s v="ECIP - Civilian"/>
    <x v="10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06"/>
    <s v="50101020 00"/>
    <s v="Basic Salary - Contractual"/>
    <x v="27"/>
    <s v="85"/>
    <s v="JUMAR H. LLORENTE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11"/>
    <s v="50102010 01"/>
    <s v="PERA - Civilian"/>
    <x v="6"/>
    <n v="85"/>
    <s v="JUMAR H. LLORENTE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4"/>
    <s v="50103040 01"/>
    <s v="ECIP - Civilian"/>
    <x v="10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02T00:00:00.000"/>
    <s v="21-2"/>
    <s v="037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OO1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1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2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2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3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3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4.1(FTL)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7"/>
    <d v="1899-12-31T00:00:00.000"/>
    <d v="1899-12-31T00:00:00.000"/>
    <s v="GAA-OO4.1(FTL)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8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FEBR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3"/>
    <s v="50102020 00"/>
    <s v="Representation Allowance"/>
    <x v="2"/>
    <n v="1"/>
    <s v="LAND BANK OF THE PHILIPPINES"/>
    <s v="RATA, JAN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JANUARY 2021"/>
    <m/>
    <n v="13636.36"/>
    <n v="-13636.3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3T00:00:00.000"/>
    <s v="21-2"/>
    <s v="040"/>
    <d v="1899-12-31T00:00:00.000"/>
    <d v="1899-12-31T00:00:00.000"/>
    <s v="GAA-OO2-MOOE-GOP"/>
    <n v="755"/>
    <s v="50203010 00"/>
    <s v="Office Supplies Expenses"/>
    <x v="11"/>
    <s v="IDD"/>
    <s v="PROCUREMENT SERVICE"/>
    <s v="PAYMENT FOR OFFICE SUPPLIES FOR IDD USE - 1ST QTR 2021"/>
    <m/>
    <n v="2073.09"/>
    <n v="-2073.09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"/>
    <d v="1899-12-31T00:00:00.000"/>
    <d v="1899-12-31T00:00:00.000"/>
    <s v="GAA-OO2-MOOE-GOP"/>
    <n v="755"/>
    <s v="50203010 00"/>
    <s v="Office Supplies Expenses"/>
    <x v="11"/>
    <s v="IDD"/>
    <s v="ROYELEN B. TAALA"/>
    <s v="REIMBURSEMENT, PURCHASE OF 2021 PLANNER FOR IDD USE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A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n v="17600"/>
    <n v="-1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42"/>
    <d v="1899-12-31T00:00:00.000"/>
    <d v="1899-12-31T00:00:00.000"/>
    <s v="GAA-SSF-MOOE-GOP"/>
    <n v="840"/>
    <s v="50213050 99"/>
    <s v="Other Machinery and Equipment"/>
    <x v="28"/>
    <n v="2"/>
    <s v="PD, DTI-ADN"/>
    <s v="ADVANCES TO SSF MOOE 2021 FOR CONSULTANCY AND REPAIR OF DEFECTIVE SSF EQUIPMENT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2"/>
    <d v="1899-12-31T00:00:00.000"/>
    <d v="1899-12-31T00:00:00.000"/>
    <s v="GAA-SSF-MOOE-GOP"/>
    <n v="784"/>
    <s v="50299040 00"/>
    <s v="Transportation and Delivery Expenses"/>
    <x v="29"/>
    <n v="2"/>
    <s v="PD, DTI-ADN"/>
    <s v="ADVANCES TO SSF MOOE 2021 FOR CONSULTANCY AND REPAIR OF DEFECTIVE SSF EQUIPMENT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3"/>
    <d v="1899-12-31T00:00:00.000"/>
    <d v="1899-12-31T00:00:00.000"/>
    <s v="GAA-SSF-MOOE-GOP"/>
    <n v="751"/>
    <s v="50201010 00"/>
    <s v="Traveling Expenses - Local"/>
    <x v="30"/>
    <n v="1"/>
    <s v="FREEDCARMARIAM GONZAG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4"/>
    <d v="1899-12-31T00:00:00.000"/>
    <d v="1899-12-31T00:00:00.000"/>
    <s v="GAA-SSF-MOOE-GOP"/>
    <n v="751"/>
    <s v="50201010 00"/>
    <s v="Traveling Expenses - Local"/>
    <x v="30"/>
    <n v="1"/>
    <s v="IRA S. MANTILL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5"/>
    <d v="1899-12-31T00:00:00.000"/>
    <d v="1899-12-31T00:00:00.000"/>
    <s v="GAA-SSF-MOOE-GOP"/>
    <n v="751"/>
    <s v="50201010 00"/>
    <s v="Traveling Expenses - Local"/>
    <x v="30"/>
    <n v="1"/>
    <s v="REY B. ACABO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6"/>
    <d v="1899-12-31T00:00:00.000"/>
    <d v="1899-12-31T00:00:00.000"/>
    <s v="GAA-OO2-MOOE-GOP"/>
    <n v="751"/>
    <s v="50201010 00"/>
    <s v="Traveling Expenses - Local"/>
    <x v="30"/>
    <n v="2"/>
    <s v="PD, DTI-A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55"/>
    <s v="50203010 00"/>
    <s v="Office Supplies Expenses"/>
    <x v="11"/>
    <n v="2"/>
    <s v="PD, DTI-A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83"/>
    <s v="50299030 00"/>
    <s v="Representation Expenses"/>
    <x v="23"/>
    <n v="2"/>
    <s v="PD, DTI-A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1"/>
    <s v="50201010 00"/>
    <s v="Traveling Expenses - Local"/>
    <x v="30"/>
    <n v="3"/>
    <s v="OIC, DTI-A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5"/>
    <s v="50203010 00"/>
    <s v="Office Supplies Expenses"/>
    <x v="11"/>
    <n v="3"/>
    <s v="OIC, DTI-A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83"/>
    <s v="50299030 00"/>
    <s v="Representation Expenses"/>
    <x v="23"/>
    <n v="3"/>
    <s v="OIC, DTI-A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1"/>
    <s v="50201010 00"/>
    <s v="Traveling Expenses - Local"/>
    <x v="30"/>
    <n v="68"/>
    <s v="OIC, DTI-S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5"/>
    <s v="50203010 00"/>
    <s v="Office Supplies Expenses"/>
    <x v="11"/>
    <n v="68"/>
    <s v="OIC, DTI-S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83"/>
    <s v="50299030 00"/>
    <s v="Representation Expenses"/>
    <x v="23"/>
    <n v="68"/>
    <s v="OIC, DTI-S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1"/>
    <s v="50201010 00"/>
    <s v="Traveling Expenses - Local"/>
    <x v="30"/>
    <n v="67"/>
    <s v="PD, DTI-S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5"/>
    <s v="50203010 00"/>
    <s v="Office Supplies Expenses"/>
    <x v="11"/>
    <n v="67"/>
    <s v="PD, DTI-S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83"/>
    <s v="50299030 00"/>
    <s v="Representation Expenses"/>
    <x v="23"/>
    <n v="67"/>
    <s v="PD, DTI-S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1"/>
    <s v="50201010 00"/>
    <s v="Traveling Expenses - Local"/>
    <x v="30"/>
    <n v="85"/>
    <s v="PD, DTI-PDI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5"/>
    <s v="50203010 00"/>
    <s v="Office Supplies Expenses"/>
    <x v="11"/>
    <n v="85"/>
    <s v="PD, DTI-PDI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83"/>
    <s v="50299030 00"/>
    <s v="Representation Expenses"/>
    <x v="23"/>
    <n v="85"/>
    <s v="PD, DTI-PDI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1"/>
    <d v="1899-12-31T00:00:00.000"/>
    <d v="1899-12-31T00:00:00.000"/>
    <s v="GAA-OO1-MOOE-GOP"/>
    <n v="751"/>
    <s v="50201010 00"/>
    <s v="Traveling Expenses - Local"/>
    <x v="30"/>
    <n v="2"/>
    <s v="PD, DTI-A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99"/>
    <s v="50211990 00"/>
    <s v="Other Professional Services"/>
    <x v="15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83"/>
    <s v="50299030 00"/>
    <s v="Representation Expenses"/>
    <x v="23"/>
    <n v="2"/>
    <s v="PD, DTI-ADN"/>
    <s v="ADVANCES TO IDD REGULAR MOOE 001 FOR 1ST QUARTER 2021"/>
    <m/>
    <n v="32500"/>
    <n v="-325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969"/>
    <s v="50299990 99"/>
    <s v="Other Maintenance and Operating Expenses"/>
    <x v="16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51"/>
    <s v="50201010 00"/>
    <s v="Traveling Expenses - Local"/>
    <x v="30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99"/>
    <s v="50211990 00"/>
    <s v="Other Professional Services"/>
    <x v="15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83"/>
    <s v="50299030 00"/>
    <s v="Representation Expenses"/>
    <x v="23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969"/>
    <s v="50299990 99"/>
    <s v="Other Maintenance and Operating Expenses"/>
    <x v="16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51"/>
    <s v="50201010 00"/>
    <s v="Traveling Expenses - Local"/>
    <x v="30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99"/>
    <s v="50211990 00"/>
    <s v="Other Professional Services"/>
    <x v="15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83"/>
    <s v="50299030 00"/>
    <s v="Representation Expenses"/>
    <x v="23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969"/>
    <s v="50299990 99"/>
    <s v="Other Maintenance and Operating Expenses"/>
    <x v="16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51"/>
    <s v="50201010 00"/>
    <s v="Traveling Expenses - Local"/>
    <x v="30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99"/>
    <s v="50211990 00"/>
    <s v="Other Professional Services"/>
    <x v="15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83"/>
    <s v="50299030 00"/>
    <s v="Representation Expenses"/>
    <x v="23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969"/>
    <s v="50299990 99"/>
    <s v="Other Maintenance and Operating Expenses"/>
    <x v="16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51"/>
    <s v="50201010 00"/>
    <s v="Traveling Expenses - Local"/>
    <x v="30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99"/>
    <s v="50211990 00"/>
    <s v="Other Professional Services"/>
    <x v="15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83"/>
    <s v="50299030 00"/>
    <s v="Representation Expenses"/>
    <x v="23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969"/>
    <s v="50299990 99"/>
    <s v="Other Maintenance and Operating Expenses"/>
    <x v="16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6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JAN. 21-FEB 3, 2021"/>
    <m/>
    <n v="1074.25"/>
    <n v="-107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JAN. 21-FEB 3, 2021"/>
    <m/>
    <n v="960"/>
    <n v="-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JAN. 21-FEB 3, 2021"/>
    <m/>
    <n v="2700"/>
    <n v="-27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7"/>
    <d v="1899-12-31T00:00:00.000"/>
    <d v="1899-12-31T00:00:00.000"/>
    <s v="GAA-OO1-MOOE-GOP"/>
    <n v="786"/>
    <s v="50299070 00"/>
    <s v="Subscriptions Expenses"/>
    <x v="31"/>
    <n v="1"/>
    <s v="BUSA INTERBIZ CENTER"/>
    <s v="PAYMENT FOR NEWSPAPER SUBSCRIPTION FOR JANUARY 2021"/>
    <m/>
    <n v="1350"/>
    <n v="-13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8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JAN-FEB 2021"/>
    <m/>
    <n v="10790"/>
    <n v="-10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JAN-FEB 2021"/>
    <m/>
    <n v="8509.99"/>
    <n v="-8509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6"/>
    <s v="50204010 00"/>
    <s v="Water Expenses"/>
    <x v="25"/>
    <n v="2"/>
    <s v="PD, DTI-ADN"/>
    <s v="ADVANCES TO REGULAR MOOE FOR JAN-FEB 2021"/>
    <m/>
    <n v="4731"/>
    <n v="-47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JAN-FEB 2021"/>
    <m/>
    <n v="42745"/>
    <n v="-427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JAN-FEB 2021"/>
    <m/>
    <n v="762.27"/>
    <n v="-762.2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JAN-FEB 2021"/>
    <m/>
    <n v="6972"/>
    <n v="-69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JAN-FEB 2021"/>
    <m/>
    <n v="539.5"/>
    <n v="-539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1"/>
    <s v="50211010 00"/>
    <s v="Legal Services"/>
    <x v="37"/>
    <n v="2"/>
    <s v="PD, DTI-A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JAN-FEB 2021"/>
    <m/>
    <n v="169498.73"/>
    <n v="-169498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3-MOOE-GOP"/>
    <n v="821"/>
    <s v="50213050 02"/>
    <s v="Office Equipment"/>
    <x v="38"/>
    <n v="2"/>
    <s v="PD, DTI-A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8"/>
    <d v="1899-12-31T00:00:00.000"/>
    <d v="1899-12-31T00:00:00.000"/>
    <s v="GAA-OO2-MOOE-GOP"/>
    <n v="823"/>
    <s v="50213050 03"/>
    <s v="ICT Equipment"/>
    <x v="39"/>
    <n v="2"/>
    <s v="PD, DTI-A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841"/>
    <s v="50213060 01"/>
    <s v="Motor Vehicles"/>
    <x v="41"/>
    <n v="2"/>
    <s v="PD, DTI-A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JAN-FEB 2021"/>
    <m/>
    <n v="1909.52"/>
    <n v="-1909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JAN-FEB 2021"/>
    <m/>
    <n v="4810.31"/>
    <n v="-4810.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JAN-FEB 2021"/>
    <m/>
    <n v="220858.58"/>
    <n v="-220858.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JAN-FEB 2021"/>
    <m/>
    <n v="1521.67"/>
    <n v="-152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JAN-FEB 2021"/>
    <m/>
    <n v="3541.33"/>
    <n v="-354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JAN-FEB 2021"/>
    <m/>
    <n v="9376.91"/>
    <n v="-9376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6"/>
    <s v="50204010 00"/>
    <s v="Water Expenses"/>
    <x v="25"/>
    <n v="3"/>
    <s v="OIC, DTI-ADS"/>
    <s v="ADVANCES TO REGULAR MOOE FOR JAN-FEB 2021"/>
    <m/>
    <n v="2158"/>
    <n v="-21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JAN-FEB 2021"/>
    <m/>
    <n v="38180"/>
    <n v="-38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1"/>
    <s v="50211010 00"/>
    <s v="Legal Services"/>
    <x v="37"/>
    <n v="3"/>
    <s v="OIC, DTI-ADS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JAN-FEB 2021"/>
    <m/>
    <n v="13847.17"/>
    <n v="-13847.1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JAN-FEB 2021"/>
    <m/>
    <n v="66782.91"/>
    <n v="-66782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820"/>
    <s v="50213040 01"/>
    <s v="Buildings"/>
    <x v="44"/>
    <n v="3"/>
    <s v="OIC, DTI-ADS"/>
    <s v="ADVANCES TO REGULAR MOOE FOR JAN-FEB 2021"/>
    <m/>
    <n v="39807.91"/>
    <n v="-39807.91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3-MOOE-GOP"/>
    <n v="821"/>
    <s v="50213050 02"/>
    <s v="Office Equipment"/>
    <x v="38"/>
    <n v="3"/>
    <s v="OIC, DTI-A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9"/>
    <d v="1899-12-31T00:00:00.000"/>
    <d v="1899-12-31T00:00:00.000"/>
    <s v="GAA-OO2-MOOE-GOP"/>
    <n v="823"/>
    <s v="50213050 03"/>
    <s v="ICT Equipment"/>
    <x v="39"/>
    <n v="3"/>
    <s v="OIC, DTI-A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841"/>
    <s v="50213060 01"/>
    <s v="Motor Vehicles"/>
    <x v="41"/>
    <n v="3"/>
    <s v="OIC, DTI-ADS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JAN-FEB 2021"/>
    <m/>
    <n v="1798.33"/>
    <n v="-1798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JAN-FEB 2021"/>
    <m/>
    <n v="3609.82"/>
    <n v="-3609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JAN-FEB 2021"/>
    <m/>
    <n v="691.67"/>
    <n v="-691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JAN-FEB 2021"/>
    <m/>
    <n v="8308.21"/>
    <n v="-8308.2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JAN-FEB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JAN-FEB 2021"/>
    <m/>
    <n v="7211.11"/>
    <n v="-7211.1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JAN-FEB 2021"/>
    <m/>
    <n v="1412.1"/>
    <n v="-1412.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JAN-FEB 2021"/>
    <m/>
    <n v="31391.81"/>
    <n v="-31391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JAN-FEB 2021"/>
    <m/>
    <n v="5057.87"/>
    <n v="-505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JAN-FEB 2021"/>
    <m/>
    <n v="14386.67"/>
    <n v="-1438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JAN-FEB 2021"/>
    <m/>
    <n v="109583.24"/>
    <n v="-109583.2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820"/>
    <s v="50213040 01"/>
    <s v="Buildings"/>
    <x v="44"/>
    <n v="68"/>
    <s v="OIC, DTI-SDN"/>
    <s v="ADVANCES TO REGULAR MOOE FOR JAN-FEB 2021"/>
    <m/>
    <n v="16600"/>
    <n v="-166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3-MOOE-GOP"/>
    <n v="821"/>
    <s v="50213050 02"/>
    <s v="Office Equipment"/>
    <x v="38"/>
    <n v="68"/>
    <s v="OIC, DTI-S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0"/>
    <d v="1899-12-31T00:00:00.000"/>
    <d v="1899-12-31T00:00:00.000"/>
    <s v="GAA-OO2-MOOE-GOP"/>
    <n v="823"/>
    <s v="50213050 03"/>
    <s v="ICT Equipment"/>
    <x v="39"/>
    <n v="68"/>
    <s v="OIC, DTI-S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JAN-FEB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JAN-FEB 2021"/>
    <m/>
    <n v="1390.25"/>
    <n v="-139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JAN-FEB 2021"/>
    <m/>
    <n v="85490"/>
    <n v="-85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JAN-FEB 2021"/>
    <m/>
    <n v="8443.52"/>
    <n v="-8443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6"/>
    <s v="50204010 00"/>
    <s v="Water Expenses"/>
    <x v="25"/>
    <n v="67"/>
    <s v="PD, DTI-SDS"/>
    <s v="ADVANCES TO REGULAR MOOE FOR JAN-FEB 2021"/>
    <m/>
    <n v="1328"/>
    <n v="-13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JAN-FEB 2021"/>
    <m/>
    <n v="48416.67"/>
    <n v="-484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JAN-FEB 2021"/>
    <m/>
    <n v="8300"/>
    <n v="-8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JAN-FEB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JAN-FEB 2021"/>
    <m/>
    <n v="1668.3"/>
    <n v="-1668.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1"/>
    <s v="50211010 00"/>
    <s v="Legal Services"/>
    <x v="37"/>
    <n v="67"/>
    <s v="PD, DTI-SDS"/>
    <s v="ADVANCES TO REGULAR MOOE FOR JAN-FEB 2021"/>
    <m/>
    <n v="332"/>
    <n v="-3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JAN-FEB 2021"/>
    <m/>
    <n v="27694.33"/>
    <n v="-27694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JAN-FEB 2021"/>
    <m/>
    <n v="111561.41"/>
    <n v="-111561.4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1"/>
    <d v="1899-12-31T00:00:00.000"/>
    <d v="1899-12-31T00:00:00.000"/>
    <s v="GAA-OO3-MOOE-GOP"/>
    <n v="821"/>
    <s v="50213050 02"/>
    <s v="Office Equipment"/>
    <x v="38"/>
    <n v="67"/>
    <s v="PD, DTI-S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1"/>
    <d v="1899-12-31T00:00:00.000"/>
    <d v="1899-12-31T00:00:00.000"/>
    <s v="GAA-OO2-MOOE-GOP"/>
    <n v="823"/>
    <s v="50213050 03"/>
    <s v="ICT Equipment"/>
    <x v="39"/>
    <n v="67"/>
    <s v="PD, DTI-S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841"/>
    <s v="50213060 01"/>
    <s v="Motor Vehicles"/>
    <x v="41"/>
    <n v="67"/>
    <s v="PD, DTI-S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JAN-FEB 2021"/>
    <m/>
    <n v="82446.67"/>
    <n v="-8244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JAN-FEB 2021"/>
    <m/>
    <n v="8468.65"/>
    <n v="-8468.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JAN-FEB 2021"/>
    <m/>
    <n v="996"/>
    <n v="-99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JAN-FEB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6"/>
    <s v="50204010 00"/>
    <s v="Water Expenses"/>
    <x v="25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JAN-FEB 2021"/>
    <m/>
    <n v="6640"/>
    <n v="-66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JAN-FEB 2021"/>
    <m/>
    <n v="3320"/>
    <n v="-33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1"/>
    <s v="50211010 00"/>
    <s v="Legal Services"/>
    <x v="37"/>
    <n v="85"/>
    <s v="PD, DTI-PDI"/>
    <s v="ADVANCES TO REGULAR MOOE FOR JAN-FEB 2021"/>
    <m/>
    <n v="1590.83"/>
    <n v="-1590.8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JAN-FEB 2021"/>
    <m/>
    <n v="15825.33"/>
    <n v="-1582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JAN-FEB 2021"/>
    <m/>
    <n v="86564.57"/>
    <n v="-86564.5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2"/>
    <d v="1899-12-31T00:00:00.000"/>
    <d v="1899-12-31T00:00:00.000"/>
    <s v="GAA-OO3-MOOE-GOP"/>
    <n v="821"/>
    <s v="50213050 02"/>
    <s v="Office Equipment"/>
    <x v="38"/>
    <n v="85"/>
    <s v="PD, DTI-PDI"/>
    <s v="ADVANCES TO REGULAR MOOE FOR JAN-FEB 2021"/>
    <m/>
    <n v="6916.67"/>
    <n v="-691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2"/>
    <d v="1899-12-31T00:00:00.000"/>
    <d v="1899-12-31T00:00:00.000"/>
    <s v="GAA-OO2-MOOE-GOP"/>
    <n v="823"/>
    <s v="50213050 03"/>
    <s v="ICT Equipment"/>
    <x v="39"/>
    <n v="85"/>
    <s v="PD, DTI-PDI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841"/>
    <s v="50213060 01"/>
    <s v="Motor Vehicles"/>
    <x v="41"/>
    <n v="85"/>
    <s v="PD, DTI-PDI"/>
    <s v="ADVANCES TO REGULAR MOOE FOR JAN-FEB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JAN-FEB 2021"/>
    <m/>
    <n v="1746.46"/>
    <n v="-1746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JAN-FEB 2021"/>
    <m/>
    <n v="36520"/>
    <n v="-365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JAN-FEB 2021"/>
    <m/>
    <n v="2877.33"/>
    <n v="-2877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JAN-FEB 2021"/>
    <m/>
    <n v="5533.33"/>
    <n v="-553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JAN-FEB 2021"/>
    <m/>
    <n v="6301.33"/>
    <n v="-630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MSSU"/>
    <s v="LBP F/O DTI-JO"/>
    <s v="PAYMENT FOR JO FOR THE PERIOD JANUARY 16-31, 2021"/>
    <m/>
    <n v="11068"/>
    <n v="-110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564.91"/>
    <n v="-10564.9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2"/>
    <s v="50211020 00"/>
    <s v="Auditing Services"/>
    <x v="21"/>
    <s v="COA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FAD"/>
    <s v="LBP F/O DTI-JO"/>
    <s v="PAYMENT FOR JO FOR THE PERIOD JANUARY 16-31, 2021"/>
    <m/>
    <n v="22316"/>
    <n v="-2231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THE PERIOD JANUARY 16-31, 2021"/>
    <m/>
    <n v="5000"/>
    <n v="-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4"/>
    <d v="1899-12-31T00:00:00.000"/>
    <d v="1899-12-31T00:00:00.000"/>
    <s v="GAA-GAS(GMS)-MOOE-GOP"/>
    <n v="796"/>
    <s v="50212020 00"/>
    <s v="Janitorial Services"/>
    <x v="26"/>
    <s v="FAD"/>
    <s v="LBP F/O DTI-JO"/>
    <s v="PAYMENT FOR JO FOR THE PERIOD JANUARY 16-31, 2021"/>
    <m/>
    <n v="6281.33"/>
    <n v="-628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PS-GOP"/>
    <n v="701"/>
    <s v="50101010 01"/>
    <s v="Basic Salary - Civilian"/>
    <x v="5"/>
    <n v="1"/>
    <s v="GAY A. TIDALGO"/>
    <s v="SALARY DIFFERENTIAL DUE TO CES SALARY ADJUSTMENT FOR DEC. 3-JAN. 31, 2021"/>
    <m/>
    <n v="3952.09"/>
    <n v="-3952.0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RLIP-GOP"/>
    <n v="731"/>
    <s v="50103010 00"/>
    <s v="Retirement and Life Insurance Premiums"/>
    <x v="7"/>
    <n v="1"/>
    <s v="GAY A. TIDALGO"/>
    <s v="SALARY DIFFERENTIAL DUE TO CES SALARY ADJUSTMENT FOR DEC. 3-JAN. 31, 2021"/>
    <m/>
    <n v="242.64"/>
    <n v="-242.6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4T00:00:00.000"/>
    <s v="21-2"/>
    <s v="066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04T00:00:00.000"/>
    <s v="21-2"/>
    <s v="066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16-31, 2021"/>
    <m/>
    <n v="10000"/>
    <n v="-1000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04T00:00:00.000"/>
    <s v="21-2"/>
    <s v="066"/>
    <d v="1899-12-31T00:00:00.000"/>
    <d v="1899-12-31T00:00:00.000"/>
    <s v="GAA-OO3-MOOE-GOP"/>
    <n v="795"/>
    <s v="50212990 00"/>
    <s v="Other General Services"/>
    <x v="14"/>
    <s v="MSSU"/>
    <s v="LBP, F/O DTI-JO"/>
    <s v="PAYMENT FOR JO FOR THE PERIOD JANUARY 16-31, 2021"/>
    <m/>
    <n v="15000"/>
    <n v="-1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4T00:00:00.000"/>
    <s v="21-2"/>
    <s v="067"/>
    <d v="1899-12-31T00:00:00.000"/>
    <d v="1899-12-31T00:00:00.000"/>
    <s v="GAA-NC-MOOE-GOP"/>
    <n v="799"/>
    <s v="50211990 00"/>
    <s v="Other Professional Services"/>
    <x v="15"/>
    <n v="2"/>
    <s v="PD, DTI-ADN"/>
    <s v="FT, NC IMPLEMENTATION FOR JANUARY 2021"/>
    <m/>
    <n v="546300"/>
    <n v="-5463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7"/>
    <d v="1899-12-31T00:00:00.000"/>
    <d v="1899-12-31T00:00:00.000"/>
    <s v="GAA-NC-CO-GOP"/>
    <n v="221"/>
    <s v="10605020 00"/>
    <s v="Office Equipment"/>
    <x v="45"/>
    <n v="2"/>
    <s v="PD, DTI-A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68"/>
    <d v="1899-12-31T00:00:00.000"/>
    <d v="1899-12-31T00:00:00.000"/>
    <s v="GAA-NC-MOOE-GOP"/>
    <n v="799"/>
    <s v="50211990 00"/>
    <s v="Other Professional Services"/>
    <x v="15"/>
    <n v="3"/>
    <s v="OIC, DTI-ADS"/>
    <s v="FT, NC IMPLEMENTATION FOR JANUARY 2021"/>
    <m/>
    <n v="535050"/>
    <n v="-5350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MOOE-GOP"/>
    <n v="799"/>
    <s v="50211990 00"/>
    <s v="Other Professional Services"/>
    <x v="15"/>
    <n v="68"/>
    <s v="OIC, DTI-SDN"/>
    <s v="FT, NC IMPLEMENTATION FOR JANUARY 2021"/>
    <m/>
    <n v="463500"/>
    <n v="-4635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CO-GOP"/>
    <n v="221"/>
    <s v="10605020 00"/>
    <s v="Office Equipment"/>
    <x v="45"/>
    <n v="68"/>
    <s v="OIC, DTI-S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MOOE-GOP"/>
    <n v="799"/>
    <s v="50211990 00"/>
    <s v="Other Professional Services"/>
    <x v="15"/>
    <n v="67"/>
    <s v="PD, DTI-SDS"/>
    <s v="FT, NC IMPLEMENTATION FOR JANUARY 2021"/>
    <m/>
    <n v="370350"/>
    <n v="-3703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CO-GOP"/>
    <n v="221"/>
    <s v="10605020 00"/>
    <s v="Office Equipment"/>
    <x v="45"/>
    <n v="67"/>
    <s v="PD, DTI-SDS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MOOE-GOP"/>
    <n v="799"/>
    <s v="50211990 00"/>
    <s v="Other Professional Services"/>
    <x v="15"/>
    <n v="85"/>
    <s v="PD, DTI-PDI"/>
    <s v="FT, NC IMPLEMENTATION FOR JANUARY 2021"/>
    <m/>
    <n v="315900"/>
    <n v="-3159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CO-GOP"/>
    <n v="221"/>
    <s v="10605020 00"/>
    <s v="Office Equipment"/>
    <x v="45"/>
    <n v="85"/>
    <s v="PD, DTI-PDI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8T00:00:00.000"/>
    <s v="21-2"/>
    <s v="072"/>
    <d v="1899-12-31T00:00:00.000"/>
    <d v="1899-12-31T00:00:00.000"/>
    <s v="GAA-GAS(GMS)-PS-GOP"/>
    <n v="701"/>
    <s v="50101010 01"/>
    <s v="Basic Salary - Civilian"/>
    <x v="5"/>
    <s v="01"/>
    <s v="LBP F/O DTI-RO"/>
    <s v="SALARY DIFFERENTIAL DUE TO SSL 5 FOR THE MONTH OF JANUARY 2021"/>
    <m/>
    <n v="54795"/>
    <n v="-5479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Y DIFFERENTIAL DUE TO SSL 5 FOR THE MONTH OF JANUARY 2021"/>
    <m/>
    <n v="6575.4"/>
    <n v="-6575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PS-GOP"/>
    <n v="733"/>
    <s v="50103030 01"/>
    <s v="PhilHealth - Civilian"/>
    <x v="9"/>
    <s v="01"/>
    <s v="LBP F/O DTI-RO"/>
    <s v="SALARY DIFFERENTIAL DUE TO SSL 5 FOR THE MONTH OF JANUARY 2021"/>
    <m/>
    <n v="643.82"/>
    <n v="-643.8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01"/>
    <s v="50101010 01"/>
    <s v="Basic Salary - Civilian"/>
    <x v="5"/>
    <n v="2"/>
    <s v="LBP F/O DTI-ADN "/>
    <s v="SALARY DIFFERENTIAL DUE TO SSL 5 FOR THE MONTH OF JANUARY 2021"/>
    <m/>
    <n v="15120"/>
    <n v="-1512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Y DIFFERENTIAL DUE TO SSL 5 FOR THE MONTH OF JANUARY 2021"/>
    <m/>
    <n v="1878.6"/>
    <n v="-1878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33"/>
    <s v="50103030 01"/>
    <s v="PhilHealth - Civilian"/>
    <x v="9"/>
    <n v="2"/>
    <s v="LBP F/O DTI-ADN "/>
    <s v="SALARY DIFFERENTIAL DUE TO SSL 5 FOR THE MONTH OF JANUARY 2021"/>
    <m/>
    <n v="169.13"/>
    <n v="-169.1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01"/>
    <s v="50101010 01"/>
    <s v="Basic Salary - Civilian"/>
    <x v="5"/>
    <n v="3"/>
    <s v="LBP F/O DTI-ADS"/>
    <s v="SALARY DIFFERENTIAL DUE TO SSL 5 FOR THE MONTH OF JANUARY 2021"/>
    <m/>
    <n v="15614"/>
    <n v="-15614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Y DIFFERENTIAL DUE TO SSL 5 FOR THE MONTH OF JANUARY 2021"/>
    <m/>
    <n v="1873.68"/>
    <n v="-1873.6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33"/>
    <s v="50103030 01"/>
    <s v="PhilHealth - Civilian"/>
    <x v="9"/>
    <n v="3"/>
    <s v="LBP F/O DTI-ADS"/>
    <s v="SALARY DIFFERENTIAL DUE TO SSL 5 FOR THE MONTH OF JANUARY 2021"/>
    <m/>
    <n v="211"/>
    <n v="-21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01"/>
    <s v="50101010 01"/>
    <s v="Basic Salary - Civilian"/>
    <x v="5"/>
    <n v="68"/>
    <s v="LBP F/O DTI-SDN"/>
    <s v="SALARY DIFFERENTIAL DUE TO SSL 5 FOR THE MONTH OF JANUARY 2021"/>
    <m/>
    <n v="16027"/>
    <n v="-160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Y DIFFERENTIAL DUE TO SSL 5 FOR THE MONTH OF JANUARY 2021"/>
    <m/>
    <n v="1923.24"/>
    <n v="-1923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33"/>
    <s v="50103030 01"/>
    <s v="PhilHealth - Civilian"/>
    <x v="9"/>
    <n v="68"/>
    <s v="LBP F/O DTI-SDN"/>
    <s v="SALARY DIFFERENTIAL DUE TO SSL 5 FOR THE MONTH OF JANUARY 2021"/>
    <m/>
    <n v="217.2"/>
    <n v="-217.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01"/>
    <s v="50101010 01"/>
    <s v="Basic Salary - Civilian"/>
    <x v="5"/>
    <n v="67"/>
    <s v="LBP F/O DTI-SDS"/>
    <s v="SALARY DIFFERENTIAL DUE TO SSL 5 FOR THE MONTH OF JANUARY 2021"/>
    <m/>
    <n v="19076"/>
    <n v="-1907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Y DIFFERENTIAL DUE TO SSL 5 FOR THE MONTH OF JANUARY 2021"/>
    <m/>
    <n v="2289.12"/>
    <n v="-2289.1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33"/>
    <s v="50103030 01"/>
    <s v="PhilHealth - Civilian"/>
    <x v="9"/>
    <n v="67"/>
    <s v="LBP F/O DTI-SDS"/>
    <s v="SALARY DIFFERENTIAL DUE TO SSL 5 FOR THE MONTH OF JANUARY 2021"/>
    <m/>
    <n v="228.89"/>
    <n v="-228.8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01"/>
    <s v="50101010 01"/>
    <s v="Basic Salary - Civilian"/>
    <x v="5"/>
    <n v="85"/>
    <s v="LBP F/O DTI-PDI"/>
    <s v="SALARY DIFFERENTIAL DUE TO SSL 5 FOR THE MONTH OF JANUARY 2021"/>
    <m/>
    <n v="11398"/>
    <n v="-1139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Y DIFFERENTIAL DUE TO SSL 5 FOR THE MONTH OF JANUARY 2021"/>
    <m/>
    <n v="1367.76"/>
    <n v="-1367.7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33"/>
    <s v="50103030 01"/>
    <s v="PhilHealth - Civilian"/>
    <x v="9"/>
    <n v="85"/>
    <s v="LBP F/O DTI-PDI"/>
    <s v="SALARY DIFFERENTIAL DUE TO SSL 5 FOR THE MONTH OF JANUARY 2021"/>
    <m/>
    <n v="138.75"/>
    <n v="-138.7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8"/>
    <d v="1899-12-31T00:00:00.000"/>
    <d v="1899-12-31T00:00:00.000"/>
    <s v="GAA-OO4.1(FTL)-MOOE-GOP"/>
    <n v="773"/>
    <s v="50205020 01"/>
    <s v="Telephone Expenses - Mobile "/>
    <x v="19"/>
    <n v="1"/>
    <s v="GLOBE TELECOM, INC."/>
    <s v="PAYMENT OF POSTPAID PLAN SUBSCRIPTION 49017022-09177036798 FOR THE MONTH OF DECEMBER  2020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08T00:00:00.000"/>
    <s v="21-2"/>
    <s v="079"/>
    <d v="1899-12-31T00:00:00.000"/>
    <d v="1899-12-31T00:00:00.000"/>
    <s v="GAA-GAS(GMS)-MOOE-GOP"/>
    <n v="893"/>
    <s v="50215030 00"/>
    <s v="Insurance Expense"/>
    <x v="43"/>
    <n v="1"/>
    <s v="GSIS"/>
    <s v="VEHICLE INSURANCE FOR TOYOTA HILUX FOR MARCH 1, 2021-MARCH 1, 2022"/>
    <m/>
    <n v="8885.08"/>
    <n v="-8885.0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8T00:00:00.000"/>
    <s v="21-2"/>
    <s v="080"/>
    <d v="1899-12-31T00:00:00.000"/>
    <d v="1899-12-31T00:00:00.000"/>
    <s v="GAA-OO3-MOOE-GOP"/>
    <n v="783"/>
    <s v="50299030 00"/>
    <s v="Representation Expenses"/>
    <x v="23"/>
    <s v="SDD"/>
    <s v="TRUE BREW GOURMET COFFEE SHOP"/>
    <s v="MEALS DURING THE SDD FUNCTIONAL TEAM MEETING LAST JAN. 19, 2021"/>
    <m/>
    <n v="10600"/>
    <n v="-10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8T00:00:00.000"/>
    <s v="21-2"/>
    <s v="081"/>
    <d v="1899-12-31T00:00:00.000"/>
    <d v="1899-12-31T00:00:00.000"/>
    <s v="GAA-OO3-MOOE-GOP"/>
    <n v="773"/>
    <s v="50205020 01"/>
    <s v="Telephone Expenses - Mobile "/>
    <x v="19"/>
    <n v="1"/>
    <s v="GLOBE TELECOM, INC."/>
    <s v="PAYMENT OF POSTPAID PLAN SUBSCRIPTION 1094019348-09178656567 FOR THE MONTH OF NOVEMBER 16-JANUARY 15, 2021"/>
    <m/>
    <n v="2400"/>
    <n v="-24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FEBRUARY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FEBRUARY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FEBRUARY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FEBRUARY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FEBRUARY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FEBRUARY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FEBRUARY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FEBRUARY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FEBRUARY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FEBRUARY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FEBRUARY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FEBRUARY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FEBRUARY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FEBRUARY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FEBRUARY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FEBRUARY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FEBRUARY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FEBRUARY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FEBRUARY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FEBRUARY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FEBRUARY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FEBRUARY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FEBRUARY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FEBRUARY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FEBRUARY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4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FEBRUARY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FEBRUARY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FEBRUARY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FEBRUARY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FEBRUARY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FEBRUARY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FEBRUARY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FEBRUARY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FEBRUARY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FEBRUARY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5"/>
    <d v="1899-12-31T00:00:00.000"/>
    <d v="1899-12-31T00:00:00.000"/>
    <s v="GAA-GAS(GMS)-PS-GOP"/>
    <n v="701"/>
    <s v="50101010 01"/>
    <s v="Basic Salary - Civilian"/>
    <x v="5"/>
    <n v="1"/>
    <s v="MARRY ANN L. PASCUAL"/>
    <s v="SALARY DIFFERENTIAL DUE TO STEP INCREMENT JAN. 4-31, 2021"/>
    <m/>
    <n v="457.27"/>
    <n v="-457.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PS-GOP"/>
    <n v="701"/>
    <s v="50101010 01"/>
    <s v="Basic Salary - Civilian"/>
    <x v="5"/>
    <n v="3"/>
    <s v="MARIAN  CORAZON P. TOGONON"/>
    <s v="SALARY DIFFERENTIAL DUE TO STEP INCREMENT JAN. 4-31, 2021"/>
    <m/>
    <n v="258.18"/>
    <n v="-25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PS-GOP"/>
    <n v="701"/>
    <s v="50101010 01"/>
    <s v="Basic Salary - Civilian"/>
    <x v="5"/>
    <n v="1"/>
    <s v="MARIBEL P. TIMOGAN"/>
    <s v="SALARY DIFFERENTIAL DUE TO STEP INCREMENT JANUARY 2021"/>
    <m/>
    <n v="614.55"/>
    <n v="-614.5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01"/>
    <s v="50101010 01"/>
    <s v="Basic Salary - Civilian"/>
    <x v="5"/>
    <n v="1"/>
    <s v="LAND BANK OF THE PHILIPPINES"/>
    <s v="SALARY DIFFERENTIAL DUE TO PROMOTION FOR JANUARY 2021"/>
    <m/>
    <n v="93091.81"/>
    <n v="-93091.8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RLIP-GOP"/>
    <n v="731"/>
    <s v="50103010 00"/>
    <s v="Retirement and Life Insurance Premiums"/>
    <x v="7"/>
    <n v="1"/>
    <s v="LAND BANK OF THE PHILIPPINES"/>
    <s v="SALARY DIFFERENTIAL DUE TO PROMOTION FOR JANUARY 2021"/>
    <m/>
    <n v="11098.96"/>
    <n v="-11098.9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33"/>
    <s v="50103030 01"/>
    <s v="PhilHealth - Civilian"/>
    <x v="9"/>
    <n v="1"/>
    <s v="LAND BANK OF THE PHILIPPINES"/>
    <s v="SALARY DIFFERENTIAL DUE TO PROMOTION FOR JANUARY 2021"/>
    <m/>
    <n v="858.77"/>
    <n v="-858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9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FEBRUARY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FEBRUARY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FEBRUARY 2021 - CARP"/>
    <m/>
    <n v="655.21"/>
    <n v="-655.2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1"/>
    <d v="1899-12-31T00:00:00.000"/>
    <d v="1899-12-31T00:00:00.000"/>
    <s v="GAA-GAS(GMS)-MOOE-GOP"/>
    <n v="840"/>
    <s v="50213050 99"/>
    <s v="Other Machinery and Equipment"/>
    <x v="28"/>
    <n v="1"/>
    <s v="TRI-TECH AIRCON SERVICES"/>
    <s v="OFFICE AIRCON MAINTENANCE FOR 2ND SEMESTER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2"/>
    <d v="1899-12-31T00:00:00.000"/>
    <d v="1899-12-31T00:00:00.000"/>
    <s v="GAA-GAS(GMS)-MOOE-GOP"/>
    <n v="774"/>
    <s v="50205030 00"/>
    <s v="Internet Subscription Expenses"/>
    <x v="46"/>
    <n v="1"/>
    <s v="FERBENCOM TECHNOLOGIES"/>
    <s v="INTERNET SUBSCRIPTION FOR THE MONTH OF JANUARY 2021"/>
    <m/>
    <n v="25000"/>
    <n v="-2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3"/>
    <d v="1899-12-31T00:00:00.000"/>
    <d v="1899-12-31T00:00:00.000"/>
    <s v="GAA-OO1-MOOE-GOP"/>
    <n v="766"/>
    <s v="50204010 00"/>
    <s v="Water Expenses"/>
    <x v="25"/>
    <n v="1"/>
    <s v="A &amp; C YELO SUBMARINE CORP."/>
    <s v="DRINKING WATER USAGE FOR THE MONTH OF JANUARY 2021"/>
    <m/>
    <n v="1990"/>
    <n v="-199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4"/>
    <d v="1899-12-31T00:00:00.000"/>
    <d v="1899-12-31T00:00:00.000"/>
    <s v="GAA-OO1-MOOE-GOP"/>
    <n v="782"/>
    <s v="50299050 01"/>
    <s v="Rent - Buildings and Structures"/>
    <x v="17"/>
    <n v="1"/>
    <s v="D.O. PLAZA HOLDINGS CORP."/>
    <s v="OFFICE RENTAL FOR THE MONTH OF FEBRUARY 2021"/>
    <m/>
    <n v="170501.47"/>
    <n v="-170501.4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5"/>
    <d v="1899-12-31T00:00:00.000"/>
    <d v="1899-12-31T00:00:00.000"/>
    <s v="GAA-LSP-PBG-MOOE-GOP"/>
    <n v="751"/>
    <s v="50201010 00"/>
    <s v="Traveling Expenses - Local"/>
    <x v="30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53"/>
    <s v="50202010 00"/>
    <s v="Training Expenses"/>
    <x v="33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73"/>
    <s v="50205020 01"/>
    <s v="Telephone Expenses - Mobile "/>
    <x v="19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99"/>
    <s v="50211990 00"/>
    <s v="Other Professional Services"/>
    <x v="15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1"/>
    <s v="50201010 00"/>
    <s v="Traveling Expenses - Local"/>
    <x v="30"/>
    <n v="3"/>
    <s v="OIC, DTI-ADS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3"/>
    <s v="50202010 00"/>
    <s v="Training Expenses"/>
    <x v="33"/>
    <n v="3"/>
    <s v="OIC, DTI-ADS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73"/>
    <s v="50205020 01"/>
    <s v="Telephone Expenses - Mobile "/>
    <x v="19"/>
    <n v="3"/>
    <s v="OIC, DTI-ADS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99"/>
    <s v="50211990 00"/>
    <s v="Other Professional Services"/>
    <x v="15"/>
    <n v="3"/>
    <s v="OIC, DTI-ADS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1"/>
    <s v="50201010 00"/>
    <s v="Traveling Expenses - Local"/>
    <x v="30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3"/>
    <s v="50202010 00"/>
    <s v="Training Expenses"/>
    <x v="33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73"/>
    <s v="50205020 01"/>
    <s v="Telephone Expenses - Mobile "/>
    <x v="19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99"/>
    <s v="50211990 00"/>
    <s v="Other Professional Services"/>
    <x v="15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100"/>
    <d v="1899-12-31T00:00:00.000"/>
    <d v="1899-12-31T00:00:00.000"/>
    <s v="GAA-SSF-MOOE-GOP"/>
    <n v="751"/>
    <s v="50201010 00"/>
    <s v="Traveling Expenses - Local"/>
    <x v="30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53"/>
    <s v="50202010 00"/>
    <s v="Training Expenses"/>
    <x v="33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73"/>
    <s v="50205020 01"/>
    <s v="Telephone Expenses - Mobile "/>
    <x v="19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99"/>
    <s v="50211990 00"/>
    <s v="Other Professional Services"/>
    <x v="15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1"/>
    <s v="50201010 00"/>
    <s v="Traveling Expenses - Local"/>
    <x v="30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3"/>
    <s v="50202010 00"/>
    <s v="Training Expenses"/>
    <x v="33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73"/>
    <s v="50205020 01"/>
    <s v="Telephone Expenses - Mobile "/>
    <x v="19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99"/>
    <s v="50211990 00"/>
    <s v="Other Professional Services"/>
    <x v="15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1"/>
    <s v="50201010 00"/>
    <s v="Traveling Expenses - Local"/>
    <x v="30"/>
    <n v="68"/>
    <s v="OIC, DTI-SDN"/>
    <s v="FT, SSF MOOE - 1ST QUARTER 2021"/>
    <m/>
    <n v="25000"/>
    <n v="-2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3"/>
    <s v="50202010 00"/>
    <s v="Training Expenses"/>
    <x v="33"/>
    <n v="68"/>
    <s v="OIC, DTI-SDN"/>
    <s v="FT, SSF MOOE - 1ST QUARTER 2021"/>
    <m/>
    <n v="40000"/>
    <n v="-4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73"/>
    <s v="50205020 01"/>
    <s v="Telephone Expenses - Mobile "/>
    <x v="19"/>
    <n v="68"/>
    <s v="OIC, DTI-SDN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99"/>
    <s v="50211990 00"/>
    <s v="Other Professional Services"/>
    <x v="15"/>
    <n v="68"/>
    <s v="OIC, DTI-SDN"/>
    <s v="FT, SSF MOOE - 1ST QUARTER 2021"/>
    <m/>
    <n v="10335.71"/>
    <n v="-10335.7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1"/>
    <s v="50201010 00"/>
    <s v="Traveling Expenses - Local"/>
    <x v="30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3"/>
    <s v="50202010 00"/>
    <s v="Training Expenses"/>
    <x v="33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73"/>
    <s v="50205020 01"/>
    <s v="Telephone Expenses - Mobile "/>
    <x v="19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99"/>
    <s v="50211990 00"/>
    <s v="Other Professional Services"/>
    <x v="15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1"/>
    <s v="50201010 00"/>
    <s v="Traveling Expenses - Local"/>
    <x v="30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3"/>
    <s v="50202010 00"/>
    <s v="Training Expenses"/>
    <x v="33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73"/>
    <s v="50205020 01"/>
    <s v="Telephone Expenses - Mobile "/>
    <x v="19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99"/>
    <s v="50211990 00"/>
    <s v="Other Professional Services"/>
    <x v="15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5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1-GOP"/>
    <n v="751"/>
    <s v="50201010 00"/>
    <s v="Traveling Expenses - Local"/>
    <x v="30"/>
    <n v="3"/>
    <s v="OIC, DTI-ADS"/>
    <s v="FT, CARP IMPLEMENTATION FOR THE 1ST QUARTER OF 2021"/>
    <m/>
    <n v="8800"/>
    <n v="-88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3-GOP"/>
    <n v="753"/>
    <s v="50202010 00"/>
    <s v="Training Expenses"/>
    <x v="33"/>
    <n v="3"/>
    <s v="OIC, DTI-ADS"/>
    <s v="FT, CARP IMPLEMENTATION FOR THE 1ST QUARTER OF 2021"/>
    <m/>
    <n v="5000"/>
    <n v="-5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5-GOP"/>
    <n v="755"/>
    <s v="50203010 00"/>
    <s v="Office Supplies Expenses"/>
    <x v="11"/>
    <n v="3"/>
    <s v="OIC, DTI-ADS"/>
    <s v="FT, CARP IMPLEMENTATION FOR THE 1ST QUARTER OF 2021"/>
    <m/>
    <n v="1256"/>
    <n v="-1256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73-GOP"/>
    <n v="773"/>
    <s v="50205020 01"/>
    <s v="Telephone Expenses - Mobile "/>
    <x v="19"/>
    <n v="3"/>
    <s v="OIC, DTI-ADS"/>
    <s v="FT, CARP IMPLEMENTATION FOR THE 1ST QUARTER OF 2021"/>
    <m/>
    <n v="300"/>
    <n v="-3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9-GOP"/>
    <n v="799"/>
    <s v="50211990 00"/>
    <s v="Other Professional Services"/>
    <x v="15"/>
    <n v="3"/>
    <s v="OIC, DTI-ADS"/>
    <s v="FT, CARP IMPLEMENTATION FOR THE 1ST QUARTER OF 2021"/>
    <m/>
    <n v="15000"/>
    <n v="-150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5-GOP"/>
    <n v="795"/>
    <s v="50212990 00"/>
    <s v="Other General Services"/>
    <x v="14"/>
    <n v="3"/>
    <s v="OIC, DTI-ADS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QUARTER OF 2021"/>
    <m/>
    <n v="0"/>
    <n v="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1-GOP"/>
    <n v="751"/>
    <s v="50201010 00"/>
    <s v="Traveling Expenses - Local"/>
    <x v="30"/>
    <n v="67"/>
    <s v="PD, DTI-SDS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3-GOP"/>
    <n v="753"/>
    <s v="50202010 00"/>
    <s v="Training Expenses"/>
    <x v="33"/>
    <n v="67"/>
    <s v="PD, DTI-SDS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5-GOP"/>
    <n v="755"/>
    <s v="50203010 00"/>
    <s v="Office Supplies Expenses"/>
    <x v="11"/>
    <n v="67"/>
    <s v="PD, DTI-SDS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73-GOP"/>
    <n v="773"/>
    <s v="50205020 01"/>
    <s v="Telephone Expenses - Mobile "/>
    <x v="19"/>
    <n v="67"/>
    <s v="PD, DTI-SDS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99-GOP"/>
    <n v="799"/>
    <s v="50211990 00"/>
    <s v="Other Professional Services"/>
    <x v="15"/>
    <n v="67"/>
    <s v="PD, DTI-SDS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10"/>
    <d v="1899-12-31T00:00:00.000"/>
    <d v="1899-12-31T00:00:00.000"/>
    <s v="GAA-OTOP-MOOE-GOP"/>
    <s v="782-VEH"/>
    <s v="50299050 03"/>
    <s v="Rent - Motor Vehicle"/>
    <x v="48"/>
    <n v="1"/>
    <s v="NEILAB'Z EXPRESS"/>
    <s v="VAN RENTAL RE: OTOP PH HUB BRIEFING IN TANDAG CITY - SURIGAO CITY LAST JAN. 21 AND 29, 2021"/>
    <m/>
    <n v="11500"/>
    <n v="-1150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1T00:00:00.000"/>
    <s v="21-2"/>
    <s v="111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FEBRUARY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FEBRUARY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FEBRUARY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FEBRUARY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FEBRUARY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FEBRUARY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FEBRUARY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FEBRUARY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FEBRUARY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FEBRUARY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FEBRUARY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FEBRUARY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2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3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FEBRUARY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FEBRUARY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FEBRUARY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FEBRUARY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FEBRUARY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FEBRUARY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FEBRUARY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FEBRUARY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FEBRUARY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FEBRUARY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FEBRUARY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FEBRUARY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FEBRUARY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FEBRUARY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4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6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FEBRUARY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FEBRUARY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FEBRUARY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FEBRUARY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FEBRUARY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FEBRUARY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FEBRUARY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FEBRUARY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FEBRUARY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7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8"/>
    <d v="1899-12-31T00:00:00.000"/>
    <d v="1899-12-31T00:00:00.000"/>
    <s v="GAA-OO3-PS-GOP"/>
    <n v="701"/>
    <s v="50101010 01"/>
    <s v="Basic Salary - Civilian"/>
    <x v="5"/>
    <n v="1"/>
    <s v="LOIDA C. GUMAHI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11"/>
    <s v="50102010 01"/>
    <s v="PERA - Civilian"/>
    <x v="6"/>
    <n v="1"/>
    <s v="LOIDA C. GUMAHI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RLIP-GOP"/>
    <n v="731"/>
    <s v="50103010 00"/>
    <s v="Retirement and Life Insurance Premiums"/>
    <x v="7"/>
    <n v="1"/>
    <s v="LOIDA C. GUMAHI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2"/>
    <s v="50103020 01"/>
    <s v="Pag-IBIG - Civilian"/>
    <x v="8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3"/>
    <s v="50103030 01"/>
    <s v="PhilHealth - Civilian"/>
    <x v="9"/>
    <n v="1"/>
    <s v="LOIDA C. GUMAHI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4"/>
    <s v="50103040 01"/>
    <s v="ECIP - Civilian"/>
    <x v="10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01"/>
    <s v="50101010 01"/>
    <s v="Basic Salary - Civilian"/>
    <x v="5"/>
    <n v="3"/>
    <s v="REZEL MAY C. GOLORA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11"/>
    <s v="50102010 01"/>
    <s v="PERA - Civilian"/>
    <x v="6"/>
    <n v="3"/>
    <s v="REZEL MAY C. GOLORA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RLIP-GOP"/>
    <n v="731"/>
    <s v="50103010 00"/>
    <s v="Retirement and Life Insurance Premiums"/>
    <x v="7"/>
    <n v="3"/>
    <s v="REZEL MAY C. GOLORA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2"/>
    <s v="50103020 01"/>
    <s v="Pag-IBIG - Civilian"/>
    <x v="8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3"/>
    <s v="50103030 01"/>
    <s v="PhilHealth - Civilian"/>
    <x v="9"/>
    <n v="3"/>
    <s v="REZEL MAY C. GOLORA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4"/>
    <s v="50103040 01"/>
    <s v="ECIP - Civilian"/>
    <x v="10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01"/>
    <s v="50101010 01"/>
    <s v="Basic Salary - Civilian"/>
    <x v="5"/>
    <n v="1"/>
    <s v="LOIDA C. GUMAHIN"/>
    <s v="SALARY AS TIDA COS UNDER NC PROGRAM FOR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11"/>
    <s v="50102010 01"/>
    <s v="PERA - Civilian"/>
    <x v="6"/>
    <n v="1"/>
    <s v="LOIDA C. GUMAHIN"/>
    <s v="SALARY AS TIDA COS UNDER NC PROGRAM FOR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RLIP-GOP"/>
    <n v="731"/>
    <s v="50103010 00"/>
    <s v="Retirement and Life Insurance Premiums"/>
    <x v="7"/>
    <n v="1"/>
    <s v="LOIDA C. GUMAHIN"/>
    <s v="SALARY AS TIDA COS UNDER NC PROGRAM FOR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2"/>
    <s v="50103020 01"/>
    <s v="Pag-IBIG - Civilian"/>
    <x v="8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3"/>
    <s v="50103030 01"/>
    <s v="PhilHealth - Civilian"/>
    <x v="9"/>
    <n v="1"/>
    <s v="LOIDA C. GUMAHIN"/>
    <s v="SALARY AS TIDA COS UNDER NC PROGRAM FOR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4"/>
    <s v="50103040 01"/>
    <s v="ECIP - Civilian"/>
    <x v="10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6T00:00:00.000"/>
    <s v="21-2"/>
    <s v="124"/>
    <d v="1899-12-31T00:00:00.000"/>
    <d v="1899-12-31T00:00:00.000"/>
    <s v="GAA-GAS(GMS)-MOOE-GOP"/>
    <n v="772"/>
    <s v="50205020 02"/>
    <s v="Telephone Expenses - Landline "/>
    <x v="36"/>
    <n v="1"/>
    <s v="PLDT, INC."/>
    <s v="INTERNET AND LANDLINE SUBSCRIPTION, 0606033214 (815-1271) FOR THE PERIOD NOV. 17-FEB. 16, 2021"/>
    <m/>
    <n v="1959.81"/>
    <n v="-1959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4"/>
    <d v="1899-12-31T00:00:00.000"/>
    <d v="1899-12-31T00:00:00.000"/>
    <s v="GAA-GAS(GMS)-MOOE-GOP"/>
    <n v="774"/>
    <s v="50205030 00"/>
    <s v="Internet Subscription Expenses"/>
    <x v="46"/>
    <n v="1"/>
    <s v="PLDT, INC."/>
    <s v="INTERNET AND LANDLINE SUBSCRIPTION, 0606033214 (815-1271) FOR THE PERIOD NOV. 17-FEB. 16, 2021"/>
    <m/>
    <n v="26880"/>
    <n v="-26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5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216371283 (816-3136) FOR THE PERIOD NOVEMBER 17-FEBRUARY 16, 2021"/>
    <m/>
    <n v="18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6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606028075 (816-0079) FOR THE PERIOD JANUARY 16-FEBRUARY 14, 2021"/>
    <m/>
    <n v="560"/>
    <n v="-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7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197015144 (225-5955) FOR THE PERIOD JANUARY-FEB 2021"/>
    <m/>
    <n v="918.4"/>
    <n v="-918.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8"/>
    <d v="1899-12-31T00:00:00.000"/>
    <d v="1899-12-31T00:00:00.000"/>
    <s v="GAA-GAS(GMS)-MOOE-GOP"/>
    <n v="783"/>
    <s v="50299030 00"/>
    <s v="Representation Expenses"/>
    <x v="23"/>
    <s v="HR"/>
    <s v="JANIKKA'S CATERING SERVICES"/>
    <s v="MEALS DURING THE OATH-TAKING CEREMONY CM ORIENTATION FOR NEWLY HIRED AND PROMOTED EMPLOYEES LAST JAN. 11,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9"/>
    <d v="1899-12-31T00:00:00.000"/>
    <d v="1899-12-31T00:00:00.000"/>
    <s v="GAA-OO2-MOOE-GOP"/>
    <n v="841"/>
    <s v="50213060 01"/>
    <s v="Motor Vehicles"/>
    <x v="41"/>
    <n v="1"/>
    <s v="MANILA AUTO CARE"/>
    <s v="LABOR AND MATERIALS FOR TOYOTA INNOVA (SKT 513)"/>
    <m/>
    <n v="8774"/>
    <n v="-8774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30"/>
    <d v="1899-12-31T00:00:00.000"/>
    <d v="1899-12-31T00:00:00.000"/>
    <s v="GAA-OO1-MOOE-GOP"/>
    <n v="751"/>
    <s v="50201010 00"/>
    <s v="Traveling Expenses - Local"/>
    <x v="30"/>
    <n v="1"/>
    <s v="REY ACABO"/>
    <s v="REIM. OF TE RE: FETCH PD FAELNAR FROM SURIGAO TO BUTUAN AND PARTICIPATION TO TYPHOON VICKY REHAB ACTIVITIES"/>
    <m/>
    <n v="2850"/>
    <n v="-28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6T00:00:00.000"/>
    <s v="21-2"/>
    <s v="131"/>
    <d v="1899-12-31T00:00:00.000"/>
    <d v="1899-12-31T00:00:00.000"/>
    <s v="GAA-SSF-MOOE-GOP"/>
    <n v="761"/>
    <s v="50203090 00"/>
    <s v="Fuel, Oil and Lubricants Expenses"/>
    <x v="22"/>
    <n v="1"/>
    <s v="REY ACABO"/>
    <s v="REIM OF FUEL CONSUMPTION RE: SITE VISIT TO SSF COOPERATOR/COFFEE PRODUCER IN BUENAVISTA LAST FEB. 6, 2021"/>
    <m/>
    <n v="500"/>
    <n v="-5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6T00:00:00.000"/>
    <s v="21-2"/>
    <s v="132"/>
    <d v="1899-12-31T00:00:00.000"/>
    <d v="1899-12-31T00:00:00.000"/>
    <s v="GAA-OO4.1(FTL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FTL)-MOOE-GOP"/>
    <n v="783"/>
    <s v="50299030 00"/>
    <s v="Representation Expenses"/>
    <x v="23"/>
    <n v="85"/>
    <s v="PD, DTI-PDI"/>
    <s v="FT, MOOE FOR CPD IMPLEMENTATION, 1ST QUARTER OF 2021"/>
    <m/>
    <n v="25000"/>
    <n v="-2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Acc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4.1(Acc)-MOOE-GOP"/>
    <n v="783"/>
    <s v="50299030 00"/>
    <s v="Representation Expenses"/>
    <x v="23"/>
    <n v="85"/>
    <s v="PD, DTI-PDI"/>
    <s v="FT, MOOE FOR CPD IMPLEMENTATION, 1ST QUARTER OF 2021"/>
    <m/>
    <n v="35000"/>
    <n v="-3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 4.2-MOOE-GOP"/>
    <n v="755"/>
    <s v="50203010 00"/>
    <s v="Office Supplies Expenses"/>
    <x v="11"/>
    <n v="85"/>
    <s v="PD, DTI-PDI"/>
    <s v="FT, MOOE FOR CPD IMPLEMENTATION, 1ST QUARTER OF 2021"/>
    <m/>
    <n v="10000"/>
    <n v="-1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3"/>
    <d v="1899-12-31T00:00:00.000"/>
    <d v="1899-12-31T00:00:00.000"/>
    <s v="GAA-OO4.1(FTL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FTL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Acc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4.1(Acc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 4.2-MOOE-GOP"/>
    <n v="755"/>
    <s v="50203010 00"/>
    <s v="Office Supplies Expenses"/>
    <x v="11"/>
    <n v="67"/>
    <s v="PD, DTI-SDS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4"/>
    <d v="1899-12-31T00:00:00.000"/>
    <d v="1899-12-31T00:00:00.000"/>
    <s v="GAA-OO4.1(FTL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FTL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Acc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4.1(Acc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 4.2-MOOE-GOP"/>
    <n v="755"/>
    <s v="50203010 00"/>
    <s v="Office Supplies Expenses"/>
    <x v="11"/>
    <n v="68"/>
    <s v="OIC, DTI-S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5"/>
    <d v="1899-12-31T00:00:00.000"/>
    <d v="1899-12-31T00:00:00.000"/>
    <s v="GAA-OO4.1(FTL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FTL)-MOOE-GOP"/>
    <n v="783"/>
    <s v="50299030 00"/>
    <s v="Representation Expenses"/>
    <x v="23"/>
    <n v="3"/>
    <s v="OIC, DTI-ADS"/>
    <s v="FT, MOOE FOR CPD IMPLEMENTATION, 1ST QUARTER OF 2021"/>
    <m/>
    <n v="35000"/>
    <n v="-3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Acc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4.1(Acc)-MOOE-GOP"/>
    <n v="783"/>
    <s v="50299030 00"/>
    <s v="Representation Expenses"/>
    <x v="23"/>
    <n v="3"/>
    <s v="OIC, DTI-ADS"/>
    <s v="FT, MOOE FOR CPD IMPLEMENTATION, 1ST QUARTER OF 2021"/>
    <m/>
    <n v="50000"/>
    <n v="-5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 4.2-MOOE-GOP"/>
    <n v="755"/>
    <s v="50203010 00"/>
    <s v="Office Supplies Expenses"/>
    <x v="11"/>
    <n v="3"/>
    <s v="OIC, DTI-ADS"/>
    <s v="FT, MOOE FOR CPD IMPLEMENTATION, 1ST QUARTER OF 2021"/>
    <m/>
    <n v="10125"/>
    <n v="-10125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6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7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38"/>
    <d v="1899-12-31T00:00:00.000"/>
    <d v="1899-12-31T00:00:00.000"/>
    <s v="GAA-OTOP-MOOE-GOP"/>
    <n v="751"/>
    <s v="50201010 00"/>
    <s v="Traveling Expenses - Local"/>
    <x v="30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0"/>
    <s v="50299010 00"/>
    <s v="Advertising Expenses"/>
    <x v="49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1"/>
    <s v="50299020 00"/>
    <s v="Printing and Binding Expenses"/>
    <x v="1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3"/>
    <s v="50299030 00"/>
    <s v="Representation Expenses"/>
    <x v="2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51"/>
    <s v="50201010 00"/>
    <s v="Traveling Expenses - Local"/>
    <x v="30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0"/>
    <s v="50299010 00"/>
    <s v="Advertising Expenses"/>
    <x v="49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1"/>
    <s v="50299020 00"/>
    <s v="Printing and Binding Expenses"/>
    <x v="1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3"/>
    <s v="50299030 00"/>
    <s v="Representation Expenses"/>
    <x v="2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51"/>
    <s v="50201010 00"/>
    <s v="Traveling Expenses - Local"/>
    <x v="30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0"/>
    <s v="50299010 00"/>
    <s v="Advertising Expenses"/>
    <x v="49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1"/>
    <s v="50299020 00"/>
    <s v="Printing and Binding Expenses"/>
    <x v="1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3"/>
    <s v="50299030 00"/>
    <s v="Representation Expenses"/>
    <x v="2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51"/>
    <s v="50201010 00"/>
    <s v="Traveling Expenses - Local"/>
    <x v="30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0"/>
    <s v="50299010 00"/>
    <s v="Advertising Expenses"/>
    <x v="49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1"/>
    <s v="50299020 00"/>
    <s v="Printing and Binding Expenses"/>
    <x v="1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3"/>
    <s v="50299030 00"/>
    <s v="Representation Expenses"/>
    <x v="2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51"/>
    <s v="50201010 00"/>
    <s v="Traveling Expenses - Local"/>
    <x v="30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0"/>
    <s v="50299010 00"/>
    <s v="Advertising Expenses"/>
    <x v="49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1"/>
    <s v="50299020 00"/>
    <s v="Printing and Binding Expenses"/>
    <x v="1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3"/>
    <s v="50299030 00"/>
    <s v="Representation Expenses"/>
    <x v="2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3"/>
    <d v="1899-12-31T00:00:00.000"/>
    <d v="1899-12-31T00:00:00.000"/>
    <s v="GAA-OO2-MOOE-GOP"/>
    <n v="755"/>
    <s v="50203010 00"/>
    <s v="Office Supplies Expenses"/>
    <x v="11"/>
    <s v="IDD"/>
    <s v="NEED INK SALES AND SERVICES"/>
    <s v="TONERS FOR IDD USE - 1ST QUARTER 2021"/>
    <m/>
    <n v="22320"/>
    <n v="-22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44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SALARIES RAPID RCU STAFF - JANUARY 1-31, 2021"/>
    <m/>
    <n v="144603.29"/>
    <n v="-144603.2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5"/>
    <d v="1899-12-31T00:00:00.000"/>
    <d v="1899-12-31T00:00:00.000"/>
    <s v="SAA040-RAPID GOP-799-GOP"/>
    <n v="799"/>
    <s v="50211990 00"/>
    <s v="Other Professional Services"/>
    <x v="15"/>
    <n v="2"/>
    <s v="LAND BANK OF THE PHILIPPINES"/>
    <s v="SALARIES RAPID PCU ADN STAFF - JANUARY 1-31, 2021"/>
    <m/>
    <n v="119889.07"/>
    <n v="-119889.0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6"/>
    <d v="1899-12-31T00:00:00.000"/>
    <d v="1899-12-31T00:00:00.000"/>
    <s v="SAA040-RAPID GOP-799-GOP"/>
    <n v="799"/>
    <s v="50211990 00"/>
    <s v="Other Professional Services"/>
    <x v="15"/>
    <n v="67"/>
    <s v="LAND BANK OF THE PHILIPPINES"/>
    <s v="SALARIES RAPID PCU SDS STAFF - JANUARY 1-31, 2021"/>
    <m/>
    <n v="83142.72"/>
    <n v="-83142.7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9T00:00:00.000"/>
    <s v="21-2"/>
    <s v="147"/>
    <d v="1899-12-31T00:00:00.000"/>
    <d v="1899-12-31T00:00:00.000"/>
    <s v="SAA040-RAPID GOP-799-GOP"/>
    <n v="799"/>
    <s v="50211990 00"/>
    <s v="Other Professional Services"/>
    <x v="15"/>
    <n v="3"/>
    <s v="LAND BANK OF THE PHILIPPINES"/>
    <s v="SALARIES RAPID PCU SDS STAFF - JANUARY 1-31, 2021"/>
    <m/>
    <n v="106531.33"/>
    <n v="-106531.33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4T00:00:00.000"/>
    <s v="21-2"/>
    <s v="148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24T00:00:00.000"/>
    <s v="21-2"/>
    <s v="149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0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24T00:00:00.000"/>
    <s v="21-2"/>
    <s v="151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2790"/>
    <n v="-2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1"/>
    <d v="1899-12-31T00:00:00.000"/>
    <d v="1899-12-31T00:00:00.000"/>
    <s v="GAA-GAS(GMS)-MOOE-GOP"/>
    <n v="796"/>
    <s v="50212020 00"/>
    <s v="Janitorial Services"/>
    <x v="26"/>
    <s v="FAD"/>
    <s v="LBP F/O DTI-JO"/>
    <s v="PAYMENT FOR JO FOR FEBRUARY 1-15, 2021"/>
    <m/>
    <n v="8000"/>
    <n v="-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2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FEBRUARY 1-15, 2021"/>
    <m/>
    <n v="12352.18"/>
    <n v="-12352.1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3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3"/>
    <d v="1899-12-31T00:00:00.000"/>
    <d v="1899-12-31T00:00:00.000"/>
    <s v="GAA-NC-MOOE-GOP"/>
    <n v="799"/>
    <s v="50211990 00"/>
    <s v="Other Professional Services"/>
    <x v="15"/>
    <s v="NC"/>
    <s v="LBP F/O DTI-JO"/>
    <s v="PAYMENT FOR JO FOR FEBRUARY 1-15, 2021"/>
    <m/>
    <n v="12316"/>
    <n v="-12316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24T00:00:00.000"/>
    <s v="21-2"/>
    <s v="154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5030.91"/>
    <n v="-5030.91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4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5"/>
    <d v="1899-12-31T00:00:00.000"/>
    <d v="1899-12-31T00:00:00.000"/>
    <s v="GAA-GAS(GMS)-MOOE-GOP"/>
    <n v="795"/>
    <s v="50212990 00"/>
    <s v="Other General Services"/>
    <x v="14"/>
    <n v="1"/>
    <s v="REYNOLD C. GULDE"/>
    <s v="OVERTIME SERVICES FOR DECEMBER AND JANUARY 2021"/>
    <m/>
    <n v="7321.62"/>
    <n v="-7321.6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6"/>
    <d v="1899-12-31T00:00:00.000"/>
    <d v="1899-12-31T00:00:00.000"/>
    <s v="GAA-GAS(GMS)-MOOE-GOP"/>
    <n v="773"/>
    <s v="50205020 01"/>
    <s v="Telephone Expenses - Mobile "/>
    <x v="19"/>
    <n v="1"/>
    <s v="JMN MULTIMEDIA SALES AND SERVICES"/>
    <s v="LOAD ALLOWANCE FOR FAD USE-1ST 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7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8"/>
    <d v="1899-12-31T00:00:00.000"/>
    <d v="1899-12-31T00:00:00.000"/>
    <s v="SAA15-CARP-706-GOP"/>
    <n v="733"/>
    <s v="50103030 01"/>
    <s v="PhilHealth - Civilian"/>
    <x v="9"/>
    <n v="1"/>
    <s v="JOSELITO B. PALER"/>
    <s v="PHIC PREMIUM (ER SHARE) FOR FEBRUARY 2021"/>
    <m/>
    <n v="0.01"/>
    <n v="-0.0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26T00:00:00.000"/>
    <s v="21-2"/>
    <s v="159"/>
    <d v="1899-12-31T00:00:00.000"/>
    <d v="1899-12-31T00:00:00.000"/>
    <s v="SAA040-RAPID GOP-799-GOP"/>
    <n v="799"/>
    <s v="50211990 00"/>
    <s v="Other Professional Services"/>
    <x v="15"/>
    <n v="2"/>
    <s v="PD, DTI-ADN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0"/>
    <d v="1899-12-31T00:00:00.000"/>
    <d v="1899-12-31T00:00:00.000"/>
    <s v="SAA040-RAPID GOP-799-GOP"/>
    <n v="799"/>
    <s v="50211990 00"/>
    <s v="Other Professional Services"/>
    <x v="15"/>
    <n v="3"/>
    <s v="OIC, DTI-A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1"/>
    <d v="1899-12-31T00:00:00.000"/>
    <d v="1899-12-31T00:00:00.000"/>
    <s v="SAA040-RAPID GOP-799-GOP"/>
    <n v="799"/>
    <s v="50211990 00"/>
    <s v="Other Professional Services"/>
    <x v="15"/>
    <n v="67"/>
    <s v="PD, DTI-S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6T00:00:00.000"/>
    <s v="21-2"/>
    <s v="16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1"/>
    <s v="50103010 00"/>
    <s v="Retirement and Life Insurance Premiums"/>
    <x v="7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1"/>
    <s v="50103010 00"/>
    <s v="Retirement and Life Insurance Premiums"/>
    <x v="7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5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6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7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8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9"/>
    <d v="1899-12-31T00:00:00.000"/>
    <d v="1899-12-31T00:00:00.000"/>
    <s v="GAA-GAS(GMS)-MOOE-GOP"/>
    <n v="795"/>
    <s v="50212990 00"/>
    <s v="Other General Services"/>
    <x v="14"/>
    <s v="FAD"/>
    <s v="LBP, F/O DTI-JOB ORDERS"/>
    <s v="JOB-ORDERS FOR THE PERIOD FEBRUARY 16-28, 2021"/>
    <m/>
    <n v="2170"/>
    <n v="-21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69"/>
    <d v="1899-12-31T00:00:00.000"/>
    <d v="1899-12-31T00:00:00.000"/>
    <s v="GAA-GAS(GMS)-MOOE-GOP"/>
    <n v="796"/>
    <s v="50212020 00"/>
    <s v="Janitorial Services"/>
    <x v="26"/>
    <s v="FAD"/>
    <s v="LBP, F/O DTI-JOB ORDERS"/>
    <s v="JOB-ORDERS FOR THE PERIOD FEBRUARY 16-28, 2021"/>
    <m/>
    <n v="7000"/>
    <n v="-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0"/>
    <d v="1899-12-31T00:00:00.000"/>
    <d v="1899-12-31T00:00:00.000"/>
    <s v="GAA-OTOP-MOOE-GOP"/>
    <n v="751"/>
    <s v="50201010 00"/>
    <s v="Traveling Expenses - Local"/>
    <x v="30"/>
    <n v="1"/>
    <s v="HAZEL O. GALVE"/>
    <s v="REIM OF TE RE: OTOP PH HUB AND E-COMMERCE PLATFORM OF DTI CARAGA IN ADS LAST JAN. 15 AND 29, 2021"/>
    <m/>
    <n v="1200"/>
    <n v="-12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71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2404.78"/>
    <n v="-2404.7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2800"/>
    <n v="-2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5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11000"/>
    <n v="-11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76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, JANUARY 16-FEB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FEB 9-24, 2021"/>
    <m/>
    <n v="1338.5"/>
    <n v="-1338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FEB 9-24, 2021"/>
    <m/>
    <n v="1865"/>
    <n v="-18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FEB 9-24, 2021"/>
    <m/>
    <n v="900"/>
    <n v="-9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969"/>
    <s v="50299990 99"/>
    <s v="Other Maintenance and Operating Expenses"/>
    <x v="16"/>
    <n v="1"/>
    <s v="ARLEEN P. PAHAMTANG"/>
    <s v="PETTY CASH FUND REPLENISHMENT FOR FEB 9-24, 2021"/>
    <m/>
    <n v="120"/>
    <n v="-1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8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6-28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FEBRUARY 16-28, 2021"/>
    <m/>
    <n v="5534"/>
    <n v="-553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GAS(GMS)-MOOE-GOP"/>
    <n v="795"/>
    <s v="50212990 00"/>
    <s v="Other General Services"/>
    <x v="14"/>
    <n v="1"/>
    <s v="LBP F/O DTI-JO"/>
    <s v="PAYMENT FOR JO FOR FEBRUARY 16-28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9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0"/>
    <d v="1899-12-31T00:00:00.000"/>
    <d v="1899-12-31T00:00:00.000"/>
    <s v="SAA040-RAPID GOP-799-GOP"/>
    <n v="799"/>
    <s v="50211990 00"/>
    <s v="Other Professional Services"/>
    <x v="15"/>
    <n v="3"/>
    <s v="ARMANDO G. TABID"/>
    <s v="SALARIES FOR RAPID PCU ADS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1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6-28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81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FEBRUARY 16-28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4.1(FTL)-PS-GOP"/>
    <n v="713"/>
    <s v="50102020 00"/>
    <s v="Representation Allowance"/>
    <x v="2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4.1(FTL)-PS-GOP"/>
    <n v="714"/>
    <s v="50102030 01"/>
    <s v="Transportation Allowance  "/>
    <x v="3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4"/>
    <d v="1899-12-31T00:00:00.000"/>
    <d v="1899-12-31T00:00:00.000"/>
    <s v="GAA-GAS(GMS)-MOOE-GOP"/>
    <n v="799"/>
    <s v="50211990 00"/>
    <s v="Other Professional Services"/>
    <x v="15"/>
    <n v="1"/>
    <s v="NORMAN JHON G. BUTALON"/>
    <s v="PAYMENT FOR JANUARY AND FEBRUARY 2021 JOB ORDER "/>
    <m/>
    <n v="64106"/>
    <n v="-641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5"/>
    <d v="1899-12-31T00:00:00.000"/>
    <d v="1899-12-31T00:00:00.000"/>
    <s v="SAA040-RAPID GOP-799-GOP"/>
    <n v="799"/>
    <s v="50211990 00"/>
    <s v="Other Professional Services"/>
    <x v="15"/>
    <s v="RAPID"/>
    <s v="BERNIE P. CURATO"/>
    <s v="SALARIES FOR RAPID PCU ADN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6"/>
    <d v="1899-12-31T00:00:00.000"/>
    <d v="1899-12-31T00:00:00.000"/>
    <s v="GAA-OO 4.2-MOOE-GOP"/>
    <n v="755"/>
    <s v="50203010 00"/>
    <s v="Office Supplies Expenses"/>
    <x v="11"/>
    <s v="CPD"/>
    <s v="MERCADO'S SUDLANAN ATBP."/>
    <s v="PAYMENT FOR JOURNAL/PLANNER RE: 2021 CPD FUNCTIONAL TEAM MEETING LAST FEB. 2-3, 2021"/>
    <m/>
    <n v="9900"/>
    <n v="-9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2T00:00:00.000"/>
    <s v="21-3"/>
    <s v="187"/>
    <d v="1899-12-31T00:00:00.000"/>
    <d v="1899-12-31T00:00:00.000"/>
    <s v="GAA-GAS(GMS)-MOOE-GOP"/>
    <n v="893"/>
    <s v="50215030 00"/>
    <s v="Insurance Expense"/>
    <x v="43"/>
    <n v="1"/>
    <s v="GSIS"/>
    <s v="MOTOR VEHICLE INSURANCE RENEWAL-TOYOTA INNOVA"/>
    <m/>
    <n v="6617.76"/>
    <n v="-6617.7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8"/>
    <d v="1899-12-31T00:00:00.000"/>
    <d v="1899-12-31T00:00:00.000"/>
    <s v="GAA-GAS(GMS)-MOOE-GOP"/>
    <n v="891"/>
    <s v="50215010 01"/>
    <s v="Taxes, Duties and Licenses"/>
    <x v="42"/>
    <n v="1"/>
    <s v="LAND TRANSPORTATION OFFICE"/>
    <s v="MOTOR VEHICLE REGISTRATION RENEWAL-TOYOTA INNOVA"/>
    <m/>
    <n v="2179.06"/>
    <n v="-2179.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9"/>
    <d v="1899-12-31T00:00:00.000"/>
    <d v="1899-12-31T00:00:00.000"/>
    <s v="GAA-OO2-MOOE-GOP"/>
    <n v="755"/>
    <s v="50203010 00"/>
    <s v="Office Supplies Expenses"/>
    <x v="11"/>
    <s v="IDD"/>
    <s v="ROYELEN B. TAALA"/>
    <s v="REIMBURSEMENT OF 2021 PLANNER FOR IDD USE"/>
    <m/>
    <n v="3075"/>
    <n v="-3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0"/>
    <d v="1899-12-31T00:00:00.000"/>
    <d v="1899-12-31T00:00:00.000"/>
    <s v="GAA-OO2-MOOE-GOP"/>
    <n v="773"/>
    <s v="50205020 01"/>
    <s v="Telephone Expenses - Mobile "/>
    <x v="19"/>
    <s v="IDD"/>
    <s v="JMN MULTIMEDIA SALES AND SERVICES"/>
    <s v="PAYMENT FOR LOAD ALLOWANCE - IDD 1ST QUARTER OF 2021"/>
    <m/>
    <n v="3048"/>
    <n v="-3048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1"/>
    <d v="1899-12-31T00:00:00.000"/>
    <d v="1899-12-31T00:00:00.000"/>
    <s v="GAA-GAS(GMS)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1"/>
    <d v="1899-12-31T00:00:00.000"/>
    <d v="1899-12-31T00:00:00.000"/>
    <s v="GAA-NC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2"/>
    <d v="1899-12-31T00:00:00.000"/>
    <d v="1899-12-31T00:00:00.000"/>
    <s v="GAA-GAS(GMS)-MOOE-GOP"/>
    <n v="775"/>
    <s v="50205040 00"/>
    <s v="Cable, Satellite, Telegraph, and Radio Expenses"/>
    <x v="20"/>
    <n v="1"/>
    <s v="FIL PRODUCTS SERVICE TV BUTUAN, INC."/>
    <s v="CABLE TV SUBSCRIPTION FOR JAN. 28-MAR 27, 2021"/>
    <m/>
    <n v="1080"/>
    <n v="-10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3"/>
    <d v="1899-12-31T00:00:00.000"/>
    <d v="1899-12-31T00:00:00.000"/>
    <s v="GAA-GAS(GMS)-MOOE-GOP"/>
    <n v="782"/>
    <s v="50299050 01"/>
    <s v="Rent - Buildings and Structures"/>
    <x v="17"/>
    <n v="1"/>
    <s v="JOCELYN ANG"/>
    <s v="RECORDS ROOM RENTAL FOR MARCH 2021"/>
    <m/>
    <n v="8800"/>
    <n v="-8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14318.18"/>
    <n v="-143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5"/>
    <d v="1899-12-31T00:00:00.000"/>
    <d v="1899-12-31T00:00:00.000"/>
    <s v="GAA-GAS(GMS)-MOOE-GOP"/>
    <n v="755"/>
    <s v="50203010 00"/>
    <s v="Office Supplies Expenses"/>
    <x v="11"/>
    <n v="1"/>
    <s v="KIMSON COMMERCIAL"/>
    <s v="OFFICE SUPPLIES FOR FAD USE, 1STQUARTER 2021"/>
    <m/>
    <n v="9565"/>
    <n v="-9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6"/>
    <d v="1899-12-31T00:00:00.000"/>
    <d v="1899-12-31T00:00:00.000"/>
    <s v="GAA-GAS(GMS)-MOOE-GOP"/>
    <n v="755"/>
    <s v="50203010 00"/>
    <s v="Office Supplies Expenses"/>
    <x v="11"/>
    <n v="1"/>
    <s v="COMPAÑERO COMMERCIAL"/>
    <s v="OFFICE SUPPLIES FOR FAD USE, 1STQUARTER 2021"/>
    <m/>
    <n v="1560"/>
    <n v="-1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7"/>
    <d v="1899-12-31T00:00:00.000"/>
    <d v="1899-12-31T00:00:00.000"/>
    <s v="GAA-GAS(GMS)-MOOE-GOP"/>
    <n v="755"/>
    <s v="50203010 00"/>
    <s v="Office Supplies Expenses"/>
    <x v="11"/>
    <n v="1"/>
    <s v="TAMMY EMPORIUM"/>
    <s v="OFFICE SUPPLIES FOR FAD USE, 1STQUARTER 2021"/>
    <m/>
    <n v="17820"/>
    <n v="-178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8"/>
    <d v="1899-12-31T00:00:00.000"/>
    <d v="1899-12-31T00:00:00.000"/>
    <s v="GAA-NC-MOOE-GOP"/>
    <n v="774"/>
    <s v="50205030 00"/>
    <s v="Internet Subscription Expenses"/>
    <x v="46"/>
    <n v="1"/>
    <s v="INNOVE COMMUNICATIONS, INC."/>
    <s v="ZOOM APPLICATION SUBSCRIPTION FOR NOV. 2020 TO JAN 2021"/>
    <m/>
    <n v="11547.23"/>
    <n v="-11547.23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9"/>
    <d v="1899-12-31T00:00:00.000"/>
    <d v="1899-12-31T00:00:00.000"/>
    <s v="GAA-GAS(GMS)-MOOE-GOP"/>
    <n v="755"/>
    <s v="50203010 00"/>
    <s v="Office Supplies Expenses"/>
    <x v="11"/>
    <n v="1"/>
    <s v="RALPH O. GORGONIO"/>
    <s v="REIM FOR THE PAYMENT FO ALCOHOL SUPPLIES"/>
    <m/>
    <n v="1840"/>
    <n v="-18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200"/>
    <d v="1899-12-31T00:00:00.000"/>
    <d v="1899-12-31T00:00:00.000"/>
    <s v="GAA-OO3-MOOE-GOP"/>
    <n v="841"/>
    <s v="50213060 01"/>
    <s v="Motor Vehicles"/>
    <x v="41"/>
    <n v="1"/>
    <s v="ROAD WAY AUTO SUPPLY AND CAR ACCESSORIES"/>
    <s v="VEHICLE REAR BUMPER FOR TOYOTA HILUX FOR DTI CARAGA MV"/>
    <m/>
    <n v="17500"/>
    <n v="-175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1"/>
    <d v="1899-12-31T00:00:00.000"/>
    <d v="1899-12-31T00:00:00.000"/>
    <s v="GAA-OTOP-MOOE-GOP"/>
    <n v="751"/>
    <s v="50201010 00"/>
    <s v="Traveling Expenses - Local"/>
    <x v="30"/>
    <n v="1"/>
    <s v="EDEN D. BURNEA"/>
    <s v="REIM OF TE RE: OTOP PH HUB AND E-COMMERCE PLATFORM OF DTI CARAGA IN ADS LAST JAN. 15 AND 29, 2021"/>
    <m/>
    <n v="1800"/>
    <n v="-18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202"/>
    <d v="1899-12-31T00:00:00.000"/>
    <d v="1899-12-31T00:00:00.000"/>
    <s v="GAA-OO3-MOOE-GOP"/>
    <n v="795"/>
    <s v="50212990 00"/>
    <s v="Other General Services"/>
    <x v="14"/>
    <n v="1"/>
    <s v="EFREN J. TUBA-ON"/>
    <s v="PAYMENT FOR JO FOR JANUARY AND FEBRUARY 2021"/>
    <m/>
    <n v="20626.73"/>
    <n v="-20626.7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3"/>
    <d v="1899-12-31T00:00:00.000"/>
    <d v="1899-12-31T00:00:00.000"/>
    <s v="SAA040-RAPID GOP-799-GOP"/>
    <n v="799"/>
    <s v="50211990 00"/>
    <s v="Other Professional Services"/>
    <x v="15"/>
    <s v="RAPID"/>
    <s v="AL A. OLIVERIO"/>
    <s v="SALARIES FOR RAPID PCU ADN STAFF (DRIVER) FOR FEB 1-28, 2021"/>
    <m/>
    <n v="16308.47"/>
    <n v="-16308.4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204"/>
    <d v="1899-12-31T00:00:00.000"/>
    <d v="1899-12-31T00:00:00.000"/>
    <s v="GAA-GAS(GMS)-MOOE-GOP"/>
    <n v="753"/>
    <s v="50202010 00"/>
    <s v="Training Expenses"/>
    <x v="33"/>
    <n v="1"/>
    <s v="CSC TRAINING FUND"/>
    <s v="REGISTRATION FEE FOR ONLINE COURSE ON COACHING AND MENTORING ON APRIL 20, 27 AND 30, 2021"/>
    <m/>
    <n v="7200"/>
    <n v="-72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5"/>
    <d v="1899-12-31T00:00:00.000"/>
    <d v="1899-12-31T00:00:00.000"/>
    <s v="GAA-OO 4.2-MOOE-GOP"/>
    <n v="783"/>
    <s v="50299030 00"/>
    <s v="Representation Expenses"/>
    <x v="23"/>
    <s v="CPD"/>
    <s v="TRUE BREW GOURMET COFFEE SHOP"/>
    <s v="PAYMENT FOR MEALS RE: 2021 CPD FTM LAST FEB. 2-3, 2021"/>
    <m/>
    <n v="12900"/>
    <n v="-12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06"/>
    <d v="1899-12-31T00:00:00.000"/>
    <d v="1899-12-31T00:00:00.000"/>
    <s v="GAA-GAS(GMS)-MOOE-GOP"/>
    <n v="783"/>
    <s v="50299030 00"/>
    <s v="Representation Expenses"/>
    <x v="23"/>
    <s v="GAD"/>
    <s v="TRUE BREW GOURMET COFFEE SHOP"/>
    <s v="PAYMENT FOR MEALS RE: GENDERWEE SUBCOMMITTEE MEETING LAST FEB. 5, 2021"/>
    <m/>
    <n v="4950"/>
    <n v="-49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7"/>
    <d v="1899-12-31T00:00:00.000"/>
    <d v="1899-12-31T00:00:00.000"/>
    <s v="GAA-OO2-MOOE-GOP"/>
    <n v="755"/>
    <s v="50203010 00"/>
    <s v="Office Supplies Expenses"/>
    <x v="11"/>
    <s v="IDD"/>
    <s v="TAMMY EMPORIUM"/>
    <s v="PAYMENT FOR OFFICE SUPPLIES FOR IDD USE - 1ST QTR 2021"/>
    <m/>
    <n v="7830"/>
    <n v="-783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08"/>
    <d v="1899-12-31T00:00:00.000"/>
    <d v="1899-12-31T00:00:00.000"/>
    <s v="GAA-GAS(GMS)-MOOE-GOP"/>
    <n v="755"/>
    <s v="50203010 00"/>
    <s v="Office Supplies Expenses"/>
    <x v="11"/>
    <s v=" FAD"/>
    <s v="NEED INK SALES AND SERVICES"/>
    <s v="PAYMENT FOR TONERS FOR FAD USE - 1ST QUARTER"/>
    <m/>
    <n v="27000"/>
    <n v="-2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9"/>
    <d v="1899-12-31T00:00:00.000"/>
    <d v="1899-12-31T00:00:00.000"/>
    <s v="GAA-OO2-MOOE-GOP"/>
    <n v="755"/>
    <s v="50203010 00"/>
    <s v="Office Supplies Expenses"/>
    <x v="11"/>
    <s v="IDD"/>
    <s v="BUTUAN GLASS SUPPLY, INC."/>
    <s v="PAYMENT FOR FROSTED STICKER FOR IDD OFFICE"/>
    <m/>
    <n v="3400"/>
    <n v="-3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0"/>
    <d v="1899-12-31T00:00:00.000"/>
    <d v="1899-12-31T00:00:00.000"/>
    <s v="GAA-OO2-MOOE-GOP"/>
    <n v="783"/>
    <s v="50299030 00"/>
    <s v="Representation Expenses"/>
    <x v="23"/>
    <s v="IDD"/>
    <s v="ROYELEN B. TAALA"/>
    <s v="REIMBURSEMENT, TOKENS/AWARDS/PRIZES RE: IDD FUNCTIONAL FTM 1ST QTR MEETING LAST JAN. 26, 2021"/>
    <m/>
    <n v="1800"/>
    <n v="-18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1"/>
    <d v="1899-12-31T00:00:00.000"/>
    <d v="1899-12-31T00:00:00.000"/>
    <s v="GAA-OO3-MOOE-GOP"/>
    <n v="755"/>
    <s v="50203010 00"/>
    <s v="Office Supplies Expenses"/>
    <x v="11"/>
    <s v="SDD"/>
    <s v="MERCADO'S SUDLANAN ATBP"/>
    <s v="PAYMENT FOR CUSTOMIZED 2021 PLANNER"/>
    <m/>
    <n v="39600"/>
    <n v="-39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2"/>
    <d v="1899-12-31T00:00:00.000"/>
    <d v="1899-12-31T00:00:00.000"/>
    <s v="GAA-GAS(GMS)-MOOE-GOP"/>
    <n v="755"/>
    <s v="50203010 00"/>
    <s v="Office Supplies Expenses"/>
    <x v="11"/>
    <s v="FAD"/>
    <s v="NEW ARISTOCRAT ENTERPRISES, INC."/>
    <s v="PAYMENT FOR FLUSH LOCKS AND REINSTALLATION OF GLASS BOARD FOR DTI-CARAGA OFFICE USE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3"/>
    <d v="1899-12-31T00:00:00.000"/>
    <d v="1899-12-31T00:00:00.000"/>
    <s v="GAA-GAS(GMS)-MOOE-GOP"/>
    <n v="773"/>
    <s v="50205020 01"/>
    <s v="Telephone Expenses - Mobile "/>
    <x v="19"/>
    <s v="FAD"/>
    <s v="JMN MULTIMEDIA SALES AND SERVICES"/>
    <s v="PAYMENT FOR LOAD ALLOWANCE FOR FAD USE - 1ST QUARTER 2021"/>
    <m/>
    <n v="4032"/>
    <n v="-40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PAYMENT FOR FUEL CONSUMPTION FOR JAN 1-31, 2021"/>
    <m/>
    <n v="9401.97"/>
    <n v="-9401.9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OO3-MOOE-GOP"/>
    <n v="761"/>
    <s v="50203090 00"/>
    <s v="Fuel, Oil and Lubricants Expenses"/>
    <x v="22"/>
    <s v="SDD"/>
    <s v="JWL SOURCING GROUP, INC."/>
    <s v="PAYMENT FOR FUEL CONSUMPTION FOR JAN 1-31, 2021"/>
    <m/>
    <n v="5475.35"/>
    <n v="-5475.3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4"/>
    <d v="1899-12-31T00:00:00.000"/>
    <d v="1899-12-31T00:00:00.000"/>
    <s v="GAA-OO2-MOOE-GOP"/>
    <n v="761"/>
    <s v="50203090 00"/>
    <s v="Fuel, Oil and Lubricants Expenses"/>
    <x v="22"/>
    <s v="IDD"/>
    <s v="JWL SOURCING GROUP, INC."/>
    <s v="PAYMENT FOR FUEL CONSUMPTION FOR JAN 1-31, 2021"/>
    <m/>
    <n v="1369.22"/>
    <n v="-1369.22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4"/>
    <d v="1899-12-31T00:00:00.000"/>
    <d v="1899-12-31T00:00:00.000"/>
    <s v="GAA-OO 4.2-MOOE-GOP"/>
    <n v="761"/>
    <s v="50203090 00"/>
    <s v="Fuel, Oil and Lubricants Expenses"/>
    <x v="22"/>
    <s v="CPD"/>
    <s v="JWL SOURCING GROUP, INC."/>
    <s v="PAYMENT FOR FUEL CONSUMPTION FOR JAN 1-31, 2021"/>
    <m/>
    <n v="511.18"/>
    <n v="-511.18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PAYMENT FOR FUEL CONSUMPTION FOR JAN 1-31, 2021"/>
    <m/>
    <n v="6124.51"/>
    <n v="-6124.5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5"/>
    <d v="1899-12-31T00:00:00.000"/>
    <d v="1899-12-31T00:00:00.000"/>
    <s v="GAA-GAS(GMS)-MOOE-GOP"/>
    <n v="766"/>
    <s v="50204010 00"/>
    <s v="Water Expenses"/>
    <x v="25"/>
    <n v="1"/>
    <s v="A&amp;C YELO SUBMARINE CORP."/>
    <s v="PAYMENT FOR DRINKING WATER FOR FEB 2021"/>
    <m/>
    <n v="2275"/>
    <n v="-22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6"/>
    <d v="1899-12-31T00:00:00.000"/>
    <d v="1899-12-31T00:00:00.000"/>
    <s v="GAA-GAS(GMS)-MOOE-GOP"/>
    <n v="771"/>
    <s v="50205010 00"/>
    <s v="Postage and Courier Services"/>
    <x v="35"/>
    <n v="1"/>
    <s v="JRS BUSINESS CORPORATION"/>
    <s v="PAYMENT FOR COURIER SERVICES FOR THE MONTH OF JANUARY 2021"/>
    <m/>
    <n v="6323"/>
    <n v="-632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7"/>
    <d v="1899-12-31T00:00:00.000"/>
    <d v="1899-12-31T00:00:00.000"/>
    <s v="GAA-GAS(GMS)-MOOE-GOP"/>
    <n v="786"/>
    <s v="50299070 00"/>
    <s v="Subscriptions Expenses"/>
    <x v="31"/>
    <n v="1"/>
    <s v="BUSA INTERBIZ CENTER"/>
    <s v="PAYMENT FOR NEWSPAPER SUBSCRIPTION FOR FEB 2021"/>
    <m/>
    <n v="1242"/>
    <n v="-124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8"/>
    <d v="1899-12-31T00:00:00.000"/>
    <d v="1899-12-31T00:00:00.000"/>
    <s v="GAA-OO2-MOOE-GOP"/>
    <n v="782"/>
    <s v="50299050 01"/>
    <s v="Rent - Buildings and Structures"/>
    <x v="17"/>
    <n v="1"/>
    <s v="D.O PLAZA HOLDINGS CORP."/>
    <s v="PAYMENT FOR OFFICE RENTAL FOR THE MONTH OF MARCH 2021"/>
    <m/>
    <n v="150501.47"/>
    <n v="-150501.4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8"/>
    <d v="1899-12-31T00:00:00.000"/>
    <d v="1899-12-31T00:00:00.000"/>
    <s v="GAA-NC-MOOE-GOP"/>
    <n v="782"/>
    <s v="50299050 01"/>
    <s v="Rent - Buildings and Structures"/>
    <x v="17"/>
    <n v="1"/>
    <s v="D.O PLAZA HOLDINGS CORP."/>
    <s v="PAYMENT FOR OFFICE RENTAL FOR THE MONTH OF MARCH 2021"/>
    <m/>
    <n v="20000"/>
    <n v="-2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0T00:00:00.000"/>
    <s v="21-3"/>
    <s v="219"/>
    <d v="1899-12-31T00:00:00.000"/>
    <d v="1899-12-31T00:00:00.000"/>
    <s v="GAA-GAS(GMS)-MOOE-GOP"/>
    <n v="783"/>
    <s v="50299030 00"/>
    <s v="Representation Expenses"/>
    <x v="23"/>
    <s v="MSSU"/>
    <s v="MIKE ARIEL P. PLAZA"/>
    <s v="REIMBURSMENT, FOOD AND NON-FOOD PRODUCTS RE: 2020 DTI PASALOVE YOUTUBE PROJECT"/>
    <m/>
    <n v="7635"/>
    <n v="-76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MARCH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MARCH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MARCH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MARCH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MARCH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MARCH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MARCH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MARCH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MARCH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MARCH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MARCH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MARCH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MARCH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MARCH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MARCH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MARCH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MARCH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MARCH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MARCH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MARCH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MARCH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MARCH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MARCH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2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MARCH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MARCH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MARCH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MARCH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MARCH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MARCH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MARCH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MARCH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MARCH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MARCH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3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MARCH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MARCH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MARCH 2021 - CARP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7"/>
    <d v="1899-12-31T00:00:00.000"/>
    <d v="1899-12-31T00:00:00.000"/>
    <s v="GAA-OO3-PS-GOP"/>
    <n v="701"/>
    <s v="50101010 01"/>
    <s v="Basic Salary - Civilian"/>
    <x v="5"/>
    <n v="1"/>
    <s v="LOIDA C. GUMAHI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11"/>
    <s v="50102010 01"/>
    <s v="PERA - Civilian"/>
    <x v="6"/>
    <n v="1"/>
    <s v="LOIDA C. GUMAHI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RLIP-GOP"/>
    <n v="731"/>
    <s v="50103010 00"/>
    <s v="Retirement and Life Insurance Premiums"/>
    <x v="7"/>
    <n v="1"/>
    <s v="LOIDA C. GUMAHI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2"/>
    <s v="50103020 01"/>
    <s v="Pag-IBIG - Civilian"/>
    <x v="8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3"/>
    <s v="50103030 01"/>
    <s v="PhilHealth - Civilian"/>
    <x v="9"/>
    <n v="1"/>
    <s v="LOIDA C. GUMAHI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4"/>
    <s v="50103040 01"/>
    <s v="ECIP - Civilian"/>
    <x v="10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01"/>
    <s v="50101010 01"/>
    <s v="Basic Salary - Civilian"/>
    <x v="5"/>
    <n v="85"/>
    <s v="CARL MARS RAVEL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11"/>
    <s v="50102010 01"/>
    <s v="PERA - Civilian"/>
    <x v="6"/>
    <n v="85"/>
    <s v="CARL MARS RAVEL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RLIP-GOP"/>
    <n v="731"/>
    <s v="50103010 00"/>
    <s v="Retirement and Life Insurance Premiums"/>
    <x v="7"/>
    <n v="85"/>
    <s v="CARL MARS RAVEL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2"/>
    <s v="50103020 01"/>
    <s v="Pag-IBIG - Civilian"/>
    <x v="8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3"/>
    <s v="50103030 01"/>
    <s v="PhilHealth - Civilian"/>
    <x v="9"/>
    <n v="85"/>
    <s v="CARL MARS RAVEL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4"/>
    <s v="50103040 01"/>
    <s v="ECIP - Civilian"/>
    <x v="10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01"/>
    <s v="50101010 01"/>
    <s v="Basic Salary - Civilian"/>
    <x v="5"/>
    <n v="68"/>
    <s v="OLIMAR O. SULAPAS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11"/>
    <s v="50102010 01"/>
    <s v="PERA - Civilian"/>
    <x v="6"/>
    <n v="68"/>
    <s v="OLIMAR O. SULAPAS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RLIP-GOP"/>
    <n v="731"/>
    <s v="50103010 00"/>
    <s v="Retirement and Life Insurance Premiums"/>
    <x v="7"/>
    <n v="68"/>
    <s v="OLIMAR O. SULAPAS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2"/>
    <s v="50103020 01"/>
    <s v="Pag-IBIG - Civilian"/>
    <x v="8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3"/>
    <s v="50103030 01"/>
    <s v="PhilHealth - Civilian"/>
    <x v="9"/>
    <n v="68"/>
    <s v="OLIMAR O. SULAPAS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4"/>
    <s v="50103040 01"/>
    <s v="ECIP - Civilian"/>
    <x v="10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FE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FE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FE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FE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MARCH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MARCH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MARCH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MARCH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MARCH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MARCH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MARCH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MARCH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MARCH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MARCH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MARCH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MARCH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MARCH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MARCH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MARCH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MARCH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MARCH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MARCH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MARCH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MARCH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MARCH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MARCH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MARCH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MARCH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MARCH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5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36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7"/>
    <d v="1899-12-31T00:00:00.000"/>
    <d v="1899-12-31T00:00:00.000"/>
    <s v="GAA-OO4.1(FTL)-MOOE-GOP"/>
    <n v="773"/>
    <s v="50205020 01"/>
    <s v="Telephone Expenses - Mobile "/>
    <x v="19"/>
    <s v="CPD"/>
    <s v="JMN MULTIMEDIA SALES AND SERVICES"/>
    <s v="LOAD ALLOWANCE FOR CPD USE-1ST QUARTER"/>
    <m/>
    <n v="2016"/>
    <n v="-2016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38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1344"/>
    <n v="-134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39"/>
    <d v="1899-12-31T00:00:00.000"/>
    <d v="1899-12-31T00:00:00.000"/>
    <s v="GAA-OO4.1(FTL)-MOOE-GOP"/>
    <n v="755"/>
    <s v="50203010 00"/>
    <s v="Office Supplies Expenses"/>
    <x v="11"/>
    <s v="CPD"/>
    <s v="PROCUREMENT SERVICE"/>
    <s v="OFFICE SUPPLIES FOR CPD USE - 1ST QUARTER"/>
    <m/>
    <n v="1651.12"/>
    <n v="-1651.12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40"/>
    <d v="1899-12-31T00:00:00.000"/>
    <d v="1899-12-31T00:00:00.000"/>
    <s v="GAA-OO3-PS-GOP"/>
    <n v="701"/>
    <s v="50101010 01"/>
    <s v="Basic Salary - Civilian"/>
    <x v="5"/>
    <n v="2"/>
    <s v="ELYN ROSE A. RANARI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11"/>
    <s v="50102010 01"/>
    <s v="PERA - Civilian"/>
    <x v="6"/>
    <n v="2"/>
    <s v="ELYN ROSE A. RANARI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RLIP-GOP"/>
    <n v="731"/>
    <s v="50103010 00"/>
    <s v="Retirement and Life Insurance Premiums"/>
    <x v="7"/>
    <n v="2"/>
    <s v="ELYN ROSE A. RANARI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2"/>
    <s v="50103020 01"/>
    <s v="Pag-IBIG - Civilian"/>
    <x v="8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3"/>
    <s v="50103030 01"/>
    <s v="PhilHealth - Civilian"/>
    <x v="9"/>
    <n v="2"/>
    <s v="ELYN ROSE A. RANARI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4"/>
    <s v="50103040 01"/>
    <s v="ECIP - Civilian"/>
    <x v="10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1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2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MARCH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MARCH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MARCH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MARCH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MARCH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MARCH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MARCH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MARCH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MARCH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MARCH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MARCH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MARCH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3"/>
    <d v="1899-12-31T00:00:00.000"/>
    <d v="1899-12-31T00:00:00.000"/>
    <s v="GAA-GAS(GMS)-MOOE-GOP"/>
    <n v="783"/>
    <s v="50299030 00"/>
    <s v="Representation Expenses"/>
    <x v="23"/>
    <s v="MSSU"/>
    <s v="PD, DTI-SDS"/>
    <s v="FT, SUPPORT TO AREAS AFFECTED BY TS AURING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44"/>
    <d v="1899-12-31T00:00:00.000"/>
    <d v="1899-12-31T00:00:00.000"/>
    <s v="GAA-GAS(GMS)-MOOE-GOP"/>
    <n v="841"/>
    <s v="50213060 01"/>
    <s v="Motor Vehicles"/>
    <x v="41"/>
    <n v="1"/>
    <s v="ERMARK TRADING"/>
    <s v="VEHICLE TIRES FOR DTI CARAGA MV MAINTENANCE"/>
    <m/>
    <n v="22000"/>
    <n v="-2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5"/>
    <d v="1899-12-31T00:00:00.000"/>
    <d v="1899-12-31T00:00:00.000"/>
    <s v="GAA-GAS(GMS)-MOOE-GOP"/>
    <n v="753"/>
    <s v="50202010 00"/>
    <s v="Training Expenses"/>
    <x v="33"/>
    <s v="HR"/>
    <s v="CSC TRAINING FUND"/>
    <s v="REGISTRATION FEE FOR PUB;LIC SERVICE VALUES OF ADVERSITIES FOR THE MONTH OF JUNE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6"/>
    <d v="1899-12-31T00:00:00.000"/>
    <d v="1899-12-31T00:00:00.000"/>
    <s v="GAA-OO1-MOOE-GOP"/>
    <n v="771"/>
    <s v="50205010 00"/>
    <s v="Postage and Courier Services"/>
    <x v="35"/>
    <n v="1"/>
    <s v="JRS BUSINESS CORPORATION"/>
    <s v="COURIER SERVICES FOR THE MONTH OF FEBRUARY 2021"/>
    <m/>
    <n v="7873"/>
    <n v="-7873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16T00:00:00.000"/>
    <s v="21-3"/>
    <s v="247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8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40000"/>
    <n v="-4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60000"/>
    <n v="-6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16T00:00:00.000"/>
    <s v="21-3"/>
    <s v="249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16700"/>
    <n v="-16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73434"/>
    <n v="-73434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2500"/>
    <n v="-25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24500"/>
    <n v="-245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16T00:00:00.000"/>
    <s v="21-3"/>
    <s v="250"/>
    <d v="1899-12-31T00:00:00.000"/>
    <d v="1899-12-31T00:00:00.000"/>
    <s v="GAA-SSF-MOOE-GOP"/>
    <n v="751"/>
    <s v="50201010 00"/>
    <s v="Traveling Expenses - Local"/>
    <x v="30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53"/>
    <s v="50202010 00"/>
    <s v="Training Expenses"/>
    <x v="33"/>
    <s v="SSF"/>
    <s v="OIC, DTI-ADS"/>
    <s v="FT, SSF MOOE - 1ST QUARTER 2021"/>
    <m/>
    <n v="45000"/>
    <n v="-4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73"/>
    <s v="50205020 01"/>
    <s v="Telephone Expenses - Mobile "/>
    <x v="19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83"/>
    <s v="50299030 00"/>
    <s v="Representation Expenses"/>
    <x v="23"/>
    <s v="SSF"/>
    <s v="OIC, DTI-ADS"/>
    <s v="FT, SSF MOOE - 1ST QUARTER 2021"/>
    <m/>
    <n v="15000"/>
    <n v="-1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93"/>
    <s v="50211030 00"/>
    <s v="Consultancy Services"/>
    <x v="47"/>
    <s v="SSF"/>
    <s v="OIC, DTI-ADS"/>
    <s v="FT, SSF MOOE - 1ST QUARTER 2021"/>
    <m/>
    <n v="24707.14"/>
    <n v="-247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1"/>
    <d v="1899-12-31T00:00:00.000"/>
    <d v="1899-12-31T00:00:00.000"/>
    <s v="GAA-GAS(GMS)-MOOE-GOP"/>
    <n v="783"/>
    <s v="50299030 00"/>
    <s v="Representation Expenses"/>
    <x v="23"/>
    <s v="FAD"/>
    <s v="JANIKKA'S CATERING SERVICES"/>
    <s v="MEALS DURING THE FAD FTM LAST JANUARY 25, 2021"/>
    <m/>
    <n v="11000"/>
    <n v="-1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2"/>
    <d v="1899-12-31T00:00:00.000"/>
    <d v="1899-12-31T00:00:00.000"/>
    <s v="GAA-GAS(GMS)-MOOE-GOP"/>
    <n v="755"/>
    <s v="50203010 00"/>
    <s v="Office Supplies Expenses"/>
    <x v="11"/>
    <s v="MSSU"/>
    <s v="COMPAÑERO COMMERCIAL"/>
    <s v="SUPPLIES AND MATERIALS RE: 2021 MEDIA AND CSO BRIEFING LAST FEB. 3, 2021"/>
    <m/>
    <n v="3760"/>
    <n v="-37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3"/>
    <d v="1899-12-31T00:00:00.000"/>
    <d v="1899-12-31T00:00:00.000"/>
    <s v="GAA-GAS(GMS)-MOOE-GOP"/>
    <n v="781"/>
    <s v="50299020 00"/>
    <s v="Printing and Binding Expenses"/>
    <x v="13"/>
    <s v="MSSU"/>
    <s v="HI-5 SIGNAGES FABRICATOR"/>
    <s v="TARPAULIN PRINTING RE: 2021 MEDIA AND CSO BRIEFING LAST FEB. 3, 2021"/>
    <m/>
    <n v="800"/>
    <n v="-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4"/>
    <d v="1899-12-31T00:00:00.000"/>
    <d v="1899-12-31T00:00:00.000"/>
    <s v="GAA-GAS(GMS)-MOOE-GOP"/>
    <n v="783"/>
    <s v="50299030 00"/>
    <s v="Representation Expenses"/>
    <x v="23"/>
    <s v="MSSU"/>
    <s v="ALMONT INLAND RESORT"/>
    <s v="MEALS AND VENUE RE: 2021 MEDIA AND CSO BRIEFING LAST FEB. 3, 2021"/>
    <m/>
    <n v="300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GAS(GMS)-PS-GOP"/>
    <n v="715"/>
    <s v="50102040 01"/>
    <s v="Clothing/Uniform Allowance - Civilian"/>
    <x v="50"/>
    <n v="1"/>
    <s v="LBP F/O DTI-RO"/>
    <s v="CY 2021 CLOTHING ALLOWANCE"/>
    <m/>
    <n v="114000"/>
    <n v="-11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OO1-PS-GOP"/>
    <n v="715"/>
    <s v="50102040 01"/>
    <s v="Clothing/Uniform Allowance - Civilian"/>
    <x v="50"/>
    <n v="1"/>
    <s v="LBP F/O DTI-RO"/>
    <s v="CY 2021 CLOTHING ALLOWANCE"/>
    <m/>
    <n v="12000"/>
    <n v="-1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6T00:00:00.000"/>
    <s v="21-3"/>
    <s v="255"/>
    <d v="1899-12-31T00:00:00.000"/>
    <d v="1899-12-31T00:00:00.000"/>
    <s v="GAA-OO2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6T00:00:00.000"/>
    <s v="21-3"/>
    <s v="255"/>
    <d v="1899-12-31T00:00:00.000"/>
    <d v="1899-12-31T00:00:00.000"/>
    <s v="GAA-OO3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55"/>
    <d v="1899-12-31T00:00:00.000"/>
    <d v="1899-12-31T00:00:00.000"/>
    <s v="GAA-OO4.1(FTL)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6T00:00:00.000"/>
    <s v="21-3"/>
    <s v="256"/>
    <d v="1899-12-31T00:00:00.000"/>
    <d v="1899-12-31T00:00:00.000"/>
    <s v="GAA-GAS(GMS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6"/>
    <d v="1899-12-31T00:00:00.000"/>
    <d v="1899-12-31T00:00:00.000"/>
    <s v="GAA-OO1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6"/>
    <d v="1899-12-31T00:00:00.000"/>
    <d v="1899-12-31T00:00:00.000"/>
    <s v="GAA-OO2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6"/>
    <d v="1899-12-31T00:00:00.000"/>
    <d v="1899-12-31T00:00:00.000"/>
    <s v="GAA-OO3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6"/>
    <d v="1899-12-31T00:00:00.000"/>
    <d v="1899-12-31T00:00:00.000"/>
    <s v="GAA-OO4.1(FTL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6"/>
    <d v="1899-12-31T00:00:00.000"/>
    <d v="1899-12-31T00:00:00.000"/>
    <s v="GAA-OO4.1(Acc)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6"/>
    <s v="GOP"/>
    <s v="PS"/>
    <n v="5010000000"/>
    <s v="340100100003000"/>
    <s v="Accreditation and Issuance of Business Licenses, Permits, registration and authorities"/>
    <m/>
  </r>
  <r>
    <x v="0"/>
    <x v="3"/>
    <d v="2021-03-16T00:00:00.000"/>
    <s v="21-3"/>
    <s v="257"/>
    <d v="1899-12-31T00:00:00.000"/>
    <d v="1899-12-31T00:00:00.000"/>
    <s v="GAA-GAS(GMS)-PS-GOP"/>
    <n v="715"/>
    <s v="50102040 01"/>
    <s v="Clothing/Uniform Allowance - Civilian"/>
    <x v="50"/>
    <n v="3"/>
    <s v="LBP F/O DTI-ADS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7"/>
    <d v="1899-12-31T00:00:00.000"/>
    <d v="1899-12-31T00:00:00.000"/>
    <s v="GAA-OO1-PS-GOP"/>
    <n v="715"/>
    <s v="50102040 01"/>
    <s v="Clothing/Uniform Allowance - Civilian"/>
    <x v="50"/>
    <n v="3"/>
    <s v="LBP F/O DTI-A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7"/>
    <d v="1899-12-31T00:00:00.000"/>
    <d v="1899-12-31T00:00:00.000"/>
    <s v="GAA-OO3-PS-GOP"/>
    <n v="715"/>
    <s v="50102040 01"/>
    <s v="Clothing/Uniform Allowance - Civilian"/>
    <x v="50"/>
    <n v="3"/>
    <s v="LBP F/O DTI-ADS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7"/>
    <d v="1899-12-31T00:00:00.000"/>
    <d v="1899-12-31T00:00:00.000"/>
    <s v="GAA-OO4.1(FTL)-PS-GOP"/>
    <n v="715"/>
    <s v="50102040 01"/>
    <s v="Clothing/Uniform Allowance - Civilian"/>
    <x v="50"/>
    <n v="3"/>
    <s v="LBP F/O DTI-ADS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8"/>
    <d v="1899-12-31T00:00:00.000"/>
    <d v="1899-12-31T00:00:00.000"/>
    <s v="GAA-GAS(GMS)-PS-GOP"/>
    <n v="715"/>
    <s v="50102040 01"/>
    <s v="Clothing/Uniform Allowance - Civilian"/>
    <x v="50"/>
    <n v="68"/>
    <s v="LBP F/O DTI-SDN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8"/>
    <d v="1899-12-31T00:00:00.000"/>
    <d v="1899-12-31T00:00:00.000"/>
    <s v="GAA-OO1-PS-GOP"/>
    <n v="715"/>
    <s v="50102040 01"/>
    <s v="Clothing/Uniform Allowance - Civilian"/>
    <x v="50"/>
    <n v="68"/>
    <s v="LBP F/O DTI-SDN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8"/>
    <d v="1899-12-31T00:00:00.000"/>
    <d v="1899-12-31T00:00:00.000"/>
    <s v="GAA-OO3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8"/>
    <d v="1899-12-31T00:00:00.000"/>
    <d v="1899-12-31T00:00:00.000"/>
    <s v="GAA-OO4.1(FTL)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9"/>
    <d v="1899-12-31T00:00:00.000"/>
    <d v="1899-12-31T00:00:00.000"/>
    <s v="GAA-GAS(GMS)-PS-GOP"/>
    <n v="715"/>
    <s v="50102040 01"/>
    <s v="Clothing/Uniform Allowance - Civilian"/>
    <x v="50"/>
    <n v="67"/>
    <s v="LBP F/O DTI-SDS"/>
    <s v="CY 2021 CLOTHING ALLOWANCE"/>
    <m/>
    <n v="18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9"/>
    <d v="1899-12-31T00:00:00.000"/>
    <d v="1899-12-31T00:00:00.000"/>
    <s v="GAA-OO1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9"/>
    <d v="1899-12-31T00:00:00.000"/>
    <d v="1899-12-31T00:00:00.000"/>
    <s v="GAA-OO2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9"/>
    <d v="1899-12-31T00:00:00.000"/>
    <d v="1899-12-31T00:00:00.000"/>
    <s v="GAA-OO3-PS-GOP"/>
    <n v="715"/>
    <s v="50102040 01"/>
    <s v="Clothing/Uniform Allowance - Civilian"/>
    <x v="50"/>
    <n v="67"/>
    <s v="LBP F/O DTI-SDS"/>
    <s v="CY 2021 CLOTHING ALLOWANCE"/>
    <m/>
    <n v="36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9"/>
    <d v="1899-12-31T00:00:00.000"/>
    <d v="1899-12-31T00:00:00.000"/>
    <s v="GAA-OO4.1(FTL)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60"/>
    <d v="1899-12-31T00:00:00.000"/>
    <d v="1899-12-31T00:00:00.000"/>
    <s v="GAA-GAS(GMS)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60"/>
    <d v="1899-12-31T00:00:00.000"/>
    <d v="1899-12-31T00:00:00.000"/>
    <s v="GAA-OO1-PS-GOP"/>
    <n v="715"/>
    <s v="50102040 01"/>
    <s v="Clothing/Uniform Allowance - Civilian"/>
    <x v="50"/>
    <n v="85"/>
    <s v="LBP F/O DTI-PDI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60"/>
    <d v="1899-12-31T00:00:00.000"/>
    <d v="1899-12-31T00:00:00.000"/>
    <s v="GAA-OO2-PS-GOP"/>
    <n v="715"/>
    <s v="50102040 01"/>
    <s v="Clothing/Uniform Allowance - Civilian"/>
    <x v="50"/>
    <n v="85"/>
    <s v="LBP F/O DTI-PDI"/>
    <s v="CY 2021 CLOTHING ALLOWANCE"/>
    <m/>
    <n v="18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60"/>
    <d v="1899-12-31T00:00:00.000"/>
    <d v="1899-12-31T00:00:00.000"/>
    <s v="GAA-OO3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6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054687 FOR JAN. 13-FEB.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2"/>
    <d v="1899-12-31T00:00:00.000"/>
    <d v="1899-12-31T00:00:00.000"/>
    <s v="GAA-LSP-PBG-MOOE-GOP"/>
    <n v="783"/>
    <s v="50299030 00"/>
    <s v="Representation Expenses"/>
    <x v="23"/>
    <s v="LSP NSB"/>
    <s v="PRINCE WAREHOUSE CLUB, INC."/>
    <s v="LIVELIHOOD KITS FOR AFFECTED MSME'S BY TS AURING IN TANDAG SDS"/>
    <m/>
    <n v="976560"/>
    <n v="-97656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63"/>
    <d v="1899-12-31T00:00:00.000"/>
    <d v="1899-12-31T00:00:00.000"/>
    <s v="GAA-OO2-MOOE-GOP"/>
    <n v="761"/>
    <s v="50203090 00"/>
    <s v="Fuel, Oil and Lubricants Expenses"/>
    <x v="22"/>
    <s v="RAPID"/>
    <s v="RALPH O. GORGONIO"/>
    <s v="FUEL CONSUMPTION RE: PICK UP DTI CARAGA MV (RAPID) IN CDO"/>
    <m/>
    <n v="2000"/>
    <n v="-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64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N STAFF FOR MARCH 1-15, 2021"/>
    <m/>
    <n v="70905.22"/>
    <n v="-70905.2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5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RCU STAFF FOR MARCH 1-15, 2021"/>
    <m/>
    <n v="82098.38"/>
    <n v="-2400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6"/>
    <d v="1899-12-31T00:00:00.000"/>
    <d v="1899-12-31T00:00:00.000"/>
    <s v="GAA-GAS(GMS)-MOOE-GOP"/>
    <n v="753"/>
    <s v="50202010 00"/>
    <s v="Training Expenses"/>
    <x v="33"/>
    <s v="HR"/>
    <s v="CSC TRAINING FUND"/>
    <s v="REG FEE FOR ONLINE COURSE ON BASIC CUSTOMER SERVICE SKILLS (BCSS) ON MAY 2021"/>
    <m/>
    <n v="9600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7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MARCH 2021"/>
    <m/>
    <n v="10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8"/>
    <d v="1899-12-31T00:00:00.000"/>
    <d v="1899-12-31T00:00:00.000"/>
    <s v="GAA-SSF-MOOE-GOP"/>
    <n v="799"/>
    <s v="50211990 00"/>
    <s v="Other Professional Services"/>
    <x v="15"/>
    <s v="SSF"/>
    <s v="FEVI SILVOSA"/>
    <s v="JO FOR THE PERIOD MARCH 1-15"/>
    <m/>
    <n v="10000"/>
    <n v="-18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69"/>
    <d v="1899-12-31T00:00:00.000"/>
    <d v="1899-12-31T00:00:00.000"/>
    <s v="GAA-OO2-MOOE-GOP"/>
    <n v="755"/>
    <s v="50203010 00"/>
    <s v="Office Supplies Expenses"/>
    <x v="11"/>
    <s v="IDD"/>
    <s v="JMN MULTIMEDIA SALES AND SERVICES"/>
    <s v="COMPUTER ACCESORIES FOR IDD USE"/>
    <m/>
    <n v="632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0"/>
    <d v="1899-12-31T00:00:00.000"/>
    <d v="1899-12-31T00:00:00.000"/>
    <s v="GAA-OO2-MOOE-GOP"/>
    <n v="755"/>
    <s v="50203010 00"/>
    <s v="Office Supplies Expenses"/>
    <x v="11"/>
    <s v="IDD"/>
    <s v="MID-TOWN COMPUTERS AND SERVICES"/>
    <s v="COMPUTER ACCESORIES FOR IDD USE"/>
    <m/>
    <n v="28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54627 - 37487363 FOR OCT. 13-DEC. 12, 2020"/>
    <m/>
    <n v="5390.81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2"/>
    <d v="1899-12-31T00:00:00.000"/>
    <d v="1899-12-31T00:00:00.000"/>
    <s v="GAA-OO2-MOOE-GOP"/>
    <n v="755"/>
    <s v="50203010 00"/>
    <s v="Office Supplies Expenses"/>
    <x v="11"/>
    <s v="IDD"/>
    <s v="COMPAÑERO COMMERCIAL"/>
    <s v="OFFICE SUPPLIES FOR IDD USE - 1ST QUARTER"/>
    <m/>
    <n v="136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-15, 2021"/>
    <m/>
    <n v="5534"/>
    <n v="-12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7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-15, 2021"/>
    <m/>
    <n v="5534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-15, 2021"/>
    <m/>
    <n v="16188.91"/>
    <n v="-2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-15, 2021"/>
    <m/>
    <n v="13112.59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4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-15, 2021"/>
    <m/>
    <n v="92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-15, 2021"/>
    <m/>
    <n v="31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FUEL CONSUMPTION FOR FEB. 2021"/>
    <m/>
    <n v="5585.05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NC-MOOE-GOP"/>
    <n v="761"/>
    <s v="50203090 00"/>
    <s v="Fuel, Oil and Lubricants Expenses"/>
    <x v="22"/>
    <s v="NC"/>
    <s v="JWL SOURCING GROUP, INC."/>
    <s v="FUEL CONSUMPTION FOR FEB. 2021"/>
    <m/>
    <n v="5448.23"/>
    <n v="-6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6T00:00:00.000"/>
    <s v="21-3"/>
    <s v="275"/>
    <d v="1899-12-31T00:00:00.000"/>
    <d v="1899-12-31T00:00:00.000"/>
    <s v="GAA-OO2-MOOE-GOP"/>
    <n v="761"/>
    <s v="50203090 00"/>
    <s v="Fuel, Oil and Lubricants Expenses"/>
    <x v="22"/>
    <s v="IDD"/>
    <s v="JWL SOURCING GROUP, INC."/>
    <s v="FUEL CONSUMPTION FOR FEB. 2021"/>
    <m/>
    <n v="1373.55"/>
    <n v="-6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5"/>
    <d v="1899-12-31T00:00:00.000"/>
    <d v="1899-12-31T00:00:00.000"/>
    <s v="GAA-OO4.1(FTL)-MOOE-GOP"/>
    <n v="761"/>
    <s v="50203090 00"/>
    <s v="Fuel, Oil and Lubricants Expenses"/>
    <x v="22"/>
    <s v="CPD"/>
    <s v="JWL SOURCING GROUP, INC."/>
    <s v="FUEL CONSUMPTION FOR FEB. 2021"/>
    <m/>
    <n v="511.22"/>
    <n v="-36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FUEL CONSUMPTION FOR FEB. 2021"/>
    <m/>
    <n v="5503.08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6"/>
    <d v="1899-12-31T00:00:00.000"/>
    <d v="1899-12-31T00:00:00.000"/>
    <s v="GAA-GAS(GMS)-MOOE-GOP"/>
    <n v="781"/>
    <s v="50299020 00"/>
    <s v="Printing and Binding Expenses"/>
    <x v="13"/>
    <s v="FAD"/>
    <s v="HI-5 SIGNAGES FABRICATOR"/>
    <s v="PRINTING SERVICES RE: DSWD AND POPCOM RELATED ACTIVITIES"/>
    <m/>
    <n v="92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7"/>
    <d v="1899-12-31T00:00:00.000"/>
    <d v="1899-12-31T00:00:00.000"/>
    <s v="GAA-GAS(GMS)-MOOE-GOP"/>
    <n v="783"/>
    <s v="50299030 00"/>
    <s v="Representation Expenses"/>
    <x v="23"/>
    <s v="GAD"/>
    <s v="CREATE FOOD INC."/>
    <s v="TOKENS RE: WOMEN HONOREES/ENTREPRENEURS"/>
    <m/>
    <n v="2486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8"/>
    <d v="1899-12-31T00:00:00.000"/>
    <d v="1899-12-31T00:00:00.000"/>
    <s v="GAA-OO3-MOOE-GOP"/>
    <n v="773"/>
    <s v="50205020 01"/>
    <s v="Telephone Expenses - Mobile "/>
    <x v="19"/>
    <s v="SDD"/>
    <s v="GLOBE TELECOM, INC."/>
    <s v="PAYMENT FOR POST PAID PLAN SUBSCRIPTION, 09178656567, FOR SDD USE FOR FEB 2021"/>
    <m/>
    <n v="1200"/>
    <n v="-18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5534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0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MARCH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16T00:00:00.000"/>
    <s v="21-3"/>
    <s v="280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MARCH 1-15, 2021"/>
    <m/>
    <n v="10143.64"/>
    <n v="-10143.6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81"/>
    <d v="1899-12-31T00:00:00.000"/>
    <d v="1899-12-31T00:00:00.000"/>
    <s v="GAA-OO4.1(Acc)-MOOE-GOP"/>
    <n v="773"/>
    <s v="50205020 01"/>
    <s v="Telephone Expenses - Mobile "/>
    <x v="19"/>
    <s v="CPD"/>
    <s v="GLOBE TELECOM, INC."/>
    <s v="PAYMENT FOR POST PAID PLAN SUBSCRIPTION, 09177036798, FOR CPD USE FOR FEB 2021"/>
    <m/>
    <n v="1200"/>
    <n v="-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82"/>
    <d v="1899-12-31T00:00:00.000"/>
    <d v="1899-12-31T00:00:00.000"/>
    <s v="GAA-OO2-MOOE-GOP"/>
    <n v="783"/>
    <s v="50299030 00"/>
    <s v="Representation Expenses"/>
    <x v="23"/>
    <s v="RAPID"/>
    <s v="MARSON JAN S. DOLENDO"/>
    <s v="REIM FOR CASH GIFT OF REV. ORBUS RE: RAPID MV BLESSINGS"/>
    <m/>
    <n v="1500"/>
    <n v="-1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83"/>
    <d v="1899-12-31T00:00:00.000"/>
    <d v="1899-12-31T00:00:00.000"/>
    <s v="GAA-GAS(GMS)-MOOE-GOP"/>
    <n v="783"/>
    <s v="50299030 00"/>
    <s v="Representation Expenses"/>
    <x v="23"/>
    <s v="GAD"/>
    <s v="JASMIN B. FAELNAR"/>
    <s v="REIM FOR FLOWERS FOR SUCCESSFUL WOMAN ENTREP"/>
    <m/>
    <n v="350"/>
    <n v="-3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4"/>
    <d v="1899-12-31T00:00:00.000"/>
    <d v="1899-12-31T00:00:00.000"/>
    <s v="GAA-GAS(GMS)-MOOE-GOP"/>
    <n v="783"/>
    <s v="50299030 00"/>
    <s v="Representation Expenses"/>
    <x v="23"/>
    <s v="GAD"/>
    <s v="HI-5 SIGNAGES FABRICATOR"/>
    <s v="PAYMENT FOR PLAQUES FOR WOMAN ENTREP RE: 2021 WOMENS SUMMIT"/>
    <m/>
    <n v="3800"/>
    <n v="-3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5"/>
    <d v="1899-12-31T00:00:00.000"/>
    <d v="1899-12-31T00:00:00.000"/>
    <s v="GAA-GAS(GMS)-MOOE-GOP"/>
    <n v="783"/>
    <s v="50299030 00"/>
    <s v="Representation Expenses"/>
    <x v="23"/>
    <s v="GAD"/>
    <s v="TRUE BREW GOURMET COFFEE SHOP"/>
    <s v="MEALS RE: 2021 WOMEN'S MONTH SUMMIT "/>
    <m/>
    <n v="31800"/>
    <n v="-31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6"/>
    <d v="1899-12-31T00:00:00.000"/>
    <d v="1899-12-31T00:00:00.000"/>
    <s v="GAA-GAS(GMS)-MOOE-GOP"/>
    <n v="781"/>
    <s v="50299020 00"/>
    <s v="Printing and Binding Expenses"/>
    <x v="13"/>
    <s v="GAD"/>
    <s v="HI-5 SIGNAGES FABRICATOR"/>
    <s v="PRINTING SERVICES RE: NATIONAL WOMENS MONTH CELEBRATION"/>
    <m/>
    <n v="480"/>
    <n v="-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7"/>
    <d v="1899-12-31T00:00:00.000"/>
    <d v="1899-12-31T00:00:00.000"/>
    <s v="SAA15-CARP-706-GOP"/>
    <n v="715"/>
    <s v="50102040 01"/>
    <s v="Clothing/Uniform Allowance - Civilian"/>
    <x v="50"/>
    <s v="CARP"/>
    <s v="LBP F/O CARP EMPLOYEES"/>
    <s v="2021 CLOTHING ALLOWANCE"/>
    <m/>
    <n v="48000"/>
    <n v="-48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6T00:00:00.000"/>
    <s v="21-3"/>
    <s v="288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S STAFF FOR MARCH 1-15, 2021"/>
    <m/>
    <n v="45808.9"/>
    <n v="-45808.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89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SDS STAFF FOR MARCH 1-15, 2021"/>
    <m/>
    <n v="41497.27"/>
    <n v="-41497.2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4T00:00:00.000"/>
    <s v="21-3"/>
    <s v="290"/>
    <d v="1899-12-31T00:00:00.000"/>
    <d v="1899-12-31T00:00:00.000"/>
    <s v="GAA-NC-CO-GOP"/>
    <s v="223 co"/>
    <s v="50604050 03"/>
    <s v="ICT Equipment"/>
    <x v="24"/>
    <s v="NC"/>
    <s v="COLUMBIA COMPUTER CENTER, INC."/>
    <s v="PAYMENT OF DESKTOP COMPUTER FOR ORD USE"/>
    <m/>
    <n v="76000"/>
    <n v="-76000"/>
    <x v="2"/>
    <s v="GAA"/>
    <s v="FY2021, RA11518"/>
    <x v="8"/>
    <s v="01101101"/>
    <s v="GOP"/>
    <s v="CO"/>
    <n v="5060000000"/>
    <s v="330100200001000"/>
    <s v="Establishment of Negosyo Centers"/>
  </r>
  <r>
    <x v="0"/>
    <x v="3"/>
    <d v="2021-03-24T00:00:00.000"/>
    <s v="21-3"/>
    <s v="291"/>
    <d v="1899-12-31T00:00:00.000"/>
    <d v="1899-12-31T00:00:00.000"/>
    <s v="GAA-GAS(GMS)-MOOE-GOP"/>
    <n v="755"/>
    <s v="50203010 00"/>
    <s v="Office Supplies Expenses"/>
    <x v="11"/>
    <n v="1"/>
    <s v="RALPH O. GORGONIO"/>
    <s v="REIM FOR JANITORIAL SUPPLIES"/>
    <m/>
    <n v="2130"/>
    <n v="-21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2"/>
    <d v="1899-12-31T00:00:00.000"/>
    <d v="1899-12-31T00:00:00.000"/>
    <s v="GAA-GAS(GMS)-MOOE-GOP"/>
    <n v="892"/>
    <s v="50215020 00"/>
    <s v="Fidelity Bond Premiums"/>
    <x v="18"/>
    <n v="1"/>
    <s v="BUREAU OF TREASURY"/>
    <s v="BOND PREMIUM - RENEWAL OF APPLICATION FOR ACCOUNTABLE OFFICERS - MJSD"/>
    <m/>
    <n v="5175"/>
    <n v="-51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3"/>
    <d v="1899-12-31T00:00:00.000"/>
    <d v="1899-12-31T00:00:00.000"/>
    <s v="GAA-OO4.1(FTL)-MOOE-GOP"/>
    <n v="755"/>
    <s v="50203010 00"/>
    <s v="Office Supplies Expenses"/>
    <x v="11"/>
    <s v="CPD "/>
    <s v="LORIJANE D. SACOTE"/>
    <s v="CA FOR THE CONDUCT OF FTL ENFORCEMENT AND MONITORING IN ADS ON APRIL 6-7, 2021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3"/>
    <d v="1899-12-31T00:00:00.000"/>
    <d v="1899-12-31T00:00:00.000"/>
    <s v="GAA-OO4.1(FTL)-MOOE-GOP"/>
    <n v="783"/>
    <s v="50299030 00"/>
    <s v="Representation Expenses"/>
    <x v="23"/>
    <s v="CPD "/>
    <s v="LORIJANE D. SACOTE"/>
    <s v="CA FOR THE CONDUCT OF FTL ENFORCEMENT AND MONITORING IN ADS ON APRIL 6-7, 2021"/>
    <m/>
    <n v="3000"/>
    <n v="-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4"/>
    <d v="1899-12-31T00:00:00.000"/>
    <d v="1899-12-31T00:00:00.000"/>
    <s v="GAA-OO3-MOOE-GOP"/>
    <n v="773"/>
    <s v="50205020 01"/>
    <s v="Telephone Expenses - Mobile "/>
    <x v="19"/>
    <s v="SDD"/>
    <s v="JMN MULTIMEDIA SALES AND SERVICES"/>
    <s v="LOAD ALLOWANCE FOR SDD USE-1ST QUARTER OF 2021"/>
    <m/>
    <n v="2688"/>
    <n v="-268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5"/>
    <d v="1899-12-31T00:00:00.000"/>
    <d v="1899-12-31T00:00:00.000"/>
    <s v="GAA-OO2-MOOE-GOP"/>
    <n v="755"/>
    <s v="50203010 00"/>
    <s v="Office Supplies Expenses"/>
    <x v="11"/>
    <s v="IDD"/>
    <s v="NEW ARISTOCRAT ENTERPRISES, INC."/>
    <s v="OFFICE SUPPLIES - GLASS BOARD FOR IDD USE"/>
    <m/>
    <n v="2500"/>
    <n v="-2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6"/>
    <d v="1899-12-31T00:00:00.000"/>
    <d v="1899-12-31T00:00:00.000"/>
    <s v="GAA-OO4.1(Acc)-MOOE-GOP"/>
    <n v="781"/>
    <s v="50299020 00"/>
    <s v="Printing and Binding Expenses"/>
    <x v="13"/>
    <s v="CPD"/>
    <s v="HI-5 SIGNAGES FABRICATOR"/>
    <s v="TARPAULIN PRINTING RE: 2021  WORLD CONSUMER RIGHTS DAY"/>
    <m/>
    <n v="640"/>
    <n v="-64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4T00:00:00.000"/>
    <s v="21-3"/>
    <s v="297"/>
    <d v="1899-12-31T00:00:00.000"/>
    <d v="1899-12-31T00:00:00.000"/>
    <s v="GAA-GAS(GMS)-MOOE-GOP"/>
    <n v="841"/>
    <s v="50213060 01"/>
    <s v="Motor Vehicles"/>
    <x v="41"/>
    <n v="1"/>
    <s v="JT AUTO SHOP"/>
    <s v="REPAIR AND MAINTENANCE OF MOTOR VEHICLE - INNOVA"/>
    <m/>
    <n v="11180"/>
    <n v="-11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7"/>
    <d v="1899-12-31T00:00:00.000"/>
    <d v="1899-12-31T00:00:00.000"/>
    <s v="GAA-OO2-MOOE-GOP"/>
    <n v="841"/>
    <s v="50213060 01"/>
    <s v="Motor Vehicles"/>
    <x v="41"/>
    <n v="1"/>
    <s v="JT AUTO SHOP"/>
    <s v="REPAIR AND MAINTENANCE OF MOTOR VEHICLE - INNOVA"/>
    <m/>
    <n v="22000"/>
    <n v="-2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8"/>
    <d v="1899-12-31T00:00:00.000"/>
    <d v="1899-12-31T00:00:00.000"/>
    <s v="GAA-GAS(GMS)-MOOE-GOP"/>
    <n v="755"/>
    <s v="50203010 00"/>
    <s v="Office Supplies Expenses"/>
    <x v="11"/>
    <s v="FAD"/>
    <s v="ARLEEN P. PAHAMTANG"/>
    <s v="PETTY CASH FUND REPLENISHMENT - MARCH 3-22, 2021"/>
    <m/>
    <n v="750.85"/>
    <n v="-750.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4"/>
    <s v="50299040 00"/>
    <s v="Transportation and Delivery Expenses"/>
    <x v="29"/>
    <s v="FAD"/>
    <s v="ARLEEN P. PAHAMTANG"/>
    <s v="PETTY CASH FUND REPLENISHMENT - MARCH 3-22, 2021"/>
    <m/>
    <n v="450"/>
    <n v="-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1"/>
    <s v="50299020 00"/>
    <s v="Printing and Binding Expenses"/>
    <x v="13"/>
    <s v="FAD"/>
    <s v="ARLEEN P. PAHAMTANG"/>
    <s v="PETTY CASH FUND REPLENISHMENT - MARCH 3-22, 2021"/>
    <m/>
    <n v="205"/>
    <n v="-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5"/>
    <s v="50212990 00"/>
    <s v="Other General Services"/>
    <x v="14"/>
    <s v="FAD"/>
    <s v="ARLEEN P. PAHAMTANG"/>
    <s v="PETTY CASH FUND REPLENISHMENT - MARCH 3-22, 2021"/>
    <m/>
    <n v="2550"/>
    <n v="-25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9"/>
    <s v="50211990 00"/>
    <s v="Other Professional Services"/>
    <x v="15"/>
    <s v="FAD"/>
    <s v="ARLEEN P. PAHAMTANG"/>
    <s v="PETTY CASH FUND REPLENISHMENT - MARCH 3-22, 2021"/>
    <m/>
    <n v="400"/>
    <n v="-4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MAR-MAY 2021"/>
    <m/>
    <n v="16185"/>
    <n v="-161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MAR-MAY 2021"/>
    <m/>
    <n v="12764.99"/>
    <n v="-12764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6"/>
    <s v="50204010 00"/>
    <s v="Water Expenses"/>
    <x v="25"/>
    <n v="2"/>
    <s v="PD, DTI-ADN"/>
    <s v="ADVANCES TO REGULAR MOOE FOR MAR-MAY 2021"/>
    <m/>
    <n v="7096.5"/>
    <n v="-7096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MAR-MAY 2021"/>
    <m/>
    <n v="64117.5"/>
    <n v="-6411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MAR-MAY 2021"/>
    <m/>
    <n v="1143.41"/>
    <n v="-1143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MAR-MAY 2021"/>
    <m/>
    <n v="10458"/>
    <n v="-104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MAR-MAY 2021"/>
    <m/>
    <n v="809.25"/>
    <n v="-809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1"/>
    <s v="50211010 00"/>
    <s v="Legal Services"/>
    <x v="37"/>
    <n v="2"/>
    <s v="PD, DTI-A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MAR-MAY 2021"/>
    <m/>
    <n v="254248.09"/>
    <n v="-254248.0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3-MOOE-GOP"/>
    <n v="821"/>
    <s v="50213050 02"/>
    <s v="Office Equipment"/>
    <x v="38"/>
    <n v="2"/>
    <s v="PD, DTI-A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9"/>
    <d v="1899-12-31T00:00:00.000"/>
    <d v="1899-12-31T00:00:00.000"/>
    <s v="GAA-OO2-MOOE-GOP"/>
    <n v="823"/>
    <s v="50213050 03"/>
    <s v="ICT Equipment"/>
    <x v="39"/>
    <n v="2"/>
    <s v="PD, DTI-A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841"/>
    <s v="50213060 01"/>
    <s v="Motor Vehicles"/>
    <x v="41"/>
    <n v="2"/>
    <s v="PD, DTI-A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MAR-MAY 2021"/>
    <m/>
    <n v="2864.28"/>
    <n v="-2864.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MAR-MAY 2021"/>
    <m/>
    <n v="7215.47"/>
    <n v="-7215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MAR-MAY 2021"/>
    <m/>
    <n v="331287.87"/>
    <n v="-33128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MAR-MAY 2021"/>
    <m/>
    <n v="2282.5"/>
    <n v="-228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MAR-MAY 2021"/>
    <m/>
    <n v="5312"/>
    <n v="-531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MAR-MAY 2021"/>
    <m/>
    <n v="12948"/>
    <n v="-1294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6"/>
    <s v="50204010 00"/>
    <s v="Water Expenses"/>
    <x v="25"/>
    <n v="3"/>
    <s v="OIC, DTI-ADS"/>
    <s v="ADVANCES TO REGULAR MOOE FOR MAR-MAY 2021"/>
    <m/>
    <n v="3237"/>
    <n v="-323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MAR-MAY 2021"/>
    <m/>
    <n v="57270"/>
    <n v="-572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1"/>
    <s v="50211010 00"/>
    <s v="Legal Services"/>
    <x v="37"/>
    <n v="3"/>
    <s v="OIC, DTI-ADS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MAR-MAY 2021"/>
    <m/>
    <n v="20770.75"/>
    <n v="-20770.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MAR-MAY 2021"/>
    <m/>
    <n v="100174.36"/>
    <n v="-100174.3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820"/>
    <s v="50213040 01"/>
    <s v="Buildings"/>
    <x v="44"/>
    <n v="3"/>
    <s v="OIC, DTI-ADS"/>
    <s v="ADVANCES TO REGULAR MOOE FOR MAR-MAY 2021"/>
    <m/>
    <n v="59711.86"/>
    <n v="-59711.86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3-MOOE-GOP"/>
    <n v="821"/>
    <s v="50213050 02"/>
    <s v="Office Equipment"/>
    <x v="38"/>
    <n v="3"/>
    <s v="OIC, DTI-A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0"/>
    <d v="1899-12-31T00:00:00.000"/>
    <d v="1899-12-31T00:00:00.000"/>
    <s v="GAA-OO2-MOOE-GOP"/>
    <n v="823"/>
    <s v="50213050 03"/>
    <s v="ICT Equipment"/>
    <x v="39"/>
    <n v="3"/>
    <s v="OIC, DTI-A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841"/>
    <s v="50213060 01"/>
    <s v="Motor Vehicles"/>
    <x v="41"/>
    <n v="3"/>
    <s v="OIC, DTI-ADS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MAR-MAY 2021"/>
    <m/>
    <n v="2697.5"/>
    <n v="-269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MAR-MAY 2021"/>
    <m/>
    <n v="5414.73"/>
    <n v="-5414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MAR-MAY 2021"/>
    <m/>
    <n v="1037.5"/>
    <n v="-1037.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MAR-MAY 2021"/>
    <m/>
    <n v="1867.5"/>
    <n v="-186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MAR-MAY 2021"/>
    <m/>
    <n v="10816.66"/>
    <n v="-10816.6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MAR-MAY 2021"/>
    <m/>
    <n v="2118.15"/>
    <n v="-2118.1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MAR-MAY 2021"/>
    <m/>
    <n v="47087.72"/>
    <n v="-47087.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MAR-MAY 2021"/>
    <m/>
    <n v="7586.8"/>
    <n v="-7586.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MAR-MAY 2021"/>
    <m/>
    <n v="21580"/>
    <n v="-215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MAR-MAY 2021"/>
    <m/>
    <n v="164374.86"/>
    <n v="-164374.8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820"/>
    <s v="50213040 01"/>
    <s v="Buildings"/>
    <x v="44"/>
    <n v="68"/>
    <s v="OIC, DTI-SDN"/>
    <s v="ADVANCES TO REGULAR MOOE FOR MAR-MAY 2021"/>
    <m/>
    <n v="24900"/>
    <n v="-249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3-MOOE-GOP"/>
    <n v="821"/>
    <s v="50213050 02"/>
    <s v="Office Equipment"/>
    <x v="38"/>
    <n v="68"/>
    <s v="OIC, DTI-S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1"/>
    <d v="1899-12-31T00:00:00.000"/>
    <d v="1899-12-31T00:00:00.000"/>
    <s v="GAA-OO2-MOOE-GOP"/>
    <n v="823"/>
    <s v="50213050 03"/>
    <s v="ICT Equipment"/>
    <x v="39"/>
    <n v="68"/>
    <s v="OIC, DTI-S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MAR-MAY 2021"/>
    <m/>
    <n v="1556.25"/>
    <n v="-155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MAR-MAY 2021"/>
    <m/>
    <n v="2085.38"/>
    <n v="-2085.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MAR-MAY 2021"/>
    <m/>
    <n v="128235"/>
    <n v="-1282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6"/>
    <s v="50204010 00"/>
    <s v="Water Expenses"/>
    <x v="25"/>
    <n v="67"/>
    <s v="PD, DTI-SDS"/>
    <s v="ADVANCES TO REGULAR MOOE FOR MAR-MAY 2021"/>
    <m/>
    <n v="1992"/>
    <n v="-19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MAR-MAY 2021"/>
    <m/>
    <n v="72625"/>
    <n v="-726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MAR-MAY 2021"/>
    <m/>
    <n v="12450"/>
    <n v="-12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MAR-MAY 2021"/>
    <m/>
    <n v="3735"/>
    <n v="-37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MAR-MAY 2021"/>
    <m/>
    <n v="2502.45"/>
    <n v="-2502.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1"/>
    <s v="50211010 00"/>
    <s v="Legal Services"/>
    <x v="37"/>
    <n v="67"/>
    <s v="PD, DTI-SDS"/>
    <s v="ADVANCES TO REGULAR MOOE FOR MAR-MAY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MAR-MAY 2021"/>
    <m/>
    <n v="41541.5"/>
    <n v="-4154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MAR-MAY 2021"/>
    <m/>
    <n v="167342.11"/>
    <n v="-167342.1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2"/>
    <d v="1899-12-31T00:00:00.000"/>
    <d v="1899-12-31T00:00:00.000"/>
    <s v="GAA-OO3-MOOE-GOP"/>
    <n v="821"/>
    <s v="50213050 02"/>
    <s v="Office Equipment"/>
    <x v="38"/>
    <n v="67"/>
    <s v="PD, DTI-S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2"/>
    <d v="1899-12-31T00:00:00.000"/>
    <d v="1899-12-31T00:00:00.000"/>
    <s v="GAA-OO2-MOOE-GOP"/>
    <n v="823"/>
    <s v="50213050 03"/>
    <s v="ICT Equipment"/>
    <x v="39"/>
    <n v="67"/>
    <s v="PD, DTI-S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841"/>
    <s v="50213060 01"/>
    <s v="Motor Vehicles"/>
    <x v="41"/>
    <n v="67"/>
    <s v="PD, DTI-S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MAR-MAY 2021"/>
    <m/>
    <n v="123670"/>
    <n v="-1236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MAR-MAY 2021"/>
    <m/>
    <n v="1494"/>
    <n v="-149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MAR-MAY 2021"/>
    <m/>
    <n v="11205"/>
    <n v="-11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6"/>
    <s v="50204010 00"/>
    <s v="Water Expenses"/>
    <x v="25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MAR-MAY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MAR-MAY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1"/>
    <s v="50211010 00"/>
    <s v="Legal Services"/>
    <x v="37"/>
    <n v="85"/>
    <s v="PD, DTI-PDI"/>
    <s v="ADVANCES TO REGULAR MOOE FOR MAR-MAY 2021"/>
    <m/>
    <n v="2386.25"/>
    <n v="-238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MAR-MAY 2021"/>
    <m/>
    <n v="23738"/>
    <n v="-237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MAR-MAY 2021"/>
    <m/>
    <n v="129846.86"/>
    <n v="-129846.86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3"/>
    <d v="1899-12-31T00:00:00.000"/>
    <d v="1899-12-31T00:00:00.000"/>
    <s v="GAA-OO3-MOOE-GOP"/>
    <n v="821"/>
    <s v="50213050 02"/>
    <s v="Office Equipment"/>
    <x v="38"/>
    <n v="85"/>
    <s v="PD, DTI-PDI"/>
    <s v="ADVANCES TO REGULAR MOOE FOR MAR-MAY 2021"/>
    <m/>
    <n v="10375"/>
    <n v="-1037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3"/>
    <d v="1899-12-31T00:00:00.000"/>
    <d v="1899-12-31T00:00:00.000"/>
    <s v="GAA-OO2-MOOE-GOP"/>
    <n v="823"/>
    <s v="50213050 03"/>
    <s v="ICT Equipment"/>
    <x v="39"/>
    <n v="85"/>
    <s v="PD, DTI-PDI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841"/>
    <s v="50213060 01"/>
    <s v="Motor Vehicles"/>
    <x v="41"/>
    <n v="85"/>
    <s v="PD, DTI-PDI"/>
    <s v="ADVANCES TO REGULAR MOOE FOR MAR-MAY 2021"/>
    <m/>
    <n v="31125"/>
    <n v="-311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MAR-MAY 2021"/>
    <m/>
    <n v="2619.69"/>
    <n v="-2619.6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MAR-MAY 2021"/>
    <m/>
    <n v="54780"/>
    <n v="-547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MAR-MAY 2021"/>
    <m/>
    <n v="4316"/>
    <n v="-431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MAR-MAY 2021"/>
    <m/>
    <n v="8300"/>
    <n v="-83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MAR-MAY 2021"/>
    <m/>
    <n v="8964"/>
    <n v="-896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4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JANUARY TO SEPT.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JANUARY TO SEPT. 2021"/>
    <m/>
    <n v="785004"/>
    <n v="-78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JANUARY TO SEPT.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JANUARY TO SEPT.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-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-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-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25T00:00:00.000"/>
    <s v="21-3"/>
    <s v="305"/>
    <d v="1899-12-31T00:00:00.000"/>
    <d v="1899-12-31T00:00:00.000"/>
    <s v="GAA-OO4.1(FTL)-MOOE-GOP"/>
    <n v="751"/>
    <s v="50201010 00"/>
    <s v="Traveling Expenses - Local"/>
    <x v="30"/>
    <s v="CPD MUST"/>
    <s v="PD, DTI-ADN"/>
    <s v="FT, CPD IMPLEMENTATION FOR 2ND AND 3RD QUARTER OF 2021 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53"/>
    <s v="50202010 00"/>
    <s v="Training Expenses"/>
    <x v="33"/>
    <s v="CPD MUST"/>
    <s v="PD, DTI-ADN"/>
    <s v="FT, CPD IMPLEMENTATION FOR 2ND AND 3RD QUARTER OF 2021 "/>
    <m/>
    <n v="23000"/>
    <n v="-2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99"/>
    <s v="50211990 00"/>
    <s v="Other Professional Services"/>
    <x v="15"/>
    <s v="CPD MUST"/>
    <s v="PD, DTI-ADN"/>
    <s v="FT, CPD IMPLEMENTATION FOR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Acc)-MOOE-GOP"/>
    <n v="751"/>
    <s v="50201010 00"/>
    <s v="Traveling Expenses - Local"/>
    <x v="30"/>
    <s v="CPD MUST"/>
    <s v="PD, DTI-ADN"/>
    <s v="FT, CPD IMPLEMENTATION FOR 2ND AND 3RD QUARTER OF 2021 "/>
    <m/>
    <n v="30000"/>
    <n v="-3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53"/>
    <s v="50202010 00"/>
    <s v="Training Expenses"/>
    <x v="33"/>
    <s v="CPD MUST"/>
    <s v="PD, DTI-ADN"/>
    <s v="FT, CPD IMPLEMENTATION FOR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83"/>
    <s v="50299030 00"/>
    <s v="Representation Expenses"/>
    <x v="23"/>
    <s v="CPD MUST"/>
    <s v="PD, DTI-ADN"/>
    <s v="FT, CPD IMPLEMENTATION FOR 2ND AND 3RD QUARTER OF 2021 "/>
    <m/>
    <n v="147500"/>
    <n v="-1475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 4.2-MOOE-GOP"/>
    <n v="751"/>
    <s v="50201010 00"/>
    <s v="Traveling Expenses - Local"/>
    <x v="30"/>
    <s v="CPD MUST"/>
    <s v="PD, DTI-ADN"/>
    <s v="FT, CPD IMPLEMENTATION FOR 2ND AND 3RD QUARTER OF 2021 "/>
    <m/>
    <n v="25000"/>
    <n v="-25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53"/>
    <s v="50202010 00"/>
    <s v="Training Expenses"/>
    <x v="3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83"/>
    <s v="50299030 00"/>
    <s v="Representation Expenses"/>
    <x v="2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4.1(FTL)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53"/>
    <s v="50202010 00"/>
    <s v="Training Expenses"/>
    <x v="33"/>
    <s v="CPD MUST"/>
    <s v="PD, DTI-SDN"/>
    <s v="FT, CPD IMPLEMENTATION FOR 1ST, 2ND AND 3RD QUARTER OF 2021 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99"/>
    <s v="50211990 00"/>
    <s v="Other Professional Services"/>
    <x v="15"/>
    <s v="CPD MUST"/>
    <s v="PD, DTI-SDN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Acc)-MOOE-GOP"/>
    <n v="751"/>
    <s v="50201010 00"/>
    <s v="Traveling Expenses - Local"/>
    <x v="30"/>
    <s v="CPD MUST"/>
    <s v="PD, DTI-SDN"/>
    <s v="FT, CPD IMPLEMENTATION FOR 1ST, 2ND AND 3RD QUARTER OF 2021 "/>
    <m/>
    <n v="25000"/>
    <n v="-2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53"/>
    <s v="50202010 00"/>
    <s v="Training Expenses"/>
    <x v="33"/>
    <s v="CPD MUST"/>
    <s v="PD, DTI-SDN"/>
    <s v="FT, CPD IMPLEMENTATION FOR 1ST, 2ND AND 3RD QUARTER OF 2021 "/>
    <m/>
    <n v="10000"/>
    <n v="-1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83"/>
    <s v="50299030 00"/>
    <s v="Representation Expenses"/>
    <x v="23"/>
    <s v="CPD MUST"/>
    <s v="PD, DTI-SDN"/>
    <s v="FT, CPD IMPLEMENTATION FOR 1ST, 2ND AND 3RD QUARTER OF 2021 "/>
    <m/>
    <n v="241200"/>
    <n v="-24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 4.2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53"/>
    <s v="50202010 00"/>
    <s v="Training Expenses"/>
    <x v="33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83"/>
    <s v="50299030 00"/>
    <s v="Representation Expenses"/>
    <x v="23"/>
    <s v="CPD MUST"/>
    <s v="PD, DTI-SDN"/>
    <s v="FT, CPD IMPLEMENTATION FOR 1ST, 2ND AND 3RD QUARTER OF 2021 "/>
    <m/>
    <n v="70000"/>
    <n v="-7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4.1(FTL)-MOOE-GOP"/>
    <n v="751"/>
    <s v="50201010 00"/>
    <s v="Traveling Expenses - Local"/>
    <x v="30"/>
    <s v="CPD MUST"/>
    <s v="OIC, DTI-PDI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99"/>
    <s v="50211990 00"/>
    <s v="Other Professional Services"/>
    <x v="15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Acc)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83"/>
    <s v="50299030 00"/>
    <s v="Representation Expenses"/>
    <x v="23"/>
    <s v="CPD MUST"/>
    <s v="OIC, DTI-PDI"/>
    <s v="FT, CPD IMPLEMENTATION FOR 1ST, 2ND AND 3RD QUARTER OF 2021 "/>
    <m/>
    <n v="80000"/>
    <n v="-8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 4.2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53"/>
    <s v="50202010 00"/>
    <s v="Training Expenses"/>
    <x v="33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83"/>
    <s v="50299030 00"/>
    <s v="Representation Expenses"/>
    <x v="23"/>
    <s v="CPD MUST"/>
    <s v="OIC, DTI-PDI"/>
    <s v="FT, CPD IMPLEMENTATION FOR 1ST,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8"/>
    <d v="1899-12-31T00:00:00.000"/>
    <d v="1899-12-31T00:00:00.000"/>
    <s v="GAA-SSF-MOOE-GOP"/>
    <n v="751"/>
    <s v="50201010 00"/>
    <s v="Traveling Expenses - Local"/>
    <x v="30"/>
    <s v="SSF"/>
    <s v="PD, DTI-ADN"/>
    <s v="FT, SSF MOOE - 1ST TO 3RD QUARTER OF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53"/>
    <s v="50202010 00"/>
    <s v="Training Expenses"/>
    <x v="33"/>
    <s v="SSF"/>
    <s v="PD, DTI-ADN"/>
    <s v="FT, SSF MOOE - 1ST TO 3RD QUARTER OF 2021"/>
    <m/>
    <n v="150000"/>
    <n v="-1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93"/>
    <s v="50211030 00"/>
    <s v="Consultancy Services"/>
    <x v="47"/>
    <s v="SSF"/>
    <s v="PD, DTI-ADN"/>
    <s v="FT, SSF MOOE - 1ST TO 3RD QUARTER OF 2021"/>
    <m/>
    <n v="60000"/>
    <n v="-6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83"/>
    <s v="50299030 00"/>
    <s v="Representation Expenses"/>
    <x v="23"/>
    <s v="SSF"/>
    <s v="PD, DTI-ADN"/>
    <s v="FT, SSF MOOE - 1ST TO 3RD QUARTER OF 2021"/>
    <m/>
    <n v="15000"/>
    <n v="-15000"/>
    <x v="1"/>
    <s v="GAA"/>
    <s v="FY2021, RA11518"/>
    <x v="10"/>
    <s v="01101101"/>
    <s v="GOP"/>
    <s v="MOOE"/>
    <n v="5020000000"/>
    <s v="330100200003000"/>
    <m/>
  </r>
  <r>
    <x v="0"/>
    <x v="3"/>
    <d v="2021-03-25T00:00:00.000"/>
    <s v="21-3"/>
    <s v="308"/>
    <d v="1899-12-31T00:00:00.000"/>
    <d v="1899-12-31T00:00:00.000"/>
    <s v="GAA-SSF-MOOE-GOP"/>
    <n v="840"/>
    <s v="50213050 99"/>
    <s v="Other Machinery and Equipment"/>
    <x v="28"/>
    <s v="SSF"/>
    <s v="PD, DTI-ADN"/>
    <s v="FT, SSF MOOE - 1ST TO 3RD QUARTER OF 2021"/>
    <m/>
    <n v="200000"/>
    <n v="-20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969"/>
    <s v="50299990 99"/>
    <s v="Other Maintenance and Operating Expenses"/>
    <x v="16"/>
    <s v="SSF"/>
    <s v="PD, DTI-ADN"/>
    <s v="FT, SSF MOOE - 1ST TO 3RD QUARTER OF 2021"/>
    <m/>
    <n v="20476.19"/>
    <n v="-20476.19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1"/>
    <s v="50201010 00"/>
    <s v="Traveling Expenses - Local"/>
    <x v="30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3"/>
    <s v="50202010 00"/>
    <s v="Training Expenses"/>
    <x v="33"/>
    <s v="SSF"/>
    <s v="OIC, DTI-ADS"/>
    <s v="FT, SSF MOOE - 1ST TO 3RD QUARTER OF 2021"/>
    <m/>
    <n v="120000"/>
    <n v="-1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93"/>
    <s v="50211030 00"/>
    <s v="Consultancy Services"/>
    <x v="47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840"/>
    <s v="50213050 99"/>
    <s v="Other Machinery and Equipment"/>
    <x v="28"/>
    <s v="SSF"/>
    <s v="OIC, DTI-ADS"/>
    <s v="FT, SSF MOOE - 1ST TO 3RD QUARTER OF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969"/>
    <s v="50299990 99"/>
    <s v="Other Maintenance and Operating Expenses"/>
    <x v="16"/>
    <s v="SSF"/>
    <s v="OIC, DTI-ADS"/>
    <s v="FT, SSF MOOE - 1ST TO 3RD QUARTER OF 2021"/>
    <m/>
    <n v="24121.43"/>
    <n v="-24121.4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1"/>
    <s v="50201010 00"/>
    <s v="Traveling Expenses - Local"/>
    <x v="30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3"/>
    <s v="50202010 00"/>
    <s v="Training Expenses"/>
    <x v="33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93"/>
    <s v="50211030 00"/>
    <s v="Consultancy Services"/>
    <x v="47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840"/>
    <s v="50213050 99"/>
    <s v="Other Machinery and Equipment"/>
    <x v="28"/>
    <s v="SSF"/>
    <s v="PD, DTI-SDN"/>
    <s v="FT, SSF MOOE - 1ST TO 3RD QUARTER OF 2021"/>
    <m/>
    <n v="67000"/>
    <n v="-6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969"/>
    <s v="50299990 99"/>
    <s v="Other Maintenance and Operating Expenses"/>
    <x v="16"/>
    <s v="SSF"/>
    <s v="PD, DTI-SDN"/>
    <s v="FT, SSF MOOE - 1ST TO 3RD QUARTER OF 2021"/>
    <m/>
    <n v="24007.14"/>
    <n v="-240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1"/>
    <s v="50201010 00"/>
    <s v="Traveling Expenses - Local"/>
    <x v="30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3"/>
    <s v="50202010 00"/>
    <s v="Training Expenses"/>
    <x v="33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93"/>
    <s v="50211030 00"/>
    <s v="Consultancy Services"/>
    <x v="47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840"/>
    <s v="50213050 99"/>
    <s v="Other Machinery and Equipment"/>
    <x v="28"/>
    <s v="SSF"/>
    <s v="OIC, DTI-PDI"/>
    <s v="FT, SSF MOOE - 1ST TO 3RD QUARTER OF 2021"/>
    <m/>
    <n v="147000"/>
    <n v="-14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969"/>
    <s v="50299990 99"/>
    <s v="Other Maintenance and Operating Expenses"/>
    <x v="16"/>
    <s v="SSF"/>
    <s v="OIC, DTI-PDI"/>
    <s v="FT, SSF MOOE - 1ST TO 3RD QUARTER OF 2021"/>
    <m/>
    <n v="24342.85"/>
    <n v="-24342.85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2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6-31, 2021"/>
    <m/>
    <n v="104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2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6-31, 2021"/>
    <m/>
    <n v="3720"/>
    <n v="-7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6-31, 2021"/>
    <m/>
    <n v="5534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6-31, 2021"/>
    <m/>
    <n v="5534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6-31, 2021"/>
    <m/>
    <n v="16692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6-31, 2021"/>
    <m/>
    <n v="16026.5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4"/>
    <d v="1899-12-31T00:00:00.000"/>
    <d v="1899-12-31T00:00:00.000"/>
    <s v="GAA-OO 4.2-MOOE-GOP"/>
    <n v="773"/>
    <s v="50205020 01"/>
    <s v="Telephone Expenses - Mobile "/>
    <x v="19"/>
    <s v="CPD"/>
    <s v="GLOBE TELECOM, INC."/>
    <s v="POSTPAID PLAN FOR JANUARY 2021"/>
    <m/>
    <n v="1200"/>
    <n v="-12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15"/>
    <d v="1899-12-31T00:00:00.000"/>
    <d v="1899-12-31T00:00:00.000"/>
    <s v="GAA-OO3-MOOE-GOP"/>
    <n v="751"/>
    <s v="50201010 00"/>
    <s v="Traveling Expenses - Local"/>
    <x v="30"/>
    <s v="SDD MUST"/>
    <s v="PD, DTI-ADN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55"/>
    <s v="50203010 00"/>
    <s v="Office Supplies Expenses"/>
    <x v="11"/>
    <s v="SDD MUST"/>
    <s v="PD, DTI-A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1"/>
    <s v="50205010 00"/>
    <s v="Postage and Courier Services"/>
    <x v="35"/>
    <s v="SDD MUST"/>
    <s v="PD, DTI-A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3"/>
    <s v="50205020 01"/>
    <s v="Telephone Expenses - Mobile "/>
    <x v="19"/>
    <s v="SDD MUST"/>
    <s v="PD, DTI-A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9"/>
    <s v="50211990 00"/>
    <s v="Other Professional Services"/>
    <x v="15"/>
    <s v="SDD MUST"/>
    <s v="PD, DTI-A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83"/>
    <s v="50299030 00"/>
    <s v="Representation Expenses"/>
    <x v="23"/>
    <s v="SDD MUST"/>
    <s v="PD, DTI-A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5"/>
    <s v="50212990 00"/>
    <s v="Other General Services"/>
    <x v="14"/>
    <s v="SDD MUST"/>
    <s v="PD, DTI-A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6"/>
    <s v="50212020 00"/>
    <s v="Janitorial Services"/>
    <x v="26"/>
    <s v="SDD MUST"/>
    <s v="PD, DTI-ADN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1"/>
    <s v="50201010 00"/>
    <s v="Traveling Expenses - Local"/>
    <x v="30"/>
    <s v="SDD MUST"/>
    <s v="OIC, DTI-A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5"/>
    <s v="50203010 00"/>
    <s v="Office Supplies Expenses"/>
    <x v="11"/>
    <s v="SDD MUST"/>
    <s v="OIC, DTI-A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1"/>
    <s v="50205010 00"/>
    <s v="Postage and Courier Services"/>
    <x v="35"/>
    <s v="SDD MUST"/>
    <s v="OIC, DTI-A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3"/>
    <s v="50205020 01"/>
    <s v="Telephone Expenses - Mobile "/>
    <x v="19"/>
    <s v="SDD MUST"/>
    <s v="OIC, DTI-A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9"/>
    <s v="50211990 00"/>
    <s v="Other Professional Services"/>
    <x v="15"/>
    <s v="SDD MUST"/>
    <s v="OIC, DTI-A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83"/>
    <s v="50299030 00"/>
    <s v="Representation Expenses"/>
    <x v="23"/>
    <s v="SDD MUST"/>
    <s v="OIC, DTI-A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5"/>
    <s v="50212990 00"/>
    <s v="Other General Services"/>
    <x v="14"/>
    <s v="SDD MUST"/>
    <s v="OIC, DTI-ADS"/>
    <s v="FT, SDD MUST FOR 1ST - 3RD QUARTER OF 2021"/>
    <m/>
    <n v="60000"/>
    <n v="-6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6"/>
    <s v="50212020 00"/>
    <s v="Janitorial Services"/>
    <x v="26"/>
    <s v="SDD MUST"/>
    <s v="OIC, DTI-ADS"/>
    <s v="FT, SDD MUST FOR 1ST - 3RD QUARTER OF 2021"/>
    <m/>
    <n v="4000"/>
    <n v="-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1"/>
    <s v="50201010 00"/>
    <s v="Traveling Expenses - Local"/>
    <x v="30"/>
    <s v="SDD MUST"/>
    <s v="PD, DTI-SDN"/>
    <s v="FT, SDD MUST FOR 1ST - 3RD QUARTER OF 2021"/>
    <m/>
    <n v="200000"/>
    <n v="-20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5"/>
    <s v="50203010 00"/>
    <s v="Office Supplies Expenses"/>
    <x v="11"/>
    <s v="SDD MUST"/>
    <s v="PD, DTI-S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1"/>
    <s v="50205010 00"/>
    <s v="Postage and Courier Services"/>
    <x v="35"/>
    <s v="SDD MUST"/>
    <s v="PD, DTI-S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3"/>
    <s v="50205020 01"/>
    <s v="Telephone Expenses - Mobile "/>
    <x v="19"/>
    <s v="SDD MUST"/>
    <s v="PD, DTI-S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9"/>
    <s v="50211990 00"/>
    <s v="Other Professional Services"/>
    <x v="15"/>
    <s v="SDD MUST"/>
    <s v="PD, DTI-S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83"/>
    <s v="50299030 00"/>
    <s v="Representation Expenses"/>
    <x v="23"/>
    <s v="SDD MUST"/>
    <s v="PD, DTI-S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5"/>
    <s v="50212990 00"/>
    <s v="Other General Services"/>
    <x v="14"/>
    <s v="SDD MUST"/>
    <s v="PD, DTI-S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6"/>
    <s v="50212020 00"/>
    <s v="Janitorial Services"/>
    <x v="26"/>
    <s v="SDD MUST"/>
    <s v="PD, DTI-SDN"/>
    <s v="FT, SDD MUST FOR 1ST - 3RD QUARTER OF 2021"/>
    <m/>
    <n v="64000"/>
    <n v="-6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1"/>
    <s v="50201010 00"/>
    <s v="Traveling Expenses - Local"/>
    <x v="30"/>
    <s v="SDD MUST"/>
    <s v="PD, DTI-S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5"/>
    <s v="50203010 00"/>
    <s v="Office Supplies Expenses"/>
    <x v="11"/>
    <s v="SDD MUST"/>
    <s v="PD, DTI-S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1"/>
    <s v="50205010 00"/>
    <s v="Postage and Courier Services"/>
    <x v="35"/>
    <s v="SDD MUST"/>
    <s v="PD, DTI-S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3"/>
    <s v="50205020 01"/>
    <s v="Telephone Expenses - Mobile "/>
    <x v="19"/>
    <s v="SDD MUST"/>
    <s v="PD, DTI-S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9"/>
    <s v="50211990 00"/>
    <s v="Other Professional Services"/>
    <x v="15"/>
    <s v="SDD MUST"/>
    <s v="PD, DTI-S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83"/>
    <s v="50299030 00"/>
    <s v="Representation Expenses"/>
    <x v="23"/>
    <s v="SDD MUST"/>
    <s v="PD, DTI-S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5"/>
    <s v="50212990 00"/>
    <s v="Other General Services"/>
    <x v="14"/>
    <s v="SDD MUST"/>
    <s v="PD, DTI-SDS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6"/>
    <s v="50212020 00"/>
    <s v="Janitorial Services"/>
    <x v="26"/>
    <s v="SDD MUST"/>
    <s v="PD, DTI-SDS"/>
    <s v="FT, SDD MUST FOR 1ST - 3RD QUARTER OF 2021"/>
    <m/>
    <n v="24000"/>
    <n v="-2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1"/>
    <s v="50201010 00"/>
    <s v="Traveling Expenses - Local"/>
    <x v="30"/>
    <s v="SDD MUST"/>
    <s v="OIC, DTI-PDI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5"/>
    <s v="50203010 00"/>
    <s v="Office Supplies Expenses"/>
    <x v="11"/>
    <s v="SDD MUST"/>
    <s v="OIC, DTI-PDI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1"/>
    <s v="50205010 00"/>
    <s v="Postage and Courier Services"/>
    <x v="35"/>
    <s v="SDD MUST"/>
    <s v="OIC, DTI-PDI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3"/>
    <s v="50205020 01"/>
    <s v="Telephone Expenses - Mobile "/>
    <x v="19"/>
    <s v="SDD MUST"/>
    <s v="OIC, DTI-PDI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9"/>
    <s v="50211990 00"/>
    <s v="Other Professional Services"/>
    <x v="15"/>
    <s v="SDD MUST"/>
    <s v="OIC, DTI-PDI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83"/>
    <s v="50299030 00"/>
    <s v="Representation Expenses"/>
    <x v="23"/>
    <s v="SDD MUST"/>
    <s v="OIC, DTI-PDI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5"/>
    <s v="50212990 00"/>
    <s v="Other General Services"/>
    <x v="14"/>
    <s v="SDD MUST"/>
    <s v="OIC, DTI-PDI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6"/>
    <s v="50212020 00"/>
    <s v="Janitorial Services"/>
    <x v="26"/>
    <s v="SDD MUST"/>
    <s v="OIC, DTI-PDI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0"/>
    <d v="1899-12-31T00:00:00.000"/>
    <d v="1899-12-31T00:00:00.000"/>
    <s v="SAA37-CARP-753-GOP"/>
    <n v="753"/>
    <s v="50202010 00"/>
    <s v="Training Expenses"/>
    <x v="33"/>
    <s v="CARP"/>
    <s v="BALANGHAI HOTEL"/>
    <s v="MEALS RE: 8TH DAR-DTI-DOST SYNCHRONIZED ASSESSMENT AND PLANNING SESSION LAST MARCH 1-2, 2021"/>
    <m/>
    <n v="20000"/>
    <n v="-20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5T00:00:00.000"/>
    <s v="21-3"/>
    <s v="321"/>
    <d v="1899-12-31T00:00:00.000"/>
    <d v="1899-12-31T00:00:00.000"/>
    <s v="GAA-LSP-PBG-MOOE-GOP"/>
    <n v="753"/>
    <s v="50202010 00"/>
    <s v="Training Expenses"/>
    <x v="33"/>
    <s v="LSP NSB"/>
    <s v="LYZA D. TRAPAL"/>
    <s v="REIM FOR THE PURCHASE OF LIVELIHOOD KITS RE: BEST BOOTCAMP (3A) GRADUATES LAST FEB. 19,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5T00:00:00.000"/>
    <s v="21-3"/>
    <s v="322"/>
    <d v="1899-12-31T00:00:00.000"/>
    <d v="1899-12-31T00:00:00.000"/>
    <s v="GAA-OO1-MOOE-GOP"/>
    <n v="767"/>
    <s v="50204020 00"/>
    <s v="Electricity Expense"/>
    <x v="34"/>
    <n v="1"/>
    <s v="ANECO, INC."/>
    <s v="ELECTRICITY FOR DEC. 20-JAN. 19, 2021"/>
    <m/>
    <n v="101505.45"/>
    <n v="-101505.45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23"/>
    <d v="1899-12-31T00:00:00.000"/>
    <d v="1899-12-31T00:00:00.000"/>
    <s v="GAA-OO3-MOOE-GOP"/>
    <n v="795"/>
    <s v="50212990 00"/>
    <s v="Other General Services"/>
    <x v="14"/>
    <s v="MSSU"/>
    <s v="LBP F/O DTI-JO"/>
    <s v="JO FOR MARCH 16-31, 2021"/>
    <m/>
    <n v="13034"/>
    <n v="-13034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4"/>
    <d v="1899-12-31T00:00:00.000"/>
    <d v="1899-12-31T00:00:00.000"/>
    <s v="GAA-GAS(GMS)-MOOE-GOP"/>
    <n v="755"/>
    <s v="50203010 00"/>
    <s v="Office Supplies Expenses"/>
    <x v="11"/>
    <s v="MSSU"/>
    <s v="MANDAUE FOAM"/>
    <s v="MOBILE PEDESTAL FOR ORD USE"/>
    <m/>
    <n v="6850"/>
    <n v="-68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5"/>
    <d v="1899-12-31T00:00:00.000"/>
    <d v="1899-12-31T00:00:00.000"/>
    <s v="GAA-GAS(GMS)-MOOE-GOP"/>
    <n v="773"/>
    <s v="50205020 01"/>
    <s v="Telephone Expenses - Mobile "/>
    <x v="19"/>
    <s v="MSSU"/>
    <s v="GLOBE TELECOM, INC."/>
    <s v="POST PAID PLAN SUBSCRIPTION, 65087463 FOR FEB. 16-MAR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6"/>
    <d v="1899-12-31T00:00:00.000"/>
    <d v="1899-12-31T00:00:00.000"/>
    <s v="GAA-OO3-MOOE-GOP"/>
    <n v="755"/>
    <s v="50203010 00"/>
    <s v="Office Supplies Expenses"/>
    <x v="11"/>
    <s v="SDD"/>
    <s v="PRPCUREMENT SERVICE"/>
    <s v="OFFICE SUPPLIES FOR SDD USE-1ST QUARTER 2021"/>
    <m/>
    <n v="2511.36"/>
    <n v="-2511.3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7"/>
    <d v="1899-12-31T00:00:00.000"/>
    <d v="1899-12-31T00:00:00.000"/>
    <s v="GAA-SSF-MOOE-GOP"/>
    <n v="799"/>
    <s v="50211990 00"/>
    <s v="Other Professional Services"/>
    <x v="15"/>
    <s v="SSF"/>
    <s v="FEVI V. SILVOSA"/>
    <s v="JO FOR MARCH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28"/>
    <d v="1899-12-31T00:00:00.000"/>
    <d v="1899-12-31T00:00:00.000"/>
    <s v="GAA-GAS(GMS)-MOOE-GOP"/>
    <n v="782"/>
    <s v="50299050 01"/>
    <s v="Rent - Buildings and Structures"/>
    <x v="17"/>
    <n v="1"/>
    <s v="D.O. PLAZA HOLDINGS CORP."/>
    <s v="OFFICE RENTAL FOR JANUARY 2021"/>
    <m/>
    <n v="170501.47"/>
    <n v="-170501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9"/>
    <d v="1899-12-31T00:00:00.000"/>
    <d v="1899-12-31T00:00:00.000"/>
    <s v="GAA-GAS(GMS)-MOOE-GOP"/>
    <n v="766"/>
    <s v="50204010 00"/>
    <s v="Water Expenses"/>
    <x v="25"/>
    <n v="1"/>
    <s v="BUTUAN CITY WATER DISTRICT"/>
    <s v="WATER CONSUMPTION FOR FEB. 2021"/>
    <m/>
    <n v="7712.46"/>
    <n v="-7712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0"/>
    <d v="1899-12-31T00:00:00.000"/>
    <d v="1899-12-31T00:00:00.000"/>
    <s v="GAA-OO1-MOOE-GOP"/>
    <n v="767"/>
    <s v="50204020 00"/>
    <s v="Electricity Expense"/>
    <x v="34"/>
    <n v="1"/>
    <s v="ANECO, INC."/>
    <s v="ELECTRICITY FOR NOV. 20-DEC. 19, 2020"/>
    <m/>
    <n v="9559.29"/>
    <n v="-9559.29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31"/>
    <d v="1899-12-31T00:00:00.000"/>
    <d v="1899-12-31T00:00:00.000"/>
    <s v="GAA-GAS(GMS)-MOOE-GOP"/>
    <n v="783"/>
    <s v="50299030 00"/>
    <s v="Representation Expenses"/>
    <x v="23"/>
    <s v="GAD"/>
    <s v="PD, DTI-ADN"/>
    <s v="FT, 2021 GAD ACTIVITIES"/>
    <m/>
    <n v="51050"/>
    <n v="-510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2"/>
    <d v="1899-12-31T00:00:00.000"/>
    <d v="1899-12-31T00:00:00.000"/>
    <s v="GAA-GAS(GMS)-MOOE-GOP"/>
    <n v="783"/>
    <s v="50299030 00"/>
    <s v="Representation Expenses"/>
    <x v="23"/>
    <s v="GAD"/>
    <s v="OIC, DTI-ADS"/>
    <s v="FT, 2021 GAD ACTIVITIES"/>
    <m/>
    <n v="100000"/>
    <n v="-10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3"/>
    <d v="1899-12-31T00:00:00.000"/>
    <d v="1899-12-31T00:00:00.000"/>
    <s v="GAA-GAS(GMS)-MOOE-GOP"/>
    <n v="783"/>
    <s v="50299030 00"/>
    <s v="Representation Expenses"/>
    <x v="23"/>
    <s v="GAD"/>
    <s v="PD, DTI-SDN"/>
    <s v="FT, 2021 GAD ACTIVITIES"/>
    <m/>
    <n v="99030"/>
    <n v="-990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4"/>
    <d v="1899-12-31T00:00:00.000"/>
    <d v="1899-12-31T00:00:00.000"/>
    <s v="GAA-GAS(GMS)-MOOE-GOP"/>
    <n v="783"/>
    <s v="50299030 00"/>
    <s v="Representation Expenses"/>
    <x v="23"/>
    <s v="GAD"/>
    <s v="OIC, DTI-PDI"/>
    <s v="FT, 2021 WOMEN'S SUMMIT"/>
    <m/>
    <n v="10250"/>
    <n v="-10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GAS(GMS)-MOOE-GOP"/>
    <n v="969"/>
    <s v="50299990 99"/>
    <s v="Other Maintenance and Operating Expenses"/>
    <x v="16"/>
    <n v="1"/>
    <s v="LAND BANK OF THE PHILIPPINES"/>
    <s v="REIM OF EXCESS EXPENSES FROM CASH ADVANCE OF VARIOUS EMPLOYEES"/>
    <m/>
    <n v="11380.25"/>
    <n v="-1138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OO4.1(FTL)-MOOE-GOP"/>
    <n v="783"/>
    <s v="50299030 00"/>
    <s v="Representation Expenses"/>
    <x v="23"/>
    <n v="1"/>
    <s v="LAND BANK OF THE PHILIPPINES"/>
    <s v="REIM OF EXCESS EXPENSES FROM CASH ADVANCE OF VARIOUS EMPLOYEES"/>
    <m/>
    <n v="75"/>
    <n v="-75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36"/>
    <d v="1899-12-31T00:00:00.000"/>
    <d v="1899-12-31T00:00:00.000"/>
    <s v="SAA040-RAPID GOP-799-GOP"/>
    <n v="799"/>
    <s v="50211990 00"/>
    <s v="Other Professional Services"/>
    <x v="15"/>
    <s v="RAPID"/>
    <s v="AL A. OLIVERIO"/>
    <s v="PAYMENT FOR SALARIES FOR RAPID PCU SDS STAFF (DRIVER) FOR MARCH 1-15, 2021"/>
    <m/>
    <n v="8164.75"/>
    <n v="-8164.7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9T00:00:00.000"/>
    <s v="21-3"/>
    <s v="337"/>
    <d v="1899-12-31T00:00:00.000"/>
    <d v="1899-12-31T00:00:00.000"/>
    <s v="GAA-OTOP-MOOE-GOP"/>
    <n v="799"/>
    <s v="50211990 00"/>
    <s v="Other Professional Services"/>
    <x v="15"/>
    <s v="OTOP"/>
    <s v="LBP F/O DTI-JO"/>
    <s v="SERVICES RENDERED FOR JOB ORDERS FOR MARCH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37"/>
    <d v="1899-12-31T00:00:00.000"/>
    <d v="1899-12-31T00:00:00.000"/>
    <s v="GAA-LSP-PBG-MOOE-GOP"/>
    <n v="799"/>
    <s v="50211990 00"/>
    <s v="Other Professional Services"/>
    <x v="15"/>
    <s v="LSP NSB"/>
    <s v="LBP F/O DTI-JO"/>
    <s v="SERVICES RENDERED FOR JOB ORDERS FOR MARCH 16-31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9T00:00:00.000"/>
    <s v="21-3"/>
    <s v="338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- 3RD QUARTER OF 2021"/>
    <m/>
    <n v="52700"/>
    <n v="-52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- 3RD QUARTER OF 2021"/>
    <m/>
    <n v="86250"/>
    <n v="-8625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- 3RD QUARTER OF 2021"/>
    <m/>
    <n v="3750"/>
    <n v="-375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- 3RD QUARTER OF 2021"/>
    <m/>
    <n v="1125"/>
    <n v="-1125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- 3RD QUARTER OF 2021"/>
    <m/>
    <n v="400"/>
    <n v="-40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- 3RD QUARTER OF 2021"/>
    <m/>
    <n v="110876"/>
    <n v="-110876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- 3RD QUARTER OF 2021"/>
    <m/>
    <n v="37300"/>
    <n v="-373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- 3RD QUARTER OF 2021"/>
    <m/>
    <n v="40965"/>
    <n v="-40965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- 3RD QUARTER OF 2021"/>
    <m/>
    <n v="5000"/>
    <n v="-50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- 3RD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3"/>
    <s v="50211030 00"/>
    <s v="Consultancy Services"/>
    <x v="47"/>
    <n v="68"/>
    <s v="OIC, DTI-SDN"/>
    <s v="FT, CARP IMPLEMENTATION FOR THE 1ST - 3RD QUARTER OF 2021"/>
    <m/>
    <n v="400"/>
    <n v="-4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9"/>
    <s v="50211990 00"/>
    <s v="Other Professional Services"/>
    <x v="15"/>
    <n v="68"/>
    <s v="OIC, DTI-SDN"/>
    <s v="FT, CARP IMPLEMENTATION FOR THE 1ST - 3RD QUARTER OF 2021"/>
    <m/>
    <n v="98299"/>
    <n v="-98299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40"/>
    <d v="1899-12-31T00:00:00.000"/>
    <d v="1899-12-31T00:00:00.000"/>
    <s v="GAA-NC-MOOE-GOP"/>
    <n v="751"/>
    <s v="50201010 00"/>
    <s v="Traveling Expenses - Local"/>
    <x v="30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53"/>
    <s v="50202010 00"/>
    <s v="Training Expenses"/>
    <x v="33"/>
    <s v="NC"/>
    <s v="OIC, DTI-ADS"/>
    <s v="FT, NC IMPLEMENTATION FOR FEB. TO APRIL 2021"/>
    <m/>
    <n v="300000"/>
    <n v="-3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3"/>
    <s v="50299030 00"/>
    <s v="Representation Expenses"/>
    <x v="23"/>
    <s v="NC"/>
    <s v="OIC, DTI-A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99"/>
    <s v="50211990 00"/>
    <s v="Other Professional Services"/>
    <x v="15"/>
    <s v="NC"/>
    <s v="OIC, DTI-ADS"/>
    <s v="FT, NC IMPLEMENTATION FOR FEB. TO APRIL 2021"/>
    <m/>
    <n v="914950"/>
    <n v="-9149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2"/>
    <s v="50299050 01"/>
    <s v="Rent - Buildings and Structures"/>
    <x v="17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1"/>
    <s v="50201010 00"/>
    <s v="Traveling Expenses - Local"/>
    <x v="30"/>
    <s v="NC"/>
    <s v="PD, DTI-SDN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3"/>
    <s v="50202010 00"/>
    <s v="Training Expenses"/>
    <x v="33"/>
    <s v="NC"/>
    <s v="PD, DTI-SDN"/>
    <s v="FT, NC IMPLEMENTATION FOR FEB. TO APRIL 2021"/>
    <m/>
    <n v="150000"/>
    <n v="-1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3"/>
    <s v="50299030 00"/>
    <s v="Representation Expenses"/>
    <x v="23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99"/>
    <s v="50211990 00"/>
    <s v="Other Professional Services"/>
    <x v="15"/>
    <s v="NC"/>
    <s v="PD, DTI-SDN"/>
    <s v="FT, NC IMPLEMENTATION FOR FEB. TO APRIL 2021"/>
    <m/>
    <n v="1016031.21"/>
    <n v="-1016031.21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2"/>
    <s v="50299050 01"/>
    <s v="Rent - Buildings and Structures"/>
    <x v="17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2"/>
    <d v="1899-12-31T00:00:00.000"/>
    <d v="1899-12-31T00:00:00.000"/>
    <s v="GAA-OTOP-MOOE-GOP"/>
    <n v="751"/>
    <s v="50201010 00"/>
    <s v="Traveling Expenses - Local"/>
    <x v="30"/>
    <s v="OTOP"/>
    <s v="PD, DTI-A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3"/>
    <s v="50202010 00"/>
    <s v="Training Expenses"/>
    <x v="33"/>
    <s v="OTOP"/>
    <s v="PD, DTI-A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5"/>
    <s v="50203010 00"/>
    <s v="Office Supplies Expenses"/>
    <x v="11"/>
    <s v="OTOP"/>
    <s v="PD, DTI-A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3"/>
    <s v="50211030 00"/>
    <s v="Consultancy Services"/>
    <x v="47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9"/>
    <s v="50211990 00"/>
    <s v="Other Professional Services"/>
    <x v="15"/>
    <s v="OTOP"/>
    <s v="PD, DTI-A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0"/>
    <s v="50299010 00"/>
    <s v="Advertising Expenses"/>
    <x v="49"/>
    <s v="OTOP"/>
    <s v="PD, DTI-ADN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1"/>
    <s v="50299020 00"/>
    <s v="Printing and Binding Expenses"/>
    <x v="1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3"/>
    <s v="50299030 00"/>
    <s v="Representation Expenses"/>
    <x v="2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4"/>
    <s v="50299040 00"/>
    <s v="Transportation and Delivery Expenses"/>
    <x v="29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1"/>
    <s v="50201010 00"/>
    <s v="Traveling Expenses - Local"/>
    <x v="30"/>
    <s v="OTOP"/>
    <s v="PD, DTI-S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3"/>
    <s v="50202010 00"/>
    <s v="Training Expenses"/>
    <x v="33"/>
    <s v="OTOP"/>
    <s v="PD, DTI-S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5"/>
    <s v="50203010 00"/>
    <s v="Office Supplies Expenses"/>
    <x v="11"/>
    <s v="OTOP"/>
    <s v="PD, DTI-S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3"/>
    <s v="50211030 00"/>
    <s v="Consultancy Services"/>
    <x v="47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9"/>
    <s v="50211990 00"/>
    <s v="Other Professional Services"/>
    <x v="15"/>
    <s v="OTOP"/>
    <s v="PD, DTI-S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0"/>
    <s v="50299010 00"/>
    <s v="Advertising Expenses"/>
    <x v="49"/>
    <s v="OTOP"/>
    <s v="PD, DTI-SDN"/>
    <s v="FT, OTOP NG FOR FEB TO APRIL 2021 "/>
    <m/>
    <n v="48817.76"/>
    <n v="-48817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1"/>
    <s v="50299020 00"/>
    <s v="Printing and Binding Expenses"/>
    <x v="1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3"/>
    <s v="50299030 00"/>
    <s v="Representation Expenses"/>
    <x v="2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4"/>
    <s v="50299040 00"/>
    <s v="Transportation and Delivery Expenses"/>
    <x v="29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1"/>
    <s v="50201010 00"/>
    <s v="Traveling Expenses - Local"/>
    <x v="30"/>
    <s v="OTOP"/>
    <s v="OIC, DTI-PDI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3"/>
    <s v="50202010 00"/>
    <s v="Training Expenses"/>
    <x v="33"/>
    <s v="OTOP"/>
    <s v="OIC, DTI-PDI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5"/>
    <s v="50203010 00"/>
    <s v="Office Supplies Expenses"/>
    <x v="11"/>
    <s v="OTOP"/>
    <s v="OIC, DTI-PDI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3"/>
    <s v="50211030 00"/>
    <s v="Consultancy Services"/>
    <x v="47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9"/>
    <s v="50211990 00"/>
    <s v="Other Professional Services"/>
    <x v="15"/>
    <s v="OTOP"/>
    <s v="OIC, DTI-PDI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0"/>
    <s v="50299010 00"/>
    <s v="Advertising Expenses"/>
    <x v="49"/>
    <s v="OTOP"/>
    <s v="OIC, DTI-PDI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1"/>
    <s v="50299020 00"/>
    <s v="Printing and Binding Expenses"/>
    <x v="1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3"/>
    <s v="50299030 00"/>
    <s v="Representation Expenses"/>
    <x v="2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4"/>
    <s v="50299040 00"/>
    <s v="Transportation and Delivery Expenses"/>
    <x v="29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5"/>
    <d v="1899-12-31T00:00:00.000"/>
    <d v="1899-12-31T00:00:00.000"/>
    <s v="GAA-NC-MOOE-GOP"/>
    <n v="751"/>
    <s v="50201010 00"/>
    <s v="Traveling Expenses - Local"/>
    <x v="30"/>
    <s v="NC"/>
    <s v="PD, DTI-S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53"/>
    <s v="50202010 00"/>
    <s v="Training Expenses"/>
    <x v="33"/>
    <s v="NC"/>
    <s v="PD, DTI-SDS"/>
    <s v="FT, NC IMPLEMENTATION FOR FEB. TO APRIL 2021"/>
    <m/>
    <n v="200000"/>
    <n v="-2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3"/>
    <s v="50299030 00"/>
    <s v="Representation Expenses"/>
    <x v="23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99"/>
    <s v="50211990 00"/>
    <s v="Other Professional Services"/>
    <x v="15"/>
    <s v="NC"/>
    <s v="PD, DTI-SDS"/>
    <s v="FT, NC IMPLEMENTATION FOR FEB. TO APRIL 2021"/>
    <m/>
    <n v="360350"/>
    <n v="-3603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2"/>
    <s v="50299050 01"/>
    <s v="Rent - Buildings and Structures"/>
    <x v="17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6"/>
    <d v="1899-12-31T00:00:00.000"/>
    <d v="1899-12-31T00:00:00.000"/>
    <s v="GAA-OO2-MOOE-GOP"/>
    <n v="751"/>
    <s v="50201010 00"/>
    <s v="Traveling Expenses - Local"/>
    <x v="30"/>
    <s v="IDD MUST"/>
    <s v="PD, DTI-A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3"/>
    <s v="50202010 00"/>
    <s v="Training Expenses"/>
    <x v="33"/>
    <s v="IDD MUST"/>
    <s v="PD, DTI-A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5"/>
    <s v="50203010 00"/>
    <s v="Office Supplies Expenses"/>
    <x v="11"/>
    <s v="IDD MUST"/>
    <s v="PD, DTI-A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83"/>
    <s v="50299030 00"/>
    <s v="Representation Expenses"/>
    <x v="23"/>
    <s v="IDD MUST"/>
    <s v="PD, DTI-A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1"/>
    <s v="50201010 00"/>
    <s v="Traveling Expenses - Local"/>
    <x v="30"/>
    <s v="IDD MUST"/>
    <s v="PD, DTI-S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3"/>
    <s v="50202010 00"/>
    <s v="Training Expenses"/>
    <x v="33"/>
    <s v="IDD MUST"/>
    <s v="PD, DTI-S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5"/>
    <s v="50203010 00"/>
    <s v="Office Supplies Expenses"/>
    <x v="11"/>
    <s v="IDD MUST"/>
    <s v="PD, DTI-S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83"/>
    <s v="50299030 00"/>
    <s v="Representation Expenses"/>
    <x v="23"/>
    <s v="IDD MUST"/>
    <s v="PD, DTI-S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1"/>
    <s v="50201010 00"/>
    <s v="Traveling Expenses - Local"/>
    <x v="30"/>
    <s v="IDD MUST"/>
    <s v="OIC, DTI-PDI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3"/>
    <s v="50202010 00"/>
    <s v="Training Expenses"/>
    <x v="33"/>
    <s v="IDD MUST"/>
    <s v="OIC, DTI-PDI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5"/>
    <s v="50203010 00"/>
    <s v="Office Supplies Expenses"/>
    <x v="11"/>
    <s v="IDD MUST"/>
    <s v="OIC, DTI-PDI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83"/>
    <s v="50299030 00"/>
    <s v="Representation Expenses"/>
    <x v="23"/>
    <s v="IDD MUST"/>
    <s v="OIC, DTI-PDI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30T00:00:00.000"/>
    <s v="21-3"/>
    <s v="349"/>
    <d v="1899-12-31T00:00:00.000"/>
    <d v="1899-12-31T00:00:00.000"/>
    <s v="GAA-LSP-PBG-MOOE-GOP"/>
    <n v="751"/>
    <s v="50201010 00"/>
    <s v="Traveling Expenses - Local"/>
    <x v="30"/>
    <n v="67"/>
    <s v="PD, DTI-SDS"/>
    <s v="ADVANCES TO LSP-NSB IMPLEMENTATION FOR 1ST QTR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53"/>
    <s v="50202010 00"/>
    <s v="Training Expenses"/>
    <x v="33"/>
    <n v="67"/>
    <s v="PD, DTI-SDS"/>
    <s v="ADVANCES TO LSP-NSB IMPLEMENTATION FOR 1ST QTR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73"/>
    <s v="50205020 01"/>
    <s v="Telephone Expenses - Mobile "/>
    <x v="19"/>
    <n v="67"/>
    <s v="PD, DTI-SDS"/>
    <s v="ADVANCES TO LSP-NSB IMPLEMENTATION FOR 1ST QTR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99"/>
    <s v="50211990 00"/>
    <s v="Other Professional Services"/>
    <x v="15"/>
    <n v="67"/>
    <s v="PD, DTI-SDS"/>
    <s v="ADVANCES TO LSP-NSB IMPLEMENTATION FOR 1ST QTR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50"/>
    <d v="1899-12-31T00:00:00.000"/>
    <d v="1899-12-31T00:00:00.000"/>
    <s v="GAA-SSF-MOOE-GOP"/>
    <n v="751"/>
    <s v="50201010 00"/>
    <s v="Traveling Expenses - Local"/>
    <x v="30"/>
    <s v="SSF"/>
    <s v="PD, DTI-SDS"/>
    <s v="FT, SSF MOOE - 1ST QUARTER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3"/>
    <s v="50202010 00"/>
    <s v="Training Expenses"/>
    <x v="33"/>
    <s v="SSF"/>
    <s v="PD, DTI-SDS"/>
    <s v="FT, SSF MOOE - 1ST QUARTER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5"/>
    <s v="50203010 00"/>
    <s v="Office Supplies Expenses"/>
    <x v="11"/>
    <s v="SSF"/>
    <s v="PD, DTI-SDS"/>
    <s v="FT, SSF MOOE - 1ST QUARTER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83"/>
    <s v="50299030 00"/>
    <s v="Representation Expenses"/>
    <x v="23"/>
    <s v="SSF"/>
    <s v="PD, DTI-SDS"/>
    <s v="FT, SSF MOOE - 1ST QUARTER 2021"/>
    <m/>
    <n v="20000"/>
    <n v="-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93"/>
    <s v="50211030 00"/>
    <s v="Consultancy Services"/>
    <x v="47"/>
    <s v="SSF"/>
    <s v="PD, DTI-SDS"/>
    <s v="FT, SSF MOOE - 1ST QUARTER 2021"/>
    <m/>
    <n v="147809.53"/>
    <n v="-147809.5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1"/>
    <d v="1899-12-31T00:00:00.000"/>
    <d v="1899-12-31T00:00:00.000"/>
    <s v="GAA-GAS(GMS)-MOOE-GOP"/>
    <n v="773"/>
    <s v="50205020 01"/>
    <s v="Telephone Expenses - Mobile "/>
    <x v="19"/>
    <n v="1"/>
    <s v="GLOBE TELECOM, INC."/>
    <s v="PAYMENT FOR POST-PAID SUBSCRIPTION, 09177054627 - 37487363, FOR THE FEB 13 - MAR 12,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2"/>
    <d v="1899-12-31T00:00:00.000"/>
    <d v="1899-12-31T00:00:00.000"/>
    <s v="GAA-GAS(GMS)-MOOE-GOP"/>
    <n v="969"/>
    <s v="50299990 99"/>
    <s v="Other Maintenance and Operating Expenses"/>
    <x v="16"/>
    <n v="1"/>
    <s v="EDWIN O. BANQUERIGO"/>
    <s v="REIMBURSEMENT, QUARTER ALLOWANCE FOR DEC. 12-  MAR 15, 2021"/>
    <m/>
    <n v="120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3"/>
    <d v="1899-12-31T00:00:00.000"/>
    <d v="1899-12-31T00:00:00.000"/>
    <s v="GAA-GAS(GMS)-MOOE-GOP"/>
    <n v="773"/>
    <s v="50205020 01"/>
    <s v="Telephone Expenses - Mobile "/>
    <x v="19"/>
    <n v="1"/>
    <s v="ELYNUR H. GAMBET-MINGLANA"/>
    <s v="REIMBURSEMENT, LOAD ALLOWANCE FOR NIOV. 24 - MAR 23, 2021"/>
    <m/>
    <n v="4800"/>
    <n v="-4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4"/>
    <m/>
    <m/>
    <x v="16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PivotTable1" cacheId="0" applyNumberFormats="0" applyBorderFormats="0" applyFontFormats="0" applyPatternFormats="0" applyAlignmentFormats="0" applyWidthHeightFormats="1" dataCaption="Data" useAutoFormatting="1" itemPrintTitles="1" createdVersion="4">
  <location ref="A6:D18" firstHeaderRow="1" firstDataRow="2" firstDataCol="2" rowPageCount="3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x="1"/>
        <item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x="1"/>
        <item h="1"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Row" compact="0" outline="0" subtotalTop="0" showAll="0">
      <items count="18">
        <item h="1" x="12"/>
        <item h="1" x="1"/>
        <item h="1" x="0"/>
        <item h="1" x="11"/>
        <item h="1" x="8"/>
        <item h="1" x="7"/>
        <item h="1" x="2"/>
        <item h="1" x="3"/>
        <item h="1" x="4"/>
        <item h="1" x="6"/>
        <item h="1" x="5"/>
        <item h="1" x="9"/>
        <item x="10"/>
        <item h="1" x="15"/>
        <item h="1" x="16"/>
        <item h="1" x="13"/>
        <item h="1"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2">
    <field x="21"/>
    <field x="11"/>
  </rowFields>
  <rowItems count="11">
    <i>
      <x v="12"/>
      <x v="11"/>
    </i>
    <i r="1">
      <x v="15"/>
    </i>
    <i r="1">
      <x v="16"/>
    </i>
    <i r="1">
      <x v="19"/>
    </i>
    <i r="1">
      <x v="23"/>
    </i>
    <i r="1">
      <x v="28"/>
    </i>
    <i r="1">
      <x v="30"/>
    </i>
    <i r="1">
      <x v="35"/>
    </i>
    <i r="1">
      <x v="36"/>
    </i>
    <i t="default"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0"/>
    <pageField fld="1" item="3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25">
    <format dxfId="25">
      <pivotArea outline="0" fieldPosition="0"/>
    </format>
    <format dxfId="24">
      <pivotArea type="all" dataOnly="0" outline="0" fieldPosition="0"/>
    </format>
    <format dxfId="23">
      <pivotArea outline="0" fieldPosition="0"/>
    </format>
    <format dxfId="22">
      <pivotArea type="origin" dataOnly="0" labelOnly="1" outline="0" fieldPosition="0"/>
    </format>
    <format dxfId="21">
      <pivotArea field="-2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21" type="button" dataOnly="0" labelOnly="1" outline="0" axis="axisRow" fieldPosition="0"/>
    </format>
    <format dxfId="18">
      <pivotArea field="11" type="button" dataOnly="0" labelOnly="1" outline="0" axis="axisRow" fieldPosition="1"/>
    </format>
    <format dxfId="17">
      <pivotArea dataOnly="0" labelOnly="1" outline="0" fieldPosition="0">
        <references count="1">
          <reference field="21" count="0"/>
        </references>
      </pivotArea>
    </format>
    <format dxfId="16">
      <pivotArea dataOnly="0" labelOnly="1" outline="0" fieldPosition="0">
        <references count="1">
          <reference field="21" count="0" defaultSubtotal="1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type="all" dataOnly="0" outline="0" fieldPosition="0"/>
    </format>
    <format dxfId="11">
      <pivotArea outline="0" fieldPosition="0"/>
    </format>
    <format dxfId="10">
      <pivotArea type="origin" dataOnly="0" labelOnly="1" outline="0" fieldPosition="0"/>
    </format>
    <format dxfId="9">
      <pivotArea field="-2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21" type="button" dataOnly="0" labelOnly="1" outline="0" axis="axisRow" fieldPosition="0"/>
    </format>
    <format dxfId="6">
      <pivotArea field="11" type="button" dataOnly="0" labelOnly="1" outline="0" axis="axisRow" fieldPosition="1"/>
    </format>
    <format dxfId="5">
      <pivotArea dataOnly="0" labelOnly="1" outline="0" fieldPosition="0">
        <references count="1">
          <reference field="21" count="0"/>
        </references>
      </pivotArea>
    </format>
    <format dxfId="4">
      <pivotArea dataOnly="0" labelOnly="1" outline="0" fieldPosition="0">
        <references count="1">
          <reference field="21" count="0" defaultSubtotal="1"/>
        </references>
      </pivotArea>
    </format>
    <format dxfId="3">
      <pivotArea dataOnly="0" labelOnly="1" grandRow="1" outline="0" fieldPosition="0"/>
    </format>
    <format dxfId="2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PivotTable1" cacheId="0" applyNumberFormats="0" applyBorderFormats="0" applyFontFormats="0" applyPatternFormats="0" applyAlignmentFormats="0" applyWidthHeightFormats="1" dataCaption="Data" useAutoFormatting="1" itemPrintTitles="1" createdVersion="4">
  <location ref="A6:C18" firstHeaderRow="1" firstDataRow="2" firstDataCol="1" rowPageCount="4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h="1" x="1"/>
        <item h="1"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h="1" x="1"/>
        <item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Page" compact="0" outline="0" subtotalTop="0" showAll="0">
      <items count="18">
        <item h="1" x="12"/>
        <item x="1"/>
        <item x="0"/>
        <item h="1" x="11"/>
        <item h="1" x="8"/>
        <item x="7"/>
        <item x="2"/>
        <item x="3"/>
        <item x="4"/>
        <item x="6"/>
        <item x="5"/>
        <item h="1" x="9"/>
        <item h="1" x="10"/>
        <item h="1" x="15"/>
        <item h="1" x="16"/>
        <item x="13"/>
        <item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1"/>
  </rowFields>
  <rowItems count="11"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50"/>
    </i>
    <i t="grand">
      <x/>
    </i>
  </rowItems>
  <colFields count="1">
    <field x="-2"/>
  </colFields>
  <colItems count="2">
    <i>
      <x/>
    </i>
    <i i="1">
      <x v="1"/>
    </i>
  </colItems>
  <pageFields count="4">
    <pageField fld="0" hier="0"/>
    <pageField fld="1" hier="0"/>
    <pageField fld="21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1">
    <format dxfId="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AB1694" totalsRowShown="0" headerRowDxfId="55" dataDxfId="54">
  <autoFilter ref="A4:AB1694" xr:uid="{00000000-0009-0000-0100-000001000000}"/>
  <tableColumns count="28">
    <tableColumn id="1" xr3:uid="{00000000-0010-0000-0000-000001000000}" name="Cluster" dataDxfId="53"/>
    <tableColumn id="2" xr3:uid="{00000000-0010-0000-0000-000002000000}" name="Reporting Period" dataDxfId="52"/>
    <tableColumn id="3" xr3:uid="{00000000-0010-0000-0000-000003000000}" name="DATE" dataDxfId="51"/>
    <tableColumn id="4" xr3:uid="{00000000-0010-0000-0000-000004000000}" name="NO." dataDxfId="50"/>
    <tableColumn id="5" xr3:uid="{00000000-0010-0000-0000-000005000000}" name="Column1" dataDxfId="49"/>
    <tableColumn id="6" xr3:uid="{00000000-0010-0000-0000-000006000000}" name="IN" dataDxfId="48"/>
    <tableColumn id="7" xr3:uid="{00000000-0010-0000-0000-000007000000}" name="OUT" dataDxfId="47"/>
    <tableColumn id="8" xr3:uid="{00000000-0010-0000-0000-000008000000}" name="Fund Source" dataDxfId="46"/>
    <tableColumn id="9" xr3:uid="{00000000-0010-0000-0000-000009000000}" name="Old Code" dataDxfId="45"/>
    <tableColumn id="10" xr3:uid="{00000000-0010-0000-0000-00000A000000}" name="UACS Code" dataDxfId="44"/>
    <tableColumn id="11" xr3:uid="{00000000-0010-0000-0000-00000B000000}" name="Account Title" dataDxfId="43"/>
    <tableColumn id="12" xr3:uid="{00000000-0010-0000-0000-00000C000000}" name="Concatenate" dataDxfId="42"/>
    <tableColumn id="13" xr3:uid="{00000000-0010-0000-0000-00000D000000}" name="RC" dataDxfId="41"/>
    <tableColumn id="14" xr3:uid="{00000000-0010-0000-0000-00000E000000}" name="PAYEE" dataDxfId="40"/>
    <tableColumn id="15" xr3:uid="{00000000-0010-0000-0000-00000F000000}" name="PARTICULARS" dataDxfId="39"/>
    <tableColumn id="16" xr3:uid="{00000000-0010-0000-0000-000010000000}" name="ALLOMENT RECEIVED" dataDxfId="38"/>
    <tableColumn id="17" xr3:uid="{00000000-0010-0000-0000-000011000000}" name="OBLIGATION INCURRED" dataDxfId="37"/>
    <tableColumn id="18" xr3:uid="{00000000-0010-0000-0000-000012000000}" name="Balance" dataDxfId="36"/>
    <tableColumn id="19" xr3:uid="{00000000-0010-0000-0000-000013000000}" name="Allotment Class" dataDxfId="35"/>
    <tableColumn id="20" xr3:uid="{00000000-0010-0000-0000-000014000000}" name="Document Received" dataDxfId="34"/>
    <tableColumn id="21" xr3:uid="{00000000-0010-0000-0000-000015000000}" name="No.2" dataDxfId="33"/>
    <tableColumn id="22" xr3:uid="{00000000-0010-0000-0000-000016000000}" name="MFO-PAP Acronym" dataDxfId="32"/>
    <tableColumn id="23" xr3:uid="{00000000-0010-0000-0000-000017000000}" name="Funding Code" dataDxfId="31"/>
    <tableColumn id="24" xr3:uid="{00000000-0010-0000-0000-000018000000}" name="Fund Source3" dataDxfId="30"/>
    <tableColumn id="25" xr3:uid="{00000000-0010-0000-0000-000019000000}" name="OLD Account" dataDxfId="29"/>
    <tableColumn id="26" xr3:uid="{00000000-0010-0000-0000-00001A000000}" name="UACS Accounts" dataDxfId="28"/>
    <tableColumn id="27" xr3:uid="{00000000-0010-0000-0000-00001B000000}" name="MFO/PAP Number" dataDxfId="27"/>
    <tableColumn id="28" xr3:uid="{00000000-0010-0000-0000-00001C000000}" name="MFO/PAP Description" dataDxfId="26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6" Type="http://schemas.openxmlformats.org/officeDocument/2006/relationships/comments" Target="../comments1.xml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3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5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6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7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065B7-8660-4136-AF07-F7C30CEE773E}">
  <sheetPr>
    <tabColor rgb="FFFF0000"/>
  </sheetPr>
  <dimension ref="A2:L345"/>
  <sheetViews>
    <sheetView tabSelected="1" workbookViewId="0">
      <pane ySplit="2" topLeftCell="A12" activePane="bottomLeft" state="frozen"/>
      <selection pane="bottomLeft" activeCell="B17" sqref="B17"/>
    </sheetView>
  </sheetViews>
  <sheetFormatPr defaultRowHeight="14.4"/>
  <cols>
    <col min="1" max="1" width="15.6640625" style="581" customWidth="1"/>
    <col min="2" max="2" width="44.5546875" style="581" customWidth="1"/>
    <col min="3" max="3" width="32.6640625" style="581" customWidth="1"/>
    <col min="4" max="4" width="14.6640625" style="581" customWidth="1"/>
    <col min="5" max="5" width="14.6640625" style="582" customWidth="1"/>
    <col min="6" max="6" width="11.33203125" customWidth="1"/>
    <col min="9" max="9" width="42.6640625" customWidth="1"/>
    <col min="12" max="12" width="29.6640625" customWidth="1"/>
    <col min="13" max="13" width="34.109375" customWidth="1"/>
  </cols>
  <sheetData>
    <row r="2" spans="1:12" ht="27.6">
      <c r="A2" s="585" t="s">
        <v>2045</v>
      </c>
      <c r="B2" s="586" t="s">
        <v>155</v>
      </c>
      <c r="C2" s="586" t="s">
        <v>156</v>
      </c>
      <c r="D2" s="578" t="s">
        <v>1993</v>
      </c>
      <c r="E2" s="578" t="s">
        <v>1992</v>
      </c>
      <c r="F2" s="549" t="s">
        <v>2047</v>
      </c>
    </row>
    <row r="3" spans="1:12" ht="41.4">
      <c r="A3" s="587" t="s">
        <v>4681</v>
      </c>
      <c r="B3" s="575" t="s">
        <v>823</v>
      </c>
      <c r="C3" s="575" t="s">
        <v>4659</v>
      </c>
      <c r="D3" s="579">
        <v>-36825</v>
      </c>
      <c r="E3" s="580" t="s">
        <v>813</v>
      </c>
      <c r="F3" s="550"/>
      <c r="G3">
        <v>356</v>
      </c>
      <c r="H3" t="s">
        <v>4631</v>
      </c>
      <c r="I3" t="s">
        <v>823</v>
      </c>
      <c r="J3" t="s">
        <v>4659</v>
      </c>
      <c r="K3" s="583" t="str">
        <f>A3</f>
        <v>SDD-2021-356</v>
      </c>
      <c r="L3" t="str">
        <f>CONCATENATE("Fund 01-2021-04-",H3)</f>
        <v>Fund 01-2021-04-354</v>
      </c>
    </row>
    <row r="4" spans="1:12" ht="41.4">
      <c r="A4" s="587" t="s">
        <v>4682</v>
      </c>
      <c r="B4" s="575" t="s">
        <v>821</v>
      </c>
      <c r="C4" s="575" t="s">
        <v>4659</v>
      </c>
      <c r="D4" s="579">
        <v>-72845</v>
      </c>
      <c r="E4" s="580" t="s">
        <v>813</v>
      </c>
      <c r="F4" s="550"/>
      <c r="G4">
        <v>357</v>
      </c>
      <c r="H4" t="s">
        <v>4632</v>
      </c>
      <c r="I4" t="s">
        <v>821</v>
      </c>
      <c r="J4" t="s">
        <v>4659</v>
      </c>
      <c r="K4" s="583" t="str">
        <f t="shared" ref="K4:K31" si="0">A4</f>
        <v>SDD-2021-357</v>
      </c>
      <c r="L4" t="str">
        <f t="shared" ref="L4:L31" si="1">CONCATENATE("Fund 01-2021-04-",H4)</f>
        <v>Fund 01-2021-04-355</v>
      </c>
    </row>
    <row r="5" spans="1:12" ht="27.6">
      <c r="A5" s="587" t="s">
        <v>752</v>
      </c>
      <c r="B5" s="575" t="s">
        <v>823</v>
      </c>
      <c r="C5" s="575" t="s">
        <v>4660</v>
      </c>
      <c r="D5" s="579">
        <v>36825</v>
      </c>
      <c r="E5" s="580" t="s">
        <v>816</v>
      </c>
      <c r="F5" s="550"/>
      <c r="G5">
        <v>358</v>
      </c>
      <c r="H5" t="s">
        <v>4633</v>
      </c>
      <c r="I5" t="s">
        <v>823</v>
      </c>
      <c r="J5" t="s">
        <v>4660</v>
      </c>
      <c r="K5" s="583" t="str">
        <f t="shared" si="0"/>
        <v xml:space="preserve"> </v>
      </c>
      <c r="L5" t="str">
        <f t="shared" si="1"/>
        <v>Fund 01-2021-04-356</v>
      </c>
    </row>
    <row r="6" spans="1:12" ht="27.6">
      <c r="A6" s="587" t="s">
        <v>4684</v>
      </c>
      <c r="B6" s="576" t="s">
        <v>821</v>
      </c>
      <c r="C6" s="575" t="s">
        <v>4660</v>
      </c>
      <c r="D6" s="579">
        <v>72845</v>
      </c>
      <c r="E6" s="580" t="s">
        <v>816</v>
      </c>
      <c r="F6" s="550"/>
      <c r="G6">
        <v>359</v>
      </c>
      <c r="H6" t="s">
        <v>4634</v>
      </c>
      <c r="I6" t="s">
        <v>821</v>
      </c>
      <c r="J6" t="s">
        <v>4660</v>
      </c>
      <c r="K6" s="583" t="str">
        <f t="shared" si="0"/>
        <v>FAD-2021-359</v>
      </c>
      <c r="L6" t="str">
        <f t="shared" si="1"/>
        <v>Fund 01-2021-04-357</v>
      </c>
    </row>
    <row r="7" spans="1:12" ht="27.6">
      <c r="A7" s="587" t="s">
        <v>4685</v>
      </c>
      <c r="B7" s="575" t="s">
        <v>4739</v>
      </c>
      <c r="C7" s="575" t="s">
        <v>4662</v>
      </c>
      <c r="D7" s="579">
        <v>83842.210000000006</v>
      </c>
      <c r="E7" s="580" t="s">
        <v>816</v>
      </c>
      <c r="F7" s="550"/>
      <c r="G7">
        <v>360</v>
      </c>
      <c r="H7" t="s">
        <v>4635</v>
      </c>
      <c r="I7" t="s">
        <v>4661</v>
      </c>
      <c r="J7" t="s">
        <v>4662</v>
      </c>
      <c r="K7" s="583" t="str">
        <f t="shared" si="0"/>
        <v>FAD-2021-360</v>
      </c>
      <c r="L7" t="str">
        <f t="shared" si="1"/>
        <v>Fund 01-2021-04-358</v>
      </c>
    </row>
    <row r="8" spans="1:12" ht="27.6">
      <c r="A8" s="587" t="s">
        <v>4686</v>
      </c>
      <c r="B8" s="575" t="s">
        <v>4739</v>
      </c>
      <c r="C8" s="575" t="s">
        <v>4664</v>
      </c>
      <c r="D8" s="579">
        <v>44854.81</v>
      </c>
      <c r="E8" s="580" t="s">
        <v>816</v>
      </c>
      <c r="F8" s="550"/>
      <c r="G8">
        <v>361</v>
      </c>
      <c r="H8" t="s">
        <v>4636</v>
      </c>
      <c r="I8" t="s">
        <v>4663</v>
      </c>
      <c r="J8" t="s">
        <v>4664</v>
      </c>
      <c r="K8" s="583" t="str">
        <f t="shared" si="0"/>
        <v>FAD-2021-361</v>
      </c>
      <c r="L8" t="str">
        <f t="shared" si="1"/>
        <v>Fund 01-2021-04-359</v>
      </c>
    </row>
    <row r="9" spans="1:12" ht="27.6">
      <c r="A9" s="587" t="s">
        <v>4687</v>
      </c>
      <c r="B9" s="575" t="s">
        <v>1030</v>
      </c>
      <c r="C9" s="575" t="s">
        <v>4678</v>
      </c>
      <c r="D9" s="579">
        <v>51992.25</v>
      </c>
      <c r="E9" s="580" t="s">
        <v>816</v>
      </c>
      <c r="F9" s="550"/>
      <c r="G9">
        <v>362</v>
      </c>
      <c r="H9" t="s">
        <v>4637</v>
      </c>
      <c r="I9" t="s">
        <v>4665</v>
      </c>
      <c r="J9" t="s">
        <v>4678</v>
      </c>
      <c r="K9" s="583" t="str">
        <f t="shared" si="0"/>
        <v>FAD-2021-362</v>
      </c>
      <c r="L9" t="str">
        <f t="shared" si="1"/>
        <v>Fund 01-2021-04-360</v>
      </c>
    </row>
    <row r="10" spans="1:12" ht="27.6">
      <c r="A10" s="587" t="s">
        <v>4688</v>
      </c>
      <c r="B10" s="575" t="s">
        <v>4739</v>
      </c>
      <c r="C10" s="575" t="s">
        <v>4679</v>
      </c>
      <c r="D10" s="579">
        <v>70724.81</v>
      </c>
      <c r="E10" s="580" t="s">
        <v>816</v>
      </c>
      <c r="F10" s="550"/>
      <c r="G10">
        <v>363</v>
      </c>
      <c r="H10" t="s">
        <v>4638</v>
      </c>
      <c r="I10" t="s">
        <v>4666</v>
      </c>
      <c r="J10" t="s">
        <v>4679</v>
      </c>
      <c r="K10" s="583" t="str">
        <f t="shared" si="0"/>
        <v>FAD-2021-363</v>
      </c>
      <c r="L10" t="str">
        <f t="shared" si="1"/>
        <v>Fund 01-2021-04-361</v>
      </c>
    </row>
    <row r="11" spans="1:12" ht="27.6">
      <c r="A11" s="587" t="s">
        <v>4689</v>
      </c>
      <c r="B11" s="576" t="s">
        <v>1030</v>
      </c>
      <c r="C11" s="576" t="s">
        <v>4667</v>
      </c>
      <c r="D11" s="579">
        <v>1600</v>
      </c>
      <c r="E11" s="580" t="s">
        <v>816</v>
      </c>
      <c r="F11" s="550"/>
      <c r="G11">
        <v>364</v>
      </c>
      <c r="H11" t="s">
        <v>4639</v>
      </c>
      <c r="I11" t="s">
        <v>1030</v>
      </c>
      <c r="J11" t="s">
        <v>4667</v>
      </c>
      <c r="K11" s="583" t="str">
        <f t="shared" si="0"/>
        <v>FAD-2021-364</v>
      </c>
      <c r="L11" t="str">
        <f t="shared" si="1"/>
        <v>Fund 01-2021-04-362</v>
      </c>
    </row>
    <row r="12" spans="1:12" ht="27.6">
      <c r="A12" s="587" t="s">
        <v>4690</v>
      </c>
      <c r="B12" s="575" t="s">
        <v>1030</v>
      </c>
      <c r="C12" s="575" t="s">
        <v>4668</v>
      </c>
      <c r="D12" s="579">
        <v>149545.45000000001</v>
      </c>
      <c r="E12" s="580" t="s">
        <v>816</v>
      </c>
      <c r="F12" s="550"/>
      <c r="G12">
        <v>365</v>
      </c>
      <c r="H12" t="s">
        <v>4640</v>
      </c>
      <c r="I12" t="s">
        <v>1030</v>
      </c>
      <c r="J12" t="s">
        <v>4668</v>
      </c>
      <c r="K12" s="583" t="str">
        <f t="shared" si="0"/>
        <v>FAD-2021-365</v>
      </c>
      <c r="L12" t="str">
        <f t="shared" si="1"/>
        <v>Fund 01-2021-04-363</v>
      </c>
    </row>
    <row r="13" spans="1:12" ht="27.6">
      <c r="A13" s="587" t="s">
        <v>4691</v>
      </c>
      <c r="B13" s="575" t="s">
        <v>6</v>
      </c>
      <c r="C13" s="575" t="s">
        <v>761</v>
      </c>
      <c r="D13" s="579">
        <v>10000</v>
      </c>
      <c r="E13" s="580" t="s">
        <v>4602</v>
      </c>
      <c r="F13" s="550"/>
      <c r="G13">
        <v>366</v>
      </c>
      <c r="H13" t="s">
        <v>4641</v>
      </c>
      <c r="I13" t="s">
        <v>6</v>
      </c>
      <c r="J13" t="s">
        <v>761</v>
      </c>
      <c r="K13" s="583" t="str">
        <f t="shared" si="0"/>
        <v>ORD-2021-366</v>
      </c>
      <c r="L13" t="str">
        <f t="shared" si="1"/>
        <v>Fund 01-2021-04-364</v>
      </c>
    </row>
    <row r="14" spans="1:12" ht="41.4">
      <c r="A14" s="587" t="s">
        <v>4692</v>
      </c>
      <c r="B14" s="575" t="s">
        <v>789</v>
      </c>
      <c r="C14" s="575" t="s">
        <v>4669</v>
      </c>
      <c r="D14" s="579">
        <v>666486.65999999992</v>
      </c>
      <c r="E14" s="580" t="s">
        <v>816</v>
      </c>
      <c r="F14" s="550"/>
      <c r="G14">
        <v>367</v>
      </c>
      <c r="H14" t="s">
        <v>4680</v>
      </c>
      <c r="I14" t="s">
        <v>789</v>
      </c>
      <c r="J14" t="s">
        <v>4669</v>
      </c>
      <c r="K14" s="583" t="str">
        <f t="shared" si="0"/>
        <v>FAD-2021-367</v>
      </c>
      <c r="L14" t="str">
        <f t="shared" si="1"/>
        <v>Fund 01-2021-04-364A</v>
      </c>
    </row>
    <row r="15" spans="1:12" ht="41.4">
      <c r="A15" s="587" t="s">
        <v>4693</v>
      </c>
      <c r="B15" s="575" t="s">
        <v>777</v>
      </c>
      <c r="C15" s="575" t="s">
        <v>4669</v>
      </c>
      <c r="D15" s="579">
        <v>429402.37</v>
      </c>
      <c r="E15" s="580" t="s">
        <v>816</v>
      </c>
      <c r="F15" s="550"/>
      <c r="G15">
        <v>368</v>
      </c>
      <c r="H15" t="s">
        <v>4642</v>
      </c>
      <c r="I15" t="s">
        <v>777</v>
      </c>
      <c r="J15" t="s">
        <v>4669</v>
      </c>
      <c r="K15" s="583" t="str">
        <f t="shared" si="0"/>
        <v>FAD-2021-368</v>
      </c>
      <c r="L15" t="str">
        <f t="shared" si="1"/>
        <v>Fund 01-2021-04-365</v>
      </c>
    </row>
    <row r="16" spans="1:12" ht="41.4">
      <c r="A16" s="587" t="s">
        <v>4694</v>
      </c>
      <c r="B16" s="575" t="s">
        <v>764</v>
      </c>
      <c r="C16" s="575" t="s">
        <v>4669</v>
      </c>
      <c r="D16" s="579">
        <v>519338.31</v>
      </c>
      <c r="E16" s="580" t="s">
        <v>816</v>
      </c>
      <c r="F16" s="550"/>
      <c r="G16">
        <v>369</v>
      </c>
      <c r="H16" t="s">
        <v>4643</v>
      </c>
      <c r="I16" t="s">
        <v>764</v>
      </c>
      <c r="J16" t="s">
        <v>4669</v>
      </c>
      <c r="K16" s="583" t="str">
        <f t="shared" si="0"/>
        <v>FAD-2021-369</v>
      </c>
      <c r="L16" t="str">
        <f t="shared" si="1"/>
        <v>Fund 01-2021-04-366</v>
      </c>
    </row>
    <row r="17" spans="1:12" ht="41.4">
      <c r="A17" s="587" t="s">
        <v>4695</v>
      </c>
      <c r="B17" s="575" t="s">
        <v>768</v>
      </c>
      <c r="C17" s="575" t="s">
        <v>4669</v>
      </c>
      <c r="D17" s="579">
        <v>688368.09</v>
      </c>
      <c r="E17" s="580" t="s">
        <v>816</v>
      </c>
      <c r="F17" s="550"/>
      <c r="G17">
        <v>370</v>
      </c>
      <c r="H17" t="s">
        <v>4644</v>
      </c>
      <c r="I17" t="s">
        <v>768</v>
      </c>
      <c r="J17" t="s">
        <v>4669</v>
      </c>
      <c r="K17" s="583" t="str">
        <f t="shared" si="0"/>
        <v>FAD-2021-370</v>
      </c>
      <c r="L17" t="str">
        <f t="shared" si="1"/>
        <v>Fund 01-2021-04-367</v>
      </c>
    </row>
    <row r="18" spans="1:12" ht="41.4">
      <c r="A18" s="587" t="s">
        <v>4696</v>
      </c>
      <c r="B18" s="575" t="s">
        <v>765</v>
      </c>
      <c r="C18" s="575" t="s">
        <v>4669</v>
      </c>
      <c r="D18" s="579">
        <v>341190.56</v>
      </c>
      <c r="E18" s="580" t="s">
        <v>816</v>
      </c>
      <c r="F18" s="550"/>
      <c r="G18">
        <v>371</v>
      </c>
      <c r="H18" t="s">
        <v>4645</v>
      </c>
      <c r="I18" t="s">
        <v>765</v>
      </c>
      <c r="J18" t="s">
        <v>4669</v>
      </c>
      <c r="K18" s="583" t="str">
        <f t="shared" si="0"/>
        <v>FAD-2021-371</v>
      </c>
      <c r="L18" t="str">
        <f t="shared" si="1"/>
        <v>Fund 01-2021-04-368</v>
      </c>
    </row>
    <row r="19" spans="1:12" ht="27.6">
      <c r="A19" s="587" t="s">
        <v>4697</v>
      </c>
      <c r="B19" s="577" t="s">
        <v>863</v>
      </c>
      <c r="C19" s="577" t="s">
        <v>4670</v>
      </c>
      <c r="D19" s="579">
        <v>51777.94</v>
      </c>
      <c r="E19" s="580" t="s">
        <v>816</v>
      </c>
      <c r="F19" s="550"/>
      <c r="G19">
        <v>372</v>
      </c>
      <c r="H19" t="s">
        <v>4646</v>
      </c>
      <c r="I19" t="s">
        <v>863</v>
      </c>
      <c r="J19" t="s">
        <v>4670</v>
      </c>
      <c r="K19" s="583" t="str">
        <f t="shared" si="0"/>
        <v>FAD-2021-372</v>
      </c>
      <c r="L19" t="str">
        <f t="shared" si="1"/>
        <v>Fund 01-2021-04-369</v>
      </c>
    </row>
    <row r="20" spans="1:12" ht="27.6">
      <c r="A20" s="587" t="s">
        <v>4698</v>
      </c>
      <c r="B20" s="575" t="s">
        <v>789</v>
      </c>
      <c r="C20" s="575" t="s">
        <v>4670</v>
      </c>
      <c r="D20" s="579">
        <v>92085.57</v>
      </c>
      <c r="E20" s="580" t="s">
        <v>816</v>
      </c>
      <c r="F20" s="550"/>
      <c r="G20">
        <v>373</v>
      </c>
      <c r="H20" t="s">
        <v>4647</v>
      </c>
      <c r="I20" t="s">
        <v>789</v>
      </c>
      <c r="J20" t="s">
        <v>4670</v>
      </c>
      <c r="K20" s="583" t="str">
        <f t="shared" si="0"/>
        <v>FAD-2021-373</v>
      </c>
      <c r="L20" t="str">
        <f t="shared" si="1"/>
        <v>Fund 01-2021-04-370</v>
      </c>
    </row>
    <row r="21" spans="1:12" ht="27.6">
      <c r="A21" s="587" t="s">
        <v>4699</v>
      </c>
      <c r="B21" s="575" t="s">
        <v>867</v>
      </c>
      <c r="C21" s="575" t="s">
        <v>4670</v>
      </c>
      <c r="D21" s="579">
        <v>40307.629999999997</v>
      </c>
      <c r="E21" s="580" t="s">
        <v>816</v>
      </c>
      <c r="F21" s="550"/>
      <c r="G21">
        <v>374</v>
      </c>
      <c r="H21" t="s">
        <v>4648</v>
      </c>
      <c r="I21" t="s">
        <v>867</v>
      </c>
      <c r="J21" t="s">
        <v>4670</v>
      </c>
      <c r="K21" s="583" t="str">
        <f t="shared" si="0"/>
        <v>FAD-2021-374</v>
      </c>
      <c r="L21" t="str">
        <f t="shared" si="1"/>
        <v>Fund 01-2021-04-371</v>
      </c>
    </row>
    <row r="22" spans="1:12" ht="27.6">
      <c r="A22" s="587" t="s">
        <v>4700</v>
      </c>
      <c r="B22" s="577" t="s">
        <v>869</v>
      </c>
      <c r="C22" s="577" t="s">
        <v>4670</v>
      </c>
      <c r="D22" s="579">
        <v>40307.629999999997</v>
      </c>
      <c r="E22" s="580" t="s">
        <v>816</v>
      </c>
      <c r="F22" s="550"/>
      <c r="G22">
        <v>375</v>
      </c>
      <c r="H22" t="s">
        <v>4649</v>
      </c>
      <c r="I22" t="s">
        <v>869</v>
      </c>
      <c r="J22" t="s">
        <v>4670</v>
      </c>
      <c r="K22" s="583" t="str">
        <f t="shared" si="0"/>
        <v>FAD-2021-375</v>
      </c>
      <c r="L22" t="str">
        <f t="shared" si="1"/>
        <v>Fund 01-2021-04-372</v>
      </c>
    </row>
    <row r="23" spans="1:12" ht="27.6">
      <c r="A23" s="587" t="s">
        <v>4701</v>
      </c>
      <c r="B23" s="575" t="s">
        <v>768</v>
      </c>
      <c r="C23" s="575" t="s">
        <v>4670</v>
      </c>
      <c r="D23" s="579">
        <v>92085.57</v>
      </c>
      <c r="E23" s="580" t="s">
        <v>816</v>
      </c>
      <c r="F23" s="550"/>
      <c r="G23">
        <v>376</v>
      </c>
      <c r="H23" t="s">
        <v>4650</v>
      </c>
      <c r="I23" t="s">
        <v>768</v>
      </c>
      <c r="J23" t="s">
        <v>4670</v>
      </c>
      <c r="K23" s="583" t="str">
        <f t="shared" si="0"/>
        <v>FAD-2021-376</v>
      </c>
      <c r="L23" t="str">
        <f t="shared" si="1"/>
        <v>Fund 01-2021-04-373</v>
      </c>
    </row>
    <row r="24" spans="1:12" ht="27.6">
      <c r="A24" s="587" t="s">
        <v>4702</v>
      </c>
      <c r="B24" s="575" t="s">
        <v>872</v>
      </c>
      <c r="C24" s="575" t="s">
        <v>4670</v>
      </c>
      <c r="D24" s="579">
        <v>40307.629999999997</v>
      </c>
      <c r="E24" s="580" t="s">
        <v>816</v>
      </c>
      <c r="F24" s="550"/>
      <c r="G24">
        <v>377</v>
      </c>
      <c r="H24" t="s">
        <v>4651</v>
      </c>
      <c r="I24" t="s">
        <v>872</v>
      </c>
      <c r="J24" t="s">
        <v>4670</v>
      </c>
      <c r="K24" s="583" t="str">
        <f t="shared" si="0"/>
        <v>FAD-2021-377</v>
      </c>
      <c r="L24" t="str">
        <f t="shared" si="1"/>
        <v>Fund 01-2021-04-374</v>
      </c>
    </row>
    <row r="25" spans="1:12" ht="27.6">
      <c r="A25" s="587" t="s">
        <v>4703</v>
      </c>
      <c r="B25" s="575" t="s">
        <v>779</v>
      </c>
      <c r="C25" s="575" t="s">
        <v>4671</v>
      </c>
      <c r="D25" s="579">
        <v>170501.47</v>
      </c>
      <c r="E25" s="580" t="s">
        <v>816</v>
      </c>
      <c r="F25" s="550"/>
      <c r="G25">
        <v>378</v>
      </c>
      <c r="H25" t="s">
        <v>4652</v>
      </c>
      <c r="I25" t="s">
        <v>779</v>
      </c>
      <c r="J25" t="s">
        <v>4671</v>
      </c>
      <c r="K25" s="583" t="str">
        <f t="shared" si="0"/>
        <v>FAD-2021-378</v>
      </c>
      <c r="L25" t="str">
        <f t="shared" si="1"/>
        <v>Fund 01-2021-04-375</v>
      </c>
    </row>
    <row r="26" spans="1:12" ht="27.6">
      <c r="A26" s="587" t="s">
        <v>4704</v>
      </c>
      <c r="B26" s="575" t="s">
        <v>852</v>
      </c>
      <c r="C26" s="575" t="s">
        <v>4672</v>
      </c>
      <c r="D26" s="579">
        <v>8800</v>
      </c>
      <c r="E26" s="580" t="s">
        <v>816</v>
      </c>
      <c r="F26" s="550"/>
      <c r="G26">
        <v>379</v>
      </c>
      <c r="H26" t="s">
        <v>4653</v>
      </c>
      <c r="I26" t="s">
        <v>852</v>
      </c>
      <c r="J26" t="s">
        <v>4672</v>
      </c>
      <c r="K26" s="583" t="str">
        <f t="shared" si="0"/>
        <v>FAD-2021-379</v>
      </c>
      <c r="L26" t="str">
        <f t="shared" si="1"/>
        <v>Fund 01-2021-04-376</v>
      </c>
    </row>
    <row r="27" spans="1:12" ht="27.6">
      <c r="A27" s="587" t="s">
        <v>4705</v>
      </c>
      <c r="B27" s="575" t="s">
        <v>4673</v>
      </c>
      <c r="C27" s="575" t="s">
        <v>4674</v>
      </c>
      <c r="D27" s="579">
        <v>146502</v>
      </c>
      <c r="E27" s="580" t="s">
        <v>816</v>
      </c>
      <c r="F27" s="550"/>
      <c r="G27">
        <v>380</v>
      </c>
      <c r="H27" t="s">
        <v>4654</v>
      </c>
      <c r="I27" t="s">
        <v>4673</v>
      </c>
      <c r="J27" t="s">
        <v>4674</v>
      </c>
      <c r="K27" s="583" t="str">
        <f t="shared" si="0"/>
        <v>FAD-2021-380</v>
      </c>
      <c r="L27" t="str">
        <f t="shared" si="1"/>
        <v>Fund 01-2021-04-377</v>
      </c>
    </row>
    <row r="28" spans="1:12" ht="41.4">
      <c r="A28" s="587" t="s">
        <v>4706</v>
      </c>
      <c r="B28" s="575" t="s">
        <v>798</v>
      </c>
      <c r="C28" s="575" t="s">
        <v>4675</v>
      </c>
      <c r="D28" s="579">
        <v>32300</v>
      </c>
      <c r="E28" s="580" t="s">
        <v>813</v>
      </c>
      <c r="F28" s="550"/>
      <c r="G28">
        <v>381</v>
      </c>
      <c r="H28" t="s">
        <v>4655</v>
      </c>
      <c r="I28" t="s">
        <v>798</v>
      </c>
      <c r="J28" t="s">
        <v>4675</v>
      </c>
      <c r="K28" s="583" t="str">
        <f t="shared" si="0"/>
        <v>SDD-2021-381</v>
      </c>
      <c r="L28" t="str">
        <f t="shared" si="1"/>
        <v>Fund 01-2021-04-378</v>
      </c>
    </row>
    <row r="29" spans="1:12" ht="41.4">
      <c r="A29" s="587" t="s">
        <v>4707</v>
      </c>
      <c r="B29" s="575" t="s">
        <v>10</v>
      </c>
      <c r="C29" s="575" t="s">
        <v>4669</v>
      </c>
      <c r="D29" s="579">
        <v>2049964.0999999999</v>
      </c>
      <c r="E29" s="580" t="s">
        <v>816</v>
      </c>
      <c r="F29" s="550"/>
      <c r="G29">
        <v>382</v>
      </c>
      <c r="H29" t="s">
        <v>4656</v>
      </c>
      <c r="I29" t="s">
        <v>10</v>
      </c>
      <c r="J29" t="s">
        <v>4669</v>
      </c>
      <c r="K29" s="583" t="str">
        <f t="shared" si="0"/>
        <v>FAD-2021-382</v>
      </c>
      <c r="L29" t="str">
        <f t="shared" si="1"/>
        <v>Fund 01-2021-04-379</v>
      </c>
    </row>
    <row r="30" spans="1:12" ht="41.4">
      <c r="A30" s="587" t="s">
        <v>4708</v>
      </c>
      <c r="B30" s="575" t="s">
        <v>773</v>
      </c>
      <c r="C30" s="575" t="s">
        <v>4675</v>
      </c>
      <c r="D30" s="579">
        <v>19500</v>
      </c>
      <c r="E30" s="580" t="s">
        <v>816</v>
      </c>
      <c r="F30" s="550"/>
      <c r="G30">
        <v>383</v>
      </c>
      <c r="H30" t="s">
        <v>4657</v>
      </c>
      <c r="I30" t="s">
        <v>773</v>
      </c>
      <c r="J30" t="s">
        <v>4675</v>
      </c>
      <c r="K30" s="583" t="str">
        <f t="shared" si="0"/>
        <v>FAD-2021-383</v>
      </c>
      <c r="L30" t="str">
        <f t="shared" si="1"/>
        <v>Fund 01-2021-04-380</v>
      </c>
    </row>
    <row r="31" spans="1:12">
      <c r="A31" s="587" t="s">
        <v>4709</v>
      </c>
      <c r="B31" s="575" t="s">
        <v>6</v>
      </c>
      <c r="C31" s="575" t="s">
        <v>4677</v>
      </c>
      <c r="D31" s="579">
        <v>29659.09</v>
      </c>
      <c r="E31" s="580" t="s">
        <v>4602</v>
      </c>
      <c r="F31" s="550"/>
      <c r="G31">
        <v>384</v>
      </c>
      <c r="H31" t="s">
        <v>4658</v>
      </c>
      <c r="I31" t="s">
        <v>6</v>
      </c>
      <c r="J31" t="s">
        <v>4677</v>
      </c>
      <c r="K31" s="583" t="str">
        <f t="shared" si="0"/>
        <v>ORD-2021-384</v>
      </c>
      <c r="L31" t="str">
        <f t="shared" si="1"/>
        <v>Fund 01-2021-04-381</v>
      </c>
    </row>
    <row r="32" spans="1:12">
      <c r="A32" s="587"/>
      <c r="B32" s="577"/>
      <c r="C32" s="577"/>
      <c r="D32" s="579"/>
      <c r="E32" s="580"/>
      <c r="F32" s="550"/>
    </row>
    <row r="33" spans="1:6">
      <c r="A33" s="587"/>
      <c r="B33" s="588"/>
      <c r="C33" s="588"/>
      <c r="D33" s="579"/>
      <c r="E33" s="580"/>
      <c r="F33" s="550"/>
    </row>
    <row r="34" spans="1:6">
      <c r="A34" s="587"/>
      <c r="B34" s="575"/>
      <c r="C34" s="575"/>
      <c r="D34" s="579"/>
      <c r="E34" s="580"/>
      <c r="F34" s="550"/>
    </row>
    <row r="35" spans="1:6">
      <c r="A35" s="587"/>
      <c r="B35" s="575"/>
      <c r="C35" s="575"/>
      <c r="D35" s="579"/>
      <c r="E35" s="580"/>
      <c r="F35" s="550"/>
    </row>
    <row r="36" spans="1:6">
      <c r="A36" s="587"/>
      <c r="B36" s="575"/>
      <c r="C36" s="575"/>
      <c r="D36" s="579"/>
      <c r="E36" s="580"/>
      <c r="F36" s="550"/>
    </row>
    <row r="37" spans="1:6">
      <c r="A37" s="587"/>
      <c r="B37" s="575"/>
      <c r="C37" s="575"/>
      <c r="D37" s="579"/>
      <c r="E37" s="580"/>
      <c r="F37" s="550"/>
    </row>
    <row r="38" spans="1:6">
      <c r="A38" s="587"/>
      <c r="B38" s="575"/>
      <c r="C38" s="575"/>
      <c r="D38" s="579"/>
      <c r="E38" s="580"/>
      <c r="F38" s="550"/>
    </row>
    <row r="39" spans="1:6">
      <c r="A39" s="587"/>
      <c r="B39" s="575"/>
      <c r="C39" s="575"/>
      <c r="D39" s="579"/>
      <c r="E39" s="580"/>
      <c r="F39" s="550"/>
    </row>
    <row r="40" spans="1:6">
      <c r="A40" s="587"/>
      <c r="B40" s="575"/>
      <c r="C40" s="575"/>
      <c r="D40" s="579"/>
      <c r="E40" s="580"/>
      <c r="F40" s="550"/>
    </row>
    <row r="41" spans="1:6">
      <c r="A41" s="587"/>
      <c r="B41" s="575"/>
      <c r="C41" s="575"/>
      <c r="D41" s="579"/>
      <c r="E41" s="580"/>
      <c r="F41" s="550"/>
    </row>
    <row r="42" spans="1:6">
      <c r="A42" s="587"/>
      <c r="B42" s="575"/>
      <c r="C42" s="575"/>
      <c r="D42" s="579"/>
      <c r="E42" s="580"/>
      <c r="F42" s="550"/>
    </row>
    <row r="43" spans="1:6">
      <c r="A43" s="587"/>
      <c r="B43" s="575"/>
      <c r="C43" s="575"/>
      <c r="D43" s="579"/>
      <c r="E43" s="580"/>
      <c r="F43" s="550"/>
    </row>
    <row r="44" spans="1:6">
      <c r="A44" s="587"/>
      <c r="B44" s="575"/>
      <c r="C44" s="575"/>
      <c r="D44" s="579"/>
      <c r="E44" s="580"/>
      <c r="F44" s="550"/>
    </row>
    <row r="45" spans="1:6">
      <c r="A45" s="587"/>
      <c r="B45" s="575"/>
      <c r="C45" s="575"/>
      <c r="D45" s="579"/>
      <c r="E45" s="580"/>
      <c r="F45" s="550"/>
    </row>
    <row r="46" spans="1:6">
      <c r="A46" s="587"/>
      <c r="B46" s="575"/>
      <c r="C46" s="575"/>
      <c r="D46" s="579"/>
      <c r="E46" s="580"/>
      <c r="F46" s="550"/>
    </row>
    <row r="47" spans="1:6">
      <c r="A47" s="587"/>
      <c r="B47" s="575"/>
      <c r="C47" s="575"/>
      <c r="D47" s="579"/>
      <c r="E47" s="580"/>
      <c r="F47" s="550"/>
    </row>
    <row r="48" spans="1:6">
      <c r="A48" s="587"/>
      <c r="B48" s="575"/>
      <c r="C48" s="575"/>
      <c r="D48" s="579"/>
      <c r="E48" s="580"/>
      <c r="F48" s="550"/>
    </row>
    <row r="49" spans="1:6">
      <c r="A49" s="587"/>
      <c r="B49" s="575"/>
      <c r="C49" s="575"/>
      <c r="D49" s="579"/>
      <c r="E49" s="580"/>
      <c r="F49" s="550"/>
    </row>
    <row r="50" spans="1:6">
      <c r="A50" s="587"/>
      <c r="B50" s="589"/>
      <c r="C50" s="589"/>
      <c r="D50" s="579"/>
      <c r="E50" s="580"/>
      <c r="F50" s="550"/>
    </row>
    <row r="51" spans="1:6">
      <c r="A51" s="587"/>
      <c r="B51" s="589"/>
      <c r="C51" s="589"/>
      <c r="D51" s="579"/>
      <c r="E51" s="580"/>
      <c r="F51" s="550"/>
    </row>
    <row r="52" spans="1:6">
      <c r="A52" s="587"/>
      <c r="B52" s="589"/>
      <c r="C52" s="589"/>
      <c r="D52" s="579"/>
      <c r="E52" s="580"/>
      <c r="F52" s="550"/>
    </row>
    <row r="53" spans="1:6">
      <c r="A53" s="587"/>
      <c r="B53" s="589"/>
      <c r="C53" s="589"/>
      <c r="D53" s="579"/>
      <c r="E53" s="580"/>
      <c r="F53" s="550"/>
    </row>
    <row r="54" spans="1:6">
      <c r="A54" s="587"/>
      <c r="B54" s="589"/>
      <c r="C54" s="589"/>
      <c r="D54" s="579"/>
      <c r="E54" s="580"/>
      <c r="F54" s="550"/>
    </row>
    <row r="55" spans="1:6">
      <c r="A55" s="587"/>
      <c r="B55" s="575"/>
      <c r="C55" s="575"/>
      <c r="D55" s="579"/>
      <c r="E55" s="580"/>
      <c r="F55" s="550"/>
    </row>
    <row r="56" spans="1:6">
      <c r="A56" s="587"/>
      <c r="B56" s="575"/>
      <c r="C56" s="575"/>
      <c r="D56" s="579"/>
      <c r="E56" s="580"/>
      <c r="F56" s="550"/>
    </row>
    <row r="57" spans="1:6">
      <c r="A57" s="587"/>
      <c r="B57" s="575"/>
      <c r="C57" s="575"/>
      <c r="D57" s="579"/>
      <c r="E57" s="580"/>
      <c r="F57" s="550"/>
    </row>
    <row r="58" spans="1:6">
      <c r="A58" s="587"/>
      <c r="B58" s="575"/>
      <c r="C58" s="575"/>
      <c r="D58" s="579"/>
      <c r="E58" s="580"/>
      <c r="F58" s="550"/>
    </row>
    <row r="59" spans="1:6">
      <c r="A59" s="587"/>
      <c r="B59" s="575"/>
      <c r="C59" s="575"/>
      <c r="D59" s="579"/>
      <c r="E59" s="580"/>
      <c r="F59" s="550"/>
    </row>
    <row r="60" spans="1:6">
      <c r="A60" s="587"/>
      <c r="B60" s="575"/>
      <c r="C60" s="575"/>
      <c r="D60" s="579"/>
      <c r="E60" s="580"/>
      <c r="F60" s="550"/>
    </row>
    <row r="61" spans="1:6">
      <c r="A61" s="587"/>
      <c r="B61" s="575"/>
      <c r="C61" s="575"/>
      <c r="D61" s="579"/>
      <c r="E61" s="580"/>
      <c r="F61" s="550"/>
    </row>
    <row r="62" spans="1:6">
      <c r="A62" s="587"/>
      <c r="B62" s="575"/>
      <c r="C62" s="575"/>
      <c r="D62" s="579"/>
      <c r="E62" s="580"/>
      <c r="F62" s="550"/>
    </row>
    <row r="63" spans="1:6">
      <c r="A63" s="587"/>
      <c r="B63" s="575"/>
      <c r="C63" s="575"/>
      <c r="D63" s="579"/>
      <c r="E63" s="580"/>
      <c r="F63" s="550"/>
    </row>
    <row r="64" spans="1:6">
      <c r="A64" s="587"/>
      <c r="B64" s="575"/>
      <c r="C64" s="575"/>
      <c r="D64" s="579"/>
      <c r="E64" s="580"/>
      <c r="F64" s="550"/>
    </row>
    <row r="65" spans="1:6">
      <c r="A65" s="587"/>
      <c r="B65" s="575"/>
      <c r="C65" s="575"/>
      <c r="D65" s="579"/>
      <c r="E65" s="580"/>
      <c r="F65" s="550"/>
    </row>
    <row r="66" spans="1:6">
      <c r="A66" s="587"/>
      <c r="B66" s="575"/>
      <c r="C66" s="575"/>
      <c r="D66" s="579"/>
      <c r="E66" s="580"/>
      <c r="F66" s="550"/>
    </row>
    <row r="67" spans="1:6">
      <c r="A67" s="587"/>
      <c r="B67" s="575"/>
      <c r="C67" s="575"/>
      <c r="D67" s="579"/>
      <c r="E67" s="580"/>
      <c r="F67" s="550"/>
    </row>
    <row r="68" spans="1:6">
      <c r="A68" s="587"/>
      <c r="B68" s="575"/>
      <c r="C68" s="575"/>
      <c r="D68" s="579"/>
      <c r="E68" s="580"/>
      <c r="F68" s="550"/>
    </row>
    <row r="69" spans="1:6">
      <c r="A69" s="587"/>
      <c r="B69" s="575"/>
      <c r="C69" s="575"/>
      <c r="D69" s="579"/>
      <c r="E69" s="580"/>
      <c r="F69" s="550"/>
    </row>
    <row r="70" spans="1:6">
      <c r="A70" s="587"/>
      <c r="B70" s="575"/>
      <c r="C70" s="575"/>
      <c r="D70" s="579"/>
      <c r="E70" s="580"/>
      <c r="F70" s="550"/>
    </row>
    <row r="71" spans="1:6">
      <c r="A71" s="587"/>
      <c r="B71" s="575"/>
      <c r="C71" s="575"/>
      <c r="D71" s="579"/>
      <c r="E71" s="580"/>
      <c r="F71" s="550"/>
    </row>
    <row r="72" spans="1:6">
      <c r="A72" s="587"/>
      <c r="B72" s="575"/>
      <c r="C72" s="575"/>
      <c r="D72" s="579"/>
      <c r="E72" s="580"/>
      <c r="F72" s="550"/>
    </row>
    <row r="73" spans="1:6">
      <c r="A73" s="587"/>
      <c r="B73" s="575"/>
      <c r="C73" s="575"/>
      <c r="D73" s="579"/>
      <c r="E73" s="580"/>
      <c r="F73" s="550"/>
    </row>
    <row r="74" spans="1:6">
      <c r="A74" s="587"/>
      <c r="B74" s="575"/>
      <c r="C74" s="575"/>
      <c r="D74" s="579"/>
      <c r="E74" s="580"/>
      <c r="F74" s="550"/>
    </row>
    <row r="75" spans="1:6">
      <c r="A75" s="587"/>
      <c r="B75" s="575"/>
      <c r="C75" s="575"/>
      <c r="D75" s="579"/>
      <c r="E75" s="580"/>
      <c r="F75" s="550"/>
    </row>
    <row r="76" spans="1:6">
      <c r="A76" s="587"/>
      <c r="B76" s="575"/>
      <c r="C76" s="575"/>
      <c r="D76" s="579"/>
      <c r="E76" s="580"/>
      <c r="F76" s="550"/>
    </row>
    <row r="77" spans="1:6">
      <c r="A77" s="587"/>
      <c r="B77" s="575"/>
      <c r="C77" s="575"/>
      <c r="D77" s="579"/>
      <c r="E77" s="580"/>
      <c r="F77" s="550"/>
    </row>
    <row r="78" spans="1:6">
      <c r="A78" s="587"/>
      <c r="B78" s="575"/>
      <c r="C78" s="575"/>
      <c r="D78" s="579"/>
      <c r="E78" s="580"/>
      <c r="F78" s="550"/>
    </row>
    <row r="79" spans="1:6">
      <c r="A79" s="587"/>
      <c r="B79" s="575"/>
      <c r="C79" s="575"/>
      <c r="D79" s="579"/>
      <c r="E79" s="580"/>
      <c r="F79" s="550"/>
    </row>
    <row r="80" spans="1:6">
      <c r="A80" s="587"/>
      <c r="B80" s="575"/>
      <c r="C80" s="575"/>
      <c r="D80" s="579"/>
      <c r="E80" s="580"/>
      <c r="F80" s="550"/>
    </row>
    <row r="81" spans="1:6">
      <c r="A81" s="587"/>
      <c r="B81" s="575"/>
      <c r="C81" s="575"/>
      <c r="D81" s="579"/>
      <c r="E81" s="580"/>
      <c r="F81" s="550"/>
    </row>
    <row r="82" spans="1:6">
      <c r="A82" s="587"/>
      <c r="B82" s="575"/>
      <c r="C82" s="575"/>
      <c r="D82" s="579"/>
      <c r="E82" s="580"/>
      <c r="F82" s="550"/>
    </row>
    <row r="83" spans="1:6">
      <c r="A83" s="587"/>
      <c r="B83" s="577"/>
      <c r="C83" s="577"/>
      <c r="D83" s="579"/>
      <c r="E83" s="580"/>
      <c r="F83" s="550"/>
    </row>
    <row r="84" spans="1:6">
      <c r="A84" s="587"/>
      <c r="B84" s="575"/>
      <c r="C84" s="575"/>
      <c r="D84" s="579"/>
      <c r="E84" s="580"/>
      <c r="F84" s="550"/>
    </row>
    <row r="85" spans="1:6">
      <c r="A85" s="587"/>
      <c r="B85" s="575"/>
      <c r="C85" s="575"/>
      <c r="D85" s="579"/>
      <c r="E85" s="580"/>
      <c r="F85" s="550"/>
    </row>
    <row r="86" spans="1:6">
      <c r="A86" s="587"/>
      <c r="B86" s="575"/>
      <c r="C86" s="575"/>
      <c r="D86" s="579"/>
      <c r="E86" s="580"/>
      <c r="F86" s="550"/>
    </row>
    <row r="87" spans="1:6">
      <c r="A87" s="587"/>
      <c r="B87" s="577"/>
      <c r="C87" s="577"/>
      <c r="D87" s="579"/>
      <c r="E87" s="580"/>
      <c r="F87" s="550"/>
    </row>
    <row r="88" spans="1:6">
      <c r="A88" s="587"/>
      <c r="B88" s="575"/>
      <c r="C88" s="575"/>
      <c r="D88" s="579"/>
      <c r="E88" s="580"/>
      <c r="F88" s="550"/>
    </row>
    <row r="89" spans="1:6">
      <c r="A89" s="587"/>
      <c r="B89" s="577"/>
      <c r="C89" s="577"/>
      <c r="D89" s="579"/>
      <c r="E89" s="580"/>
      <c r="F89" s="550"/>
    </row>
    <row r="90" spans="1:6">
      <c r="A90" s="587"/>
      <c r="B90" s="577"/>
      <c r="C90" s="577"/>
      <c r="D90" s="579"/>
      <c r="E90" s="580"/>
      <c r="F90" s="550"/>
    </row>
    <row r="91" spans="1:6">
      <c r="A91" s="587"/>
      <c r="B91" s="577"/>
      <c r="C91" s="577"/>
      <c r="D91" s="579"/>
      <c r="E91" s="580"/>
      <c r="F91" s="550"/>
    </row>
    <row r="92" spans="1:6">
      <c r="A92" s="587"/>
      <c r="B92" s="577"/>
      <c r="C92" s="577"/>
      <c r="D92" s="579"/>
      <c r="E92" s="580"/>
      <c r="F92" s="550"/>
    </row>
    <row r="93" spans="1:6">
      <c r="A93" s="587"/>
      <c r="B93" s="577"/>
      <c r="C93" s="577"/>
      <c r="D93" s="579"/>
      <c r="E93" s="580"/>
      <c r="F93" s="550"/>
    </row>
    <row r="94" spans="1:6">
      <c r="A94" s="587"/>
      <c r="B94" s="575"/>
      <c r="C94" s="575"/>
      <c r="D94" s="579"/>
      <c r="E94" s="580"/>
      <c r="F94" s="550"/>
    </row>
    <row r="95" spans="1:6">
      <c r="A95" s="587"/>
      <c r="B95" s="577"/>
      <c r="C95" s="577"/>
      <c r="D95" s="579"/>
      <c r="E95" s="580"/>
      <c r="F95" s="550"/>
    </row>
    <row r="96" spans="1:6">
      <c r="A96" s="587"/>
      <c r="B96" s="577"/>
      <c r="C96" s="577"/>
      <c r="D96" s="579"/>
      <c r="E96" s="580"/>
      <c r="F96" s="550"/>
    </row>
    <row r="97" spans="1:6">
      <c r="A97" s="587"/>
      <c r="B97" s="577"/>
      <c r="C97" s="577"/>
      <c r="D97" s="579"/>
      <c r="E97" s="580"/>
      <c r="F97" s="550"/>
    </row>
    <row r="98" spans="1:6">
      <c r="A98" s="587"/>
      <c r="B98" s="575"/>
      <c r="C98" s="575"/>
      <c r="D98" s="579"/>
      <c r="E98" s="580"/>
      <c r="F98" s="550"/>
    </row>
    <row r="99" spans="1:6">
      <c r="A99" s="587"/>
      <c r="B99" s="577"/>
      <c r="C99" s="577"/>
      <c r="D99" s="579"/>
      <c r="E99" s="580"/>
      <c r="F99" s="550"/>
    </row>
    <row r="100" spans="1:6">
      <c r="A100" s="587"/>
      <c r="B100" s="577"/>
      <c r="C100" s="577"/>
      <c r="D100" s="579"/>
      <c r="E100" s="580"/>
      <c r="F100" s="550"/>
    </row>
    <row r="101" spans="1:6">
      <c r="A101" s="587"/>
      <c r="B101" s="577"/>
      <c r="C101" s="577"/>
      <c r="D101" s="579"/>
      <c r="E101" s="580"/>
      <c r="F101" s="550"/>
    </row>
    <row r="102" spans="1:6">
      <c r="A102" s="587"/>
      <c r="B102" s="575"/>
      <c r="C102" s="575"/>
      <c r="D102" s="579"/>
      <c r="E102" s="580"/>
      <c r="F102" s="550"/>
    </row>
    <row r="103" spans="1:6">
      <c r="A103" s="587"/>
      <c r="B103" s="575"/>
      <c r="C103" s="575"/>
      <c r="D103" s="579"/>
      <c r="E103" s="580"/>
      <c r="F103" s="550"/>
    </row>
    <row r="104" spans="1:6">
      <c r="A104" s="587"/>
      <c r="B104" s="575"/>
      <c r="C104" s="575"/>
      <c r="D104" s="579"/>
      <c r="E104" s="580"/>
      <c r="F104" s="550"/>
    </row>
    <row r="105" spans="1:6">
      <c r="A105" s="587"/>
      <c r="B105" s="575"/>
      <c r="C105" s="575"/>
      <c r="D105" s="579"/>
      <c r="E105" s="580"/>
      <c r="F105" s="550"/>
    </row>
    <row r="106" spans="1:6">
      <c r="A106" s="587"/>
      <c r="B106" s="575"/>
      <c r="C106" s="575"/>
      <c r="D106" s="579"/>
      <c r="E106" s="580"/>
      <c r="F106" s="550"/>
    </row>
    <row r="107" spans="1:6">
      <c r="A107" s="587"/>
      <c r="B107" s="575"/>
      <c r="C107" s="575"/>
      <c r="D107" s="579"/>
      <c r="E107" s="580"/>
      <c r="F107" s="550"/>
    </row>
    <row r="108" spans="1:6">
      <c r="A108" s="587"/>
      <c r="B108" s="575"/>
      <c r="C108" s="575"/>
      <c r="D108" s="579"/>
      <c r="E108" s="580"/>
      <c r="F108" s="550"/>
    </row>
    <row r="109" spans="1:6">
      <c r="A109" s="587"/>
      <c r="B109" s="575"/>
      <c r="C109" s="575"/>
      <c r="D109" s="579"/>
      <c r="E109" s="580"/>
      <c r="F109" s="550"/>
    </row>
    <row r="110" spans="1:6">
      <c r="A110" s="587"/>
      <c r="B110" s="575"/>
      <c r="C110" s="575"/>
      <c r="D110" s="579"/>
      <c r="E110" s="580"/>
      <c r="F110" s="550"/>
    </row>
    <row r="111" spans="1:6">
      <c r="A111" s="587"/>
      <c r="B111" s="575"/>
      <c r="C111" s="575"/>
      <c r="D111" s="579"/>
      <c r="E111" s="580"/>
      <c r="F111" s="550"/>
    </row>
    <row r="112" spans="1:6">
      <c r="A112" s="587"/>
      <c r="B112" s="575"/>
      <c r="C112" s="575"/>
      <c r="D112" s="579"/>
      <c r="E112" s="580"/>
      <c r="F112" s="550"/>
    </row>
    <row r="113" spans="1:6">
      <c r="A113" s="587"/>
      <c r="B113" s="575"/>
      <c r="C113" s="575"/>
      <c r="D113" s="579"/>
      <c r="E113" s="580"/>
      <c r="F113" s="550"/>
    </row>
    <row r="114" spans="1:6">
      <c r="A114" s="587"/>
      <c r="B114" s="575"/>
      <c r="C114" s="575"/>
      <c r="D114" s="579"/>
      <c r="E114" s="580"/>
      <c r="F114" s="550"/>
    </row>
    <row r="115" spans="1:6">
      <c r="A115" s="587"/>
      <c r="B115" s="575"/>
      <c r="C115" s="575"/>
      <c r="D115" s="579"/>
      <c r="E115" s="580"/>
      <c r="F115" s="550"/>
    </row>
    <row r="116" spans="1:6">
      <c r="A116" s="587"/>
      <c r="B116" s="575"/>
      <c r="C116" s="575"/>
      <c r="D116" s="579"/>
      <c r="E116" s="580"/>
      <c r="F116" s="550"/>
    </row>
    <row r="117" spans="1:6">
      <c r="A117" s="587"/>
      <c r="B117" s="575"/>
      <c r="C117" s="575"/>
      <c r="D117" s="579"/>
      <c r="E117" s="580"/>
      <c r="F117" s="550"/>
    </row>
    <row r="118" spans="1:6">
      <c r="A118" s="587"/>
      <c r="B118" s="575"/>
      <c r="C118" s="575"/>
      <c r="D118" s="579"/>
      <c r="E118" s="580"/>
      <c r="F118" s="550"/>
    </row>
    <row r="119" spans="1:6">
      <c r="A119" s="587"/>
      <c r="B119" s="575"/>
      <c r="C119" s="575"/>
      <c r="D119" s="579"/>
      <c r="E119" s="580"/>
      <c r="F119" s="550"/>
    </row>
    <row r="120" spans="1:6">
      <c r="A120" s="587"/>
      <c r="B120" s="575"/>
      <c r="C120" s="575"/>
      <c r="D120" s="579"/>
      <c r="E120" s="580"/>
      <c r="F120" s="550"/>
    </row>
    <row r="121" spans="1:6">
      <c r="A121" s="587"/>
      <c r="B121" s="575"/>
      <c r="C121" s="575"/>
      <c r="D121" s="579"/>
      <c r="E121" s="580"/>
      <c r="F121" s="550"/>
    </row>
    <row r="122" spans="1:6">
      <c r="A122" s="587"/>
      <c r="B122" s="575"/>
      <c r="C122" s="575"/>
      <c r="D122" s="579"/>
      <c r="E122" s="580"/>
      <c r="F122" s="550"/>
    </row>
    <row r="123" spans="1:6">
      <c r="A123" s="587"/>
      <c r="B123" s="575"/>
      <c r="C123" s="575"/>
      <c r="D123" s="579"/>
      <c r="E123" s="580"/>
      <c r="F123" s="550"/>
    </row>
    <row r="124" spans="1:6">
      <c r="A124" s="587"/>
      <c r="B124" s="575"/>
      <c r="C124" s="575"/>
      <c r="D124" s="579"/>
      <c r="E124" s="580"/>
      <c r="F124" s="550"/>
    </row>
    <row r="125" spans="1:6">
      <c r="A125" s="587"/>
      <c r="B125" s="577"/>
      <c r="C125" s="577"/>
      <c r="D125" s="579"/>
      <c r="E125" s="580"/>
      <c r="F125" s="550"/>
    </row>
    <row r="126" spans="1:6">
      <c r="A126" s="587"/>
      <c r="B126" s="577"/>
      <c r="C126" s="577"/>
      <c r="D126" s="579"/>
      <c r="E126" s="580"/>
      <c r="F126" s="550"/>
    </row>
    <row r="127" spans="1:6">
      <c r="A127" s="587"/>
      <c r="B127" s="575"/>
      <c r="C127" s="575"/>
      <c r="D127" s="579"/>
      <c r="E127" s="580"/>
      <c r="F127" s="550"/>
    </row>
    <row r="128" spans="1:6">
      <c r="A128" s="587"/>
      <c r="B128" s="577"/>
      <c r="C128" s="577"/>
      <c r="D128" s="579"/>
      <c r="E128" s="580"/>
      <c r="F128" s="550"/>
    </row>
    <row r="129" spans="1:6">
      <c r="A129" s="587"/>
      <c r="B129" s="577"/>
      <c r="C129" s="577"/>
      <c r="D129" s="579"/>
      <c r="E129" s="580"/>
      <c r="F129" s="550"/>
    </row>
    <row r="130" spans="1:6">
      <c r="A130" s="587"/>
      <c r="B130" s="577"/>
      <c r="C130" s="577"/>
      <c r="D130" s="579"/>
      <c r="E130" s="580"/>
      <c r="F130" s="550"/>
    </row>
    <row r="131" spans="1:6">
      <c r="A131" s="587"/>
      <c r="B131" s="577"/>
      <c r="C131" s="577"/>
      <c r="D131" s="579"/>
      <c r="E131" s="580"/>
      <c r="F131" s="550"/>
    </row>
    <row r="132" spans="1:6">
      <c r="A132" s="587"/>
      <c r="B132" s="577"/>
      <c r="C132" s="577"/>
      <c r="D132" s="579"/>
      <c r="E132" s="580"/>
      <c r="F132" s="550"/>
    </row>
    <row r="133" spans="1:6">
      <c r="A133" s="587"/>
      <c r="B133" s="577"/>
      <c r="C133" s="577"/>
      <c r="D133" s="579"/>
      <c r="E133" s="580"/>
      <c r="F133" s="550"/>
    </row>
    <row r="134" spans="1:6">
      <c r="A134" s="587"/>
      <c r="B134" s="577"/>
      <c r="C134" s="577"/>
      <c r="D134" s="579"/>
      <c r="E134" s="580"/>
      <c r="F134" s="550"/>
    </row>
    <row r="135" spans="1:6">
      <c r="A135" s="587"/>
      <c r="B135" s="575"/>
      <c r="C135" s="575"/>
      <c r="D135" s="579"/>
      <c r="E135" s="580"/>
      <c r="F135" s="550"/>
    </row>
    <row r="136" spans="1:6">
      <c r="A136" s="587"/>
      <c r="B136" s="575"/>
      <c r="C136" s="575"/>
      <c r="D136" s="579"/>
      <c r="E136" s="580"/>
      <c r="F136" s="550"/>
    </row>
    <row r="137" spans="1:6">
      <c r="A137" s="587"/>
      <c r="B137" s="575"/>
      <c r="C137" s="575"/>
      <c r="D137" s="579"/>
      <c r="E137" s="580"/>
      <c r="F137" s="550"/>
    </row>
    <row r="138" spans="1:6">
      <c r="A138" s="587"/>
      <c r="B138" s="575"/>
      <c r="C138" s="575"/>
      <c r="D138" s="579"/>
      <c r="E138" s="580"/>
      <c r="F138" s="550"/>
    </row>
    <row r="139" spans="1:6">
      <c r="A139" s="587"/>
      <c r="B139" s="575"/>
      <c r="C139" s="575"/>
      <c r="D139" s="579"/>
      <c r="E139" s="580"/>
      <c r="F139" s="550"/>
    </row>
    <row r="140" spans="1:6">
      <c r="A140" s="587"/>
      <c r="B140" s="577"/>
      <c r="C140" s="577"/>
      <c r="D140" s="579"/>
      <c r="E140" s="580"/>
      <c r="F140" s="550"/>
    </row>
    <row r="141" spans="1:6">
      <c r="A141" s="587"/>
      <c r="B141" s="577"/>
      <c r="C141" s="577"/>
      <c r="D141" s="579"/>
      <c r="E141" s="580"/>
      <c r="F141" s="550"/>
    </row>
    <row r="142" spans="1:6">
      <c r="A142" s="587"/>
      <c r="B142" s="575"/>
      <c r="C142" s="575"/>
      <c r="D142" s="579"/>
      <c r="E142" s="580"/>
      <c r="F142" s="550"/>
    </row>
    <row r="143" spans="1:6">
      <c r="A143" s="587"/>
      <c r="B143" s="575"/>
      <c r="C143" s="575"/>
      <c r="D143" s="579"/>
      <c r="E143" s="580"/>
      <c r="F143" s="550"/>
    </row>
    <row r="144" spans="1:6">
      <c r="A144" s="587"/>
      <c r="B144" s="575"/>
      <c r="C144" s="575"/>
      <c r="D144" s="579"/>
      <c r="E144" s="580"/>
      <c r="F144" s="550"/>
    </row>
    <row r="145" spans="1:6">
      <c r="A145" s="587"/>
      <c r="B145" s="575"/>
      <c r="C145" s="575"/>
      <c r="D145" s="579"/>
      <c r="E145" s="580"/>
      <c r="F145" s="550"/>
    </row>
    <row r="146" spans="1:6">
      <c r="A146" s="587"/>
      <c r="B146" s="575"/>
      <c r="C146" s="575"/>
      <c r="D146" s="579"/>
      <c r="E146" s="580"/>
      <c r="F146" s="550"/>
    </row>
    <row r="147" spans="1:6">
      <c r="A147" s="587"/>
      <c r="B147" s="575"/>
      <c r="C147" s="575"/>
      <c r="D147" s="579"/>
      <c r="E147" s="580"/>
      <c r="F147" s="550"/>
    </row>
    <row r="148" spans="1:6">
      <c r="A148" s="587"/>
      <c r="B148" s="577"/>
      <c r="C148" s="577"/>
      <c r="D148" s="579"/>
      <c r="E148" s="580"/>
      <c r="F148" s="550"/>
    </row>
    <row r="149" spans="1:6">
      <c r="A149" s="587"/>
      <c r="B149" s="577"/>
      <c r="C149" s="577"/>
      <c r="D149" s="579"/>
      <c r="E149" s="580"/>
      <c r="F149" s="550"/>
    </row>
    <row r="150" spans="1:6">
      <c r="A150" s="587"/>
      <c r="B150" s="575"/>
      <c r="C150" s="575"/>
      <c r="D150" s="579"/>
      <c r="E150" s="580"/>
      <c r="F150" s="550"/>
    </row>
    <row r="151" spans="1:6">
      <c r="A151" s="587"/>
      <c r="B151" s="577"/>
      <c r="C151" s="577"/>
      <c r="D151" s="579"/>
      <c r="E151" s="580"/>
      <c r="F151" s="550"/>
    </row>
    <row r="152" spans="1:6">
      <c r="A152" s="587"/>
      <c r="B152" s="577"/>
      <c r="C152" s="577"/>
      <c r="D152" s="579"/>
      <c r="E152" s="580"/>
      <c r="F152" s="550"/>
    </row>
    <row r="153" spans="1:6">
      <c r="A153" s="587"/>
      <c r="B153" s="577"/>
      <c r="C153" s="577"/>
      <c r="D153" s="579"/>
      <c r="E153" s="580"/>
      <c r="F153" s="550"/>
    </row>
    <row r="154" spans="1:6">
      <c r="A154" s="587"/>
      <c r="B154" s="577"/>
      <c r="C154" s="577"/>
      <c r="D154" s="579"/>
      <c r="E154" s="580"/>
      <c r="F154" s="550"/>
    </row>
    <row r="155" spans="1:6">
      <c r="A155" s="587"/>
      <c r="B155" s="577"/>
      <c r="C155" s="577"/>
      <c r="D155" s="579"/>
      <c r="E155" s="580"/>
      <c r="F155" s="550"/>
    </row>
    <row r="156" spans="1:6">
      <c r="A156" s="587"/>
      <c r="B156" s="577"/>
      <c r="C156" s="577"/>
      <c r="D156" s="579"/>
      <c r="E156" s="580"/>
      <c r="F156" s="550"/>
    </row>
    <row r="157" spans="1:6">
      <c r="A157" s="587"/>
      <c r="B157" s="577"/>
      <c r="C157" s="577"/>
      <c r="D157" s="579"/>
      <c r="E157" s="580"/>
      <c r="F157" s="550"/>
    </row>
    <row r="158" spans="1:6">
      <c r="A158" s="587"/>
      <c r="B158" s="588"/>
      <c r="C158" s="588"/>
      <c r="D158" s="579"/>
      <c r="E158" s="580"/>
      <c r="F158" s="550"/>
    </row>
    <row r="159" spans="1:6">
      <c r="A159" s="587"/>
      <c r="B159" s="588"/>
      <c r="C159" s="588"/>
      <c r="D159" s="579"/>
      <c r="E159" s="580"/>
      <c r="F159" s="550"/>
    </row>
    <row r="160" spans="1:6">
      <c r="A160" s="587"/>
      <c r="B160" s="575"/>
      <c r="C160" s="575"/>
      <c r="D160" s="579"/>
      <c r="E160" s="580"/>
      <c r="F160" s="550"/>
    </row>
    <row r="161" spans="1:6">
      <c r="A161" s="587"/>
      <c r="B161" s="575"/>
      <c r="C161" s="575"/>
      <c r="D161" s="579"/>
      <c r="E161" s="580"/>
      <c r="F161" s="550"/>
    </row>
    <row r="162" spans="1:6">
      <c r="A162" s="587"/>
      <c r="B162" s="575"/>
      <c r="C162" s="575"/>
      <c r="D162" s="579"/>
      <c r="E162" s="580"/>
      <c r="F162" s="550"/>
    </row>
    <row r="163" spans="1:6">
      <c r="A163" s="587"/>
      <c r="B163" s="575"/>
      <c r="C163" s="575"/>
      <c r="D163" s="579"/>
      <c r="E163" s="580"/>
      <c r="F163" s="550"/>
    </row>
    <row r="164" spans="1:6">
      <c r="A164" s="587"/>
      <c r="B164" s="588"/>
      <c r="C164" s="588"/>
      <c r="D164" s="579"/>
      <c r="E164" s="580"/>
      <c r="F164" s="550"/>
    </row>
    <row r="165" spans="1:6">
      <c r="A165" s="587"/>
      <c r="B165" s="588"/>
      <c r="C165" s="588"/>
      <c r="D165" s="579"/>
      <c r="E165" s="580"/>
      <c r="F165" s="550"/>
    </row>
    <row r="166" spans="1:6">
      <c r="A166" s="587"/>
      <c r="B166" s="588"/>
      <c r="C166" s="588"/>
      <c r="D166" s="579"/>
      <c r="E166" s="580"/>
      <c r="F166" s="550"/>
    </row>
    <row r="167" spans="1:6">
      <c r="A167" s="587"/>
      <c r="B167" s="588"/>
      <c r="C167" s="588"/>
      <c r="D167" s="579"/>
      <c r="E167" s="580"/>
      <c r="F167" s="550"/>
    </row>
    <row r="168" spans="1:6">
      <c r="A168" s="587"/>
      <c r="B168" s="588"/>
      <c r="C168" s="588"/>
      <c r="D168" s="579"/>
      <c r="E168" s="580"/>
      <c r="F168" s="550"/>
    </row>
    <row r="169" spans="1:6">
      <c r="A169" s="587"/>
      <c r="B169" s="575"/>
      <c r="C169" s="575"/>
      <c r="D169" s="579"/>
      <c r="E169" s="580"/>
      <c r="F169" s="550"/>
    </row>
    <row r="170" spans="1:6">
      <c r="A170" s="587"/>
      <c r="B170" s="575"/>
      <c r="C170" s="575"/>
      <c r="D170" s="579"/>
      <c r="E170" s="580"/>
      <c r="F170" s="550"/>
    </row>
    <row r="171" spans="1:6">
      <c r="A171" s="587"/>
      <c r="B171" s="575"/>
      <c r="C171" s="575"/>
      <c r="D171" s="579"/>
      <c r="E171" s="580"/>
      <c r="F171" s="550"/>
    </row>
    <row r="172" spans="1:6">
      <c r="A172" s="587"/>
      <c r="B172" s="575"/>
      <c r="C172" s="575"/>
      <c r="D172" s="579"/>
      <c r="E172" s="580"/>
      <c r="F172" s="550"/>
    </row>
    <row r="173" spans="1:6">
      <c r="A173" s="587"/>
      <c r="B173" s="575"/>
      <c r="C173" s="575"/>
      <c r="D173" s="579"/>
      <c r="E173" s="580"/>
      <c r="F173" s="550"/>
    </row>
    <row r="174" spans="1:6">
      <c r="A174" s="587"/>
      <c r="B174" s="575"/>
      <c r="C174" s="575"/>
      <c r="D174" s="579"/>
      <c r="E174" s="580"/>
      <c r="F174" s="550"/>
    </row>
    <row r="175" spans="1:6">
      <c r="A175" s="587"/>
      <c r="B175" s="575"/>
      <c r="C175" s="575"/>
      <c r="D175" s="579"/>
      <c r="E175" s="580"/>
      <c r="F175" s="550"/>
    </row>
    <row r="176" spans="1:6">
      <c r="A176" s="587"/>
      <c r="B176" s="575"/>
      <c r="C176" s="575"/>
      <c r="D176" s="579"/>
      <c r="E176" s="580"/>
      <c r="F176" s="550"/>
    </row>
    <row r="177" spans="1:6">
      <c r="A177" s="587"/>
      <c r="B177" s="575"/>
      <c r="C177" s="575"/>
      <c r="D177" s="579"/>
      <c r="E177" s="580"/>
      <c r="F177" s="550"/>
    </row>
    <row r="178" spans="1:6">
      <c r="A178" s="587"/>
      <c r="B178" s="575"/>
      <c r="C178" s="575"/>
      <c r="D178" s="579"/>
      <c r="E178" s="580"/>
      <c r="F178" s="550"/>
    </row>
    <row r="179" spans="1:6">
      <c r="A179" s="587"/>
      <c r="B179" s="575"/>
      <c r="C179" s="575"/>
      <c r="D179" s="579"/>
      <c r="E179" s="580"/>
      <c r="F179" s="550"/>
    </row>
    <row r="180" spans="1:6">
      <c r="A180" s="587"/>
      <c r="B180" s="575"/>
      <c r="C180" s="575"/>
      <c r="D180" s="579"/>
      <c r="E180" s="580"/>
      <c r="F180" s="550"/>
    </row>
    <row r="181" spans="1:6">
      <c r="A181" s="587"/>
      <c r="B181" s="575"/>
      <c r="C181" s="575"/>
      <c r="D181" s="579"/>
      <c r="E181" s="580"/>
      <c r="F181" s="550"/>
    </row>
    <row r="182" spans="1:6">
      <c r="A182" s="587"/>
      <c r="B182" s="575"/>
      <c r="C182" s="575"/>
      <c r="D182" s="579"/>
      <c r="E182" s="580"/>
      <c r="F182" s="550"/>
    </row>
    <row r="183" spans="1:6">
      <c r="A183" s="587"/>
      <c r="B183" s="577"/>
      <c r="C183" s="577"/>
      <c r="D183" s="579"/>
      <c r="E183" s="580"/>
      <c r="F183" s="550"/>
    </row>
    <row r="184" spans="1:6">
      <c r="A184" s="587"/>
      <c r="B184" s="575"/>
      <c r="C184" s="575"/>
      <c r="D184" s="579"/>
      <c r="E184" s="580"/>
      <c r="F184" s="550"/>
    </row>
    <row r="185" spans="1:6">
      <c r="A185" s="587"/>
      <c r="B185" s="575"/>
      <c r="C185" s="575"/>
      <c r="D185" s="579"/>
      <c r="E185" s="580"/>
      <c r="F185" s="550"/>
    </row>
    <row r="186" spans="1:6">
      <c r="A186" s="587"/>
      <c r="B186" s="575"/>
      <c r="C186" s="575"/>
      <c r="D186" s="579"/>
      <c r="E186" s="580"/>
      <c r="F186" s="550"/>
    </row>
    <row r="187" spans="1:6">
      <c r="A187" s="587"/>
      <c r="B187" s="575"/>
      <c r="C187" s="575"/>
      <c r="D187" s="579"/>
      <c r="E187" s="580"/>
      <c r="F187" s="550"/>
    </row>
    <row r="188" spans="1:6">
      <c r="A188" s="587"/>
      <c r="B188" s="575"/>
      <c r="C188" s="575"/>
      <c r="D188" s="579"/>
      <c r="E188" s="580"/>
      <c r="F188" s="550"/>
    </row>
    <row r="189" spans="1:6">
      <c r="A189" s="587"/>
      <c r="B189" s="575"/>
      <c r="C189" s="575"/>
      <c r="D189" s="579"/>
      <c r="E189" s="580"/>
      <c r="F189" s="550"/>
    </row>
    <row r="190" spans="1:6">
      <c r="A190" s="587"/>
      <c r="B190" s="575"/>
      <c r="C190" s="575"/>
      <c r="D190" s="579"/>
      <c r="E190" s="580"/>
      <c r="F190" s="550"/>
    </row>
    <row r="191" spans="1:6">
      <c r="A191" s="587"/>
      <c r="B191" s="575"/>
      <c r="C191" s="575"/>
      <c r="D191" s="579"/>
      <c r="E191" s="580"/>
      <c r="F191" s="550"/>
    </row>
    <row r="192" spans="1:6">
      <c r="A192" s="587"/>
      <c r="B192" s="575"/>
      <c r="C192" s="575"/>
      <c r="D192" s="579"/>
      <c r="E192" s="580"/>
      <c r="F192" s="550"/>
    </row>
    <row r="193" spans="1:6">
      <c r="A193" s="587"/>
      <c r="B193" s="575"/>
      <c r="C193" s="575"/>
      <c r="D193" s="579"/>
      <c r="E193" s="580"/>
      <c r="F193" s="550"/>
    </row>
    <row r="194" spans="1:6">
      <c r="A194" s="587"/>
      <c r="B194" s="575"/>
      <c r="C194" s="575"/>
      <c r="D194" s="579"/>
      <c r="E194" s="580"/>
      <c r="F194" s="550"/>
    </row>
    <row r="195" spans="1:6">
      <c r="A195" s="587"/>
      <c r="B195" s="575"/>
      <c r="C195" s="575"/>
      <c r="D195" s="579"/>
      <c r="E195" s="580"/>
      <c r="F195" s="550"/>
    </row>
    <row r="196" spans="1:6">
      <c r="A196" s="587"/>
      <c r="B196" s="575"/>
      <c r="C196" s="575"/>
      <c r="D196" s="579"/>
      <c r="E196" s="580"/>
      <c r="F196" s="550"/>
    </row>
    <row r="197" spans="1:6">
      <c r="A197" s="587"/>
      <c r="B197" s="575"/>
      <c r="C197" s="575"/>
      <c r="D197" s="579"/>
      <c r="E197" s="580"/>
      <c r="F197" s="550"/>
    </row>
    <row r="198" spans="1:6">
      <c r="A198" s="587"/>
      <c r="B198" s="575"/>
      <c r="C198" s="575"/>
      <c r="D198" s="579"/>
      <c r="E198" s="580"/>
      <c r="F198" s="550"/>
    </row>
    <row r="199" spans="1:6">
      <c r="A199" s="587"/>
      <c r="B199" s="575"/>
      <c r="C199" s="575"/>
      <c r="D199" s="579"/>
      <c r="E199" s="580"/>
      <c r="F199" s="550"/>
    </row>
    <row r="200" spans="1:6">
      <c r="A200" s="587"/>
      <c r="B200" s="575"/>
      <c r="C200" s="575"/>
      <c r="D200" s="579"/>
      <c r="E200" s="580"/>
      <c r="F200" s="550"/>
    </row>
    <row r="201" spans="1:6">
      <c r="A201" s="587"/>
      <c r="B201" s="575"/>
      <c r="C201" s="575"/>
      <c r="D201" s="579"/>
      <c r="E201" s="580"/>
      <c r="F201" s="550"/>
    </row>
    <row r="202" spans="1:6">
      <c r="A202" s="587"/>
      <c r="B202" s="575"/>
      <c r="C202" s="575"/>
      <c r="D202" s="579"/>
      <c r="E202" s="580"/>
      <c r="F202" s="550"/>
    </row>
    <row r="203" spans="1:6">
      <c r="A203" s="587"/>
      <c r="B203" s="575"/>
      <c r="C203" s="575"/>
      <c r="D203" s="579"/>
      <c r="E203" s="580"/>
      <c r="F203" s="550"/>
    </row>
    <row r="204" spans="1:6">
      <c r="A204" s="587"/>
      <c r="B204" s="575"/>
      <c r="C204" s="575"/>
      <c r="D204" s="579"/>
      <c r="E204" s="580"/>
      <c r="F204" s="550"/>
    </row>
    <row r="205" spans="1:6">
      <c r="A205" s="587"/>
      <c r="B205" s="575"/>
      <c r="C205" s="575"/>
      <c r="D205" s="579"/>
      <c r="E205" s="580"/>
      <c r="F205" s="550"/>
    </row>
    <row r="206" spans="1:6">
      <c r="A206" s="587"/>
      <c r="B206" s="575"/>
      <c r="C206" s="575"/>
      <c r="D206" s="579"/>
      <c r="E206" s="580"/>
      <c r="F206" s="550"/>
    </row>
    <row r="207" spans="1:6">
      <c r="A207" s="587"/>
      <c r="B207" s="575"/>
      <c r="C207" s="575"/>
      <c r="D207" s="579"/>
      <c r="E207" s="580"/>
      <c r="F207" s="550"/>
    </row>
    <row r="208" spans="1:6">
      <c r="A208" s="587"/>
      <c r="B208" s="575"/>
      <c r="C208" s="575"/>
      <c r="D208" s="579"/>
      <c r="E208" s="580"/>
      <c r="F208" s="550"/>
    </row>
    <row r="209" spans="1:6">
      <c r="A209" s="587"/>
      <c r="B209" s="575"/>
      <c r="C209" s="575"/>
      <c r="D209" s="579"/>
      <c r="E209" s="580"/>
      <c r="F209" s="550"/>
    </row>
    <row r="210" spans="1:6">
      <c r="A210" s="587"/>
      <c r="B210" s="575"/>
      <c r="C210" s="575"/>
      <c r="D210" s="579"/>
      <c r="E210" s="580"/>
      <c r="F210" s="550"/>
    </row>
    <row r="211" spans="1:6">
      <c r="A211" s="587"/>
      <c r="B211" s="575"/>
      <c r="C211" s="575"/>
      <c r="D211" s="579"/>
      <c r="E211" s="580"/>
      <c r="F211" s="550"/>
    </row>
    <row r="212" spans="1:6">
      <c r="A212" s="587"/>
      <c r="B212" s="575"/>
      <c r="C212" s="575"/>
      <c r="D212" s="579"/>
      <c r="E212" s="580"/>
      <c r="F212" s="550"/>
    </row>
    <row r="213" spans="1:6">
      <c r="A213" s="587"/>
      <c r="B213" s="575"/>
      <c r="C213" s="575"/>
      <c r="D213" s="579"/>
      <c r="E213" s="580"/>
      <c r="F213" s="550"/>
    </row>
    <row r="214" spans="1:6">
      <c r="A214" s="587"/>
      <c r="B214" s="575"/>
      <c r="C214" s="575"/>
      <c r="D214" s="579"/>
      <c r="E214" s="580"/>
      <c r="F214" s="550"/>
    </row>
    <row r="215" spans="1:6">
      <c r="A215" s="587"/>
      <c r="B215" s="575"/>
      <c r="C215" s="575"/>
      <c r="D215" s="579"/>
      <c r="E215" s="580"/>
      <c r="F215" s="550"/>
    </row>
    <row r="216" spans="1:6">
      <c r="A216" s="587"/>
      <c r="B216" s="575"/>
      <c r="C216" s="575"/>
      <c r="D216" s="579"/>
      <c r="E216" s="580"/>
      <c r="F216" s="550"/>
    </row>
    <row r="217" spans="1:6">
      <c r="A217" s="587"/>
      <c r="B217" s="575"/>
      <c r="C217" s="575"/>
      <c r="D217" s="579"/>
      <c r="E217" s="580"/>
      <c r="F217" s="550"/>
    </row>
    <row r="218" spans="1:6">
      <c r="A218" s="587"/>
      <c r="B218" s="575"/>
      <c r="C218" s="575"/>
      <c r="D218" s="579"/>
      <c r="E218" s="580"/>
      <c r="F218" s="550"/>
    </row>
    <row r="219" spans="1:6">
      <c r="A219" s="587"/>
      <c r="B219" s="575"/>
      <c r="C219" s="575"/>
      <c r="D219" s="579"/>
      <c r="E219" s="580"/>
      <c r="F219" s="550"/>
    </row>
    <row r="220" spans="1:6">
      <c r="A220" s="587"/>
      <c r="B220" s="575"/>
      <c r="C220" s="575"/>
      <c r="D220" s="579"/>
      <c r="E220" s="580"/>
      <c r="F220" s="550"/>
    </row>
    <row r="221" spans="1:6">
      <c r="A221" s="587"/>
      <c r="B221" s="575"/>
      <c r="C221" s="575"/>
      <c r="D221" s="579"/>
      <c r="E221" s="580"/>
      <c r="F221" s="550"/>
    </row>
    <row r="222" spans="1:6">
      <c r="A222" s="587"/>
      <c r="B222" s="575"/>
      <c r="C222" s="575"/>
      <c r="D222" s="579"/>
      <c r="E222" s="580"/>
      <c r="F222" s="550"/>
    </row>
    <row r="223" spans="1:6">
      <c r="A223" s="587"/>
      <c r="B223" s="575"/>
      <c r="C223" s="575"/>
      <c r="D223" s="579"/>
      <c r="E223" s="580"/>
      <c r="F223" s="550"/>
    </row>
    <row r="224" spans="1:6">
      <c r="A224" s="587"/>
      <c r="B224" s="575"/>
      <c r="C224" s="575"/>
      <c r="D224" s="579"/>
      <c r="E224" s="580"/>
      <c r="F224" s="550"/>
    </row>
    <row r="225" spans="1:6">
      <c r="A225" s="587"/>
      <c r="B225" s="575"/>
      <c r="C225" s="575"/>
      <c r="D225" s="579"/>
      <c r="E225" s="580"/>
      <c r="F225" s="550"/>
    </row>
    <row r="226" spans="1:6">
      <c r="A226" s="587"/>
      <c r="B226" s="575"/>
      <c r="C226" s="575"/>
      <c r="D226" s="579"/>
      <c r="E226" s="580"/>
      <c r="F226" s="550"/>
    </row>
    <row r="227" spans="1:6">
      <c r="A227" s="587"/>
      <c r="B227" s="575"/>
      <c r="C227" s="575"/>
      <c r="D227" s="579"/>
      <c r="E227" s="580"/>
      <c r="F227" s="550"/>
    </row>
    <row r="228" spans="1:6">
      <c r="A228" s="587"/>
      <c r="B228" s="575"/>
      <c r="C228" s="575"/>
      <c r="D228" s="579"/>
      <c r="E228" s="580"/>
      <c r="F228" s="550"/>
    </row>
    <row r="229" spans="1:6">
      <c r="A229" s="587"/>
      <c r="B229" s="575"/>
      <c r="C229" s="575"/>
      <c r="D229" s="579"/>
      <c r="E229" s="580"/>
      <c r="F229" s="550"/>
    </row>
    <row r="230" spans="1:6">
      <c r="A230" s="587"/>
      <c r="B230" s="575"/>
      <c r="C230" s="575"/>
      <c r="D230" s="579"/>
      <c r="E230" s="580"/>
      <c r="F230" s="550"/>
    </row>
    <row r="231" spans="1:6">
      <c r="A231" s="587"/>
      <c r="B231" s="575"/>
      <c r="C231" s="575"/>
      <c r="D231" s="579"/>
      <c r="E231" s="580"/>
      <c r="F231" s="550"/>
    </row>
    <row r="232" spans="1:6">
      <c r="A232" s="587"/>
      <c r="B232" s="575"/>
      <c r="C232" s="575"/>
      <c r="D232" s="579"/>
      <c r="E232" s="580"/>
      <c r="F232" s="550"/>
    </row>
    <row r="233" spans="1:6">
      <c r="A233" s="587"/>
      <c r="B233" s="575"/>
      <c r="C233" s="575"/>
      <c r="D233" s="579"/>
      <c r="E233" s="580"/>
      <c r="F233" s="550"/>
    </row>
    <row r="234" spans="1:6">
      <c r="A234" s="587"/>
      <c r="B234" s="575"/>
      <c r="C234" s="575"/>
      <c r="D234" s="579"/>
      <c r="E234" s="580"/>
      <c r="F234" s="550"/>
    </row>
    <row r="235" spans="1:6">
      <c r="A235" s="587"/>
      <c r="B235" s="577"/>
      <c r="C235" s="577"/>
      <c r="D235" s="579"/>
      <c r="E235" s="580"/>
      <c r="F235" s="550"/>
    </row>
    <row r="236" spans="1:6">
      <c r="A236" s="587"/>
      <c r="B236" s="575"/>
      <c r="C236" s="575"/>
      <c r="D236" s="579"/>
      <c r="E236" s="580"/>
      <c r="F236" s="550"/>
    </row>
    <row r="237" spans="1:6">
      <c r="A237" s="587"/>
      <c r="B237" s="575"/>
      <c r="C237" s="575"/>
      <c r="D237" s="579"/>
      <c r="E237" s="580"/>
      <c r="F237" s="550"/>
    </row>
    <row r="238" spans="1:6">
      <c r="A238" s="587"/>
      <c r="B238" s="575"/>
      <c r="C238" s="575"/>
      <c r="D238" s="579"/>
      <c r="E238" s="580"/>
      <c r="F238" s="550"/>
    </row>
    <row r="239" spans="1:6">
      <c r="A239" s="587"/>
      <c r="B239" s="588"/>
      <c r="C239" s="588"/>
      <c r="D239" s="579"/>
      <c r="E239" s="580"/>
      <c r="F239" s="550"/>
    </row>
    <row r="240" spans="1:6">
      <c r="A240" s="587"/>
      <c r="B240" s="588"/>
      <c r="C240" s="588"/>
      <c r="D240" s="579"/>
      <c r="E240" s="580"/>
      <c r="F240" s="550"/>
    </row>
    <row r="241" spans="1:6">
      <c r="A241" s="587"/>
      <c r="B241" s="588"/>
      <c r="C241" s="588"/>
      <c r="D241" s="579"/>
      <c r="E241" s="580"/>
      <c r="F241" s="550"/>
    </row>
    <row r="242" spans="1:6">
      <c r="A242" s="587"/>
      <c r="B242" s="588"/>
      <c r="C242" s="588"/>
      <c r="D242" s="579"/>
      <c r="E242" s="580"/>
      <c r="F242" s="550"/>
    </row>
    <row r="243" spans="1:6">
      <c r="A243" s="587"/>
      <c r="B243" s="588"/>
      <c r="C243" s="588"/>
      <c r="D243" s="579"/>
      <c r="E243" s="580"/>
      <c r="F243" s="550"/>
    </row>
    <row r="244" spans="1:6">
      <c r="A244" s="587"/>
      <c r="B244" s="588"/>
      <c r="C244" s="588"/>
      <c r="D244" s="579"/>
      <c r="E244" s="580"/>
      <c r="F244" s="550"/>
    </row>
    <row r="245" spans="1:6">
      <c r="A245" s="587"/>
      <c r="B245" s="588"/>
      <c r="C245" s="588"/>
      <c r="D245" s="579"/>
      <c r="E245" s="580"/>
      <c r="F245" s="550"/>
    </row>
    <row r="246" spans="1:6">
      <c r="A246" s="587"/>
      <c r="B246" s="575"/>
      <c r="C246" s="588"/>
      <c r="D246" s="579"/>
      <c r="E246" s="580"/>
      <c r="F246" s="550"/>
    </row>
    <row r="247" spans="1:6">
      <c r="A247" s="587"/>
      <c r="B247" s="575"/>
      <c r="C247" s="575"/>
      <c r="D247" s="579"/>
      <c r="E247" s="580"/>
      <c r="F247" s="550"/>
    </row>
    <row r="248" spans="1:6">
      <c r="A248" s="587"/>
      <c r="B248" s="575"/>
      <c r="C248" s="575"/>
      <c r="D248" s="579"/>
      <c r="E248" s="580"/>
      <c r="F248" s="550"/>
    </row>
    <row r="249" spans="1:6">
      <c r="A249" s="587"/>
      <c r="B249" s="575"/>
      <c r="C249" s="575"/>
      <c r="D249" s="579"/>
      <c r="E249" s="580"/>
      <c r="F249" s="550"/>
    </row>
    <row r="250" spans="1:6">
      <c r="A250" s="587"/>
      <c r="B250" s="575"/>
      <c r="C250" s="575"/>
      <c r="D250" s="579"/>
      <c r="E250" s="580"/>
      <c r="F250" s="550"/>
    </row>
    <row r="251" spans="1:6">
      <c r="A251" s="587"/>
      <c r="B251" s="575"/>
      <c r="C251" s="575"/>
      <c r="D251" s="579"/>
      <c r="E251" s="580"/>
      <c r="F251" s="550"/>
    </row>
    <row r="252" spans="1:6">
      <c r="A252" s="587"/>
      <c r="B252" s="575"/>
      <c r="C252" s="575"/>
      <c r="D252" s="579"/>
      <c r="E252" s="580"/>
      <c r="F252" s="550"/>
    </row>
    <row r="253" spans="1:6">
      <c r="A253" s="587"/>
      <c r="B253" s="575"/>
      <c r="C253" s="575"/>
      <c r="D253" s="579"/>
      <c r="E253" s="580"/>
      <c r="F253" s="550"/>
    </row>
    <row r="254" spans="1:6">
      <c r="A254" s="587"/>
      <c r="B254" s="575"/>
      <c r="C254" s="575"/>
      <c r="D254" s="579"/>
      <c r="E254" s="580"/>
      <c r="F254" s="550"/>
    </row>
    <row r="255" spans="1:6">
      <c r="A255" s="587"/>
      <c r="B255" s="575"/>
      <c r="C255" s="575"/>
      <c r="D255" s="579"/>
      <c r="E255" s="580"/>
      <c r="F255" s="550"/>
    </row>
    <row r="256" spans="1:6">
      <c r="A256" s="587"/>
      <c r="B256" s="575"/>
      <c r="C256" s="575"/>
      <c r="D256" s="579"/>
      <c r="E256" s="580"/>
      <c r="F256" s="550"/>
    </row>
    <row r="257" spans="1:6">
      <c r="A257" s="587"/>
      <c r="B257" s="575"/>
      <c r="C257" s="575"/>
      <c r="D257" s="579"/>
      <c r="E257" s="580"/>
      <c r="F257" s="550"/>
    </row>
    <row r="258" spans="1:6">
      <c r="A258" s="587"/>
      <c r="B258" s="575"/>
      <c r="C258" s="575"/>
      <c r="D258" s="579"/>
      <c r="E258" s="580"/>
      <c r="F258" s="550"/>
    </row>
    <row r="259" spans="1:6">
      <c r="A259" s="587"/>
      <c r="B259" s="575"/>
      <c r="C259" s="575"/>
      <c r="D259" s="579"/>
      <c r="E259" s="580"/>
      <c r="F259" s="550"/>
    </row>
    <row r="260" spans="1:6">
      <c r="A260" s="587"/>
      <c r="B260" s="575"/>
      <c r="C260" s="590"/>
      <c r="D260" s="579"/>
      <c r="E260" s="580"/>
      <c r="F260" s="550"/>
    </row>
    <row r="261" spans="1:6">
      <c r="A261" s="587"/>
      <c r="B261" s="575"/>
      <c r="C261" s="575"/>
      <c r="D261" s="579"/>
      <c r="E261" s="580"/>
      <c r="F261" s="550"/>
    </row>
    <row r="262" spans="1:6">
      <c r="A262" s="587"/>
      <c r="B262" s="575"/>
      <c r="C262" s="575"/>
      <c r="D262" s="579"/>
      <c r="E262" s="580"/>
      <c r="F262" s="550"/>
    </row>
    <row r="263" spans="1:6">
      <c r="A263" s="587"/>
      <c r="B263" s="575"/>
      <c r="C263" s="575"/>
      <c r="D263" s="579"/>
      <c r="E263" s="580"/>
      <c r="F263" s="550"/>
    </row>
    <row r="264" spans="1:6">
      <c r="A264" s="587"/>
      <c r="B264" s="575"/>
      <c r="C264" s="575"/>
      <c r="D264" s="579"/>
      <c r="E264" s="580"/>
      <c r="F264" s="550"/>
    </row>
    <row r="265" spans="1:6">
      <c r="A265" s="587"/>
      <c r="B265" s="575"/>
      <c r="C265" s="575"/>
      <c r="D265" s="579"/>
      <c r="E265" s="580"/>
      <c r="F265" s="550"/>
    </row>
    <row r="266" spans="1:6">
      <c r="A266" s="587"/>
      <c r="B266" s="575"/>
      <c r="C266" s="575"/>
      <c r="D266" s="579"/>
      <c r="E266" s="580"/>
      <c r="F266" s="550"/>
    </row>
    <row r="267" spans="1:6">
      <c r="A267" s="587"/>
      <c r="B267" s="575"/>
      <c r="C267" s="575"/>
      <c r="D267" s="579"/>
      <c r="E267" s="580"/>
      <c r="F267" s="550"/>
    </row>
    <row r="268" spans="1:6">
      <c r="A268" s="587"/>
      <c r="B268" s="575"/>
      <c r="C268" s="575"/>
      <c r="D268" s="579"/>
      <c r="E268" s="580"/>
      <c r="F268" s="550"/>
    </row>
    <row r="269" spans="1:6">
      <c r="A269" s="587"/>
      <c r="B269" s="575"/>
      <c r="C269" s="575"/>
      <c r="D269" s="579"/>
      <c r="E269" s="580"/>
      <c r="F269" s="550"/>
    </row>
    <row r="270" spans="1:6">
      <c r="A270" s="587"/>
      <c r="B270" s="575"/>
      <c r="C270" s="575"/>
      <c r="D270" s="579"/>
      <c r="E270" s="580"/>
      <c r="F270" s="550"/>
    </row>
    <row r="271" spans="1:6">
      <c r="A271" s="587"/>
      <c r="B271" s="575"/>
      <c r="C271" s="575"/>
      <c r="D271" s="579"/>
      <c r="E271" s="580"/>
      <c r="F271" s="550"/>
    </row>
    <row r="272" spans="1:6">
      <c r="A272" s="587"/>
      <c r="B272" s="575"/>
      <c r="C272" s="575"/>
      <c r="D272" s="579"/>
      <c r="E272" s="580"/>
      <c r="F272" s="550"/>
    </row>
    <row r="273" spans="1:6">
      <c r="A273" s="587"/>
      <c r="B273" s="575"/>
      <c r="C273" s="575"/>
      <c r="D273" s="579"/>
      <c r="E273" s="580"/>
      <c r="F273" s="550"/>
    </row>
    <row r="274" spans="1:6">
      <c r="A274" s="587"/>
      <c r="B274" s="575"/>
      <c r="C274" s="575"/>
      <c r="D274" s="579"/>
      <c r="E274" s="580"/>
      <c r="F274" s="550"/>
    </row>
    <row r="275" spans="1:6">
      <c r="A275" s="587"/>
      <c r="B275" s="575"/>
      <c r="C275" s="575"/>
      <c r="D275" s="579"/>
      <c r="E275" s="580"/>
      <c r="F275" s="550"/>
    </row>
    <row r="276" spans="1:6">
      <c r="A276" s="587"/>
      <c r="B276" s="575"/>
      <c r="C276" s="575"/>
      <c r="D276" s="579"/>
      <c r="E276" s="580"/>
      <c r="F276" s="550"/>
    </row>
    <row r="277" spans="1:6">
      <c r="A277" s="587"/>
      <c r="B277" s="575"/>
      <c r="C277" s="575"/>
      <c r="D277" s="579"/>
      <c r="E277" s="580"/>
      <c r="F277" s="550"/>
    </row>
    <row r="278" spans="1:6">
      <c r="A278" s="587"/>
      <c r="B278" s="575"/>
      <c r="C278" s="575"/>
      <c r="D278" s="579"/>
      <c r="E278" s="580"/>
      <c r="F278" s="550"/>
    </row>
    <row r="279" spans="1:6">
      <c r="A279" s="587"/>
      <c r="B279" s="575"/>
      <c r="C279" s="575"/>
      <c r="D279" s="579"/>
      <c r="E279" s="580"/>
      <c r="F279" s="550"/>
    </row>
    <row r="280" spans="1:6">
      <c r="A280" s="587"/>
      <c r="B280" s="575"/>
      <c r="C280" s="575"/>
      <c r="D280" s="579"/>
      <c r="E280" s="580"/>
      <c r="F280" s="550"/>
    </row>
    <row r="281" spans="1:6">
      <c r="A281" s="587"/>
      <c r="B281" s="575"/>
      <c r="C281" s="575"/>
      <c r="D281" s="579"/>
      <c r="E281" s="580"/>
      <c r="F281" s="550"/>
    </row>
    <row r="282" spans="1:6">
      <c r="A282" s="587"/>
      <c r="B282" s="575"/>
      <c r="C282" s="575"/>
      <c r="D282" s="579"/>
      <c r="E282" s="580"/>
      <c r="F282" s="550"/>
    </row>
    <row r="283" spans="1:6">
      <c r="A283" s="587"/>
      <c r="B283" s="575"/>
      <c r="C283" s="575"/>
      <c r="D283" s="579"/>
      <c r="E283" s="580"/>
      <c r="F283" s="550"/>
    </row>
    <row r="284" spans="1:6">
      <c r="A284" s="587"/>
      <c r="B284" s="575"/>
      <c r="C284" s="575"/>
      <c r="D284" s="579"/>
      <c r="E284" s="580"/>
      <c r="F284" s="550"/>
    </row>
    <row r="285" spans="1:6">
      <c r="A285" s="587"/>
      <c r="B285" s="575"/>
      <c r="C285" s="575"/>
      <c r="D285" s="579"/>
      <c r="E285" s="580"/>
      <c r="F285" s="550"/>
    </row>
    <row r="286" spans="1:6">
      <c r="A286" s="587"/>
      <c r="B286" s="575"/>
      <c r="C286" s="575"/>
      <c r="D286" s="579"/>
      <c r="E286" s="580"/>
      <c r="F286" s="550"/>
    </row>
    <row r="287" spans="1:6">
      <c r="A287" s="587"/>
      <c r="B287" s="575"/>
      <c r="C287" s="575"/>
      <c r="D287" s="579"/>
      <c r="E287" s="580"/>
      <c r="F287" s="550"/>
    </row>
    <row r="288" spans="1:6">
      <c r="A288" s="587"/>
      <c r="B288" s="575"/>
      <c r="C288" s="575"/>
      <c r="D288" s="579"/>
      <c r="E288" s="580"/>
      <c r="F288" s="550"/>
    </row>
    <row r="289" spans="1:6">
      <c r="A289" s="587"/>
      <c r="B289" s="575"/>
      <c r="C289" s="575"/>
      <c r="D289" s="579"/>
      <c r="E289" s="580"/>
      <c r="F289" s="550"/>
    </row>
    <row r="290" spans="1:6">
      <c r="A290" s="587"/>
      <c r="B290" s="575"/>
      <c r="C290" s="575"/>
      <c r="D290" s="579"/>
      <c r="E290" s="580"/>
      <c r="F290" s="550"/>
    </row>
    <row r="291" spans="1:6">
      <c r="A291" s="587"/>
      <c r="B291" s="589"/>
      <c r="C291" s="589"/>
      <c r="D291" s="579"/>
      <c r="E291" s="580"/>
      <c r="F291" s="550"/>
    </row>
    <row r="292" spans="1:6">
      <c r="A292" s="587"/>
      <c r="B292" s="589"/>
      <c r="C292" s="589"/>
      <c r="D292" s="579"/>
      <c r="E292" s="580"/>
      <c r="F292" s="550"/>
    </row>
    <row r="293" spans="1:6">
      <c r="A293" s="587"/>
      <c r="B293" s="589"/>
      <c r="C293" s="589"/>
      <c r="D293" s="579"/>
      <c r="E293" s="580"/>
      <c r="F293" s="550"/>
    </row>
    <row r="294" spans="1:6">
      <c r="A294" s="587"/>
      <c r="B294" s="589"/>
      <c r="C294" s="589"/>
      <c r="D294" s="579"/>
      <c r="E294" s="580"/>
      <c r="F294" s="550"/>
    </row>
    <row r="295" spans="1:6">
      <c r="A295" s="587"/>
      <c r="B295" s="589"/>
      <c r="C295" s="589"/>
      <c r="D295" s="579"/>
      <c r="E295" s="580"/>
      <c r="F295" s="550"/>
    </row>
    <row r="296" spans="1:6">
      <c r="A296" s="587"/>
      <c r="B296" s="588"/>
      <c r="C296" s="588"/>
      <c r="D296" s="579"/>
      <c r="E296" s="580"/>
      <c r="F296" s="550"/>
    </row>
    <row r="297" spans="1:6">
      <c r="A297" s="587"/>
      <c r="B297" s="575"/>
      <c r="C297" s="575"/>
      <c r="D297" s="579"/>
      <c r="E297" s="580"/>
      <c r="F297" s="550"/>
    </row>
    <row r="298" spans="1:6">
      <c r="A298" s="587"/>
      <c r="B298" s="575"/>
      <c r="C298" s="575"/>
      <c r="D298" s="579"/>
      <c r="E298" s="580"/>
      <c r="F298" s="550"/>
    </row>
    <row r="299" spans="1:6">
      <c r="A299" s="587"/>
      <c r="B299" s="575"/>
      <c r="C299" s="575"/>
      <c r="D299" s="579"/>
      <c r="E299" s="580"/>
      <c r="F299" s="550"/>
    </row>
    <row r="300" spans="1:6">
      <c r="A300" s="587"/>
      <c r="B300" s="575"/>
      <c r="C300" s="575"/>
      <c r="D300" s="579"/>
      <c r="E300" s="580"/>
      <c r="F300" s="550"/>
    </row>
    <row r="301" spans="1:6">
      <c r="A301" s="587"/>
      <c r="B301" s="575"/>
      <c r="C301" s="575"/>
      <c r="D301" s="579"/>
      <c r="E301" s="580"/>
      <c r="F301" s="550"/>
    </row>
    <row r="302" spans="1:6">
      <c r="A302" s="587"/>
      <c r="B302" s="575"/>
      <c r="C302" s="575"/>
      <c r="D302" s="579"/>
      <c r="E302" s="580"/>
      <c r="F302" s="550"/>
    </row>
    <row r="303" spans="1:6">
      <c r="A303" s="587"/>
      <c r="B303" s="575"/>
      <c r="C303" s="575"/>
      <c r="D303" s="579"/>
      <c r="E303" s="580"/>
      <c r="F303" s="550"/>
    </row>
    <row r="304" spans="1:6">
      <c r="A304" s="587"/>
      <c r="B304" s="575"/>
      <c r="C304" s="575"/>
      <c r="D304" s="579"/>
      <c r="E304" s="580"/>
      <c r="F304" s="550"/>
    </row>
    <row r="305" spans="1:6">
      <c r="A305" s="587"/>
      <c r="B305" s="575"/>
      <c r="C305" s="575"/>
      <c r="D305" s="579"/>
      <c r="E305" s="580"/>
      <c r="F305" s="550"/>
    </row>
    <row r="306" spans="1:6">
      <c r="A306" s="587"/>
      <c r="B306" s="575"/>
      <c r="C306" s="575"/>
      <c r="D306" s="579"/>
      <c r="E306" s="580"/>
      <c r="F306" s="550"/>
    </row>
    <row r="307" spans="1:6">
      <c r="A307" s="587"/>
      <c r="B307" s="575"/>
      <c r="C307" s="575"/>
      <c r="D307" s="579"/>
      <c r="E307" s="580"/>
      <c r="F307" s="550"/>
    </row>
    <row r="308" spans="1:6">
      <c r="A308" s="587"/>
      <c r="B308" s="575"/>
      <c r="C308" s="575"/>
      <c r="D308" s="579"/>
      <c r="E308" s="580"/>
      <c r="F308" s="550"/>
    </row>
    <row r="309" spans="1:6">
      <c r="A309" s="587"/>
      <c r="B309" s="575"/>
      <c r="C309" s="575"/>
      <c r="D309" s="579"/>
      <c r="E309" s="580"/>
      <c r="F309" s="550"/>
    </row>
    <row r="310" spans="1:6">
      <c r="A310" s="587"/>
      <c r="B310" s="575"/>
      <c r="C310" s="575"/>
      <c r="D310" s="579"/>
      <c r="E310" s="580"/>
      <c r="F310" s="550"/>
    </row>
    <row r="311" spans="1:6">
      <c r="A311" s="587"/>
      <c r="B311" s="575"/>
      <c r="C311" s="575"/>
      <c r="D311" s="579"/>
      <c r="E311" s="580"/>
      <c r="F311" s="550"/>
    </row>
    <row r="312" spans="1:6">
      <c r="A312" s="587"/>
      <c r="B312" s="575"/>
      <c r="C312" s="575"/>
      <c r="D312" s="579"/>
      <c r="E312" s="580"/>
      <c r="F312" s="550"/>
    </row>
    <row r="313" spans="1:6">
      <c r="A313" s="587"/>
      <c r="B313" s="577"/>
      <c r="C313" s="577"/>
      <c r="D313" s="579"/>
      <c r="E313" s="580"/>
      <c r="F313" s="550"/>
    </row>
    <row r="314" spans="1:6">
      <c r="A314" s="587"/>
      <c r="B314" s="575"/>
      <c r="C314" s="575"/>
      <c r="D314" s="579"/>
      <c r="E314" s="580"/>
      <c r="F314" s="550"/>
    </row>
    <row r="315" spans="1:6">
      <c r="A315" s="587"/>
      <c r="B315" s="575"/>
      <c r="C315" s="575"/>
      <c r="D315" s="579"/>
      <c r="E315" s="580"/>
      <c r="F315" s="550"/>
    </row>
    <row r="316" spans="1:6">
      <c r="A316" s="587"/>
      <c r="B316" s="575"/>
      <c r="C316" s="575"/>
      <c r="D316" s="579"/>
      <c r="E316" s="580"/>
      <c r="F316" s="550"/>
    </row>
    <row r="317" spans="1:6">
      <c r="A317" s="587"/>
      <c r="B317" s="575"/>
      <c r="C317" s="575"/>
      <c r="D317" s="579"/>
      <c r="E317" s="580"/>
      <c r="F317" s="550"/>
    </row>
    <row r="318" spans="1:6">
      <c r="A318" s="587"/>
      <c r="B318" s="575"/>
      <c r="C318" s="575"/>
      <c r="D318" s="579"/>
      <c r="E318" s="580"/>
      <c r="F318" s="550"/>
    </row>
    <row r="319" spans="1:6">
      <c r="A319" s="587"/>
      <c r="B319" s="575"/>
      <c r="C319" s="575"/>
      <c r="D319" s="579"/>
      <c r="E319" s="580"/>
      <c r="F319" s="550"/>
    </row>
    <row r="320" spans="1:6">
      <c r="A320" s="587"/>
      <c r="B320" s="575"/>
      <c r="C320" s="575"/>
      <c r="D320" s="579"/>
      <c r="E320" s="580"/>
      <c r="F320" s="550"/>
    </row>
    <row r="321" spans="1:6">
      <c r="A321" s="587"/>
      <c r="B321" s="575"/>
      <c r="C321" s="575"/>
      <c r="D321" s="579"/>
      <c r="E321" s="580"/>
      <c r="F321" s="550"/>
    </row>
    <row r="322" spans="1:6">
      <c r="A322" s="587"/>
      <c r="B322" s="575"/>
      <c r="C322" s="575"/>
      <c r="D322" s="579"/>
      <c r="E322" s="580"/>
      <c r="F322" s="550"/>
    </row>
    <row r="323" spans="1:6">
      <c r="A323" s="587"/>
      <c r="B323" s="575"/>
      <c r="C323" s="575"/>
      <c r="D323" s="579"/>
      <c r="E323" s="580"/>
      <c r="F323" s="550"/>
    </row>
    <row r="324" spans="1:6">
      <c r="A324" s="587"/>
      <c r="B324" s="575"/>
      <c r="C324" s="575"/>
      <c r="D324" s="579"/>
      <c r="E324" s="580"/>
      <c r="F324" s="550"/>
    </row>
    <row r="325" spans="1:6">
      <c r="A325" s="587"/>
      <c r="B325" s="575"/>
      <c r="C325" s="575"/>
      <c r="D325" s="579"/>
      <c r="E325" s="580"/>
      <c r="F325" s="550"/>
    </row>
    <row r="326" spans="1:6">
      <c r="A326" s="587"/>
      <c r="B326" s="575"/>
      <c r="C326" s="575"/>
      <c r="D326" s="579"/>
      <c r="E326" s="580"/>
      <c r="F326" s="550"/>
    </row>
    <row r="327" spans="1:6">
      <c r="A327" s="587"/>
      <c r="B327" s="575"/>
      <c r="C327" s="575"/>
      <c r="D327" s="579"/>
      <c r="E327" s="580"/>
      <c r="F327" s="550"/>
    </row>
    <row r="328" spans="1:6">
      <c r="A328" s="587"/>
      <c r="B328" s="575"/>
      <c r="C328" s="575"/>
      <c r="D328" s="579"/>
      <c r="E328" s="580"/>
      <c r="F328" s="550"/>
    </row>
    <row r="329" spans="1:6">
      <c r="A329" s="587"/>
      <c r="B329" s="575"/>
      <c r="C329" s="575"/>
      <c r="D329" s="579"/>
      <c r="E329" s="580"/>
      <c r="F329" s="550"/>
    </row>
    <row r="330" spans="1:6">
      <c r="A330" s="587"/>
      <c r="B330" s="588"/>
      <c r="C330" s="588"/>
      <c r="D330" s="579"/>
      <c r="E330" s="580"/>
      <c r="F330" s="550"/>
    </row>
    <row r="331" spans="1:6">
      <c r="A331" s="587"/>
      <c r="B331" s="588"/>
      <c r="C331" s="588"/>
      <c r="D331" s="579"/>
      <c r="E331" s="580"/>
      <c r="F331" s="550"/>
    </row>
    <row r="332" spans="1:6">
      <c r="A332" s="587"/>
      <c r="B332" s="575"/>
      <c r="C332" s="588"/>
      <c r="D332" s="579"/>
      <c r="E332" s="580"/>
      <c r="F332" s="550"/>
    </row>
    <row r="333" spans="1:6">
      <c r="A333" s="587"/>
      <c r="B333" s="575"/>
      <c r="C333" s="575"/>
      <c r="D333" s="579"/>
      <c r="E333" s="580"/>
      <c r="F333" s="550"/>
    </row>
    <row r="334" spans="1:6">
      <c r="A334" s="587"/>
      <c r="B334" s="575"/>
      <c r="C334" s="575"/>
      <c r="D334" s="579"/>
      <c r="E334" s="580"/>
      <c r="F334" s="550"/>
    </row>
    <row r="335" spans="1:6">
      <c r="A335" s="587"/>
      <c r="B335" s="575"/>
      <c r="C335" s="575"/>
      <c r="D335" s="579"/>
      <c r="E335" s="580"/>
      <c r="F335" s="550"/>
    </row>
    <row r="336" spans="1:6">
      <c r="A336" s="587"/>
      <c r="B336" s="575"/>
      <c r="C336" s="575"/>
      <c r="D336" s="579"/>
      <c r="E336" s="580"/>
      <c r="F336" s="550"/>
    </row>
    <row r="337" spans="1:6">
      <c r="A337" s="587"/>
      <c r="B337" s="575"/>
      <c r="C337" s="575"/>
      <c r="D337" s="579"/>
      <c r="E337" s="580"/>
      <c r="F337" s="550"/>
    </row>
    <row r="338" spans="1:6">
      <c r="A338" s="587"/>
      <c r="B338" s="575"/>
      <c r="C338" s="575"/>
      <c r="D338" s="579"/>
      <c r="E338" s="580"/>
      <c r="F338" s="550"/>
    </row>
    <row r="339" spans="1:6">
      <c r="A339" s="587"/>
      <c r="B339" s="575"/>
      <c r="C339" s="575"/>
      <c r="D339" s="579"/>
      <c r="E339" s="580"/>
      <c r="F339" s="550"/>
    </row>
    <row r="340" spans="1:6">
      <c r="A340" s="587"/>
      <c r="B340" s="575"/>
      <c r="C340" s="575"/>
      <c r="D340" s="579"/>
      <c r="E340" s="580"/>
      <c r="F340" s="550"/>
    </row>
    <row r="341" spans="1:6">
      <c r="A341" s="587"/>
      <c r="B341" s="575"/>
      <c r="C341" s="575"/>
      <c r="D341" s="579"/>
      <c r="E341" s="580"/>
      <c r="F341" s="550"/>
    </row>
    <row r="342" spans="1:6">
      <c r="A342" s="587"/>
      <c r="B342" s="575"/>
      <c r="C342" s="575"/>
      <c r="D342" s="579"/>
      <c r="E342" s="580"/>
      <c r="F342" s="550"/>
    </row>
    <row r="343" spans="1:6">
      <c r="A343" s="587"/>
      <c r="B343" s="575"/>
      <c r="C343" s="575"/>
      <c r="D343" s="579"/>
      <c r="E343" s="580"/>
      <c r="F343" s="550"/>
    </row>
    <row r="344" spans="1:6">
      <c r="A344" s="587"/>
      <c r="B344" s="575"/>
      <c r="C344" s="575"/>
      <c r="D344" s="579"/>
      <c r="E344" s="580"/>
      <c r="F344" s="550"/>
    </row>
    <row r="345" spans="1:6">
      <c r="A345" s="587"/>
      <c r="B345" s="575"/>
      <c r="C345" s="575"/>
      <c r="D345" s="579"/>
      <c r="E345" s="580"/>
      <c r="F345" s="550"/>
    </row>
  </sheetData>
  <autoFilter ref="A2:G345" xr:uid="{00000000-0009-0000-0000-000000000000}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77B7B-ED29-4298-ADBF-A896BB6F33DF}">
  <sheetPr filterMode="1">
    <tabColor rgb="FFFF0000"/>
  </sheetPr>
  <dimension ref="A1:Q301"/>
  <sheetViews>
    <sheetView workbookViewId="0">
      <pane ySplit="3" topLeftCell="A4" activePane="bottomLeft" state="frozen"/>
      <selection pane="bottomLeft" activeCell="D309" sqref="D309"/>
    </sheetView>
  </sheetViews>
  <sheetFormatPr defaultRowHeight="14.4"/>
  <cols>
    <col min="2" max="2" width="11.88671875" customWidth="1"/>
    <col min="3" max="3" width="16.44140625" style="553" bestFit="1" customWidth="1"/>
    <col min="4" max="5" width="21.5546875" style="574" customWidth="1"/>
    <col min="6" max="6" width="26.88671875" style="574" bestFit="1" customWidth="1"/>
    <col min="7" max="7" width="15" style="574" customWidth="1"/>
    <col min="8" max="8" width="11.44140625" bestFit="1" customWidth="1"/>
    <col min="9" max="9" width="15.109375" customWidth="1"/>
    <col min="10" max="10" width="30.88671875" customWidth="1"/>
    <col min="11" max="11" width="29" customWidth="1"/>
    <col min="12" max="12" width="15.6640625" style="571" bestFit="1" customWidth="1"/>
    <col min="13" max="13" width="11" bestFit="1" customWidth="1"/>
    <col min="15" max="15" width="31.33203125" hidden="1" customWidth="1"/>
  </cols>
  <sheetData>
    <row r="1" spans="1:17">
      <c r="A1" s="520" t="s">
        <v>1641</v>
      </c>
      <c r="L1" s="571">
        <f>SUBTOTAL(9,L4:L301)</f>
        <v>29659.09</v>
      </c>
    </row>
    <row r="2" spans="1:17">
      <c r="A2" s="555"/>
      <c r="B2" s="548"/>
      <c r="C2" s="556"/>
      <c r="D2" s="556"/>
      <c r="E2" s="573"/>
      <c r="F2" s="573"/>
      <c r="G2" s="573"/>
      <c r="H2" s="548"/>
      <c r="I2" t="s">
        <v>2043</v>
      </c>
      <c r="J2" t="s">
        <v>2046</v>
      </c>
      <c r="K2" t="s">
        <v>2046</v>
      </c>
      <c r="L2" s="572"/>
    </row>
    <row r="3" spans="1:17" ht="27.6">
      <c r="A3" s="326" t="s">
        <v>941</v>
      </c>
      <c r="B3" s="327" t="s">
        <v>940</v>
      </c>
      <c r="C3" s="554" t="s">
        <v>146</v>
      </c>
      <c r="D3" s="559" t="s">
        <v>2045</v>
      </c>
      <c r="E3" s="559" t="s">
        <v>2667</v>
      </c>
      <c r="F3" s="559" t="s">
        <v>2044</v>
      </c>
      <c r="G3" s="336" t="s">
        <v>4244</v>
      </c>
      <c r="H3" s="327" t="s">
        <v>4245</v>
      </c>
      <c r="I3" s="327" t="s">
        <v>4246</v>
      </c>
      <c r="J3" s="333" t="s">
        <v>155</v>
      </c>
      <c r="K3" s="333" t="s">
        <v>156</v>
      </c>
      <c r="L3" s="551" t="s">
        <v>936</v>
      </c>
      <c r="O3" s="326" t="s">
        <v>875</v>
      </c>
    </row>
    <row r="4" spans="1:17" hidden="1">
      <c r="A4" t="s">
        <v>942</v>
      </c>
      <c r="B4" s="301" t="s">
        <v>947</v>
      </c>
      <c r="C4" s="553">
        <v>44292</v>
      </c>
      <c r="D4" s="574" t="s">
        <v>4681</v>
      </c>
      <c r="E4" s="574" t="s">
        <v>4710</v>
      </c>
      <c r="F4" s="584">
        <v>12</v>
      </c>
      <c r="G4" s="574">
        <v>5021199000</v>
      </c>
      <c r="H4" t="s">
        <v>1998</v>
      </c>
      <c r="I4" t="s">
        <v>505</v>
      </c>
      <c r="J4" t="s">
        <v>823</v>
      </c>
      <c r="K4" t="s">
        <v>4659</v>
      </c>
      <c r="L4" s="571">
        <v>-36825</v>
      </c>
      <c r="M4" t="str">
        <f>CONCATENATE(LEFT(H4,8),RIGHT(H4,2))</f>
        <v>5021199000</v>
      </c>
      <c r="O4" t="s">
        <v>960</v>
      </c>
      <c r="P4" t="s">
        <v>4631</v>
      </c>
      <c r="Q4" t="s">
        <v>993</v>
      </c>
    </row>
    <row r="5" spans="1:17" hidden="1">
      <c r="A5" t="s">
        <v>942</v>
      </c>
      <c r="B5" s="301" t="s">
        <v>947</v>
      </c>
      <c r="C5" s="553">
        <v>44292</v>
      </c>
      <c r="D5" s="574" t="s">
        <v>4682</v>
      </c>
      <c r="E5" s="574" t="s">
        <v>4711</v>
      </c>
      <c r="F5" s="584">
        <v>12</v>
      </c>
      <c r="G5" s="574">
        <v>5021299000</v>
      </c>
      <c r="H5" t="s">
        <v>1998</v>
      </c>
      <c r="I5" t="s">
        <v>506</v>
      </c>
      <c r="J5" t="s">
        <v>821</v>
      </c>
      <c r="K5" t="s">
        <v>4659</v>
      </c>
      <c r="L5" s="571">
        <v>-72845</v>
      </c>
      <c r="M5" t="str">
        <f t="shared" ref="M5:M68" si="0">CONCATENATE(LEFT(H5,8),RIGHT(H5,2))</f>
        <v>5021199000</v>
      </c>
      <c r="O5" t="s">
        <v>960</v>
      </c>
      <c r="P5" t="s">
        <v>4632</v>
      </c>
      <c r="Q5" t="s">
        <v>994</v>
      </c>
    </row>
    <row r="6" spans="1:17" hidden="1">
      <c r="A6" t="s">
        <v>942</v>
      </c>
      <c r="B6" s="301" t="s">
        <v>947</v>
      </c>
      <c r="C6" s="553">
        <v>44292</v>
      </c>
      <c r="D6" s="574" t="s">
        <v>4683</v>
      </c>
      <c r="E6" s="574" t="s">
        <v>4712</v>
      </c>
      <c r="F6" s="584">
        <v>1</v>
      </c>
      <c r="G6" s="574">
        <v>5020000000</v>
      </c>
      <c r="H6" t="s">
        <v>1998</v>
      </c>
      <c r="I6" t="s">
        <v>505</v>
      </c>
      <c r="J6" t="s">
        <v>823</v>
      </c>
      <c r="K6" t="s">
        <v>4660</v>
      </c>
      <c r="L6" s="571">
        <v>36825</v>
      </c>
      <c r="M6" t="str">
        <f t="shared" si="0"/>
        <v>5021199000</v>
      </c>
      <c r="O6" t="s">
        <v>970</v>
      </c>
      <c r="P6" t="s">
        <v>4633</v>
      </c>
      <c r="Q6" t="s">
        <v>961</v>
      </c>
    </row>
    <row r="7" spans="1:17" hidden="1">
      <c r="A7" t="s">
        <v>942</v>
      </c>
      <c r="B7" s="301" t="s">
        <v>947</v>
      </c>
      <c r="C7" s="553">
        <v>44292</v>
      </c>
      <c r="D7" s="574" t="s">
        <v>4684</v>
      </c>
      <c r="E7" s="574" t="s">
        <v>4713</v>
      </c>
      <c r="F7" s="584">
        <v>1</v>
      </c>
      <c r="G7" s="574">
        <v>5020000000</v>
      </c>
      <c r="H7" t="s">
        <v>1998</v>
      </c>
      <c r="I7" t="s">
        <v>506</v>
      </c>
      <c r="J7" t="s">
        <v>821</v>
      </c>
      <c r="K7" t="s">
        <v>4660</v>
      </c>
      <c r="L7" s="571">
        <v>72845</v>
      </c>
      <c r="M7" t="str">
        <f t="shared" si="0"/>
        <v>5021199000</v>
      </c>
      <c r="O7" t="s">
        <v>970</v>
      </c>
      <c r="P7" t="s">
        <v>4634</v>
      </c>
      <c r="Q7" t="s">
        <v>961</v>
      </c>
    </row>
    <row r="8" spans="1:17" hidden="1">
      <c r="A8" t="s">
        <v>942</v>
      </c>
      <c r="B8" s="301" t="s">
        <v>947</v>
      </c>
      <c r="C8" s="553">
        <v>44293</v>
      </c>
      <c r="D8" s="574" t="s">
        <v>4685</v>
      </c>
      <c r="E8" s="574" t="s">
        <v>4714</v>
      </c>
      <c r="F8" s="584">
        <v>14</v>
      </c>
      <c r="G8" s="574">
        <v>5021199000</v>
      </c>
      <c r="H8" t="s">
        <v>1998</v>
      </c>
      <c r="I8" t="s">
        <v>505</v>
      </c>
      <c r="J8" t="s">
        <v>4661</v>
      </c>
      <c r="K8" t="s">
        <v>4662</v>
      </c>
      <c r="L8" s="571">
        <v>83842.210000000006</v>
      </c>
      <c r="M8" t="str">
        <f t="shared" si="0"/>
        <v>5021199000</v>
      </c>
      <c r="O8" t="s">
        <v>973</v>
      </c>
      <c r="P8" t="s">
        <v>4635</v>
      </c>
      <c r="Q8" t="s">
        <v>1221</v>
      </c>
    </row>
    <row r="9" spans="1:17" hidden="1">
      <c r="A9" t="s">
        <v>942</v>
      </c>
      <c r="B9" s="301" t="s">
        <v>947</v>
      </c>
      <c r="C9" s="553">
        <v>44293</v>
      </c>
      <c r="D9" s="574" t="s">
        <v>4686</v>
      </c>
      <c r="E9" s="574" t="s">
        <v>4715</v>
      </c>
      <c r="F9" s="584">
        <v>14</v>
      </c>
      <c r="G9" s="574">
        <v>5021199000</v>
      </c>
      <c r="H9" t="s">
        <v>1998</v>
      </c>
      <c r="I9" t="s">
        <v>506</v>
      </c>
      <c r="J9" t="s">
        <v>4663</v>
      </c>
      <c r="K9" t="s">
        <v>4664</v>
      </c>
      <c r="L9" s="571">
        <v>44854.81</v>
      </c>
      <c r="M9" t="str">
        <f t="shared" si="0"/>
        <v>5021199000</v>
      </c>
      <c r="O9" t="s">
        <v>973</v>
      </c>
      <c r="P9" t="s">
        <v>4636</v>
      </c>
      <c r="Q9" t="s">
        <v>1221</v>
      </c>
    </row>
    <row r="10" spans="1:17" hidden="1">
      <c r="A10" t="s">
        <v>942</v>
      </c>
      <c r="B10" s="301" t="s">
        <v>947</v>
      </c>
      <c r="C10" s="553">
        <v>44293</v>
      </c>
      <c r="D10" s="574" t="s">
        <v>4687</v>
      </c>
      <c r="E10" s="574" t="s">
        <v>4716</v>
      </c>
      <c r="F10" s="584">
        <v>14</v>
      </c>
      <c r="G10" s="574">
        <v>5021199000</v>
      </c>
      <c r="H10" t="s">
        <v>1998</v>
      </c>
      <c r="I10" t="s">
        <v>505</v>
      </c>
      <c r="J10" t="s">
        <v>4665</v>
      </c>
      <c r="K10" t="s">
        <v>4664</v>
      </c>
      <c r="L10" s="571">
        <v>51992.25</v>
      </c>
      <c r="M10" t="str">
        <f t="shared" si="0"/>
        <v>5021199000</v>
      </c>
      <c r="N10" s="571">
        <v>43875.55</v>
      </c>
      <c r="O10" t="s">
        <v>967</v>
      </c>
      <c r="P10" t="s">
        <v>4637</v>
      </c>
      <c r="Q10" t="s">
        <v>1221</v>
      </c>
    </row>
    <row r="11" spans="1:17" hidden="1">
      <c r="A11" t="s">
        <v>942</v>
      </c>
      <c r="B11" s="301" t="s">
        <v>947</v>
      </c>
      <c r="C11" s="553">
        <v>44293</v>
      </c>
      <c r="D11" s="574" t="s">
        <v>4688</v>
      </c>
      <c r="E11" s="574" t="s">
        <v>4717</v>
      </c>
      <c r="F11" s="584">
        <v>14</v>
      </c>
      <c r="G11" s="574">
        <v>5021199000</v>
      </c>
      <c r="H11" t="s">
        <v>1998</v>
      </c>
      <c r="I11" t="s">
        <v>506</v>
      </c>
      <c r="J11" t="s">
        <v>4666</v>
      </c>
      <c r="K11" t="s">
        <v>4664</v>
      </c>
      <c r="L11" s="571">
        <v>70724.81</v>
      </c>
      <c r="M11" t="str">
        <f t="shared" si="0"/>
        <v>5021199000</v>
      </c>
      <c r="O11" t="s">
        <v>967</v>
      </c>
      <c r="P11" t="s">
        <v>4638</v>
      </c>
      <c r="Q11" t="s">
        <v>1221</v>
      </c>
    </row>
    <row r="12" spans="1:17" hidden="1">
      <c r="A12" t="s">
        <v>942</v>
      </c>
      <c r="B12" s="301" t="s">
        <v>947</v>
      </c>
      <c r="C12" s="553">
        <v>44293</v>
      </c>
      <c r="D12" s="574" t="s">
        <v>4689</v>
      </c>
      <c r="E12" s="574" t="s">
        <v>4718</v>
      </c>
      <c r="F12" s="584">
        <v>1</v>
      </c>
      <c r="G12" s="574">
        <v>5020000000</v>
      </c>
      <c r="H12" t="s">
        <v>2038</v>
      </c>
      <c r="I12" t="s">
        <v>624</v>
      </c>
      <c r="J12" t="s">
        <v>1030</v>
      </c>
      <c r="K12" t="s">
        <v>4667</v>
      </c>
      <c r="L12" s="571">
        <v>1600</v>
      </c>
      <c r="M12" t="str">
        <f t="shared" si="0"/>
        <v>5020302000</v>
      </c>
      <c r="O12" t="s">
        <v>961</v>
      </c>
      <c r="P12" t="s">
        <v>4639</v>
      </c>
      <c r="Q12" t="s">
        <v>961</v>
      </c>
    </row>
    <row r="13" spans="1:17" hidden="1">
      <c r="A13" t="s">
        <v>942</v>
      </c>
      <c r="B13" s="301" t="s">
        <v>947</v>
      </c>
      <c r="C13" s="553">
        <v>44298</v>
      </c>
      <c r="D13" s="574" t="s">
        <v>4690</v>
      </c>
      <c r="E13" s="574" t="s">
        <v>4719</v>
      </c>
      <c r="F13" s="584">
        <v>1</v>
      </c>
      <c r="G13" s="574">
        <v>5010000000</v>
      </c>
      <c r="H13" t="s">
        <v>2024</v>
      </c>
      <c r="I13" t="s">
        <v>499</v>
      </c>
      <c r="J13" t="s">
        <v>6</v>
      </c>
      <c r="K13" t="s">
        <v>4668</v>
      </c>
      <c r="L13" s="571">
        <v>9000</v>
      </c>
      <c r="M13" t="str">
        <f t="shared" si="0"/>
        <v>5010202000</v>
      </c>
      <c r="O13" t="s">
        <v>960</v>
      </c>
      <c r="P13" t="s">
        <v>4640</v>
      </c>
      <c r="Q13" t="s">
        <v>960</v>
      </c>
    </row>
    <row r="14" spans="1:17" hidden="1">
      <c r="A14" t="s">
        <v>942</v>
      </c>
      <c r="B14" s="301" t="s">
        <v>947</v>
      </c>
      <c r="C14" s="553">
        <v>44298</v>
      </c>
      <c r="D14" s="574" t="s">
        <v>4690</v>
      </c>
      <c r="E14" s="574" t="s">
        <v>4719</v>
      </c>
      <c r="F14" s="584">
        <v>1</v>
      </c>
      <c r="G14" s="574">
        <v>5010000000</v>
      </c>
      <c r="H14" t="s">
        <v>2025</v>
      </c>
      <c r="I14" t="s">
        <v>504</v>
      </c>
      <c r="J14" t="s">
        <v>6</v>
      </c>
      <c r="K14" t="s">
        <v>4668</v>
      </c>
      <c r="L14" s="571">
        <v>9000</v>
      </c>
      <c r="M14" t="str">
        <f t="shared" si="0"/>
        <v>5010203001</v>
      </c>
      <c r="O14" t="s">
        <v>960</v>
      </c>
      <c r="P14" t="s">
        <v>4640</v>
      </c>
      <c r="Q14" t="s">
        <v>960</v>
      </c>
    </row>
    <row r="15" spans="1:17" hidden="1">
      <c r="A15" t="s">
        <v>942</v>
      </c>
      <c r="B15" s="301" t="s">
        <v>947</v>
      </c>
      <c r="C15" s="553">
        <v>44298</v>
      </c>
      <c r="D15" s="574" t="s">
        <v>4690</v>
      </c>
      <c r="E15" s="574" t="s">
        <v>4719</v>
      </c>
      <c r="F15" s="584">
        <v>1</v>
      </c>
      <c r="G15" s="574">
        <v>5010000000</v>
      </c>
      <c r="H15" t="s">
        <v>2024</v>
      </c>
      <c r="I15" t="s">
        <v>528</v>
      </c>
      <c r="J15" t="s">
        <v>796</v>
      </c>
      <c r="K15" t="s">
        <v>4668</v>
      </c>
      <c r="L15" s="571">
        <v>8500</v>
      </c>
      <c r="M15" t="str">
        <f t="shared" si="0"/>
        <v>5010202000</v>
      </c>
      <c r="O15" t="s">
        <v>962</v>
      </c>
      <c r="P15" t="s">
        <v>4640</v>
      </c>
      <c r="Q15" t="s">
        <v>960</v>
      </c>
    </row>
    <row r="16" spans="1:17" hidden="1">
      <c r="A16" t="s">
        <v>942</v>
      </c>
      <c r="B16" s="301" t="s">
        <v>947</v>
      </c>
      <c r="C16" s="553">
        <v>44298</v>
      </c>
      <c r="D16" s="574" t="s">
        <v>4690</v>
      </c>
      <c r="E16" s="574" t="s">
        <v>4719</v>
      </c>
      <c r="F16" s="584">
        <v>1</v>
      </c>
      <c r="G16" s="574">
        <v>5010000000</v>
      </c>
      <c r="H16" t="s">
        <v>2025</v>
      </c>
      <c r="I16" t="s">
        <v>530</v>
      </c>
      <c r="J16" t="s">
        <v>796</v>
      </c>
      <c r="K16" t="s">
        <v>4668</v>
      </c>
      <c r="L16" s="571">
        <v>8500</v>
      </c>
      <c r="M16" t="str">
        <f t="shared" si="0"/>
        <v>5010203001</v>
      </c>
      <c r="O16" t="s">
        <v>960</v>
      </c>
      <c r="P16" t="s">
        <v>4640</v>
      </c>
      <c r="Q16" t="s">
        <v>960</v>
      </c>
    </row>
    <row r="17" spans="1:17" hidden="1">
      <c r="A17" t="s">
        <v>942</v>
      </c>
      <c r="B17" s="301" t="s">
        <v>947</v>
      </c>
      <c r="C17" s="553">
        <v>44298</v>
      </c>
      <c r="D17" s="574" t="s">
        <v>4690</v>
      </c>
      <c r="E17" s="574" t="s">
        <v>4719</v>
      </c>
      <c r="F17" s="584">
        <v>1</v>
      </c>
      <c r="G17" s="574">
        <v>5010000000</v>
      </c>
      <c r="H17" t="s">
        <v>2024</v>
      </c>
      <c r="I17" t="s">
        <v>532</v>
      </c>
      <c r="J17" t="s">
        <v>797</v>
      </c>
      <c r="K17" t="s">
        <v>4668</v>
      </c>
      <c r="L17" s="571">
        <v>5000</v>
      </c>
      <c r="M17" t="str">
        <f t="shared" si="0"/>
        <v>5010202000</v>
      </c>
      <c r="O17" t="s">
        <v>960</v>
      </c>
      <c r="P17" t="s">
        <v>4640</v>
      </c>
      <c r="Q17" t="s">
        <v>960</v>
      </c>
    </row>
    <row r="18" spans="1:17" hidden="1">
      <c r="A18" t="s">
        <v>942</v>
      </c>
      <c r="B18" s="301" t="s">
        <v>947</v>
      </c>
      <c r="C18" s="553">
        <v>44298</v>
      </c>
      <c r="D18" s="574" t="s">
        <v>4690</v>
      </c>
      <c r="E18" s="574" t="s">
        <v>4719</v>
      </c>
      <c r="F18" s="584">
        <v>1</v>
      </c>
      <c r="G18" s="574">
        <v>5010000000</v>
      </c>
      <c r="H18" t="s">
        <v>2025</v>
      </c>
      <c r="I18" t="s">
        <v>534</v>
      </c>
      <c r="J18" t="s">
        <v>797</v>
      </c>
      <c r="K18" t="s">
        <v>4668</v>
      </c>
      <c r="L18" s="571">
        <v>4545.45</v>
      </c>
      <c r="M18" t="str">
        <f t="shared" si="0"/>
        <v>5010203001</v>
      </c>
      <c r="O18" t="s">
        <v>960</v>
      </c>
      <c r="P18" t="s">
        <v>4640</v>
      </c>
      <c r="Q18" t="s">
        <v>960</v>
      </c>
    </row>
    <row r="19" spans="1:17" hidden="1">
      <c r="A19" t="s">
        <v>942</v>
      </c>
      <c r="B19" s="301" t="s">
        <v>947</v>
      </c>
      <c r="C19" s="553">
        <v>44298</v>
      </c>
      <c r="D19" s="574" t="s">
        <v>4690</v>
      </c>
      <c r="E19" s="574" t="s">
        <v>4719</v>
      </c>
      <c r="F19" s="584">
        <v>4</v>
      </c>
      <c r="G19" s="574">
        <v>5010000000</v>
      </c>
      <c r="H19" t="s">
        <v>2024</v>
      </c>
      <c r="I19" t="s">
        <v>499</v>
      </c>
      <c r="J19" t="s">
        <v>798</v>
      </c>
      <c r="K19" t="s">
        <v>4668</v>
      </c>
      <c r="L19" s="571">
        <v>5000</v>
      </c>
      <c r="M19" t="str">
        <f t="shared" si="0"/>
        <v>5010202000</v>
      </c>
      <c r="O19" t="s">
        <v>964</v>
      </c>
      <c r="P19" t="s">
        <v>4640</v>
      </c>
      <c r="Q19" t="s">
        <v>970</v>
      </c>
    </row>
    <row r="20" spans="1:17" hidden="1">
      <c r="A20" t="s">
        <v>942</v>
      </c>
      <c r="B20" s="301" t="s">
        <v>947</v>
      </c>
      <c r="C20" s="553">
        <v>44298</v>
      </c>
      <c r="D20" s="574" t="s">
        <v>4690</v>
      </c>
      <c r="E20" s="574" t="s">
        <v>4719</v>
      </c>
      <c r="F20" s="584">
        <v>4</v>
      </c>
      <c r="G20" s="574">
        <v>5010000000</v>
      </c>
      <c r="H20" t="s">
        <v>2025</v>
      </c>
      <c r="I20" t="s">
        <v>504</v>
      </c>
      <c r="J20" t="s">
        <v>798</v>
      </c>
      <c r="K20" t="s">
        <v>4668</v>
      </c>
      <c r="L20" s="571">
        <v>5000</v>
      </c>
      <c r="M20" t="str">
        <f t="shared" si="0"/>
        <v>5010203001</v>
      </c>
      <c r="O20" t="s">
        <v>964</v>
      </c>
      <c r="P20" t="s">
        <v>4640</v>
      </c>
      <c r="Q20" t="s">
        <v>970</v>
      </c>
    </row>
    <row r="21" spans="1:17" hidden="1">
      <c r="A21" t="s">
        <v>942</v>
      </c>
      <c r="B21" s="301" t="s">
        <v>947</v>
      </c>
      <c r="C21" s="553">
        <v>44298</v>
      </c>
      <c r="D21" s="574" t="s">
        <v>4690</v>
      </c>
      <c r="E21" s="574" t="s">
        <v>4719</v>
      </c>
      <c r="F21" s="584">
        <v>5</v>
      </c>
      <c r="G21" s="574">
        <v>5010000000</v>
      </c>
      <c r="H21" t="s">
        <v>2024</v>
      </c>
      <c r="I21" t="s">
        <v>528</v>
      </c>
      <c r="J21" t="s">
        <v>799</v>
      </c>
      <c r="K21" t="s">
        <v>4668</v>
      </c>
      <c r="L21" s="571">
        <v>5000</v>
      </c>
      <c r="M21" t="str">
        <f t="shared" si="0"/>
        <v>5010202000</v>
      </c>
      <c r="O21" t="s">
        <v>966</v>
      </c>
      <c r="P21" t="s">
        <v>4640</v>
      </c>
      <c r="Q21" t="s">
        <v>973</v>
      </c>
    </row>
    <row r="22" spans="1:17" hidden="1">
      <c r="A22" t="s">
        <v>942</v>
      </c>
      <c r="B22" s="301" t="s">
        <v>947</v>
      </c>
      <c r="C22" s="553">
        <v>44298</v>
      </c>
      <c r="D22" s="574" t="s">
        <v>4690</v>
      </c>
      <c r="E22" s="574" t="s">
        <v>4719</v>
      </c>
      <c r="F22" s="584">
        <v>5</v>
      </c>
      <c r="G22" s="574">
        <v>5010000000</v>
      </c>
      <c r="H22" t="s">
        <v>2025</v>
      </c>
      <c r="I22" t="s">
        <v>530</v>
      </c>
      <c r="J22" t="s">
        <v>799</v>
      </c>
      <c r="K22" t="s">
        <v>4668</v>
      </c>
      <c r="L22" s="571">
        <v>5000</v>
      </c>
      <c r="M22" t="str">
        <f t="shared" si="0"/>
        <v>5010203001</v>
      </c>
      <c r="O22" t="s">
        <v>964</v>
      </c>
      <c r="P22" t="s">
        <v>4640</v>
      </c>
      <c r="Q22" t="s">
        <v>973</v>
      </c>
    </row>
    <row r="23" spans="1:17" hidden="1">
      <c r="A23" t="s">
        <v>942</v>
      </c>
      <c r="B23" s="301" t="s">
        <v>947</v>
      </c>
      <c r="C23" s="553">
        <v>44298</v>
      </c>
      <c r="D23" s="574" t="s">
        <v>4690</v>
      </c>
      <c r="E23" s="574" t="s">
        <v>4719</v>
      </c>
      <c r="F23" s="584">
        <v>3</v>
      </c>
      <c r="G23" s="574">
        <v>5010000000</v>
      </c>
      <c r="H23" t="s">
        <v>2024</v>
      </c>
      <c r="I23" t="s">
        <v>532</v>
      </c>
      <c r="J23" t="s">
        <v>800</v>
      </c>
      <c r="K23" t="s">
        <v>4668</v>
      </c>
      <c r="L23" s="571">
        <v>5000</v>
      </c>
      <c r="M23" t="str">
        <f t="shared" si="0"/>
        <v>5010202000</v>
      </c>
      <c r="O23" t="s">
        <v>964</v>
      </c>
      <c r="P23" t="s">
        <v>4640</v>
      </c>
      <c r="Q23" t="s">
        <v>967</v>
      </c>
    </row>
    <row r="24" spans="1:17" hidden="1">
      <c r="A24" t="s">
        <v>942</v>
      </c>
      <c r="B24" s="301" t="s">
        <v>947</v>
      </c>
      <c r="C24" s="553">
        <v>44298</v>
      </c>
      <c r="D24" s="574" t="s">
        <v>4690</v>
      </c>
      <c r="E24" s="574" t="s">
        <v>4719</v>
      </c>
      <c r="F24" s="584">
        <v>3</v>
      </c>
      <c r="G24" s="574">
        <v>5010000000</v>
      </c>
      <c r="H24" t="s">
        <v>2025</v>
      </c>
      <c r="I24" t="s">
        <v>534</v>
      </c>
      <c r="J24" t="s">
        <v>800</v>
      </c>
      <c r="K24" t="s">
        <v>4668</v>
      </c>
      <c r="L24" s="571">
        <v>5000</v>
      </c>
      <c r="M24" t="str">
        <f t="shared" si="0"/>
        <v>5010203001</v>
      </c>
      <c r="O24" t="s">
        <v>964</v>
      </c>
      <c r="P24" t="s">
        <v>4640</v>
      </c>
      <c r="Q24" t="s">
        <v>967</v>
      </c>
    </row>
    <row r="25" spans="1:17" hidden="1">
      <c r="A25" t="s">
        <v>942</v>
      </c>
      <c r="B25" s="301" t="s">
        <v>947</v>
      </c>
      <c r="C25" s="553">
        <v>44298</v>
      </c>
      <c r="D25" s="574" t="s">
        <v>4690</v>
      </c>
      <c r="E25" s="574" t="s">
        <v>4719</v>
      </c>
      <c r="F25" s="584">
        <v>1</v>
      </c>
      <c r="G25" s="574">
        <v>5010000000</v>
      </c>
      <c r="H25" t="s">
        <v>2024</v>
      </c>
      <c r="I25" t="s">
        <v>499</v>
      </c>
      <c r="J25" t="s">
        <v>801</v>
      </c>
      <c r="K25" t="s">
        <v>4668</v>
      </c>
      <c r="L25" s="571">
        <v>7500</v>
      </c>
      <c r="M25" t="str">
        <f t="shared" si="0"/>
        <v>5010202000</v>
      </c>
      <c r="O25" t="s">
        <v>964</v>
      </c>
      <c r="P25" t="s">
        <v>4640</v>
      </c>
      <c r="Q25" t="s">
        <v>960</v>
      </c>
    </row>
    <row r="26" spans="1:17" hidden="1">
      <c r="A26" t="s">
        <v>942</v>
      </c>
      <c r="B26" s="301" t="s">
        <v>947</v>
      </c>
      <c r="C26" s="553">
        <v>44298</v>
      </c>
      <c r="D26" s="574" t="s">
        <v>4690</v>
      </c>
      <c r="E26" s="574" t="s">
        <v>4719</v>
      </c>
      <c r="F26" s="584">
        <v>1</v>
      </c>
      <c r="G26" s="574">
        <v>5010000000</v>
      </c>
      <c r="H26" t="s">
        <v>2025</v>
      </c>
      <c r="I26" t="s">
        <v>504</v>
      </c>
      <c r="J26" t="s">
        <v>801</v>
      </c>
      <c r="K26" t="s">
        <v>4668</v>
      </c>
      <c r="L26" s="571">
        <v>7500</v>
      </c>
      <c r="M26" t="str">
        <f t="shared" si="0"/>
        <v>5010203001</v>
      </c>
      <c r="O26" t="s">
        <v>964</v>
      </c>
      <c r="P26" t="s">
        <v>4640</v>
      </c>
      <c r="Q26" t="s">
        <v>960</v>
      </c>
    </row>
    <row r="27" spans="1:17" hidden="1">
      <c r="A27" t="s">
        <v>942</v>
      </c>
      <c r="B27" s="301" t="s">
        <v>947</v>
      </c>
      <c r="C27" s="553">
        <v>44298</v>
      </c>
      <c r="D27" s="574" t="s">
        <v>4690</v>
      </c>
      <c r="E27" s="574" t="s">
        <v>4719</v>
      </c>
      <c r="F27" s="584">
        <v>4</v>
      </c>
      <c r="G27" s="574">
        <v>5010000000</v>
      </c>
      <c r="H27" t="s">
        <v>2024</v>
      </c>
      <c r="I27" t="s">
        <v>528</v>
      </c>
      <c r="J27" t="s">
        <v>802</v>
      </c>
      <c r="K27" t="s">
        <v>4668</v>
      </c>
      <c r="L27" s="571">
        <v>5000</v>
      </c>
      <c r="M27" t="str">
        <f t="shared" si="0"/>
        <v>5010202000</v>
      </c>
      <c r="O27" t="s">
        <v>966</v>
      </c>
      <c r="P27" t="s">
        <v>4640</v>
      </c>
      <c r="Q27" t="s">
        <v>970</v>
      </c>
    </row>
    <row r="28" spans="1:17" hidden="1">
      <c r="A28" t="s">
        <v>942</v>
      </c>
      <c r="B28" s="301" t="s">
        <v>947</v>
      </c>
      <c r="C28" s="553">
        <v>44298</v>
      </c>
      <c r="D28" s="574" t="s">
        <v>4690</v>
      </c>
      <c r="E28" s="574" t="s">
        <v>4719</v>
      </c>
      <c r="F28" s="584">
        <v>4</v>
      </c>
      <c r="G28" s="574">
        <v>5010000000</v>
      </c>
      <c r="H28" t="s">
        <v>2025</v>
      </c>
      <c r="I28" t="s">
        <v>530</v>
      </c>
      <c r="J28" t="s">
        <v>802</v>
      </c>
      <c r="K28" t="s">
        <v>4668</v>
      </c>
      <c r="L28" s="571">
        <v>5000</v>
      </c>
      <c r="M28" t="str">
        <f t="shared" si="0"/>
        <v>5010203001</v>
      </c>
      <c r="O28" t="s">
        <v>964</v>
      </c>
      <c r="P28" t="s">
        <v>4640</v>
      </c>
      <c r="Q28" t="s">
        <v>970</v>
      </c>
    </row>
    <row r="29" spans="1:17" hidden="1">
      <c r="A29" t="s">
        <v>942</v>
      </c>
      <c r="B29" s="301" t="s">
        <v>947</v>
      </c>
      <c r="C29" s="553">
        <v>44298</v>
      </c>
      <c r="D29" s="574" t="s">
        <v>4690</v>
      </c>
      <c r="E29" s="574" t="s">
        <v>4719</v>
      </c>
      <c r="F29" s="584">
        <v>3</v>
      </c>
      <c r="G29" s="574">
        <v>5010000000</v>
      </c>
      <c r="H29" t="s">
        <v>2024</v>
      </c>
      <c r="I29" t="s">
        <v>532</v>
      </c>
      <c r="J29" t="s">
        <v>803</v>
      </c>
      <c r="K29" t="s">
        <v>4668</v>
      </c>
      <c r="L29" s="571">
        <v>5000</v>
      </c>
      <c r="M29" t="str">
        <f t="shared" si="0"/>
        <v>5010202000</v>
      </c>
      <c r="O29" t="s">
        <v>964</v>
      </c>
      <c r="P29" t="s">
        <v>4640</v>
      </c>
      <c r="Q29" t="s">
        <v>967</v>
      </c>
    </row>
    <row r="30" spans="1:17" hidden="1">
      <c r="A30" t="s">
        <v>942</v>
      </c>
      <c r="B30" s="301" t="s">
        <v>947</v>
      </c>
      <c r="C30" s="553">
        <v>44298</v>
      </c>
      <c r="D30" s="574" t="s">
        <v>4690</v>
      </c>
      <c r="E30" s="574" t="s">
        <v>4719</v>
      </c>
      <c r="F30" s="584">
        <v>3</v>
      </c>
      <c r="G30" s="574">
        <v>5010000000</v>
      </c>
      <c r="H30" t="s">
        <v>2025</v>
      </c>
      <c r="I30" t="s">
        <v>534</v>
      </c>
      <c r="J30" t="s">
        <v>803</v>
      </c>
      <c r="K30" t="s">
        <v>4668</v>
      </c>
      <c r="L30" s="571">
        <v>5000</v>
      </c>
      <c r="M30" t="str">
        <f t="shared" si="0"/>
        <v>5010203001</v>
      </c>
      <c r="O30" t="s">
        <v>964</v>
      </c>
      <c r="P30" t="s">
        <v>4640</v>
      </c>
      <c r="Q30" t="s">
        <v>967</v>
      </c>
    </row>
    <row r="31" spans="1:17" hidden="1">
      <c r="A31" t="s">
        <v>942</v>
      </c>
      <c r="B31" s="301" t="s">
        <v>947</v>
      </c>
      <c r="C31" s="553">
        <v>44298</v>
      </c>
      <c r="D31" s="574" t="s">
        <v>4690</v>
      </c>
      <c r="E31" s="574" t="s">
        <v>4719</v>
      </c>
      <c r="F31" s="584">
        <v>1</v>
      </c>
      <c r="G31" s="574">
        <v>5010000000</v>
      </c>
      <c r="H31" t="s">
        <v>2024</v>
      </c>
      <c r="I31" t="s">
        <v>499</v>
      </c>
      <c r="J31" t="s">
        <v>804</v>
      </c>
      <c r="K31" t="s">
        <v>4668</v>
      </c>
      <c r="L31" s="571">
        <v>7500</v>
      </c>
      <c r="M31" t="str">
        <f t="shared" si="0"/>
        <v>5010202000</v>
      </c>
      <c r="O31" t="s">
        <v>964</v>
      </c>
      <c r="P31" t="s">
        <v>4640</v>
      </c>
      <c r="Q31" t="s">
        <v>960</v>
      </c>
    </row>
    <row r="32" spans="1:17" hidden="1">
      <c r="A32" t="s">
        <v>942</v>
      </c>
      <c r="B32" s="301" t="s">
        <v>947</v>
      </c>
      <c r="C32" s="553">
        <v>44298</v>
      </c>
      <c r="D32" s="574" t="s">
        <v>4690</v>
      </c>
      <c r="E32" s="574" t="s">
        <v>4719</v>
      </c>
      <c r="F32" s="584">
        <v>1</v>
      </c>
      <c r="G32" s="574">
        <v>5010000000</v>
      </c>
      <c r="H32" t="s">
        <v>2025</v>
      </c>
      <c r="I32" t="s">
        <v>504</v>
      </c>
      <c r="J32" t="s">
        <v>804</v>
      </c>
      <c r="K32" t="s">
        <v>4668</v>
      </c>
      <c r="L32" s="571">
        <v>7500</v>
      </c>
      <c r="M32" t="str">
        <f t="shared" si="0"/>
        <v>5010203001</v>
      </c>
      <c r="O32" t="s">
        <v>964</v>
      </c>
      <c r="P32" t="s">
        <v>4640</v>
      </c>
      <c r="Q32" t="s">
        <v>960</v>
      </c>
    </row>
    <row r="33" spans="1:17" hidden="1">
      <c r="A33" t="s">
        <v>942</v>
      </c>
      <c r="B33" s="301" t="s">
        <v>947</v>
      </c>
      <c r="C33" s="553">
        <v>44298</v>
      </c>
      <c r="D33" s="574" t="s">
        <v>4690</v>
      </c>
      <c r="E33" s="574" t="s">
        <v>4719</v>
      </c>
      <c r="F33" s="584">
        <v>4</v>
      </c>
      <c r="G33" s="574">
        <v>5010000000</v>
      </c>
      <c r="H33" t="s">
        <v>2024</v>
      </c>
      <c r="I33" t="s">
        <v>528</v>
      </c>
      <c r="J33" t="s">
        <v>805</v>
      </c>
      <c r="K33" t="s">
        <v>4668</v>
      </c>
      <c r="L33" s="571">
        <v>5000</v>
      </c>
      <c r="M33" t="str">
        <f t="shared" si="0"/>
        <v>5010202000</v>
      </c>
      <c r="O33" t="s">
        <v>966</v>
      </c>
      <c r="P33" t="s">
        <v>4640</v>
      </c>
      <c r="Q33" t="s">
        <v>970</v>
      </c>
    </row>
    <row r="34" spans="1:17" hidden="1">
      <c r="A34" t="s">
        <v>942</v>
      </c>
      <c r="B34" s="301" t="s">
        <v>947</v>
      </c>
      <c r="C34" s="553">
        <v>44298</v>
      </c>
      <c r="D34" s="574" t="s">
        <v>4690</v>
      </c>
      <c r="E34" s="574" t="s">
        <v>4719</v>
      </c>
      <c r="F34" s="584">
        <v>4</v>
      </c>
      <c r="G34" s="574">
        <v>5010000000</v>
      </c>
      <c r="H34" t="s">
        <v>2025</v>
      </c>
      <c r="I34" t="s">
        <v>530</v>
      </c>
      <c r="J34" t="s">
        <v>805</v>
      </c>
      <c r="K34" t="s">
        <v>4668</v>
      </c>
      <c r="L34" s="571">
        <v>5000</v>
      </c>
      <c r="M34" t="str">
        <f t="shared" si="0"/>
        <v>5010203001</v>
      </c>
      <c r="O34" t="s">
        <v>964</v>
      </c>
      <c r="P34" t="s">
        <v>4640</v>
      </c>
      <c r="Q34" t="s">
        <v>970</v>
      </c>
    </row>
    <row r="35" spans="1:17" hidden="1">
      <c r="A35" t="s">
        <v>942</v>
      </c>
      <c r="B35" s="301" t="s">
        <v>947</v>
      </c>
      <c r="C35" s="553">
        <v>44298</v>
      </c>
      <c r="D35" s="574" t="s">
        <v>4690</v>
      </c>
      <c r="E35" s="574" t="s">
        <v>4719</v>
      </c>
      <c r="F35" s="584">
        <v>1</v>
      </c>
      <c r="G35" s="574">
        <v>5010000000</v>
      </c>
      <c r="H35" t="s">
        <v>2024</v>
      </c>
      <c r="I35" t="s">
        <v>532</v>
      </c>
      <c r="J35" t="s">
        <v>806</v>
      </c>
      <c r="K35" t="s">
        <v>4668</v>
      </c>
      <c r="L35" s="571">
        <v>7500</v>
      </c>
      <c r="M35" t="str">
        <f t="shared" si="0"/>
        <v>5010202000</v>
      </c>
      <c r="O35" t="s">
        <v>964</v>
      </c>
      <c r="P35" t="s">
        <v>4640</v>
      </c>
      <c r="Q35" t="s">
        <v>960</v>
      </c>
    </row>
    <row r="36" spans="1:17" hidden="1">
      <c r="A36" t="s">
        <v>942</v>
      </c>
      <c r="B36" s="301" t="s">
        <v>947</v>
      </c>
      <c r="C36" s="553">
        <v>44298</v>
      </c>
      <c r="D36" s="574" t="s">
        <v>4690</v>
      </c>
      <c r="E36" s="574" t="s">
        <v>4719</v>
      </c>
      <c r="F36" s="584">
        <v>1</v>
      </c>
      <c r="G36" s="574">
        <v>5010000000</v>
      </c>
      <c r="H36" t="s">
        <v>2025</v>
      </c>
      <c r="I36" t="s">
        <v>534</v>
      </c>
      <c r="J36" t="s">
        <v>806</v>
      </c>
      <c r="K36" t="s">
        <v>4668</v>
      </c>
      <c r="L36" s="571">
        <v>7500</v>
      </c>
      <c r="M36" t="str">
        <f t="shared" si="0"/>
        <v>5010203001</v>
      </c>
      <c r="O36" t="s">
        <v>964</v>
      </c>
      <c r="P36" t="s">
        <v>4640</v>
      </c>
      <c r="Q36" t="s">
        <v>960</v>
      </c>
    </row>
    <row r="37" spans="1:17" hidden="1">
      <c r="A37" t="s">
        <v>942</v>
      </c>
      <c r="B37" s="301" t="s">
        <v>947</v>
      </c>
      <c r="C37" s="553">
        <v>44298</v>
      </c>
      <c r="D37" s="574" t="s">
        <v>4691</v>
      </c>
      <c r="E37" s="574" t="s">
        <v>4720</v>
      </c>
      <c r="F37" s="584">
        <v>1</v>
      </c>
      <c r="G37" s="574">
        <v>5020000000</v>
      </c>
      <c r="H37" t="s">
        <v>1995</v>
      </c>
      <c r="I37" t="s">
        <v>565</v>
      </c>
      <c r="J37" t="s">
        <v>6</v>
      </c>
      <c r="K37" t="s">
        <v>761</v>
      </c>
      <c r="L37" s="571">
        <v>10000</v>
      </c>
      <c r="M37" t="str">
        <f t="shared" si="0"/>
        <v>5021003000</v>
      </c>
      <c r="O37" t="s">
        <v>961</v>
      </c>
      <c r="P37" t="s">
        <v>4641</v>
      </c>
      <c r="Q37" t="s">
        <v>961</v>
      </c>
    </row>
    <row r="38" spans="1:17" hidden="1">
      <c r="A38" t="s">
        <v>942</v>
      </c>
      <c r="B38" s="301" t="s">
        <v>947</v>
      </c>
      <c r="C38" s="553">
        <v>44299</v>
      </c>
      <c r="D38" s="574" t="s">
        <v>4692</v>
      </c>
      <c r="E38" s="574" t="s">
        <v>4721</v>
      </c>
      <c r="F38" s="584">
        <v>1</v>
      </c>
      <c r="G38" s="574">
        <v>5010000000</v>
      </c>
      <c r="H38" t="s">
        <v>2026</v>
      </c>
      <c r="I38" t="s">
        <v>593</v>
      </c>
      <c r="J38" t="s">
        <v>789</v>
      </c>
      <c r="K38" t="s">
        <v>4669</v>
      </c>
      <c r="L38" s="571">
        <v>57452</v>
      </c>
      <c r="M38" t="str">
        <f t="shared" si="0"/>
        <v>5010101001</v>
      </c>
      <c r="O38" t="s">
        <v>961</v>
      </c>
      <c r="P38" t="s">
        <v>4680</v>
      </c>
      <c r="Q38" t="s">
        <v>960</v>
      </c>
    </row>
    <row r="39" spans="1:17" hidden="1">
      <c r="A39" t="s">
        <v>942</v>
      </c>
      <c r="B39" s="301" t="s">
        <v>947</v>
      </c>
      <c r="C39" s="553">
        <v>44299</v>
      </c>
      <c r="D39" s="574" t="s">
        <v>4692</v>
      </c>
      <c r="E39" s="574" t="s">
        <v>4721</v>
      </c>
      <c r="F39" s="584">
        <v>1</v>
      </c>
      <c r="G39" s="574">
        <v>5010000000</v>
      </c>
      <c r="H39" t="s">
        <v>2027</v>
      </c>
      <c r="I39" t="s">
        <v>676</v>
      </c>
      <c r="J39" t="s">
        <v>789</v>
      </c>
      <c r="K39" t="s">
        <v>4669</v>
      </c>
      <c r="L39" s="571">
        <v>4000</v>
      </c>
      <c r="M39" t="str">
        <f t="shared" si="0"/>
        <v>5010201001</v>
      </c>
      <c r="O39" t="s">
        <v>961</v>
      </c>
      <c r="P39" t="s">
        <v>4680</v>
      </c>
      <c r="Q39" t="s">
        <v>960</v>
      </c>
    </row>
    <row r="40" spans="1:17" hidden="1">
      <c r="A40" t="s">
        <v>942</v>
      </c>
      <c r="B40" s="301" t="s">
        <v>947</v>
      </c>
      <c r="C40" s="553">
        <v>44299</v>
      </c>
      <c r="D40" s="574" t="s">
        <v>4692</v>
      </c>
      <c r="E40" s="574" t="s">
        <v>4721</v>
      </c>
      <c r="F40" s="584">
        <v>1</v>
      </c>
      <c r="G40" s="574">
        <v>5010301000</v>
      </c>
      <c r="H40" t="s">
        <v>2028</v>
      </c>
      <c r="I40" t="s">
        <v>642</v>
      </c>
      <c r="J40" t="s">
        <v>789</v>
      </c>
      <c r="K40" t="s">
        <v>4669</v>
      </c>
      <c r="L40" s="571">
        <v>6894.24</v>
      </c>
      <c r="M40" t="str">
        <f t="shared" si="0"/>
        <v>5010301000</v>
      </c>
      <c r="O40" t="s">
        <v>961</v>
      </c>
      <c r="P40" t="s">
        <v>4680</v>
      </c>
      <c r="Q40" t="s">
        <v>962</v>
      </c>
    </row>
    <row r="41" spans="1:17" hidden="1">
      <c r="A41" t="s">
        <v>942</v>
      </c>
      <c r="B41" s="301" t="s">
        <v>947</v>
      </c>
      <c r="C41" s="553">
        <v>44299</v>
      </c>
      <c r="D41" s="574" t="s">
        <v>4692</v>
      </c>
      <c r="E41" s="574" t="s">
        <v>4721</v>
      </c>
      <c r="F41" s="584">
        <v>1</v>
      </c>
      <c r="G41" s="574">
        <v>5010000000</v>
      </c>
      <c r="H41" t="s">
        <v>2029</v>
      </c>
      <c r="I41" t="s">
        <v>633</v>
      </c>
      <c r="J41" t="s">
        <v>789</v>
      </c>
      <c r="K41" t="s">
        <v>4669</v>
      </c>
      <c r="L41" s="571">
        <v>200</v>
      </c>
      <c r="M41" t="str">
        <f t="shared" si="0"/>
        <v>5010302001</v>
      </c>
      <c r="O41" t="s">
        <v>961</v>
      </c>
      <c r="P41" t="s">
        <v>4680</v>
      </c>
      <c r="Q41" t="s">
        <v>960</v>
      </c>
    </row>
    <row r="42" spans="1:17" hidden="1">
      <c r="A42" t="s">
        <v>942</v>
      </c>
      <c r="B42" s="301" t="s">
        <v>947</v>
      </c>
      <c r="C42" s="553">
        <v>44299</v>
      </c>
      <c r="D42" s="574" t="s">
        <v>4692</v>
      </c>
      <c r="E42" s="574" t="s">
        <v>4721</v>
      </c>
      <c r="F42" s="584">
        <v>1</v>
      </c>
      <c r="G42" s="574">
        <v>5010000000</v>
      </c>
      <c r="H42" t="s">
        <v>2030</v>
      </c>
      <c r="I42" t="s">
        <v>672</v>
      </c>
      <c r="J42" t="s">
        <v>789</v>
      </c>
      <c r="K42" t="s">
        <v>4669</v>
      </c>
      <c r="L42" s="571">
        <v>861.79</v>
      </c>
      <c r="M42" t="str">
        <f t="shared" si="0"/>
        <v>5010303001</v>
      </c>
      <c r="O42" t="s">
        <v>961</v>
      </c>
      <c r="P42" t="s">
        <v>4680</v>
      </c>
      <c r="Q42" t="s">
        <v>960</v>
      </c>
    </row>
    <row r="43" spans="1:17" hidden="1">
      <c r="A43" t="s">
        <v>942</v>
      </c>
      <c r="B43" s="301" t="s">
        <v>947</v>
      </c>
      <c r="C43" s="553">
        <v>44299</v>
      </c>
      <c r="D43" s="574" t="s">
        <v>4692</v>
      </c>
      <c r="E43" s="574" t="s">
        <v>4721</v>
      </c>
      <c r="F43" s="584">
        <v>1</v>
      </c>
      <c r="G43" s="574">
        <v>5010000000</v>
      </c>
      <c r="H43" t="s">
        <v>2031</v>
      </c>
      <c r="I43" t="s">
        <v>499</v>
      </c>
      <c r="J43" t="s">
        <v>789</v>
      </c>
      <c r="K43" t="s">
        <v>4669</v>
      </c>
      <c r="L43" s="571">
        <v>200</v>
      </c>
      <c r="M43" t="str">
        <f t="shared" si="0"/>
        <v>5010304001</v>
      </c>
      <c r="O43" t="s">
        <v>967</v>
      </c>
      <c r="P43" t="s">
        <v>4680</v>
      </c>
      <c r="Q43" t="s">
        <v>960</v>
      </c>
    </row>
    <row r="44" spans="1:17" hidden="1">
      <c r="A44" t="s">
        <v>942</v>
      </c>
      <c r="B44" s="301" t="s">
        <v>947</v>
      </c>
      <c r="C44" s="553">
        <v>44299</v>
      </c>
      <c r="D44" s="574" t="s">
        <v>4692</v>
      </c>
      <c r="E44" s="574" t="s">
        <v>4721</v>
      </c>
      <c r="F44" s="584">
        <v>2</v>
      </c>
      <c r="G44" s="574">
        <v>5010000000</v>
      </c>
      <c r="H44" t="s">
        <v>2026</v>
      </c>
      <c r="I44" t="s">
        <v>504</v>
      </c>
      <c r="J44" t="s">
        <v>789</v>
      </c>
      <c r="K44" t="s">
        <v>4669</v>
      </c>
      <c r="L44" s="571">
        <v>130423</v>
      </c>
      <c r="M44" t="str">
        <f t="shared" si="0"/>
        <v>5010101001</v>
      </c>
      <c r="O44" t="s">
        <v>967</v>
      </c>
      <c r="P44" t="s">
        <v>4680</v>
      </c>
      <c r="Q44" t="s">
        <v>964</v>
      </c>
    </row>
    <row r="45" spans="1:17" hidden="1">
      <c r="A45" t="s">
        <v>942</v>
      </c>
      <c r="B45" s="301" t="s">
        <v>947</v>
      </c>
      <c r="C45" s="553">
        <v>44299</v>
      </c>
      <c r="D45" s="574" t="s">
        <v>4692</v>
      </c>
      <c r="E45" s="574" t="s">
        <v>4721</v>
      </c>
      <c r="F45" s="584">
        <v>2</v>
      </c>
      <c r="G45" s="574">
        <v>5010000000</v>
      </c>
      <c r="H45" t="s">
        <v>2027</v>
      </c>
      <c r="I45" t="s">
        <v>528</v>
      </c>
      <c r="J45" t="s">
        <v>789</v>
      </c>
      <c r="K45" t="s">
        <v>4669</v>
      </c>
      <c r="L45" s="571">
        <v>4000</v>
      </c>
      <c r="M45" t="str">
        <f t="shared" si="0"/>
        <v>5010201001</v>
      </c>
      <c r="O45" t="s">
        <v>969</v>
      </c>
      <c r="P45" t="s">
        <v>4680</v>
      </c>
      <c r="Q45" t="s">
        <v>964</v>
      </c>
    </row>
    <row r="46" spans="1:17" hidden="1">
      <c r="A46" t="s">
        <v>942</v>
      </c>
      <c r="B46" s="301" t="s">
        <v>947</v>
      </c>
      <c r="C46" s="553">
        <v>44299</v>
      </c>
      <c r="D46" s="574" t="s">
        <v>4692</v>
      </c>
      <c r="E46" s="574" t="s">
        <v>4721</v>
      </c>
      <c r="F46" s="584">
        <v>2</v>
      </c>
      <c r="G46" s="574">
        <v>5010301000</v>
      </c>
      <c r="H46" t="s">
        <v>2028</v>
      </c>
      <c r="I46" t="s">
        <v>530</v>
      </c>
      <c r="J46" t="s">
        <v>789</v>
      </c>
      <c r="K46" t="s">
        <v>4669</v>
      </c>
      <c r="L46" s="571">
        <v>15650.760000000002</v>
      </c>
      <c r="M46" t="str">
        <f t="shared" si="0"/>
        <v>5010301000</v>
      </c>
      <c r="O46" t="s">
        <v>967</v>
      </c>
      <c r="P46" t="s">
        <v>4680</v>
      </c>
      <c r="Q46" t="s">
        <v>966</v>
      </c>
    </row>
    <row r="47" spans="1:17" hidden="1">
      <c r="A47" t="s">
        <v>942</v>
      </c>
      <c r="B47" s="301" t="s">
        <v>947</v>
      </c>
      <c r="C47" s="553">
        <v>44299</v>
      </c>
      <c r="D47" s="574" t="s">
        <v>4692</v>
      </c>
      <c r="E47" s="574" t="s">
        <v>4721</v>
      </c>
      <c r="F47" s="584">
        <v>2</v>
      </c>
      <c r="G47" s="574">
        <v>5010000000</v>
      </c>
      <c r="H47" t="s">
        <v>2029</v>
      </c>
      <c r="I47" t="s">
        <v>532</v>
      </c>
      <c r="J47" t="s">
        <v>789</v>
      </c>
      <c r="K47" t="s">
        <v>4669</v>
      </c>
      <c r="L47" s="571">
        <v>200</v>
      </c>
      <c r="M47" t="str">
        <f t="shared" si="0"/>
        <v>5010302001</v>
      </c>
      <c r="O47" t="s">
        <v>967</v>
      </c>
      <c r="P47" t="s">
        <v>4680</v>
      </c>
      <c r="Q47" t="s">
        <v>964</v>
      </c>
    </row>
    <row r="48" spans="1:17" hidden="1">
      <c r="A48" t="s">
        <v>942</v>
      </c>
      <c r="B48" s="301" t="s">
        <v>947</v>
      </c>
      <c r="C48" s="553">
        <v>44299</v>
      </c>
      <c r="D48" s="574" t="s">
        <v>4692</v>
      </c>
      <c r="E48" s="574" t="s">
        <v>4721</v>
      </c>
      <c r="F48" s="584">
        <v>2</v>
      </c>
      <c r="G48" s="574">
        <v>5010000000</v>
      </c>
      <c r="H48" t="s">
        <v>2030</v>
      </c>
      <c r="I48" t="s">
        <v>534</v>
      </c>
      <c r="J48" t="s">
        <v>789</v>
      </c>
      <c r="K48" t="s">
        <v>4669</v>
      </c>
      <c r="L48" s="571">
        <v>1555.22</v>
      </c>
      <c r="M48" t="str">
        <f t="shared" si="0"/>
        <v>5010303001</v>
      </c>
      <c r="O48" t="s">
        <v>967</v>
      </c>
      <c r="P48" t="s">
        <v>4680</v>
      </c>
      <c r="Q48" t="s">
        <v>964</v>
      </c>
    </row>
    <row r="49" spans="1:17" hidden="1">
      <c r="A49" t="s">
        <v>942</v>
      </c>
      <c r="B49" s="301" t="s">
        <v>947</v>
      </c>
      <c r="C49" s="553">
        <v>44299</v>
      </c>
      <c r="D49" s="574" t="s">
        <v>4692</v>
      </c>
      <c r="E49" s="574" t="s">
        <v>4721</v>
      </c>
      <c r="F49" s="584">
        <v>2</v>
      </c>
      <c r="G49" s="574">
        <v>5010000000</v>
      </c>
      <c r="H49" t="s">
        <v>2031</v>
      </c>
      <c r="I49" t="s">
        <v>683</v>
      </c>
      <c r="J49" t="s">
        <v>789</v>
      </c>
      <c r="K49" t="s">
        <v>4669</v>
      </c>
      <c r="L49" s="571">
        <v>200</v>
      </c>
      <c r="M49" t="str">
        <f t="shared" si="0"/>
        <v>5010304001</v>
      </c>
      <c r="O49" t="s">
        <v>961</v>
      </c>
      <c r="P49" t="s">
        <v>4680</v>
      </c>
      <c r="Q49" t="s">
        <v>964</v>
      </c>
    </row>
    <row r="50" spans="1:17" hidden="1">
      <c r="A50" t="s">
        <v>942</v>
      </c>
      <c r="B50" s="301" t="s">
        <v>947</v>
      </c>
      <c r="C50" s="553">
        <v>44299</v>
      </c>
      <c r="D50" s="574" t="s">
        <v>4692</v>
      </c>
      <c r="E50" s="574" t="s">
        <v>4721</v>
      </c>
      <c r="F50" s="584">
        <v>3</v>
      </c>
      <c r="G50" s="574">
        <v>5010000000</v>
      </c>
      <c r="H50" t="s">
        <v>2026</v>
      </c>
      <c r="I50" t="s">
        <v>683</v>
      </c>
      <c r="J50" t="s">
        <v>789</v>
      </c>
      <c r="K50" t="s">
        <v>4669</v>
      </c>
      <c r="L50" s="571">
        <v>111742</v>
      </c>
      <c r="M50" t="str">
        <f t="shared" si="0"/>
        <v>5010101001</v>
      </c>
      <c r="O50" t="s">
        <v>961</v>
      </c>
      <c r="P50" t="s">
        <v>4680</v>
      </c>
      <c r="Q50" t="s">
        <v>967</v>
      </c>
    </row>
    <row r="51" spans="1:17" hidden="1">
      <c r="A51" t="s">
        <v>942</v>
      </c>
      <c r="B51" s="301" t="s">
        <v>947</v>
      </c>
      <c r="C51" s="553">
        <v>44299</v>
      </c>
      <c r="D51" s="574" t="s">
        <v>4692</v>
      </c>
      <c r="E51" s="574" t="s">
        <v>4721</v>
      </c>
      <c r="F51" s="584">
        <v>3</v>
      </c>
      <c r="G51" s="574">
        <v>5010000000</v>
      </c>
      <c r="H51" t="s">
        <v>2027</v>
      </c>
      <c r="I51" t="s">
        <v>669</v>
      </c>
      <c r="J51" t="s">
        <v>789</v>
      </c>
      <c r="K51" t="s">
        <v>4669</v>
      </c>
      <c r="L51" s="571">
        <v>2000</v>
      </c>
      <c r="M51" t="str">
        <f t="shared" si="0"/>
        <v>5010201001</v>
      </c>
      <c r="O51" t="s">
        <v>961</v>
      </c>
      <c r="P51" t="s">
        <v>4680</v>
      </c>
      <c r="Q51" t="s">
        <v>967</v>
      </c>
    </row>
    <row r="52" spans="1:17" hidden="1">
      <c r="A52" t="s">
        <v>942</v>
      </c>
      <c r="B52" s="301" t="s">
        <v>947</v>
      </c>
      <c r="C52" s="553">
        <v>44299</v>
      </c>
      <c r="D52" s="574" t="s">
        <v>4692</v>
      </c>
      <c r="E52" s="574" t="s">
        <v>4721</v>
      </c>
      <c r="F52" s="584">
        <v>3</v>
      </c>
      <c r="G52" s="574">
        <v>5010301000</v>
      </c>
      <c r="H52" t="s">
        <v>2028</v>
      </c>
      <c r="I52" t="s">
        <v>499</v>
      </c>
      <c r="J52" t="s">
        <v>789</v>
      </c>
      <c r="K52" t="s">
        <v>4669</v>
      </c>
      <c r="L52" s="571">
        <v>13409.04</v>
      </c>
      <c r="M52" t="str">
        <f t="shared" si="0"/>
        <v>5010301000</v>
      </c>
      <c r="O52" t="s">
        <v>970</v>
      </c>
      <c r="P52" t="s">
        <v>4680</v>
      </c>
      <c r="Q52" t="s">
        <v>969</v>
      </c>
    </row>
    <row r="53" spans="1:17" hidden="1">
      <c r="A53" t="s">
        <v>942</v>
      </c>
      <c r="B53" s="301" t="s">
        <v>947</v>
      </c>
      <c r="C53" s="553">
        <v>44299</v>
      </c>
      <c r="D53" s="574" t="s">
        <v>4692</v>
      </c>
      <c r="E53" s="574" t="s">
        <v>4721</v>
      </c>
      <c r="F53" s="584">
        <v>3</v>
      </c>
      <c r="G53" s="574">
        <v>5010000000</v>
      </c>
      <c r="H53" t="s">
        <v>2029</v>
      </c>
      <c r="I53" t="s">
        <v>504</v>
      </c>
      <c r="J53" t="s">
        <v>789</v>
      </c>
      <c r="K53" t="s">
        <v>4669</v>
      </c>
      <c r="L53" s="571">
        <v>100</v>
      </c>
      <c r="M53" t="str">
        <f t="shared" si="0"/>
        <v>5010302001</v>
      </c>
      <c r="O53" t="s">
        <v>970</v>
      </c>
      <c r="P53" t="s">
        <v>4680</v>
      </c>
      <c r="Q53" t="s">
        <v>967</v>
      </c>
    </row>
    <row r="54" spans="1:17" hidden="1">
      <c r="A54" t="s">
        <v>942</v>
      </c>
      <c r="B54" s="301" t="s">
        <v>947</v>
      </c>
      <c r="C54" s="553">
        <v>44299</v>
      </c>
      <c r="D54" s="574" t="s">
        <v>4692</v>
      </c>
      <c r="E54" s="574" t="s">
        <v>4721</v>
      </c>
      <c r="F54" s="584">
        <v>3</v>
      </c>
      <c r="G54" s="574">
        <v>5010000000</v>
      </c>
      <c r="H54" t="s">
        <v>2030</v>
      </c>
      <c r="I54" t="s">
        <v>528</v>
      </c>
      <c r="J54" t="s">
        <v>789</v>
      </c>
      <c r="K54" t="s">
        <v>4669</v>
      </c>
      <c r="L54" s="571">
        <v>900</v>
      </c>
      <c r="M54" t="str">
        <f t="shared" si="0"/>
        <v>5010303001</v>
      </c>
      <c r="O54" t="s">
        <v>972</v>
      </c>
      <c r="P54" t="s">
        <v>4680</v>
      </c>
      <c r="Q54" t="s">
        <v>967</v>
      </c>
    </row>
    <row r="55" spans="1:17" hidden="1">
      <c r="A55" t="s">
        <v>942</v>
      </c>
      <c r="B55" s="301" t="s">
        <v>947</v>
      </c>
      <c r="C55" s="553">
        <v>44299</v>
      </c>
      <c r="D55" s="574" t="s">
        <v>4692</v>
      </c>
      <c r="E55" s="574" t="s">
        <v>4721</v>
      </c>
      <c r="F55" s="584">
        <v>3</v>
      </c>
      <c r="G55" s="574">
        <v>5010000000</v>
      </c>
      <c r="H55" t="s">
        <v>2031</v>
      </c>
      <c r="I55" t="s">
        <v>530</v>
      </c>
      <c r="J55" t="s">
        <v>789</v>
      </c>
      <c r="K55" t="s">
        <v>4669</v>
      </c>
      <c r="L55" s="571">
        <v>100</v>
      </c>
      <c r="M55" t="str">
        <f t="shared" si="0"/>
        <v>5010304001</v>
      </c>
      <c r="O55" t="s">
        <v>970</v>
      </c>
      <c r="P55" t="s">
        <v>4680</v>
      </c>
      <c r="Q55" t="s">
        <v>967</v>
      </c>
    </row>
    <row r="56" spans="1:17" hidden="1">
      <c r="A56" t="s">
        <v>942</v>
      </c>
      <c r="B56" s="301" t="s">
        <v>947</v>
      </c>
      <c r="C56" s="553">
        <v>44299</v>
      </c>
      <c r="D56" s="574" t="s">
        <v>4692</v>
      </c>
      <c r="E56" s="574" t="s">
        <v>4721</v>
      </c>
      <c r="F56" s="584">
        <v>4</v>
      </c>
      <c r="G56" s="574">
        <v>5010000000</v>
      </c>
      <c r="H56" t="s">
        <v>2026</v>
      </c>
      <c r="I56" t="s">
        <v>532</v>
      </c>
      <c r="J56" t="s">
        <v>789</v>
      </c>
      <c r="K56" t="s">
        <v>4669</v>
      </c>
      <c r="L56" s="571">
        <v>134419</v>
      </c>
      <c r="M56" t="str">
        <f t="shared" si="0"/>
        <v>5010101001</v>
      </c>
      <c r="O56" t="s">
        <v>970</v>
      </c>
      <c r="P56" t="s">
        <v>4680</v>
      </c>
      <c r="Q56" t="s">
        <v>970</v>
      </c>
    </row>
    <row r="57" spans="1:17" hidden="1">
      <c r="A57" t="s">
        <v>942</v>
      </c>
      <c r="B57" s="301" t="s">
        <v>947</v>
      </c>
      <c r="C57" s="553">
        <v>44299</v>
      </c>
      <c r="D57" s="574" t="s">
        <v>4692</v>
      </c>
      <c r="E57" s="574" t="s">
        <v>4721</v>
      </c>
      <c r="F57" s="584">
        <v>4</v>
      </c>
      <c r="G57" s="574">
        <v>5010000000</v>
      </c>
      <c r="H57" t="s">
        <v>2027</v>
      </c>
      <c r="I57" t="s">
        <v>534</v>
      </c>
      <c r="J57" t="s">
        <v>789</v>
      </c>
      <c r="K57" t="s">
        <v>4669</v>
      </c>
      <c r="L57" s="571">
        <v>4000</v>
      </c>
      <c r="M57" t="str">
        <f t="shared" si="0"/>
        <v>5010201001</v>
      </c>
      <c r="O57" t="s">
        <v>970</v>
      </c>
      <c r="P57" t="s">
        <v>4680</v>
      </c>
      <c r="Q57" t="s">
        <v>970</v>
      </c>
    </row>
    <row r="58" spans="1:17" hidden="1">
      <c r="A58" t="s">
        <v>942</v>
      </c>
      <c r="B58" s="301" t="s">
        <v>947</v>
      </c>
      <c r="C58" s="553">
        <v>44299</v>
      </c>
      <c r="D58" s="574" t="s">
        <v>4692</v>
      </c>
      <c r="E58" s="574" t="s">
        <v>4721</v>
      </c>
      <c r="F58" s="584">
        <v>4</v>
      </c>
      <c r="G58" s="574">
        <v>5010301000</v>
      </c>
      <c r="H58" t="s">
        <v>2028</v>
      </c>
      <c r="I58" t="s">
        <v>603</v>
      </c>
      <c r="J58" t="s">
        <v>789</v>
      </c>
      <c r="K58" t="s">
        <v>4669</v>
      </c>
      <c r="L58" s="571">
        <v>16130.279999999999</v>
      </c>
      <c r="M58" t="str">
        <f t="shared" si="0"/>
        <v>5010301000</v>
      </c>
      <c r="O58" t="s">
        <v>961</v>
      </c>
      <c r="P58" t="s">
        <v>4680</v>
      </c>
      <c r="Q58" t="s">
        <v>972</v>
      </c>
    </row>
    <row r="59" spans="1:17" hidden="1">
      <c r="A59" t="s">
        <v>942</v>
      </c>
      <c r="B59" s="301" t="s">
        <v>947</v>
      </c>
      <c r="C59" s="553">
        <v>44299</v>
      </c>
      <c r="D59" s="574" t="s">
        <v>4692</v>
      </c>
      <c r="E59" s="574" t="s">
        <v>4721</v>
      </c>
      <c r="F59" s="584">
        <v>4</v>
      </c>
      <c r="G59" s="574">
        <v>5010000000</v>
      </c>
      <c r="H59" t="s">
        <v>2029</v>
      </c>
      <c r="I59" t="s">
        <v>609</v>
      </c>
      <c r="J59" t="s">
        <v>789</v>
      </c>
      <c r="K59" t="s">
        <v>4669</v>
      </c>
      <c r="L59" s="571">
        <v>200</v>
      </c>
      <c r="M59" t="str">
        <f t="shared" si="0"/>
        <v>5010302001</v>
      </c>
      <c r="O59" t="s">
        <v>961</v>
      </c>
      <c r="P59" t="s">
        <v>4680</v>
      </c>
      <c r="Q59" t="s">
        <v>970</v>
      </c>
    </row>
    <row r="60" spans="1:17" hidden="1">
      <c r="A60" t="s">
        <v>942</v>
      </c>
      <c r="B60" s="301" t="s">
        <v>947</v>
      </c>
      <c r="C60" s="553">
        <v>44299</v>
      </c>
      <c r="D60" s="574" t="s">
        <v>4692</v>
      </c>
      <c r="E60" s="574" t="s">
        <v>4721</v>
      </c>
      <c r="F60" s="584">
        <v>4</v>
      </c>
      <c r="G60" s="574">
        <v>5010000000</v>
      </c>
      <c r="H60" t="s">
        <v>2030</v>
      </c>
      <c r="I60" t="s">
        <v>565</v>
      </c>
      <c r="J60" t="s">
        <v>789</v>
      </c>
      <c r="K60" t="s">
        <v>4669</v>
      </c>
      <c r="L60" s="571">
        <v>1593.92</v>
      </c>
      <c r="M60" t="str">
        <f t="shared" si="0"/>
        <v>5010303001</v>
      </c>
      <c r="O60" t="s">
        <v>961</v>
      </c>
      <c r="P60" t="s">
        <v>4680</v>
      </c>
      <c r="Q60" t="s">
        <v>970</v>
      </c>
    </row>
    <row r="61" spans="1:17" hidden="1">
      <c r="A61" t="s">
        <v>942</v>
      </c>
      <c r="B61" s="301" t="s">
        <v>947</v>
      </c>
      <c r="C61" s="553">
        <v>44299</v>
      </c>
      <c r="D61" s="574" t="s">
        <v>4692</v>
      </c>
      <c r="E61" s="574" t="s">
        <v>4721</v>
      </c>
      <c r="F61" s="584">
        <v>4</v>
      </c>
      <c r="G61" s="574">
        <v>5010000000</v>
      </c>
      <c r="H61" t="s">
        <v>2031</v>
      </c>
      <c r="I61" t="s">
        <v>629</v>
      </c>
      <c r="J61" t="s">
        <v>789</v>
      </c>
      <c r="K61" t="s">
        <v>4669</v>
      </c>
      <c r="L61" s="571">
        <v>200</v>
      </c>
      <c r="M61" t="str">
        <f t="shared" si="0"/>
        <v>5010304001</v>
      </c>
      <c r="O61" t="s">
        <v>961</v>
      </c>
      <c r="P61" t="s">
        <v>4680</v>
      </c>
      <c r="Q61" t="s">
        <v>970</v>
      </c>
    </row>
    <row r="62" spans="1:17" hidden="1">
      <c r="A62" t="s">
        <v>942</v>
      </c>
      <c r="B62" s="301" t="s">
        <v>947</v>
      </c>
      <c r="C62" s="553">
        <v>44299</v>
      </c>
      <c r="D62" s="574" t="s">
        <v>4692</v>
      </c>
      <c r="E62" s="574" t="s">
        <v>4721</v>
      </c>
      <c r="F62" s="584">
        <v>5</v>
      </c>
      <c r="G62" s="574">
        <v>5010000000</v>
      </c>
      <c r="H62" t="s">
        <v>2026</v>
      </c>
      <c r="I62" t="s">
        <v>642</v>
      </c>
      <c r="J62" t="s">
        <v>789</v>
      </c>
      <c r="K62" t="s">
        <v>4669</v>
      </c>
      <c r="L62" s="571">
        <v>91522</v>
      </c>
      <c r="M62" t="str">
        <f t="shared" si="0"/>
        <v>5010101001</v>
      </c>
      <c r="O62" t="s">
        <v>961</v>
      </c>
      <c r="P62" t="s">
        <v>4680</v>
      </c>
      <c r="Q62" t="s">
        <v>973</v>
      </c>
    </row>
    <row r="63" spans="1:17" hidden="1">
      <c r="A63" t="s">
        <v>942</v>
      </c>
      <c r="B63" s="301" t="s">
        <v>947</v>
      </c>
      <c r="C63" s="553">
        <v>44299</v>
      </c>
      <c r="D63" s="574" t="s">
        <v>4692</v>
      </c>
      <c r="E63" s="574" t="s">
        <v>4721</v>
      </c>
      <c r="F63" s="584">
        <v>5</v>
      </c>
      <c r="G63" s="574">
        <v>5010000000</v>
      </c>
      <c r="H63" t="s">
        <v>2027</v>
      </c>
      <c r="I63" t="s">
        <v>633</v>
      </c>
      <c r="J63" t="s">
        <v>789</v>
      </c>
      <c r="K63" t="s">
        <v>4669</v>
      </c>
      <c r="L63" s="571">
        <v>4000</v>
      </c>
      <c r="M63" t="str">
        <f t="shared" si="0"/>
        <v>5010201001</v>
      </c>
      <c r="O63" t="s">
        <v>961</v>
      </c>
      <c r="P63" t="s">
        <v>4680</v>
      </c>
      <c r="Q63" t="s">
        <v>973</v>
      </c>
    </row>
    <row r="64" spans="1:17" hidden="1">
      <c r="A64" t="s">
        <v>942</v>
      </c>
      <c r="B64" s="301" t="s">
        <v>947</v>
      </c>
      <c r="C64" s="553">
        <v>44299</v>
      </c>
      <c r="D64" s="574" t="s">
        <v>4692</v>
      </c>
      <c r="E64" s="574" t="s">
        <v>4721</v>
      </c>
      <c r="F64" s="584">
        <v>5</v>
      </c>
      <c r="G64" s="574">
        <v>5010301000</v>
      </c>
      <c r="H64" t="s">
        <v>2028</v>
      </c>
      <c r="I64" t="s">
        <v>581</v>
      </c>
      <c r="J64" t="s">
        <v>789</v>
      </c>
      <c r="K64" t="s">
        <v>4669</v>
      </c>
      <c r="L64" s="571">
        <v>10982.64</v>
      </c>
      <c r="M64" t="str">
        <f t="shared" si="0"/>
        <v>5010301000</v>
      </c>
      <c r="O64" t="s">
        <v>971</v>
      </c>
      <c r="P64" t="s">
        <v>4680</v>
      </c>
      <c r="Q64" t="s">
        <v>975</v>
      </c>
    </row>
    <row r="65" spans="1:17" hidden="1">
      <c r="A65" t="s">
        <v>942</v>
      </c>
      <c r="B65" s="301" t="s">
        <v>947</v>
      </c>
      <c r="C65" s="553">
        <v>44299</v>
      </c>
      <c r="D65" s="574" t="s">
        <v>4692</v>
      </c>
      <c r="E65" s="574" t="s">
        <v>4721</v>
      </c>
      <c r="F65" s="584">
        <v>5</v>
      </c>
      <c r="G65" s="574">
        <v>5010000000</v>
      </c>
      <c r="H65" t="s">
        <v>2029</v>
      </c>
      <c r="I65" t="s">
        <v>678</v>
      </c>
      <c r="J65" t="s">
        <v>789</v>
      </c>
      <c r="K65" t="s">
        <v>4669</v>
      </c>
      <c r="L65" s="571">
        <v>200</v>
      </c>
      <c r="M65" t="str">
        <f t="shared" si="0"/>
        <v>5010302001</v>
      </c>
      <c r="O65" t="s">
        <v>961</v>
      </c>
      <c r="P65" t="s">
        <v>4680</v>
      </c>
      <c r="Q65" t="s">
        <v>973</v>
      </c>
    </row>
    <row r="66" spans="1:17" hidden="1">
      <c r="A66" t="s">
        <v>942</v>
      </c>
      <c r="B66" s="301" t="s">
        <v>947</v>
      </c>
      <c r="C66" s="553">
        <v>44299</v>
      </c>
      <c r="D66" s="574" t="s">
        <v>4692</v>
      </c>
      <c r="E66" s="574" t="s">
        <v>4721</v>
      </c>
      <c r="F66" s="584">
        <v>5</v>
      </c>
      <c r="G66" s="574">
        <v>5010000000</v>
      </c>
      <c r="H66" t="s">
        <v>2030</v>
      </c>
      <c r="I66" t="s">
        <v>678</v>
      </c>
      <c r="J66" t="s">
        <v>789</v>
      </c>
      <c r="K66" t="s">
        <v>4669</v>
      </c>
      <c r="L66" s="571">
        <v>1372.83</v>
      </c>
      <c r="M66" t="str">
        <f t="shared" si="0"/>
        <v>5010303001</v>
      </c>
      <c r="O66" t="s">
        <v>961</v>
      </c>
      <c r="P66" t="s">
        <v>4680</v>
      </c>
      <c r="Q66" t="s">
        <v>973</v>
      </c>
    </row>
    <row r="67" spans="1:17" hidden="1">
      <c r="A67" t="s">
        <v>942</v>
      </c>
      <c r="B67" s="301" t="s">
        <v>947</v>
      </c>
      <c r="C67" s="553">
        <v>44299</v>
      </c>
      <c r="D67" s="574" t="s">
        <v>4692</v>
      </c>
      <c r="E67" s="574" t="s">
        <v>4721</v>
      </c>
      <c r="F67" s="584">
        <v>5</v>
      </c>
      <c r="G67" s="574">
        <v>5010000000</v>
      </c>
      <c r="H67" t="s">
        <v>2031</v>
      </c>
      <c r="I67" t="s">
        <v>678</v>
      </c>
      <c r="J67" t="s">
        <v>789</v>
      </c>
      <c r="K67" t="s">
        <v>4669</v>
      </c>
      <c r="L67" s="571">
        <v>200</v>
      </c>
      <c r="M67" t="str">
        <f t="shared" si="0"/>
        <v>5010304001</v>
      </c>
      <c r="O67" t="s">
        <v>961</v>
      </c>
      <c r="P67" t="s">
        <v>4680</v>
      </c>
      <c r="Q67" t="s">
        <v>973</v>
      </c>
    </row>
    <row r="68" spans="1:17" hidden="1">
      <c r="A68" t="s">
        <v>942</v>
      </c>
      <c r="B68" s="301" t="s">
        <v>947</v>
      </c>
      <c r="C68" s="553">
        <v>44299</v>
      </c>
      <c r="D68" s="574" t="s">
        <v>4692</v>
      </c>
      <c r="E68" s="574" t="s">
        <v>4721</v>
      </c>
      <c r="F68" s="584">
        <v>6</v>
      </c>
      <c r="G68" s="574">
        <v>5010000000</v>
      </c>
      <c r="H68" t="s">
        <v>2026</v>
      </c>
      <c r="I68" t="s">
        <v>678</v>
      </c>
      <c r="J68" t="s">
        <v>789</v>
      </c>
      <c r="K68" t="s">
        <v>4669</v>
      </c>
      <c r="L68" s="571">
        <v>43681</v>
      </c>
      <c r="M68" t="str">
        <f t="shared" si="0"/>
        <v>5010101001</v>
      </c>
      <c r="O68" t="s">
        <v>961</v>
      </c>
      <c r="P68" t="s">
        <v>4680</v>
      </c>
      <c r="Q68" t="s">
        <v>976</v>
      </c>
    </row>
    <row r="69" spans="1:17" hidden="1">
      <c r="A69" t="s">
        <v>942</v>
      </c>
      <c r="B69" s="301" t="s">
        <v>947</v>
      </c>
      <c r="C69" s="553">
        <v>44299</v>
      </c>
      <c r="D69" s="574" t="s">
        <v>4692</v>
      </c>
      <c r="E69" s="574" t="s">
        <v>4721</v>
      </c>
      <c r="F69" s="584">
        <v>6</v>
      </c>
      <c r="G69" s="574">
        <v>5010000000</v>
      </c>
      <c r="H69" t="s">
        <v>2027</v>
      </c>
      <c r="I69" t="s">
        <v>678</v>
      </c>
      <c r="J69" t="s">
        <v>789</v>
      </c>
      <c r="K69" t="s">
        <v>4669</v>
      </c>
      <c r="L69" s="571">
        <v>2000</v>
      </c>
      <c r="M69" t="str">
        <f t="shared" ref="M69:M132" si="1">CONCATENATE(LEFT(H69,8),RIGHT(H69,2))</f>
        <v>5010201001</v>
      </c>
      <c r="O69" t="s">
        <v>961</v>
      </c>
      <c r="P69" t="s">
        <v>4680</v>
      </c>
      <c r="Q69" t="s">
        <v>976</v>
      </c>
    </row>
    <row r="70" spans="1:17" hidden="1">
      <c r="A70" t="s">
        <v>942</v>
      </c>
      <c r="B70" s="301" t="s">
        <v>947</v>
      </c>
      <c r="C70" s="553">
        <v>44299</v>
      </c>
      <c r="D70" s="574" t="s">
        <v>4692</v>
      </c>
      <c r="E70" s="574" t="s">
        <v>4721</v>
      </c>
      <c r="F70" s="584">
        <v>6</v>
      </c>
      <c r="G70" s="574">
        <v>5010301000</v>
      </c>
      <c r="H70" t="s">
        <v>2028</v>
      </c>
      <c r="I70" t="s">
        <v>651</v>
      </c>
      <c r="J70" t="s">
        <v>789</v>
      </c>
      <c r="K70" t="s">
        <v>4669</v>
      </c>
      <c r="L70" s="571">
        <v>5241.72</v>
      </c>
      <c r="M70" t="str">
        <f t="shared" si="1"/>
        <v>5010301000</v>
      </c>
      <c r="O70" t="s">
        <v>984</v>
      </c>
      <c r="P70" t="s">
        <v>4680</v>
      </c>
      <c r="Q70" t="s">
        <v>978</v>
      </c>
    </row>
    <row r="71" spans="1:17" hidden="1">
      <c r="A71" t="s">
        <v>942</v>
      </c>
      <c r="B71" s="301" t="s">
        <v>947</v>
      </c>
      <c r="C71" s="553">
        <v>44299</v>
      </c>
      <c r="D71" s="574" t="s">
        <v>4692</v>
      </c>
      <c r="E71" s="574" t="s">
        <v>4721</v>
      </c>
      <c r="F71" s="584">
        <v>6</v>
      </c>
      <c r="G71" s="574">
        <v>5010000000</v>
      </c>
      <c r="H71" t="s">
        <v>2029</v>
      </c>
      <c r="I71" t="s">
        <v>499</v>
      </c>
      <c r="J71" t="s">
        <v>789</v>
      </c>
      <c r="K71" t="s">
        <v>4669</v>
      </c>
      <c r="L71" s="571">
        <v>100</v>
      </c>
      <c r="M71" t="str">
        <f t="shared" si="1"/>
        <v>5010302001</v>
      </c>
      <c r="O71" t="s">
        <v>960</v>
      </c>
      <c r="P71" t="s">
        <v>4680</v>
      </c>
      <c r="Q71" t="s">
        <v>976</v>
      </c>
    </row>
    <row r="72" spans="1:17" hidden="1">
      <c r="A72" t="s">
        <v>942</v>
      </c>
      <c r="B72" s="301" t="s">
        <v>947</v>
      </c>
      <c r="C72" s="553">
        <v>44299</v>
      </c>
      <c r="D72" s="574" t="s">
        <v>4692</v>
      </c>
      <c r="E72" s="574" t="s">
        <v>4721</v>
      </c>
      <c r="F72" s="584">
        <v>6</v>
      </c>
      <c r="G72" s="574">
        <v>5010000000</v>
      </c>
      <c r="H72" t="s">
        <v>2030</v>
      </c>
      <c r="I72" t="s">
        <v>504</v>
      </c>
      <c r="J72" t="s">
        <v>789</v>
      </c>
      <c r="K72" t="s">
        <v>4669</v>
      </c>
      <c r="L72" s="571">
        <v>655.22</v>
      </c>
      <c r="M72" t="str">
        <f t="shared" si="1"/>
        <v>5010303001</v>
      </c>
      <c r="O72" t="s">
        <v>960</v>
      </c>
      <c r="P72" t="s">
        <v>4680</v>
      </c>
      <c r="Q72" t="s">
        <v>976</v>
      </c>
    </row>
    <row r="73" spans="1:17" hidden="1">
      <c r="A73" t="s">
        <v>942</v>
      </c>
      <c r="B73" s="301" t="s">
        <v>947</v>
      </c>
      <c r="C73" s="553">
        <v>44299</v>
      </c>
      <c r="D73" s="574" t="s">
        <v>4692</v>
      </c>
      <c r="E73" s="574" t="s">
        <v>4721</v>
      </c>
      <c r="F73" s="584">
        <v>6</v>
      </c>
      <c r="G73" s="574">
        <v>5010000000</v>
      </c>
      <c r="H73" t="s">
        <v>2031</v>
      </c>
      <c r="I73" t="s">
        <v>528</v>
      </c>
      <c r="J73" t="s">
        <v>789</v>
      </c>
      <c r="K73" t="s">
        <v>4669</v>
      </c>
      <c r="L73" s="571">
        <v>100</v>
      </c>
      <c r="M73" t="str">
        <f t="shared" si="1"/>
        <v>5010304001</v>
      </c>
      <c r="O73" t="s">
        <v>962</v>
      </c>
      <c r="P73" t="s">
        <v>4680</v>
      </c>
      <c r="Q73" t="s">
        <v>976</v>
      </c>
    </row>
    <row r="74" spans="1:17" hidden="1">
      <c r="A74" t="s">
        <v>942</v>
      </c>
      <c r="B74" s="301" t="s">
        <v>947</v>
      </c>
      <c r="C74" s="553">
        <v>44299</v>
      </c>
      <c r="D74" s="574" t="s">
        <v>4693</v>
      </c>
      <c r="E74" s="574" t="s">
        <v>4722</v>
      </c>
      <c r="F74" s="584">
        <v>1</v>
      </c>
      <c r="G74" s="574">
        <v>5010000000</v>
      </c>
      <c r="H74" t="s">
        <v>2026</v>
      </c>
      <c r="I74" t="s">
        <v>530</v>
      </c>
      <c r="J74" t="s">
        <v>777</v>
      </c>
      <c r="K74" t="s">
        <v>4669</v>
      </c>
      <c r="L74" s="571">
        <v>97270</v>
      </c>
      <c r="M74" t="str">
        <f t="shared" si="1"/>
        <v>5010101001</v>
      </c>
      <c r="O74" t="s">
        <v>960</v>
      </c>
      <c r="P74" t="s">
        <v>4642</v>
      </c>
      <c r="Q74" t="s">
        <v>960</v>
      </c>
    </row>
    <row r="75" spans="1:17" hidden="1">
      <c r="A75" t="s">
        <v>942</v>
      </c>
      <c r="B75" s="301" t="s">
        <v>947</v>
      </c>
      <c r="C75" s="553">
        <v>44299</v>
      </c>
      <c r="D75" s="574" t="s">
        <v>4693</v>
      </c>
      <c r="E75" s="574" t="s">
        <v>4722</v>
      </c>
      <c r="F75" s="584">
        <v>1</v>
      </c>
      <c r="G75" s="574">
        <v>5010000000</v>
      </c>
      <c r="H75" t="s">
        <v>2027</v>
      </c>
      <c r="I75" t="s">
        <v>532</v>
      </c>
      <c r="J75" t="s">
        <v>777</v>
      </c>
      <c r="K75" t="s">
        <v>4669</v>
      </c>
      <c r="L75" s="571">
        <v>8000</v>
      </c>
      <c r="M75" t="str">
        <f t="shared" si="1"/>
        <v>5010201001</v>
      </c>
      <c r="O75" t="s">
        <v>960</v>
      </c>
      <c r="P75" t="s">
        <v>4642</v>
      </c>
      <c r="Q75" t="s">
        <v>960</v>
      </c>
    </row>
    <row r="76" spans="1:17" hidden="1">
      <c r="A76" t="s">
        <v>942</v>
      </c>
      <c r="B76" s="301" t="s">
        <v>947</v>
      </c>
      <c r="C76" s="553">
        <v>44299</v>
      </c>
      <c r="D76" s="574" t="s">
        <v>4693</v>
      </c>
      <c r="E76" s="574" t="s">
        <v>4722</v>
      </c>
      <c r="F76" s="584">
        <v>1</v>
      </c>
      <c r="G76" s="574">
        <v>5010301000</v>
      </c>
      <c r="H76" t="s">
        <v>2028</v>
      </c>
      <c r="I76" t="s">
        <v>534</v>
      </c>
      <c r="J76" t="s">
        <v>777</v>
      </c>
      <c r="K76" t="s">
        <v>4669</v>
      </c>
      <c r="L76" s="571">
        <v>11672.4</v>
      </c>
      <c r="M76" t="str">
        <f t="shared" si="1"/>
        <v>5010301000</v>
      </c>
      <c r="O76" t="s">
        <v>960</v>
      </c>
      <c r="P76" t="s">
        <v>4642</v>
      </c>
      <c r="Q76" t="s">
        <v>962</v>
      </c>
    </row>
    <row r="77" spans="1:17" hidden="1">
      <c r="A77" t="s">
        <v>942</v>
      </c>
      <c r="B77" s="301" t="s">
        <v>947</v>
      </c>
      <c r="C77" s="553">
        <v>44299</v>
      </c>
      <c r="D77" s="574" t="s">
        <v>4693</v>
      </c>
      <c r="E77" s="574" t="s">
        <v>4722</v>
      </c>
      <c r="F77" s="584">
        <v>1</v>
      </c>
      <c r="G77" s="574">
        <v>5010000000</v>
      </c>
      <c r="H77" t="s">
        <v>2029</v>
      </c>
      <c r="I77" t="s">
        <v>596</v>
      </c>
      <c r="J77" t="s">
        <v>777</v>
      </c>
      <c r="K77" t="s">
        <v>4669</v>
      </c>
      <c r="L77" s="571">
        <v>400</v>
      </c>
      <c r="M77" t="str">
        <f t="shared" si="1"/>
        <v>5010302001</v>
      </c>
      <c r="O77" t="s">
        <v>961</v>
      </c>
      <c r="P77" t="s">
        <v>4642</v>
      </c>
      <c r="Q77" t="s">
        <v>960</v>
      </c>
    </row>
    <row r="78" spans="1:17" hidden="1">
      <c r="A78" t="s">
        <v>942</v>
      </c>
      <c r="B78" s="301" t="s">
        <v>947</v>
      </c>
      <c r="C78" s="553">
        <v>44299</v>
      </c>
      <c r="D78" s="574" t="s">
        <v>4693</v>
      </c>
      <c r="E78" s="574" t="s">
        <v>4722</v>
      </c>
      <c r="F78" s="584">
        <v>1</v>
      </c>
      <c r="G78" s="574">
        <v>5010000000</v>
      </c>
      <c r="H78" t="s">
        <v>2030</v>
      </c>
      <c r="I78" t="s">
        <v>596</v>
      </c>
      <c r="J78" t="s">
        <v>777</v>
      </c>
      <c r="K78" t="s">
        <v>4669</v>
      </c>
      <c r="L78" s="571">
        <v>1450.46</v>
      </c>
      <c r="M78" t="str">
        <f t="shared" si="1"/>
        <v>5010303001</v>
      </c>
      <c r="O78" t="s">
        <v>961</v>
      </c>
      <c r="P78" t="s">
        <v>4642</v>
      </c>
      <c r="Q78" t="s">
        <v>960</v>
      </c>
    </row>
    <row r="79" spans="1:17" hidden="1">
      <c r="A79" t="s">
        <v>942</v>
      </c>
      <c r="B79" s="301" t="s">
        <v>947</v>
      </c>
      <c r="C79" s="553">
        <v>44299</v>
      </c>
      <c r="D79" s="574" t="s">
        <v>4693</v>
      </c>
      <c r="E79" s="574" t="s">
        <v>4722</v>
      </c>
      <c r="F79" s="584">
        <v>1</v>
      </c>
      <c r="G79" s="574">
        <v>5010000000</v>
      </c>
      <c r="H79" t="s">
        <v>2031</v>
      </c>
      <c r="I79" t="s">
        <v>642</v>
      </c>
      <c r="J79" t="s">
        <v>777</v>
      </c>
      <c r="K79" t="s">
        <v>4669</v>
      </c>
      <c r="L79" s="571">
        <v>400</v>
      </c>
      <c r="M79" t="str">
        <f t="shared" si="1"/>
        <v>5010304001</v>
      </c>
      <c r="O79" t="s">
        <v>961</v>
      </c>
      <c r="P79" t="s">
        <v>4642</v>
      </c>
      <c r="Q79" t="s">
        <v>960</v>
      </c>
    </row>
    <row r="80" spans="1:17" hidden="1">
      <c r="A80" t="s">
        <v>942</v>
      </c>
      <c r="B80" s="301" t="s">
        <v>947</v>
      </c>
      <c r="C80" s="553">
        <v>44299</v>
      </c>
      <c r="D80" s="574" t="s">
        <v>4693</v>
      </c>
      <c r="E80" s="574" t="s">
        <v>4722</v>
      </c>
      <c r="F80" s="584">
        <v>2</v>
      </c>
      <c r="G80" s="574">
        <v>5010000000</v>
      </c>
      <c r="H80" t="s">
        <v>2026</v>
      </c>
      <c r="I80" t="s">
        <v>638</v>
      </c>
      <c r="J80" t="s">
        <v>777</v>
      </c>
      <c r="K80" t="s">
        <v>4669</v>
      </c>
      <c r="L80" s="571">
        <v>44184</v>
      </c>
      <c r="M80" t="str">
        <f t="shared" si="1"/>
        <v>5010101001</v>
      </c>
      <c r="O80" t="s">
        <v>961</v>
      </c>
      <c r="P80" t="s">
        <v>4642</v>
      </c>
      <c r="Q80" t="s">
        <v>964</v>
      </c>
    </row>
    <row r="81" spans="1:17" hidden="1">
      <c r="A81" t="s">
        <v>942</v>
      </c>
      <c r="B81" s="301" t="s">
        <v>947</v>
      </c>
      <c r="C81" s="553">
        <v>44299</v>
      </c>
      <c r="D81" s="574" t="s">
        <v>4693</v>
      </c>
      <c r="E81" s="574" t="s">
        <v>4722</v>
      </c>
      <c r="F81" s="584">
        <v>2</v>
      </c>
      <c r="G81" s="574">
        <v>5010000000</v>
      </c>
      <c r="H81" t="s">
        <v>2027</v>
      </c>
      <c r="I81" t="s">
        <v>633</v>
      </c>
      <c r="J81" t="s">
        <v>777</v>
      </c>
      <c r="K81" t="s">
        <v>4669</v>
      </c>
      <c r="L81" s="571">
        <v>2000</v>
      </c>
      <c r="M81" t="str">
        <f t="shared" si="1"/>
        <v>5010201001</v>
      </c>
      <c r="O81" t="s">
        <v>961</v>
      </c>
      <c r="P81" t="s">
        <v>4642</v>
      </c>
      <c r="Q81" t="s">
        <v>964</v>
      </c>
    </row>
    <row r="82" spans="1:17" hidden="1">
      <c r="A82" t="s">
        <v>942</v>
      </c>
      <c r="B82" s="301" t="s">
        <v>947</v>
      </c>
      <c r="C82" s="553">
        <v>44299</v>
      </c>
      <c r="D82" s="574" t="s">
        <v>4693</v>
      </c>
      <c r="E82" s="574" t="s">
        <v>4722</v>
      </c>
      <c r="F82" s="584">
        <v>2</v>
      </c>
      <c r="G82" s="574">
        <v>5010301000</v>
      </c>
      <c r="H82" t="s">
        <v>2028</v>
      </c>
      <c r="I82" t="s">
        <v>672</v>
      </c>
      <c r="J82" t="s">
        <v>777</v>
      </c>
      <c r="K82" t="s">
        <v>4669</v>
      </c>
      <c r="L82" s="571">
        <v>5302.08</v>
      </c>
      <c r="M82" t="str">
        <f t="shared" si="1"/>
        <v>5010301000</v>
      </c>
      <c r="O82" t="s">
        <v>961</v>
      </c>
      <c r="P82" t="s">
        <v>4642</v>
      </c>
      <c r="Q82" t="s">
        <v>966</v>
      </c>
    </row>
    <row r="83" spans="1:17" hidden="1">
      <c r="A83" t="s">
        <v>942</v>
      </c>
      <c r="B83" s="301" t="s">
        <v>947</v>
      </c>
      <c r="C83" s="553">
        <v>44299</v>
      </c>
      <c r="D83" s="574" t="s">
        <v>4693</v>
      </c>
      <c r="E83" s="574" t="s">
        <v>4722</v>
      </c>
      <c r="F83" s="584">
        <v>2</v>
      </c>
      <c r="G83" s="574">
        <v>5010000000</v>
      </c>
      <c r="H83" t="s">
        <v>2029</v>
      </c>
      <c r="I83" t="s">
        <v>683</v>
      </c>
      <c r="J83" t="s">
        <v>777</v>
      </c>
      <c r="K83" t="s">
        <v>4669</v>
      </c>
      <c r="L83" s="571">
        <v>100</v>
      </c>
      <c r="M83" t="str">
        <f t="shared" si="1"/>
        <v>5010302001</v>
      </c>
      <c r="O83" t="s">
        <v>961</v>
      </c>
      <c r="P83" t="s">
        <v>4642</v>
      </c>
      <c r="Q83" t="s">
        <v>964</v>
      </c>
    </row>
    <row r="84" spans="1:17" hidden="1">
      <c r="A84" t="s">
        <v>942</v>
      </c>
      <c r="B84" s="301" t="s">
        <v>947</v>
      </c>
      <c r="C84" s="553">
        <v>44299</v>
      </c>
      <c r="D84" s="574" t="s">
        <v>4693</v>
      </c>
      <c r="E84" s="574" t="s">
        <v>4722</v>
      </c>
      <c r="F84" s="584">
        <v>2</v>
      </c>
      <c r="G84" s="574">
        <v>5010000000</v>
      </c>
      <c r="H84" t="s">
        <v>2030</v>
      </c>
      <c r="I84" t="s">
        <v>629</v>
      </c>
      <c r="J84" t="s">
        <v>777</v>
      </c>
      <c r="K84" t="s">
        <v>4669</v>
      </c>
      <c r="L84" s="571">
        <v>662.76</v>
      </c>
      <c r="M84" t="str">
        <f t="shared" si="1"/>
        <v>5010303001</v>
      </c>
      <c r="O84" t="s">
        <v>961</v>
      </c>
      <c r="P84" t="s">
        <v>4642</v>
      </c>
      <c r="Q84" t="s">
        <v>964</v>
      </c>
    </row>
    <row r="85" spans="1:17" hidden="1">
      <c r="A85" t="s">
        <v>942</v>
      </c>
      <c r="B85" s="301" t="s">
        <v>947</v>
      </c>
      <c r="C85" s="553">
        <v>44299</v>
      </c>
      <c r="D85" s="574" t="s">
        <v>4693</v>
      </c>
      <c r="E85" s="574" t="s">
        <v>4722</v>
      </c>
      <c r="F85" s="584">
        <v>2</v>
      </c>
      <c r="G85" s="574">
        <v>5010000000</v>
      </c>
      <c r="H85" t="s">
        <v>2031</v>
      </c>
      <c r="I85" t="s">
        <v>642</v>
      </c>
      <c r="J85" t="s">
        <v>777</v>
      </c>
      <c r="K85" t="s">
        <v>4669</v>
      </c>
      <c r="L85" s="571">
        <v>100</v>
      </c>
      <c r="M85" t="str">
        <f t="shared" si="1"/>
        <v>5010304001</v>
      </c>
      <c r="O85" t="s">
        <v>961</v>
      </c>
      <c r="P85" t="s">
        <v>4642</v>
      </c>
      <c r="Q85" t="s">
        <v>964</v>
      </c>
    </row>
    <row r="86" spans="1:17" hidden="1">
      <c r="A86" t="s">
        <v>942</v>
      </c>
      <c r="B86" s="301" t="s">
        <v>947</v>
      </c>
      <c r="C86" s="553">
        <v>44299</v>
      </c>
      <c r="D86" s="574" t="s">
        <v>4693</v>
      </c>
      <c r="E86" s="574" t="s">
        <v>4722</v>
      </c>
      <c r="F86" s="584">
        <v>4</v>
      </c>
      <c r="G86" s="574">
        <v>5010000000</v>
      </c>
      <c r="H86" t="s">
        <v>2026</v>
      </c>
      <c r="I86" t="s">
        <v>633</v>
      </c>
      <c r="J86" t="s">
        <v>777</v>
      </c>
      <c r="K86" t="s">
        <v>4669</v>
      </c>
      <c r="L86" s="571">
        <v>67911</v>
      </c>
      <c r="M86" t="str">
        <f t="shared" si="1"/>
        <v>5010101001</v>
      </c>
      <c r="O86" t="s">
        <v>983</v>
      </c>
      <c r="P86" t="s">
        <v>4642</v>
      </c>
      <c r="Q86" t="s">
        <v>970</v>
      </c>
    </row>
    <row r="87" spans="1:17" hidden="1">
      <c r="A87" t="s">
        <v>942</v>
      </c>
      <c r="B87" s="301" t="s">
        <v>947</v>
      </c>
      <c r="C87" s="553">
        <v>44299</v>
      </c>
      <c r="D87" s="574" t="s">
        <v>4693</v>
      </c>
      <c r="E87" s="574" t="s">
        <v>4722</v>
      </c>
      <c r="F87" s="584">
        <v>4</v>
      </c>
      <c r="G87" s="574">
        <v>5010000000</v>
      </c>
      <c r="H87" t="s">
        <v>2027</v>
      </c>
      <c r="I87" t="s">
        <v>633</v>
      </c>
      <c r="J87" t="s">
        <v>777</v>
      </c>
      <c r="K87" t="s">
        <v>4669</v>
      </c>
      <c r="L87" s="571">
        <v>4000</v>
      </c>
      <c r="M87" t="str">
        <f t="shared" si="1"/>
        <v>5010201001</v>
      </c>
      <c r="O87" t="s">
        <v>982</v>
      </c>
      <c r="P87" t="s">
        <v>4642</v>
      </c>
      <c r="Q87" t="s">
        <v>970</v>
      </c>
    </row>
    <row r="88" spans="1:17" hidden="1">
      <c r="A88" t="s">
        <v>942</v>
      </c>
      <c r="B88" s="301" t="s">
        <v>947</v>
      </c>
      <c r="C88" s="553">
        <v>44299</v>
      </c>
      <c r="D88" s="574" t="s">
        <v>4693</v>
      </c>
      <c r="E88" s="574" t="s">
        <v>4722</v>
      </c>
      <c r="F88" s="584">
        <v>4</v>
      </c>
      <c r="G88" s="574">
        <v>5010301000</v>
      </c>
      <c r="H88" t="s">
        <v>2028</v>
      </c>
      <c r="I88" t="s">
        <v>633</v>
      </c>
      <c r="J88" t="s">
        <v>777</v>
      </c>
      <c r="K88" t="s">
        <v>4669</v>
      </c>
      <c r="L88" s="571">
        <v>8149.32</v>
      </c>
      <c r="M88" t="str">
        <f t="shared" si="1"/>
        <v>5010301000</v>
      </c>
      <c r="O88" t="s">
        <v>985</v>
      </c>
      <c r="P88" t="s">
        <v>4642</v>
      </c>
      <c r="Q88" t="s">
        <v>972</v>
      </c>
    </row>
    <row r="89" spans="1:17" hidden="1">
      <c r="A89" t="s">
        <v>942</v>
      </c>
      <c r="B89" s="301" t="s">
        <v>947</v>
      </c>
      <c r="C89" s="553">
        <v>44299</v>
      </c>
      <c r="D89" s="574" t="s">
        <v>4693</v>
      </c>
      <c r="E89" s="574" t="s">
        <v>4722</v>
      </c>
      <c r="F89" s="584">
        <v>4</v>
      </c>
      <c r="G89" s="574">
        <v>5010000000</v>
      </c>
      <c r="H89" t="s">
        <v>2029</v>
      </c>
      <c r="I89" t="s">
        <v>633</v>
      </c>
      <c r="J89" t="s">
        <v>777</v>
      </c>
      <c r="K89" t="s">
        <v>4669</v>
      </c>
      <c r="L89" s="571">
        <v>200</v>
      </c>
      <c r="M89" t="str">
        <f t="shared" si="1"/>
        <v>5010302001</v>
      </c>
      <c r="O89" t="s">
        <v>980</v>
      </c>
      <c r="P89" t="s">
        <v>4642</v>
      </c>
      <c r="Q89" t="s">
        <v>970</v>
      </c>
    </row>
    <row r="90" spans="1:17" hidden="1">
      <c r="A90" t="s">
        <v>942</v>
      </c>
      <c r="B90" s="301" t="s">
        <v>947</v>
      </c>
      <c r="C90" s="553">
        <v>44299</v>
      </c>
      <c r="D90" s="574" t="s">
        <v>4693</v>
      </c>
      <c r="E90" s="574" t="s">
        <v>4722</v>
      </c>
      <c r="F90" s="584">
        <v>4</v>
      </c>
      <c r="G90" s="574">
        <v>5010000000</v>
      </c>
      <c r="H90" t="s">
        <v>2030</v>
      </c>
      <c r="I90" t="s">
        <v>565</v>
      </c>
      <c r="J90" t="s">
        <v>777</v>
      </c>
      <c r="K90" t="s">
        <v>4669</v>
      </c>
      <c r="L90" s="571">
        <v>1018.67</v>
      </c>
      <c r="M90" t="str">
        <f t="shared" si="1"/>
        <v>5010303001</v>
      </c>
      <c r="O90" t="s">
        <v>961</v>
      </c>
      <c r="P90" t="s">
        <v>4642</v>
      </c>
      <c r="Q90" t="s">
        <v>970</v>
      </c>
    </row>
    <row r="91" spans="1:17" hidden="1">
      <c r="A91" t="s">
        <v>942</v>
      </c>
      <c r="B91" s="301" t="s">
        <v>947</v>
      </c>
      <c r="C91" s="553">
        <v>44299</v>
      </c>
      <c r="D91" s="574" t="s">
        <v>4693</v>
      </c>
      <c r="E91" s="574" t="s">
        <v>4722</v>
      </c>
      <c r="F91" s="584">
        <v>4</v>
      </c>
      <c r="G91" s="574">
        <v>5010000000</v>
      </c>
      <c r="H91" t="s">
        <v>2031</v>
      </c>
      <c r="I91" t="s">
        <v>501</v>
      </c>
      <c r="J91" t="s">
        <v>777</v>
      </c>
      <c r="K91" t="s">
        <v>4669</v>
      </c>
      <c r="L91" s="571">
        <v>200</v>
      </c>
      <c r="M91" t="str">
        <f t="shared" si="1"/>
        <v>5010304001</v>
      </c>
      <c r="O91" t="s">
        <v>999</v>
      </c>
      <c r="P91" t="s">
        <v>4642</v>
      </c>
      <c r="Q91" t="s">
        <v>970</v>
      </c>
    </row>
    <row r="92" spans="1:17" hidden="1">
      <c r="A92" t="s">
        <v>942</v>
      </c>
      <c r="B92" s="301" t="s">
        <v>947</v>
      </c>
      <c r="C92" s="553">
        <v>44299</v>
      </c>
      <c r="D92" s="574" t="s">
        <v>4693</v>
      </c>
      <c r="E92" s="574" t="s">
        <v>4722</v>
      </c>
      <c r="F92" s="584">
        <v>5</v>
      </c>
      <c r="G92" s="574">
        <v>5010000000</v>
      </c>
      <c r="H92" t="s">
        <v>2026</v>
      </c>
      <c r="I92" t="s">
        <v>504</v>
      </c>
      <c r="J92" t="s">
        <v>777</v>
      </c>
      <c r="K92" t="s">
        <v>4669</v>
      </c>
      <c r="L92" s="571">
        <v>149727</v>
      </c>
      <c r="M92" t="str">
        <f t="shared" si="1"/>
        <v>5010101001</v>
      </c>
      <c r="O92" t="s">
        <v>999</v>
      </c>
      <c r="P92" t="s">
        <v>4642</v>
      </c>
      <c r="Q92" t="s">
        <v>973</v>
      </c>
    </row>
    <row r="93" spans="1:17" hidden="1">
      <c r="A93" t="s">
        <v>942</v>
      </c>
      <c r="B93" s="301" t="s">
        <v>947</v>
      </c>
      <c r="C93" s="553">
        <v>44299</v>
      </c>
      <c r="D93" s="574" t="s">
        <v>4693</v>
      </c>
      <c r="E93" s="574" t="s">
        <v>4722</v>
      </c>
      <c r="F93" s="584">
        <v>5</v>
      </c>
      <c r="G93" s="574">
        <v>5010000000</v>
      </c>
      <c r="H93" t="s">
        <v>2027</v>
      </c>
      <c r="I93" t="s">
        <v>528</v>
      </c>
      <c r="J93" t="s">
        <v>777</v>
      </c>
      <c r="K93" t="s">
        <v>4669</v>
      </c>
      <c r="L93" s="571">
        <v>6000</v>
      </c>
      <c r="M93" t="str">
        <f t="shared" si="1"/>
        <v>5010201001</v>
      </c>
      <c r="O93" t="s">
        <v>999</v>
      </c>
      <c r="P93" t="s">
        <v>4642</v>
      </c>
      <c r="Q93" t="s">
        <v>973</v>
      </c>
    </row>
    <row r="94" spans="1:17" hidden="1">
      <c r="A94" t="s">
        <v>942</v>
      </c>
      <c r="B94" s="301" t="s">
        <v>947</v>
      </c>
      <c r="C94" s="553">
        <v>44299</v>
      </c>
      <c r="D94" s="574" t="s">
        <v>4693</v>
      </c>
      <c r="E94" s="574" t="s">
        <v>4722</v>
      </c>
      <c r="F94" s="584">
        <v>5</v>
      </c>
      <c r="G94" s="574">
        <v>5010301000</v>
      </c>
      <c r="H94" t="s">
        <v>2028</v>
      </c>
      <c r="I94" t="s">
        <v>530</v>
      </c>
      <c r="J94" t="s">
        <v>777</v>
      </c>
      <c r="K94" t="s">
        <v>4669</v>
      </c>
      <c r="L94" s="571">
        <v>17967.240000000002</v>
      </c>
      <c r="M94" t="str">
        <f t="shared" si="1"/>
        <v>5010301000</v>
      </c>
      <c r="O94" t="s">
        <v>999</v>
      </c>
      <c r="P94" t="s">
        <v>4642</v>
      </c>
      <c r="Q94" t="s">
        <v>975</v>
      </c>
    </row>
    <row r="95" spans="1:17" hidden="1">
      <c r="A95" t="s">
        <v>942</v>
      </c>
      <c r="B95" s="301" t="s">
        <v>947</v>
      </c>
      <c r="C95" s="553">
        <v>44299</v>
      </c>
      <c r="D95" s="574" t="s">
        <v>4693</v>
      </c>
      <c r="E95" s="574" t="s">
        <v>4722</v>
      </c>
      <c r="F95" s="584">
        <v>5</v>
      </c>
      <c r="G95" s="574">
        <v>5010000000</v>
      </c>
      <c r="H95" t="s">
        <v>2029</v>
      </c>
      <c r="I95" t="s">
        <v>532</v>
      </c>
      <c r="J95" t="s">
        <v>777</v>
      </c>
      <c r="K95" t="s">
        <v>4669</v>
      </c>
      <c r="L95" s="571">
        <v>300</v>
      </c>
      <c r="M95" t="str">
        <f t="shared" si="1"/>
        <v>5010302001</v>
      </c>
      <c r="O95" t="s">
        <v>999</v>
      </c>
      <c r="P95" t="s">
        <v>4642</v>
      </c>
      <c r="Q95" t="s">
        <v>973</v>
      </c>
    </row>
    <row r="96" spans="1:17" hidden="1">
      <c r="A96" t="s">
        <v>942</v>
      </c>
      <c r="B96" s="301" t="s">
        <v>947</v>
      </c>
      <c r="C96" s="553">
        <v>44299</v>
      </c>
      <c r="D96" s="574" t="s">
        <v>4693</v>
      </c>
      <c r="E96" s="574" t="s">
        <v>4722</v>
      </c>
      <c r="F96" s="584">
        <v>5</v>
      </c>
      <c r="G96" s="574">
        <v>5010000000</v>
      </c>
      <c r="H96" t="s">
        <v>2030</v>
      </c>
      <c r="I96" t="s">
        <v>534</v>
      </c>
      <c r="J96" t="s">
        <v>777</v>
      </c>
      <c r="K96" t="s">
        <v>4669</v>
      </c>
      <c r="L96" s="571">
        <v>2087.44</v>
      </c>
      <c r="M96" t="str">
        <f t="shared" si="1"/>
        <v>5010303001</v>
      </c>
      <c r="O96" t="s">
        <v>999</v>
      </c>
      <c r="P96" t="s">
        <v>4642</v>
      </c>
      <c r="Q96" t="s">
        <v>973</v>
      </c>
    </row>
    <row r="97" spans="1:17" hidden="1">
      <c r="A97" t="s">
        <v>942</v>
      </c>
      <c r="B97" s="301" t="s">
        <v>947</v>
      </c>
      <c r="C97" s="553">
        <v>44299</v>
      </c>
      <c r="D97" s="574" t="s">
        <v>4693</v>
      </c>
      <c r="E97" s="574" t="s">
        <v>4722</v>
      </c>
      <c r="F97" s="584">
        <v>5</v>
      </c>
      <c r="G97" s="574">
        <v>5010000000</v>
      </c>
      <c r="H97" t="s">
        <v>2031</v>
      </c>
      <c r="I97" t="s">
        <v>501</v>
      </c>
      <c r="J97" t="s">
        <v>777</v>
      </c>
      <c r="K97" t="s">
        <v>4669</v>
      </c>
      <c r="L97" s="571">
        <v>300</v>
      </c>
      <c r="M97" t="str">
        <f t="shared" si="1"/>
        <v>5010304001</v>
      </c>
      <c r="O97" t="s">
        <v>999</v>
      </c>
      <c r="P97" t="s">
        <v>4642</v>
      </c>
      <c r="Q97" t="s">
        <v>973</v>
      </c>
    </row>
    <row r="98" spans="1:17" hidden="1">
      <c r="A98" t="s">
        <v>942</v>
      </c>
      <c r="B98" s="301" t="s">
        <v>947</v>
      </c>
      <c r="C98" s="553">
        <v>44299</v>
      </c>
      <c r="D98" s="574" t="s">
        <v>4694</v>
      </c>
      <c r="E98" s="574" t="s">
        <v>4723</v>
      </c>
      <c r="F98" s="584">
        <v>1</v>
      </c>
      <c r="G98" s="574">
        <v>5010000000</v>
      </c>
      <c r="H98" t="s">
        <v>2026</v>
      </c>
      <c r="I98" t="s">
        <v>504</v>
      </c>
      <c r="J98" t="s">
        <v>764</v>
      </c>
      <c r="K98" t="s">
        <v>4669</v>
      </c>
      <c r="L98" s="571">
        <v>99206</v>
      </c>
      <c r="M98" t="str">
        <f t="shared" si="1"/>
        <v>5010101001</v>
      </c>
      <c r="O98" t="s">
        <v>999</v>
      </c>
      <c r="P98" t="s">
        <v>4643</v>
      </c>
      <c r="Q98" t="s">
        <v>960</v>
      </c>
    </row>
    <row r="99" spans="1:17" hidden="1">
      <c r="A99" t="s">
        <v>942</v>
      </c>
      <c r="B99" s="301" t="s">
        <v>947</v>
      </c>
      <c r="C99" s="553">
        <v>44299</v>
      </c>
      <c r="D99" s="574" t="s">
        <v>4694</v>
      </c>
      <c r="E99" s="574" t="s">
        <v>4723</v>
      </c>
      <c r="F99" s="584">
        <v>1</v>
      </c>
      <c r="G99" s="574">
        <v>5010000000</v>
      </c>
      <c r="H99" t="s">
        <v>2027</v>
      </c>
      <c r="I99" t="s">
        <v>528</v>
      </c>
      <c r="J99" t="s">
        <v>764</v>
      </c>
      <c r="K99" t="s">
        <v>4669</v>
      </c>
      <c r="L99" s="571">
        <v>8000</v>
      </c>
      <c r="M99" t="str">
        <f t="shared" si="1"/>
        <v>5010201001</v>
      </c>
      <c r="O99" t="s">
        <v>999</v>
      </c>
      <c r="P99" t="s">
        <v>4643</v>
      </c>
      <c r="Q99" t="s">
        <v>960</v>
      </c>
    </row>
    <row r="100" spans="1:17" hidden="1">
      <c r="A100" t="s">
        <v>942</v>
      </c>
      <c r="B100" s="301" t="s">
        <v>947</v>
      </c>
      <c r="C100" s="553">
        <v>44299</v>
      </c>
      <c r="D100" s="574" t="s">
        <v>4694</v>
      </c>
      <c r="E100" s="574" t="s">
        <v>4723</v>
      </c>
      <c r="F100" s="584">
        <v>1</v>
      </c>
      <c r="G100" s="574">
        <v>5010301000</v>
      </c>
      <c r="H100" t="s">
        <v>2028</v>
      </c>
      <c r="I100" t="s">
        <v>530</v>
      </c>
      <c r="J100" t="s">
        <v>764</v>
      </c>
      <c r="K100" t="s">
        <v>4669</v>
      </c>
      <c r="L100" s="571">
        <v>11904.72</v>
      </c>
      <c r="M100" t="str">
        <f t="shared" si="1"/>
        <v>5010301000</v>
      </c>
      <c r="O100" t="s">
        <v>999</v>
      </c>
      <c r="P100" t="s">
        <v>4643</v>
      </c>
      <c r="Q100" t="s">
        <v>962</v>
      </c>
    </row>
    <row r="101" spans="1:17" hidden="1">
      <c r="A101" t="s">
        <v>942</v>
      </c>
      <c r="B101" s="301" t="s">
        <v>947</v>
      </c>
      <c r="C101" s="553">
        <v>44299</v>
      </c>
      <c r="D101" s="574" t="s">
        <v>4694</v>
      </c>
      <c r="E101" s="574" t="s">
        <v>4723</v>
      </c>
      <c r="F101" s="584">
        <v>1</v>
      </c>
      <c r="G101" s="574">
        <v>5010000000</v>
      </c>
      <c r="H101" t="s">
        <v>2029</v>
      </c>
      <c r="I101" t="s">
        <v>532</v>
      </c>
      <c r="J101" t="s">
        <v>764</v>
      </c>
      <c r="K101" t="s">
        <v>4669</v>
      </c>
      <c r="L101" s="571">
        <v>400</v>
      </c>
      <c r="M101" t="str">
        <f t="shared" si="1"/>
        <v>5010302001</v>
      </c>
      <c r="O101" t="s">
        <v>999</v>
      </c>
      <c r="P101" t="s">
        <v>4643</v>
      </c>
      <c r="Q101" t="s">
        <v>960</v>
      </c>
    </row>
    <row r="102" spans="1:17" hidden="1">
      <c r="A102" t="s">
        <v>942</v>
      </c>
      <c r="B102" s="301" t="s">
        <v>947</v>
      </c>
      <c r="C102" s="553">
        <v>44299</v>
      </c>
      <c r="D102" s="574" t="s">
        <v>4694</v>
      </c>
      <c r="E102" s="574" t="s">
        <v>4723</v>
      </c>
      <c r="F102" s="584">
        <v>1</v>
      </c>
      <c r="G102" s="574">
        <v>5010000000</v>
      </c>
      <c r="H102" t="s">
        <v>2030</v>
      </c>
      <c r="I102" t="s">
        <v>534</v>
      </c>
      <c r="J102" t="s">
        <v>764</v>
      </c>
      <c r="K102" t="s">
        <v>4669</v>
      </c>
      <c r="L102" s="571">
        <v>1488.1</v>
      </c>
      <c r="M102" t="str">
        <f t="shared" si="1"/>
        <v>5010303001</v>
      </c>
      <c r="O102" t="s">
        <v>999</v>
      </c>
      <c r="P102" t="s">
        <v>4643</v>
      </c>
      <c r="Q102" t="s">
        <v>960</v>
      </c>
    </row>
    <row r="103" spans="1:17" hidden="1">
      <c r="A103" t="s">
        <v>942</v>
      </c>
      <c r="B103" s="301" t="s">
        <v>947</v>
      </c>
      <c r="C103" s="553">
        <v>44299</v>
      </c>
      <c r="D103" s="574" t="s">
        <v>4694</v>
      </c>
      <c r="E103" s="574" t="s">
        <v>4723</v>
      </c>
      <c r="F103" s="584">
        <v>1</v>
      </c>
      <c r="G103" s="574">
        <v>5010000000</v>
      </c>
      <c r="H103" t="s">
        <v>2031</v>
      </c>
      <c r="I103" t="s">
        <v>501</v>
      </c>
      <c r="J103" t="s">
        <v>764</v>
      </c>
      <c r="K103" t="s">
        <v>4669</v>
      </c>
      <c r="L103" s="571">
        <v>400</v>
      </c>
      <c r="M103" t="str">
        <f t="shared" si="1"/>
        <v>5010304001</v>
      </c>
      <c r="O103" t="s">
        <v>999</v>
      </c>
      <c r="P103" t="s">
        <v>4643</v>
      </c>
      <c r="Q103" t="s">
        <v>960</v>
      </c>
    </row>
    <row r="104" spans="1:17" hidden="1">
      <c r="A104" t="s">
        <v>942</v>
      </c>
      <c r="B104" s="301" t="s">
        <v>947</v>
      </c>
      <c r="C104" s="553">
        <v>44299</v>
      </c>
      <c r="D104" s="574" t="s">
        <v>4694</v>
      </c>
      <c r="E104" s="574" t="s">
        <v>4723</v>
      </c>
      <c r="F104" s="584">
        <v>2</v>
      </c>
      <c r="G104" s="574">
        <v>5010000000</v>
      </c>
      <c r="H104" t="s">
        <v>2026</v>
      </c>
      <c r="I104" t="s">
        <v>504</v>
      </c>
      <c r="J104" t="s">
        <v>764</v>
      </c>
      <c r="K104" t="s">
        <v>4669</v>
      </c>
      <c r="L104" s="571">
        <v>155926</v>
      </c>
      <c r="M104" t="str">
        <f t="shared" si="1"/>
        <v>5010101001</v>
      </c>
      <c r="O104" t="s">
        <v>999</v>
      </c>
      <c r="P104" t="s">
        <v>4643</v>
      </c>
      <c r="Q104" t="s">
        <v>964</v>
      </c>
    </row>
    <row r="105" spans="1:17" hidden="1">
      <c r="A105" t="s">
        <v>942</v>
      </c>
      <c r="B105" s="301" t="s">
        <v>947</v>
      </c>
      <c r="C105" s="553">
        <v>44299</v>
      </c>
      <c r="D105" s="574" t="s">
        <v>4694</v>
      </c>
      <c r="E105" s="574" t="s">
        <v>4723</v>
      </c>
      <c r="F105" s="584">
        <v>2</v>
      </c>
      <c r="G105" s="574">
        <v>5010000000</v>
      </c>
      <c r="H105" t="s">
        <v>2027</v>
      </c>
      <c r="I105" t="s">
        <v>528</v>
      </c>
      <c r="J105" t="s">
        <v>764</v>
      </c>
      <c r="K105" t="s">
        <v>4669</v>
      </c>
      <c r="L105" s="571">
        <v>4000</v>
      </c>
      <c r="M105" t="str">
        <f t="shared" si="1"/>
        <v>5010201001</v>
      </c>
      <c r="O105" t="s">
        <v>999</v>
      </c>
      <c r="P105" t="s">
        <v>4643</v>
      </c>
      <c r="Q105" t="s">
        <v>964</v>
      </c>
    </row>
    <row r="106" spans="1:17" hidden="1">
      <c r="A106" t="s">
        <v>942</v>
      </c>
      <c r="B106" s="301" t="s">
        <v>947</v>
      </c>
      <c r="C106" s="553">
        <v>44299</v>
      </c>
      <c r="D106" s="574" t="s">
        <v>4694</v>
      </c>
      <c r="E106" s="574" t="s">
        <v>4723</v>
      </c>
      <c r="F106" s="584">
        <v>2</v>
      </c>
      <c r="G106" s="574">
        <v>5010301000</v>
      </c>
      <c r="H106" t="s">
        <v>2028</v>
      </c>
      <c r="I106" t="s">
        <v>530</v>
      </c>
      <c r="J106" t="s">
        <v>764</v>
      </c>
      <c r="K106" t="s">
        <v>4669</v>
      </c>
      <c r="L106" s="571">
        <v>18711.12</v>
      </c>
      <c r="M106" t="str">
        <f t="shared" si="1"/>
        <v>5010301000</v>
      </c>
      <c r="O106" t="s">
        <v>999</v>
      </c>
      <c r="P106" t="s">
        <v>4643</v>
      </c>
      <c r="Q106" t="s">
        <v>966</v>
      </c>
    </row>
    <row r="107" spans="1:17" hidden="1">
      <c r="A107" t="s">
        <v>942</v>
      </c>
      <c r="B107" s="301" t="s">
        <v>947</v>
      </c>
      <c r="C107" s="553">
        <v>44299</v>
      </c>
      <c r="D107" s="574" t="s">
        <v>4694</v>
      </c>
      <c r="E107" s="574" t="s">
        <v>4723</v>
      </c>
      <c r="F107" s="584">
        <v>2</v>
      </c>
      <c r="G107" s="574">
        <v>5010000000</v>
      </c>
      <c r="H107" t="s">
        <v>2029</v>
      </c>
      <c r="I107" t="s">
        <v>532</v>
      </c>
      <c r="J107" t="s">
        <v>764</v>
      </c>
      <c r="K107" t="s">
        <v>4669</v>
      </c>
      <c r="L107" s="571">
        <v>200</v>
      </c>
      <c r="M107" t="str">
        <f t="shared" si="1"/>
        <v>5010302001</v>
      </c>
      <c r="O107" t="s">
        <v>999</v>
      </c>
      <c r="P107" t="s">
        <v>4643</v>
      </c>
      <c r="Q107" t="s">
        <v>964</v>
      </c>
    </row>
    <row r="108" spans="1:17" hidden="1">
      <c r="A108" t="s">
        <v>942</v>
      </c>
      <c r="B108" s="301" t="s">
        <v>947</v>
      </c>
      <c r="C108" s="553">
        <v>44299</v>
      </c>
      <c r="D108" s="574" t="s">
        <v>4694</v>
      </c>
      <c r="E108" s="574" t="s">
        <v>4723</v>
      </c>
      <c r="F108" s="584">
        <v>2</v>
      </c>
      <c r="G108" s="574">
        <v>5010000000</v>
      </c>
      <c r="H108" t="s">
        <v>2030</v>
      </c>
      <c r="I108" t="s">
        <v>534</v>
      </c>
      <c r="J108" t="s">
        <v>764</v>
      </c>
      <c r="K108" t="s">
        <v>4669</v>
      </c>
      <c r="L108" s="571">
        <v>1562.76</v>
      </c>
      <c r="M108" t="str">
        <f t="shared" si="1"/>
        <v>5010303001</v>
      </c>
      <c r="O108" t="s">
        <v>999</v>
      </c>
      <c r="P108" t="s">
        <v>4643</v>
      </c>
      <c r="Q108" t="s">
        <v>964</v>
      </c>
    </row>
    <row r="109" spans="1:17" hidden="1">
      <c r="A109" t="s">
        <v>942</v>
      </c>
      <c r="B109" s="301" t="s">
        <v>947</v>
      </c>
      <c r="C109" s="553">
        <v>44299</v>
      </c>
      <c r="D109" s="574" t="s">
        <v>4694</v>
      </c>
      <c r="E109" s="574" t="s">
        <v>4723</v>
      </c>
      <c r="F109" s="584">
        <v>2</v>
      </c>
      <c r="G109" s="574">
        <v>5010000000</v>
      </c>
      <c r="H109" t="s">
        <v>2031</v>
      </c>
      <c r="I109" t="s">
        <v>501</v>
      </c>
      <c r="J109" t="s">
        <v>764</v>
      </c>
      <c r="K109" t="s">
        <v>4669</v>
      </c>
      <c r="L109" s="571">
        <v>200</v>
      </c>
      <c r="M109" t="str">
        <f t="shared" si="1"/>
        <v>5010304001</v>
      </c>
      <c r="O109" t="s">
        <v>999</v>
      </c>
      <c r="P109" t="s">
        <v>4643</v>
      </c>
      <c r="Q109" t="s">
        <v>964</v>
      </c>
    </row>
    <row r="110" spans="1:17" hidden="1">
      <c r="A110" t="s">
        <v>942</v>
      </c>
      <c r="B110" s="301" t="s">
        <v>947</v>
      </c>
      <c r="C110" s="553">
        <v>44299</v>
      </c>
      <c r="D110" s="574" t="s">
        <v>4694</v>
      </c>
      <c r="E110" s="574" t="s">
        <v>4723</v>
      </c>
      <c r="F110" s="584">
        <v>4</v>
      </c>
      <c r="G110" s="574">
        <v>5010000000</v>
      </c>
      <c r="H110" t="s">
        <v>2026</v>
      </c>
      <c r="I110" t="s">
        <v>504</v>
      </c>
      <c r="J110" t="s">
        <v>764</v>
      </c>
      <c r="K110" t="s">
        <v>4669</v>
      </c>
      <c r="L110" s="571">
        <v>113498</v>
      </c>
      <c r="M110" t="str">
        <f t="shared" si="1"/>
        <v>5010101001</v>
      </c>
      <c r="O110" t="s">
        <v>999</v>
      </c>
      <c r="P110" t="s">
        <v>4643</v>
      </c>
      <c r="Q110" t="s">
        <v>970</v>
      </c>
    </row>
    <row r="111" spans="1:17" hidden="1">
      <c r="A111" t="s">
        <v>942</v>
      </c>
      <c r="B111" s="301" t="s">
        <v>947</v>
      </c>
      <c r="C111" s="553">
        <v>44299</v>
      </c>
      <c r="D111" s="574" t="s">
        <v>4694</v>
      </c>
      <c r="E111" s="574" t="s">
        <v>4723</v>
      </c>
      <c r="F111" s="584">
        <v>4</v>
      </c>
      <c r="G111" s="574">
        <v>5010000000</v>
      </c>
      <c r="H111" t="s">
        <v>2027</v>
      </c>
      <c r="I111" t="s">
        <v>528</v>
      </c>
      <c r="J111" t="s">
        <v>764</v>
      </c>
      <c r="K111" t="s">
        <v>4669</v>
      </c>
      <c r="L111" s="571">
        <v>6000</v>
      </c>
      <c r="M111" t="str">
        <f t="shared" si="1"/>
        <v>5010201001</v>
      </c>
      <c r="O111" t="s">
        <v>999</v>
      </c>
      <c r="P111" t="s">
        <v>4643</v>
      </c>
      <c r="Q111" t="s">
        <v>970</v>
      </c>
    </row>
    <row r="112" spans="1:17" hidden="1">
      <c r="A112" t="s">
        <v>942</v>
      </c>
      <c r="B112" s="301" t="s">
        <v>947</v>
      </c>
      <c r="C112" s="553">
        <v>44299</v>
      </c>
      <c r="D112" s="574" t="s">
        <v>4694</v>
      </c>
      <c r="E112" s="574" t="s">
        <v>4723</v>
      </c>
      <c r="F112" s="584">
        <v>4</v>
      </c>
      <c r="G112" s="574">
        <v>5010301000</v>
      </c>
      <c r="H112" t="s">
        <v>2028</v>
      </c>
      <c r="I112" t="s">
        <v>530</v>
      </c>
      <c r="J112" t="s">
        <v>764</v>
      </c>
      <c r="K112" t="s">
        <v>4669</v>
      </c>
      <c r="L112" s="571">
        <v>13619.76</v>
      </c>
      <c r="M112" t="str">
        <f t="shared" si="1"/>
        <v>5010301000</v>
      </c>
      <c r="O112" t="s">
        <v>999</v>
      </c>
      <c r="P112" t="s">
        <v>4643</v>
      </c>
      <c r="Q112" t="s">
        <v>972</v>
      </c>
    </row>
    <row r="113" spans="1:17" hidden="1">
      <c r="A113" t="s">
        <v>942</v>
      </c>
      <c r="B113" s="301" t="s">
        <v>947</v>
      </c>
      <c r="C113" s="553">
        <v>44299</v>
      </c>
      <c r="D113" s="574" t="s">
        <v>4694</v>
      </c>
      <c r="E113" s="574" t="s">
        <v>4723</v>
      </c>
      <c r="F113" s="584">
        <v>4</v>
      </c>
      <c r="G113" s="574">
        <v>5010000000</v>
      </c>
      <c r="H113" t="s">
        <v>2029</v>
      </c>
      <c r="I113" t="s">
        <v>532</v>
      </c>
      <c r="J113" t="s">
        <v>764</v>
      </c>
      <c r="K113" t="s">
        <v>4669</v>
      </c>
      <c r="L113" s="571">
        <v>300</v>
      </c>
      <c r="M113" t="str">
        <f t="shared" si="1"/>
        <v>5010302001</v>
      </c>
      <c r="O113" t="s">
        <v>999</v>
      </c>
      <c r="P113" t="s">
        <v>4643</v>
      </c>
      <c r="Q113" t="s">
        <v>970</v>
      </c>
    </row>
    <row r="114" spans="1:17" hidden="1">
      <c r="A114" t="s">
        <v>942</v>
      </c>
      <c r="B114" s="301" t="s">
        <v>947</v>
      </c>
      <c r="C114" s="553">
        <v>44299</v>
      </c>
      <c r="D114" s="574" t="s">
        <v>4694</v>
      </c>
      <c r="E114" s="574" t="s">
        <v>4723</v>
      </c>
      <c r="F114" s="584">
        <v>4</v>
      </c>
      <c r="G114" s="574">
        <v>5010000000</v>
      </c>
      <c r="H114" t="s">
        <v>2030</v>
      </c>
      <c r="I114" t="s">
        <v>534</v>
      </c>
      <c r="J114" t="s">
        <v>764</v>
      </c>
      <c r="K114" t="s">
        <v>4669</v>
      </c>
      <c r="L114" s="571">
        <v>1702.48</v>
      </c>
      <c r="M114" t="str">
        <f t="shared" si="1"/>
        <v>5010303001</v>
      </c>
      <c r="O114" t="s">
        <v>999</v>
      </c>
      <c r="P114" t="s">
        <v>4643</v>
      </c>
      <c r="Q114" t="s">
        <v>970</v>
      </c>
    </row>
    <row r="115" spans="1:17" hidden="1">
      <c r="A115" t="s">
        <v>942</v>
      </c>
      <c r="B115" s="301" t="s">
        <v>947</v>
      </c>
      <c r="C115" s="553">
        <v>44299</v>
      </c>
      <c r="D115" s="574" t="s">
        <v>4694</v>
      </c>
      <c r="E115" s="574" t="s">
        <v>4723</v>
      </c>
      <c r="F115" s="584">
        <v>4</v>
      </c>
      <c r="G115" s="574">
        <v>5010000000</v>
      </c>
      <c r="H115" t="s">
        <v>2031</v>
      </c>
      <c r="I115" t="s">
        <v>501</v>
      </c>
      <c r="J115" t="s">
        <v>764</v>
      </c>
      <c r="K115" t="s">
        <v>4669</v>
      </c>
      <c r="L115" s="571">
        <v>300</v>
      </c>
      <c r="M115" t="str">
        <f t="shared" si="1"/>
        <v>5010304001</v>
      </c>
      <c r="O115" t="s">
        <v>999</v>
      </c>
      <c r="P115" t="s">
        <v>4643</v>
      </c>
      <c r="Q115" t="s">
        <v>970</v>
      </c>
    </row>
    <row r="116" spans="1:17" hidden="1">
      <c r="A116" t="s">
        <v>942</v>
      </c>
      <c r="B116" s="301" t="s">
        <v>947</v>
      </c>
      <c r="C116" s="553">
        <v>44299</v>
      </c>
      <c r="D116" s="574" t="s">
        <v>4694</v>
      </c>
      <c r="E116" s="574" t="s">
        <v>4723</v>
      </c>
      <c r="F116" s="584">
        <v>5</v>
      </c>
      <c r="G116" s="574">
        <v>5010000000</v>
      </c>
      <c r="H116" t="s">
        <v>2026</v>
      </c>
      <c r="I116" t="s">
        <v>504</v>
      </c>
      <c r="J116" t="s">
        <v>764</v>
      </c>
      <c r="K116" t="s">
        <v>4669</v>
      </c>
      <c r="L116" s="571">
        <v>68299</v>
      </c>
      <c r="M116" t="str">
        <f t="shared" si="1"/>
        <v>5010101001</v>
      </c>
      <c r="O116" t="s">
        <v>999</v>
      </c>
      <c r="P116" t="s">
        <v>4643</v>
      </c>
      <c r="Q116" t="s">
        <v>973</v>
      </c>
    </row>
    <row r="117" spans="1:17" hidden="1">
      <c r="A117" t="s">
        <v>942</v>
      </c>
      <c r="B117" s="301" t="s">
        <v>947</v>
      </c>
      <c r="C117" s="553">
        <v>44299</v>
      </c>
      <c r="D117" s="574" t="s">
        <v>4694</v>
      </c>
      <c r="E117" s="574" t="s">
        <v>4723</v>
      </c>
      <c r="F117" s="584">
        <v>5</v>
      </c>
      <c r="G117" s="574">
        <v>5010000000</v>
      </c>
      <c r="H117" t="s">
        <v>2027</v>
      </c>
      <c r="I117" t="s">
        <v>528</v>
      </c>
      <c r="J117" t="s">
        <v>764</v>
      </c>
      <c r="K117" t="s">
        <v>4669</v>
      </c>
      <c r="L117" s="571">
        <v>4000</v>
      </c>
      <c r="M117" t="str">
        <f t="shared" si="1"/>
        <v>5010201001</v>
      </c>
      <c r="O117" t="s">
        <v>999</v>
      </c>
      <c r="P117" t="s">
        <v>4643</v>
      </c>
      <c r="Q117" t="s">
        <v>973</v>
      </c>
    </row>
    <row r="118" spans="1:17" hidden="1">
      <c r="A118" t="s">
        <v>942</v>
      </c>
      <c r="B118" s="301" t="s">
        <v>947</v>
      </c>
      <c r="C118" s="553">
        <v>44299</v>
      </c>
      <c r="D118" s="574" t="s">
        <v>4694</v>
      </c>
      <c r="E118" s="574" t="s">
        <v>4723</v>
      </c>
      <c r="F118" s="584">
        <v>5</v>
      </c>
      <c r="G118" s="574">
        <v>5010301000</v>
      </c>
      <c r="H118" t="s">
        <v>2028</v>
      </c>
      <c r="I118" t="s">
        <v>530</v>
      </c>
      <c r="J118" t="s">
        <v>764</v>
      </c>
      <c r="K118" t="s">
        <v>4669</v>
      </c>
      <c r="L118" s="571">
        <v>8195.8799999999992</v>
      </c>
      <c r="M118" t="str">
        <f t="shared" si="1"/>
        <v>5010301000</v>
      </c>
      <c r="O118" t="s">
        <v>999</v>
      </c>
      <c r="P118" t="s">
        <v>4643</v>
      </c>
      <c r="Q118" t="s">
        <v>975</v>
      </c>
    </row>
    <row r="119" spans="1:17" hidden="1">
      <c r="A119" t="s">
        <v>942</v>
      </c>
      <c r="B119" s="301" t="s">
        <v>947</v>
      </c>
      <c r="C119" s="553">
        <v>44299</v>
      </c>
      <c r="D119" s="574" t="s">
        <v>4694</v>
      </c>
      <c r="E119" s="574" t="s">
        <v>4723</v>
      </c>
      <c r="F119" s="584">
        <v>5</v>
      </c>
      <c r="G119" s="574">
        <v>5010000000</v>
      </c>
      <c r="H119" t="s">
        <v>2029</v>
      </c>
      <c r="I119" t="s">
        <v>532</v>
      </c>
      <c r="J119" t="s">
        <v>764</v>
      </c>
      <c r="K119" t="s">
        <v>4669</v>
      </c>
      <c r="L119" s="571">
        <v>200</v>
      </c>
      <c r="M119" t="str">
        <f t="shared" si="1"/>
        <v>5010302001</v>
      </c>
      <c r="O119" t="s">
        <v>999</v>
      </c>
      <c r="P119" t="s">
        <v>4643</v>
      </c>
      <c r="Q119" t="s">
        <v>973</v>
      </c>
    </row>
    <row r="120" spans="1:17" hidden="1">
      <c r="A120" t="s">
        <v>942</v>
      </c>
      <c r="B120" s="301" t="s">
        <v>947</v>
      </c>
      <c r="C120" s="553">
        <v>44299</v>
      </c>
      <c r="D120" s="574" t="s">
        <v>4694</v>
      </c>
      <c r="E120" s="574" t="s">
        <v>4723</v>
      </c>
      <c r="F120" s="584">
        <v>5</v>
      </c>
      <c r="G120" s="574">
        <v>5010000000</v>
      </c>
      <c r="H120" t="s">
        <v>2030</v>
      </c>
      <c r="I120" t="s">
        <v>534</v>
      </c>
      <c r="J120" t="s">
        <v>764</v>
      </c>
      <c r="K120" t="s">
        <v>4669</v>
      </c>
      <c r="L120" s="571">
        <v>1024.49</v>
      </c>
      <c r="M120" t="str">
        <f t="shared" si="1"/>
        <v>5010303001</v>
      </c>
      <c r="O120" t="s">
        <v>999</v>
      </c>
      <c r="P120" t="s">
        <v>4643</v>
      </c>
      <c r="Q120" t="s">
        <v>973</v>
      </c>
    </row>
    <row r="121" spans="1:17" hidden="1">
      <c r="A121" t="s">
        <v>942</v>
      </c>
      <c r="B121" s="301" t="s">
        <v>947</v>
      </c>
      <c r="C121" s="553">
        <v>44299</v>
      </c>
      <c r="D121" s="574" t="s">
        <v>4694</v>
      </c>
      <c r="E121" s="574" t="s">
        <v>4723</v>
      </c>
      <c r="F121" s="584">
        <v>5</v>
      </c>
      <c r="G121" s="574">
        <v>5010000000</v>
      </c>
      <c r="H121" t="s">
        <v>2031</v>
      </c>
      <c r="I121" t="s">
        <v>501</v>
      </c>
      <c r="J121" t="s">
        <v>764</v>
      </c>
      <c r="K121" t="s">
        <v>4669</v>
      </c>
      <c r="L121" s="571">
        <v>200</v>
      </c>
      <c r="M121" t="str">
        <f t="shared" si="1"/>
        <v>5010304001</v>
      </c>
      <c r="O121" t="s">
        <v>999</v>
      </c>
      <c r="P121" t="s">
        <v>4643</v>
      </c>
      <c r="Q121" t="s">
        <v>973</v>
      </c>
    </row>
    <row r="122" spans="1:17" hidden="1">
      <c r="A122" t="s">
        <v>942</v>
      </c>
      <c r="B122" s="301" t="s">
        <v>947</v>
      </c>
      <c r="C122" s="553">
        <v>44299</v>
      </c>
      <c r="D122" s="574" t="s">
        <v>4695</v>
      </c>
      <c r="E122" s="574" t="s">
        <v>4724</v>
      </c>
      <c r="F122" s="584">
        <v>1</v>
      </c>
      <c r="G122" s="574">
        <v>5010000000</v>
      </c>
      <c r="H122" t="s">
        <v>2026</v>
      </c>
      <c r="I122" t="s">
        <v>504</v>
      </c>
      <c r="J122" t="s">
        <v>768</v>
      </c>
      <c r="K122" t="s">
        <v>4669</v>
      </c>
      <c r="L122" s="571">
        <v>145528</v>
      </c>
      <c r="M122" t="str">
        <f t="shared" si="1"/>
        <v>5010101001</v>
      </c>
      <c r="O122" t="s">
        <v>999</v>
      </c>
      <c r="P122" t="s">
        <v>4644</v>
      </c>
      <c r="Q122" t="s">
        <v>960</v>
      </c>
    </row>
    <row r="123" spans="1:17" hidden="1">
      <c r="A123" t="s">
        <v>942</v>
      </c>
      <c r="B123" s="301" t="s">
        <v>947</v>
      </c>
      <c r="C123" s="553">
        <v>44299</v>
      </c>
      <c r="D123" s="574" t="s">
        <v>4695</v>
      </c>
      <c r="E123" s="574" t="s">
        <v>4724</v>
      </c>
      <c r="F123" s="584">
        <v>1</v>
      </c>
      <c r="G123" s="574">
        <v>5010000000</v>
      </c>
      <c r="H123" t="s">
        <v>2027</v>
      </c>
      <c r="I123" t="s">
        <v>528</v>
      </c>
      <c r="J123" t="s">
        <v>768</v>
      </c>
      <c r="K123" t="s">
        <v>4669</v>
      </c>
      <c r="L123" s="571">
        <v>6000</v>
      </c>
      <c r="M123" t="str">
        <f t="shared" si="1"/>
        <v>5010201001</v>
      </c>
      <c r="O123" t="s">
        <v>999</v>
      </c>
      <c r="P123" t="s">
        <v>4644</v>
      </c>
      <c r="Q123" t="s">
        <v>960</v>
      </c>
    </row>
    <row r="124" spans="1:17" hidden="1">
      <c r="A124" t="s">
        <v>942</v>
      </c>
      <c r="B124" s="301" t="s">
        <v>947</v>
      </c>
      <c r="C124" s="553">
        <v>44299</v>
      </c>
      <c r="D124" s="574" t="s">
        <v>4695</v>
      </c>
      <c r="E124" s="574" t="s">
        <v>4724</v>
      </c>
      <c r="F124" s="584">
        <v>1</v>
      </c>
      <c r="G124" s="574">
        <v>5010301000</v>
      </c>
      <c r="H124" t="s">
        <v>2028</v>
      </c>
      <c r="I124" t="s">
        <v>530</v>
      </c>
      <c r="J124" t="s">
        <v>768</v>
      </c>
      <c r="K124" t="s">
        <v>4669</v>
      </c>
      <c r="L124" s="571">
        <v>17463.36</v>
      </c>
      <c r="M124" t="str">
        <f t="shared" si="1"/>
        <v>5010301000</v>
      </c>
      <c r="O124" t="s">
        <v>999</v>
      </c>
      <c r="P124" t="s">
        <v>4644</v>
      </c>
      <c r="Q124" t="s">
        <v>962</v>
      </c>
    </row>
    <row r="125" spans="1:17" hidden="1">
      <c r="A125" t="s">
        <v>942</v>
      </c>
      <c r="B125" s="301" t="s">
        <v>947</v>
      </c>
      <c r="C125" s="553">
        <v>44299</v>
      </c>
      <c r="D125" s="574" t="s">
        <v>4695</v>
      </c>
      <c r="E125" s="574" t="s">
        <v>4724</v>
      </c>
      <c r="F125" s="584">
        <v>1</v>
      </c>
      <c r="G125" s="574">
        <v>5010000000</v>
      </c>
      <c r="H125" t="s">
        <v>2029</v>
      </c>
      <c r="I125" t="s">
        <v>532</v>
      </c>
      <c r="J125" t="s">
        <v>768</v>
      </c>
      <c r="K125" t="s">
        <v>4669</v>
      </c>
      <c r="L125" s="571">
        <v>300</v>
      </c>
      <c r="M125" t="str">
        <f t="shared" si="1"/>
        <v>5010302001</v>
      </c>
      <c r="O125" t="s">
        <v>999</v>
      </c>
      <c r="P125" t="s">
        <v>4644</v>
      </c>
      <c r="Q125" t="s">
        <v>960</v>
      </c>
    </row>
    <row r="126" spans="1:17" hidden="1">
      <c r="A126" t="s">
        <v>942</v>
      </c>
      <c r="B126" s="301" t="s">
        <v>947</v>
      </c>
      <c r="C126" s="553">
        <v>44299</v>
      </c>
      <c r="D126" s="574" t="s">
        <v>4695</v>
      </c>
      <c r="E126" s="574" t="s">
        <v>4724</v>
      </c>
      <c r="F126" s="584">
        <v>1</v>
      </c>
      <c r="G126" s="574">
        <v>5010000000</v>
      </c>
      <c r="H126" t="s">
        <v>2030</v>
      </c>
      <c r="I126" t="s">
        <v>534</v>
      </c>
      <c r="J126" t="s">
        <v>768</v>
      </c>
      <c r="K126" t="s">
        <v>4669</v>
      </c>
      <c r="L126" s="571">
        <v>1781.79</v>
      </c>
      <c r="M126" t="str">
        <f t="shared" si="1"/>
        <v>5010303001</v>
      </c>
      <c r="O126" t="s">
        <v>999</v>
      </c>
      <c r="P126" t="s">
        <v>4644</v>
      </c>
      <c r="Q126" t="s">
        <v>960</v>
      </c>
    </row>
    <row r="127" spans="1:17" hidden="1">
      <c r="A127" t="s">
        <v>942</v>
      </c>
      <c r="B127" s="301" t="s">
        <v>947</v>
      </c>
      <c r="C127" s="553">
        <v>44299</v>
      </c>
      <c r="D127" s="574" t="s">
        <v>4695</v>
      </c>
      <c r="E127" s="574" t="s">
        <v>4724</v>
      </c>
      <c r="F127" s="584">
        <v>1</v>
      </c>
      <c r="G127" s="574">
        <v>5010000000</v>
      </c>
      <c r="H127" t="s">
        <v>2031</v>
      </c>
      <c r="I127" t="s">
        <v>505</v>
      </c>
      <c r="J127" t="s">
        <v>768</v>
      </c>
      <c r="K127" t="s">
        <v>4669</v>
      </c>
      <c r="L127" s="571">
        <v>300</v>
      </c>
      <c r="M127" t="str">
        <f t="shared" si="1"/>
        <v>5010304001</v>
      </c>
      <c r="O127" t="s">
        <v>960</v>
      </c>
      <c r="P127" t="s">
        <v>4644</v>
      </c>
      <c r="Q127" t="s">
        <v>960</v>
      </c>
    </row>
    <row r="128" spans="1:17" hidden="1">
      <c r="A128" t="s">
        <v>942</v>
      </c>
      <c r="B128" s="301" t="s">
        <v>947</v>
      </c>
      <c r="C128" s="553">
        <v>44299</v>
      </c>
      <c r="D128" s="574" t="s">
        <v>4695</v>
      </c>
      <c r="E128" s="574" t="s">
        <v>4724</v>
      </c>
      <c r="F128" s="584">
        <v>2</v>
      </c>
      <c r="G128" s="574">
        <v>5010000000</v>
      </c>
      <c r="H128" t="s">
        <v>2026</v>
      </c>
      <c r="I128" t="s">
        <v>506</v>
      </c>
      <c r="J128" t="s">
        <v>768</v>
      </c>
      <c r="K128" t="s">
        <v>4669</v>
      </c>
      <c r="L128" s="571">
        <v>46261</v>
      </c>
      <c r="M128" t="str">
        <f t="shared" si="1"/>
        <v>5010101001</v>
      </c>
      <c r="O128" t="s">
        <v>960</v>
      </c>
      <c r="P128" t="s">
        <v>4644</v>
      </c>
      <c r="Q128" t="s">
        <v>964</v>
      </c>
    </row>
    <row r="129" spans="1:17" hidden="1">
      <c r="A129" t="s">
        <v>942</v>
      </c>
      <c r="B129" s="301" t="s">
        <v>947</v>
      </c>
      <c r="C129" s="553">
        <v>44299</v>
      </c>
      <c r="D129" s="574" t="s">
        <v>4695</v>
      </c>
      <c r="E129" s="574" t="s">
        <v>4724</v>
      </c>
      <c r="F129" s="584">
        <v>2</v>
      </c>
      <c r="G129" s="574">
        <v>5010000000</v>
      </c>
      <c r="H129" t="s">
        <v>2027</v>
      </c>
      <c r="I129" t="s">
        <v>505</v>
      </c>
      <c r="J129" t="s">
        <v>768</v>
      </c>
      <c r="K129" t="s">
        <v>4669</v>
      </c>
      <c r="L129" s="571">
        <v>2000</v>
      </c>
      <c r="M129" t="str">
        <f t="shared" si="1"/>
        <v>5010201001</v>
      </c>
      <c r="O129" t="s">
        <v>964</v>
      </c>
      <c r="P129" t="s">
        <v>4644</v>
      </c>
      <c r="Q129" t="s">
        <v>964</v>
      </c>
    </row>
    <row r="130" spans="1:17" hidden="1">
      <c r="A130" t="s">
        <v>942</v>
      </c>
      <c r="B130" s="301" t="s">
        <v>947</v>
      </c>
      <c r="C130" s="553">
        <v>44299</v>
      </c>
      <c r="D130" s="574" t="s">
        <v>4695</v>
      </c>
      <c r="E130" s="574" t="s">
        <v>4724</v>
      </c>
      <c r="F130" s="584">
        <v>2</v>
      </c>
      <c r="G130" s="574">
        <v>5010301000</v>
      </c>
      <c r="H130" t="s">
        <v>2028</v>
      </c>
      <c r="I130" t="s">
        <v>506</v>
      </c>
      <c r="J130" t="s">
        <v>768</v>
      </c>
      <c r="K130" t="s">
        <v>4669</v>
      </c>
      <c r="L130" s="571">
        <v>5551.32</v>
      </c>
      <c r="M130" t="str">
        <f t="shared" si="1"/>
        <v>5010301000</v>
      </c>
      <c r="O130" t="s">
        <v>964</v>
      </c>
      <c r="P130" t="s">
        <v>4644</v>
      </c>
      <c r="Q130" t="s">
        <v>966</v>
      </c>
    </row>
    <row r="131" spans="1:17" hidden="1">
      <c r="A131" t="s">
        <v>942</v>
      </c>
      <c r="B131" s="301" t="s">
        <v>947</v>
      </c>
      <c r="C131" s="553">
        <v>44299</v>
      </c>
      <c r="D131" s="574" t="s">
        <v>4695</v>
      </c>
      <c r="E131" s="574" t="s">
        <v>4724</v>
      </c>
      <c r="F131" s="584">
        <v>2</v>
      </c>
      <c r="G131" s="574">
        <v>5010000000</v>
      </c>
      <c r="H131" t="s">
        <v>2029</v>
      </c>
      <c r="I131" t="s">
        <v>505</v>
      </c>
      <c r="J131" t="s">
        <v>768</v>
      </c>
      <c r="K131" t="s">
        <v>4669</v>
      </c>
      <c r="L131" s="571">
        <v>100</v>
      </c>
      <c r="M131" t="str">
        <f t="shared" si="1"/>
        <v>5010302001</v>
      </c>
      <c r="O131" t="s">
        <v>967</v>
      </c>
      <c r="P131" t="s">
        <v>4644</v>
      </c>
      <c r="Q131" t="s">
        <v>964</v>
      </c>
    </row>
    <row r="132" spans="1:17" hidden="1">
      <c r="A132" t="s">
        <v>942</v>
      </c>
      <c r="B132" s="301" t="s">
        <v>947</v>
      </c>
      <c r="C132" s="553">
        <v>44299</v>
      </c>
      <c r="D132" s="574" t="s">
        <v>4695</v>
      </c>
      <c r="E132" s="574" t="s">
        <v>4724</v>
      </c>
      <c r="F132" s="584">
        <v>2</v>
      </c>
      <c r="G132" s="574">
        <v>5010000000</v>
      </c>
      <c r="H132" t="s">
        <v>2030</v>
      </c>
      <c r="I132" t="s">
        <v>506</v>
      </c>
      <c r="J132" t="s">
        <v>768</v>
      </c>
      <c r="K132" t="s">
        <v>4669</v>
      </c>
      <c r="L132" s="571">
        <v>693.92</v>
      </c>
      <c r="M132" t="str">
        <f t="shared" si="1"/>
        <v>5010303001</v>
      </c>
      <c r="O132" t="s">
        <v>967</v>
      </c>
      <c r="P132" t="s">
        <v>4644</v>
      </c>
      <c r="Q132" t="s">
        <v>964</v>
      </c>
    </row>
    <row r="133" spans="1:17" hidden="1">
      <c r="A133" t="s">
        <v>942</v>
      </c>
      <c r="B133" s="301" t="s">
        <v>947</v>
      </c>
      <c r="C133" s="553">
        <v>44299</v>
      </c>
      <c r="D133" s="574" t="s">
        <v>4695</v>
      </c>
      <c r="E133" s="574" t="s">
        <v>4724</v>
      </c>
      <c r="F133" s="584">
        <v>2</v>
      </c>
      <c r="G133" s="574">
        <v>5010000000</v>
      </c>
      <c r="H133" t="s">
        <v>2031</v>
      </c>
      <c r="I133" t="s">
        <v>505</v>
      </c>
      <c r="J133" t="s">
        <v>768</v>
      </c>
      <c r="K133" t="s">
        <v>4669</v>
      </c>
      <c r="L133" s="571">
        <v>100</v>
      </c>
      <c r="M133" t="str">
        <f t="shared" ref="M133:M196" si="2">CONCATENATE(LEFT(H133,8),RIGHT(H133,2))</f>
        <v>5010304001</v>
      </c>
      <c r="O133" t="s">
        <v>970</v>
      </c>
      <c r="P133" t="s">
        <v>4644</v>
      </c>
      <c r="Q133" t="s">
        <v>964</v>
      </c>
    </row>
    <row r="134" spans="1:17" hidden="1">
      <c r="A134" t="s">
        <v>942</v>
      </c>
      <c r="B134" s="301" t="s">
        <v>947</v>
      </c>
      <c r="C134" s="553">
        <v>44299</v>
      </c>
      <c r="D134" s="574" t="s">
        <v>4695</v>
      </c>
      <c r="E134" s="574" t="s">
        <v>4724</v>
      </c>
      <c r="F134" s="584">
        <v>3</v>
      </c>
      <c r="G134" s="574">
        <v>5010000000</v>
      </c>
      <c r="H134" t="s">
        <v>2026</v>
      </c>
      <c r="I134" t="s">
        <v>506</v>
      </c>
      <c r="J134" t="s">
        <v>768</v>
      </c>
      <c r="K134" t="s">
        <v>4669</v>
      </c>
      <c r="L134" s="571">
        <v>111742</v>
      </c>
      <c r="M134" t="str">
        <f t="shared" si="2"/>
        <v>5010101001</v>
      </c>
      <c r="O134" t="s">
        <v>970</v>
      </c>
      <c r="P134" t="s">
        <v>4644</v>
      </c>
      <c r="Q134" t="s">
        <v>967</v>
      </c>
    </row>
    <row r="135" spans="1:17" hidden="1">
      <c r="A135" t="s">
        <v>942</v>
      </c>
      <c r="B135" s="301" t="s">
        <v>947</v>
      </c>
      <c r="C135" s="553">
        <v>44299</v>
      </c>
      <c r="D135" s="574" t="s">
        <v>4695</v>
      </c>
      <c r="E135" s="574" t="s">
        <v>4724</v>
      </c>
      <c r="F135" s="584">
        <v>3</v>
      </c>
      <c r="G135" s="574">
        <v>5010000000</v>
      </c>
      <c r="H135" t="s">
        <v>2027</v>
      </c>
      <c r="I135" t="s">
        <v>505</v>
      </c>
      <c r="J135" t="s">
        <v>768</v>
      </c>
      <c r="K135" t="s">
        <v>4669</v>
      </c>
      <c r="L135" s="571">
        <v>2000</v>
      </c>
      <c r="M135" t="str">
        <f t="shared" si="2"/>
        <v>5010201001</v>
      </c>
      <c r="O135" t="s">
        <v>973</v>
      </c>
      <c r="P135" t="s">
        <v>4644</v>
      </c>
      <c r="Q135" t="s">
        <v>967</v>
      </c>
    </row>
    <row r="136" spans="1:17" hidden="1">
      <c r="A136" t="s">
        <v>942</v>
      </c>
      <c r="B136" s="301" t="s">
        <v>947</v>
      </c>
      <c r="C136" s="553">
        <v>44299</v>
      </c>
      <c r="D136" s="574" t="s">
        <v>4695</v>
      </c>
      <c r="E136" s="574" t="s">
        <v>4724</v>
      </c>
      <c r="F136" s="584">
        <v>3</v>
      </c>
      <c r="G136" s="574">
        <v>5010301000</v>
      </c>
      <c r="H136" t="s">
        <v>2028</v>
      </c>
      <c r="I136" t="s">
        <v>506</v>
      </c>
      <c r="J136" t="s">
        <v>768</v>
      </c>
      <c r="K136" t="s">
        <v>4669</v>
      </c>
      <c r="L136" s="571">
        <v>13409.04</v>
      </c>
      <c r="M136" t="str">
        <f t="shared" si="2"/>
        <v>5010301000</v>
      </c>
      <c r="O136" t="s">
        <v>973</v>
      </c>
      <c r="P136" t="s">
        <v>4644</v>
      </c>
      <c r="Q136" t="s">
        <v>969</v>
      </c>
    </row>
    <row r="137" spans="1:17" hidden="1">
      <c r="A137" t="s">
        <v>942</v>
      </c>
      <c r="B137" s="301" t="s">
        <v>947</v>
      </c>
      <c r="C137" s="553">
        <v>44299</v>
      </c>
      <c r="D137" s="574" t="s">
        <v>4695</v>
      </c>
      <c r="E137" s="574" t="s">
        <v>4724</v>
      </c>
      <c r="F137" s="584">
        <v>3</v>
      </c>
      <c r="G137" s="574">
        <v>5010000000</v>
      </c>
      <c r="H137" t="s">
        <v>2029</v>
      </c>
      <c r="I137" t="s">
        <v>624</v>
      </c>
      <c r="J137" t="s">
        <v>768</v>
      </c>
      <c r="K137" t="s">
        <v>4669</v>
      </c>
      <c r="L137" s="571">
        <v>100</v>
      </c>
      <c r="M137" t="str">
        <f t="shared" si="2"/>
        <v>5010302001</v>
      </c>
      <c r="O137" t="s">
        <v>961</v>
      </c>
      <c r="P137" t="s">
        <v>4644</v>
      </c>
      <c r="Q137" t="s">
        <v>967</v>
      </c>
    </row>
    <row r="138" spans="1:17" hidden="1">
      <c r="A138" t="s">
        <v>942</v>
      </c>
      <c r="B138" s="301" t="s">
        <v>947</v>
      </c>
      <c r="C138" s="553">
        <v>44299</v>
      </c>
      <c r="D138" s="574" t="s">
        <v>4695</v>
      </c>
      <c r="E138" s="574" t="s">
        <v>4724</v>
      </c>
      <c r="F138" s="584">
        <v>3</v>
      </c>
      <c r="G138" s="574">
        <v>5010000000</v>
      </c>
      <c r="H138" t="s">
        <v>2030</v>
      </c>
      <c r="I138" t="s">
        <v>505</v>
      </c>
      <c r="J138" t="s">
        <v>768</v>
      </c>
      <c r="K138" t="s">
        <v>4669</v>
      </c>
      <c r="L138" s="571">
        <v>900</v>
      </c>
      <c r="M138" t="str">
        <f t="shared" si="2"/>
        <v>5010303001</v>
      </c>
      <c r="O138" t="s">
        <v>960</v>
      </c>
      <c r="P138" t="s">
        <v>4644</v>
      </c>
      <c r="Q138" t="s">
        <v>967</v>
      </c>
    </row>
    <row r="139" spans="1:17" hidden="1">
      <c r="A139" t="s">
        <v>942</v>
      </c>
      <c r="B139" s="301" t="s">
        <v>947</v>
      </c>
      <c r="C139" s="553">
        <v>44299</v>
      </c>
      <c r="D139" s="574" t="s">
        <v>4695</v>
      </c>
      <c r="E139" s="574" t="s">
        <v>4724</v>
      </c>
      <c r="F139" s="584">
        <v>3</v>
      </c>
      <c r="G139" s="574">
        <v>5010000000</v>
      </c>
      <c r="H139" t="s">
        <v>2031</v>
      </c>
      <c r="I139" t="s">
        <v>506</v>
      </c>
      <c r="J139" t="s">
        <v>768</v>
      </c>
      <c r="K139" t="s">
        <v>4669</v>
      </c>
      <c r="L139" s="571">
        <v>100</v>
      </c>
      <c r="M139" t="str">
        <f t="shared" si="2"/>
        <v>5010304001</v>
      </c>
      <c r="O139" t="s">
        <v>960</v>
      </c>
      <c r="P139" t="s">
        <v>4644</v>
      </c>
      <c r="Q139" t="s">
        <v>967</v>
      </c>
    </row>
    <row r="140" spans="1:17" hidden="1">
      <c r="A140" t="s">
        <v>942</v>
      </c>
      <c r="B140" s="301" t="s">
        <v>947</v>
      </c>
      <c r="C140" s="553">
        <v>44299</v>
      </c>
      <c r="D140" s="574" t="s">
        <v>4695</v>
      </c>
      <c r="E140" s="574" t="s">
        <v>4724</v>
      </c>
      <c r="F140" s="584">
        <v>4</v>
      </c>
      <c r="G140" s="574">
        <v>5010000000</v>
      </c>
      <c r="H140" t="s">
        <v>2026</v>
      </c>
      <c r="I140" t="s">
        <v>565</v>
      </c>
      <c r="J140" t="s">
        <v>768</v>
      </c>
      <c r="K140" t="s">
        <v>4669</v>
      </c>
      <c r="L140" s="571">
        <v>236044</v>
      </c>
      <c r="M140" t="str">
        <f t="shared" si="2"/>
        <v>5010101001</v>
      </c>
      <c r="O140" t="s">
        <v>968</v>
      </c>
      <c r="P140" t="s">
        <v>4644</v>
      </c>
      <c r="Q140" t="s">
        <v>970</v>
      </c>
    </row>
    <row r="141" spans="1:17" hidden="1">
      <c r="A141" t="s">
        <v>942</v>
      </c>
      <c r="B141" s="301" t="s">
        <v>947</v>
      </c>
      <c r="C141" s="553">
        <v>44299</v>
      </c>
      <c r="D141" s="574" t="s">
        <v>4695</v>
      </c>
      <c r="E141" s="574" t="s">
        <v>4724</v>
      </c>
      <c r="F141" s="584">
        <v>4</v>
      </c>
      <c r="G141" s="574">
        <v>5010000000</v>
      </c>
      <c r="H141" t="s">
        <v>2027</v>
      </c>
      <c r="I141" t="s">
        <v>565</v>
      </c>
      <c r="J141" t="s">
        <v>768</v>
      </c>
      <c r="K141" t="s">
        <v>4669</v>
      </c>
      <c r="L141" s="571">
        <v>12000</v>
      </c>
      <c r="M141" t="str">
        <f t="shared" si="2"/>
        <v>5010201001</v>
      </c>
      <c r="O141" t="s">
        <v>968</v>
      </c>
      <c r="P141" t="s">
        <v>4644</v>
      </c>
      <c r="Q141" t="s">
        <v>970</v>
      </c>
    </row>
    <row r="142" spans="1:17" hidden="1">
      <c r="A142" t="s">
        <v>942</v>
      </c>
      <c r="B142" s="301" t="s">
        <v>947</v>
      </c>
      <c r="C142" s="553">
        <v>44299</v>
      </c>
      <c r="D142" s="574" t="s">
        <v>4695</v>
      </c>
      <c r="E142" s="574" t="s">
        <v>4724</v>
      </c>
      <c r="F142" s="584">
        <v>4</v>
      </c>
      <c r="G142" s="574">
        <v>5010301000</v>
      </c>
      <c r="H142" t="s">
        <v>2028</v>
      </c>
      <c r="I142" t="s">
        <v>683</v>
      </c>
      <c r="J142" t="s">
        <v>768</v>
      </c>
      <c r="K142" t="s">
        <v>4669</v>
      </c>
      <c r="L142" s="571">
        <v>28325.279999999999</v>
      </c>
      <c r="M142" t="str">
        <f t="shared" si="2"/>
        <v>5010301000</v>
      </c>
      <c r="O142" t="s">
        <v>961</v>
      </c>
      <c r="P142" t="s">
        <v>4644</v>
      </c>
      <c r="Q142" t="s">
        <v>972</v>
      </c>
    </row>
    <row r="143" spans="1:17" hidden="1">
      <c r="A143" t="s">
        <v>942</v>
      </c>
      <c r="B143" s="301" t="s">
        <v>947</v>
      </c>
      <c r="C143" s="553">
        <v>44299</v>
      </c>
      <c r="D143" s="574" t="s">
        <v>4695</v>
      </c>
      <c r="E143" s="574" t="s">
        <v>4724</v>
      </c>
      <c r="F143" s="584">
        <v>4</v>
      </c>
      <c r="G143" s="574">
        <v>5010000000</v>
      </c>
      <c r="H143" t="s">
        <v>2029</v>
      </c>
      <c r="I143" t="s">
        <v>653</v>
      </c>
      <c r="J143" t="s">
        <v>768</v>
      </c>
      <c r="K143" t="s">
        <v>4669</v>
      </c>
      <c r="L143" s="571">
        <v>600</v>
      </c>
      <c r="M143" t="str">
        <f t="shared" si="2"/>
        <v>5010302001</v>
      </c>
      <c r="O143" t="s">
        <v>983</v>
      </c>
      <c r="P143" t="s">
        <v>4644</v>
      </c>
      <c r="Q143" t="s">
        <v>970</v>
      </c>
    </row>
    <row r="144" spans="1:17" hidden="1">
      <c r="A144" t="s">
        <v>942</v>
      </c>
      <c r="B144" s="301" t="s">
        <v>947</v>
      </c>
      <c r="C144" s="553">
        <v>44299</v>
      </c>
      <c r="D144" s="574" t="s">
        <v>4695</v>
      </c>
      <c r="E144" s="574" t="s">
        <v>4724</v>
      </c>
      <c r="F144" s="584">
        <v>4</v>
      </c>
      <c r="G144" s="574">
        <v>5010000000</v>
      </c>
      <c r="H144" t="s">
        <v>2030</v>
      </c>
      <c r="I144" t="s">
        <v>680</v>
      </c>
      <c r="J144" t="s">
        <v>768</v>
      </c>
      <c r="K144" t="s">
        <v>4669</v>
      </c>
      <c r="L144" s="571">
        <v>3540.69</v>
      </c>
      <c r="M144" t="str">
        <f t="shared" si="2"/>
        <v>5010303001</v>
      </c>
      <c r="O144" t="s">
        <v>983</v>
      </c>
      <c r="P144" t="s">
        <v>4644</v>
      </c>
      <c r="Q144" t="s">
        <v>970</v>
      </c>
    </row>
    <row r="145" spans="1:17" hidden="1">
      <c r="A145" t="s">
        <v>942</v>
      </c>
      <c r="B145" s="301" t="s">
        <v>947</v>
      </c>
      <c r="C145" s="553">
        <v>44299</v>
      </c>
      <c r="D145" s="574" t="s">
        <v>4695</v>
      </c>
      <c r="E145" s="574" t="s">
        <v>4724</v>
      </c>
      <c r="F145" s="584">
        <v>4</v>
      </c>
      <c r="G145" s="574">
        <v>5010000000</v>
      </c>
      <c r="H145" t="s">
        <v>2031</v>
      </c>
      <c r="I145" t="s">
        <v>555</v>
      </c>
      <c r="J145" t="s">
        <v>768</v>
      </c>
      <c r="K145" t="s">
        <v>4669</v>
      </c>
      <c r="L145" s="571">
        <v>600</v>
      </c>
      <c r="M145" t="str">
        <f t="shared" si="2"/>
        <v>5010304001</v>
      </c>
      <c r="O145" t="s">
        <v>983</v>
      </c>
      <c r="P145" t="s">
        <v>4644</v>
      </c>
      <c r="Q145" t="s">
        <v>970</v>
      </c>
    </row>
    <row r="146" spans="1:17" hidden="1">
      <c r="A146" t="s">
        <v>942</v>
      </c>
      <c r="B146" s="301" t="s">
        <v>947</v>
      </c>
      <c r="C146" s="553">
        <v>44299</v>
      </c>
      <c r="D146" s="574" t="s">
        <v>4695</v>
      </c>
      <c r="E146" s="574" t="s">
        <v>4724</v>
      </c>
      <c r="F146" s="584">
        <v>5</v>
      </c>
      <c r="G146" s="574">
        <v>5010000000</v>
      </c>
      <c r="H146" t="s">
        <v>2026</v>
      </c>
      <c r="I146" t="s">
        <v>555</v>
      </c>
      <c r="J146" t="s">
        <v>768</v>
      </c>
      <c r="K146" t="s">
        <v>4669</v>
      </c>
      <c r="L146" s="571">
        <v>44694</v>
      </c>
      <c r="M146" t="str">
        <f t="shared" si="2"/>
        <v>5010101001</v>
      </c>
      <c r="O146" t="s">
        <v>983</v>
      </c>
      <c r="P146" t="s">
        <v>4644</v>
      </c>
      <c r="Q146" t="s">
        <v>973</v>
      </c>
    </row>
    <row r="147" spans="1:17" hidden="1">
      <c r="A147" t="s">
        <v>942</v>
      </c>
      <c r="B147" s="301" t="s">
        <v>947</v>
      </c>
      <c r="C147" s="553">
        <v>44299</v>
      </c>
      <c r="D147" s="574" t="s">
        <v>4695</v>
      </c>
      <c r="E147" s="574" t="s">
        <v>4724</v>
      </c>
      <c r="F147" s="584">
        <v>5</v>
      </c>
      <c r="G147" s="574">
        <v>5010000000</v>
      </c>
      <c r="H147" t="s">
        <v>2027</v>
      </c>
      <c r="I147" t="s">
        <v>555</v>
      </c>
      <c r="J147" t="s">
        <v>768</v>
      </c>
      <c r="K147" t="s">
        <v>4669</v>
      </c>
      <c r="L147" s="571">
        <v>2000</v>
      </c>
      <c r="M147" t="str">
        <f t="shared" si="2"/>
        <v>5010201001</v>
      </c>
      <c r="O147" t="s">
        <v>983</v>
      </c>
      <c r="P147" t="s">
        <v>4644</v>
      </c>
      <c r="Q147" t="s">
        <v>973</v>
      </c>
    </row>
    <row r="148" spans="1:17" hidden="1">
      <c r="A148" t="s">
        <v>942</v>
      </c>
      <c r="B148" s="301" t="s">
        <v>947</v>
      </c>
      <c r="C148" s="553">
        <v>44299</v>
      </c>
      <c r="D148" s="574" t="s">
        <v>4695</v>
      </c>
      <c r="E148" s="574" t="s">
        <v>4724</v>
      </c>
      <c r="F148" s="584">
        <v>5</v>
      </c>
      <c r="G148" s="574">
        <v>5010301000</v>
      </c>
      <c r="H148" t="s">
        <v>2028</v>
      </c>
      <c r="I148" t="s">
        <v>555</v>
      </c>
      <c r="J148" t="s">
        <v>768</v>
      </c>
      <c r="K148" t="s">
        <v>4669</v>
      </c>
      <c r="L148" s="571">
        <v>5363.28</v>
      </c>
      <c r="M148" t="str">
        <f t="shared" si="2"/>
        <v>5010301000</v>
      </c>
      <c r="O148" t="s">
        <v>968</v>
      </c>
      <c r="P148" t="s">
        <v>4644</v>
      </c>
      <c r="Q148" t="s">
        <v>975</v>
      </c>
    </row>
    <row r="149" spans="1:17" hidden="1">
      <c r="A149" t="s">
        <v>942</v>
      </c>
      <c r="B149" s="301" t="s">
        <v>947</v>
      </c>
      <c r="C149" s="553">
        <v>44299</v>
      </c>
      <c r="D149" s="574" t="s">
        <v>4695</v>
      </c>
      <c r="E149" s="574" t="s">
        <v>4724</v>
      </c>
      <c r="F149" s="584">
        <v>5</v>
      </c>
      <c r="G149" s="574">
        <v>5010000000</v>
      </c>
      <c r="H149" t="s">
        <v>2029</v>
      </c>
      <c r="I149" t="s">
        <v>565</v>
      </c>
      <c r="J149" t="s">
        <v>768</v>
      </c>
      <c r="K149" t="s">
        <v>4669</v>
      </c>
      <c r="L149" s="571">
        <v>100</v>
      </c>
      <c r="M149" t="str">
        <f t="shared" si="2"/>
        <v>5010302001</v>
      </c>
      <c r="O149" t="s">
        <v>968</v>
      </c>
      <c r="P149" t="s">
        <v>4644</v>
      </c>
      <c r="Q149" t="s">
        <v>973</v>
      </c>
    </row>
    <row r="150" spans="1:17" hidden="1">
      <c r="A150" t="s">
        <v>942</v>
      </c>
      <c r="B150" s="301" t="s">
        <v>947</v>
      </c>
      <c r="C150" s="553">
        <v>44299</v>
      </c>
      <c r="D150" s="574" t="s">
        <v>4695</v>
      </c>
      <c r="E150" s="574" t="s">
        <v>4724</v>
      </c>
      <c r="F150" s="584">
        <v>5</v>
      </c>
      <c r="G150" s="574">
        <v>5010000000</v>
      </c>
      <c r="H150" t="s">
        <v>2030</v>
      </c>
      <c r="I150" t="s">
        <v>678</v>
      </c>
      <c r="J150" t="s">
        <v>768</v>
      </c>
      <c r="K150" t="s">
        <v>4669</v>
      </c>
      <c r="L150" s="571">
        <v>670.41</v>
      </c>
      <c r="M150" t="str">
        <f t="shared" si="2"/>
        <v>5010303001</v>
      </c>
      <c r="O150" t="s">
        <v>968</v>
      </c>
      <c r="P150" t="s">
        <v>4644</v>
      </c>
      <c r="Q150" t="s">
        <v>973</v>
      </c>
    </row>
    <row r="151" spans="1:17" hidden="1">
      <c r="A151" t="s">
        <v>942</v>
      </c>
      <c r="B151" s="301" t="s">
        <v>947</v>
      </c>
      <c r="C151" s="553">
        <v>44299</v>
      </c>
      <c r="D151" s="574" t="s">
        <v>4695</v>
      </c>
      <c r="E151" s="574" t="s">
        <v>4724</v>
      </c>
      <c r="F151" s="584">
        <v>5</v>
      </c>
      <c r="G151" s="574">
        <v>5010000000</v>
      </c>
      <c r="H151" t="s">
        <v>2031</v>
      </c>
      <c r="I151" t="s">
        <v>555</v>
      </c>
      <c r="J151" t="s">
        <v>768</v>
      </c>
      <c r="K151" t="s">
        <v>4669</v>
      </c>
      <c r="L151" s="571">
        <v>100</v>
      </c>
      <c r="M151" t="str">
        <f t="shared" si="2"/>
        <v>5010304001</v>
      </c>
      <c r="O151" t="s">
        <v>968</v>
      </c>
      <c r="P151" t="s">
        <v>4644</v>
      </c>
      <c r="Q151" t="s">
        <v>973</v>
      </c>
    </row>
    <row r="152" spans="1:17" hidden="1">
      <c r="A152" t="s">
        <v>942</v>
      </c>
      <c r="B152" s="301" t="s">
        <v>947</v>
      </c>
      <c r="C152" s="553">
        <v>44299</v>
      </c>
      <c r="D152" s="574" t="s">
        <v>4696</v>
      </c>
      <c r="E152" s="574" t="s">
        <v>4725</v>
      </c>
      <c r="F152" s="584">
        <v>1</v>
      </c>
      <c r="G152" s="574">
        <v>5010000000</v>
      </c>
      <c r="H152" t="s">
        <v>2026</v>
      </c>
      <c r="I152" t="s">
        <v>565</v>
      </c>
      <c r="J152" t="s">
        <v>765</v>
      </c>
      <c r="K152" t="s">
        <v>4669</v>
      </c>
      <c r="L152" s="571">
        <v>57452</v>
      </c>
      <c r="M152" t="str">
        <f t="shared" si="2"/>
        <v>5010101001</v>
      </c>
      <c r="O152" t="s">
        <v>968</v>
      </c>
      <c r="P152" t="s">
        <v>4645</v>
      </c>
      <c r="Q152" t="s">
        <v>960</v>
      </c>
    </row>
    <row r="153" spans="1:17" hidden="1">
      <c r="A153" t="s">
        <v>942</v>
      </c>
      <c r="B153" s="301" t="s">
        <v>947</v>
      </c>
      <c r="C153" s="553">
        <v>44299</v>
      </c>
      <c r="D153" s="574" t="s">
        <v>4696</v>
      </c>
      <c r="E153" s="574" t="s">
        <v>4725</v>
      </c>
      <c r="F153" s="584">
        <v>1</v>
      </c>
      <c r="G153" s="574">
        <v>5010000000</v>
      </c>
      <c r="H153" t="s">
        <v>2027</v>
      </c>
      <c r="I153" t="s">
        <v>678</v>
      </c>
      <c r="J153" t="s">
        <v>765</v>
      </c>
      <c r="K153" t="s">
        <v>4669</v>
      </c>
      <c r="L153" s="571">
        <v>4000</v>
      </c>
      <c r="M153" t="str">
        <f t="shared" si="2"/>
        <v>5010201001</v>
      </c>
      <c r="O153" t="s">
        <v>968</v>
      </c>
      <c r="P153" t="s">
        <v>4645</v>
      </c>
      <c r="Q153" t="s">
        <v>960</v>
      </c>
    </row>
    <row r="154" spans="1:17" hidden="1">
      <c r="A154" t="s">
        <v>942</v>
      </c>
      <c r="B154" s="301" t="s">
        <v>947</v>
      </c>
      <c r="C154" s="553">
        <v>44299</v>
      </c>
      <c r="D154" s="574" t="s">
        <v>4696</v>
      </c>
      <c r="E154" s="574" t="s">
        <v>4725</v>
      </c>
      <c r="F154" s="584">
        <v>1</v>
      </c>
      <c r="G154" s="574">
        <v>5010301000</v>
      </c>
      <c r="H154" t="s">
        <v>2028</v>
      </c>
      <c r="I154" t="s">
        <v>555</v>
      </c>
      <c r="J154" t="s">
        <v>765</v>
      </c>
      <c r="K154" t="s">
        <v>4669</v>
      </c>
      <c r="L154" s="571">
        <v>6894.24</v>
      </c>
      <c r="M154" t="str">
        <f t="shared" si="2"/>
        <v>5010301000</v>
      </c>
      <c r="O154" t="s">
        <v>968</v>
      </c>
      <c r="P154" t="s">
        <v>4645</v>
      </c>
      <c r="Q154" t="s">
        <v>962</v>
      </c>
    </row>
    <row r="155" spans="1:17" hidden="1">
      <c r="A155" t="s">
        <v>942</v>
      </c>
      <c r="B155" s="301" t="s">
        <v>947</v>
      </c>
      <c r="C155" s="553">
        <v>44299</v>
      </c>
      <c r="D155" s="574" t="s">
        <v>4696</v>
      </c>
      <c r="E155" s="574" t="s">
        <v>4725</v>
      </c>
      <c r="F155" s="584">
        <v>1</v>
      </c>
      <c r="G155" s="574">
        <v>5010000000</v>
      </c>
      <c r="H155" t="s">
        <v>2029</v>
      </c>
      <c r="I155" t="s">
        <v>565</v>
      </c>
      <c r="J155" t="s">
        <v>765</v>
      </c>
      <c r="K155" t="s">
        <v>4669</v>
      </c>
      <c r="L155" s="571">
        <v>200</v>
      </c>
      <c r="M155" t="str">
        <f t="shared" si="2"/>
        <v>5010302001</v>
      </c>
      <c r="O155" t="s">
        <v>968</v>
      </c>
      <c r="P155" t="s">
        <v>4645</v>
      </c>
      <c r="Q155" t="s">
        <v>960</v>
      </c>
    </row>
    <row r="156" spans="1:17" hidden="1">
      <c r="A156" t="s">
        <v>942</v>
      </c>
      <c r="B156" s="301" t="s">
        <v>947</v>
      </c>
      <c r="C156" s="553">
        <v>44299</v>
      </c>
      <c r="D156" s="574" t="s">
        <v>4696</v>
      </c>
      <c r="E156" s="574" t="s">
        <v>4725</v>
      </c>
      <c r="F156" s="584">
        <v>1</v>
      </c>
      <c r="G156" s="574">
        <v>5010000000</v>
      </c>
      <c r="H156" t="s">
        <v>2030</v>
      </c>
      <c r="I156" t="s">
        <v>678</v>
      </c>
      <c r="J156" t="s">
        <v>765</v>
      </c>
      <c r="K156" t="s">
        <v>4669</v>
      </c>
      <c r="L156" s="571">
        <v>861.79</v>
      </c>
      <c r="M156" t="str">
        <f t="shared" si="2"/>
        <v>5010303001</v>
      </c>
      <c r="O156" t="s">
        <v>968</v>
      </c>
      <c r="P156" t="s">
        <v>4645</v>
      </c>
      <c r="Q156" t="s">
        <v>960</v>
      </c>
    </row>
    <row r="157" spans="1:17" hidden="1">
      <c r="A157" t="s">
        <v>942</v>
      </c>
      <c r="B157" s="301" t="s">
        <v>947</v>
      </c>
      <c r="C157" s="553">
        <v>44299</v>
      </c>
      <c r="D157" s="574" t="s">
        <v>4696</v>
      </c>
      <c r="E157" s="574" t="s">
        <v>4725</v>
      </c>
      <c r="F157" s="584">
        <v>1</v>
      </c>
      <c r="G157" s="574">
        <v>5010000000</v>
      </c>
      <c r="H157" t="s">
        <v>2031</v>
      </c>
      <c r="I157" t="s">
        <v>555</v>
      </c>
      <c r="J157" t="s">
        <v>765</v>
      </c>
      <c r="K157" t="s">
        <v>4669</v>
      </c>
      <c r="L157" s="571">
        <v>200</v>
      </c>
      <c r="M157" t="str">
        <f t="shared" si="2"/>
        <v>5010304001</v>
      </c>
      <c r="O157" t="s">
        <v>968</v>
      </c>
      <c r="P157" t="s">
        <v>4645</v>
      </c>
      <c r="Q157" t="s">
        <v>960</v>
      </c>
    </row>
    <row r="158" spans="1:17" hidden="1">
      <c r="A158" t="s">
        <v>942</v>
      </c>
      <c r="B158" s="301" t="s">
        <v>947</v>
      </c>
      <c r="C158" s="553">
        <v>44299</v>
      </c>
      <c r="D158" s="574" t="s">
        <v>4696</v>
      </c>
      <c r="E158" s="574" t="s">
        <v>4725</v>
      </c>
      <c r="F158" s="584">
        <v>2</v>
      </c>
      <c r="G158" s="574">
        <v>5010000000</v>
      </c>
      <c r="H158" t="s">
        <v>2026</v>
      </c>
      <c r="I158" t="s">
        <v>565</v>
      </c>
      <c r="J158" t="s">
        <v>765</v>
      </c>
      <c r="K158" t="s">
        <v>4669</v>
      </c>
      <c r="L158" s="571">
        <v>68415</v>
      </c>
      <c r="M158" t="str">
        <f t="shared" si="2"/>
        <v>5010101001</v>
      </c>
      <c r="O158" t="s">
        <v>968</v>
      </c>
      <c r="P158" t="s">
        <v>4645</v>
      </c>
      <c r="Q158" t="s">
        <v>964</v>
      </c>
    </row>
    <row r="159" spans="1:17" hidden="1">
      <c r="A159" t="s">
        <v>942</v>
      </c>
      <c r="B159" s="301" t="s">
        <v>947</v>
      </c>
      <c r="C159" s="553">
        <v>44299</v>
      </c>
      <c r="D159" s="574" t="s">
        <v>4696</v>
      </c>
      <c r="E159" s="574" t="s">
        <v>4725</v>
      </c>
      <c r="F159" s="584">
        <v>2</v>
      </c>
      <c r="G159" s="574">
        <v>5010000000</v>
      </c>
      <c r="H159" t="s">
        <v>2027</v>
      </c>
      <c r="I159" t="s">
        <v>678</v>
      </c>
      <c r="J159" t="s">
        <v>765</v>
      </c>
      <c r="K159" t="s">
        <v>4669</v>
      </c>
      <c r="L159" s="571">
        <v>2000</v>
      </c>
      <c r="M159" t="str">
        <f t="shared" si="2"/>
        <v>5010201001</v>
      </c>
      <c r="O159" t="s">
        <v>968</v>
      </c>
      <c r="P159" t="s">
        <v>4645</v>
      </c>
      <c r="Q159" t="s">
        <v>964</v>
      </c>
    </row>
    <row r="160" spans="1:17" hidden="1">
      <c r="A160" t="s">
        <v>942</v>
      </c>
      <c r="B160" s="301" t="s">
        <v>947</v>
      </c>
      <c r="C160" s="553">
        <v>44299</v>
      </c>
      <c r="D160" s="574" t="s">
        <v>4696</v>
      </c>
      <c r="E160" s="574" t="s">
        <v>4725</v>
      </c>
      <c r="F160" s="584">
        <v>2</v>
      </c>
      <c r="G160" s="574">
        <v>5010301000</v>
      </c>
      <c r="H160" t="s">
        <v>2028</v>
      </c>
      <c r="I160" t="s">
        <v>555</v>
      </c>
      <c r="J160" t="s">
        <v>765</v>
      </c>
      <c r="K160" t="s">
        <v>4669</v>
      </c>
      <c r="L160" s="571">
        <v>8209.7999999999993</v>
      </c>
      <c r="M160" t="str">
        <f t="shared" si="2"/>
        <v>5010301000</v>
      </c>
      <c r="O160" t="s">
        <v>968</v>
      </c>
      <c r="P160" t="s">
        <v>4645</v>
      </c>
      <c r="Q160" t="s">
        <v>966</v>
      </c>
    </row>
    <row r="161" spans="1:17" hidden="1">
      <c r="A161" t="s">
        <v>942</v>
      </c>
      <c r="B161" s="301" t="s">
        <v>947</v>
      </c>
      <c r="C161" s="553">
        <v>44299</v>
      </c>
      <c r="D161" s="574" t="s">
        <v>4696</v>
      </c>
      <c r="E161" s="574" t="s">
        <v>4725</v>
      </c>
      <c r="F161" s="584">
        <v>2</v>
      </c>
      <c r="G161" s="574">
        <v>5010000000</v>
      </c>
      <c r="H161" t="s">
        <v>2029</v>
      </c>
      <c r="I161" t="s">
        <v>565</v>
      </c>
      <c r="J161" t="s">
        <v>765</v>
      </c>
      <c r="K161" t="s">
        <v>4669</v>
      </c>
      <c r="L161" s="571">
        <v>100</v>
      </c>
      <c r="M161" t="str">
        <f t="shared" si="2"/>
        <v>5010302001</v>
      </c>
      <c r="O161" t="s">
        <v>968</v>
      </c>
      <c r="P161" t="s">
        <v>4645</v>
      </c>
      <c r="Q161" t="s">
        <v>964</v>
      </c>
    </row>
    <row r="162" spans="1:17" hidden="1">
      <c r="A162" t="s">
        <v>942</v>
      </c>
      <c r="B162" s="301" t="s">
        <v>947</v>
      </c>
      <c r="C162" s="553">
        <v>44299</v>
      </c>
      <c r="D162" s="574" t="s">
        <v>4696</v>
      </c>
      <c r="E162" s="574" t="s">
        <v>4725</v>
      </c>
      <c r="F162" s="584">
        <v>2</v>
      </c>
      <c r="G162" s="574">
        <v>5010000000</v>
      </c>
      <c r="H162" t="s">
        <v>2030</v>
      </c>
      <c r="I162" t="s">
        <v>678</v>
      </c>
      <c r="J162" t="s">
        <v>765</v>
      </c>
      <c r="K162" t="s">
        <v>4669</v>
      </c>
      <c r="L162" s="571">
        <v>900</v>
      </c>
      <c r="M162" t="str">
        <f t="shared" si="2"/>
        <v>5010303001</v>
      </c>
      <c r="O162" t="s">
        <v>968</v>
      </c>
      <c r="P162" t="s">
        <v>4645</v>
      </c>
      <c r="Q162" t="s">
        <v>964</v>
      </c>
    </row>
    <row r="163" spans="1:17" hidden="1">
      <c r="A163" t="s">
        <v>942</v>
      </c>
      <c r="B163" s="301" t="s">
        <v>947</v>
      </c>
      <c r="C163" s="553">
        <v>44299</v>
      </c>
      <c r="D163" s="574" t="s">
        <v>4696</v>
      </c>
      <c r="E163" s="574" t="s">
        <v>4725</v>
      </c>
      <c r="F163" s="584">
        <v>2</v>
      </c>
      <c r="G163" s="574">
        <v>5010000000</v>
      </c>
      <c r="H163" t="s">
        <v>2031</v>
      </c>
      <c r="I163" t="s">
        <v>555</v>
      </c>
      <c r="J163" t="s">
        <v>765</v>
      </c>
      <c r="K163" t="s">
        <v>4669</v>
      </c>
      <c r="L163" s="571">
        <v>100</v>
      </c>
      <c r="M163" t="str">
        <f t="shared" si="2"/>
        <v>5010304001</v>
      </c>
      <c r="O163" t="s">
        <v>965</v>
      </c>
      <c r="P163" t="s">
        <v>4645</v>
      </c>
      <c r="Q163" t="s">
        <v>964</v>
      </c>
    </row>
    <row r="164" spans="1:17" hidden="1">
      <c r="A164" t="s">
        <v>942</v>
      </c>
      <c r="B164" s="301" t="s">
        <v>947</v>
      </c>
      <c r="C164" s="553">
        <v>44299</v>
      </c>
      <c r="D164" s="574" t="s">
        <v>4696</v>
      </c>
      <c r="E164" s="574" t="s">
        <v>4725</v>
      </c>
      <c r="F164" s="584">
        <v>3</v>
      </c>
      <c r="G164" s="574">
        <v>5010000000</v>
      </c>
      <c r="H164" t="s">
        <v>2026</v>
      </c>
      <c r="I164" t="s">
        <v>633</v>
      </c>
      <c r="J164" t="s">
        <v>765</v>
      </c>
      <c r="K164" t="s">
        <v>4669</v>
      </c>
      <c r="L164" s="571">
        <v>81329</v>
      </c>
      <c r="M164" t="str">
        <f t="shared" si="2"/>
        <v>5010101001</v>
      </c>
      <c r="O164" t="s">
        <v>965</v>
      </c>
      <c r="P164" t="s">
        <v>4645</v>
      </c>
      <c r="Q164" t="s">
        <v>967</v>
      </c>
    </row>
    <row r="165" spans="1:17" hidden="1">
      <c r="A165" t="s">
        <v>942</v>
      </c>
      <c r="B165" s="301" t="s">
        <v>947</v>
      </c>
      <c r="C165" s="553">
        <v>44299</v>
      </c>
      <c r="D165" s="574" t="s">
        <v>4696</v>
      </c>
      <c r="E165" s="574" t="s">
        <v>4725</v>
      </c>
      <c r="F165" s="584">
        <v>3</v>
      </c>
      <c r="G165" s="574">
        <v>5010000000</v>
      </c>
      <c r="H165" t="s">
        <v>2027</v>
      </c>
      <c r="I165" t="s">
        <v>678</v>
      </c>
      <c r="J165" t="s">
        <v>765</v>
      </c>
      <c r="K165" t="s">
        <v>4669</v>
      </c>
      <c r="L165" s="571">
        <v>6000</v>
      </c>
      <c r="M165" t="str">
        <f t="shared" si="2"/>
        <v>5010201001</v>
      </c>
      <c r="O165" t="s">
        <v>965</v>
      </c>
      <c r="P165" t="s">
        <v>4645</v>
      </c>
      <c r="Q165" t="s">
        <v>967</v>
      </c>
    </row>
    <row r="166" spans="1:17" hidden="1">
      <c r="A166" t="s">
        <v>942</v>
      </c>
      <c r="B166" s="301" t="s">
        <v>947</v>
      </c>
      <c r="C166" s="553">
        <v>44299</v>
      </c>
      <c r="D166" s="574" t="s">
        <v>4696</v>
      </c>
      <c r="E166" s="574" t="s">
        <v>4725</v>
      </c>
      <c r="F166" s="584">
        <v>3</v>
      </c>
      <c r="G166" s="574">
        <v>5010301000</v>
      </c>
      <c r="H166" t="s">
        <v>2028</v>
      </c>
      <c r="I166" t="s">
        <v>672</v>
      </c>
      <c r="J166" t="s">
        <v>765</v>
      </c>
      <c r="K166" t="s">
        <v>4669</v>
      </c>
      <c r="L166" s="571">
        <v>9759.48</v>
      </c>
      <c r="M166" t="str">
        <f t="shared" si="2"/>
        <v>5010301000</v>
      </c>
      <c r="O166" t="s">
        <v>965</v>
      </c>
      <c r="P166" t="s">
        <v>4645</v>
      </c>
      <c r="Q166" t="s">
        <v>969</v>
      </c>
    </row>
    <row r="167" spans="1:17" hidden="1">
      <c r="A167" t="s">
        <v>942</v>
      </c>
      <c r="B167" s="301" t="s">
        <v>947</v>
      </c>
      <c r="C167" s="553">
        <v>44299</v>
      </c>
      <c r="D167" s="574" t="s">
        <v>4696</v>
      </c>
      <c r="E167" s="574" t="s">
        <v>4725</v>
      </c>
      <c r="F167" s="584">
        <v>3</v>
      </c>
      <c r="G167" s="574">
        <v>5010000000</v>
      </c>
      <c r="H167" t="s">
        <v>2029</v>
      </c>
      <c r="I167" t="s">
        <v>555</v>
      </c>
      <c r="J167" t="s">
        <v>765</v>
      </c>
      <c r="K167" t="s">
        <v>4669</v>
      </c>
      <c r="L167" s="571">
        <v>300</v>
      </c>
      <c r="M167" t="str">
        <f t="shared" si="2"/>
        <v>5010302001</v>
      </c>
      <c r="O167" t="s">
        <v>965</v>
      </c>
      <c r="P167" t="s">
        <v>4645</v>
      </c>
      <c r="Q167" t="s">
        <v>967</v>
      </c>
    </row>
    <row r="168" spans="1:17" hidden="1">
      <c r="A168" t="s">
        <v>942</v>
      </c>
      <c r="B168" s="301" t="s">
        <v>947</v>
      </c>
      <c r="C168" s="553">
        <v>44299</v>
      </c>
      <c r="D168" s="574" t="s">
        <v>4696</v>
      </c>
      <c r="E168" s="574" t="s">
        <v>4725</v>
      </c>
      <c r="F168" s="584">
        <v>3</v>
      </c>
      <c r="G168" s="574">
        <v>5010000000</v>
      </c>
      <c r="H168" t="s">
        <v>2030</v>
      </c>
      <c r="I168" t="s">
        <v>633</v>
      </c>
      <c r="J168" t="s">
        <v>765</v>
      </c>
      <c r="K168" t="s">
        <v>4669</v>
      </c>
      <c r="L168" s="571">
        <v>1219.95</v>
      </c>
      <c r="M168" t="str">
        <f t="shared" si="2"/>
        <v>5010303001</v>
      </c>
      <c r="O168" t="s">
        <v>965</v>
      </c>
      <c r="P168" t="s">
        <v>4645</v>
      </c>
      <c r="Q168" t="s">
        <v>967</v>
      </c>
    </row>
    <row r="169" spans="1:17" hidden="1">
      <c r="A169" t="s">
        <v>942</v>
      </c>
      <c r="B169" s="301" t="s">
        <v>947</v>
      </c>
      <c r="C169" s="553">
        <v>44299</v>
      </c>
      <c r="D169" s="574" t="s">
        <v>4696</v>
      </c>
      <c r="E169" s="574" t="s">
        <v>4725</v>
      </c>
      <c r="F169" s="584">
        <v>3</v>
      </c>
      <c r="G169" s="574">
        <v>5010000000</v>
      </c>
      <c r="H169" t="s">
        <v>2031</v>
      </c>
      <c r="I169" t="s">
        <v>678</v>
      </c>
      <c r="J169" t="s">
        <v>765</v>
      </c>
      <c r="K169" t="s">
        <v>4669</v>
      </c>
      <c r="L169" s="571">
        <v>300</v>
      </c>
      <c r="M169" t="str">
        <f t="shared" si="2"/>
        <v>5010304001</v>
      </c>
      <c r="O169" t="s">
        <v>965</v>
      </c>
      <c r="P169" t="s">
        <v>4645</v>
      </c>
      <c r="Q169" t="s">
        <v>967</v>
      </c>
    </row>
    <row r="170" spans="1:17" hidden="1">
      <c r="A170" t="s">
        <v>942</v>
      </c>
      <c r="B170" s="301" t="s">
        <v>947</v>
      </c>
      <c r="C170" s="553">
        <v>44299</v>
      </c>
      <c r="D170" s="574" t="s">
        <v>4696</v>
      </c>
      <c r="E170" s="574" t="s">
        <v>4725</v>
      </c>
      <c r="F170" s="584">
        <v>4</v>
      </c>
      <c r="G170" s="574">
        <v>5010000000</v>
      </c>
      <c r="H170" t="s">
        <v>2026</v>
      </c>
      <c r="I170" t="s">
        <v>672</v>
      </c>
      <c r="J170" t="s">
        <v>765</v>
      </c>
      <c r="K170" t="s">
        <v>4669</v>
      </c>
      <c r="L170" s="571">
        <v>78017</v>
      </c>
      <c r="M170" t="str">
        <f t="shared" si="2"/>
        <v>5010101001</v>
      </c>
      <c r="O170" t="s">
        <v>965</v>
      </c>
      <c r="P170" t="s">
        <v>4645</v>
      </c>
      <c r="Q170" t="s">
        <v>970</v>
      </c>
    </row>
    <row r="171" spans="1:17" hidden="1">
      <c r="A171" t="s">
        <v>942</v>
      </c>
      <c r="B171" s="301" t="s">
        <v>947</v>
      </c>
      <c r="C171" s="553">
        <v>44299</v>
      </c>
      <c r="D171" s="574" t="s">
        <v>4696</v>
      </c>
      <c r="E171" s="574" t="s">
        <v>4725</v>
      </c>
      <c r="F171" s="584">
        <v>4</v>
      </c>
      <c r="G171" s="574">
        <v>5010000000</v>
      </c>
      <c r="H171" t="s">
        <v>2027</v>
      </c>
      <c r="I171" t="s">
        <v>555</v>
      </c>
      <c r="J171" t="s">
        <v>765</v>
      </c>
      <c r="K171" t="s">
        <v>4669</v>
      </c>
      <c r="L171" s="571">
        <v>4000</v>
      </c>
      <c r="M171" t="str">
        <f t="shared" si="2"/>
        <v>5010201001</v>
      </c>
      <c r="O171" t="s">
        <v>965</v>
      </c>
      <c r="P171" t="s">
        <v>4645</v>
      </c>
      <c r="Q171" t="s">
        <v>970</v>
      </c>
    </row>
    <row r="172" spans="1:17" hidden="1">
      <c r="A172" t="s">
        <v>942</v>
      </c>
      <c r="B172" s="301" t="s">
        <v>947</v>
      </c>
      <c r="C172" s="553">
        <v>44299</v>
      </c>
      <c r="D172" s="574" t="s">
        <v>4696</v>
      </c>
      <c r="E172" s="574" t="s">
        <v>4725</v>
      </c>
      <c r="F172" s="584">
        <v>4</v>
      </c>
      <c r="G172" s="574">
        <v>5010301000</v>
      </c>
      <c r="H172" t="s">
        <v>2028</v>
      </c>
      <c r="I172" t="s">
        <v>633</v>
      </c>
      <c r="J172" t="s">
        <v>765</v>
      </c>
      <c r="K172" t="s">
        <v>4669</v>
      </c>
      <c r="L172" s="571">
        <v>9362.0400000000009</v>
      </c>
      <c r="M172" t="str">
        <f t="shared" si="2"/>
        <v>5010301000</v>
      </c>
      <c r="O172" t="s">
        <v>965</v>
      </c>
      <c r="P172" t="s">
        <v>4645</v>
      </c>
      <c r="Q172" t="s">
        <v>972</v>
      </c>
    </row>
    <row r="173" spans="1:17" hidden="1">
      <c r="A173" t="s">
        <v>942</v>
      </c>
      <c r="B173" s="301" t="s">
        <v>947</v>
      </c>
      <c r="C173" s="553">
        <v>44299</v>
      </c>
      <c r="D173" s="574" t="s">
        <v>4696</v>
      </c>
      <c r="E173" s="574" t="s">
        <v>4725</v>
      </c>
      <c r="F173" s="584">
        <v>4</v>
      </c>
      <c r="G173" s="574">
        <v>5010000000</v>
      </c>
      <c r="H173" t="s">
        <v>2029</v>
      </c>
      <c r="I173" t="s">
        <v>678</v>
      </c>
      <c r="J173" t="s">
        <v>765</v>
      </c>
      <c r="K173" t="s">
        <v>4669</v>
      </c>
      <c r="L173" s="571">
        <v>200</v>
      </c>
      <c r="M173" t="str">
        <f t="shared" si="2"/>
        <v>5010302001</v>
      </c>
      <c r="O173" t="s">
        <v>965</v>
      </c>
      <c r="P173" t="s">
        <v>4645</v>
      </c>
      <c r="Q173" t="s">
        <v>970</v>
      </c>
    </row>
    <row r="174" spans="1:17" hidden="1">
      <c r="A174" t="s">
        <v>942</v>
      </c>
      <c r="B174" s="301" t="s">
        <v>947</v>
      </c>
      <c r="C174" s="553">
        <v>44299</v>
      </c>
      <c r="D174" s="574" t="s">
        <v>4696</v>
      </c>
      <c r="E174" s="574" t="s">
        <v>4725</v>
      </c>
      <c r="F174" s="584">
        <v>4</v>
      </c>
      <c r="G174" s="574">
        <v>5010000000</v>
      </c>
      <c r="H174" t="s">
        <v>2030</v>
      </c>
      <c r="I174" t="s">
        <v>672</v>
      </c>
      <c r="J174" t="s">
        <v>765</v>
      </c>
      <c r="K174" t="s">
        <v>4669</v>
      </c>
      <c r="L174" s="571">
        <v>1170.26</v>
      </c>
      <c r="M174" t="str">
        <f t="shared" si="2"/>
        <v>5010303001</v>
      </c>
      <c r="O174" t="s">
        <v>965</v>
      </c>
      <c r="P174" t="s">
        <v>4645</v>
      </c>
      <c r="Q174" t="s">
        <v>970</v>
      </c>
    </row>
    <row r="175" spans="1:17" hidden="1">
      <c r="A175" t="s">
        <v>942</v>
      </c>
      <c r="B175" s="301" t="s">
        <v>947</v>
      </c>
      <c r="C175" s="553">
        <v>44299</v>
      </c>
      <c r="D175" s="574" t="s">
        <v>4696</v>
      </c>
      <c r="E175" s="574" t="s">
        <v>4725</v>
      </c>
      <c r="F175" s="584">
        <v>4</v>
      </c>
      <c r="G175" s="574">
        <v>5010000000</v>
      </c>
      <c r="H175" t="s">
        <v>2031</v>
      </c>
      <c r="I175" t="s">
        <v>555</v>
      </c>
      <c r="J175" t="s">
        <v>765</v>
      </c>
      <c r="K175" t="s">
        <v>4669</v>
      </c>
      <c r="L175" s="571">
        <v>200</v>
      </c>
      <c r="M175" t="str">
        <f t="shared" si="2"/>
        <v>5010304001</v>
      </c>
      <c r="O175" t="s">
        <v>965</v>
      </c>
      <c r="P175" t="s">
        <v>4645</v>
      </c>
      <c r="Q175" t="s">
        <v>970</v>
      </c>
    </row>
    <row r="176" spans="1:17" hidden="1">
      <c r="A176" t="s">
        <v>942</v>
      </c>
      <c r="B176" s="301" t="s">
        <v>947</v>
      </c>
      <c r="C176" s="553">
        <v>44299</v>
      </c>
      <c r="D176" s="574" t="s">
        <v>4697</v>
      </c>
      <c r="E176" s="574" t="s">
        <v>4726</v>
      </c>
      <c r="F176" s="584">
        <v>13</v>
      </c>
      <c r="G176" s="574">
        <v>5010102000</v>
      </c>
      <c r="H176" t="s">
        <v>2036</v>
      </c>
      <c r="I176" t="s">
        <v>633</v>
      </c>
      <c r="J176" t="s">
        <v>863</v>
      </c>
      <c r="K176" t="s">
        <v>4670</v>
      </c>
      <c r="L176" s="571">
        <v>43681</v>
      </c>
      <c r="M176" t="str">
        <f t="shared" si="2"/>
        <v>5010102000</v>
      </c>
      <c r="O176" t="s">
        <v>965</v>
      </c>
      <c r="P176" t="s">
        <v>4646</v>
      </c>
      <c r="Q176" t="s">
        <v>999</v>
      </c>
    </row>
    <row r="177" spans="1:17" hidden="1">
      <c r="A177" t="s">
        <v>942</v>
      </c>
      <c r="B177" s="301" t="s">
        <v>947</v>
      </c>
      <c r="C177" s="553">
        <v>44299</v>
      </c>
      <c r="D177" s="574" t="s">
        <v>4697</v>
      </c>
      <c r="E177" s="574" t="s">
        <v>4726</v>
      </c>
      <c r="F177" s="584">
        <v>13</v>
      </c>
      <c r="G177" s="574">
        <v>5010102000</v>
      </c>
      <c r="H177" t="s">
        <v>2027</v>
      </c>
      <c r="I177" t="s">
        <v>678</v>
      </c>
      <c r="J177" t="s">
        <v>863</v>
      </c>
      <c r="K177" t="s">
        <v>4670</v>
      </c>
      <c r="L177" s="571">
        <v>2000</v>
      </c>
      <c r="M177" t="str">
        <f t="shared" si="2"/>
        <v>5010201001</v>
      </c>
      <c r="O177" t="s">
        <v>965</v>
      </c>
      <c r="P177" t="s">
        <v>4646</v>
      </c>
      <c r="Q177" t="s">
        <v>999</v>
      </c>
    </row>
    <row r="178" spans="1:17" hidden="1">
      <c r="A178" t="s">
        <v>942</v>
      </c>
      <c r="B178" s="301" t="s">
        <v>947</v>
      </c>
      <c r="C178" s="553">
        <v>44299</v>
      </c>
      <c r="D178" s="574" t="s">
        <v>4697</v>
      </c>
      <c r="E178" s="574" t="s">
        <v>4726</v>
      </c>
      <c r="F178" s="584">
        <v>13</v>
      </c>
      <c r="G178" s="574">
        <v>5010102000</v>
      </c>
      <c r="H178" t="s">
        <v>2028</v>
      </c>
      <c r="I178" t="s">
        <v>672</v>
      </c>
      <c r="J178" t="s">
        <v>863</v>
      </c>
      <c r="K178" t="s">
        <v>4670</v>
      </c>
      <c r="L178" s="571">
        <v>5241.72</v>
      </c>
      <c r="M178" t="str">
        <f t="shared" si="2"/>
        <v>5010301000</v>
      </c>
      <c r="O178" t="s">
        <v>965</v>
      </c>
      <c r="P178" t="s">
        <v>4646</v>
      </c>
      <c r="Q178" t="s">
        <v>999</v>
      </c>
    </row>
    <row r="179" spans="1:17" hidden="1">
      <c r="A179" t="s">
        <v>942</v>
      </c>
      <c r="B179" s="301" t="s">
        <v>947</v>
      </c>
      <c r="C179" s="553">
        <v>44299</v>
      </c>
      <c r="D179" s="574" t="s">
        <v>4697</v>
      </c>
      <c r="E179" s="574" t="s">
        <v>4726</v>
      </c>
      <c r="F179" s="584">
        <v>13</v>
      </c>
      <c r="G179" s="574">
        <v>5010102000</v>
      </c>
      <c r="H179" t="s">
        <v>2029</v>
      </c>
      <c r="I179" t="s">
        <v>555</v>
      </c>
      <c r="J179" t="s">
        <v>863</v>
      </c>
      <c r="K179" t="s">
        <v>4670</v>
      </c>
      <c r="L179" s="571">
        <v>100</v>
      </c>
      <c r="M179" t="str">
        <f t="shared" si="2"/>
        <v>5010302001</v>
      </c>
      <c r="O179" t="s">
        <v>965</v>
      </c>
      <c r="P179" t="s">
        <v>4646</v>
      </c>
      <c r="Q179" t="s">
        <v>999</v>
      </c>
    </row>
    <row r="180" spans="1:17" hidden="1">
      <c r="A180" t="s">
        <v>942</v>
      </c>
      <c r="B180" s="301" t="s">
        <v>947</v>
      </c>
      <c r="C180" s="553">
        <v>44299</v>
      </c>
      <c r="D180" s="574" t="s">
        <v>4697</v>
      </c>
      <c r="E180" s="574" t="s">
        <v>4726</v>
      </c>
      <c r="F180" s="584">
        <v>13</v>
      </c>
      <c r="G180" s="574">
        <v>5010102000</v>
      </c>
      <c r="H180" t="s">
        <v>2030</v>
      </c>
      <c r="I180" t="s">
        <v>633</v>
      </c>
      <c r="J180" t="s">
        <v>863</v>
      </c>
      <c r="K180" t="s">
        <v>4670</v>
      </c>
      <c r="L180" s="571">
        <v>655.22</v>
      </c>
      <c r="M180" t="str">
        <f t="shared" si="2"/>
        <v>5010303001</v>
      </c>
      <c r="O180" t="s">
        <v>965</v>
      </c>
      <c r="P180" t="s">
        <v>4646</v>
      </c>
      <c r="Q180" t="s">
        <v>999</v>
      </c>
    </row>
    <row r="181" spans="1:17" hidden="1">
      <c r="A181" t="s">
        <v>942</v>
      </c>
      <c r="B181" s="301" t="s">
        <v>947</v>
      </c>
      <c r="C181" s="553">
        <v>44299</v>
      </c>
      <c r="D181" s="574" t="s">
        <v>4697</v>
      </c>
      <c r="E181" s="574" t="s">
        <v>4726</v>
      </c>
      <c r="F181" s="584">
        <v>13</v>
      </c>
      <c r="G181" s="574">
        <v>5010102000</v>
      </c>
      <c r="H181" t="s">
        <v>2031</v>
      </c>
      <c r="I181" t="s">
        <v>678</v>
      </c>
      <c r="J181" t="s">
        <v>863</v>
      </c>
      <c r="K181" t="s">
        <v>4670</v>
      </c>
      <c r="L181" s="571">
        <v>100</v>
      </c>
      <c r="M181" t="str">
        <f t="shared" si="2"/>
        <v>5010304001</v>
      </c>
      <c r="O181" t="s">
        <v>965</v>
      </c>
      <c r="P181" t="s">
        <v>4646</v>
      </c>
      <c r="Q181" t="s">
        <v>999</v>
      </c>
    </row>
    <row r="182" spans="1:17" hidden="1">
      <c r="A182" t="s">
        <v>942</v>
      </c>
      <c r="B182" s="301" t="s">
        <v>947</v>
      </c>
      <c r="C182" s="553">
        <v>44299</v>
      </c>
      <c r="D182" s="574" t="s">
        <v>4698</v>
      </c>
      <c r="E182" s="574" t="s">
        <v>4727</v>
      </c>
      <c r="F182" s="584">
        <v>13</v>
      </c>
      <c r="G182" s="574">
        <v>5010102000</v>
      </c>
      <c r="H182" t="s">
        <v>2036</v>
      </c>
      <c r="I182" t="s">
        <v>672</v>
      </c>
      <c r="J182" t="s">
        <v>789</v>
      </c>
      <c r="K182" t="s">
        <v>4670</v>
      </c>
      <c r="L182" s="571">
        <v>77256</v>
      </c>
      <c r="M182" t="str">
        <f t="shared" si="2"/>
        <v>5010102000</v>
      </c>
      <c r="O182" t="s">
        <v>965</v>
      </c>
      <c r="P182" t="s">
        <v>4647</v>
      </c>
      <c r="Q182" t="s">
        <v>999</v>
      </c>
    </row>
    <row r="183" spans="1:17" hidden="1">
      <c r="A183" t="s">
        <v>942</v>
      </c>
      <c r="B183" s="301" t="s">
        <v>947</v>
      </c>
      <c r="C183" s="553">
        <v>44299</v>
      </c>
      <c r="D183" s="574" t="s">
        <v>4698</v>
      </c>
      <c r="E183" s="574" t="s">
        <v>4727</v>
      </c>
      <c r="F183" s="584">
        <v>13</v>
      </c>
      <c r="G183" s="574">
        <v>5010102000</v>
      </c>
      <c r="H183" t="s">
        <v>2027</v>
      </c>
      <c r="I183" t="s">
        <v>565</v>
      </c>
      <c r="J183" t="s">
        <v>789</v>
      </c>
      <c r="K183" t="s">
        <v>4670</v>
      </c>
      <c r="L183" s="571">
        <v>4000</v>
      </c>
      <c r="M183" t="str">
        <f t="shared" si="2"/>
        <v>5010201001</v>
      </c>
      <c r="O183" t="s">
        <v>961</v>
      </c>
      <c r="P183" t="s">
        <v>4647</v>
      </c>
      <c r="Q183" t="s">
        <v>999</v>
      </c>
    </row>
    <row r="184" spans="1:17" hidden="1">
      <c r="A184" t="s">
        <v>942</v>
      </c>
      <c r="B184" s="301" t="s">
        <v>947</v>
      </c>
      <c r="C184" s="553">
        <v>44299</v>
      </c>
      <c r="D184" s="574" t="s">
        <v>4698</v>
      </c>
      <c r="E184" s="574" t="s">
        <v>4727</v>
      </c>
      <c r="F184" s="584">
        <v>13</v>
      </c>
      <c r="G184" s="574">
        <v>5010102000</v>
      </c>
      <c r="H184" t="s">
        <v>2028</v>
      </c>
      <c r="I184" t="s">
        <v>642</v>
      </c>
      <c r="J184" t="s">
        <v>789</v>
      </c>
      <c r="K184" t="s">
        <v>4670</v>
      </c>
      <c r="L184" s="571">
        <v>9270.7199999999993</v>
      </c>
      <c r="M184" t="str">
        <f t="shared" si="2"/>
        <v>5010301000</v>
      </c>
      <c r="O184" t="s">
        <v>961</v>
      </c>
      <c r="P184" t="s">
        <v>4647</v>
      </c>
      <c r="Q184" t="s">
        <v>999</v>
      </c>
    </row>
    <row r="185" spans="1:17" hidden="1">
      <c r="A185" t="s">
        <v>942</v>
      </c>
      <c r="B185" s="301" t="s">
        <v>947</v>
      </c>
      <c r="C185" s="553">
        <v>44299</v>
      </c>
      <c r="D185" s="574" t="s">
        <v>4698</v>
      </c>
      <c r="E185" s="574" t="s">
        <v>4727</v>
      </c>
      <c r="F185" s="584">
        <v>13</v>
      </c>
      <c r="G185" s="574">
        <v>5010102000</v>
      </c>
      <c r="H185" t="s">
        <v>2029</v>
      </c>
      <c r="I185" t="s">
        <v>633</v>
      </c>
      <c r="J185" t="s">
        <v>789</v>
      </c>
      <c r="K185" t="s">
        <v>4670</v>
      </c>
      <c r="L185" s="571">
        <v>200</v>
      </c>
      <c r="M185" t="str">
        <f t="shared" si="2"/>
        <v>5010302001</v>
      </c>
      <c r="O185" t="s">
        <v>961</v>
      </c>
      <c r="P185" t="s">
        <v>4647</v>
      </c>
      <c r="Q185" t="s">
        <v>999</v>
      </c>
    </row>
    <row r="186" spans="1:17" hidden="1">
      <c r="A186" t="s">
        <v>942</v>
      </c>
      <c r="B186" s="301" t="s">
        <v>947</v>
      </c>
      <c r="C186" s="553">
        <v>44299</v>
      </c>
      <c r="D186" s="574" t="s">
        <v>4698</v>
      </c>
      <c r="E186" s="574" t="s">
        <v>4727</v>
      </c>
      <c r="F186" s="584">
        <v>13</v>
      </c>
      <c r="G186" s="574">
        <v>5010102000</v>
      </c>
      <c r="H186" t="s">
        <v>2030</v>
      </c>
      <c r="I186" t="s">
        <v>693</v>
      </c>
      <c r="J186" t="s">
        <v>789</v>
      </c>
      <c r="K186" t="s">
        <v>4670</v>
      </c>
      <c r="L186" s="571">
        <v>1158.8499999999999</v>
      </c>
      <c r="M186" t="str">
        <f t="shared" si="2"/>
        <v>5010303001</v>
      </c>
      <c r="O186" t="s">
        <v>965</v>
      </c>
      <c r="P186" t="s">
        <v>4647</v>
      </c>
      <c r="Q186" t="s">
        <v>999</v>
      </c>
    </row>
    <row r="187" spans="1:17" hidden="1">
      <c r="A187" t="s">
        <v>942</v>
      </c>
      <c r="B187" s="301" t="s">
        <v>947</v>
      </c>
      <c r="C187" s="553">
        <v>44299</v>
      </c>
      <c r="D187" s="574" t="s">
        <v>4698</v>
      </c>
      <c r="E187" s="574" t="s">
        <v>4727</v>
      </c>
      <c r="F187" s="584">
        <v>13</v>
      </c>
      <c r="G187" s="574">
        <v>5010102000</v>
      </c>
      <c r="H187" t="s">
        <v>2031</v>
      </c>
      <c r="I187" t="s">
        <v>567</v>
      </c>
      <c r="J187" t="s">
        <v>789</v>
      </c>
      <c r="K187" t="s">
        <v>4670</v>
      </c>
      <c r="L187" s="571">
        <v>200</v>
      </c>
      <c r="M187" t="str">
        <f t="shared" si="2"/>
        <v>5010304001</v>
      </c>
      <c r="O187" t="s">
        <v>961</v>
      </c>
      <c r="P187" t="s">
        <v>4647</v>
      </c>
      <c r="Q187" t="s">
        <v>999</v>
      </c>
    </row>
    <row r="188" spans="1:17" hidden="1">
      <c r="A188" t="s">
        <v>942</v>
      </c>
      <c r="B188" s="301" t="s">
        <v>947</v>
      </c>
      <c r="C188" s="553">
        <v>44299</v>
      </c>
      <c r="D188" s="574" t="s">
        <v>4699</v>
      </c>
      <c r="E188" s="574" t="s">
        <v>4728</v>
      </c>
      <c r="F188" s="584">
        <v>13</v>
      </c>
      <c r="G188" s="574">
        <v>5010102000</v>
      </c>
      <c r="H188" t="s">
        <v>2036</v>
      </c>
      <c r="I188" t="s">
        <v>560</v>
      </c>
      <c r="J188" t="s">
        <v>867</v>
      </c>
      <c r="K188" t="s">
        <v>4670</v>
      </c>
      <c r="L188" s="571">
        <v>33575</v>
      </c>
      <c r="M188" t="str">
        <f t="shared" si="2"/>
        <v>5010102000</v>
      </c>
      <c r="O188" t="s">
        <v>961</v>
      </c>
      <c r="P188" t="s">
        <v>4648</v>
      </c>
      <c r="Q188" t="s">
        <v>999</v>
      </c>
    </row>
    <row r="189" spans="1:17" hidden="1">
      <c r="A189" t="s">
        <v>942</v>
      </c>
      <c r="B189" s="301" t="s">
        <v>947</v>
      </c>
      <c r="C189" s="553">
        <v>44299</v>
      </c>
      <c r="D189" s="574" t="s">
        <v>4699</v>
      </c>
      <c r="E189" s="574" t="s">
        <v>4728</v>
      </c>
      <c r="F189" s="584">
        <v>13</v>
      </c>
      <c r="G189" s="574">
        <v>5010102000</v>
      </c>
      <c r="H189" t="s">
        <v>2027</v>
      </c>
      <c r="I189" t="s">
        <v>581</v>
      </c>
      <c r="J189" t="s">
        <v>867</v>
      </c>
      <c r="K189" t="s">
        <v>4670</v>
      </c>
      <c r="L189" s="571">
        <v>2000</v>
      </c>
      <c r="M189" t="str">
        <f t="shared" si="2"/>
        <v>5010201001</v>
      </c>
      <c r="O189" t="s">
        <v>961</v>
      </c>
      <c r="P189" t="s">
        <v>4648</v>
      </c>
      <c r="Q189" t="s">
        <v>999</v>
      </c>
    </row>
    <row r="190" spans="1:17" hidden="1">
      <c r="A190" t="s">
        <v>942</v>
      </c>
      <c r="B190" s="301" t="s">
        <v>947</v>
      </c>
      <c r="C190" s="553">
        <v>44299</v>
      </c>
      <c r="D190" s="574" t="s">
        <v>4699</v>
      </c>
      <c r="E190" s="574" t="s">
        <v>4728</v>
      </c>
      <c r="F190" s="584">
        <v>13</v>
      </c>
      <c r="G190" s="574">
        <v>5010102000</v>
      </c>
      <c r="H190" t="s">
        <v>2028</v>
      </c>
      <c r="I190" t="s">
        <v>596</v>
      </c>
      <c r="J190" t="s">
        <v>867</v>
      </c>
      <c r="K190" t="s">
        <v>4670</v>
      </c>
      <c r="L190" s="571">
        <v>4029</v>
      </c>
      <c r="M190" t="str">
        <f t="shared" si="2"/>
        <v>5010301000</v>
      </c>
      <c r="O190" t="s">
        <v>961</v>
      </c>
      <c r="P190" t="s">
        <v>4648</v>
      </c>
      <c r="Q190" t="s">
        <v>999</v>
      </c>
    </row>
    <row r="191" spans="1:17" hidden="1">
      <c r="A191" t="s">
        <v>942</v>
      </c>
      <c r="B191" s="301" t="s">
        <v>947</v>
      </c>
      <c r="C191" s="553">
        <v>44299</v>
      </c>
      <c r="D191" s="574" t="s">
        <v>4699</v>
      </c>
      <c r="E191" s="574" t="s">
        <v>4728</v>
      </c>
      <c r="F191" s="584">
        <v>13</v>
      </c>
      <c r="G191" s="574">
        <v>5010102000</v>
      </c>
      <c r="H191" t="s">
        <v>2029</v>
      </c>
      <c r="I191" t="s">
        <v>598</v>
      </c>
      <c r="J191" t="s">
        <v>867</v>
      </c>
      <c r="K191" t="s">
        <v>4670</v>
      </c>
      <c r="L191" s="571">
        <v>100</v>
      </c>
      <c r="M191" t="str">
        <f t="shared" si="2"/>
        <v>5010302001</v>
      </c>
      <c r="O191" t="s">
        <v>961</v>
      </c>
      <c r="P191" t="s">
        <v>4648</v>
      </c>
      <c r="Q191" t="s">
        <v>999</v>
      </c>
    </row>
    <row r="192" spans="1:17" hidden="1">
      <c r="A192" t="s">
        <v>942</v>
      </c>
      <c r="B192" s="301" t="s">
        <v>947</v>
      </c>
      <c r="C192" s="553">
        <v>44299</v>
      </c>
      <c r="D192" s="574" t="s">
        <v>4699</v>
      </c>
      <c r="E192" s="574" t="s">
        <v>4728</v>
      </c>
      <c r="F192" s="584">
        <v>13</v>
      </c>
      <c r="G192" s="574">
        <v>5010102000</v>
      </c>
      <c r="H192" t="s">
        <v>2030</v>
      </c>
      <c r="I192" t="s">
        <v>601</v>
      </c>
      <c r="J192" t="s">
        <v>867</v>
      </c>
      <c r="K192" t="s">
        <v>4670</v>
      </c>
      <c r="L192" s="571">
        <v>503.63</v>
      </c>
      <c r="M192" t="str">
        <f t="shared" si="2"/>
        <v>5010303001</v>
      </c>
      <c r="O192" t="s">
        <v>961</v>
      </c>
      <c r="P192" t="s">
        <v>4648</v>
      </c>
      <c r="Q192" t="s">
        <v>999</v>
      </c>
    </row>
    <row r="193" spans="1:17" hidden="1">
      <c r="A193" t="s">
        <v>942</v>
      </c>
      <c r="B193" s="301" t="s">
        <v>947</v>
      </c>
      <c r="C193" s="553">
        <v>44299</v>
      </c>
      <c r="D193" s="574" t="s">
        <v>4699</v>
      </c>
      <c r="E193" s="574" t="s">
        <v>4728</v>
      </c>
      <c r="F193" s="584">
        <v>13</v>
      </c>
      <c r="G193" s="574">
        <v>5010102000</v>
      </c>
      <c r="H193" t="s">
        <v>2031</v>
      </c>
      <c r="I193" t="s">
        <v>605</v>
      </c>
      <c r="J193" t="s">
        <v>867</v>
      </c>
      <c r="K193" t="s">
        <v>4670</v>
      </c>
      <c r="L193" s="571">
        <v>100</v>
      </c>
      <c r="M193" t="str">
        <f t="shared" si="2"/>
        <v>5010304001</v>
      </c>
      <c r="O193" t="s">
        <v>961</v>
      </c>
      <c r="P193" t="s">
        <v>4648</v>
      </c>
      <c r="Q193" t="s">
        <v>999</v>
      </c>
    </row>
    <row r="194" spans="1:17" hidden="1">
      <c r="A194" t="s">
        <v>942</v>
      </c>
      <c r="B194" s="301" t="s">
        <v>947</v>
      </c>
      <c r="C194" s="553">
        <v>44299</v>
      </c>
      <c r="D194" s="574" t="s">
        <v>4700</v>
      </c>
      <c r="E194" s="574" t="s">
        <v>4729</v>
      </c>
      <c r="F194" s="584">
        <v>13</v>
      </c>
      <c r="G194" s="574">
        <v>5010102000</v>
      </c>
      <c r="H194" t="s">
        <v>2036</v>
      </c>
      <c r="I194" t="s">
        <v>603</v>
      </c>
      <c r="J194" t="s">
        <v>869</v>
      </c>
      <c r="K194" t="s">
        <v>4670</v>
      </c>
      <c r="L194" s="571">
        <v>33575</v>
      </c>
      <c r="M194" t="str">
        <f t="shared" si="2"/>
        <v>5010102000</v>
      </c>
      <c r="O194" t="s">
        <v>961</v>
      </c>
      <c r="P194" t="s">
        <v>4649</v>
      </c>
      <c r="Q194" t="s">
        <v>999</v>
      </c>
    </row>
    <row r="195" spans="1:17" hidden="1">
      <c r="A195" t="s">
        <v>942</v>
      </c>
      <c r="B195" s="301" t="s">
        <v>947</v>
      </c>
      <c r="C195" s="553">
        <v>44299</v>
      </c>
      <c r="D195" s="574" t="s">
        <v>4700</v>
      </c>
      <c r="E195" s="574" t="s">
        <v>4729</v>
      </c>
      <c r="F195" s="584">
        <v>13</v>
      </c>
      <c r="G195" s="574">
        <v>5010102000</v>
      </c>
      <c r="H195" t="s">
        <v>2027</v>
      </c>
      <c r="I195" t="s">
        <v>609</v>
      </c>
      <c r="J195" t="s">
        <v>869</v>
      </c>
      <c r="K195" t="s">
        <v>4670</v>
      </c>
      <c r="L195" s="571">
        <v>2000</v>
      </c>
      <c r="M195" t="str">
        <f t="shared" si="2"/>
        <v>5010201001</v>
      </c>
      <c r="O195" t="s">
        <v>961</v>
      </c>
      <c r="P195" t="s">
        <v>4649</v>
      </c>
      <c r="Q195" t="s">
        <v>999</v>
      </c>
    </row>
    <row r="196" spans="1:17" hidden="1">
      <c r="A196" t="s">
        <v>942</v>
      </c>
      <c r="B196" s="301" t="s">
        <v>947</v>
      </c>
      <c r="C196" s="553">
        <v>44299</v>
      </c>
      <c r="D196" s="574" t="s">
        <v>4700</v>
      </c>
      <c r="E196" s="574" t="s">
        <v>4729</v>
      </c>
      <c r="F196" s="584">
        <v>13</v>
      </c>
      <c r="G196" s="574">
        <v>5010102000</v>
      </c>
      <c r="H196" t="s">
        <v>2028</v>
      </c>
      <c r="I196" t="s">
        <v>627</v>
      </c>
      <c r="J196" t="s">
        <v>869</v>
      </c>
      <c r="K196" t="s">
        <v>4670</v>
      </c>
      <c r="L196" s="571">
        <v>4029</v>
      </c>
      <c r="M196" t="str">
        <f t="shared" si="2"/>
        <v>5010301000</v>
      </c>
      <c r="O196" t="s">
        <v>961</v>
      </c>
      <c r="P196" t="s">
        <v>4649</v>
      </c>
      <c r="Q196" t="s">
        <v>999</v>
      </c>
    </row>
    <row r="197" spans="1:17" hidden="1">
      <c r="A197" t="s">
        <v>942</v>
      </c>
      <c r="B197" s="301" t="s">
        <v>947</v>
      </c>
      <c r="C197" s="553">
        <v>44299</v>
      </c>
      <c r="D197" s="574" t="s">
        <v>4700</v>
      </c>
      <c r="E197" s="574" t="s">
        <v>4729</v>
      </c>
      <c r="F197" s="584">
        <v>13</v>
      </c>
      <c r="G197" s="574">
        <v>5010102000</v>
      </c>
      <c r="H197" t="s">
        <v>2029</v>
      </c>
      <c r="I197" t="s">
        <v>642</v>
      </c>
      <c r="J197" t="s">
        <v>869</v>
      </c>
      <c r="K197" t="s">
        <v>4670</v>
      </c>
      <c r="L197" s="571">
        <v>100</v>
      </c>
      <c r="M197" t="str">
        <f t="shared" ref="M197:M256" si="3">CONCATENATE(LEFT(H197,8),RIGHT(H197,2))</f>
        <v>5010302001</v>
      </c>
      <c r="O197" t="s">
        <v>961</v>
      </c>
      <c r="P197" t="s">
        <v>4649</v>
      </c>
      <c r="Q197" t="s">
        <v>999</v>
      </c>
    </row>
    <row r="198" spans="1:17" hidden="1">
      <c r="A198" t="s">
        <v>942</v>
      </c>
      <c r="B198" s="301" t="s">
        <v>947</v>
      </c>
      <c r="C198" s="553">
        <v>44299</v>
      </c>
      <c r="D198" s="574" t="s">
        <v>4700</v>
      </c>
      <c r="E198" s="574" t="s">
        <v>4729</v>
      </c>
      <c r="F198" s="584">
        <v>13</v>
      </c>
      <c r="G198" s="574">
        <v>5010102000</v>
      </c>
      <c r="H198" t="s">
        <v>2030</v>
      </c>
      <c r="I198" t="s">
        <v>311</v>
      </c>
      <c r="J198" t="s">
        <v>869</v>
      </c>
      <c r="K198" t="s">
        <v>4670</v>
      </c>
      <c r="L198" s="571">
        <v>503.63</v>
      </c>
      <c r="M198" t="str">
        <f t="shared" si="3"/>
        <v>5010303001</v>
      </c>
      <c r="O198" t="s">
        <v>971</v>
      </c>
      <c r="P198" t="s">
        <v>4649</v>
      </c>
      <c r="Q198" t="s">
        <v>999</v>
      </c>
    </row>
    <row r="199" spans="1:17" hidden="1">
      <c r="A199" t="s">
        <v>942</v>
      </c>
      <c r="B199" s="301" t="s">
        <v>947</v>
      </c>
      <c r="C199" s="553">
        <v>44299</v>
      </c>
      <c r="D199" s="574" t="s">
        <v>4700</v>
      </c>
      <c r="E199" s="574" t="s">
        <v>4729</v>
      </c>
      <c r="F199" s="584">
        <v>13</v>
      </c>
      <c r="G199" s="574">
        <v>5010102000</v>
      </c>
      <c r="H199" t="s">
        <v>2031</v>
      </c>
      <c r="I199" t="s">
        <v>651</v>
      </c>
      <c r="J199" t="s">
        <v>869</v>
      </c>
      <c r="K199" t="s">
        <v>4670</v>
      </c>
      <c r="L199" s="571">
        <v>100</v>
      </c>
      <c r="M199" t="str">
        <f t="shared" si="3"/>
        <v>5010304001</v>
      </c>
      <c r="O199" t="s">
        <v>968</v>
      </c>
      <c r="P199" t="s">
        <v>4649</v>
      </c>
      <c r="Q199" t="s">
        <v>999</v>
      </c>
    </row>
    <row r="200" spans="1:17" hidden="1">
      <c r="A200" t="s">
        <v>942</v>
      </c>
      <c r="B200" s="301" t="s">
        <v>947</v>
      </c>
      <c r="C200" s="553">
        <v>44299</v>
      </c>
      <c r="D200" s="574" t="s">
        <v>4701</v>
      </c>
      <c r="E200" s="574" t="s">
        <v>4730</v>
      </c>
      <c r="F200" s="584">
        <v>13</v>
      </c>
      <c r="G200" s="574">
        <v>5010102000</v>
      </c>
      <c r="H200" t="s">
        <v>2036</v>
      </c>
      <c r="I200" t="s">
        <v>662</v>
      </c>
      <c r="J200" t="s">
        <v>768</v>
      </c>
      <c r="K200" t="s">
        <v>4670</v>
      </c>
      <c r="L200" s="571">
        <v>77256</v>
      </c>
      <c r="M200" t="str">
        <f t="shared" si="3"/>
        <v>5010102000</v>
      </c>
      <c r="O200" t="s">
        <v>968</v>
      </c>
      <c r="P200" t="s">
        <v>4650</v>
      </c>
      <c r="Q200" t="s">
        <v>999</v>
      </c>
    </row>
    <row r="201" spans="1:17" hidden="1">
      <c r="A201" t="s">
        <v>942</v>
      </c>
      <c r="B201" s="301" t="s">
        <v>947</v>
      </c>
      <c r="C201" s="553">
        <v>44299</v>
      </c>
      <c r="D201" s="574" t="s">
        <v>4701</v>
      </c>
      <c r="E201" s="574" t="s">
        <v>4730</v>
      </c>
      <c r="F201" s="584">
        <v>13</v>
      </c>
      <c r="G201" s="574">
        <v>5010102000</v>
      </c>
      <c r="H201" t="s">
        <v>2027</v>
      </c>
      <c r="I201" t="s">
        <v>319</v>
      </c>
      <c r="J201" t="s">
        <v>768</v>
      </c>
      <c r="K201" t="s">
        <v>4670</v>
      </c>
      <c r="L201" s="571">
        <v>4000</v>
      </c>
      <c r="M201" t="str">
        <f t="shared" si="3"/>
        <v>5010201001</v>
      </c>
      <c r="O201" t="s">
        <v>961</v>
      </c>
      <c r="P201" t="s">
        <v>4650</v>
      </c>
      <c r="Q201" t="s">
        <v>999</v>
      </c>
    </row>
    <row r="202" spans="1:17" hidden="1">
      <c r="A202" t="s">
        <v>942</v>
      </c>
      <c r="B202" s="301" t="s">
        <v>947</v>
      </c>
      <c r="C202" s="553">
        <v>44299</v>
      </c>
      <c r="D202" s="574" t="s">
        <v>4701</v>
      </c>
      <c r="E202" s="574" t="s">
        <v>4730</v>
      </c>
      <c r="F202" s="584">
        <v>13</v>
      </c>
      <c r="G202" s="574">
        <v>5010102000</v>
      </c>
      <c r="H202" t="s">
        <v>2028</v>
      </c>
      <c r="I202" t="s">
        <v>665</v>
      </c>
      <c r="J202" t="s">
        <v>768</v>
      </c>
      <c r="K202" t="s">
        <v>4670</v>
      </c>
      <c r="L202" s="571">
        <v>9270.7199999999993</v>
      </c>
      <c r="M202" t="str">
        <f t="shared" si="3"/>
        <v>5010301000</v>
      </c>
      <c r="O202" t="s">
        <v>961</v>
      </c>
      <c r="P202" t="s">
        <v>4650</v>
      </c>
      <c r="Q202" t="s">
        <v>999</v>
      </c>
    </row>
    <row r="203" spans="1:17" hidden="1">
      <c r="A203" t="s">
        <v>942</v>
      </c>
      <c r="B203" s="301" t="s">
        <v>947</v>
      </c>
      <c r="C203" s="553">
        <v>44299</v>
      </c>
      <c r="D203" s="574" t="s">
        <v>4701</v>
      </c>
      <c r="E203" s="574" t="s">
        <v>4730</v>
      </c>
      <c r="F203" s="584">
        <v>13</v>
      </c>
      <c r="G203" s="574">
        <v>5010102000</v>
      </c>
      <c r="H203" t="s">
        <v>2029</v>
      </c>
      <c r="I203" t="s">
        <v>669</v>
      </c>
      <c r="J203" t="s">
        <v>768</v>
      </c>
      <c r="K203" t="s">
        <v>4670</v>
      </c>
      <c r="L203" s="571">
        <v>200</v>
      </c>
      <c r="M203" t="str">
        <f t="shared" si="3"/>
        <v>5010302001</v>
      </c>
      <c r="O203" t="s">
        <v>961</v>
      </c>
      <c r="P203" t="s">
        <v>4650</v>
      </c>
      <c r="Q203" t="s">
        <v>999</v>
      </c>
    </row>
    <row r="204" spans="1:17" hidden="1">
      <c r="A204" t="s">
        <v>942</v>
      </c>
      <c r="B204" s="301" t="s">
        <v>947</v>
      </c>
      <c r="C204" s="553">
        <v>44299</v>
      </c>
      <c r="D204" s="574" t="s">
        <v>4701</v>
      </c>
      <c r="E204" s="574" t="s">
        <v>4730</v>
      </c>
      <c r="F204" s="584">
        <v>13</v>
      </c>
      <c r="G204" s="574">
        <v>5010102000</v>
      </c>
      <c r="H204" t="s">
        <v>2030</v>
      </c>
      <c r="I204" t="s">
        <v>671</v>
      </c>
      <c r="J204" t="s">
        <v>768</v>
      </c>
      <c r="K204" t="s">
        <v>4670</v>
      </c>
      <c r="L204" s="571">
        <v>1158.8499999999999</v>
      </c>
      <c r="M204" t="str">
        <f t="shared" si="3"/>
        <v>5010303001</v>
      </c>
      <c r="O204" t="s">
        <v>961</v>
      </c>
      <c r="P204" t="s">
        <v>4650</v>
      </c>
      <c r="Q204" t="s">
        <v>999</v>
      </c>
    </row>
    <row r="205" spans="1:17" hidden="1">
      <c r="A205" t="s">
        <v>942</v>
      </c>
      <c r="B205" s="301" t="s">
        <v>947</v>
      </c>
      <c r="C205" s="553">
        <v>44299</v>
      </c>
      <c r="D205" s="574" t="s">
        <v>4701</v>
      </c>
      <c r="E205" s="574" t="s">
        <v>4730</v>
      </c>
      <c r="F205" s="584">
        <v>13</v>
      </c>
      <c r="G205" s="574">
        <v>5010102000</v>
      </c>
      <c r="H205" t="s">
        <v>2031</v>
      </c>
      <c r="I205" t="s">
        <v>683</v>
      </c>
      <c r="J205" t="s">
        <v>768</v>
      </c>
      <c r="K205" t="s">
        <v>4670</v>
      </c>
      <c r="L205" s="571">
        <v>200</v>
      </c>
      <c r="M205" t="str">
        <f t="shared" si="3"/>
        <v>5010304001</v>
      </c>
      <c r="O205" t="s">
        <v>961</v>
      </c>
      <c r="P205" t="s">
        <v>4650</v>
      </c>
      <c r="Q205" t="s">
        <v>999</v>
      </c>
    </row>
    <row r="206" spans="1:17" hidden="1">
      <c r="A206" t="s">
        <v>942</v>
      </c>
      <c r="B206" s="301" t="s">
        <v>947</v>
      </c>
      <c r="C206" s="553">
        <v>44299</v>
      </c>
      <c r="D206" s="574" t="s">
        <v>4702</v>
      </c>
      <c r="E206" s="574" t="s">
        <v>4731</v>
      </c>
      <c r="F206" s="584">
        <v>13</v>
      </c>
      <c r="G206" s="574">
        <v>5010102000</v>
      </c>
      <c r="H206" t="s">
        <v>2036</v>
      </c>
      <c r="I206" t="s">
        <v>693</v>
      </c>
      <c r="J206" t="s">
        <v>872</v>
      </c>
      <c r="K206" t="s">
        <v>4670</v>
      </c>
      <c r="L206" s="571">
        <v>33575</v>
      </c>
      <c r="M206" t="str">
        <f t="shared" si="3"/>
        <v>5010102000</v>
      </c>
      <c r="O206" t="s">
        <v>961</v>
      </c>
      <c r="P206" t="s">
        <v>4651</v>
      </c>
      <c r="Q206" t="s">
        <v>999</v>
      </c>
    </row>
    <row r="207" spans="1:17" hidden="1">
      <c r="A207" t="s">
        <v>942</v>
      </c>
      <c r="B207" s="301" t="s">
        <v>947</v>
      </c>
      <c r="C207" s="553">
        <v>44299</v>
      </c>
      <c r="D207" s="574" t="s">
        <v>4702</v>
      </c>
      <c r="E207" s="574" t="s">
        <v>4731</v>
      </c>
      <c r="F207" s="584">
        <v>13</v>
      </c>
      <c r="G207" s="574">
        <v>5010102000</v>
      </c>
      <c r="H207" t="s">
        <v>2027</v>
      </c>
      <c r="I207" t="s">
        <v>555</v>
      </c>
      <c r="J207" t="s">
        <v>872</v>
      </c>
      <c r="K207" t="s">
        <v>4670</v>
      </c>
      <c r="L207" s="571">
        <v>2000</v>
      </c>
      <c r="M207" t="str">
        <f t="shared" si="3"/>
        <v>5010201001</v>
      </c>
      <c r="O207" t="s">
        <v>961</v>
      </c>
      <c r="P207" t="s">
        <v>4651</v>
      </c>
      <c r="Q207" t="s">
        <v>999</v>
      </c>
    </row>
    <row r="208" spans="1:17" hidden="1">
      <c r="A208" t="s">
        <v>942</v>
      </c>
      <c r="B208" s="301" t="s">
        <v>947</v>
      </c>
      <c r="C208" s="553">
        <v>44299</v>
      </c>
      <c r="D208" s="574" t="s">
        <v>4702</v>
      </c>
      <c r="E208" s="574" t="s">
        <v>4731</v>
      </c>
      <c r="F208" s="584">
        <v>13</v>
      </c>
      <c r="G208" s="574">
        <v>5010102000</v>
      </c>
      <c r="H208" t="s">
        <v>2028</v>
      </c>
      <c r="I208" t="s">
        <v>565</v>
      </c>
      <c r="J208" t="s">
        <v>872</v>
      </c>
      <c r="K208" t="s">
        <v>4670</v>
      </c>
      <c r="L208" s="571">
        <v>4029</v>
      </c>
      <c r="M208" t="str">
        <f t="shared" si="3"/>
        <v>5010301000</v>
      </c>
      <c r="O208" t="s">
        <v>961</v>
      </c>
      <c r="P208" t="s">
        <v>4651</v>
      </c>
      <c r="Q208" t="s">
        <v>999</v>
      </c>
    </row>
    <row r="209" spans="1:17" hidden="1">
      <c r="A209" t="s">
        <v>942</v>
      </c>
      <c r="B209" s="301" t="s">
        <v>947</v>
      </c>
      <c r="C209" s="553">
        <v>44299</v>
      </c>
      <c r="D209" s="574" t="s">
        <v>4702</v>
      </c>
      <c r="E209" s="574" t="s">
        <v>4731</v>
      </c>
      <c r="F209" s="584">
        <v>13</v>
      </c>
      <c r="G209" s="574">
        <v>5010102000</v>
      </c>
      <c r="H209" t="s">
        <v>2029</v>
      </c>
      <c r="I209" t="s">
        <v>676</v>
      </c>
      <c r="J209" t="s">
        <v>872</v>
      </c>
      <c r="K209" t="s">
        <v>4670</v>
      </c>
      <c r="L209" s="571">
        <v>100</v>
      </c>
      <c r="M209" t="str">
        <f t="shared" si="3"/>
        <v>5010302001</v>
      </c>
      <c r="O209" t="s">
        <v>961</v>
      </c>
      <c r="P209" t="s">
        <v>4651</v>
      </c>
      <c r="Q209" t="s">
        <v>999</v>
      </c>
    </row>
    <row r="210" spans="1:17" hidden="1">
      <c r="A210" t="s">
        <v>942</v>
      </c>
      <c r="B210" s="301" t="s">
        <v>947</v>
      </c>
      <c r="C210" s="553">
        <v>44299</v>
      </c>
      <c r="D210" s="574" t="s">
        <v>4702</v>
      </c>
      <c r="E210" s="574" t="s">
        <v>4731</v>
      </c>
      <c r="F210" s="584">
        <v>13</v>
      </c>
      <c r="G210" s="574">
        <v>5010102000</v>
      </c>
      <c r="H210" t="s">
        <v>2030</v>
      </c>
      <c r="I210" t="s">
        <v>678</v>
      </c>
      <c r="J210" t="s">
        <v>872</v>
      </c>
      <c r="K210" t="s">
        <v>4670</v>
      </c>
      <c r="L210" s="571">
        <v>503.63</v>
      </c>
      <c r="M210" t="str">
        <f t="shared" si="3"/>
        <v>5010303001</v>
      </c>
      <c r="O210" t="s">
        <v>961</v>
      </c>
      <c r="P210" t="s">
        <v>4651</v>
      </c>
      <c r="Q210" t="s">
        <v>999</v>
      </c>
    </row>
    <row r="211" spans="1:17" hidden="1">
      <c r="A211" t="s">
        <v>942</v>
      </c>
      <c r="B211" s="301" t="s">
        <v>947</v>
      </c>
      <c r="C211" s="553">
        <v>44299</v>
      </c>
      <c r="D211" s="574" t="s">
        <v>4702</v>
      </c>
      <c r="E211" s="574" t="s">
        <v>4731</v>
      </c>
      <c r="F211" s="584">
        <v>13</v>
      </c>
      <c r="G211" s="574">
        <v>5010102000</v>
      </c>
      <c r="H211" t="s">
        <v>2031</v>
      </c>
      <c r="I211" t="s">
        <v>680</v>
      </c>
      <c r="J211" t="s">
        <v>872</v>
      </c>
      <c r="K211" t="s">
        <v>4670</v>
      </c>
      <c r="L211" s="571">
        <v>100</v>
      </c>
      <c r="M211" t="str">
        <f t="shared" si="3"/>
        <v>5010304001</v>
      </c>
      <c r="O211" t="s">
        <v>968</v>
      </c>
      <c r="P211" t="s">
        <v>4651</v>
      </c>
      <c r="Q211" t="s">
        <v>999</v>
      </c>
    </row>
    <row r="212" spans="1:17" hidden="1">
      <c r="A212" t="s">
        <v>942</v>
      </c>
      <c r="B212" s="301" t="s">
        <v>947</v>
      </c>
      <c r="C212" s="553">
        <v>44299</v>
      </c>
      <c r="D212" s="574" t="s">
        <v>4703</v>
      </c>
      <c r="E212" s="574" t="s">
        <v>4732</v>
      </c>
      <c r="F212" s="584">
        <v>1</v>
      </c>
      <c r="G212" s="574">
        <v>5020000000</v>
      </c>
      <c r="H212" t="s">
        <v>2000</v>
      </c>
      <c r="I212" t="s">
        <v>672</v>
      </c>
      <c r="J212" t="s">
        <v>779</v>
      </c>
      <c r="K212" t="s">
        <v>4671</v>
      </c>
      <c r="L212" s="571">
        <v>150501.47</v>
      </c>
      <c r="M212" t="str">
        <f t="shared" si="3"/>
        <v>5029905001</v>
      </c>
      <c r="O212" t="s">
        <v>961</v>
      </c>
      <c r="P212" t="s">
        <v>4652</v>
      </c>
      <c r="Q212" t="s">
        <v>961</v>
      </c>
    </row>
    <row r="213" spans="1:17" hidden="1">
      <c r="A213" t="s">
        <v>942</v>
      </c>
      <c r="B213" s="301" t="s">
        <v>947</v>
      </c>
      <c r="C213" s="553">
        <v>44299</v>
      </c>
      <c r="D213" s="574" t="s">
        <v>4703</v>
      </c>
      <c r="E213" s="574" t="s">
        <v>4732</v>
      </c>
      <c r="F213" s="584">
        <v>8</v>
      </c>
      <c r="G213" s="574">
        <v>5020000000</v>
      </c>
      <c r="H213" t="s">
        <v>2000</v>
      </c>
      <c r="I213" t="s">
        <v>567</v>
      </c>
      <c r="J213" t="s">
        <v>779</v>
      </c>
      <c r="K213" t="s">
        <v>4671</v>
      </c>
      <c r="L213" s="571">
        <v>20000</v>
      </c>
      <c r="M213" t="str">
        <f t="shared" si="3"/>
        <v>5029905001</v>
      </c>
      <c r="O213" t="s">
        <v>961</v>
      </c>
      <c r="P213" t="s">
        <v>4652</v>
      </c>
      <c r="Q213" t="s">
        <v>980</v>
      </c>
    </row>
    <row r="214" spans="1:17" hidden="1">
      <c r="A214" t="s">
        <v>942</v>
      </c>
      <c r="B214" s="301" t="s">
        <v>947</v>
      </c>
      <c r="C214" s="553">
        <v>44299</v>
      </c>
      <c r="D214" s="574" t="s">
        <v>4704</v>
      </c>
      <c r="E214" s="574" t="s">
        <v>4733</v>
      </c>
      <c r="F214" s="584">
        <v>1</v>
      </c>
      <c r="G214" s="574">
        <v>5020000000</v>
      </c>
      <c r="H214" t="s">
        <v>2000</v>
      </c>
      <c r="I214" t="s">
        <v>560</v>
      </c>
      <c r="J214" t="s">
        <v>852</v>
      </c>
      <c r="K214" t="s">
        <v>4672</v>
      </c>
      <c r="L214" s="571">
        <v>8800</v>
      </c>
      <c r="M214" t="str">
        <f t="shared" si="3"/>
        <v>5029905001</v>
      </c>
      <c r="O214" t="s">
        <v>961</v>
      </c>
      <c r="P214" t="s">
        <v>4653</v>
      </c>
      <c r="Q214" t="s">
        <v>961</v>
      </c>
    </row>
    <row r="215" spans="1:17" hidden="1">
      <c r="A215" t="s">
        <v>942</v>
      </c>
      <c r="B215" s="301" t="s">
        <v>947</v>
      </c>
      <c r="C215" s="553">
        <v>44299</v>
      </c>
      <c r="D215" s="574" t="s">
        <v>4705</v>
      </c>
      <c r="E215" s="574" t="s">
        <v>4734</v>
      </c>
      <c r="F215" s="584">
        <v>4</v>
      </c>
      <c r="G215" s="574">
        <v>5010000000</v>
      </c>
      <c r="H215" t="s">
        <v>2026</v>
      </c>
      <c r="I215" t="s">
        <v>581</v>
      </c>
      <c r="J215" t="s">
        <v>4673</v>
      </c>
      <c r="K215" t="s">
        <v>4674</v>
      </c>
      <c r="L215" s="571">
        <v>119385</v>
      </c>
      <c r="M215" t="str">
        <f t="shared" si="3"/>
        <v>5010101001</v>
      </c>
      <c r="O215" t="s">
        <v>961</v>
      </c>
      <c r="P215" t="s">
        <v>4654</v>
      </c>
      <c r="Q215" t="s">
        <v>970</v>
      </c>
    </row>
    <row r="216" spans="1:17" hidden="1">
      <c r="A216" t="s">
        <v>942</v>
      </c>
      <c r="B216" s="301" t="s">
        <v>947</v>
      </c>
      <c r="C216" s="553">
        <v>44299</v>
      </c>
      <c r="D216" s="574" t="s">
        <v>4705</v>
      </c>
      <c r="E216" s="574" t="s">
        <v>4734</v>
      </c>
      <c r="F216" s="584">
        <v>4</v>
      </c>
      <c r="G216" s="574">
        <v>5010000000</v>
      </c>
      <c r="H216" t="s">
        <v>2027</v>
      </c>
      <c r="I216" t="s">
        <v>596</v>
      </c>
      <c r="J216" t="s">
        <v>4673</v>
      </c>
      <c r="K216" t="s">
        <v>4674</v>
      </c>
      <c r="L216" s="571">
        <v>10000</v>
      </c>
      <c r="M216" t="str">
        <f t="shared" si="3"/>
        <v>5010201001</v>
      </c>
      <c r="O216" t="s">
        <v>961</v>
      </c>
      <c r="P216" t="s">
        <v>4654</v>
      </c>
      <c r="Q216" t="s">
        <v>970</v>
      </c>
    </row>
    <row r="217" spans="1:17" hidden="1">
      <c r="A217" t="s">
        <v>942</v>
      </c>
      <c r="B217" s="301" t="s">
        <v>947</v>
      </c>
      <c r="C217" s="553">
        <v>44299</v>
      </c>
      <c r="D217" s="574" t="s">
        <v>4705</v>
      </c>
      <c r="E217" s="574" t="s">
        <v>4734</v>
      </c>
      <c r="F217" s="584">
        <v>4</v>
      </c>
      <c r="G217" s="574">
        <v>5010301000</v>
      </c>
      <c r="H217" t="s">
        <v>2028</v>
      </c>
      <c r="I217" t="s">
        <v>598</v>
      </c>
      <c r="J217" t="s">
        <v>4673</v>
      </c>
      <c r="K217" t="s">
        <v>4674</v>
      </c>
      <c r="L217" s="571">
        <v>14326.2</v>
      </c>
      <c r="M217" t="str">
        <f t="shared" si="3"/>
        <v>5010301000</v>
      </c>
      <c r="O217" t="s">
        <v>961</v>
      </c>
      <c r="P217" t="s">
        <v>4654</v>
      </c>
      <c r="Q217" t="s">
        <v>972</v>
      </c>
    </row>
    <row r="218" spans="1:17" hidden="1">
      <c r="A218" t="s">
        <v>942</v>
      </c>
      <c r="B218" s="301" t="s">
        <v>947</v>
      </c>
      <c r="C218" s="553">
        <v>44299</v>
      </c>
      <c r="D218" s="574" t="s">
        <v>4705</v>
      </c>
      <c r="E218" s="574" t="s">
        <v>4734</v>
      </c>
      <c r="F218" s="584">
        <v>4</v>
      </c>
      <c r="G218" s="574">
        <v>5010000000</v>
      </c>
      <c r="H218" t="s">
        <v>2029</v>
      </c>
      <c r="I218" t="s">
        <v>601</v>
      </c>
      <c r="J218" t="s">
        <v>4673</v>
      </c>
      <c r="K218" t="s">
        <v>4674</v>
      </c>
      <c r="L218" s="571">
        <v>500</v>
      </c>
      <c r="M218" t="str">
        <f t="shared" si="3"/>
        <v>5010302001</v>
      </c>
      <c r="O218" t="s">
        <v>961</v>
      </c>
      <c r="P218" t="s">
        <v>4654</v>
      </c>
      <c r="Q218" t="s">
        <v>970</v>
      </c>
    </row>
    <row r="219" spans="1:17" hidden="1">
      <c r="A219" t="s">
        <v>942</v>
      </c>
      <c r="B219" s="301" t="s">
        <v>947</v>
      </c>
      <c r="C219" s="553">
        <v>44299</v>
      </c>
      <c r="D219" s="574" t="s">
        <v>4705</v>
      </c>
      <c r="E219" s="574" t="s">
        <v>4734</v>
      </c>
      <c r="F219" s="584">
        <v>4</v>
      </c>
      <c r="G219" s="574">
        <v>5010000000</v>
      </c>
      <c r="H219" t="s">
        <v>2030</v>
      </c>
      <c r="I219" t="s">
        <v>603</v>
      </c>
      <c r="J219" t="s">
        <v>4673</v>
      </c>
      <c r="K219" t="s">
        <v>4674</v>
      </c>
      <c r="L219" s="571">
        <v>1790.8</v>
      </c>
      <c r="M219" t="str">
        <f t="shared" si="3"/>
        <v>5010303001</v>
      </c>
      <c r="O219" t="s">
        <v>961</v>
      </c>
      <c r="P219" t="s">
        <v>4654</v>
      </c>
      <c r="Q219" t="s">
        <v>970</v>
      </c>
    </row>
    <row r="220" spans="1:17" hidden="1">
      <c r="A220" t="s">
        <v>942</v>
      </c>
      <c r="B220" s="301" t="s">
        <v>947</v>
      </c>
      <c r="C220" s="553">
        <v>44299</v>
      </c>
      <c r="D220" s="574" t="s">
        <v>4705</v>
      </c>
      <c r="E220" s="574" t="s">
        <v>4734</v>
      </c>
      <c r="F220" s="584">
        <v>4</v>
      </c>
      <c r="G220" s="574">
        <v>5010000000</v>
      </c>
      <c r="H220" t="s">
        <v>2031</v>
      </c>
      <c r="I220" t="s">
        <v>609</v>
      </c>
      <c r="J220" t="s">
        <v>4673</v>
      </c>
      <c r="K220" t="s">
        <v>4674</v>
      </c>
      <c r="L220" s="571">
        <v>500</v>
      </c>
      <c r="M220" t="str">
        <f t="shared" si="3"/>
        <v>5010304001</v>
      </c>
      <c r="O220" t="s">
        <v>961</v>
      </c>
      <c r="P220" t="s">
        <v>4654</v>
      </c>
      <c r="Q220" t="s">
        <v>970</v>
      </c>
    </row>
    <row r="221" spans="1:17" hidden="1">
      <c r="A221" t="s">
        <v>942</v>
      </c>
      <c r="B221" s="301" t="s">
        <v>947</v>
      </c>
      <c r="C221" s="553">
        <v>44299</v>
      </c>
      <c r="D221" s="574" t="s">
        <v>4706</v>
      </c>
      <c r="E221" s="574" t="s">
        <v>4735</v>
      </c>
      <c r="F221" s="584">
        <v>1</v>
      </c>
      <c r="G221" s="574">
        <v>5020000000</v>
      </c>
      <c r="H221" t="s">
        <v>2037</v>
      </c>
      <c r="I221" t="s">
        <v>627</v>
      </c>
      <c r="J221" t="s">
        <v>798</v>
      </c>
      <c r="K221" t="s">
        <v>4675</v>
      </c>
      <c r="L221" s="571">
        <v>32300</v>
      </c>
      <c r="M221" t="str">
        <f t="shared" si="3"/>
        <v>5020101000</v>
      </c>
      <c r="O221" t="s">
        <v>961</v>
      </c>
      <c r="P221" t="s">
        <v>4655</v>
      </c>
      <c r="Q221" t="s">
        <v>961</v>
      </c>
    </row>
    <row r="222" spans="1:17" hidden="1">
      <c r="A222" t="s">
        <v>942</v>
      </c>
      <c r="B222" s="301" t="s">
        <v>947</v>
      </c>
      <c r="C222" s="553">
        <v>44299</v>
      </c>
      <c r="D222" s="574" t="s">
        <v>4707</v>
      </c>
      <c r="E222" s="574" t="s">
        <v>4736</v>
      </c>
      <c r="F222" s="584">
        <v>1</v>
      </c>
      <c r="G222" s="574">
        <v>5010000000</v>
      </c>
      <c r="H222" t="s">
        <v>2026</v>
      </c>
      <c r="I222" t="s">
        <v>638</v>
      </c>
      <c r="J222" t="s">
        <v>10</v>
      </c>
      <c r="K222" t="s">
        <v>4669</v>
      </c>
      <c r="L222" s="571">
        <v>1057756</v>
      </c>
      <c r="M222" t="str">
        <f t="shared" si="3"/>
        <v>5010101001</v>
      </c>
      <c r="O222" t="s">
        <v>961</v>
      </c>
      <c r="P222" t="s">
        <v>4656</v>
      </c>
      <c r="Q222" t="s">
        <v>960</v>
      </c>
    </row>
    <row r="223" spans="1:17" hidden="1">
      <c r="A223" t="s">
        <v>942</v>
      </c>
      <c r="B223" s="301" t="s">
        <v>947</v>
      </c>
      <c r="C223" s="553">
        <v>44299</v>
      </c>
      <c r="D223" s="574" t="s">
        <v>4707</v>
      </c>
      <c r="E223" s="574" t="s">
        <v>4736</v>
      </c>
      <c r="F223" s="584">
        <v>1</v>
      </c>
      <c r="G223" s="574">
        <v>5010000000</v>
      </c>
      <c r="H223" t="s">
        <v>2027</v>
      </c>
      <c r="I223" t="s">
        <v>642</v>
      </c>
      <c r="J223" t="s">
        <v>10</v>
      </c>
      <c r="K223" t="s">
        <v>4669</v>
      </c>
      <c r="L223" s="571">
        <v>44000</v>
      </c>
      <c r="M223" t="str">
        <f t="shared" si="3"/>
        <v>5010201001</v>
      </c>
      <c r="O223" t="s">
        <v>961</v>
      </c>
      <c r="P223" t="s">
        <v>4656</v>
      </c>
      <c r="Q223" t="s">
        <v>960</v>
      </c>
    </row>
    <row r="224" spans="1:17" hidden="1">
      <c r="A224" t="s">
        <v>942</v>
      </c>
      <c r="B224" s="301" t="s">
        <v>947</v>
      </c>
      <c r="C224" s="553">
        <v>44299</v>
      </c>
      <c r="D224" s="574" t="s">
        <v>4707</v>
      </c>
      <c r="E224" s="574" t="s">
        <v>4736</v>
      </c>
      <c r="F224" s="584">
        <v>1</v>
      </c>
      <c r="G224" s="574">
        <v>5010301000</v>
      </c>
      <c r="H224" t="s">
        <v>2028</v>
      </c>
      <c r="I224" t="s">
        <v>646</v>
      </c>
      <c r="J224" t="s">
        <v>10</v>
      </c>
      <c r="K224" t="s">
        <v>4669</v>
      </c>
      <c r="L224" s="571">
        <v>126930.72</v>
      </c>
      <c r="M224" t="str">
        <f t="shared" si="3"/>
        <v>5010301000</v>
      </c>
      <c r="O224" t="s">
        <v>968</v>
      </c>
      <c r="P224" t="s">
        <v>4656</v>
      </c>
      <c r="Q224" t="s">
        <v>962</v>
      </c>
    </row>
    <row r="225" spans="1:17" hidden="1">
      <c r="A225" t="s">
        <v>942</v>
      </c>
      <c r="B225" s="301" t="s">
        <v>947</v>
      </c>
      <c r="C225" s="553">
        <v>44299</v>
      </c>
      <c r="D225" s="574" t="s">
        <v>4707</v>
      </c>
      <c r="E225" s="574" t="s">
        <v>4736</v>
      </c>
      <c r="F225" s="584">
        <v>1</v>
      </c>
      <c r="G225" s="574">
        <v>5010000000</v>
      </c>
      <c r="H225" t="s">
        <v>2029</v>
      </c>
      <c r="I225" t="s">
        <v>311</v>
      </c>
      <c r="J225" t="s">
        <v>10</v>
      </c>
      <c r="K225" t="s">
        <v>4669</v>
      </c>
      <c r="L225" s="571">
        <v>2200</v>
      </c>
      <c r="M225" t="str">
        <f t="shared" si="3"/>
        <v>5010302001</v>
      </c>
      <c r="O225" t="s">
        <v>971</v>
      </c>
      <c r="P225" t="s">
        <v>4656</v>
      </c>
      <c r="Q225" t="s">
        <v>960</v>
      </c>
    </row>
    <row r="226" spans="1:17" hidden="1">
      <c r="A226" t="s">
        <v>942</v>
      </c>
      <c r="B226" s="301" t="s">
        <v>947</v>
      </c>
      <c r="C226" s="553">
        <v>44299</v>
      </c>
      <c r="D226" s="574" t="s">
        <v>4707</v>
      </c>
      <c r="E226" s="574" t="s">
        <v>4736</v>
      </c>
      <c r="F226" s="584">
        <v>1</v>
      </c>
      <c r="G226" s="574">
        <v>5010000000</v>
      </c>
      <c r="H226" t="s">
        <v>2030</v>
      </c>
      <c r="I226" t="s">
        <v>651</v>
      </c>
      <c r="J226" t="s">
        <v>10</v>
      </c>
      <c r="K226" t="s">
        <v>4669</v>
      </c>
      <c r="L226" s="571">
        <v>12310.77</v>
      </c>
      <c r="M226" t="str">
        <f t="shared" si="3"/>
        <v>5010303001</v>
      </c>
      <c r="O226" t="s">
        <v>968</v>
      </c>
      <c r="P226" t="s">
        <v>4656</v>
      </c>
      <c r="Q226" t="s">
        <v>960</v>
      </c>
    </row>
    <row r="227" spans="1:17" hidden="1">
      <c r="A227" t="s">
        <v>942</v>
      </c>
      <c r="B227" s="301" t="s">
        <v>947</v>
      </c>
      <c r="C227" s="553">
        <v>44299</v>
      </c>
      <c r="D227" s="574" t="s">
        <v>4707</v>
      </c>
      <c r="E227" s="574" t="s">
        <v>4736</v>
      </c>
      <c r="F227" s="584">
        <v>1</v>
      </c>
      <c r="G227" s="574">
        <v>5010000000</v>
      </c>
      <c r="H227" t="s">
        <v>2031</v>
      </c>
      <c r="I227" t="s">
        <v>662</v>
      </c>
      <c r="J227" t="s">
        <v>10</v>
      </c>
      <c r="K227" t="s">
        <v>4669</v>
      </c>
      <c r="L227" s="571">
        <v>2200</v>
      </c>
      <c r="M227" t="str">
        <f t="shared" si="3"/>
        <v>5010304001</v>
      </c>
      <c r="O227" t="s">
        <v>968</v>
      </c>
      <c r="P227" t="s">
        <v>4656</v>
      </c>
      <c r="Q227" t="s">
        <v>960</v>
      </c>
    </row>
    <row r="228" spans="1:17" hidden="1">
      <c r="A228" t="s">
        <v>942</v>
      </c>
      <c r="B228" s="301" t="s">
        <v>947</v>
      </c>
      <c r="C228" s="553">
        <v>44299</v>
      </c>
      <c r="D228" s="574" t="s">
        <v>4707</v>
      </c>
      <c r="E228" s="574" t="s">
        <v>4736</v>
      </c>
      <c r="F228" s="584">
        <v>2</v>
      </c>
      <c r="G228" s="574">
        <v>5010000000</v>
      </c>
      <c r="H228" t="s">
        <v>2026</v>
      </c>
      <c r="I228" t="s">
        <v>319</v>
      </c>
      <c r="J228" t="s">
        <v>10</v>
      </c>
      <c r="K228" t="s">
        <v>4669</v>
      </c>
      <c r="L228" s="571">
        <v>80214</v>
      </c>
      <c r="M228" t="str">
        <f t="shared" si="3"/>
        <v>5010101001</v>
      </c>
      <c r="O228" t="s">
        <v>961</v>
      </c>
      <c r="P228" t="s">
        <v>4656</v>
      </c>
      <c r="Q228" t="s">
        <v>964</v>
      </c>
    </row>
    <row r="229" spans="1:17" hidden="1">
      <c r="A229" t="s">
        <v>942</v>
      </c>
      <c r="B229" s="301" t="s">
        <v>947</v>
      </c>
      <c r="C229" s="553">
        <v>44299</v>
      </c>
      <c r="D229" s="574" t="s">
        <v>4707</v>
      </c>
      <c r="E229" s="574" t="s">
        <v>4736</v>
      </c>
      <c r="F229" s="584">
        <v>2</v>
      </c>
      <c r="G229" s="574">
        <v>5010000000</v>
      </c>
      <c r="H229" t="s">
        <v>2027</v>
      </c>
      <c r="I229" t="s">
        <v>665</v>
      </c>
      <c r="J229" t="s">
        <v>10</v>
      </c>
      <c r="K229" t="s">
        <v>4669</v>
      </c>
      <c r="L229" s="571">
        <v>4000</v>
      </c>
      <c r="M229" t="str">
        <f t="shared" si="3"/>
        <v>5010201001</v>
      </c>
      <c r="O229" t="s">
        <v>961</v>
      </c>
      <c r="P229" t="s">
        <v>4656</v>
      </c>
      <c r="Q229" t="s">
        <v>964</v>
      </c>
    </row>
    <row r="230" spans="1:17" hidden="1">
      <c r="A230" t="s">
        <v>942</v>
      </c>
      <c r="B230" s="301" t="s">
        <v>947</v>
      </c>
      <c r="C230" s="553">
        <v>44299</v>
      </c>
      <c r="D230" s="574" t="s">
        <v>4707</v>
      </c>
      <c r="E230" s="574" t="s">
        <v>4736</v>
      </c>
      <c r="F230" s="584">
        <v>2</v>
      </c>
      <c r="G230" s="574">
        <v>5010301000</v>
      </c>
      <c r="H230" t="s">
        <v>2028</v>
      </c>
      <c r="I230" t="s">
        <v>669</v>
      </c>
      <c r="J230" t="s">
        <v>10</v>
      </c>
      <c r="K230" t="s">
        <v>4669</v>
      </c>
      <c r="L230" s="571">
        <v>9625.68</v>
      </c>
      <c r="M230" t="str">
        <f t="shared" si="3"/>
        <v>5010301000</v>
      </c>
      <c r="O230" t="s">
        <v>961</v>
      </c>
      <c r="P230" t="s">
        <v>4656</v>
      </c>
      <c r="Q230" t="s">
        <v>966</v>
      </c>
    </row>
    <row r="231" spans="1:17" hidden="1">
      <c r="A231" t="s">
        <v>942</v>
      </c>
      <c r="B231" s="301" t="s">
        <v>947</v>
      </c>
      <c r="C231" s="553">
        <v>44299</v>
      </c>
      <c r="D231" s="574" t="s">
        <v>4707</v>
      </c>
      <c r="E231" s="574" t="s">
        <v>4736</v>
      </c>
      <c r="F231" s="584">
        <v>2</v>
      </c>
      <c r="G231" s="574">
        <v>5010000000</v>
      </c>
      <c r="H231" t="s">
        <v>2029</v>
      </c>
      <c r="I231" t="s">
        <v>671</v>
      </c>
      <c r="J231" t="s">
        <v>10</v>
      </c>
      <c r="K231" t="s">
        <v>4669</v>
      </c>
      <c r="L231" s="571">
        <v>200</v>
      </c>
      <c r="M231" t="str">
        <f t="shared" si="3"/>
        <v>5010302001</v>
      </c>
      <c r="O231" t="s">
        <v>961</v>
      </c>
      <c r="P231" t="s">
        <v>4656</v>
      </c>
      <c r="Q231" t="s">
        <v>964</v>
      </c>
    </row>
    <row r="232" spans="1:17" hidden="1">
      <c r="A232" t="s">
        <v>942</v>
      </c>
      <c r="B232" s="301" t="s">
        <v>947</v>
      </c>
      <c r="C232" s="553">
        <v>44299</v>
      </c>
      <c r="D232" s="574" t="s">
        <v>4707</v>
      </c>
      <c r="E232" s="574" t="s">
        <v>4736</v>
      </c>
      <c r="F232" s="584">
        <v>2</v>
      </c>
      <c r="G232" s="574">
        <v>5010000000</v>
      </c>
      <c r="H232" t="s">
        <v>2030</v>
      </c>
      <c r="I232" t="s">
        <v>555</v>
      </c>
      <c r="J232" t="s">
        <v>10</v>
      </c>
      <c r="K232" t="s">
        <v>4669</v>
      </c>
      <c r="L232" s="571">
        <v>1203.22</v>
      </c>
      <c r="M232" t="str">
        <f t="shared" si="3"/>
        <v>5010303001</v>
      </c>
      <c r="O232" t="s">
        <v>961</v>
      </c>
      <c r="P232" t="s">
        <v>4656</v>
      </c>
      <c r="Q232" t="s">
        <v>964</v>
      </c>
    </row>
    <row r="233" spans="1:17" hidden="1">
      <c r="A233" t="s">
        <v>942</v>
      </c>
      <c r="B233" s="301" t="s">
        <v>947</v>
      </c>
      <c r="C233" s="553">
        <v>44299</v>
      </c>
      <c r="D233" s="574" t="s">
        <v>4707</v>
      </c>
      <c r="E233" s="574" t="s">
        <v>4736</v>
      </c>
      <c r="F233" s="584">
        <v>2</v>
      </c>
      <c r="G233" s="574">
        <v>5010000000</v>
      </c>
      <c r="H233" t="s">
        <v>2031</v>
      </c>
      <c r="I233" t="s">
        <v>565</v>
      </c>
      <c r="J233" t="s">
        <v>10</v>
      </c>
      <c r="K233" t="s">
        <v>4669</v>
      </c>
      <c r="L233" s="571">
        <v>200</v>
      </c>
      <c r="M233" t="str">
        <f t="shared" si="3"/>
        <v>5010304001</v>
      </c>
      <c r="O233" t="s">
        <v>961</v>
      </c>
      <c r="P233" t="s">
        <v>4656</v>
      </c>
      <c r="Q233" t="s">
        <v>964</v>
      </c>
    </row>
    <row r="234" spans="1:17" hidden="1">
      <c r="A234" t="s">
        <v>942</v>
      </c>
      <c r="B234" s="301" t="s">
        <v>947</v>
      </c>
      <c r="C234" s="553">
        <v>44299</v>
      </c>
      <c r="D234" s="574" t="s">
        <v>4707</v>
      </c>
      <c r="E234" s="574" t="s">
        <v>4736</v>
      </c>
      <c r="F234" s="584">
        <v>3</v>
      </c>
      <c r="G234" s="574">
        <v>5010000000</v>
      </c>
      <c r="H234" t="s">
        <v>2026</v>
      </c>
      <c r="I234" t="s">
        <v>676</v>
      </c>
      <c r="J234" t="s">
        <v>10</v>
      </c>
      <c r="K234" t="s">
        <v>4669</v>
      </c>
      <c r="L234" s="571">
        <v>199631</v>
      </c>
      <c r="M234" t="str">
        <f t="shared" si="3"/>
        <v>5010101001</v>
      </c>
      <c r="O234" t="s">
        <v>961</v>
      </c>
      <c r="P234" t="s">
        <v>4656</v>
      </c>
      <c r="Q234" t="s">
        <v>967</v>
      </c>
    </row>
    <row r="235" spans="1:17" hidden="1">
      <c r="A235" t="s">
        <v>942</v>
      </c>
      <c r="B235" s="301" t="s">
        <v>947</v>
      </c>
      <c r="C235" s="553">
        <v>44299</v>
      </c>
      <c r="D235" s="574" t="s">
        <v>4707</v>
      </c>
      <c r="E235" s="574" t="s">
        <v>4736</v>
      </c>
      <c r="F235" s="584">
        <v>3</v>
      </c>
      <c r="G235" s="574">
        <v>5010000000</v>
      </c>
      <c r="H235" t="s">
        <v>2027</v>
      </c>
      <c r="I235" t="s">
        <v>678</v>
      </c>
      <c r="J235" t="s">
        <v>10</v>
      </c>
      <c r="K235" t="s">
        <v>4669</v>
      </c>
      <c r="L235" s="571">
        <v>10000</v>
      </c>
      <c r="M235" t="str">
        <f t="shared" si="3"/>
        <v>5010201001</v>
      </c>
      <c r="O235" t="s">
        <v>961</v>
      </c>
      <c r="P235" t="s">
        <v>4656</v>
      </c>
      <c r="Q235" t="s">
        <v>967</v>
      </c>
    </row>
    <row r="236" spans="1:17" hidden="1">
      <c r="A236" t="s">
        <v>942</v>
      </c>
      <c r="B236" s="301" t="s">
        <v>947</v>
      </c>
      <c r="C236" s="553">
        <v>44299</v>
      </c>
      <c r="D236" s="574" t="s">
        <v>4707</v>
      </c>
      <c r="E236" s="574" t="s">
        <v>4736</v>
      </c>
      <c r="F236" s="584">
        <v>3</v>
      </c>
      <c r="G236" s="574">
        <v>5010301000</v>
      </c>
      <c r="H236" t="s">
        <v>2028</v>
      </c>
      <c r="I236" t="s">
        <v>680</v>
      </c>
      <c r="J236" t="s">
        <v>10</v>
      </c>
      <c r="K236" t="s">
        <v>4669</v>
      </c>
      <c r="L236" s="571">
        <v>23955.72</v>
      </c>
      <c r="M236" t="str">
        <f t="shared" si="3"/>
        <v>5010301000</v>
      </c>
      <c r="O236" t="s">
        <v>968</v>
      </c>
      <c r="P236" t="s">
        <v>4656</v>
      </c>
      <c r="Q236" t="s">
        <v>969</v>
      </c>
    </row>
    <row r="237" spans="1:17" hidden="1">
      <c r="A237" t="s">
        <v>942</v>
      </c>
      <c r="B237" s="301" t="s">
        <v>947</v>
      </c>
      <c r="C237" s="553">
        <v>44299</v>
      </c>
      <c r="D237" s="574" t="s">
        <v>4707</v>
      </c>
      <c r="E237" s="574" t="s">
        <v>4736</v>
      </c>
      <c r="F237" s="584">
        <v>3</v>
      </c>
      <c r="G237" s="574">
        <v>5010000000</v>
      </c>
      <c r="H237" t="s">
        <v>2029</v>
      </c>
      <c r="I237" t="s">
        <v>672</v>
      </c>
      <c r="J237" t="s">
        <v>10</v>
      </c>
      <c r="K237" t="s">
        <v>4669</v>
      </c>
      <c r="L237" s="571">
        <v>500</v>
      </c>
      <c r="M237" t="str">
        <f t="shared" si="3"/>
        <v>5010302001</v>
      </c>
      <c r="O237" t="s">
        <v>961</v>
      </c>
      <c r="P237" t="s">
        <v>4656</v>
      </c>
      <c r="Q237" t="s">
        <v>967</v>
      </c>
    </row>
    <row r="238" spans="1:17" hidden="1">
      <c r="A238" t="s">
        <v>942</v>
      </c>
      <c r="B238" s="301" t="s">
        <v>947</v>
      </c>
      <c r="C238" s="553">
        <v>44299</v>
      </c>
      <c r="D238" s="574" t="s">
        <v>4707</v>
      </c>
      <c r="E238" s="574" t="s">
        <v>4736</v>
      </c>
      <c r="F238" s="584">
        <v>3</v>
      </c>
      <c r="G238" s="574">
        <v>5010000000</v>
      </c>
      <c r="H238" t="s">
        <v>2030</v>
      </c>
      <c r="I238" t="s">
        <v>567</v>
      </c>
      <c r="J238" t="s">
        <v>10</v>
      </c>
      <c r="K238" t="s">
        <v>4669</v>
      </c>
      <c r="L238" s="571">
        <v>2593.35</v>
      </c>
      <c r="M238" t="str">
        <f t="shared" si="3"/>
        <v>5010303001</v>
      </c>
      <c r="O238" t="s">
        <v>961</v>
      </c>
      <c r="P238" t="s">
        <v>4656</v>
      </c>
      <c r="Q238" t="s">
        <v>967</v>
      </c>
    </row>
    <row r="239" spans="1:17" hidden="1">
      <c r="A239" t="s">
        <v>942</v>
      </c>
      <c r="B239" s="301" t="s">
        <v>947</v>
      </c>
      <c r="C239" s="553">
        <v>44299</v>
      </c>
      <c r="D239" s="574" t="s">
        <v>4707</v>
      </c>
      <c r="E239" s="574" t="s">
        <v>4736</v>
      </c>
      <c r="F239" s="584">
        <v>3</v>
      </c>
      <c r="G239" s="574">
        <v>5010000000</v>
      </c>
      <c r="H239" t="s">
        <v>2031</v>
      </c>
      <c r="I239" t="s">
        <v>560</v>
      </c>
      <c r="J239" t="s">
        <v>10</v>
      </c>
      <c r="K239" t="s">
        <v>4669</v>
      </c>
      <c r="L239" s="571">
        <v>500</v>
      </c>
      <c r="M239" t="str">
        <f t="shared" si="3"/>
        <v>5010304001</v>
      </c>
      <c r="O239" t="s">
        <v>961</v>
      </c>
      <c r="P239" t="s">
        <v>4656</v>
      </c>
      <c r="Q239" t="s">
        <v>967</v>
      </c>
    </row>
    <row r="240" spans="1:17" hidden="1">
      <c r="A240" t="s">
        <v>942</v>
      </c>
      <c r="B240" s="301" t="s">
        <v>947</v>
      </c>
      <c r="C240" s="553">
        <v>44299</v>
      </c>
      <c r="D240" s="574" t="s">
        <v>4707</v>
      </c>
      <c r="E240" s="574" t="s">
        <v>4736</v>
      </c>
      <c r="F240" s="584">
        <v>4</v>
      </c>
      <c r="G240" s="574">
        <v>5010000000</v>
      </c>
      <c r="H240" t="s">
        <v>2026</v>
      </c>
      <c r="I240" t="s">
        <v>581</v>
      </c>
      <c r="J240" t="s">
        <v>10</v>
      </c>
      <c r="K240" t="s">
        <v>4669</v>
      </c>
      <c r="L240" s="571">
        <v>190370</v>
      </c>
      <c r="M240" t="str">
        <f t="shared" si="3"/>
        <v>5010101001</v>
      </c>
      <c r="O240" t="s">
        <v>961</v>
      </c>
      <c r="P240" t="s">
        <v>4656</v>
      </c>
      <c r="Q240" t="s">
        <v>970</v>
      </c>
    </row>
    <row r="241" spans="1:17" hidden="1">
      <c r="A241" t="s">
        <v>942</v>
      </c>
      <c r="B241" s="301" t="s">
        <v>947</v>
      </c>
      <c r="C241" s="553">
        <v>44299</v>
      </c>
      <c r="D241" s="574" t="s">
        <v>4707</v>
      </c>
      <c r="E241" s="574" t="s">
        <v>4736</v>
      </c>
      <c r="F241" s="584">
        <v>4</v>
      </c>
      <c r="G241" s="574">
        <v>5010000000</v>
      </c>
      <c r="H241" t="s">
        <v>2027</v>
      </c>
      <c r="I241" t="s">
        <v>596</v>
      </c>
      <c r="J241" t="s">
        <v>10</v>
      </c>
      <c r="K241" t="s">
        <v>4669</v>
      </c>
      <c r="L241" s="571">
        <v>10000</v>
      </c>
      <c r="M241" t="str">
        <f t="shared" si="3"/>
        <v>5010201001</v>
      </c>
      <c r="O241" t="s">
        <v>961</v>
      </c>
      <c r="P241" t="s">
        <v>4656</v>
      </c>
      <c r="Q241" t="s">
        <v>970</v>
      </c>
    </row>
    <row r="242" spans="1:17" hidden="1">
      <c r="A242" t="s">
        <v>942</v>
      </c>
      <c r="B242" s="301" t="s">
        <v>947</v>
      </c>
      <c r="C242" s="553">
        <v>44299</v>
      </c>
      <c r="D242" s="574" t="s">
        <v>4707</v>
      </c>
      <c r="E242" s="574" t="s">
        <v>4736</v>
      </c>
      <c r="F242" s="584">
        <v>4</v>
      </c>
      <c r="G242" s="574">
        <v>5010301000</v>
      </c>
      <c r="H242" t="s">
        <v>2028</v>
      </c>
      <c r="I242" t="s">
        <v>598</v>
      </c>
      <c r="J242" t="s">
        <v>10</v>
      </c>
      <c r="K242" t="s">
        <v>4669</v>
      </c>
      <c r="L242" s="571">
        <v>22844.400000000001</v>
      </c>
      <c r="M242" t="str">
        <f t="shared" si="3"/>
        <v>5010301000</v>
      </c>
      <c r="O242" t="s">
        <v>961</v>
      </c>
      <c r="P242" t="s">
        <v>4656</v>
      </c>
      <c r="Q242" t="s">
        <v>972</v>
      </c>
    </row>
    <row r="243" spans="1:17" hidden="1">
      <c r="A243" t="s">
        <v>942</v>
      </c>
      <c r="B243" s="301" t="s">
        <v>947</v>
      </c>
      <c r="C243" s="553">
        <v>44299</v>
      </c>
      <c r="D243" s="574" t="s">
        <v>4707</v>
      </c>
      <c r="E243" s="574" t="s">
        <v>4736</v>
      </c>
      <c r="F243" s="584">
        <v>4</v>
      </c>
      <c r="G243" s="574">
        <v>5010000000</v>
      </c>
      <c r="H243" t="s">
        <v>2029</v>
      </c>
      <c r="I243" t="s">
        <v>601</v>
      </c>
      <c r="J243" t="s">
        <v>10</v>
      </c>
      <c r="K243" t="s">
        <v>4669</v>
      </c>
      <c r="L243" s="571">
        <v>500</v>
      </c>
      <c r="M243" t="str">
        <f t="shared" si="3"/>
        <v>5010302001</v>
      </c>
      <c r="O243" t="s">
        <v>961</v>
      </c>
      <c r="P243" t="s">
        <v>4656</v>
      </c>
      <c r="Q243" t="s">
        <v>970</v>
      </c>
    </row>
    <row r="244" spans="1:17" hidden="1">
      <c r="A244" t="s">
        <v>942</v>
      </c>
      <c r="B244" s="301" t="s">
        <v>947</v>
      </c>
      <c r="C244" s="553">
        <v>44299</v>
      </c>
      <c r="D244" s="574" t="s">
        <v>4707</v>
      </c>
      <c r="E244" s="574" t="s">
        <v>4736</v>
      </c>
      <c r="F244" s="584">
        <v>4</v>
      </c>
      <c r="G244" s="574">
        <v>5010000000</v>
      </c>
      <c r="H244" t="s">
        <v>2030</v>
      </c>
      <c r="I244" t="s">
        <v>605</v>
      </c>
      <c r="J244" t="s">
        <v>10</v>
      </c>
      <c r="K244" t="s">
        <v>4669</v>
      </c>
      <c r="L244" s="571">
        <v>2855.56</v>
      </c>
      <c r="M244" t="str">
        <f t="shared" si="3"/>
        <v>5010303001</v>
      </c>
      <c r="O244" t="s">
        <v>961</v>
      </c>
      <c r="P244" t="s">
        <v>4656</v>
      </c>
      <c r="Q244" t="s">
        <v>970</v>
      </c>
    </row>
    <row r="245" spans="1:17" hidden="1">
      <c r="A245" t="s">
        <v>942</v>
      </c>
      <c r="B245" s="301" t="s">
        <v>947</v>
      </c>
      <c r="C245" s="553">
        <v>44299</v>
      </c>
      <c r="D245" s="574" t="s">
        <v>4707</v>
      </c>
      <c r="E245" s="574" t="s">
        <v>4736</v>
      </c>
      <c r="F245" s="584">
        <v>4</v>
      </c>
      <c r="G245" s="574">
        <v>5010000000</v>
      </c>
      <c r="H245" t="s">
        <v>2031</v>
      </c>
      <c r="I245" t="s">
        <v>603</v>
      </c>
      <c r="J245" t="s">
        <v>10</v>
      </c>
      <c r="K245" t="s">
        <v>4669</v>
      </c>
      <c r="L245" s="571">
        <v>500</v>
      </c>
      <c r="M245" t="str">
        <f t="shared" si="3"/>
        <v>5010304001</v>
      </c>
      <c r="O245" t="s">
        <v>961</v>
      </c>
      <c r="P245" t="s">
        <v>4656</v>
      </c>
      <c r="Q245" t="s">
        <v>970</v>
      </c>
    </row>
    <row r="246" spans="1:17" hidden="1">
      <c r="A246" t="s">
        <v>942</v>
      </c>
      <c r="B246" s="301" t="s">
        <v>947</v>
      </c>
      <c r="C246" s="553">
        <v>44299</v>
      </c>
      <c r="D246" s="574" t="s">
        <v>4707</v>
      </c>
      <c r="E246" s="574" t="s">
        <v>4736</v>
      </c>
      <c r="F246" s="584">
        <v>5</v>
      </c>
      <c r="G246" s="574">
        <v>5010000000</v>
      </c>
      <c r="H246" t="s">
        <v>2026</v>
      </c>
      <c r="I246" t="s">
        <v>609</v>
      </c>
      <c r="J246" t="s">
        <v>10</v>
      </c>
      <c r="K246" t="s">
        <v>4669</v>
      </c>
      <c r="L246" s="571">
        <v>206068</v>
      </c>
      <c r="M246" t="str">
        <f t="shared" si="3"/>
        <v>5010101001</v>
      </c>
      <c r="O246" t="s">
        <v>961</v>
      </c>
      <c r="P246" t="s">
        <v>4656</v>
      </c>
      <c r="Q246" t="s">
        <v>973</v>
      </c>
    </row>
    <row r="247" spans="1:17" hidden="1">
      <c r="A247" t="s">
        <v>942</v>
      </c>
      <c r="B247" s="301" t="s">
        <v>947</v>
      </c>
      <c r="C247" s="553">
        <v>44299</v>
      </c>
      <c r="D247" s="574" t="s">
        <v>4707</v>
      </c>
      <c r="E247" s="574" t="s">
        <v>4736</v>
      </c>
      <c r="F247" s="584">
        <v>5</v>
      </c>
      <c r="G247" s="574">
        <v>5010000000</v>
      </c>
      <c r="H247" t="s">
        <v>2027</v>
      </c>
      <c r="I247" t="s">
        <v>627</v>
      </c>
      <c r="J247" t="s">
        <v>10</v>
      </c>
      <c r="K247" t="s">
        <v>4669</v>
      </c>
      <c r="L247" s="571">
        <v>10000</v>
      </c>
      <c r="M247" t="str">
        <f t="shared" si="3"/>
        <v>5010201001</v>
      </c>
      <c r="O247" t="s">
        <v>961</v>
      </c>
      <c r="P247" t="s">
        <v>4656</v>
      </c>
      <c r="Q247" t="s">
        <v>973</v>
      </c>
    </row>
    <row r="248" spans="1:17" hidden="1">
      <c r="A248" t="s">
        <v>942</v>
      </c>
      <c r="B248" s="301" t="s">
        <v>947</v>
      </c>
      <c r="C248" s="553">
        <v>44299</v>
      </c>
      <c r="D248" s="574" t="s">
        <v>4707</v>
      </c>
      <c r="E248" s="574" t="s">
        <v>4736</v>
      </c>
      <c r="F248" s="584">
        <v>5</v>
      </c>
      <c r="G248" s="574">
        <v>5010301000</v>
      </c>
      <c r="H248" t="s">
        <v>2028</v>
      </c>
      <c r="I248" t="s">
        <v>638</v>
      </c>
      <c r="J248" t="s">
        <v>10</v>
      </c>
      <c r="K248" t="s">
        <v>4669</v>
      </c>
      <c r="L248" s="571">
        <v>24728.16</v>
      </c>
      <c r="M248" t="str">
        <f t="shared" si="3"/>
        <v>5010301000</v>
      </c>
      <c r="O248" t="s">
        <v>961</v>
      </c>
      <c r="P248" t="s">
        <v>4656</v>
      </c>
      <c r="Q248" t="s">
        <v>975</v>
      </c>
    </row>
    <row r="249" spans="1:17" hidden="1">
      <c r="A249" t="s">
        <v>942</v>
      </c>
      <c r="B249" s="301" t="s">
        <v>947</v>
      </c>
      <c r="C249" s="553">
        <v>44299</v>
      </c>
      <c r="D249" s="574" t="s">
        <v>4707</v>
      </c>
      <c r="E249" s="574" t="s">
        <v>4736</v>
      </c>
      <c r="F249" s="584">
        <v>5</v>
      </c>
      <c r="G249" s="574">
        <v>5010000000</v>
      </c>
      <c r="H249" t="s">
        <v>2029</v>
      </c>
      <c r="I249" t="s">
        <v>642</v>
      </c>
      <c r="J249" t="s">
        <v>10</v>
      </c>
      <c r="K249" t="s">
        <v>4669</v>
      </c>
      <c r="L249" s="571">
        <v>500</v>
      </c>
      <c r="M249" t="str">
        <f t="shared" si="3"/>
        <v>5010302001</v>
      </c>
      <c r="O249" t="s">
        <v>961</v>
      </c>
      <c r="P249" t="s">
        <v>4656</v>
      </c>
      <c r="Q249" t="s">
        <v>973</v>
      </c>
    </row>
    <row r="250" spans="1:17" hidden="1">
      <c r="A250" t="s">
        <v>942</v>
      </c>
      <c r="B250" s="301" t="s">
        <v>947</v>
      </c>
      <c r="C250" s="553">
        <v>44299</v>
      </c>
      <c r="D250" s="574" t="s">
        <v>4707</v>
      </c>
      <c r="E250" s="574" t="s">
        <v>4736</v>
      </c>
      <c r="F250" s="584">
        <v>5</v>
      </c>
      <c r="G250" s="574">
        <v>5010000000</v>
      </c>
      <c r="H250" t="s">
        <v>2030</v>
      </c>
      <c r="I250" t="s">
        <v>646</v>
      </c>
      <c r="J250" t="s">
        <v>10</v>
      </c>
      <c r="K250" t="s">
        <v>4669</v>
      </c>
      <c r="L250" s="571">
        <v>3077.52</v>
      </c>
      <c r="M250" t="str">
        <f t="shared" si="3"/>
        <v>5010303001</v>
      </c>
      <c r="O250" t="s">
        <v>968</v>
      </c>
      <c r="P250" t="s">
        <v>4656</v>
      </c>
      <c r="Q250" t="s">
        <v>973</v>
      </c>
    </row>
    <row r="251" spans="1:17" hidden="1">
      <c r="A251" t="s">
        <v>942</v>
      </c>
      <c r="B251" s="301" t="s">
        <v>947</v>
      </c>
      <c r="C251" s="553">
        <v>44299</v>
      </c>
      <c r="D251" s="574" t="s">
        <v>4707</v>
      </c>
      <c r="E251" s="574" t="s">
        <v>4736</v>
      </c>
      <c r="F251" s="584">
        <v>5</v>
      </c>
      <c r="G251" s="574">
        <v>5010000000</v>
      </c>
      <c r="H251" t="s">
        <v>2031</v>
      </c>
      <c r="I251" t="s">
        <v>311</v>
      </c>
      <c r="J251" t="s">
        <v>10</v>
      </c>
      <c r="K251" t="s">
        <v>4669</v>
      </c>
      <c r="L251" s="571">
        <v>500</v>
      </c>
      <c r="M251" t="str">
        <f t="shared" si="3"/>
        <v>5010304001</v>
      </c>
      <c r="O251" t="s">
        <v>971</v>
      </c>
      <c r="P251" t="s">
        <v>4656</v>
      </c>
      <c r="Q251" t="s">
        <v>973</v>
      </c>
    </row>
    <row r="252" spans="1:17" hidden="1">
      <c r="A252" t="s">
        <v>942</v>
      </c>
      <c r="B252" s="301" t="s">
        <v>947</v>
      </c>
      <c r="C252" s="553">
        <v>44299</v>
      </c>
      <c r="D252" s="574" t="s">
        <v>4708</v>
      </c>
      <c r="E252" s="574" t="s">
        <v>4737</v>
      </c>
      <c r="F252" s="584">
        <v>1</v>
      </c>
      <c r="G252" s="574">
        <v>5020000000</v>
      </c>
      <c r="H252" t="s">
        <v>2037</v>
      </c>
      <c r="I252" t="s">
        <v>651</v>
      </c>
      <c r="J252" t="s">
        <v>773</v>
      </c>
      <c r="K252" t="s">
        <v>4675</v>
      </c>
      <c r="L252" s="571">
        <v>19500</v>
      </c>
      <c r="M252" t="str">
        <f t="shared" si="3"/>
        <v>5020101000</v>
      </c>
      <c r="O252" t="s">
        <v>968</v>
      </c>
      <c r="P252" t="s">
        <v>4657</v>
      </c>
      <c r="Q252" t="s">
        <v>961</v>
      </c>
    </row>
    <row r="253" spans="1:17">
      <c r="A253" t="s">
        <v>942</v>
      </c>
      <c r="B253" s="301" t="s">
        <v>947</v>
      </c>
      <c r="C253" s="553">
        <v>44299</v>
      </c>
      <c r="D253" s="574" t="s">
        <v>4709</v>
      </c>
      <c r="E253" s="574" t="s">
        <v>4738</v>
      </c>
      <c r="F253" s="584">
        <v>1</v>
      </c>
      <c r="G253" s="574">
        <v>5010000000</v>
      </c>
      <c r="H253" t="s">
        <v>2024</v>
      </c>
      <c r="I253" t="s">
        <v>662</v>
      </c>
      <c r="J253" t="s">
        <v>4676</v>
      </c>
      <c r="K253" t="s">
        <v>4677</v>
      </c>
      <c r="L253" s="571">
        <v>7500</v>
      </c>
      <c r="M253" t="str">
        <f t="shared" si="3"/>
        <v>5010202000</v>
      </c>
      <c r="O253" t="s">
        <v>968</v>
      </c>
      <c r="P253" t="s">
        <v>4658</v>
      </c>
      <c r="Q253" t="s">
        <v>960</v>
      </c>
    </row>
    <row r="254" spans="1:17">
      <c r="A254" t="s">
        <v>942</v>
      </c>
      <c r="B254" s="301" t="s">
        <v>947</v>
      </c>
      <c r="C254" s="553">
        <v>44299</v>
      </c>
      <c r="D254" s="574" t="s">
        <v>4709</v>
      </c>
      <c r="E254" s="574" t="s">
        <v>4738</v>
      </c>
      <c r="F254" s="584">
        <v>1</v>
      </c>
      <c r="G254" s="574">
        <v>5010000000</v>
      </c>
      <c r="H254" t="s">
        <v>2025</v>
      </c>
      <c r="I254" t="s">
        <v>319</v>
      </c>
      <c r="J254" t="s">
        <v>4676</v>
      </c>
      <c r="K254" t="s">
        <v>4677</v>
      </c>
      <c r="L254" s="571">
        <v>7159.09</v>
      </c>
      <c r="M254" t="str">
        <f t="shared" si="3"/>
        <v>5010203001</v>
      </c>
      <c r="O254" t="s">
        <v>961</v>
      </c>
      <c r="P254" t="s">
        <v>4658</v>
      </c>
      <c r="Q254" t="s">
        <v>960</v>
      </c>
    </row>
    <row r="255" spans="1:17">
      <c r="A255" t="s">
        <v>942</v>
      </c>
      <c r="B255" s="301" t="s">
        <v>947</v>
      </c>
      <c r="C255" s="553">
        <v>44299</v>
      </c>
      <c r="D255" s="574" t="s">
        <v>4709</v>
      </c>
      <c r="E255" s="574" t="s">
        <v>4738</v>
      </c>
      <c r="F255" s="584">
        <v>1</v>
      </c>
      <c r="G255" s="574">
        <v>5010000000</v>
      </c>
      <c r="H255" t="s">
        <v>2024</v>
      </c>
      <c r="I255" t="s">
        <v>665</v>
      </c>
      <c r="J255" t="s">
        <v>1702</v>
      </c>
      <c r="K255" t="s">
        <v>4677</v>
      </c>
      <c r="L255" s="571">
        <v>7500</v>
      </c>
      <c r="M255" t="str">
        <f t="shared" si="3"/>
        <v>5010202000</v>
      </c>
      <c r="O255" t="s">
        <v>961</v>
      </c>
      <c r="P255" t="s">
        <v>4658</v>
      </c>
      <c r="Q255" t="s">
        <v>960</v>
      </c>
    </row>
    <row r="256" spans="1:17">
      <c r="A256" t="s">
        <v>942</v>
      </c>
      <c r="B256" s="301" t="s">
        <v>947</v>
      </c>
      <c r="C256" s="553">
        <v>44299</v>
      </c>
      <c r="D256" s="574" t="s">
        <v>4709</v>
      </c>
      <c r="E256" s="574" t="s">
        <v>4738</v>
      </c>
      <c r="F256" s="584">
        <v>1</v>
      </c>
      <c r="G256" s="574">
        <v>5010000000</v>
      </c>
      <c r="H256" t="s">
        <v>2025</v>
      </c>
      <c r="I256" t="s">
        <v>669</v>
      </c>
      <c r="J256" t="s">
        <v>1702</v>
      </c>
      <c r="K256" t="s">
        <v>4677</v>
      </c>
      <c r="L256" s="571">
        <v>7500</v>
      </c>
      <c r="M256" t="str">
        <f t="shared" si="3"/>
        <v>5010203001</v>
      </c>
      <c r="O256" t="s">
        <v>961</v>
      </c>
      <c r="P256" t="s">
        <v>4658</v>
      </c>
      <c r="Q256" t="s">
        <v>960</v>
      </c>
    </row>
    <row r="257" spans="7:7" hidden="1">
      <c r="G257"/>
    </row>
    <row r="258" spans="7:7" hidden="1">
      <c r="G258"/>
    </row>
    <row r="259" spans="7:7" hidden="1">
      <c r="G259"/>
    </row>
    <row r="260" spans="7:7" hidden="1">
      <c r="G260"/>
    </row>
    <row r="261" spans="7:7" hidden="1">
      <c r="G261"/>
    </row>
    <row r="262" spans="7:7" hidden="1">
      <c r="G262"/>
    </row>
    <row r="263" spans="7:7" hidden="1">
      <c r="G263"/>
    </row>
    <row r="264" spans="7:7" hidden="1">
      <c r="G264"/>
    </row>
    <row r="265" spans="7:7" hidden="1">
      <c r="G265"/>
    </row>
    <row r="266" spans="7:7" hidden="1">
      <c r="G266"/>
    </row>
    <row r="267" spans="7:7" hidden="1">
      <c r="G267"/>
    </row>
    <row r="268" spans="7:7" hidden="1">
      <c r="G268"/>
    </row>
    <row r="269" spans="7:7" hidden="1">
      <c r="G269"/>
    </row>
    <row r="270" spans="7:7" hidden="1">
      <c r="G270"/>
    </row>
    <row r="271" spans="7:7" hidden="1">
      <c r="G271"/>
    </row>
    <row r="272" spans="7:7" hidden="1">
      <c r="G272"/>
    </row>
    <row r="273" spans="7:7" hidden="1">
      <c r="G273"/>
    </row>
    <row r="274" spans="7:7" hidden="1">
      <c r="G274"/>
    </row>
    <row r="275" spans="7:7" hidden="1">
      <c r="G275"/>
    </row>
    <row r="276" spans="7:7" hidden="1">
      <c r="G276"/>
    </row>
    <row r="277" spans="7:7" hidden="1">
      <c r="G277"/>
    </row>
    <row r="278" spans="7:7" hidden="1">
      <c r="G278"/>
    </row>
    <row r="279" spans="7:7" hidden="1">
      <c r="G279"/>
    </row>
    <row r="280" spans="7:7" hidden="1">
      <c r="G280"/>
    </row>
    <row r="281" spans="7:7" hidden="1">
      <c r="G281"/>
    </row>
    <row r="282" spans="7:7" hidden="1">
      <c r="G282"/>
    </row>
    <row r="283" spans="7:7" hidden="1">
      <c r="G283"/>
    </row>
    <row r="284" spans="7:7" hidden="1">
      <c r="G284"/>
    </row>
    <row r="285" spans="7:7" hidden="1">
      <c r="G285"/>
    </row>
    <row r="286" spans="7:7" hidden="1">
      <c r="G286"/>
    </row>
    <row r="287" spans="7:7" hidden="1">
      <c r="G287"/>
    </row>
    <row r="288" spans="7:7" hidden="1">
      <c r="G288"/>
    </row>
    <row r="289" spans="7:7" hidden="1">
      <c r="G289"/>
    </row>
    <row r="290" spans="7:7" hidden="1">
      <c r="G290"/>
    </row>
    <row r="291" spans="7:7" hidden="1">
      <c r="G291"/>
    </row>
    <row r="292" spans="7:7" hidden="1">
      <c r="G292"/>
    </row>
    <row r="293" spans="7:7" hidden="1">
      <c r="G293"/>
    </row>
    <row r="294" spans="7:7" hidden="1">
      <c r="G294"/>
    </row>
    <row r="295" spans="7:7" hidden="1">
      <c r="G295"/>
    </row>
    <row r="296" spans="7:7" hidden="1">
      <c r="G296"/>
    </row>
    <row r="297" spans="7:7" hidden="1">
      <c r="G297"/>
    </row>
    <row r="298" spans="7:7" hidden="1">
      <c r="G298"/>
    </row>
    <row r="299" spans="7:7" hidden="1">
      <c r="G299"/>
    </row>
    <row r="300" spans="7:7" hidden="1">
      <c r="G300"/>
    </row>
    <row r="301" spans="7:7" hidden="1">
      <c r="G301"/>
    </row>
  </sheetData>
  <autoFilter ref="A3:L301" xr:uid="{00000000-0009-0000-0000-000001000000}">
    <filterColumn colId="4">
      <filters>
        <filter val="Fund 01-2021-04-381"/>
      </filters>
    </filterColumn>
  </autoFilter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B182D-DF13-45AD-AB99-11D491F8494D}">
  <sheetPr>
    <tabColor rgb="FFFFFF00"/>
  </sheetPr>
  <dimension ref="A2:O606"/>
  <sheetViews>
    <sheetView workbookViewId="0">
      <selection activeCell="F3" sqref="F3"/>
    </sheetView>
  </sheetViews>
  <sheetFormatPr defaultRowHeight="14.4"/>
  <cols>
    <col min="1" max="1" width="21.6640625" bestFit="1" customWidth="1"/>
    <col min="2" max="2" width="14.33203125" customWidth="1"/>
    <col min="3" max="3" width="20.5546875" bestFit="1" customWidth="1"/>
    <col min="4" max="4" width="13.33203125" style="562" bestFit="1" customWidth="1"/>
    <col min="5" max="5" width="28.44140625" customWidth="1"/>
    <col min="6" max="6" width="66.6640625" customWidth="1"/>
    <col min="7" max="7" width="13.33203125" style="562" bestFit="1" customWidth="1"/>
    <col min="8" max="9" width="13.33203125" style="562" customWidth="1"/>
    <col min="10" max="10" width="15.88671875" style="562" customWidth="1"/>
    <col min="11" max="12" width="13.33203125" style="562" customWidth="1"/>
    <col min="13" max="13" width="17.109375" customWidth="1"/>
    <col min="14" max="14" width="19.44140625" customWidth="1"/>
    <col min="15" max="15" width="22.5546875" customWidth="1"/>
  </cols>
  <sheetData>
    <row r="2" spans="1:15" ht="43.2">
      <c r="A2" s="568" t="s">
        <v>2052</v>
      </c>
      <c r="B2" s="568" t="s">
        <v>940</v>
      </c>
      <c r="C2" s="569" t="s">
        <v>2665</v>
      </c>
      <c r="D2" s="569" t="s">
        <v>2376</v>
      </c>
      <c r="E2" s="568" t="s">
        <v>155</v>
      </c>
      <c r="F2" s="568" t="s">
        <v>156</v>
      </c>
      <c r="G2" s="569" t="s">
        <v>2377</v>
      </c>
      <c r="H2" s="567" t="s">
        <v>4203</v>
      </c>
      <c r="I2" s="568" t="s">
        <v>4204</v>
      </c>
      <c r="J2" s="568" t="s">
        <v>4205</v>
      </c>
      <c r="K2" s="568" t="s">
        <v>4206</v>
      </c>
      <c r="L2" s="568" t="s">
        <v>4207</v>
      </c>
      <c r="M2" s="569" t="s">
        <v>2684</v>
      </c>
      <c r="N2" s="568" t="s">
        <v>2682</v>
      </c>
      <c r="O2" s="568" t="s">
        <v>2677</v>
      </c>
    </row>
    <row r="3" spans="1:15">
      <c r="A3" t="s">
        <v>2688</v>
      </c>
      <c r="B3" t="s">
        <v>2674</v>
      </c>
      <c r="C3" t="s">
        <v>2689</v>
      </c>
      <c r="D3" s="562">
        <v>150000</v>
      </c>
      <c r="E3" t="s">
        <v>1643</v>
      </c>
      <c r="F3" t="s">
        <v>2690</v>
      </c>
      <c r="G3" s="562">
        <v>126494.55</v>
      </c>
      <c r="H3" s="562">
        <f>SUMIFS('Taxes Withheld'!F:F,'Taxes Withheld'!C:C,'Import DV AUCS'!A3)</f>
        <v>0</v>
      </c>
      <c r="I3" s="562">
        <f>SUMIFS('Taxes Withheld'!G:G,'Taxes Withheld'!C:C,'Import DV AUCS'!A3)</f>
        <v>0</v>
      </c>
      <c r="K3" s="562">
        <f>H3+I3+J3</f>
        <v>0</v>
      </c>
      <c r="M3" t="s">
        <v>2687</v>
      </c>
      <c r="N3" t="s">
        <v>2683</v>
      </c>
      <c r="O3" t="s">
        <v>2678</v>
      </c>
    </row>
    <row r="4" spans="1:15">
      <c r="A4" t="s">
        <v>2691</v>
      </c>
      <c r="B4" t="s">
        <v>2674</v>
      </c>
      <c r="C4" t="s">
        <v>2692</v>
      </c>
      <c r="D4" s="562">
        <v>10000</v>
      </c>
      <c r="E4" t="s">
        <v>2693</v>
      </c>
      <c r="F4" t="s">
        <v>2694</v>
      </c>
      <c r="G4" s="562">
        <v>10000</v>
      </c>
      <c r="H4" s="562">
        <f>SUMIFS('Taxes Withheld'!F:F,'Taxes Withheld'!C:C,'Import DV AUCS'!A4)</f>
        <v>0</v>
      </c>
      <c r="I4" s="562">
        <f>SUMIFS('Taxes Withheld'!G:G,'Taxes Withheld'!C:C,'Import DV AUCS'!A4)</f>
        <v>0</v>
      </c>
      <c r="K4" s="562">
        <f t="shared" ref="K4:K67" si="0">H4+I4+J4</f>
        <v>0</v>
      </c>
      <c r="M4" t="s">
        <v>2687</v>
      </c>
      <c r="N4" t="s">
        <v>2683</v>
      </c>
      <c r="O4" t="s">
        <v>2678</v>
      </c>
    </row>
    <row r="5" spans="1:15">
      <c r="A5" t="s">
        <v>2695</v>
      </c>
      <c r="B5" t="s">
        <v>2674</v>
      </c>
      <c r="C5" t="s">
        <v>2666</v>
      </c>
      <c r="D5" s="562">
        <v>0</v>
      </c>
      <c r="E5" t="s">
        <v>1661</v>
      </c>
      <c r="F5" t="s">
        <v>2696</v>
      </c>
      <c r="G5" s="562">
        <v>23505.45</v>
      </c>
      <c r="H5" s="562">
        <f>SUMIFS('Taxes Withheld'!F:F,'Taxes Withheld'!C:C,'Import DV AUCS'!A5)</f>
        <v>0</v>
      </c>
      <c r="I5" s="562">
        <f>SUMIFS('Taxes Withheld'!G:G,'Taxes Withheld'!C:C,'Import DV AUCS'!A5)</f>
        <v>0</v>
      </c>
      <c r="K5" s="562">
        <f t="shared" si="0"/>
        <v>0</v>
      </c>
      <c r="M5" t="s">
        <v>2662</v>
      </c>
      <c r="N5" t="s">
        <v>2053</v>
      </c>
      <c r="O5" t="s">
        <v>2680</v>
      </c>
    </row>
    <row r="6" spans="1:15">
      <c r="A6" t="s">
        <v>2697</v>
      </c>
      <c r="B6" t="s">
        <v>2674</v>
      </c>
      <c r="C6" t="s">
        <v>2666</v>
      </c>
      <c r="D6" s="562">
        <v>0</v>
      </c>
      <c r="E6" t="s">
        <v>1661</v>
      </c>
      <c r="F6" t="s">
        <v>2698</v>
      </c>
      <c r="G6" s="562">
        <v>8083.33</v>
      </c>
      <c r="H6" s="562">
        <f>SUMIFS('Taxes Withheld'!F:F,'Taxes Withheld'!C:C,'Import DV AUCS'!A6)</f>
        <v>0</v>
      </c>
      <c r="I6" s="562">
        <f>SUMIFS('Taxes Withheld'!G:G,'Taxes Withheld'!C:C,'Import DV AUCS'!A6)</f>
        <v>0</v>
      </c>
      <c r="K6" s="562">
        <f t="shared" si="0"/>
        <v>0</v>
      </c>
      <c r="M6" t="s">
        <v>2662</v>
      </c>
      <c r="N6" t="s">
        <v>2053</v>
      </c>
      <c r="O6" t="s">
        <v>2680</v>
      </c>
    </row>
    <row r="7" spans="1:15">
      <c r="A7" t="s">
        <v>2699</v>
      </c>
      <c r="B7" t="s">
        <v>2674</v>
      </c>
      <c r="C7" t="s">
        <v>2700</v>
      </c>
      <c r="D7" s="562">
        <v>1935301.23</v>
      </c>
      <c r="E7" t="s">
        <v>10</v>
      </c>
      <c r="F7" t="s">
        <v>2701</v>
      </c>
      <c r="G7" s="562">
        <v>327788.25</v>
      </c>
      <c r="H7" s="562">
        <f>SUMIFS('Taxes Withheld'!F:F,'Taxes Withheld'!C:C,'Import DV AUCS'!A7)</f>
        <v>0</v>
      </c>
      <c r="I7" s="562">
        <f>SUMIFS('Taxes Withheld'!G:G,'Taxes Withheld'!C:C,'Import DV AUCS'!A7)</f>
        <v>0</v>
      </c>
      <c r="K7" s="562">
        <f t="shared" si="0"/>
        <v>0</v>
      </c>
      <c r="M7" t="s">
        <v>2687</v>
      </c>
      <c r="N7" t="s">
        <v>2683</v>
      </c>
      <c r="O7" t="s">
        <v>2678</v>
      </c>
    </row>
    <row r="8" spans="1:15">
      <c r="A8" t="s">
        <v>2702</v>
      </c>
      <c r="B8" t="s">
        <v>2674</v>
      </c>
      <c r="C8" t="s">
        <v>2666</v>
      </c>
      <c r="D8" s="562">
        <v>0</v>
      </c>
      <c r="E8" t="s">
        <v>2703</v>
      </c>
      <c r="F8" t="s">
        <v>2704</v>
      </c>
      <c r="G8" s="562">
        <v>195626.4</v>
      </c>
      <c r="H8" s="562">
        <f>SUMIFS('Taxes Withheld'!F:F,'Taxes Withheld'!C:C,'Import DV AUCS'!A8)</f>
        <v>0</v>
      </c>
      <c r="I8" s="562">
        <f>SUMIFS('Taxes Withheld'!G:G,'Taxes Withheld'!C:C,'Import DV AUCS'!A8)</f>
        <v>0</v>
      </c>
      <c r="K8" s="562">
        <f t="shared" si="0"/>
        <v>0</v>
      </c>
      <c r="M8" t="s">
        <v>2662</v>
      </c>
      <c r="N8" t="s">
        <v>2053</v>
      </c>
      <c r="O8" t="s">
        <v>2680</v>
      </c>
    </row>
    <row r="9" spans="1:15">
      <c r="A9" t="s">
        <v>2705</v>
      </c>
      <c r="B9" t="s">
        <v>2674</v>
      </c>
      <c r="C9" t="s">
        <v>2706</v>
      </c>
      <c r="D9" s="562">
        <v>452644.64</v>
      </c>
      <c r="E9" t="s">
        <v>764</v>
      </c>
      <c r="F9" t="s">
        <v>2701</v>
      </c>
      <c r="G9" s="562">
        <v>76343.53</v>
      </c>
      <c r="H9" s="562">
        <f>SUMIFS('Taxes Withheld'!F:F,'Taxes Withheld'!C:C,'Import DV AUCS'!A9)</f>
        <v>0</v>
      </c>
      <c r="I9" s="562">
        <f>SUMIFS('Taxes Withheld'!G:G,'Taxes Withheld'!C:C,'Import DV AUCS'!A9)</f>
        <v>0</v>
      </c>
      <c r="K9" s="562">
        <f t="shared" si="0"/>
        <v>0</v>
      </c>
      <c r="M9" t="s">
        <v>2687</v>
      </c>
      <c r="N9" t="s">
        <v>2683</v>
      </c>
      <c r="O9" t="s">
        <v>2678</v>
      </c>
    </row>
    <row r="10" spans="1:15">
      <c r="A10" t="s">
        <v>2707</v>
      </c>
      <c r="B10" t="s">
        <v>2674</v>
      </c>
      <c r="C10" t="s">
        <v>2708</v>
      </c>
      <c r="D10" s="562">
        <v>5000</v>
      </c>
      <c r="E10" t="s">
        <v>2709</v>
      </c>
      <c r="F10" t="s">
        <v>2710</v>
      </c>
      <c r="G10" s="562">
        <v>5000</v>
      </c>
      <c r="H10" s="562">
        <f>SUMIFS('Taxes Withheld'!F:F,'Taxes Withheld'!C:C,'Import DV AUCS'!A10)</f>
        <v>0</v>
      </c>
      <c r="I10" s="562">
        <f>SUMIFS('Taxes Withheld'!G:G,'Taxes Withheld'!C:C,'Import DV AUCS'!A10)</f>
        <v>0</v>
      </c>
      <c r="K10" s="562">
        <f t="shared" si="0"/>
        <v>0</v>
      </c>
      <c r="M10" t="s">
        <v>2687</v>
      </c>
      <c r="N10" t="s">
        <v>2683</v>
      </c>
      <c r="O10" t="s">
        <v>2678</v>
      </c>
    </row>
    <row r="11" spans="1:15">
      <c r="A11" t="s">
        <v>2711</v>
      </c>
      <c r="B11" t="s">
        <v>2674</v>
      </c>
      <c r="C11" t="s">
        <v>2712</v>
      </c>
      <c r="D11" s="562">
        <v>666774.09000000008</v>
      </c>
      <c r="E11" t="s">
        <v>768</v>
      </c>
      <c r="F11" t="s">
        <v>2701</v>
      </c>
      <c r="G11" s="562">
        <v>138638.1</v>
      </c>
      <c r="H11" s="562">
        <f>SUMIFS('Taxes Withheld'!F:F,'Taxes Withheld'!C:C,'Import DV AUCS'!A11)</f>
        <v>0</v>
      </c>
      <c r="I11" s="562">
        <f>SUMIFS('Taxes Withheld'!G:G,'Taxes Withheld'!C:C,'Import DV AUCS'!A11)</f>
        <v>0</v>
      </c>
      <c r="K11" s="562">
        <f t="shared" si="0"/>
        <v>0</v>
      </c>
      <c r="M11" t="s">
        <v>2687</v>
      </c>
      <c r="N11" t="s">
        <v>2683</v>
      </c>
      <c r="O11" t="s">
        <v>2678</v>
      </c>
    </row>
    <row r="12" spans="1:15">
      <c r="A12" t="s">
        <v>2713</v>
      </c>
      <c r="B12" t="s">
        <v>2674</v>
      </c>
      <c r="C12" t="s">
        <v>2714</v>
      </c>
      <c r="D12" s="562">
        <v>325034.35000000003</v>
      </c>
      <c r="E12" t="s">
        <v>765</v>
      </c>
      <c r="F12" t="s">
        <v>2701</v>
      </c>
      <c r="G12" s="562">
        <v>81815.520000000004</v>
      </c>
      <c r="H12" s="562">
        <f>SUMIFS('Taxes Withheld'!F:F,'Taxes Withheld'!C:C,'Import DV AUCS'!A12)</f>
        <v>0</v>
      </c>
      <c r="I12" s="562">
        <f>SUMIFS('Taxes Withheld'!G:G,'Taxes Withheld'!C:C,'Import DV AUCS'!A12)</f>
        <v>0</v>
      </c>
      <c r="K12" s="562">
        <f t="shared" si="0"/>
        <v>0</v>
      </c>
      <c r="M12" t="s">
        <v>2687</v>
      </c>
      <c r="N12" t="s">
        <v>2683</v>
      </c>
      <c r="O12" t="s">
        <v>2678</v>
      </c>
    </row>
    <row r="13" spans="1:15">
      <c r="A13" t="s">
        <v>2715</v>
      </c>
      <c r="B13" t="s">
        <v>2674</v>
      </c>
      <c r="C13" t="s">
        <v>2666</v>
      </c>
      <c r="D13" s="562">
        <v>0</v>
      </c>
      <c r="E13" t="s">
        <v>1661</v>
      </c>
      <c r="F13" t="s">
        <v>2716</v>
      </c>
      <c r="G13" s="562">
        <v>46629.23</v>
      </c>
      <c r="H13" s="562">
        <f>SUMIFS('Taxes Withheld'!F:F,'Taxes Withheld'!C:C,'Import DV AUCS'!A13)</f>
        <v>0</v>
      </c>
      <c r="I13" s="562">
        <f>SUMIFS('Taxes Withheld'!G:G,'Taxes Withheld'!C:C,'Import DV AUCS'!A13)</f>
        <v>0</v>
      </c>
      <c r="K13" s="562">
        <f t="shared" si="0"/>
        <v>0</v>
      </c>
      <c r="M13" t="s">
        <v>2662</v>
      </c>
      <c r="N13" t="s">
        <v>2053</v>
      </c>
      <c r="O13" t="s">
        <v>2680</v>
      </c>
    </row>
    <row r="14" spans="1:15">
      <c r="A14" t="s">
        <v>2717</v>
      </c>
      <c r="B14" t="s">
        <v>2674</v>
      </c>
      <c r="C14" t="s">
        <v>2718</v>
      </c>
      <c r="D14" s="562">
        <v>452126.62</v>
      </c>
      <c r="E14" t="s">
        <v>765</v>
      </c>
      <c r="F14" t="s">
        <v>2701</v>
      </c>
      <c r="G14" s="562">
        <v>104743.53</v>
      </c>
      <c r="H14" s="562">
        <f>SUMIFS('Taxes Withheld'!F:F,'Taxes Withheld'!C:C,'Import DV AUCS'!A14)</f>
        <v>0</v>
      </c>
      <c r="I14" s="562">
        <f>SUMIFS('Taxes Withheld'!G:G,'Taxes Withheld'!C:C,'Import DV AUCS'!A14)</f>
        <v>0</v>
      </c>
      <c r="K14" s="562">
        <f t="shared" si="0"/>
        <v>0</v>
      </c>
      <c r="M14" t="s">
        <v>2687</v>
      </c>
      <c r="N14" t="s">
        <v>2683</v>
      </c>
      <c r="O14" t="s">
        <v>2678</v>
      </c>
    </row>
    <row r="15" spans="1:15">
      <c r="A15" t="s">
        <v>2719</v>
      </c>
      <c r="B15" t="s">
        <v>2674</v>
      </c>
      <c r="C15" t="s">
        <v>2666</v>
      </c>
      <c r="D15" s="562">
        <v>0</v>
      </c>
      <c r="E15" t="s">
        <v>2720</v>
      </c>
      <c r="F15" t="s">
        <v>2721</v>
      </c>
      <c r="G15" s="562">
        <v>2793.75</v>
      </c>
      <c r="H15" s="562">
        <f>SUMIFS('Taxes Withheld'!F:F,'Taxes Withheld'!C:C,'Import DV AUCS'!A15)</f>
        <v>133.04</v>
      </c>
      <c r="I15" s="562">
        <f>SUMIFS('Taxes Withheld'!G:G,'Taxes Withheld'!C:C,'Import DV AUCS'!A15)</f>
        <v>53.21</v>
      </c>
      <c r="K15" s="562">
        <f t="shared" si="0"/>
        <v>186.25</v>
      </c>
      <c r="M15" t="s">
        <v>392</v>
      </c>
      <c r="N15" t="s">
        <v>2681</v>
      </c>
      <c r="O15" t="s">
        <v>2679</v>
      </c>
    </row>
    <row r="16" spans="1:15">
      <c r="A16" t="s">
        <v>2722</v>
      </c>
      <c r="B16" t="s">
        <v>2674</v>
      </c>
      <c r="C16" t="s">
        <v>2666</v>
      </c>
      <c r="D16" s="562">
        <v>0</v>
      </c>
      <c r="E16" t="s">
        <v>2723</v>
      </c>
      <c r="F16" t="s">
        <v>2724</v>
      </c>
      <c r="G16" s="562">
        <v>506.25</v>
      </c>
      <c r="H16" s="562">
        <f>SUMIFS('Taxes Withheld'!F:F,'Taxes Withheld'!C:C,'Import DV AUCS'!A16)</f>
        <v>24.11</v>
      </c>
      <c r="I16" s="562">
        <f>SUMIFS('Taxes Withheld'!G:G,'Taxes Withheld'!C:C,'Import DV AUCS'!A16)</f>
        <v>9.64</v>
      </c>
      <c r="K16" s="562">
        <f t="shared" si="0"/>
        <v>33.75</v>
      </c>
      <c r="M16" t="s">
        <v>392</v>
      </c>
      <c r="N16" t="s">
        <v>2681</v>
      </c>
      <c r="O16" t="s">
        <v>2679</v>
      </c>
    </row>
    <row r="17" spans="1:15">
      <c r="A17" t="s">
        <v>2725</v>
      </c>
      <c r="B17" t="s">
        <v>2674</v>
      </c>
      <c r="C17" t="s">
        <v>2666</v>
      </c>
      <c r="D17" s="562">
        <v>0</v>
      </c>
      <c r="E17" t="s">
        <v>2726</v>
      </c>
      <c r="F17" t="s">
        <v>2727</v>
      </c>
      <c r="G17" s="562">
        <v>22265.62</v>
      </c>
      <c r="H17" s="562">
        <f>SUMIFS('Taxes Withheld'!F:F,'Taxes Withheld'!C:C,'Import DV AUCS'!A17)</f>
        <v>1060.27</v>
      </c>
      <c r="I17" s="562">
        <f>SUMIFS('Taxes Withheld'!G:G,'Taxes Withheld'!C:C,'Import DV AUCS'!A17)</f>
        <v>424.11</v>
      </c>
      <c r="K17" s="562">
        <f t="shared" si="0"/>
        <v>1484.38</v>
      </c>
      <c r="M17" t="s">
        <v>392</v>
      </c>
      <c r="N17" t="s">
        <v>2681</v>
      </c>
      <c r="O17" t="s">
        <v>2679</v>
      </c>
    </row>
    <row r="18" spans="1:15">
      <c r="A18" t="s">
        <v>2728</v>
      </c>
      <c r="B18" t="s">
        <v>2674</v>
      </c>
      <c r="C18" t="s">
        <v>2666</v>
      </c>
      <c r="D18" s="562">
        <v>0</v>
      </c>
      <c r="E18" t="s">
        <v>1669</v>
      </c>
      <c r="F18" t="s">
        <v>2729</v>
      </c>
      <c r="G18" s="562">
        <v>21734.22</v>
      </c>
      <c r="H18" s="562">
        <f>SUMIFS('Taxes Withheld'!F:F,'Taxes Withheld'!C:C,'Import DV AUCS'!A18)</f>
        <v>0</v>
      </c>
      <c r="I18" s="562">
        <f>SUMIFS('Taxes Withheld'!G:G,'Taxes Withheld'!C:C,'Import DV AUCS'!A18)</f>
        <v>0</v>
      </c>
      <c r="K18" s="562">
        <f t="shared" si="0"/>
        <v>0</v>
      </c>
      <c r="M18" t="s">
        <v>392</v>
      </c>
      <c r="N18" t="s">
        <v>2681</v>
      </c>
      <c r="O18" t="s">
        <v>2679</v>
      </c>
    </row>
    <row r="19" spans="1:15">
      <c r="A19" t="s">
        <v>2730</v>
      </c>
      <c r="B19" t="s">
        <v>2674</v>
      </c>
      <c r="C19" t="s">
        <v>2666</v>
      </c>
      <c r="D19" s="562">
        <v>0</v>
      </c>
      <c r="E19" t="s">
        <v>2731</v>
      </c>
      <c r="F19" t="s">
        <v>2732</v>
      </c>
      <c r="G19" s="562">
        <v>2343.75</v>
      </c>
      <c r="H19" s="562">
        <f>SUMIFS('Taxes Withheld'!F:F,'Taxes Withheld'!C:C,'Import DV AUCS'!A19)</f>
        <v>111.61</v>
      </c>
      <c r="I19" s="562">
        <f>SUMIFS('Taxes Withheld'!G:G,'Taxes Withheld'!C:C,'Import DV AUCS'!A19)</f>
        <v>44.64</v>
      </c>
      <c r="K19" s="562">
        <f t="shared" si="0"/>
        <v>156.25</v>
      </c>
      <c r="M19" t="s">
        <v>392</v>
      </c>
      <c r="N19" t="s">
        <v>2681</v>
      </c>
      <c r="O19" t="s">
        <v>2679</v>
      </c>
    </row>
    <row r="20" spans="1:15">
      <c r="A20" t="s">
        <v>2733</v>
      </c>
      <c r="B20" t="s">
        <v>2674</v>
      </c>
      <c r="C20" t="s">
        <v>2666</v>
      </c>
      <c r="D20" s="562">
        <v>0</v>
      </c>
      <c r="E20" t="s">
        <v>2731</v>
      </c>
      <c r="F20" t="s">
        <v>2734</v>
      </c>
      <c r="G20" s="562">
        <v>2250</v>
      </c>
      <c r="H20" s="562">
        <f>SUMIFS('Taxes Withheld'!F:F,'Taxes Withheld'!C:C,'Import DV AUCS'!A20)</f>
        <v>107.14</v>
      </c>
      <c r="I20" s="562">
        <f>SUMIFS('Taxes Withheld'!G:G,'Taxes Withheld'!C:C,'Import DV AUCS'!A20)</f>
        <v>42.86</v>
      </c>
      <c r="K20" s="562">
        <f t="shared" si="0"/>
        <v>150</v>
      </c>
      <c r="M20" t="s">
        <v>392</v>
      </c>
      <c r="N20" t="s">
        <v>2681</v>
      </c>
      <c r="O20" t="s">
        <v>2679</v>
      </c>
    </row>
    <row r="21" spans="1:15">
      <c r="A21" t="s">
        <v>2735</v>
      </c>
      <c r="B21" t="s">
        <v>2674</v>
      </c>
      <c r="C21" t="s">
        <v>2666</v>
      </c>
      <c r="D21" s="562">
        <v>0</v>
      </c>
      <c r="E21" t="s">
        <v>2736</v>
      </c>
      <c r="F21" t="s">
        <v>2737</v>
      </c>
      <c r="G21" s="562">
        <v>4576.93</v>
      </c>
      <c r="H21" s="562">
        <f>SUMIFS('Taxes Withheld'!F:F,'Taxes Withheld'!C:C,'Import DV AUCS'!A21)</f>
        <v>215.89</v>
      </c>
      <c r="I21" s="562">
        <f>SUMIFS('Taxes Withheld'!G:G,'Taxes Withheld'!C:C,'Import DV AUCS'!A21)</f>
        <v>43.18</v>
      </c>
      <c r="K21" s="562">
        <f t="shared" si="0"/>
        <v>259.07</v>
      </c>
      <c r="M21" t="s">
        <v>392</v>
      </c>
      <c r="N21" t="s">
        <v>2681</v>
      </c>
      <c r="O21" t="s">
        <v>2679</v>
      </c>
    </row>
    <row r="22" spans="1:15">
      <c r="A22" t="s">
        <v>2738</v>
      </c>
      <c r="B22" t="s">
        <v>2674</v>
      </c>
      <c r="C22" t="s">
        <v>2666</v>
      </c>
      <c r="D22" s="562">
        <v>0</v>
      </c>
      <c r="E22" t="s">
        <v>2739</v>
      </c>
      <c r="F22" t="s">
        <v>2740</v>
      </c>
      <c r="G22" s="562">
        <v>2801.43</v>
      </c>
      <c r="H22" s="562">
        <f>SUMIFS('Taxes Withheld'!F:F,'Taxes Withheld'!C:C,'Import DV AUCS'!A22)</f>
        <v>132.13999999999999</v>
      </c>
      <c r="I22" s="562">
        <f>SUMIFS('Taxes Withheld'!G:G,'Taxes Withheld'!C:C,'Import DV AUCS'!A22)</f>
        <v>26.43</v>
      </c>
      <c r="K22" s="562">
        <f t="shared" si="0"/>
        <v>158.57</v>
      </c>
      <c r="M22" t="s">
        <v>392</v>
      </c>
      <c r="N22" t="s">
        <v>2681</v>
      </c>
      <c r="O22" t="s">
        <v>2679</v>
      </c>
    </row>
    <row r="23" spans="1:15">
      <c r="A23" t="s">
        <v>2741</v>
      </c>
      <c r="B23" t="s">
        <v>2674</v>
      </c>
      <c r="C23" t="s">
        <v>2666</v>
      </c>
      <c r="D23" s="562">
        <v>0</v>
      </c>
      <c r="E23" t="s">
        <v>2742</v>
      </c>
      <c r="F23" t="s">
        <v>2740</v>
      </c>
      <c r="G23" s="562">
        <v>5229.0200000000004</v>
      </c>
      <c r="H23" s="562">
        <f>SUMIFS('Taxes Withheld'!F:F,'Taxes Withheld'!C:C,'Import DV AUCS'!A23)</f>
        <v>246.65</v>
      </c>
      <c r="I23" s="562">
        <f>SUMIFS('Taxes Withheld'!G:G,'Taxes Withheld'!C:C,'Import DV AUCS'!A23)</f>
        <v>49.33</v>
      </c>
      <c r="K23" s="562">
        <f t="shared" si="0"/>
        <v>295.98</v>
      </c>
      <c r="M23" t="s">
        <v>392</v>
      </c>
      <c r="N23" t="s">
        <v>2681</v>
      </c>
      <c r="O23" t="s">
        <v>2679</v>
      </c>
    </row>
    <row r="24" spans="1:15">
      <c r="A24" t="s">
        <v>2743</v>
      </c>
      <c r="B24" t="s">
        <v>2674</v>
      </c>
      <c r="C24" t="s">
        <v>2666</v>
      </c>
      <c r="D24" s="562">
        <v>0</v>
      </c>
      <c r="E24" t="s">
        <v>2726</v>
      </c>
      <c r="F24" t="s">
        <v>2744</v>
      </c>
      <c r="G24" s="562">
        <v>3937.5</v>
      </c>
      <c r="H24" s="562">
        <f>SUMIFS('Taxes Withheld'!F:F,'Taxes Withheld'!C:C,'Import DV AUCS'!A24)</f>
        <v>187.5</v>
      </c>
      <c r="I24" s="562">
        <f>SUMIFS('Taxes Withheld'!G:G,'Taxes Withheld'!C:C,'Import DV AUCS'!A24)</f>
        <v>75</v>
      </c>
      <c r="K24" s="562">
        <f t="shared" si="0"/>
        <v>262.5</v>
      </c>
      <c r="M24" t="s">
        <v>392</v>
      </c>
      <c r="N24" t="s">
        <v>2681</v>
      </c>
      <c r="O24" t="s">
        <v>2679</v>
      </c>
    </row>
    <row r="25" spans="1:15">
      <c r="A25" t="s">
        <v>2745</v>
      </c>
      <c r="B25" t="s">
        <v>2674</v>
      </c>
      <c r="C25" t="s">
        <v>2666</v>
      </c>
      <c r="D25" s="562">
        <v>0</v>
      </c>
      <c r="E25" t="s">
        <v>2746</v>
      </c>
      <c r="F25" t="s">
        <v>2747</v>
      </c>
      <c r="G25" s="562">
        <v>0</v>
      </c>
      <c r="H25" s="562">
        <f>SUMIFS('Taxes Withheld'!F:F,'Taxes Withheld'!C:C,'Import DV AUCS'!A25)</f>
        <v>0</v>
      </c>
      <c r="I25" s="562">
        <f>SUMIFS('Taxes Withheld'!G:G,'Taxes Withheld'!C:C,'Import DV AUCS'!A25)</f>
        <v>0</v>
      </c>
      <c r="K25" s="562">
        <f t="shared" si="0"/>
        <v>0</v>
      </c>
      <c r="M25" t="s">
        <v>2687</v>
      </c>
      <c r="N25" t="s">
        <v>2683</v>
      </c>
      <c r="O25" t="s">
        <v>2678</v>
      </c>
    </row>
    <row r="26" spans="1:15">
      <c r="A26" t="s">
        <v>2748</v>
      </c>
      <c r="B26" t="s">
        <v>2674</v>
      </c>
      <c r="C26" t="s">
        <v>2666</v>
      </c>
      <c r="D26" s="562">
        <v>0</v>
      </c>
      <c r="E26" t="s">
        <v>2726</v>
      </c>
      <c r="F26" t="s">
        <v>2749</v>
      </c>
      <c r="G26" s="562">
        <v>24492.19</v>
      </c>
      <c r="H26" s="562">
        <f>SUMIFS('Taxes Withheld'!F:F,'Taxes Withheld'!C:C,'Import DV AUCS'!A26)</f>
        <v>1166.29</v>
      </c>
      <c r="I26" s="562">
        <f>SUMIFS('Taxes Withheld'!G:G,'Taxes Withheld'!C:C,'Import DV AUCS'!A26)</f>
        <v>466.52</v>
      </c>
      <c r="K26" s="562">
        <f t="shared" si="0"/>
        <v>1632.81</v>
      </c>
      <c r="M26" t="s">
        <v>392</v>
      </c>
      <c r="N26" t="s">
        <v>2681</v>
      </c>
      <c r="O26" t="s">
        <v>2679</v>
      </c>
    </row>
    <row r="27" spans="1:15">
      <c r="A27" t="s">
        <v>2750</v>
      </c>
      <c r="B27" t="s">
        <v>2674</v>
      </c>
      <c r="C27" t="s">
        <v>2666</v>
      </c>
      <c r="D27" s="562">
        <v>0</v>
      </c>
      <c r="E27" t="s">
        <v>2751</v>
      </c>
      <c r="F27" t="s">
        <v>2752</v>
      </c>
      <c r="G27" s="562">
        <v>6067.2</v>
      </c>
      <c r="H27" s="562">
        <f>SUMIFS('Taxes Withheld'!F:F,'Taxes Withheld'!C:C,'Import DV AUCS'!A27)</f>
        <v>189.6</v>
      </c>
      <c r="I27" s="562">
        <f>SUMIFS('Taxes Withheld'!G:G,'Taxes Withheld'!C:C,'Import DV AUCS'!A27)</f>
        <v>63.2</v>
      </c>
      <c r="K27" s="562">
        <f t="shared" si="0"/>
        <v>252.8</v>
      </c>
      <c r="M27" t="s">
        <v>392</v>
      </c>
      <c r="N27" t="s">
        <v>2681</v>
      </c>
      <c r="O27" t="s">
        <v>2679</v>
      </c>
    </row>
    <row r="28" spans="1:15">
      <c r="A28" t="s">
        <v>2753</v>
      </c>
      <c r="B28" t="s">
        <v>2674</v>
      </c>
      <c r="C28" t="s">
        <v>2754</v>
      </c>
      <c r="D28" s="562">
        <v>11250</v>
      </c>
      <c r="E28" t="s">
        <v>1669</v>
      </c>
      <c r="F28" t="s">
        <v>2755</v>
      </c>
      <c r="G28" s="562">
        <v>11250</v>
      </c>
      <c r="H28" s="562">
        <f>SUMIFS('Taxes Withheld'!F:F,'Taxes Withheld'!C:C,'Import DV AUCS'!A28)</f>
        <v>0</v>
      </c>
      <c r="I28" s="562">
        <f>SUMIFS('Taxes Withheld'!G:G,'Taxes Withheld'!C:C,'Import DV AUCS'!A28)</f>
        <v>0</v>
      </c>
      <c r="K28" s="562">
        <f t="shared" si="0"/>
        <v>0</v>
      </c>
      <c r="M28" t="s">
        <v>2687</v>
      </c>
      <c r="N28" t="s">
        <v>2683</v>
      </c>
      <c r="O28" t="s">
        <v>2678</v>
      </c>
    </row>
    <row r="29" spans="1:15">
      <c r="A29" t="s">
        <v>2756</v>
      </c>
      <c r="B29" t="s">
        <v>2674</v>
      </c>
      <c r="C29" t="s">
        <v>2757</v>
      </c>
      <c r="D29" s="562">
        <v>574114.94999999995</v>
      </c>
      <c r="E29" t="s">
        <v>2758</v>
      </c>
      <c r="F29" t="s">
        <v>2701</v>
      </c>
      <c r="G29" s="562">
        <v>75692.009999999995</v>
      </c>
      <c r="H29" s="562">
        <f>SUMIFS('Taxes Withheld'!F:F,'Taxes Withheld'!C:C,'Import DV AUCS'!A29)</f>
        <v>0</v>
      </c>
      <c r="I29" s="562">
        <f>SUMIFS('Taxes Withheld'!G:G,'Taxes Withheld'!C:C,'Import DV AUCS'!A29)</f>
        <v>0</v>
      </c>
      <c r="K29" s="562">
        <f t="shared" si="0"/>
        <v>0</v>
      </c>
      <c r="M29" t="s">
        <v>2687</v>
      </c>
      <c r="N29" t="s">
        <v>2683</v>
      </c>
      <c r="O29" t="s">
        <v>2678</v>
      </c>
    </row>
    <row r="30" spans="1:15">
      <c r="A30" t="s">
        <v>2759</v>
      </c>
      <c r="B30" t="s">
        <v>2674</v>
      </c>
      <c r="C30" t="s">
        <v>2760</v>
      </c>
      <c r="D30" s="562">
        <v>2500</v>
      </c>
      <c r="E30" t="s">
        <v>2761</v>
      </c>
      <c r="F30" t="s">
        <v>2762</v>
      </c>
      <c r="G30" s="562">
        <v>2500</v>
      </c>
      <c r="H30" s="562">
        <f>SUMIFS('Taxes Withheld'!F:F,'Taxes Withheld'!C:C,'Import DV AUCS'!A30)</f>
        <v>0</v>
      </c>
      <c r="I30" s="562">
        <f>SUMIFS('Taxes Withheld'!G:G,'Taxes Withheld'!C:C,'Import DV AUCS'!A30)</f>
        <v>0</v>
      </c>
      <c r="K30" s="562">
        <f t="shared" si="0"/>
        <v>0</v>
      </c>
      <c r="M30" t="s">
        <v>2687</v>
      </c>
      <c r="N30" t="s">
        <v>2683</v>
      </c>
      <c r="O30" t="s">
        <v>2678</v>
      </c>
    </row>
    <row r="31" spans="1:15">
      <c r="A31" t="s">
        <v>2763</v>
      </c>
      <c r="B31" t="s">
        <v>2674</v>
      </c>
      <c r="C31" t="s">
        <v>2764</v>
      </c>
      <c r="D31" s="562">
        <v>0</v>
      </c>
      <c r="E31" t="s">
        <v>2723</v>
      </c>
      <c r="F31" t="s">
        <v>2765</v>
      </c>
      <c r="G31" s="562">
        <v>0</v>
      </c>
      <c r="H31" s="562">
        <f>SUMIFS('Taxes Withheld'!F:F,'Taxes Withheld'!C:C,'Import DV AUCS'!A31)</f>
        <v>0</v>
      </c>
      <c r="I31" s="562">
        <f>SUMIFS('Taxes Withheld'!G:G,'Taxes Withheld'!C:C,'Import DV AUCS'!A31)</f>
        <v>0</v>
      </c>
      <c r="K31" s="562">
        <f t="shared" si="0"/>
        <v>0</v>
      </c>
      <c r="M31" t="s">
        <v>2687</v>
      </c>
      <c r="N31" t="s">
        <v>2683</v>
      </c>
      <c r="O31" t="s">
        <v>2678</v>
      </c>
    </row>
    <row r="32" spans="1:15">
      <c r="A32" t="s">
        <v>2766</v>
      </c>
      <c r="B32" t="s">
        <v>2674</v>
      </c>
      <c r="C32" t="s">
        <v>2666</v>
      </c>
      <c r="D32" s="562">
        <v>0</v>
      </c>
      <c r="E32" t="s">
        <v>2767</v>
      </c>
      <c r="F32" t="s">
        <v>2768</v>
      </c>
      <c r="G32" s="562">
        <v>16862.849999999999</v>
      </c>
      <c r="H32" s="562">
        <f>SUMIFS('Taxes Withheld'!F:F,'Taxes Withheld'!C:C,'Import DV AUCS'!A32)</f>
        <v>802.99285714285713</v>
      </c>
      <c r="I32" s="562">
        <f>SUMIFS('Taxes Withheld'!G:G,'Taxes Withheld'!C:C,'Import DV AUCS'!A32)</f>
        <v>321.2</v>
      </c>
      <c r="K32" s="562">
        <f t="shared" si="0"/>
        <v>1124.1928571428571</v>
      </c>
      <c r="M32" t="s">
        <v>392</v>
      </c>
      <c r="N32" t="s">
        <v>2681</v>
      </c>
      <c r="O32" t="s">
        <v>2679</v>
      </c>
    </row>
    <row r="33" spans="1:15">
      <c r="A33" t="s">
        <v>2769</v>
      </c>
      <c r="B33" t="s">
        <v>2674</v>
      </c>
      <c r="C33" t="s">
        <v>2666</v>
      </c>
      <c r="D33" s="562">
        <v>0</v>
      </c>
      <c r="E33" t="s">
        <v>2739</v>
      </c>
      <c r="F33" t="s">
        <v>2770</v>
      </c>
      <c r="G33" s="562">
        <v>8304.91</v>
      </c>
      <c r="H33" s="562">
        <f>SUMIFS('Taxes Withheld'!F:F,'Taxes Withheld'!C:C,'Import DV AUCS'!A33)</f>
        <v>391.74</v>
      </c>
      <c r="I33" s="562">
        <f>SUMIFS('Taxes Withheld'!G:G,'Taxes Withheld'!C:C,'Import DV AUCS'!A33)</f>
        <v>78.349999999999994</v>
      </c>
      <c r="K33" s="562">
        <f t="shared" si="0"/>
        <v>470.09000000000003</v>
      </c>
      <c r="M33" t="s">
        <v>392</v>
      </c>
      <c r="N33" t="s">
        <v>2681</v>
      </c>
      <c r="O33" t="s">
        <v>2679</v>
      </c>
    </row>
    <row r="34" spans="1:15">
      <c r="A34" t="s">
        <v>2771</v>
      </c>
      <c r="B34" t="s">
        <v>2674</v>
      </c>
      <c r="C34" t="s">
        <v>2666</v>
      </c>
      <c r="D34" s="562">
        <v>0</v>
      </c>
      <c r="E34" t="s">
        <v>2772</v>
      </c>
      <c r="F34" t="s">
        <v>2773</v>
      </c>
      <c r="G34" s="562">
        <v>28500</v>
      </c>
      <c r="H34" s="562">
        <f>SUMIFS('Taxes Withheld'!F:F,'Taxes Withheld'!C:C,'Import DV AUCS'!A34)</f>
        <v>900</v>
      </c>
      <c r="I34" s="562">
        <f>SUMIFS('Taxes Withheld'!G:G,'Taxes Withheld'!C:C,'Import DV AUCS'!A34)</f>
        <v>600</v>
      </c>
      <c r="K34" s="562">
        <f t="shared" si="0"/>
        <v>1500</v>
      </c>
      <c r="M34" t="s">
        <v>392</v>
      </c>
      <c r="N34" t="s">
        <v>2681</v>
      </c>
      <c r="O34" t="s">
        <v>2679</v>
      </c>
    </row>
    <row r="35" spans="1:15">
      <c r="A35" t="s">
        <v>2774</v>
      </c>
      <c r="B35" t="s">
        <v>2674</v>
      </c>
      <c r="C35" t="s">
        <v>2666</v>
      </c>
      <c r="D35" s="562">
        <v>0</v>
      </c>
      <c r="E35" t="s">
        <v>2775</v>
      </c>
      <c r="F35" t="s">
        <v>2752</v>
      </c>
      <c r="G35" s="562">
        <v>3710</v>
      </c>
      <c r="H35" s="562">
        <f>SUMIFS('Taxes Withheld'!F:F,'Taxes Withheld'!C:C,'Import DV AUCS'!A35)</f>
        <v>175</v>
      </c>
      <c r="I35" s="562">
        <f>SUMIFS('Taxes Withheld'!G:G,'Taxes Withheld'!C:C,'Import DV AUCS'!A35)</f>
        <v>35</v>
      </c>
      <c r="K35" s="562">
        <f t="shared" si="0"/>
        <v>210</v>
      </c>
      <c r="M35" t="s">
        <v>392</v>
      </c>
      <c r="N35" t="s">
        <v>2681</v>
      </c>
      <c r="O35" t="s">
        <v>2679</v>
      </c>
    </row>
    <row r="36" spans="1:15">
      <c r="A36" t="s">
        <v>2776</v>
      </c>
      <c r="B36" t="s">
        <v>2674</v>
      </c>
      <c r="C36" t="s">
        <v>2666</v>
      </c>
      <c r="D36" s="562">
        <v>0</v>
      </c>
      <c r="E36" t="s">
        <v>2777</v>
      </c>
      <c r="F36" t="s">
        <v>2778</v>
      </c>
      <c r="G36" s="562">
        <v>520698.79</v>
      </c>
      <c r="H36" s="562">
        <f>SUMIFS('Taxes Withheld'!F:F,'Taxes Withheld'!C:C,'Import DV AUCS'!A36)</f>
        <v>0</v>
      </c>
      <c r="I36" s="562">
        <f>SUMIFS('Taxes Withheld'!G:G,'Taxes Withheld'!C:C,'Import DV AUCS'!A36)</f>
        <v>0</v>
      </c>
      <c r="K36" s="562">
        <f t="shared" si="0"/>
        <v>0</v>
      </c>
      <c r="M36" t="s">
        <v>392</v>
      </c>
      <c r="N36" t="s">
        <v>2681</v>
      </c>
      <c r="O36" t="s">
        <v>2679</v>
      </c>
    </row>
    <row r="37" spans="1:15">
      <c r="A37" t="s">
        <v>2779</v>
      </c>
      <c r="B37" t="s">
        <v>2674</v>
      </c>
      <c r="C37" t="s">
        <v>2666</v>
      </c>
      <c r="D37" s="562">
        <v>0</v>
      </c>
      <c r="E37" t="s">
        <v>2720</v>
      </c>
      <c r="F37" t="s">
        <v>2780</v>
      </c>
      <c r="G37" s="562">
        <v>1406.25</v>
      </c>
      <c r="H37" s="562">
        <f>SUMIFS('Taxes Withheld'!F:F,'Taxes Withheld'!C:C,'Import DV AUCS'!A37)</f>
        <v>66.959999999999994</v>
      </c>
      <c r="I37" s="562">
        <f>SUMIFS('Taxes Withheld'!G:G,'Taxes Withheld'!C:C,'Import DV AUCS'!A37)</f>
        <v>26.79</v>
      </c>
      <c r="K37" s="562">
        <f t="shared" si="0"/>
        <v>93.75</v>
      </c>
      <c r="M37" t="s">
        <v>392</v>
      </c>
      <c r="N37" t="s">
        <v>2681</v>
      </c>
      <c r="O37" t="s">
        <v>2679</v>
      </c>
    </row>
    <row r="38" spans="1:15">
      <c r="A38" t="s">
        <v>2781</v>
      </c>
      <c r="B38" t="s">
        <v>2674</v>
      </c>
      <c r="C38" t="s">
        <v>2666</v>
      </c>
      <c r="D38" s="562">
        <v>0</v>
      </c>
      <c r="E38" t="s">
        <v>2782</v>
      </c>
      <c r="F38" t="s">
        <v>2783</v>
      </c>
      <c r="G38" s="562">
        <v>16875</v>
      </c>
      <c r="H38" s="562">
        <f>SUMIFS('Taxes Withheld'!F:F,'Taxes Withheld'!C:C,'Import DV AUCS'!A38)</f>
        <v>803.57</v>
      </c>
      <c r="I38" s="562">
        <f>SUMIFS('Taxes Withheld'!G:G,'Taxes Withheld'!C:C,'Import DV AUCS'!A38)</f>
        <v>321.43</v>
      </c>
      <c r="K38" s="562">
        <f t="shared" si="0"/>
        <v>1125</v>
      </c>
      <c r="M38" t="s">
        <v>392</v>
      </c>
      <c r="N38" t="s">
        <v>2681</v>
      </c>
      <c r="O38" t="s">
        <v>2679</v>
      </c>
    </row>
    <row r="39" spans="1:15">
      <c r="A39" t="s">
        <v>2784</v>
      </c>
      <c r="B39" t="s">
        <v>2674</v>
      </c>
      <c r="C39" t="s">
        <v>2666</v>
      </c>
      <c r="D39" s="562">
        <v>0</v>
      </c>
      <c r="E39" t="s">
        <v>2746</v>
      </c>
      <c r="F39" t="s">
        <v>2785</v>
      </c>
      <c r="G39" s="562">
        <v>7500</v>
      </c>
      <c r="H39" s="562">
        <f>SUMIFS('Taxes Withheld'!F:F,'Taxes Withheld'!C:C,'Import DV AUCS'!A39)</f>
        <v>357.14</v>
      </c>
      <c r="I39" s="562">
        <f>SUMIFS('Taxes Withheld'!G:G,'Taxes Withheld'!C:C,'Import DV AUCS'!A39)</f>
        <v>142.86000000000001</v>
      </c>
      <c r="K39" s="562">
        <f t="shared" si="0"/>
        <v>500</v>
      </c>
      <c r="M39" t="s">
        <v>392</v>
      </c>
      <c r="N39" t="s">
        <v>2681</v>
      </c>
      <c r="O39" t="s">
        <v>2679</v>
      </c>
    </row>
    <row r="40" spans="1:15">
      <c r="A40" t="s">
        <v>2786</v>
      </c>
      <c r="B40" t="s">
        <v>2674</v>
      </c>
      <c r="C40" t="s">
        <v>2666</v>
      </c>
      <c r="D40" s="562">
        <v>0</v>
      </c>
      <c r="E40" t="s">
        <v>2746</v>
      </c>
      <c r="F40" t="s">
        <v>2787</v>
      </c>
      <c r="G40" s="562">
        <v>4500</v>
      </c>
      <c r="H40" s="562">
        <f>SUMIFS('Taxes Withheld'!F:F,'Taxes Withheld'!C:C,'Import DV AUCS'!A40)</f>
        <v>214.29</v>
      </c>
      <c r="I40" s="562">
        <f>SUMIFS('Taxes Withheld'!G:G,'Taxes Withheld'!C:C,'Import DV AUCS'!A40)</f>
        <v>85.71</v>
      </c>
      <c r="K40" s="562">
        <f t="shared" si="0"/>
        <v>300</v>
      </c>
      <c r="M40" t="s">
        <v>392</v>
      </c>
      <c r="N40" t="s">
        <v>2681</v>
      </c>
      <c r="O40" t="s">
        <v>2679</v>
      </c>
    </row>
    <row r="41" spans="1:15">
      <c r="A41" t="s">
        <v>2788</v>
      </c>
      <c r="B41" t="s">
        <v>2674</v>
      </c>
      <c r="C41" t="s">
        <v>2666</v>
      </c>
      <c r="D41" s="562">
        <v>0</v>
      </c>
      <c r="E41" t="s">
        <v>2789</v>
      </c>
      <c r="F41" t="s">
        <v>2790</v>
      </c>
      <c r="G41" s="562">
        <v>0</v>
      </c>
      <c r="H41" s="562">
        <f>SUMIFS('Taxes Withheld'!F:F,'Taxes Withheld'!C:C,'Import DV AUCS'!A41)</f>
        <v>0</v>
      </c>
      <c r="I41" s="562">
        <f>SUMIFS('Taxes Withheld'!G:G,'Taxes Withheld'!C:C,'Import DV AUCS'!A41)</f>
        <v>0</v>
      </c>
      <c r="K41" s="562">
        <f t="shared" si="0"/>
        <v>0</v>
      </c>
      <c r="M41" t="s">
        <v>2687</v>
      </c>
      <c r="N41" t="s">
        <v>2683</v>
      </c>
      <c r="O41" t="s">
        <v>2678</v>
      </c>
    </row>
    <row r="42" spans="1:15">
      <c r="A42" t="s">
        <v>2791</v>
      </c>
      <c r="B42" t="s">
        <v>2674</v>
      </c>
      <c r="C42" t="s">
        <v>2666</v>
      </c>
      <c r="D42" s="562">
        <v>0</v>
      </c>
      <c r="E42" t="s">
        <v>2792</v>
      </c>
      <c r="F42" t="s">
        <v>2793</v>
      </c>
      <c r="G42" s="562">
        <v>0</v>
      </c>
      <c r="H42" s="562">
        <f>SUMIFS('Taxes Withheld'!F:F,'Taxes Withheld'!C:C,'Import DV AUCS'!A42)</f>
        <v>0</v>
      </c>
      <c r="I42" s="562">
        <f>SUMIFS('Taxes Withheld'!G:G,'Taxes Withheld'!C:C,'Import DV AUCS'!A42)</f>
        <v>0</v>
      </c>
      <c r="K42" s="562">
        <f t="shared" si="0"/>
        <v>0</v>
      </c>
      <c r="M42" t="s">
        <v>2687</v>
      </c>
      <c r="N42" t="s">
        <v>2683</v>
      </c>
      <c r="O42" t="s">
        <v>2678</v>
      </c>
    </row>
    <row r="43" spans="1:15">
      <c r="A43" t="s">
        <v>2794</v>
      </c>
      <c r="B43" t="s">
        <v>2674</v>
      </c>
      <c r="C43" t="s">
        <v>2666</v>
      </c>
      <c r="D43" s="562">
        <v>0</v>
      </c>
      <c r="E43" t="s">
        <v>2795</v>
      </c>
      <c r="F43" t="s">
        <v>2793</v>
      </c>
      <c r="G43" s="562">
        <v>0</v>
      </c>
      <c r="H43" s="562">
        <f>SUMIFS('Taxes Withheld'!F:F,'Taxes Withheld'!C:C,'Import DV AUCS'!A43)</f>
        <v>0</v>
      </c>
      <c r="I43" s="562">
        <f>SUMIFS('Taxes Withheld'!G:G,'Taxes Withheld'!C:C,'Import DV AUCS'!A43)</f>
        <v>0</v>
      </c>
      <c r="K43" s="562">
        <f t="shared" si="0"/>
        <v>0</v>
      </c>
      <c r="M43" t="s">
        <v>2687</v>
      </c>
      <c r="N43" t="s">
        <v>2683</v>
      </c>
      <c r="O43" t="s">
        <v>2678</v>
      </c>
    </row>
    <row r="44" spans="1:15">
      <c r="A44" t="s">
        <v>2796</v>
      </c>
      <c r="B44" t="s">
        <v>2674</v>
      </c>
      <c r="C44" t="s">
        <v>2666</v>
      </c>
      <c r="D44" s="562">
        <v>0</v>
      </c>
      <c r="E44" t="s">
        <v>2797</v>
      </c>
      <c r="F44" t="s">
        <v>2793</v>
      </c>
      <c r="G44" s="562">
        <v>0</v>
      </c>
      <c r="H44" s="562">
        <f>SUMIFS('Taxes Withheld'!F:F,'Taxes Withheld'!C:C,'Import DV AUCS'!A44)</f>
        <v>0</v>
      </c>
      <c r="I44" s="562">
        <f>SUMIFS('Taxes Withheld'!G:G,'Taxes Withheld'!C:C,'Import DV AUCS'!A44)</f>
        <v>0</v>
      </c>
      <c r="K44" s="562">
        <f t="shared" si="0"/>
        <v>0</v>
      </c>
      <c r="M44" t="s">
        <v>2687</v>
      </c>
      <c r="N44" t="s">
        <v>2683</v>
      </c>
      <c r="O44" t="s">
        <v>2678</v>
      </c>
    </row>
    <row r="45" spans="1:15">
      <c r="A45" t="s">
        <v>2798</v>
      </c>
      <c r="B45" t="s">
        <v>2674</v>
      </c>
      <c r="C45" t="s">
        <v>2666</v>
      </c>
      <c r="D45" s="562">
        <v>0</v>
      </c>
      <c r="E45" t="s">
        <v>2799</v>
      </c>
      <c r="F45" t="s">
        <v>2793</v>
      </c>
      <c r="G45" s="562">
        <v>0</v>
      </c>
      <c r="H45" s="562">
        <f>SUMIFS('Taxes Withheld'!F:F,'Taxes Withheld'!C:C,'Import DV AUCS'!A45)</f>
        <v>0</v>
      </c>
      <c r="I45" s="562">
        <f>SUMIFS('Taxes Withheld'!G:G,'Taxes Withheld'!C:C,'Import DV AUCS'!A45)</f>
        <v>0</v>
      </c>
      <c r="K45" s="562">
        <f t="shared" si="0"/>
        <v>0</v>
      </c>
      <c r="M45" t="s">
        <v>2687</v>
      </c>
      <c r="N45" t="s">
        <v>2683</v>
      </c>
      <c r="O45" t="s">
        <v>2678</v>
      </c>
    </row>
    <row r="46" spans="1:15">
      <c r="A46" t="s">
        <v>2800</v>
      </c>
      <c r="B46" t="s">
        <v>2674</v>
      </c>
      <c r="C46" t="s">
        <v>2666</v>
      </c>
      <c r="D46" s="562">
        <v>0</v>
      </c>
      <c r="E46" t="s">
        <v>2801</v>
      </c>
      <c r="F46" t="s">
        <v>2793</v>
      </c>
      <c r="G46" s="562">
        <v>2850</v>
      </c>
      <c r="H46" s="562">
        <f>SUMIFS('Taxes Withheld'!F:F,'Taxes Withheld'!C:C,'Import DV AUCS'!A46)</f>
        <v>90</v>
      </c>
      <c r="I46" s="562">
        <f>SUMIFS('Taxes Withheld'!G:G,'Taxes Withheld'!C:C,'Import DV AUCS'!A46)</f>
        <v>60</v>
      </c>
      <c r="K46" s="562">
        <f t="shared" si="0"/>
        <v>150</v>
      </c>
      <c r="M46" t="s">
        <v>392</v>
      </c>
      <c r="N46" t="s">
        <v>2681</v>
      </c>
      <c r="O46" t="s">
        <v>2679</v>
      </c>
    </row>
    <row r="47" spans="1:15">
      <c r="A47" t="s">
        <v>2802</v>
      </c>
      <c r="B47" t="s">
        <v>2674</v>
      </c>
      <c r="C47" t="s">
        <v>2666</v>
      </c>
      <c r="D47" s="562">
        <v>0</v>
      </c>
      <c r="E47" t="s">
        <v>2803</v>
      </c>
      <c r="F47" t="s">
        <v>2793</v>
      </c>
      <c r="G47" s="562">
        <v>0</v>
      </c>
      <c r="H47" s="562">
        <f>SUMIFS('Taxes Withheld'!F:F,'Taxes Withheld'!C:C,'Import DV AUCS'!A47)</f>
        <v>0</v>
      </c>
      <c r="I47" s="562">
        <f>SUMIFS('Taxes Withheld'!G:G,'Taxes Withheld'!C:C,'Import DV AUCS'!A47)</f>
        <v>0</v>
      </c>
      <c r="K47" s="562">
        <f t="shared" si="0"/>
        <v>0</v>
      </c>
      <c r="M47" t="s">
        <v>2687</v>
      </c>
      <c r="N47" t="s">
        <v>2683</v>
      </c>
      <c r="O47" t="s">
        <v>2678</v>
      </c>
    </row>
    <row r="48" spans="1:15">
      <c r="A48" t="s">
        <v>2804</v>
      </c>
      <c r="B48" t="s">
        <v>2674</v>
      </c>
      <c r="C48" t="s">
        <v>2666</v>
      </c>
      <c r="D48" s="562">
        <v>0</v>
      </c>
      <c r="E48" t="s">
        <v>2805</v>
      </c>
      <c r="F48" t="s">
        <v>2793</v>
      </c>
      <c r="G48" s="562">
        <v>0</v>
      </c>
      <c r="H48" s="562">
        <f>SUMIFS('Taxes Withheld'!F:F,'Taxes Withheld'!C:C,'Import DV AUCS'!A48)</f>
        <v>0</v>
      </c>
      <c r="I48" s="562">
        <f>SUMIFS('Taxes Withheld'!G:G,'Taxes Withheld'!C:C,'Import DV AUCS'!A48)</f>
        <v>0</v>
      </c>
      <c r="K48" s="562">
        <f t="shared" si="0"/>
        <v>0</v>
      </c>
      <c r="M48" t="s">
        <v>2687</v>
      </c>
      <c r="N48" t="s">
        <v>2683</v>
      </c>
      <c r="O48" t="s">
        <v>2678</v>
      </c>
    </row>
    <row r="49" spans="1:15">
      <c r="A49" t="s">
        <v>2806</v>
      </c>
      <c r="B49" t="s">
        <v>2674</v>
      </c>
      <c r="C49" t="s">
        <v>2666</v>
      </c>
      <c r="D49" s="562">
        <v>0</v>
      </c>
      <c r="E49" t="s">
        <v>2807</v>
      </c>
      <c r="F49" t="s">
        <v>2808</v>
      </c>
      <c r="G49" s="562">
        <v>0</v>
      </c>
      <c r="H49" s="562">
        <f>SUMIFS('Taxes Withheld'!F:F,'Taxes Withheld'!C:C,'Import DV AUCS'!A49)</f>
        <v>0</v>
      </c>
      <c r="I49" s="562">
        <f>SUMIFS('Taxes Withheld'!G:G,'Taxes Withheld'!C:C,'Import DV AUCS'!A49)</f>
        <v>0</v>
      </c>
      <c r="K49" s="562">
        <f t="shared" si="0"/>
        <v>0</v>
      </c>
      <c r="M49" t="s">
        <v>2687</v>
      </c>
      <c r="N49" t="s">
        <v>2683</v>
      </c>
      <c r="O49" t="s">
        <v>2678</v>
      </c>
    </row>
    <row r="50" spans="1:15">
      <c r="A50" t="s">
        <v>2809</v>
      </c>
      <c r="B50" t="s">
        <v>2674</v>
      </c>
      <c r="C50" t="s">
        <v>2810</v>
      </c>
      <c r="D50" s="562">
        <v>22550.49</v>
      </c>
      <c r="E50" t="s">
        <v>2811</v>
      </c>
      <c r="F50" t="s">
        <v>2812</v>
      </c>
      <c r="G50" s="562">
        <v>21342.43</v>
      </c>
      <c r="H50" s="562">
        <f>SUMIFS('Taxes Withheld'!F:F,'Taxes Withheld'!C:C,'Import DV AUCS'!A50)</f>
        <v>1006.72</v>
      </c>
      <c r="I50" s="562">
        <f>SUMIFS('Taxes Withheld'!G:G,'Taxes Withheld'!C:C,'Import DV AUCS'!A50)</f>
        <v>201.34</v>
      </c>
      <c r="K50" s="562">
        <f t="shared" si="0"/>
        <v>1208.06</v>
      </c>
      <c r="M50" t="s">
        <v>2687</v>
      </c>
      <c r="N50" t="s">
        <v>2683</v>
      </c>
      <c r="O50" t="s">
        <v>2678</v>
      </c>
    </row>
    <row r="51" spans="1:15">
      <c r="A51" t="s">
        <v>2813</v>
      </c>
      <c r="B51" t="s">
        <v>2674</v>
      </c>
      <c r="C51" t="s">
        <v>2814</v>
      </c>
      <c r="D51" s="562">
        <v>7800</v>
      </c>
      <c r="E51" t="s">
        <v>820</v>
      </c>
      <c r="F51" t="s">
        <v>2815</v>
      </c>
      <c r="G51" s="562">
        <v>7800</v>
      </c>
      <c r="H51" s="562">
        <f>SUMIFS('Taxes Withheld'!F:F,'Taxes Withheld'!C:C,'Import DV AUCS'!A51)</f>
        <v>0</v>
      </c>
      <c r="I51" s="562">
        <f>SUMIFS('Taxes Withheld'!G:G,'Taxes Withheld'!C:C,'Import DV AUCS'!A51)</f>
        <v>0</v>
      </c>
      <c r="K51" s="562">
        <f t="shared" si="0"/>
        <v>0</v>
      </c>
      <c r="M51" t="s">
        <v>2685</v>
      </c>
      <c r="N51" t="s">
        <v>2683</v>
      </c>
      <c r="O51" t="s">
        <v>2678</v>
      </c>
    </row>
    <row r="52" spans="1:15">
      <c r="A52" t="s">
        <v>2816</v>
      </c>
      <c r="B52" t="s">
        <v>2674</v>
      </c>
      <c r="C52" t="s">
        <v>2817</v>
      </c>
      <c r="D52" s="562">
        <v>7800</v>
      </c>
      <c r="E52" t="s">
        <v>821</v>
      </c>
      <c r="F52" t="s">
        <v>2815</v>
      </c>
      <c r="G52" s="562">
        <v>7800</v>
      </c>
      <c r="H52" s="562">
        <f>SUMIFS('Taxes Withheld'!F:F,'Taxes Withheld'!C:C,'Import DV AUCS'!A52)</f>
        <v>0</v>
      </c>
      <c r="I52" s="562">
        <f>SUMIFS('Taxes Withheld'!G:G,'Taxes Withheld'!C:C,'Import DV AUCS'!A52)</f>
        <v>0</v>
      </c>
      <c r="K52" s="562">
        <f t="shared" si="0"/>
        <v>0</v>
      </c>
      <c r="M52" t="s">
        <v>2685</v>
      </c>
      <c r="N52" t="s">
        <v>2683</v>
      </c>
      <c r="O52" t="s">
        <v>2678</v>
      </c>
    </row>
    <row r="53" spans="1:15">
      <c r="A53" t="s">
        <v>2818</v>
      </c>
      <c r="B53" t="s">
        <v>2674</v>
      </c>
      <c r="C53" t="s">
        <v>2819</v>
      </c>
      <c r="D53" s="562">
        <v>7800</v>
      </c>
      <c r="E53" t="s">
        <v>2820</v>
      </c>
      <c r="F53" t="s">
        <v>2815</v>
      </c>
      <c r="G53" s="562">
        <v>7800</v>
      </c>
      <c r="H53" s="562">
        <f>SUMIFS('Taxes Withheld'!F:F,'Taxes Withheld'!C:C,'Import DV AUCS'!A53)</f>
        <v>0</v>
      </c>
      <c r="I53" s="562">
        <f>SUMIFS('Taxes Withheld'!G:G,'Taxes Withheld'!C:C,'Import DV AUCS'!A53)</f>
        <v>0</v>
      </c>
      <c r="K53" s="562">
        <f t="shared" si="0"/>
        <v>0</v>
      </c>
      <c r="M53" t="s">
        <v>2685</v>
      </c>
      <c r="N53" t="s">
        <v>2683</v>
      </c>
      <c r="O53" t="s">
        <v>2678</v>
      </c>
    </row>
    <row r="54" spans="1:15">
      <c r="A54" t="s">
        <v>2821</v>
      </c>
      <c r="B54" t="s">
        <v>2674</v>
      </c>
      <c r="C54" t="s">
        <v>2822</v>
      </c>
      <c r="D54" s="562">
        <v>7800</v>
      </c>
      <c r="E54" t="s">
        <v>2823</v>
      </c>
      <c r="F54" t="s">
        <v>2815</v>
      </c>
      <c r="G54" s="562">
        <v>7800</v>
      </c>
      <c r="H54" s="562">
        <f>SUMIFS('Taxes Withheld'!F:F,'Taxes Withheld'!C:C,'Import DV AUCS'!A54)</f>
        <v>0</v>
      </c>
      <c r="I54" s="562">
        <f>SUMIFS('Taxes Withheld'!G:G,'Taxes Withheld'!C:C,'Import DV AUCS'!A54)</f>
        <v>0</v>
      </c>
      <c r="K54" s="562">
        <f t="shared" si="0"/>
        <v>0</v>
      </c>
      <c r="M54" t="s">
        <v>2685</v>
      </c>
      <c r="N54" t="s">
        <v>2683</v>
      </c>
      <c r="O54" t="s">
        <v>2678</v>
      </c>
    </row>
    <row r="55" spans="1:15">
      <c r="A55" t="s">
        <v>2824</v>
      </c>
      <c r="B55" t="s">
        <v>2674</v>
      </c>
      <c r="C55" t="s">
        <v>2825</v>
      </c>
      <c r="D55" s="562">
        <v>7800</v>
      </c>
      <c r="E55" t="s">
        <v>2826</v>
      </c>
      <c r="F55" t="s">
        <v>2815</v>
      </c>
      <c r="G55" s="562">
        <v>7800</v>
      </c>
      <c r="H55" s="562">
        <f>SUMIFS('Taxes Withheld'!F:F,'Taxes Withheld'!C:C,'Import DV AUCS'!A55)</f>
        <v>0</v>
      </c>
      <c r="I55" s="562">
        <f>SUMIFS('Taxes Withheld'!G:G,'Taxes Withheld'!C:C,'Import DV AUCS'!A55)</f>
        <v>0</v>
      </c>
      <c r="K55" s="562">
        <f t="shared" si="0"/>
        <v>0</v>
      </c>
      <c r="M55" t="s">
        <v>2685</v>
      </c>
      <c r="N55" t="s">
        <v>2683</v>
      </c>
      <c r="O55" t="s">
        <v>2678</v>
      </c>
    </row>
    <row r="56" spans="1:15">
      <c r="A56" t="s">
        <v>2827</v>
      </c>
      <c r="B56" t="s">
        <v>2674</v>
      </c>
      <c r="C56" t="s">
        <v>2666</v>
      </c>
      <c r="D56" s="562">
        <v>0</v>
      </c>
      <c r="E56" t="s">
        <v>10</v>
      </c>
      <c r="F56" t="s">
        <v>2828</v>
      </c>
      <c r="G56" s="562">
        <v>331488.05</v>
      </c>
      <c r="H56" s="562">
        <f>SUMIFS('Taxes Withheld'!F:F,'Taxes Withheld'!C:C,'Import DV AUCS'!A56)</f>
        <v>0</v>
      </c>
      <c r="I56" s="562">
        <f>SUMIFS('Taxes Withheld'!G:G,'Taxes Withheld'!C:C,'Import DV AUCS'!A56)</f>
        <v>0</v>
      </c>
      <c r="K56" s="562">
        <f t="shared" si="0"/>
        <v>0</v>
      </c>
      <c r="M56" t="s">
        <v>2662</v>
      </c>
      <c r="N56" t="s">
        <v>2053</v>
      </c>
      <c r="O56" t="s">
        <v>2680</v>
      </c>
    </row>
    <row r="57" spans="1:15">
      <c r="A57" t="s">
        <v>2829</v>
      </c>
      <c r="B57" t="s">
        <v>2674</v>
      </c>
      <c r="C57" t="s">
        <v>2666</v>
      </c>
      <c r="D57" s="562">
        <v>0</v>
      </c>
      <c r="E57" t="s">
        <v>777</v>
      </c>
      <c r="F57" t="s">
        <v>2828</v>
      </c>
      <c r="G57" s="562">
        <v>104743.46</v>
      </c>
      <c r="H57" s="562">
        <f>SUMIFS('Taxes Withheld'!F:F,'Taxes Withheld'!C:C,'Import DV AUCS'!A57)</f>
        <v>0</v>
      </c>
      <c r="I57" s="562">
        <f>SUMIFS('Taxes Withheld'!G:G,'Taxes Withheld'!C:C,'Import DV AUCS'!A57)</f>
        <v>0</v>
      </c>
      <c r="K57" s="562">
        <f t="shared" si="0"/>
        <v>0</v>
      </c>
      <c r="M57" t="s">
        <v>2662</v>
      </c>
      <c r="N57" t="s">
        <v>2053</v>
      </c>
      <c r="O57" t="s">
        <v>2680</v>
      </c>
    </row>
    <row r="58" spans="1:15">
      <c r="A58" t="s">
        <v>2830</v>
      </c>
      <c r="B58" t="s">
        <v>2674</v>
      </c>
      <c r="C58" t="s">
        <v>2666</v>
      </c>
      <c r="D58" s="562">
        <v>0</v>
      </c>
      <c r="E58" t="s">
        <v>764</v>
      </c>
      <c r="F58" t="s">
        <v>2828</v>
      </c>
      <c r="G58" s="562">
        <v>76343.490000000005</v>
      </c>
      <c r="H58" s="562">
        <f>SUMIFS('Taxes Withheld'!F:F,'Taxes Withheld'!C:C,'Import DV AUCS'!A58)</f>
        <v>0</v>
      </c>
      <c r="I58" s="562">
        <f>SUMIFS('Taxes Withheld'!G:G,'Taxes Withheld'!C:C,'Import DV AUCS'!A58)</f>
        <v>0</v>
      </c>
      <c r="K58" s="562">
        <f t="shared" si="0"/>
        <v>0</v>
      </c>
      <c r="M58" t="s">
        <v>2662</v>
      </c>
      <c r="N58" t="s">
        <v>2053</v>
      </c>
      <c r="O58" t="s">
        <v>2680</v>
      </c>
    </row>
    <row r="59" spans="1:15">
      <c r="A59" t="s">
        <v>2831</v>
      </c>
      <c r="B59" t="s">
        <v>2674</v>
      </c>
      <c r="C59" t="s">
        <v>2666</v>
      </c>
      <c r="D59" s="562">
        <v>0</v>
      </c>
      <c r="E59" t="s">
        <v>768</v>
      </c>
      <c r="F59" t="s">
        <v>2828</v>
      </c>
      <c r="G59" s="562">
        <v>138575.47</v>
      </c>
      <c r="H59" s="562">
        <f>SUMIFS('Taxes Withheld'!F:F,'Taxes Withheld'!C:C,'Import DV AUCS'!A59)</f>
        <v>0</v>
      </c>
      <c r="I59" s="562">
        <f>SUMIFS('Taxes Withheld'!G:G,'Taxes Withheld'!C:C,'Import DV AUCS'!A59)</f>
        <v>0</v>
      </c>
      <c r="K59" s="562">
        <f t="shared" si="0"/>
        <v>0</v>
      </c>
      <c r="M59" t="s">
        <v>2662</v>
      </c>
      <c r="N59" t="s">
        <v>2053</v>
      </c>
      <c r="O59" t="s">
        <v>2680</v>
      </c>
    </row>
    <row r="60" spans="1:15">
      <c r="A60" t="s">
        <v>2832</v>
      </c>
      <c r="B60" t="s">
        <v>2674</v>
      </c>
      <c r="C60" t="s">
        <v>2666</v>
      </c>
      <c r="D60" s="562">
        <v>0</v>
      </c>
      <c r="E60" t="s">
        <v>765</v>
      </c>
      <c r="F60" t="s">
        <v>2828</v>
      </c>
      <c r="G60" s="562">
        <v>81815.55</v>
      </c>
      <c r="H60" s="562">
        <f>SUMIFS('Taxes Withheld'!F:F,'Taxes Withheld'!C:C,'Import DV AUCS'!A60)</f>
        <v>0</v>
      </c>
      <c r="I60" s="562">
        <f>SUMIFS('Taxes Withheld'!G:G,'Taxes Withheld'!C:C,'Import DV AUCS'!A60)</f>
        <v>0</v>
      </c>
      <c r="K60" s="562">
        <f t="shared" si="0"/>
        <v>0</v>
      </c>
      <c r="M60" t="s">
        <v>2662</v>
      </c>
      <c r="N60" t="s">
        <v>2053</v>
      </c>
      <c r="O60" t="s">
        <v>2680</v>
      </c>
    </row>
    <row r="61" spans="1:15">
      <c r="A61" t="s">
        <v>2833</v>
      </c>
      <c r="B61" t="s">
        <v>2674</v>
      </c>
      <c r="C61" t="s">
        <v>2666</v>
      </c>
      <c r="D61" s="562">
        <v>0</v>
      </c>
      <c r="E61" t="s">
        <v>2834</v>
      </c>
      <c r="F61" t="s">
        <v>2828</v>
      </c>
      <c r="G61" s="562">
        <v>82918.22</v>
      </c>
      <c r="H61" s="562">
        <f>SUMIFS('Taxes Withheld'!F:F,'Taxes Withheld'!C:C,'Import DV AUCS'!A61)</f>
        <v>0</v>
      </c>
      <c r="I61" s="562">
        <f>SUMIFS('Taxes Withheld'!G:G,'Taxes Withheld'!C:C,'Import DV AUCS'!A61)</f>
        <v>0</v>
      </c>
      <c r="K61" s="562">
        <f t="shared" si="0"/>
        <v>0</v>
      </c>
      <c r="M61" t="s">
        <v>2662</v>
      </c>
      <c r="N61" t="s">
        <v>2053</v>
      </c>
      <c r="O61" t="s">
        <v>2680</v>
      </c>
    </row>
    <row r="62" spans="1:15">
      <c r="A62" t="s">
        <v>2835</v>
      </c>
      <c r="B62" t="s">
        <v>2674</v>
      </c>
      <c r="C62" t="s">
        <v>2836</v>
      </c>
      <c r="D62" s="562">
        <v>4313.25</v>
      </c>
      <c r="E62" t="s">
        <v>2709</v>
      </c>
      <c r="F62" t="s">
        <v>2837</v>
      </c>
      <c r="G62" s="562">
        <v>4313.25</v>
      </c>
      <c r="H62" s="562">
        <f>SUMIFS('Taxes Withheld'!F:F,'Taxes Withheld'!C:C,'Import DV AUCS'!A62)</f>
        <v>0</v>
      </c>
      <c r="I62" s="562">
        <f>SUMIFS('Taxes Withheld'!G:G,'Taxes Withheld'!C:C,'Import DV AUCS'!A62)</f>
        <v>0</v>
      </c>
      <c r="K62" s="562">
        <f t="shared" si="0"/>
        <v>0</v>
      </c>
      <c r="M62" t="s">
        <v>2687</v>
      </c>
      <c r="N62" t="s">
        <v>2683</v>
      </c>
      <c r="O62" t="s">
        <v>2678</v>
      </c>
    </row>
    <row r="63" spans="1:15">
      <c r="A63" t="s">
        <v>2838</v>
      </c>
      <c r="B63" t="s">
        <v>2674</v>
      </c>
      <c r="C63" t="s">
        <v>2666</v>
      </c>
      <c r="D63" s="562">
        <v>0</v>
      </c>
      <c r="E63" t="s">
        <v>2839</v>
      </c>
      <c r="F63" t="s">
        <v>2840</v>
      </c>
      <c r="G63" s="562">
        <v>73005.710000000006</v>
      </c>
      <c r="H63" s="562">
        <f>SUMIFS('Taxes Withheld'!F:F,'Taxes Withheld'!C:C,'Import DV AUCS'!A63)</f>
        <v>0</v>
      </c>
      <c r="I63" s="562">
        <f>SUMIFS('Taxes Withheld'!G:G,'Taxes Withheld'!C:C,'Import DV AUCS'!A63)</f>
        <v>0</v>
      </c>
      <c r="K63" s="562">
        <f t="shared" si="0"/>
        <v>0</v>
      </c>
      <c r="M63" t="s">
        <v>392</v>
      </c>
      <c r="N63" t="s">
        <v>2681</v>
      </c>
      <c r="O63" t="s">
        <v>2679</v>
      </c>
    </row>
    <row r="64" spans="1:15">
      <c r="A64" t="s">
        <v>2841</v>
      </c>
      <c r="B64" t="s">
        <v>2674</v>
      </c>
      <c r="C64" t="s">
        <v>2666</v>
      </c>
      <c r="D64" s="562">
        <v>0</v>
      </c>
      <c r="E64" t="s">
        <v>2746</v>
      </c>
      <c r="F64" t="s">
        <v>2842</v>
      </c>
      <c r="G64" s="562">
        <v>7500</v>
      </c>
      <c r="H64" s="562">
        <f>SUMIFS('Taxes Withheld'!F:F,'Taxes Withheld'!C:C,'Import DV AUCS'!A64)</f>
        <v>357.14</v>
      </c>
      <c r="I64" s="562">
        <f>SUMIFS('Taxes Withheld'!G:G,'Taxes Withheld'!C:C,'Import DV AUCS'!A64)</f>
        <v>142.86000000000001</v>
      </c>
      <c r="K64" s="562">
        <f t="shared" si="0"/>
        <v>500</v>
      </c>
      <c r="M64" t="s">
        <v>392</v>
      </c>
      <c r="N64" t="s">
        <v>2681</v>
      </c>
      <c r="O64" t="s">
        <v>2679</v>
      </c>
    </row>
    <row r="65" spans="1:15">
      <c r="A65" t="s">
        <v>2843</v>
      </c>
      <c r="B65" t="s">
        <v>2674</v>
      </c>
      <c r="C65" t="s">
        <v>2668</v>
      </c>
      <c r="D65" s="562">
        <v>160190.04</v>
      </c>
      <c r="E65" t="s">
        <v>2844</v>
      </c>
      <c r="F65" t="s">
        <v>2845</v>
      </c>
      <c r="G65" s="562">
        <v>0</v>
      </c>
      <c r="H65" s="562">
        <f>SUMIFS('Taxes Withheld'!F:F,'Taxes Withheld'!C:C,'Import DV AUCS'!A65)</f>
        <v>0</v>
      </c>
      <c r="I65" s="562">
        <f>SUMIFS('Taxes Withheld'!G:G,'Taxes Withheld'!C:C,'Import DV AUCS'!A65)</f>
        <v>0</v>
      </c>
      <c r="K65" s="562">
        <f t="shared" si="0"/>
        <v>0</v>
      </c>
      <c r="M65" t="s">
        <v>2687</v>
      </c>
      <c r="N65" t="s">
        <v>2683</v>
      </c>
      <c r="O65" t="s">
        <v>2678</v>
      </c>
    </row>
    <row r="66" spans="1:15">
      <c r="A66" t="s">
        <v>2846</v>
      </c>
      <c r="B66" t="s">
        <v>2674</v>
      </c>
      <c r="C66" t="s">
        <v>2669</v>
      </c>
      <c r="D66" s="562">
        <v>10311.43</v>
      </c>
      <c r="E66" t="s">
        <v>2844</v>
      </c>
      <c r="F66" t="s">
        <v>2847</v>
      </c>
      <c r="G66" s="562">
        <v>0</v>
      </c>
      <c r="H66" s="562">
        <f>SUMIFS('Taxes Withheld'!F:F,'Taxes Withheld'!C:C,'Import DV AUCS'!A66)</f>
        <v>0</v>
      </c>
      <c r="I66" s="562">
        <f>SUMIFS('Taxes Withheld'!G:G,'Taxes Withheld'!C:C,'Import DV AUCS'!A66)</f>
        <v>0</v>
      </c>
      <c r="K66" s="562">
        <f t="shared" si="0"/>
        <v>0</v>
      </c>
      <c r="M66" t="s">
        <v>2687</v>
      </c>
      <c r="N66" t="s">
        <v>2683</v>
      </c>
      <c r="O66" t="s">
        <v>2678</v>
      </c>
    </row>
    <row r="67" spans="1:15">
      <c r="A67" t="s">
        <v>2848</v>
      </c>
      <c r="B67" t="s">
        <v>2674</v>
      </c>
      <c r="C67" t="s">
        <v>2666</v>
      </c>
      <c r="D67" s="562">
        <v>0</v>
      </c>
      <c r="E67" t="s">
        <v>2849</v>
      </c>
      <c r="F67" t="s">
        <v>2850</v>
      </c>
      <c r="G67" s="562">
        <v>9230.6299999999992</v>
      </c>
      <c r="H67" s="562">
        <f>SUMIFS('Taxes Withheld'!F:F,'Taxes Withheld'!C:C,'Import DV AUCS'!A67)</f>
        <v>439.55</v>
      </c>
      <c r="I67" s="562">
        <f>SUMIFS('Taxes Withheld'!G:G,'Taxes Withheld'!C:C,'Import DV AUCS'!A67)</f>
        <v>175.82</v>
      </c>
      <c r="K67" s="562">
        <f t="shared" si="0"/>
        <v>615.37</v>
      </c>
      <c r="M67" t="s">
        <v>392</v>
      </c>
      <c r="N67" t="s">
        <v>2681</v>
      </c>
      <c r="O67" t="s">
        <v>2679</v>
      </c>
    </row>
    <row r="68" spans="1:15">
      <c r="A68" t="s">
        <v>2851</v>
      </c>
      <c r="B68" t="s">
        <v>2674</v>
      </c>
      <c r="C68" t="s">
        <v>2666</v>
      </c>
      <c r="D68" s="562">
        <v>0</v>
      </c>
      <c r="E68" t="s">
        <v>2720</v>
      </c>
      <c r="F68" t="s">
        <v>2852</v>
      </c>
      <c r="G68" s="562">
        <v>0</v>
      </c>
      <c r="H68" s="562">
        <f>SUMIFS('Taxes Withheld'!F:F,'Taxes Withheld'!C:C,'Import DV AUCS'!A68)</f>
        <v>0</v>
      </c>
      <c r="I68" s="562">
        <f>SUMIFS('Taxes Withheld'!G:G,'Taxes Withheld'!C:C,'Import DV AUCS'!A68)</f>
        <v>0</v>
      </c>
      <c r="K68" s="562">
        <f t="shared" ref="K68:K131" si="1">H68+I68+J68</f>
        <v>0</v>
      </c>
      <c r="M68" t="s">
        <v>2687</v>
      </c>
      <c r="N68" t="s">
        <v>2683</v>
      </c>
      <c r="O68" t="s">
        <v>2678</v>
      </c>
    </row>
    <row r="69" spans="1:15">
      <c r="A69" t="s">
        <v>2853</v>
      </c>
      <c r="B69" t="s">
        <v>2674</v>
      </c>
      <c r="C69" t="s">
        <v>2666</v>
      </c>
      <c r="D69" s="562">
        <v>0</v>
      </c>
      <c r="E69" t="s">
        <v>1677</v>
      </c>
      <c r="F69" t="s">
        <v>2854</v>
      </c>
      <c r="G69" s="562">
        <v>1218.24</v>
      </c>
      <c r="H69" s="562">
        <f>SUMIFS('Taxes Withheld'!F:F,'Taxes Withheld'!C:C,'Import DV AUCS'!A69)</f>
        <v>38.07</v>
      </c>
      <c r="I69" s="562">
        <f>SUMIFS('Taxes Withheld'!G:G,'Taxes Withheld'!C:C,'Import DV AUCS'!A69)</f>
        <v>12.69</v>
      </c>
      <c r="K69" s="562">
        <f t="shared" si="1"/>
        <v>50.76</v>
      </c>
      <c r="M69" t="s">
        <v>392</v>
      </c>
      <c r="N69" t="s">
        <v>2681</v>
      </c>
      <c r="O69" t="s">
        <v>2679</v>
      </c>
    </row>
    <row r="70" spans="1:15">
      <c r="A70" t="s">
        <v>2855</v>
      </c>
      <c r="B70" t="s">
        <v>2674</v>
      </c>
      <c r="C70" t="s">
        <v>2670</v>
      </c>
      <c r="D70" s="562">
        <v>59500</v>
      </c>
      <c r="E70" t="s">
        <v>2751</v>
      </c>
      <c r="F70" t="s">
        <v>2856</v>
      </c>
      <c r="G70" s="562">
        <v>57120</v>
      </c>
      <c r="H70" s="562">
        <f>SUMIFS('Taxes Withheld'!F:F,'Taxes Withheld'!C:C,'Import DV AUCS'!A70)</f>
        <v>1785</v>
      </c>
      <c r="I70" s="562">
        <f>SUMIFS('Taxes Withheld'!G:G,'Taxes Withheld'!C:C,'Import DV AUCS'!A70)</f>
        <v>595</v>
      </c>
      <c r="K70" s="562">
        <f t="shared" si="1"/>
        <v>2380</v>
      </c>
      <c r="M70" t="s">
        <v>2687</v>
      </c>
      <c r="N70" t="s">
        <v>2683</v>
      </c>
      <c r="O70" t="s">
        <v>2678</v>
      </c>
    </row>
    <row r="71" spans="1:15">
      <c r="A71" t="s">
        <v>2857</v>
      </c>
      <c r="B71" t="s">
        <v>2674</v>
      </c>
      <c r="C71" t="s">
        <v>2858</v>
      </c>
      <c r="D71" s="562">
        <v>18046.37</v>
      </c>
      <c r="E71" t="s">
        <v>1761</v>
      </c>
      <c r="F71" t="s">
        <v>2859</v>
      </c>
      <c r="G71" s="562">
        <v>13940.25</v>
      </c>
      <c r="H71" s="562">
        <f>SUMIFS('Taxes Withheld'!F:F,'Taxes Withheld'!C:C,'Import DV AUCS'!A71)</f>
        <v>0</v>
      </c>
      <c r="I71" s="562">
        <f>SUMIFS('Taxes Withheld'!G:G,'Taxes Withheld'!C:C,'Import DV AUCS'!A71)</f>
        <v>0</v>
      </c>
      <c r="K71" s="562">
        <f t="shared" si="1"/>
        <v>0</v>
      </c>
      <c r="M71" t="s">
        <v>2687</v>
      </c>
      <c r="N71" t="s">
        <v>2683</v>
      </c>
      <c r="O71" t="s">
        <v>2678</v>
      </c>
    </row>
    <row r="72" spans="1:15">
      <c r="A72" t="s">
        <v>2860</v>
      </c>
      <c r="B72" t="s">
        <v>2674</v>
      </c>
      <c r="C72" t="s">
        <v>2666</v>
      </c>
      <c r="D72" s="562">
        <v>0</v>
      </c>
      <c r="E72" t="s">
        <v>2861</v>
      </c>
      <c r="F72" t="s">
        <v>2862</v>
      </c>
      <c r="G72" s="562">
        <v>0</v>
      </c>
      <c r="H72" s="562">
        <f>SUMIFS('Taxes Withheld'!F:F,'Taxes Withheld'!C:C,'Import DV AUCS'!A72)</f>
        <v>0</v>
      </c>
      <c r="I72" s="562">
        <f>SUMIFS('Taxes Withheld'!G:G,'Taxes Withheld'!C:C,'Import DV AUCS'!A72)</f>
        <v>0</v>
      </c>
      <c r="K72" s="562">
        <f t="shared" si="1"/>
        <v>0</v>
      </c>
      <c r="M72" t="s">
        <v>2687</v>
      </c>
      <c r="N72" t="s">
        <v>2683</v>
      </c>
      <c r="O72" t="s">
        <v>2678</v>
      </c>
    </row>
    <row r="73" spans="1:15">
      <c r="A73" t="s">
        <v>2863</v>
      </c>
      <c r="B73" t="s">
        <v>2674</v>
      </c>
      <c r="C73" t="s">
        <v>2666</v>
      </c>
      <c r="D73" s="562">
        <v>0</v>
      </c>
      <c r="E73" t="s">
        <v>2864</v>
      </c>
      <c r="F73" t="s">
        <v>2865</v>
      </c>
      <c r="G73" s="562">
        <v>0</v>
      </c>
      <c r="H73" s="562">
        <f>SUMIFS('Taxes Withheld'!F:F,'Taxes Withheld'!C:C,'Import DV AUCS'!A73)</f>
        <v>0</v>
      </c>
      <c r="I73" s="562">
        <f>SUMIFS('Taxes Withheld'!G:G,'Taxes Withheld'!C:C,'Import DV AUCS'!A73)</f>
        <v>0</v>
      </c>
      <c r="K73" s="562">
        <f t="shared" si="1"/>
        <v>0</v>
      </c>
      <c r="M73" t="s">
        <v>2687</v>
      </c>
      <c r="N73" t="s">
        <v>2683</v>
      </c>
      <c r="O73" t="s">
        <v>2678</v>
      </c>
    </row>
    <row r="74" spans="1:15">
      <c r="A74" t="s">
        <v>2866</v>
      </c>
      <c r="B74" t="s">
        <v>2674</v>
      </c>
      <c r="C74" t="s">
        <v>2666</v>
      </c>
      <c r="D74" s="562">
        <v>0</v>
      </c>
      <c r="E74" t="s">
        <v>2739</v>
      </c>
      <c r="F74" t="s">
        <v>2867</v>
      </c>
      <c r="G74" s="562">
        <v>8762.98</v>
      </c>
      <c r="H74" s="562">
        <f>SUMIFS('Taxes Withheld'!F:F,'Taxes Withheld'!C:C,'Import DV AUCS'!A74)</f>
        <v>413.35</v>
      </c>
      <c r="I74" s="562">
        <f>SUMIFS('Taxes Withheld'!G:G,'Taxes Withheld'!C:C,'Import DV AUCS'!A74)</f>
        <v>82.67</v>
      </c>
      <c r="K74" s="562">
        <f t="shared" si="1"/>
        <v>496.02000000000004</v>
      </c>
      <c r="M74" t="s">
        <v>392</v>
      </c>
      <c r="N74" t="s">
        <v>2681</v>
      </c>
      <c r="O74" t="s">
        <v>2679</v>
      </c>
    </row>
    <row r="75" spans="1:15">
      <c r="A75" t="s">
        <v>2868</v>
      </c>
      <c r="B75" t="s">
        <v>2674</v>
      </c>
      <c r="C75" t="s">
        <v>2666</v>
      </c>
      <c r="D75" s="562">
        <v>0</v>
      </c>
      <c r="E75" t="s">
        <v>2739</v>
      </c>
      <c r="F75" t="s">
        <v>2869</v>
      </c>
      <c r="G75" s="562">
        <v>17035.72</v>
      </c>
      <c r="H75" s="562">
        <f>SUMIFS('Taxes Withheld'!F:F,'Taxes Withheld'!C:C,'Import DV AUCS'!A75)</f>
        <v>803.57</v>
      </c>
      <c r="I75" s="562">
        <f>SUMIFS('Taxes Withheld'!G:G,'Taxes Withheld'!C:C,'Import DV AUCS'!A75)</f>
        <v>160.71</v>
      </c>
      <c r="K75" s="562">
        <f t="shared" si="1"/>
        <v>964.28000000000009</v>
      </c>
      <c r="M75" t="s">
        <v>392</v>
      </c>
      <c r="N75" t="s">
        <v>2681</v>
      </c>
      <c r="O75" t="s">
        <v>2679</v>
      </c>
    </row>
    <row r="76" spans="1:15">
      <c r="A76" t="s">
        <v>2870</v>
      </c>
      <c r="B76" t="s">
        <v>2674</v>
      </c>
      <c r="C76" t="s">
        <v>2666</v>
      </c>
      <c r="D76" s="562">
        <v>0</v>
      </c>
      <c r="E76" t="s">
        <v>2871</v>
      </c>
      <c r="F76" t="s">
        <v>2872</v>
      </c>
      <c r="G76" s="562">
        <v>8044.65</v>
      </c>
      <c r="H76" s="562">
        <f>SUMIFS('Taxes Withheld'!F:F,'Taxes Withheld'!C:C,'Import DV AUCS'!A76)</f>
        <v>379.46</v>
      </c>
      <c r="I76" s="562">
        <f>SUMIFS('Taxes Withheld'!G:G,'Taxes Withheld'!C:C,'Import DV AUCS'!A76)</f>
        <v>75.89</v>
      </c>
      <c r="K76" s="562">
        <f t="shared" si="1"/>
        <v>455.34999999999997</v>
      </c>
      <c r="M76" t="s">
        <v>392</v>
      </c>
      <c r="N76" t="s">
        <v>2681</v>
      </c>
      <c r="O76" t="s">
        <v>2679</v>
      </c>
    </row>
    <row r="77" spans="1:15">
      <c r="A77" t="s">
        <v>2873</v>
      </c>
      <c r="B77" t="s">
        <v>2674</v>
      </c>
      <c r="C77" t="s">
        <v>2666</v>
      </c>
      <c r="D77" s="562">
        <v>0</v>
      </c>
      <c r="E77" t="s">
        <v>2871</v>
      </c>
      <c r="F77" t="s">
        <v>2874</v>
      </c>
      <c r="G77" s="562">
        <v>44103.57</v>
      </c>
      <c r="H77" s="562">
        <f>SUMIFS('Taxes Withheld'!F:F,'Taxes Withheld'!C:C,'Import DV AUCS'!A77)</f>
        <v>2080.36</v>
      </c>
      <c r="I77" s="562">
        <f>SUMIFS('Taxes Withheld'!G:G,'Taxes Withheld'!C:C,'Import DV AUCS'!A77)</f>
        <v>416.07</v>
      </c>
      <c r="K77" s="562">
        <f t="shared" si="1"/>
        <v>2496.4300000000003</v>
      </c>
      <c r="M77" t="s">
        <v>392</v>
      </c>
      <c r="N77" t="s">
        <v>2681</v>
      </c>
      <c r="O77" t="s">
        <v>2679</v>
      </c>
    </row>
    <row r="78" spans="1:15">
      <c r="A78" t="s">
        <v>2875</v>
      </c>
      <c r="B78" t="s">
        <v>2674</v>
      </c>
      <c r="C78" t="s">
        <v>2666</v>
      </c>
      <c r="D78" s="562">
        <v>0</v>
      </c>
      <c r="E78" t="s">
        <v>2876</v>
      </c>
      <c r="F78" t="s">
        <v>2877</v>
      </c>
      <c r="G78" s="562">
        <v>0</v>
      </c>
      <c r="H78" s="562">
        <f>SUMIFS('Taxes Withheld'!F:F,'Taxes Withheld'!C:C,'Import DV AUCS'!A78)</f>
        <v>0</v>
      </c>
      <c r="I78" s="562">
        <f>SUMIFS('Taxes Withheld'!G:G,'Taxes Withheld'!C:C,'Import DV AUCS'!A78)</f>
        <v>0</v>
      </c>
      <c r="K78" s="562">
        <f t="shared" si="1"/>
        <v>0</v>
      </c>
      <c r="M78" t="s">
        <v>2687</v>
      </c>
      <c r="N78" t="s">
        <v>2683</v>
      </c>
      <c r="O78" t="s">
        <v>2678</v>
      </c>
    </row>
    <row r="79" spans="1:15">
      <c r="A79" t="s">
        <v>2878</v>
      </c>
      <c r="B79" t="s">
        <v>2674</v>
      </c>
      <c r="C79" t="s">
        <v>2666</v>
      </c>
      <c r="D79" s="562">
        <v>0</v>
      </c>
      <c r="E79" t="s">
        <v>2879</v>
      </c>
      <c r="F79" t="s">
        <v>2880</v>
      </c>
      <c r="G79" s="562">
        <v>0</v>
      </c>
      <c r="H79" s="562">
        <f>SUMIFS('Taxes Withheld'!F:F,'Taxes Withheld'!C:C,'Import DV AUCS'!A79)</f>
        <v>0</v>
      </c>
      <c r="I79" s="562">
        <f>SUMIFS('Taxes Withheld'!G:G,'Taxes Withheld'!C:C,'Import DV AUCS'!A79)</f>
        <v>0</v>
      </c>
      <c r="K79" s="562">
        <f t="shared" si="1"/>
        <v>0</v>
      </c>
      <c r="M79" t="s">
        <v>2687</v>
      </c>
      <c r="N79" t="s">
        <v>2683</v>
      </c>
      <c r="O79" t="s">
        <v>2678</v>
      </c>
    </row>
    <row r="80" spans="1:15">
      <c r="A80" t="s">
        <v>2881</v>
      </c>
      <c r="B80" t="s">
        <v>2674</v>
      </c>
      <c r="C80" t="s">
        <v>2666</v>
      </c>
      <c r="D80" s="562">
        <v>0</v>
      </c>
      <c r="E80" t="s">
        <v>2882</v>
      </c>
      <c r="F80" t="s">
        <v>2883</v>
      </c>
      <c r="G80" s="562">
        <v>0</v>
      </c>
      <c r="H80" s="562">
        <f>SUMIFS('Taxes Withheld'!F:F,'Taxes Withheld'!C:C,'Import DV AUCS'!A80)</f>
        <v>0</v>
      </c>
      <c r="I80" s="562">
        <f>SUMIFS('Taxes Withheld'!G:G,'Taxes Withheld'!C:C,'Import DV AUCS'!A80)</f>
        <v>0</v>
      </c>
      <c r="K80" s="562">
        <f t="shared" si="1"/>
        <v>0</v>
      </c>
      <c r="M80" t="s">
        <v>2687</v>
      </c>
      <c r="N80" t="s">
        <v>2683</v>
      </c>
      <c r="O80" t="s">
        <v>2678</v>
      </c>
    </row>
    <row r="81" spans="1:15">
      <c r="A81" t="s">
        <v>2884</v>
      </c>
      <c r="B81" t="s">
        <v>2674</v>
      </c>
      <c r="C81" t="s">
        <v>2666</v>
      </c>
      <c r="D81" s="562">
        <v>0</v>
      </c>
      <c r="E81" t="s">
        <v>2885</v>
      </c>
      <c r="F81" t="s">
        <v>2886</v>
      </c>
      <c r="G81" s="562">
        <v>0</v>
      </c>
      <c r="H81" s="562">
        <f>SUMIFS('Taxes Withheld'!F:F,'Taxes Withheld'!C:C,'Import DV AUCS'!A81)</f>
        <v>0</v>
      </c>
      <c r="I81" s="562">
        <f>SUMIFS('Taxes Withheld'!G:G,'Taxes Withheld'!C:C,'Import DV AUCS'!A81)</f>
        <v>0</v>
      </c>
      <c r="K81" s="562">
        <f t="shared" si="1"/>
        <v>0</v>
      </c>
      <c r="M81" t="s">
        <v>2687</v>
      </c>
      <c r="N81" t="s">
        <v>2683</v>
      </c>
      <c r="O81" t="s">
        <v>2678</v>
      </c>
    </row>
    <row r="82" spans="1:15">
      <c r="A82" t="s">
        <v>2887</v>
      </c>
      <c r="B82" t="s">
        <v>2674</v>
      </c>
      <c r="C82" t="s">
        <v>2666</v>
      </c>
      <c r="D82" s="562">
        <v>0</v>
      </c>
      <c r="E82" t="s">
        <v>2888</v>
      </c>
      <c r="F82" t="s">
        <v>2889</v>
      </c>
      <c r="G82" s="562">
        <v>0</v>
      </c>
      <c r="H82" s="562">
        <f>SUMIFS('Taxes Withheld'!F:F,'Taxes Withheld'!C:C,'Import DV AUCS'!A82)</f>
        <v>0</v>
      </c>
      <c r="I82" s="562">
        <f>SUMIFS('Taxes Withheld'!G:G,'Taxes Withheld'!C:C,'Import DV AUCS'!A82)</f>
        <v>0</v>
      </c>
      <c r="K82" s="562">
        <f t="shared" si="1"/>
        <v>0</v>
      </c>
      <c r="M82" t="s">
        <v>2687</v>
      </c>
      <c r="N82" t="s">
        <v>2683</v>
      </c>
      <c r="O82" t="s">
        <v>2678</v>
      </c>
    </row>
    <row r="83" spans="1:15">
      <c r="A83" t="s">
        <v>2890</v>
      </c>
      <c r="B83" t="s">
        <v>2674</v>
      </c>
      <c r="C83" t="s">
        <v>2666</v>
      </c>
      <c r="D83" s="562">
        <v>0</v>
      </c>
      <c r="E83" t="s">
        <v>2891</v>
      </c>
      <c r="F83" t="s">
        <v>2892</v>
      </c>
      <c r="G83" s="562">
        <v>0</v>
      </c>
      <c r="H83" s="562">
        <f>SUMIFS('Taxes Withheld'!F:F,'Taxes Withheld'!C:C,'Import DV AUCS'!A83)</f>
        <v>0</v>
      </c>
      <c r="I83" s="562">
        <f>SUMIFS('Taxes Withheld'!G:G,'Taxes Withheld'!C:C,'Import DV AUCS'!A83)</f>
        <v>0</v>
      </c>
      <c r="K83" s="562">
        <f t="shared" si="1"/>
        <v>0</v>
      </c>
      <c r="M83" t="s">
        <v>2687</v>
      </c>
      <c r="N83" t="s">
        <v>2683</v>
      </c>
      <c r="O83" t="s">
        <v>2678</v>
      </c>
    </row>
    <row r="84" spans="1:15">
      <c r="A84" t="s">
        <v>2893</v>
      </c>
      <c r="B84" t="s">
        <v>2674</v>
      </c>
      <c r="C84" t="s">
        <v>2666</v>
      </c>
      <c r="D84" s="562">
        <v>0</v>
      </c>
      <c r="E84" t="s">
        <v>2894</v>
      </c>
      <c r="F84" t="s">
        <v>2895</v>
      </c>
      <c r="G84" s="562">
        <v>0</v>
      </c>
      <c r="H84" s="562">
        <f>SUMIFS('Taxes Withheld'!F:F,'Taxes Withheld'!C:C,'Import DV AUCS'!A84)</f>
        <v>0</v>
      </c>
      <c r="I84" s="562">
        <f>SUMIFS('Taxes Withheld'!G:G,'Taxes Withheld'!C:C,'Import DV AUCS'!A84)</f>
        <v>0</v>
      </c>
      <c r="K84" s="562">
        <f t="shared" si="1"/>
        <v>0</v>
      </c>
      <c r="M84" t="s">
        <v>2687</v>
      </c>
      <c r="N84" t="s">
        <v>2683</v>
      </c>
      <c r="O84" t="s">
        <v>2678</v>
      </c>
    </row>
    <row r="85" spans="1:15">
      <c r="A85" t="s">
        <v>2896</v>
      </c>
      <c r="B85" t="s">
        <v>2674</v>
      </c>
      <c r="C85" t="s">
        <v>2666</v>
      </c>
      <c r="D85" s="562">
        <v>0</v>
      </c>
      <c r="E85" t="s">
        <v>2894</v>
      </c>
      <c r="F85" t="s">
        <v>2897</v>
      </c>
      <c r="G85" s="562">
        <v>0</v>
      </c>
      <c r="H85" s="562">
        <f>SUMIFS('Taxes Withheld'!F:F,'Taxes Withheld'!C:C,'Import DV AUCS'!A85)</f>
        <v>0</v>
      </c>
      <c r="I85" s="562">
        <f>SUMIFS('Taxes Withheld'!G:G,'Taxes Withheld'!C:C,'Import DV AUCS'!A85)</f>
        <v>0</v>
      </c>
      <c r="K85" s="562">
        <f t="shared" si="1"/>
        <v>0</v>
      </c>
      <c r="M85" t="s">
        <v>2687</v>
      </c>
      <c r="N85" t="s">
        <v>2683</v>
      </c>
      <c r="O85" t="s">
        <v>2678</v>
      </c>
    </row>
    <row r="86" spans="1:15">
      <c r="A86" t="s">
        <v>2898</v>
      </c>
      <c r="B86" t="s">
        <v>2674</v>
      </c>
      <c r="C86" t="s">
        <v>2666</v>
      </c>
      <c r="D86" s="562">
        <v>0</v>
      </c>
      <c r="E86" t="s">
        <v>2899</v>
      </c>
      <c r="F86" t="s">
        <v>2900</v>
      </c>
      <c r="G86" s="562">
        <v>0</v>
      </c>
      <c r="H86" s="562">
        <f>SUMIFS('Taxes Withheld'!F:F,'Taxes Withheld'!C:C,'Import DV AUCS'!A86)</f>
        <v>0</v>
      </c>
      <c r="I86" s="562">
        <f>SUMIFS('Taxes Withheld'!G:G,'Taxes Withheld'!C:C,'Import DV AUCS'!A86)</f>
        <v>0</v>
      </c>
      <c r="K86" s="562">
        <f t="shared" si="1"/>
        <v>0</v>
      </c>
      <c r="M86" t="s">
        <v>2687</v>
      </c>
      <c r="N86" t="s">
        <v>2683</v>
      </c>
      <c r="O86" t="s">
        <v>2678</v>
      </c>
    </row>
    <row r="87" spans="1:15">
      <c r="A87" t="s">
        <v>2901</v>
      </c>
      <c r="B87" t="s">
        <v>2674</v>
      </c>
      <c r="C87" t="s">
        <v>2671</v>
      </c>
      <c r="D87" s="562">
        <v>20061.82</v>
      </c>
      <c r="E87" t="s">
        <v>2902</v>
      </c>
      <c r="F87" t="s">
        <v>2903</v>
      </c>
      <c r="G87" s="562">
        <v>10812.52</v>
      </c>
      <c r="H87" s="562">
        <f>SUMIFS('Taxes Withheld'!F:F,'Taxes Withheld'!C:C,'Import DV AUCS'!A87)</f>
        <v>0</v>
      </c>
      <c r="I87" s="562">
        <f>SUMIFS('Taxes Withheld'!G:G,'Taxes Withheld'!C:C,'Import DV AUCS'!A87)</f>
        <v>0</v>
      </c>
      <c r="K87" s="562">
        <f t="shared" si="1"/>
        <v>0</v>
      </c>
      <c r="M87" t="s">
        <v>2687</v>
      </c>
      <c r="N87" t="s">
        <v>2683</v>
      </c>
      <c r="O87" t="s">
        <v>2678</v>
      </c>
    </row>
    <row r="88" spans="1:15">
      <c r="A88" t="s">
        <v>2904</v>
      </c>
      <c r="B88" t="s">
        <v>2674</v>
      </c>
      <c r="C88" t="s">
        <v>2905</v>
      </c>
      <c r="D88" s="562">
        <v>33474</v>
      </c>
      <c r="E88" t="s">
        <v>2902</v>
      </c>
      <c r="F88" t="s">
        <v>2903</v>
      </c>
      <c r="G88" s="562">
        <v>31974</v>
      </c>
      <c r="H88" s="562">
        <f>SUMIFS('Taxes Withheld'!F:F,'Taxes Withheld'!C:C,'Import DV AUCS'!A88)</f>
        <v>0</v>
      </c>
      <c r="I88" s="562">
        <f>SUMIFS('Taxes Withheld'!G:G,'Taxes Withheld'!C:C,'Import DV AUCS'!A88)</f>
        <v>0</v>
      </c>
      <c r="K88" s="562">
        <f t="shared" si="1"/>
        <v>0</v>
      </c>
      <c r="M88" t="s">
        <v>2687</v>
      </c>
      <c r="N88" t="s">
        <v>2683</v>
      </c>
      <c r="O88" t="s">
        <v>2678</v>
      </c>
    </row>
    <row r="89" spans="1:15">
      <c r="A89" t="s">
        <v>2906</v>
      </c>
      <c r="B89" t="s">
        <v>2674</v>
      </c>
      <c r="C89" t="s">
        <v>2672</v>
      </c>
      <c r="D89" s="562">
        <v>14080</v>
      </c>
      <c r="E89" t="s">
        <v>2902</v>
      </c>
      <c r="F89" t="s">
        <v>2903</v>
      </c>
      <c r="G89" s="562">
        <v>14080</v>
      </c>
      <c r="H89" s="562">
        <f>SUMIFS('Taxes Withheld'!F:F,'Taxes Withheld'!C:C,'Import DV AUCS'!A89)</f>
        <v>0</v>
      </c>
      <c r="I89" s="562">
        <f>SUMIFS('Taxes Withheld'!G:G,'Taxes Withheld'!C:C,'Import DV AUCS'!A89)</f>
        <v>0</v>
      </c>
      <c r="K89" s="562">
        <f t="shared" si="1"/>
        <v>0</v>
      </c>
      <c r="M89" t="s">
        <v>2687</v>
      </c>
      <c r="N89" t="s">
        <v>2683</v>
      </c>
      <c r="O89" t="s">
        <v>2678</v>
      </c>
    </row>
    <row r="90" spans="1:15">
      <c r="A90" t="s">
        <v>2907</v>
      </c>
      <c r="B90" t="s">
        <v>2674</v>
      </c>
      <c r="C90" t="s">
        <v>2666</v>
      </c>
      <c r="D90" s="562">
        <v>0</v>
      </c>
      <c r="E90" t="s">
        <v>2908</v>
      </c>
      <c r="F90" t="s">
        <v>2909</v>
      </c>
      <c r="G90" s="562">
        <v>98027.49</v>
      </c>
      <c r="H90" s="562">
        <f>SUMIFS('Taxes Withheld'!F:F,'Taxes Withheld'!C:C,'Import DV AUCS'!A90)</f>
        <v>0</v>
      </c>
      <c r="I90" s="562">
        <f>SUMIFS('Taxes Withheld'!G:G,'Taxes Withheld'!C:C,'Import DV AUCS'!A90)</f>
        <v>0</v>
      </c>
      <c r="K90" s="562">
        <f t="shared" si="1"/>
        <v>0</v>
      </c>
      <c r="M90" t="s">
        <v>2662</v>
      </c>
      <c r="N90" t="s">
        <v>2053</v>
      </c>
      <c r="O90" t="s">
        <v>2680</v>
      </c>
    </row>
    <row r="91" spans="1:15">
      <c r="A91" t="s">
        <v>2910</v>
      </c>
      <c r="B91" t="s">
        <v>2674</v>
      </c>
      <c r="C91" t="s">
        <v>2911</v>
      </c>
      <c r="D91" s="562">
        <v>0</v>
      </c>
      <c r="E91" t="s">
        <v>2912</v>
      </c>
      <c r="F91" t="s">
        <v>2913</v>
      </c>
      <c r="G91" s="562">
        <v>0</v>
      </c>
      <c r="H91" s="562">
        <f>SUMIFS('Taxes Withheld'!F:F,'Taxes Withheld'!C:C,'Import DV AUCS'!A91)</f>
        <v>0</v>
      </c>
      <c r="I91" s="562">
        <f>SUMIFS('Taxes Withheld'!G:G,'Taxes Withheld'!C:C,'Import DV AUCS'!A91)</f>
        <v>0</v>
      </c>
      <c r="K91" s="562">
        <f t="shared" si="1"/>
        <v>0</v>
      </c>
      <c r="M91" t="s">
        <v>2687</v>
      </c>
      <c r="N91" t="s">
        <v>2683</v>
      </c>
      <c r="O91" t="s">
        <v>2678</v>
      </c>
    </row>
    <row r="92" spans="1:15">
      <c r="A92" t="s">
        <v>2914</v>
      </c>
      <c r="B92" t="s">
        <v>2674</v>
      </c>
      <c r="C92" t="s">
        <v>2915</v>
      </c>
      <c r="D92" s="562">
        <v>10895.41</v>
      </c>
      <c r="E92" t="s">
        <v>2916</v>
      </c>
      <c r="F92" t="s">
        <v>2917</v>
      </c>
      <c r="G92" s="562">
        <v>10895.41</v>
      </c>
      <c r="H92" s="562">
        <f>SUMIFS('Taxes Withheld'!F:F,'Taxes Withheld'!C:C,'Import DV AUCS'!A92)</f>
        <v>0</v>
      </c>
      <c r="I92" s="562">
        <f>SUMIFS('Taxes Withheld'!G:G,'Taxes Withheld'!C:C,'Import DV AUCS'!A92)</f>
        <v>0</v>
      </c>
      <c r="K92" s="562">
        <f t="shared" si="1"/>
        <v>0</v>
      </c>
      <c r="M92" t="s">
        <v>2687</v>
      </c>
      <c r="N92" t="s">
        <v>2683</v>
      </c>
      <c r="O92" t="s">
        <v>2678</v>
      </c>
    </row>
    <row r="93" spans="1:15">
      <c r="A93" t="s">
        <v>2918</v>
      </c>
      <c r="B93" t="s">
        <v>2674</v>
      </c>
      <c r="C93" t="s">
        <v>2919</v>
      </c>
      <c r="D93" s="562">
        <v>3675</v>
      </c>
      <c r="E93" t="s">
        <v>1762</v>
      </c>
      <c r="F93" t="s">
        <v>2920</v>
      </c>
      <c r="G93" s="562">
        <v>3478.13</v>
      </c>
      <c r="H93" s="562">
        <f>SUMIFS('Taxes Withheld'!F:F,'Taxes Withheld'!C:C,'Import DV AUCS'!A93)</f>
        <v>164.06</v>
      </c>
      <c r="I93" s="562">
        <f>SUMIFS('Taxes Withheld'!G:G,'Taxes Withheld'!C:C,'Import DV AUCS'!A93)</f>
        <v>32.81</v>
      </c>
      <c r="K93" s="562">
        <f t="shared" si="1"/>
        <v>196.87</v>
      </c>
      <c r="M93" t="s">
        <v>2687</v>
      </c>
      <c r="N93" t="s">
        <v>2683</v>
      </c>
      <c r="O93" t="s">
        <v>2678</v>
      </c>
    </row>
    <row r="94" spans="1:15">
      <c r="A94" t="s">
        <v>2921</v>
      </c>
      <c r="B94" t="s">
        <v>2674</v>
      </c>
      <c r="C94" t="s">
        <v>2922</v>
      </c>
      <c r="D94" s="562">
        <v>1880</v>
      </c>
      <c r="E94" t="s">
        <v>2923</v>
      </c>
      <c r="F94" t="s">
        <v>2924</v>
      </c>
      <c r="G94" s="562">
        <v>1880</v>
      </c>
      <c r="H94" s="562">
        <f>SUMIFS('Taxes Withheld'!F:F,'Taxes Withheld'!C:C,'Import DV AUCS'!A94)</f>
        <v>0</v>
      </c>
      <c r="I94" s="562">
        <f>SUMIFS('Taxes Withheld'!G:G,'Taxes Withheld'!C:C,'Import DV AUCS'!A94)</f>
        <v>0</v>
      </c>
      <c r="K94" s="562">
        <f t="shared" si="1"/>
        <v>0</v>
      </c>
      <c r="M94" t="s">
        <v>2687</v>
      </c>
      <c r="N94" t="s">
        <v>2683</v>
      </c>
      <c r="O94" t="s">
        <v>2678</v>
      </c>
    </row>
    <row r="95" spans="1:15">
      <c r="A95" t="s">
        <v>2925</v>
      </c>
      <c r="B95" t="s">
        <v>2674</v>
      </c>
      <c r="C95" t="s">
        <v>2666</v>
      </c>
      <c r="D95" s="562">
        <v>0</v>
      </c>
      <c r="E95" t="s">
        <v>1669</v>
      </c>
      <c r="F95" t="s">
        <v>2926</v>
      </c>
      <c r="G95" s="562">
        <v>2000</v>
      </c>
      <c r="H95" s="562">
        <f>SUMIFS('Taxes Withheld'!F:F,'Taxes Withheld'!C:C,'Import DV AUCS'!A95)</f>
        <v>0</v>
      </c>
      <c r="I95" s="562">
        <f>SUMIFS('Taxes Withheld'!G:G,'Taxes Withheld'!C:C,'Import DV AUCS'!A95)</f>
        <v>0</v>
      </c>
      <c r="K95" s="562">
        <f t="shared" si="1"/>
        <v>0</v>
      </c>
      <c r="M95" t="s">
        <v>2662</v>
      </c>
      <c r="N95" t="s">
        <v>2053</v>
      </c>
      <c r="O95" t="s">
        <v>2680</v>
      </c>
    </row>
    <row r="96" spans="1:15">
      <c r="A96" t="s">
        <v>2927</v>
      </c>
      <c r="B96" t="s">
        <v>2674</v>
      </c>
      <c r="C96" t="s">
        <v>2666</v>
      </c>
      <c r="D96" s="562">
        <v>0</v>
      </c>
      <c r="E96" t="s">
        <v>1669</v>
      </c>
      <c r="F96" t="s">
        <v>2928</v>
      </c>
      <c r="G96" s="562">
        <v>2674.02</v>
      </c>
      <c r="H96" s="562">
        <f>SUMIFS('Taxes Withheld'!F:F,'Taxes Withheld'!C:C,'Import DV AUCS'!A96)</f>
        <v>0</v>
      </c>
      <c r="I96" s="562">
        <f>SUMIFS('Taxes Withheld'!G:G,'Taxes Withheld'!C:C,'Import DV AUCS'!A96)</f>
        <v>0</v>
      </c>
      <c r="K96" s="562">
        <f t="shared" si="1"/>
        <v>0</v>
      </c>
      <c r="M96" t="s">
        <v>2662</v>
      </c>
      <c r="N96" t="s">
        <v>2053</v>
      </c>
      <c r="O96" t="s">
        <v>2680</v>
      </c>
    </row>
    <row r="97" spans="1:15">
      <c r="A97" t="s">
        <v>2929</v>
      </c>
      <c r="B97" t="s">
        <v>2674</v>
      </c>
      <c r="C97" t="s">
        <v>2666</v>
      </c>
      <c r="D97" s="562">
        <v>0</v>
      </c>
      <c r="E97" t="s">
        <v>2930</v>
      </c>
      <c r="F97" t="s">
        <v>2931</v>
      </c>
      <c r="G97" s="562">
        <v>27440</v>
      </c>
      <c r="H97" s="562">
        <f>SUMIFS('Taxes Withheld'!F:F,'Taxes Withheld'!C:C,'Import DV AUCS'!A97)</f>
        <v>0</v>
      </c>
      <c r="I97" s="562">
        <f>SUMIFS('Taxes Withheld'!G:G,'Taxes Withheld'!C:C,'Import DV AUCS'!A97)</f>
        <v>0</v>
      </c>
      <c r="K97" s="562">
        <f t="shared" si="1"/>
        <v>0</v>
      </c>
      <c r="M97" t="s">
        <v>2662</v>
      </c>
      <c r="N97" t="s">
        <v>2053</v>
      </c>
      <c r="O97" t="s">
        <v>2680</v>
      </c>
    </row>
    <row r="98" spans="1:15">
      <c r="A98" t="s">
        <v>2932</v>
      </c>
      <c r="B98" t="s">
        <v>2674</v>
      </c>
      <c r="C98" t="s">
        <v>2666</v>
      </c>
      <c r="D98" s="562">
        <v>0</v>
      </c>
      <c r="E98" t="s">
        <v>2933</v>
      </c>
      <c r="F98" t="s">
        <v>2934</v>
      </c>
      <c r="G98" s="562">
        <v>44865.51</v>
      </c>
      <c r="H98" s="562">
        <f>SUMIFS('Taxes Withheld'!F:F,'Taxes Withheld'!C:C,'Import DV AUCS'!A98)</f>
        <v>0</v>
      </c>
      <c r="I98" s="562">
        <f>SUMIFS('Taxes Withheld'!G:G,'Taxes Withheld'!C:C,'Import DV AUCS'!A98)</f>
        <v>0</v>
      </c>
      <c r="K98" s="562">
        <f t="shared" si="1"/>
        <v>0</v>
      </c>
      <c r="M98" t="s">
        <v>2662</v>
      </c>
      <c r="N98" t="s">
        <v>2053</v>
      </c>
      <c r="O98" t="s">
        <v>2680</v>
      </c>
    </row>
    <row r="99" spans="1:15">
      <c r="A99" t="s">
        <v>2935</v>
      </c>
      <c r="B99" t="s">
        <v>2674</v>
      </c>
      <c r="C99" t="s">
        <v>2666</v>
      </c>
      <c r="D99" s="562">
        <v>0</v>
      </c>
      <c r="E99" t="s">
        <v>2936</v>
      </c>
      <c r="F99" t="s">
        <v>2937</v>
      </c>
      <c r="G99" s="562">
        <v>9700</v>
      </c>
      <c r="H99" s="562">
        <f>SUMIFS('Taxes Withheld'!F:F,'Taxes Withheld'!C:C,'Import DV AUCS'!A99)</f>
        <v>0</v>
      </c>
      <c r="I99" s="562">
        <f>SUMIFS('Taxes Withheld'!G:G,'Taxes Withheld'!C:C,'Import DV AUCS'!A99)</f>
        <v>0</v>
      </c>
      <c r="K99" s="562">
        <f t="shared" si="1"/>
        <v>0</v>
      </c>
      <c r="M99" t="s">
        <v>2662</v>
      </c>
      <c r="N99" t="s">
        <v>2053</v>
      </c>
      <c r="O99" t="s">
        <v>2680</v>
      </c>
    </row>
    <row r="100" spans="1:15">
      <c r="A100" t="s">
        <v>2938</v>
      </c>
      <c r="B100" t="s">
        <v>2674</v>
      </c>
      <c r="C100" t="s">
        <v>2666</v>
      </c>
      <c r="D100" s="562">
        <v>0</v>
      </c>
      <c r="E100" t="s">
        <v>2939</v>
      </c>
      <c r="F100" t="s">
        <v>2940</v>
      </c>
      <c r="G100" s="562">
        <v>903</v>
      </c>
      <c r="H100" s="562">
        <f>SUMIFS('Taxes Withheld'!F:F,'Taxes Withheld'!C:C,'Import DV AUCS'!A100)</f>
        <v>0</v>
      </c>
      <c r="I100" s="562">
        <f>SUMIFS('Taxes Withheld'!G:G,'Taxes Withheld'!C:C,'Import DV AUCS'!A100)</f>
        <v>0</v>
      </c>
      <c r="K100" s="562">
        <f t="shared" si="1"/>
        <v>0</v>
      </c>
      <c r="M100" t="s">
        <v>2662</v>
      </c>
      <c r="N100" t="s">
        <v>2053</v>
      </c>
      <c r="O100" t="s">
        <v>2680</v>
      </c>
    </row>
    <row r="101" spans="1:15">
      <c r="A101" t="s">
        <v>2941</v>
      </c>
      <c r="B101" t="s">
        <v>2674</v>
      </c>
      <c r="C101" t="s">
        <v>2666</v>
      </c>
      <c r="D101" s="562">
        <v>0</v>
      </c>
      <c r="E101" t="s">
        <v>2942</v>
      </c>
      <c r="F101" t="s">
        <v>2943</v>
      </c>
      <c r="G101" s="562">
        <v>194068.8</v>
      </c>
      <c r="H101" s="562">
        <f>SUMIFS('Taxes Withheld'!F:F,'Taxes Withheld'!C:C,'Import DV AUCS'!A101)</f>
        <v>0</v>
      </c>
      <c r="I101" s="562">
        <f>SUMIFS('Taxes Withheld'!G:G,'Taxes Withheld'!C:C,'Import DV AUCS'!A101)</f>
        <v>0</v>
      </c>
      <c r="K101" s="562">
        <f t="shared" si="1"/>
        <v>0</v>
      </c>
      <c r="M101" t="s">
        <v>2662</v>
      </c>
      <c r="N101" t="s">
        <v>2053</v>
      </c>
      <c r="O101" t="s">
        <v>2680</v>
      </c>
    </row>
    <row r="102" spans="1:15">
      <c r="A102" t="s">
        <v>2944</v>
      </c>
      <c r="B102" t="s">
        <v>2674</v>
      </c>
      <c r="C102" t="s">
        <v>2666</v>
      </c>
      <c r="D102" s="562">
        <v>0</v>
      </c>
      <c r="E102" t="s">
        <v>2945</v>
      </c>
      <c r="F102" t="s">
        <v>2946</v>
      </c>
      <c r="G102" s="562">
        <v>31716.67</v>
      </c>
      <c r="H102" s="562">
        <f>SUMIFS('Taxes Withheld'!F:F,'Taxes Withheld'!C:C,'Import DV AUCS'!A102)</f>
        <v>0</v>
      </c>
      <c r="I102" s="562">
        <f>SUMIFS('Taxes Withheld'!G:G,'Taxes Withheld'!C:C,'Import DV AUCS'!A102)</f>
        <v>0</v>
      </c>
      <c r="K102" s="562">
        <f t="shared" si="1"/>
        <v>0</v>
      </c>
      <c r="M102" t="s">
        <v>2662</v>
      </c>
      <c r="N102" t="s">
        <v>2053</v>
      </c>
      <c r="O102" t="s">
        <v>2680</v>
      </c>
    </row>
    <row r="103" spans="1:15">
      <c r="A103" t="s">
        <v>2947</v>
      </c>
      <c r="B103" t="s">
        <v>2674</v>
      </c>
      <c r="C103" t="s">
        <v>2666</v>
      </c>
      <c r="D103" s="562">
        <v>0</v>
      </c>
      <c r="E103" t="s">
        <v>1690</v>
      </c>
      <c r="F103" t="s">
        <v>2946</v>
      </c>
      <c r="G103" s="562">
        <v>58756.68</v>
      </c>
      <c r="H103" s="562">
        <f>SUMIFS('Taxes Withheld'!F:F,'Taxes Withheld'!C:C,'Import DV AUCS'!A103)</f>
        <v>0</v>
      </c>
      <c r="I103" s="562">
        <f>SUMIFS('Taxes Withheld'!G:G,'Taxes Withheld'!C:C,'Import DV AUCS'!A103)</f>
        <v>0</v>
      </c>
      <c r="K103" s="562">
        <f t="shared" si="1"/>
        <v>0</v>
      </c>
      <c r="M103" t="s">
        <v>2662</v>
      </c>
      <c r="N103" t="s">
        <v>2053</v>
      </c>
      <c r="O103" t="s">
        <v>2680</v>
      </c>
    </row>
    <row r="104" spans="1:15">
      <c r="A104" t="s">
        <v>2948</v>
      </c>
      <c r="B104" t="s">
        <v>2674</v>
      </c>
      <c r="C104" t="s">
        <v>2666</v>
      </c>
      <c r="D104" s="562">
        <v>0</v>
      </c>
      <c r="E104" t="s">
        <v>2949</v>
      </c>
      <c r="F104" t="s">
        <v>2946</v>
      </c>
      <c r="G104" s="562">
        <v>98042.33</v>
      </c>
      <c r="H104" s="562">
        <f>SUMIFS('Taxes Withheld'!F:F,'Taxes Withheld'!C:C,'Import DV AUCS'!A104)</f>
        <v>0</v>
      </c>
      <c r="I104" s="562">
        <f>SUMIFS('Taxes Withheld'!G:G,'Taxes Withheld'!C:C,'Import DV AUCS'!A104)</f>
        <v>0</v>
      </c>
      <c r="K104" s="562">
        <f t="shared" si="1"/>
        <v>0</v>
      </c>
      <c r="M104" t="s">
        <v>2662</v>
      </c>
      <c r="N104" t="s">
        <v>2053</v>
      </c>
      <c r="O104" t="s">
        <v>2680</v>
      </c>
    </row>
    <row r="105" spans="1:15">
      <c r="A105" t="s">
        <v>2950</v>
      </c>
      <c r="B105" t="s">
        <v>2674</v>
      </c>
      <c r="C105" t="s">
        <v>2666</v>
      </c>
      <c r="D105" s="562">
        <v>0</v>
      </c>
      <c r="E105" t="s">
        <v>2951</v>
      </c>
      <c r="F105" t="s">
        <v>2952</v>
      </c>
      <c r="G105" s="562">
        <v>3955.36</v>
      </c>
      <c r="H105" s="562">
        <f>SUMIFS('Taxes Withheld'!F:F,'Taxes Withheld'!C:C,'Import DV AUCS'!A105)</f>
        <v>0</v>
      </c>
      <c r="I105" s="562">
        <f>SUMIFS('Taxes Withheld'!G:G,'Taxes Withheld'!C:C,'Import DV AUCS'!A105)</f>
        <v>0</v>
      </c>
      <c r="K105" s="562">
        <f t="shared" si="1"/>
        <v>0</v>
      </c>
      <c r="M105" t="s">
        <v>2662</v>
      </c>
      <c r="N105" t="s">
        <v>2053</v>
      </c>
      <c r="O105" t="s">
        <v>2680</v>
      </c>
    </row>
    <row r="106" spans="1:15">
      <c r="A106" t="s">
        <v>2953</v>
      </c>
      <c r="B106" t="s">
        <v>2674</v>
      </c>
      <c r="C106" t="s">
        <v>2954</v>
      </c>
      <c r="D106" s="562">
        <v>51777.94</v>
      </c>
      <c r="E106" t="s">
        <v>2955</v>
      </c>
      <c r="F106" t="s">
        <v>2956</v>
      </c>
      <c r="G106" s="562">
        <v>28194.01</v>
      </c>
      <c r="H106" s="562">
        <f>SUMIFS('Taxes Withheld'!F:F,'Taxes Withheld'!C:C,'Import DV AUCS'!A106)</f>
        <v>0</v>
      </c>
      <c r="I106" s="562">
        <f>SUMIFS('Taxes Withheld'!G:G,'Taxes Withheld'!C:C,'Import DV AUCS'!A106)</f>
        <v>0</v>
      </c>
      <c r="K106" s="562">
        <f t="shared" si="1"/>
        <v>0</v>
      </c>
      <c r="M106" t="s">
        <v>2687</v>
      </c>
      <c r="N106" t="s">
        <v>2683</v>
      </c>
      <c r="O106" t="s">
        <v>2678</v>
      </c>
    </row>
    <row r="107" spans="1:15">
      <c r="A107" t="s">
        <v>2957</v>
      </c>
      <c r="B107" t="s">
        <v>2674</v>
      </c>
      <c r="C107" t="s">
        <v>2958</v>
      </c>
      <c r="D107" s="562">
        <v>92085.57</v>
      </c>
      <c r="E107" t="s">
        <v>2959</v>
      </c>
      <c r="F107" t="s">
        <v>2956</v>
      </c>
      <c r="G107" s="562">
        <v>59624.21</v>
      </c>
      <c r="H107" s="562">
        <f>SUMIFS('Taxes Withheld'!F:F,'Taxes Withheld'!C:C,'Import DV AUCS'!A107)</f>
        <v>0</v>
      </c>
      <c r="I107" s="562">
        <f>SUMIFS('Taxes Withheld'!G:G,'Taxes Withheld'!C:C,'Import DV AUCS'!A107)</f>
        <v>0</v>
      </c>
      <c r="K107" s="562">
        <f t="shared" si="1"/>
        <v>0</v>
      </c>
      <c r="M107" t="s">
        <v>2687</v>
      </c>
      <c r="N107" t="s">
        <v>2683</v>
      </c>
      <c r="O107" t="s">
        <v>2678</v>
      </c>
    </row>
    <row r="108" spans="1:15">
      <c r="A108" t="s">
        <v>2960</v>
      </c>
      <c r="B108" t="s">
        <v>2674</v>
      </c>
      <c r="C108" t="s">
        <v>2961</v>
      </c>
      <c r="D108" s="562">
        <v>40307.629999999997</v>
      </c>
      <c r="E108" t="s">
        <v>2962</v>
      </c>
      <c r="F108" t="s">
        <v>2956</v>
      </c>
      <c r="G108" s="562">
        <v>29978.37</v>
      </c>
      <c r="H108" s="562">
        <f>SUMIFS('Taxes Withheld'!F:F,'Taxes Withheld'!C:C,'Import DV AUCS'!A108)</f>
        <v>0</v>
      </c>
      <c r="I108" s="562">
        <f>SUMIFS('Taxes Withheld'!G:G,'Taxes Withheld'!C:C,'Import DV AUCS'!A108)</f>
        <v>0</v>
      </c>
      <c r="K108" s="562">
        <f t="shared" si="1"/>
        <v>0</v>
      </c>
      <c r="M108" t="s">
        <v>2687</v>
      </c>
      <c r="N108" t="s">
        <v>2683</v>
      </c>
      <c r="O108" t="s">
        <v>2678</v>
      </c>
    </row>
    <row r="109" spans="1:15">
      <c r="A109" t="s">
        <v>2963</v>
      </c>
      <c r="B109" t="s">
        <v>2674</v>
      </c>
      <c r="C109" t="s">
        <v>2964</v>
      </c>
      <c r="D109" s="562">
        <v>40307.629999999997</v>
      </c>
      <c r="E109" t="s">
        <v>1756</v>
      </c>
      <c r="F109" t="s">
        <v>2956</v>
      </c>
      <c r="G109" s="562">
        <v>18148.37</v>
      </c>
      <c r="H109" s="562">
        <f>SUMIFS('Taxes Withheld'!F:F,'Taxes Withheld'!C:C,'Import DV AUCS'!A109)</f>
        <v>0</v>
      </c>
      <c r="I109" s="562">
        <f>SUMIFS('Taxes Withheld'!G:G,'Taxes Withheld'!C:C,'Import DV AUCS'!A109)</f>
        <v>0</v>
      </c>
      <c r="K109" s="562">
        <f t="shared" si="1"/>
        <v>0</v>
      </c>
      <c r="M109" t="s">
        <v>2687</v>
      </c>
      <c r="N109" t="s">
        <v>2683</v>
      </c>
      <c r="O109" t="s">
        <v>2678</v>
      </c>
    </row>
    <row r="110" spans="1:15">
      <c r="A110" t="s">
        <v>2965</v>
      </c>
      <c r="B110" t="s">
        <v>2674</v>
      </c>
      <c r="C110" t="s">
        <v>2966</v>
      </c>
      <c r="D110" s="562">
        <v>92085.57</v>
      </c>
      <c r="E110" t="s">
        <v>2967</v>
      </c>
      <c r="F110" t="s">
        <v>2956</v>
      </c>
      <c r="G110" s="562">
        <v>64105.75</v>
      </c>
      <c r="H110" s="562">
        <f>SUMIFS('Taxes Withheld'!F:F,'Taxes Withheld'!C:C,'Import DV AUCS'!A110)</f>
        <v>0</v>
      </c>
      <c r="I110" s="562">
        <f>SUMIFS('Taxes Withheld'!G:G,'Taxes Withheld'!C:C,'Import DV AUCS'!A110)</f>
        <v>0</v>
      </c>
      <c r="K110" s="562">
        <f t="shared" si="1"/>
        <v>0</v>
      </c>
      <c r="M110" t="s">
        <v>2687</v>
      </c>
      <c r="N110" t="s">
        <v>2683</v>
      </c>
      <c r="O110" t="s">
        <v>2678</v>
      </c>
    </row>
    <row r="111" spans="1:15">
      <c r="A111" t="s">
        <v>2968</v>
      </c>
      <c r="B111" t="s">
        <v>2674</v>
      </c>
      <c r="C111" t="s">
        <v>2969</v>
      </c>
      <c r="D111" s="562">
        <v>40307.629999999997</v>
      </c>
      <c r="E111" t="s">
        <v>1757</v>
      </c>
      <c r="F111" t="s">
        <v>2956</v>
      </c>
      <c r="G111" s="562">
        <v>28358.37</v>
      </c>
      <c r="H111" s="562">
        <f>SUMIFS('Taxes Withheld'!F:F,'Taxes Withheld'!C:C,'Import DV AUCS'!A111)</f>
        <v>0</v>
      </c>
      <c r="I111" s="562">
        <f>SUMIFS('Taxes Withheld'!G:G,'Taxes Withheld'!C:C,'Import DV AUCS'!A111)</f>
        <v>0</v>
      </c>
      <c r="K111" s="562">
        <f t="shared" si="1"/>
        <v>0</v>
      </c>
      <c r="M111" t="s">
        <v>2687</v>
      </c>
      <c r="N111" t="s">
        <v>2683</v>
      </c>
      <c r="O111" t="s">
        <v>2678</v>
      </c>
    </row>
    <row r="112" spans="1:15">
      <c r="A112" t="s">
        <v>2970</v>
      </c>
      <c r="B112" t="s">
        <v>2674</v>
      </c>
      <c r="C112" t="s">
        <v>2666</v>
      </c>
      <c r="D112" s="562">
        <v>0</v>
      </c>
      <c r="E112" t="s">
        <v>2971</v>
      </c>
      <c r="F112" t="s">
        <v>2972</v>
      </c>
      <c r="G112" s="562">
        <v>0</v>
      </c>
      <c r="H112" s="562">
        <f>SUMIFS('Taxes Withheld'!F:F,'Taxes Withheld'!C:C,'Import DV AUCS'!A112)</f>
        <v>0</v>
      </c>
      <c r="I112" s="562">
        <f>SUMIFS('Taxes Withheld'!G:G,'Taxes Withheld'!C:C,'Import DV AUCS'!A112)</f>
        <v>0</v>
      </c>
      <c r="K112" s="562">
        <f t="shared" si="1"/>
        <v>0</v>
      </c>
      <c r="M112" t="s">
        <v>2687</v>
      </c>
      <c r="N112" t="s">
        <v>2683</v>
      </c>
      <c r="O112" t="s">
        <v>2678</v>
      </c>
    </row>
    <row r="113" spans="1:15">
      <c r="A113" t="s">
        <v>2973</v>
      </c>
      <c r="B113" t="s">
        <v>2674</v>
      </c>
      <c r="C113" t="s">
        <v>2666</v>
      </c>
      <c r="D113" s="562">
        <v>0</v>
      </c>
      <c r="E113" t="s">
        <v>2974</v>
      </c>
      <c r="F113" t="s">
        <v>2975</v>
      </c>
      <c r="G113" s="562">
        <v>0</v>
      </c>
      <c r="H113" s="562">
        <f>SUMIFS('Taxes Withheld'!F:F,'Taxes Withheld'!C:C,'Import DV AUCS'!A113)</f>
        <v>0</v>
      </c>
      <c r="I113" s="562">
        <f>SUMIFS('Taxes Withheld'!G:G,'Taxes Withheld'!C:C,'Import DV AUCS'!A113)</f>
        <v>0</v>
      </c>
      <c r="K113" s="562">
        <f t="shared" si="1"/>
        <v>0</v>
      </c>
      <c r="M113" t="s">
        <v>2687</v>
      </c>
      <c r="N113" t="s">
        <v>2683</v>
      </c>
      <c r="O113" t="s">
        <v>2678</v>
      </c>
    </row>
    <row r="114" spans="1:15">
      <c r="A114" t="s">
        <v>2976</v>
      </c>
      <c r="B114" t="s">
        <v>2675</v>
      </c>
      <c r="C114" t="s">
        <v>2666</v>
      </c>
      <c r="D114" s="562">
        <v>0</v>
      </c>
      <c r="E114" t="s">
        <v>1105</v>
      </c>
      <c r="F114" t="s">
        <v>2977</v>
      </c>
      <c r="G114" s="562">
        <v>1623829.3</v>
      </c>
      <c r="H114" s="562">
        <f>SUMIFS('Taxes Withheld'!F:F,'Taxes Withheld'!C:C,'Import DV AUCS'!A114)</f>
        <v>0</v>
      </c>
      <c r="I114" s="562">
        <f>SUMIFS('Taxes Withheld'!G:G,'Taxes Withheld'!C:C,'Import DV AUCS'!A114)</f>
        <v>0</v>
      </c>
      <c r="K114" s="562">
        <f t="shared" si="1"/>
        <v>0</v>
      </c>
      <c r="M114" t="s">
        <v>2662</v>
      </c>
      <c r="N114" t="s">
        <v>2053</v>
      </c>
      <c r="O114" t="s">
        <v>2680</v>
      </c>
    </row>
    <row r="115" spans="1:15">
      <c r="A115" t="s">
        <v>2978</v>
      </c>
      <c r="B115" t="s">
        <v>2675</v>
      </c>
      <c r="C115" t="s">
        <v>2666</v>
      </c>
      <c r="D115" s="562">
        <v>0</v>
      </c>
      <c r="E115" t="s">
        <v>2979</v>
      </c>
      <c r="F115" t="s">
        <v>2980</v>
      </c>
      <c r="G115" s="562">
        <v>9500</v>
      </c>
      <c r="H115" s="562">
        <f>SUMIFS('Taxes Withheld'!F:F,'Taxes Withheld'!C:C,'Import DV AUCS'!A115)</f>
        <v>0</v>
      </c>
      <c r="I115" s="562">
        <f>SUMIFS('Taxes Withheld'!G:G,'Taxes Withheld'!C:C,'Import DV AUCS'!A115)</f>
        <v>0</v>
      </c>
      <c r="K115" s="562">
        <f t="shared" si="1"/>
        <v>0</v>
      </c>
      <c r="M115" t="s">
        <v>392</v>
      </c>
      <c r="N115" t="s">
        <v>2681</v>
      </c>
      <c r="O115" t="s">
        <v>2679</v>
      </c>
    </row>
    <row r="116" spans="1:15">
      <c r="A116" t="s">
        <v>2981</v>
      </c>
      <c r="B116" t="s">
        <v>2675</v>
      </c>
      <c r="C116" t="s">
        <v>2982</v>
      </c>
      <c r="D116" s="562">
        <v>17600</v>
      </c>
      <c r="E116" t="s">
        <v>2912</v>
      </c>
      <c r="F116" t="s">
        <v>2913</v>
      </c>
      <c r="G116" s="562">
        <v>16028.58</v>
      </c>
      <c r="H116" s="562">
        <f>SUMIFS('Taxes Withheld'!F:F,'Taxes Withheld'!C:C,'Import DV AUCS'!A116)</f>
        <v>785.71</v>
      </c>
      <c r="I116" s="562">
        <f>SUMIFS('Taxes Withheld'!G:G,'Taxes Withheld'!C:C,'Import DV AUCS'!A116)</f>
        <v>785.71</v>
      </c>
      <c r="K116" s="562">
        <f t="shared" si="1"/>
        <v>1571.42</v>
      </c>
      <c r="M116" t="s">
        <v>2687</v>
      </c>
      <c r="N116" t="s">
        <v>2683</v>
      </c>
      <c r="O116" t="s">
        <v>2678</v>
      </c>
    </row>
    <row r="117" spans="1:15">
      <c r="A117" t="s">
        <v>2983</v>
      </c>
      <c r="B117" t="s">
        <v>2675</v>
      </c>
      <c r="C117" t="s">
        <v>2666</v>
      </c>
      <c r="D117" s="562">
        <v>0</v>
      </c>
      <c r="E117" t="s">
        <v>2789</v>
      </c>
      <c r="F117" t="s">
        <v>2790</v>
      </c>
      <c r="G117" s="562">
        <v>950</v>
      </c>
      <c r="H117" s="562">
        <f>SUMIFS('Taxes Withheld'!F:F,'Taxes Withheld'!C:C,'Import DV AUCS'!A117)</f>
        <v>30</v>
      </c>
      <c r="I117" s="562">
        <f>SUMIFS('Taxes Withheld'!G:G,'Taxes Withheld'!C:C,'Import DV AUCS'!A117)</f>
        <v>20</v>
      </c>
      <c r="K117" s="562">
        <f t="shared" si="1"/>
        <v>50</v>
      </c>
      <c r="M117" t="s">
        <v>392</v>
      </c>
      <c r="N117" t="s">
        <v>2681</v>
      </c>
      <c r="O117" t="s">
        <v>2679</v>
      </c>
    </row>
    <row r="118" spans="1:15">
      <c r="A118" t="s">
        <v>2984</v>
      </c>
      <c r="B118" t="s">
        <v>2675</v>
      </c>
      <c r="C118" t="s">
        <v>2666</v>
      </c>
      <c r="D118" s="562">
        <v>0</v>
      </c>
      <c r="E118" t="s">
        <v>2792</v>
      </c>
      <c r="F118" t="s">
        <v>2793</v>
      </c>
      <c r="G118" s="562">
        <v>1900</v>
      </c>
      <c r="H118" s="562">
        <f>SUMIFS('Taxes Withheld'!F:F,'Taxes Withheld'!C:C,'Import DV AUCS'!A118)</f>
        <v>60</v>
      </c>
      <c r="I118" s="562">
        <f>SUMIFS('Taxes Withheld'!G:G,'Taxes Withheld'!C:C,'Import DV AUCS'!A118)</f>
        <v>40</v>
      </c>
      <c r="K118" s="562">
        <f t="shared" si="1"/>
        <v>100</v>
      </c>
      <c r="M118" t="s">
        <v>392</v>
      </c>
      <c r="N118" t="s">
        <v>2681</v>
      </c>
      <c r="O118" t="s">
        <v>2679</v>
      </c>
    </row>
    <row r="119" spans="1:15">
      <c r="A119" t="s">
        <v>2985</v>
      </c>
      <c r="B119" t="s">
        <v>2675</v>
      </c>
      <c r="C119" t="s">
        <v>2666</v>
      </c>
      <c r="D119" s="562">
        <v>0</v>
      </c>
      <c r="E119" t="s">
        <v>2795</v>
      </c>
      <c r="F119" t="s">
        <v>2793</v>
      </c>
      <c r="G119" s="562">
        <v>950</v>
      </c>
      <c r="H119" s="562">
        <f>SUMIFS('Taxes Withheld'!F:F,'Taxes Withheld'!C:C,'Import DV AUCS'!A119)</f>
        <v>30</v>
      </c>
      <c r="I119" s="562">
        <f>SUMIFS('Taxes Withheld'!G:G,'Taxes Withheld'!C:C,'Import DV AUCS'!A119)</f>
        <v>20</v>
      </c>
      <c r="K119" s="562">
        <f t="shared" si="1"/>
        <v>50</v>
      </c>
      <c r="M119" t="s">
        <v>392</v>
      </c>
      <c r="N119" t="s">
        <v>2681</v>
      </c>
      <c r="O119" t="s">
        <v>2679</v>
      </c>
    </row>
    <row r="120" spans="1:15">
      <c r="A120" t="s">
        <v>2986</v>
      </c>
      <c r="B120" t="s">
        <v>2675</v>
      </c>
      <c r="C120" t="s">
        <v>2666</v>
      </c>
      <c r="D120" s="562">
        <v>0</v>
      </c>
      <c r="E120" t="s">
        <v>2797</v>
      </c>
      <c r="F120" t="s">
        <v>2793</v>
      </c>
      <c r="G120" s="562">
        <v>950</v>
      </c>
      <c r="H120" s="562">
        <f>SUMIFS('Taxes Withheld'!F:F,'Taxes Withheld'!C:C,'Import DV AUCS'!A120)</f>
        <v>30</v>
      </c>
      <c r="I120" s="562">
        <f>SUMIFS('Taxes Withheld'!G:G,'Taxes Withheld'!C:C,'Import DV AUCS'!A120)</f>
        <v>20</v>
      </c>
      <c r="K120" s="562">
        <f t="shared" si="1"/>
        <v>50</v>
      </c>
      <c r="M120" t="s">
        <v>392</v>
      </c>
      <c r="N120" t="s">
        <v>2681</v>
      </c>
      <c r="O120" t="s">
        <v>2679</v>
      </c>
    </row>
    <row r="121" spans="1:15">
      <c r="A121" t="s">
        <v>2987</v>
      </c>
      <c r="B121" t="s">
        <v>2675</v>
      </c>
      <c r="C121" t="s">
        <v>2666</v>
      </c>
      <c r="D121" s="562">
        <v>0</v>
      </c>
      <c r="E121" t="s">
        <v>2803</v>
      </c>
      <c r="F121" t="s">
        <v>2793</v>
      </c>
      <c r="G121" s="562">
        <v>2850</v>
      </c>
      <c r="H121" s="562">
        <f>SUMIFS('Taxes Withheld'!F:F,'Taxes Withheld'!C:C,'Import DV AUCS'!A121)</f>
        <v>90</v>
      </c>
      <c r="I121" s="562">
        <f>SUMIFS('Taxes Withheld'!G:G,'Taxes Withheld'!C:C,'Import DV AUCS'!A121)</f>
        <v>60</v>
      </c>
      <c r="K121" s="562">
        <f t="shared" si="1"/>
        <v>150</v>
      </c>
      <c r="M121" t="s">
        <v>392</v>
      </c>
      <c r="N121" t="s">
        <v>2681</v>
      </c>
      <c r="O121" t="s">
        <v>2679</v>
      </c>
    </row>
    <row r="122" spans="1:15">
      <c r="A122" t="s">
        <v>2988</v>
      </c>
      <c r="B122" t="s">
        <v>2675</v>
      </c>
      <c r="C122" t="s">
        <v>2666</v>
      </c>
      <c r="D122" s="562">
        <v>0</v>
      </c>
      <c r="E122" t="s">
        <v>2805</v>
      </c>
      <c r="F122" t="s">
        <v>2793</v>
      </c>
      <c r="G122" s="562">
        <v>1900</v>
      </c>
      <c r="H122" s="562">
        <f>SUMIFS('Taxes Withheld'!F:F,'Taxes Withheld'!C:C,'Import DV AUCS'!A122)</f>
        <v>60</v>
      </c>
      <c r="I122" s="562">
        <f>SUMIFS('Taxes Withheld'!G:G,'Taxes Withheld'!C:C,'Import DV AUCS'!A122)</f>
        <v>40</v>
      </c>
      <c r="K122" s="562">
        <f t="shared" si="1"/>
        <v>100</v>
      </c>
      <c r="M122" t="s">
        <v>392</v>
      </c>
      <c r="N122" t="s">
        <v>2681</v>
      </c>
      <c r="O122" t="s">
        <v>2679</v>
      </c>
    </row>
    <row r="123" spans="1:15">
      <c r="A123" t="s">
        <v>2989</v>
      </c>
      <c r="B123" t="s">
        <v>2675</v>
      </c>
      <c r="C123" t="s">
        <v>2666</v>
      </c>
      <c r="D123" s="562">
        <v>0</v>
      </c>
      <c r="E123" t="s">
        <v>2888</v>
      </c>
      <c r="F123" t="s">
        <v>2889</v>
      </c>
      <c r="G123" s="562">
        <v>42750</v>
      </c>
      <c r="H123" s="562">
        <f>SUMIFS('Taxes Withheld'!F:F,'Taxes Withheld'!C:C,'Import DV AUCS'!A123)</f>
        <v>1350</v>
      </c>
      <c r="I123" s="562">
        <f>SUMIFS('Taxes Withheld'!G:G,'Taxes Withheld'!C:C,'Import DV AUCS'!A123)</f>
        <v>900</v>
      </c>
      <c r="K123" s="562">
        <f t="shared" si="1"/>
        <v>2250</v>
      </c>
      <c r="M123" t="s">
        <v>392</v>
      </c>
      <c r="N123" t="s">
        <v>2681</v>
      </c>
      <c r="O123" t="s">
        <v>2679</v>
      </c>
    </row>
    <row r="124" spans="1:15">
      <c r="A124" t="s">
        <v>2990</v>
      </c>
      <c r="B124" t="s">
        <v>2675</v>
      </c>
      <c r="C124" t="s">
        <v>2666</v>
      </c>
      <c r="D124" s="562">
        <v>0</v>
      </c>
      <c r="E124" t="s">
        <v>2879</v>
      </c>
      <c r="F124" t="s">
        <v>2880</v>
      </c>
      <c r="G124" s="562">
        <v>6000</v>
      </c>
      <c r="H124" s="562">
        <f>SUMIFS('Taxes Withheld'!F:F,'Taxes Withheld'!C:C,'Import DV AUCS'!A124)</f>
        <v>187.5</v>
      </c>
      <c r="I124" s="562">
        <f>SUMIFS('Taxes Withheld'!G:G,'Taxes Withheld'!C:C,'Import DV AUCS'!A124)</f>
        <v>62.5</v>
      </c>
      <c r="K124" s="562">
        <f t="shared" si="1"/>
        <v>250</v>
      </c>
      <c r="M124" t="s">
        <v>392</v>
      </c>
      <c r="N124" t="s">
        <v>2681</v>
      </c>
      <c r="O124" t="s">
        <v>2679</v>
      </c>
    </row>
    <row r="125" spans="1:15">
      <c r="A125" t="s">
        <v>2991</v>
      </c>
      <c r="B125" t="s">
        <v>2675</v>
      </c>
      <c r="C125" t="s">
        <v>2666</v>
      </c>
      <c r="D125" s="562">
        <v>0</v>
      </c>
      <c r="E125" t="s">
        <v>2891</v>
      </c>
      <c r="F125" t="s">
        <v>2892</v>
      </c>
      <c r="G125" s="562">
        <v>7125</v>
      </c>
      <c r="H125" s="562">
        <f>SUMIFS('Taxes Withheld'!F:F,'Taxes Withheld'!C:C,'Import DV AUCS'!A125)</f>
        <v>225</v>
      </c>
      <c r="I125" s="562">
        <f>SUMIFS('Taxes Withheld'!G:G,'Taxes Withheld'!C:C,'Import DV AUCS'!A125)</f>
        <v>150</v>
      </c>
      <c r="K125" s="562">
        <f t="shared" si="1"/>
        <v>375</v>
      </c>
      <c r="M125" t="s">
        <v>392</v>
      </c>
      <c r="N125" t="s">
        <v>2681</v>
      </c>
      <c r="O125" t="s">
        <v>2679</v>
      </c>
    </row>
    <row r="126" spans="1:15">
      <c r="A126" t="s">
        <v>2992</v>
      </c>
      <c r="B126" t="s">
        <v>2675</v>
      </c>
      <c r="C126" t="s">
        <v>2666</v>
      </c>
      <c r="D126" s="562">
        <v>0</v>
      </c>
      <c r="E126" t="s">
        <v>2894</v>
      </c>
      <c r="F126" t="s">
        <v>2895</v>
      </c>
      <c r="G126" s="562">
        <v>6175</v>
      </c>
      <c r="H126" s="562">
        <f>SUMIFS('Taxes Withheld'!F:F,'Taxes Withheld'!C:C,'Import DV AUCS'!A126)</f>
        <v>195</v>
      </c>
      <c r="I126" s="562">
        <f>SUMIFS('Taxes Withheld'!G:G,'Taxes Withheld'!C:C,'Import DV AUCS'!A126)</f>
        <v>130</v>
      </c>
      <c r="K126" s="562">
        <f t="shared" si="1"/>
        <v>325</v>
      </c>
      <c r="M126" t="s">
        <v>392</v>
      </c>
      <c r="N126" t="s">
        <v>2681</v>
      </c>
      <c r="O126" t="s">
        <v>2679</v>
      </c>
    </row>
    <row r="127" spans="1:15">
      <c r="A127" t="s">
        <v>2993</v>
      </c>
      <c r="B127" t="s">
        <v>2675</v>
      </c>
      <c r="C127" t="s">
        <v>2666</v>
      </c>
      <c r="D127" s="562">
        <v>0</v>
      </c>
      <c r="E127" t="s">
        <v>2994</v>
      </c>
      <c r="F127" t="s">
        <v>2995</v>
      </c>
      <c r="G127" s="562">
        <v>1566.1</v>
      </c>
      <c r="H127" s="562">
        <f>SUMIFS('Taxes Withheld'!F:F,'Taxes Withheld'!C:C,'Import DV AUCS'!A127)</f>
        <v>0</v>
      </c>
      <c r="I127" s="562">
        <f>SUMIFS('Taxes Withheld'!G:G,'Taxes Withheld'!C:C,'Import DV AUCS'!A127)</f>
        <v>0</v>
      </c>
      <c r="K127" s="562">
        <f t="shared" si="1"/>
        <v>0</v>
      </c>
      <c r="M127" t="s">
        <v>2662</v>
      </c>
      <c r="N127" t="s">
        <v>2053</v>
      </c>
      <c r="O127" t="s">
        <v>2680</v>
      </c>
    </row>
    <row r="128" spans="1:15">
      <c r="A128" t="s">
        <v>2996</v>
      </c>
      <c r="B128" t="s">
        <v>2675</v>
      </c>
      <c r="C128" t="s">
        <v>2666</v>
      </c>
      <c r="D128" s="562">
        <v>0</v>
      </c>
      <c r="E128" t="s">
        <v>1691</v>
      </c>
      <c r="F128" t="s">
        <v>2997</v>
      </c>
      <c r="G128" s="562">
        <v>465.72</v>
      </c>
      <c r="H128" s="562">
        <f>SUMIFS('Taxes Withheld'!F:F,'Taxes Withheld'!C:C,'Import DV AUCS'!A128)</f>
        <v>0</v>
      </c>
      <c r="I128" s="562">
        <f>SUMIFS('Taxes Withheld'!G:G,'Taxes Withheld'!C:C,'Import DV AUCS'!A128)</f>
        <v>0</v>
      </c>
      <c r="K128" s="562">
        <f t="shared" si="1"/>
        <v>0</v>
      </c>
      <c r="M128" t="s">
        <v>2662</v>
      </c>
      <c r="N128" t="s">
        <v>2053</v>
      </c>
      <c r="O128" t="s">
        <v>2680</v>
      </c>
    </row>
    <row r="129" spans="1:15">
      <c r="A129" t="s">
        <v>2998</v>
      </c>
      <c r="B129" t="s">
        <v>2675</v>
      </c>
      <c r="C129" t="s">
        <v>2666</v>
      </c>
      <c r="D129" s="562">
        <v>0</v>
      </c>
      <c r="E129" t="s">
        <v>1759</v>
      </c>
      <c r="F129" t="s">
        <v>2999</v>
      </c>
      <c r="G129" s="562">
        <v>200</v>
      </c>
      <c r="H129" s="562">
        <f>SUMIFS('Taxes Withheld'!F:F,'Taxes Withheld'!C:C,'Import DV AUCS'!A129)</f>
        <v>0</v>
      </c>
      <c r="I129" s="562">
        <f>SUMIFS('Taxes Withheld'!G:G,'Taxes Withheld'!C:C,'Import DV AUCS'!A129)</f>
        <v>0</v>
      </c>
      <c r="K129" s="562">
        <f t="shared" si="1"/>
        <v>0</v>
      </c>
      <c r="M129" t="s">
        <v>2662</v>
      </c>
      <c r="N129" t="s">
        <v>2053</v>
      </c>
      <c r="O129" t="s">
        <v>2680</v>
      </c>
    </row>
    <row r="130" spans="1:15">
      <c r="A130" t="s">
        <v>3000</v>
      </c>
      <c r="B130" t="s">
        <v>2675</v>
      </c>
      <c r="C130" t="s">
        <v>2666</v>
      </c>
      <c r="D130" s="562">
        <v>0</v>
      </c>
      <c r="E130" t="s">
        <v>3001</v>
      </c>
      <c r="F130" t="s">
        <v>3002</v>
      </c>
      <c r="G130" s="562">
        <v>39000</v>
      </c>
      <c r="H130" s="562">
        <f>SUMIFS('Taxes Withheld'!F:F,'Taxes Withheld'!C:C,'Import DV AUCS'!A130)</f>
        <v>0</v>
      </c>
      <c r="I130" s="562">
        <f>SUMIFS('Taxes Withheld'!G:G,'Taxes Withheld'!C:C,'Import DV AUCS'!A130)</f>
        <v>0</v>
      </c>
      <c r="K130" s="562">
        <f t="shared" si="1"/>
        <v>0</v>
      </c>
      <c r="M130" t="s">
        <v>392</v>
      </c>
      <c r="N130" t="s">
        <v>2681</v>
      </c>
      <c r="O130" t="s">
        <v>2679</v>
      </c>
    </row>
    <row r="131" spans="1:15">
      <c r="A131" t="s">
        <v>3003</v>
      </c>
      <c r="B131" t="s">
        <v>2675</v>
      </c>
      <c r="C131" t="s">
        <v>2666</v>
      </c>
      <c r="D131" s="562">
        <v>0</v>
      </c>
      <c r="E131" t="s">
        <v>1105</v>
      </c>
      <c r="F131" t="s">
        <v>2999</v>
      </c>
      <c r="G131" s="562">
        <v>3044.55</v>
      </c>
      <c r="H131" s="562">
        <f>SUMIFS('Taxes Withheld'!F:F,'Taxes Withheld'!C:C,'Import DV AUCS'!A131)</f>
        <v>0</v>
      </c>
      <c r="I131" s="562">
        <f>SUMIFS('Taxes Withheld'!G:G,'Taxes Withheld'!C:C,'Import DV AUCS'!A131)</f>
        <v>0</v>
      </c>
      <c r="K131" s="562">
        <f t="shared" si="1"/>
        <v>0</v>
      </c>
      <c r="M131" t="s">
        <v>2662</v>
      </c>
      <c r="N131" t="s">
        <v>2053</v>
      </c>
      <c r="O131" t="s">
        <v>2680</v>
      </c>
    </row>
    <row r="132" spans="1:15">
      <c r="A132" t="s">
        <v>3004</v>
      </c>
      <c r="B132" t="s">
        <v>2675</v>
      </c>
      <c r="C132" t="s">
        <v>2666</v>
      </c>
      <c r="D132" s="562">
        <v>0</v>
      </c>
      <c r="E132" t="s">
        <v>3005</v>
      </c>
      <c r="F132" t="s">
        <v>3006</v>
      </c>
      <c r="G132" s="562">
        <v>170</v>
      </c>
      <c r="H132" s="562">
        <f>SUMIFS('Taxes Withheld'!F:F,'Taxes Withheld'!C:C,'Import DV AUCS'!A132)</f>
        <v>0</v>
      </c>
      <c r="I132" s="562">
        <f>SUMIFS('Taxes Withheld'!G:G,'Taxes Withheld'!C:C,'Import DV AUCS'!A132)</f>
        <v>0</v>
      </c>
      <c r="K132" s="562">
        <f t="shared" ref="K132:K195" si="2">H132+I132+J132</f>
        <v>0</v>
      </c>
      <c r="M132" t="s">
        <v>2662</v>
      </c>
      <c r="N132" t="s">
        <v>2053</v>
      </c>
      <c r="O132" t="s">
        <v>2680</v>
      </c>
    </row>
    <row r="133" spans="1:15">
      <c r="A133" t="s">
        <v>3007</v>
      </c>
      <c r="B133" t="s">
        <v>2675</v>
      </c>
      <c r="C133" t="s">
        <v>2666</v>
      </c>
      <c r="D133" s="562">
        <v>0</v>
      </c>
      <c r="E133" t="s">
        <v>2933</v>
      </c>
      <c r="F133" t="s">
        <v>3008</v>
      </c>
      <c r="G133" s="562">
        <v>200</v>
      </c>
      <c r="H133" s="562">
        <f>SUMIFS('Taxes Withheld'!F:F,'Taxes Withheld'!C:C,'Import DV AUCS'!A133)</f>
        <v>0</v>
      </c>
      <c r="I133" s="562">
        <f>SUMIFS('Taxes Withheld'!G:G,'Taxes Withheld'!C:C,'Import DV AUCS'!A133)</f>
        <v>0</v>
      </c>
      <c r="K133" s="562">
        <f t="shared" si="2"/>
        <v>0</v>
      </c>
      <c r="M133" t="s">
        <v>2662</v>
      </c>
      <c r="N133" t="s">
        <v>2053</v>
      </c>
      <c r="O133" t="s">
        <v>2680</v>
      </c>
    </row>
    <row r="134" spans="1:15">
      <c r="A134" t="s">
        <v>3009</v>
      </c>
      <c r="B134" t="s">
        <v>2675</v>
      </c>
      <c r="C134" t="s">
        <v>2666</v>
      </c>
      <c r="D134" s="562">
        <v>0</v>
      </c>
      <c r="E134" t="s">
        <v>2936</v>
      </c>
      <c r="F134" t="s">
        <v>3010</v>
      </c>
      <c r="G134" s="562">
        <v>50</v>
      </c>
      <c r="H134" s="562">
        <f>SUMIFS('Taxes Withheld'!F:F,'Taxes Withheld'!C:C,'Import DV AUCS'!A134)</f>
        <v>0</v>
      </c>
      <c r="I134" s="562">
        <f>SUMIFS('Taxes Withheld'!G:G,'Taxes Withheld'!C:C,'Import DV AUCS'!A134)</f>
        <v>0</v>
      </c>
      <c r="K134" s="562">
        <f t="shared" si="2"/>
        <v>0</v>
      </c>
      <c r="M134" t="s">
        <v>2662</v>
      </c>
      <c r="N134" t="s">
        <v>2053</v>
      </c>
      <c r="O134" t="s">
        <v>2680</v>
      </c>
    </row>
    <row r="135" spans="1:15">
      <c r="A135" t="s">
        <v>3011</v>
      </c>
      <c r="B135" t="s">
        <v>2675</v>
      </c>
      <c r="C135" t="s">
        <v>2666</v>
      </c>
      <c r="D135" s="562">
        <v>0</v>
      </c>
      <c r="E135" t="s">
        <v>3012</v>
      </c>
      <c r="F135" t="s">
        <v>3013</v>
      </c>
      <c r="G135" s="562">
        <v>16406.25</v>
      </c>
      <c r="H135" s="562">
        <f>SUMIFS('Taxes Withheld'!F:F,'Taxes Withheld'!C:C,'Import DV AUCS'!A135)</f>
        <v>781.25</v>
      </c>
      <c r="I135" s="562">
        <f>SUMIFS('Taxes Withheld'!G:G,'Taxes Withheld'!C:C,'Import DV AUCS'!A135)</f>
        <v>312.5</v>
      </c>
      <c r="K135" s="562">
        <f t="shared" si="2"/>
        <v>1093.75</v>
      </c>
      <c r="M135" t="s">
        <v>392</v>
      </c>
      <c r="N135" t="s">
        <v>2681</v>
      </c>
      <c r="O135" t="s">
        <v>2679</v>
      </c>
    </row>
    <row r="136" spans="1:15">
      <c r="A136" t="s">
        <v>3014</v>
      </c>
      <c r="B136" t="s">
        <v>2675</v>
      </c>
      <c r="C136" t="s">
        <v>2666</v>
      </c>
      <c r="D136" s="562">
        <v>0</v>
      </c>
      <c r="E136" t="s">
        <v>1691</v>
      </c>
      <c r="F136" t="s">
        <v>3015</v>
      </c>
      <c r="G136" s="562">
        <v>8967.5399999999991</v>
      </c>
      <c r="H136" s="562">
        <f>SUMIFS('Taxes Withheld'!F:F,'Taxes Withheld'!C:C,'Import DV AUCS'!A136)</f>
        <v>0</v>
      </c>
      <c r="I136" s="562">
        <f>SUMIFS('Taxes Withheld'!G:G,'Taxes Withheld'!C:C,'Import DV AUCS'!A136)</f>
        <v>0</v>
      </c>
      <c r="K136" s="562">
        <f t="shared" si="2"/>
        <v>0</v>
      </c>
      <c r="M136" t="s">
        <v>2662</v>
      </c>
      <c r="N136" t="s">
        <v>2053</v>
      </c>
      <c r="O136" t="s">
        <v>2680</v>
      </c>
    </row>
    <row r="137" spans="1:15">
      <c r="A137" t="s">
        <v>3016</v>
      </c>
      <c r="B137" t="s">
        <v>2675</v>
      </c>
      <c r="C137" t="s">
        <v>2666</v>
      </c>
      <c r="D137" s="562">
        <v>0</v>
      </c>
      <c r="E137" t="s">
        <v>1105</v>
      </c>
      <c r="F137" t="s">
        <v>3015</v>
      </c>
      <c r="G137" s="562">
        <v>79011.26999999999</v>
      </c>
      <c r="H137" s="562">
        <f>SUMIFS('Taxes Withheld'!F:F,'Taxes Withheld'!C:C,'Import DV AUCS'!A137)</f>
        <v>0</v>
      </c>
      <c r="I137" s="562">
        <f>SUMIFS('Taxes Withheld'!G:G,'Taxes Withheld'!C:C,'Import DV AUCS'!A137)</f>
        <v>0</v>
      </c>
      <c r="K137" s="562">
        <f t="shared" si="2"/>
        <v>0</v>
      </c>
      <c r="M137" t="s">
        <v>2662</v>
      </c>
      <c r="N137" t="s">
        <v>2053</v>
      </c>
      <c r="O137" t="s">
        <v>2680</v>
      </c>
    </row>
    <row r="138" spans="1:15">
      <c r="A138" t="s">
        <v>3017</v>
      </c>
      <c r="B138" t="s">
        <v>2675</v>
      </c>
      <c r="C138" t="s">
        <v>2666</v>
      </c>
      <c r="D138" s="562">
        <v>0</v>
      </c>
      <c r="E138" t="s">
        <v>1759</v>
      </c>
      <c r="F138" t="s">
        <v>3018</v>
      </c>
      <c r="G138" s="562">
        <v>4845.12</v>
      </c>
      <c r="H138" s="562">
        <f>SUMIFS('Taxes Withheld'!F:F,'Taxes Withheld'!C:C,'Import DV AUCS'!A138)</f>
        <v>0</v>
      </c>
      <c r="I138" s="562">
        <f>SUMIFS('Taxes Withheld'!G:G,'Taxes Withheld'!C:C,'Import DV AUCS'!A138)</f>
        <v>0</v>
      </c>
      <c r="K138" s="562">
        <f t="shared" si="2"/>
        <v>0</v>
      </c>
      <c r="M138" t="s">
        <v>2662</v>
      </c>
      <c r="N138" t="s">
        <v>2053</v>
      </c>
      <c r="O138" t="s">
        <v>2680</v>
      </c>
    </row>
    <row r="139" spans="1:15">
      <c r="A139" t="s">
        <v>3019</v>
      </c>
      <c r="B139" t="s">
        <v>2675</v>
      </c>
      <c r="C139" t="s">
        <v>2666</v>
      </c>
      <c r="D139" s="562">
        <v>0</v>
      </c>
      <c r="E139" t="s">
        <v>3005</v>
      </c>
      <c r="F139" t="s">
        <v>3020</v>
      </c>
      <c r="G139" s="562">
        <v>840</v>
      </c>
      <c r="H139" s="562">
        <f>SUMIFS('Taxes Withheld'!F:F,'Taxes Withheld'!C:C,'Import DV AUCS'!A139)</f>
        <v>0</v>
      </c>
      <c r="I139" s="562">
        <f>SUMIFS('Taxes Withheld'!G:G,'Taxes Withheld'!C:C,'Import DV AUCS'!A139)</f>
        <v>0</v>
      </c>
      <c r="K139" s="562">
        <f t="shared" si="2"/>
        <v>0</v>
      </c>
      <c r="M139" t="s">
        <v>2662</v>
      </c>
      <c r="N139" t="s">
        <v>2053</v>
      </c>
      <c r="O139" t="s">
        <v>2680</v>
      </c>
    </row>
    <row r="140" spans="1:15">
      <c r="A140" t="s">
        <v>3021</v>
      </c>
      <c r="B140" t="s">
        <v>2675</v>
      </c>
      <c r="C140" t="s">
        <v>2666</v>
      </c>
      <c r="D140" s="562">
        <v>0</v>
      </c>
      <c r="E140" t="s">
        <v>2936</v>
      </c>
      <c r="F140" t="s">
        <v>3022</v>
      </c>
      <c r="G140" s="562">
        <v>1500</v>
      </c>
      <c r="H140" s="562">
        <f>SUMIFS('Taxes Withheld'!F:F,'Taxes Withheld'!C:C,'Import DV AUCS'!A140)</f>
        <v>0</v>
      </c>
      <c r="I140" s="562">
        <f>SUMIFS('Taxes Withheld'!G:G,'Taxes Withheld'!C:C,'Import DV AUCS'!A140)</f>
        <v>0</v>
      </c>
      <c r="K140" s="562">
        <f t="shared" si="2"/>
        <v>0</v>
      </c>
      <c r="M140" t="s">
        <v>2662</v>
      </c>
      <c r="N140" t="s">
        <v>2053</v>
      </c>
      <c r="O140" t="s">
        <v>2680</v>
      </c>
    </row>
    <row r="141" spans="1:15">
      <c r="A141" t="s">
        <v>3023</v>
      </c>
      <c r="B141" t="s">
        <v>2675</v>
      </c>
      <c r="C141" t="s">
        <v>2666</v>
      </c>
      <c r="D141" s="562">
        <v>0</v>
      </c>
      <c r="E141" t="s">
        <v>2994</v>
      </c>
      <c r="F141" t="s">
        <v>3024</v>
      </c>
      <c r="G141" s="562">
        <v>4440</v>
      </c>
      <c r="H141" s="562">
        <f>SUMIFS('Taxes Withheld'!F:F,'Taxes Withheld'!C:C,'Import DV AUCS'!A141)</f>
        <v>0</v>
      </c>
      <c r="I141" s="562">
        <f>SUMIFS('Taxes Withheld'!G:G,'Taxes Withheld'!C:C,'Import DV AUCS'!A141)</f>
        <v>0</v>
      </c>
      <c r="K141" s="562">
        <f t="shared" si="2"/>
        <v>0</v>
      </c>
      <c r="M141" t="s">
        <v>2662</v>
      </c>
      <c r="N141" t="s">
        <v>2053</v>
      </c>
      <c r="O141" t="s">
        <v>2680</v>
      </c>
    </row>
    <row r="142" spans="1:15">
      <c r="A142" t="s">
        <v>3025</v>
      </c>
      <c r="B142" t="s">
        <v>2675</v>
      </c>
      <c r="C142" t="s">
        <v>3026</v>
      </c>
      <c r="D142" s="562">
        <v>150000</v>
      </c>
      <c r="E142" t="s">
        <v>3001</v>
      </c>
      <c r="F142" t="s">
        <v>3027</v>
      </c>
      <c r="G142" s="562">
        <v>127518.05</v>
      </c>
      <c r="H142" s="562">
        <f>SUMIFS('Taxes Withheld'!F:F,'Taxes Withheld'!C:C,'Import DV AUCS'!A142)</f>
        <v>0</v>
      </c>
      <c r="I142" s="562">
        <f>SUMIFS('Taxes Withheld'!G:G,'Taxes Withheld'!C:C,'Import DV AUCS'!A142)</f>
        <v>0</v>
      </c>
      <c r="K142" s="562">
        <f t="shared" si="2"/>
        <v>0</v>
      </c>
      <c r="M142" t="s">
        <v>2687</v>
      </c>
      <c r="N142" t="s">
        <v>2683</v>
      </c>
      <c r="O142" t="s">
        <v>2678</v>
      </c>
    </row>
    <row r="143" spans="1:15">
      <c r="A143" t="s">
        <v>3028</v>
      </c>
      <c r="B143" t="s">
        <v>2675</v>
      </c>
      <c r="C143" t="s">
        <v>2666</v>
      </c>
      <c r="D143" s="562">
        <v>0</v>
      </c>
      <c r="E143" t="s">
        <v>1661</v>
      </c>
      <c r="F143" t="s">
        <v>3029</v>
      </c>
      <c r="G143" s="562">
        <v>22481.95</v>
      </c>
      <c r="H143" s="562">
        <f>SUMIFS('Taxes Withheld'!F:F,'Taxes Withheld'!C:C,'Import DV AUCS'!A143)</f>
        <v>0</v>
      </c>
      <c r="I143" s="562">
        <f>SUMIFS('Taxes Withheld'!G:G,'Taxes Withheld'!C:C,'Import DV AUCS'!A143)</f>
        <v>0</v>
      </c>
      <c r="K143" s="562">
        <f t="shared" si="2"/>
        <v>0</v>
      </c>
      <c r="M143" t="s">
        <v>2662</v>
      </c>
      <c r="N143" t="s">
        <v>2053</v>
      </c>
      <c r="O143" t="s">
        <v>2680</v>
      </c>
    </row>
    <row r="144" spans="1:15">
      <c r="A144" t="s">
        <v>3030</v>
      </c>
      <c r="B144" t="s">
        <v>2675</v>
      </c>
      <c r="C144" t="s">
        <v>3031</v>
      </c>
      <c r="D144" s="562">
        <v>80000</v>
      </c>
      <c r="E144" t="s">
        <v>1682</v>
      </c>
      <c r="F144" t="s">
        <v>3032</v>
      </c>
      <c r="G144" s="562">
        <v>80000</v>
      </c>
      <c r="H144" s="562">
        <f>SUMIFS('Taxes Withheld'!F:F,'Taxes Withheld'!C:C,'Import DV AUCS'!A144)</f>
        <v>0</v>
      </c>
      <c r="I144" s="562">
        <f>SUMIFS('Taxes Withheld'!G:G,'Taxes Withheld'!C:C,'Import DV AUCS'!A144)</f>
        <v>0</v>
      </c>
      <c r="K144" s="562">
        <f t="shared" si="2"/>
        <v>0</v>
      </c>
      <c r="M144" t="s">
        <v>2685</v>
      </c>
      <c r="N144" t="s">
        <v>2683</v>
      </c>
      <c r="O144" t="s">
        <v>2678</v>
      </c>
    </row>
    <row r="145" spans="1:15">
      <c r="A145" t="s">
        <v>3033</v>
      </c>
      <c r="B145" t="s">
        <v>2675</v>
      </c>
      <c r="C145" t="s">
        <v>3034</v>
      </c>
      <c r="D145" s="562">
        <v>97200</v>
      </c>
      <c r="E145" t="s">
        <v>1682</v>
      </c>
      <c r="F145" t="s">
        <v>3035</v>
      </c>
      <c r="G145" s="562">
        <v>97200</v>
      </c>
      <c r="H145" s="562">
        <f>SUMIFS('Taxes Withheld'!F:F,'Taxes Withheld'!C:C,'Import DV AUCS'!A145)</f>
        <v>0</v>
      </c>
      <c r="I145" s="562">
        <f>SUMIFS('Taxes Withheld'!G:G,'Taxes Withheld'!C:C,'Import DV AUCS'!A145)</f>
        <v>0</v>
      </c>
      <c r="K145" s="562">
        <f t="shared" si="2"/>
        <v>0</v>
      </c>
      <c r="M145" t="s">
        <v>2685</v>
      </c>
      <c r="N145" t="s">
        <v>2683</v>
      </c>
      <c r="O145" t="s">
        <v>2678</v>
      </c>
    </row>
    <row r="146" spans="1:15">
      <c r="A146" t="s">
        <v>3036</v>
      </c>
      <c r="B146" t="s">
        <v>2675</v>
      </c>
      <c r="C146" t="s">
        <v>3037</v>
      </c>
      <c r="D146" s="562">
        <v>97200</v>
      </c>
      <c r="E146" t="s">
        <v>820</v>
      </c>
      <c r="F146" t="s">
        <v>3035</v>
      </c>
      <c r="G146" s="562">
        <v>97200</v>
      </c>
      <c r="H146" s="562">
        <f>SUMIFS('Taxes Withheld'!F:F,'Taxes Withheld'!C:C,'Import DV AUCS'!A146)</f>
        <v>0</v>
      </c>
      <c r="I146" s="562">
        <f>SUMIFS('Taxes Withheld'!G:G,'Taxes Withheld'!C:C,'Import DV AUCS'!A146)</f>
        <v>0</v>
      </c>
      <c r="K146" s="562">
        <f t="shared" si="2"/>
        <v>0</v>
      </c>
      <c r="M146" t="s">
        <v>2685</v>
      </c>
      <c r="N146" t="s">
        <v>2683</v>
      </c>
      <c r="O146" t="s">
        <v>2678</v>
      </c>
    </row>
    <row r="147" spans="1:15">
      <c r="A147" t="s">
        <v>3038</v>
      </c>
      <c r="B147" t="s">
        <v>2675</v>
      </c>
      <c r="C147" t="s">
        <v>3039</v>
      </c>
      <c r="D147" s="562">
        <v>97200</v>
      </c>
      <c r="E147" t="s">
        <v>1539</v>
      </c>
      <c r="F147" t="s">
        <v>3035</v>
      </c>
      <c r="G147" s="562">
        <v>97200</v>
      </c>
      <c r="H147" s="562">
        <f>SUMIFS('Taxes Withheld'!F:F,'Taxes Withheld'!C:C,'Import DV AUCS'!A147)</f>
        <v>0</v>
      </c>
      <c r="I147" s="562">
        <f>SUMIFS('Taxes Withheld'!G:G,'Taxes Withheld'!C:C,'Import DV AUCS'!A147)</f>
        <v>0</v>
      </c>
      <c r="K147" s="562">
        <f t="shared" si="2"/>
        <v>0</v>
      </c>
      <c r="M147" t="s">
        <v>2685</v>
      </c>
      <c r="N147" t="s">
        <v>2683</v>
      </c>
      <c r="O147" t="s">
        <v>2678</v>
      </c>
    </row>
    <row r="148" spans="1:15">
      <c r="A148" t="s">
        <v>3040</v>
      </c>
      <c r="B148" t="s">
        <v>2675</v>
      </c>
      <c r="C148" t="s">
        <v>3041</v>
      </c>
      <c r="D148" s="562">
        <v>97200</v>
      </c>
      <c r="E148" t="s">
        <v>822</v>
      </c>
      <c r="F148" t="s">
        <v>3035</v>
      </c>
      <c r="G148" s="562">
        <v>97200</v>
      </c>
      <c r="H148" s="562">
        <f>SUMIFS('Taxes Withheld'!F:F,'Taxes Withheld'!C:C,'Import DV AUCS'!A148)</f>
        <v>0</v>
      </c>
      <c r="I148" s="562">
        <f>SUMIFS('Taxes Withheld'!G:G,'Taxes Withheld'!C:C,'Import DV AUCS'!A148)</f>
        <v>0</v>
      </c>
      <c r="K148" s="562">
        <f t="shared" si="2"/>
        <v>0</v>
      </c>
      <c r="M148" t="s">
        <v>2685</v>
      </c>
      <c r="N148" t="s">
        <v>2683</v>
      </c>
      <c r="O148" t="s">
        <v>2678</v>
      </c>
    </row>
    <row r="149" spans="1:15">
      <c r="A149" t="s">
        <v>3042</v>
      </c>
      <c r="B149" t="s">
        <v>2675</v>
      </c>
      <c r="C149" t="s">
        <v>3043</v>
      </c>
      <c r="D149" s="562">
        <v>97200</v>
      </c>
      <c r="E149" t="s">
        <v>823</v>
      </c>
      <c r="F149" t="s">
        <v>3035</v>
      </c>
      <c r="G149" s="562">
        <v>97200</v>
      </c>
      <c r="H149" s="562">
        <f>SUMIFS('Taxes Withheld'!F:F,'Taxes Withheld'!C:C,'Import DV AUCS'!A149)</f>
        <v>0</v>
      </c>
      <c r="I149" s="562">
        <f>SUMIFS('Taxes Withheld'!G:G,'Taxes Withheld'!C:C,'Import DV AUCS'!A149)</f>
        <v>0</v>
      </c>
      <c r="K149" s="562">
        <f t="shared" si="2"/>
        <v>0</v>
      </c>
      <c r="M149" t="s">
        <v>2685</v>
      </c>
      <c r="N149" t="s">
        <v>2683</v>
      </c>
      <c r="O149" t="s">
        <v>2678</v>
      </c>
    </row>
    <row r="150" spans="1:15">
      <c r="A150" t="s">
        <v>3044</v>
      </c>
      <c r="B150" t="s">
        <v>2675</v>
      </c>
      <c r="C150" t="s">
        <v>3045</v>
      </c>
      <c r="D150" s="562">
        <v>62500</v>
      </c>
      <c r="E150" t="s">
        <v>1682</v>
      </c>
      <c r="F150" t="s">
        <v>3046</v>
      </c>
      <c r="G150" s="562">
        <v>62500</v>
      </c>
      <c r="H150" s="562">
        <f>SUMIFS('Taxes Withheld'!F:F,'Taxes Withheld'!C:C,'Import DV AUCS'!A150)</f>
        <v>0</v>
      </c>
      <c r="I150" s="562">
        <f>SUMIFS('Taxes Withheld'!G:G,'Taxes Withheld'!C:C,'Import DV AUCS'!A150)</f>
        <v>0</v>
      </c>
      <c r="K150" s="562">
        <f t="shared" si="2"/>
        <v>0</v>
      </c>
      <c r="M150" t="s">
        <v>2685</v>
      </c>
      <c r="N150" t="s">
        <v>2683</v>
      </c>
      <c r="O150" t="s">
        <v>2678</v>
      </c>
    </row>
    <row r="151" spans="1:15">
      <c r="A151" t="s">
        <v>3047</v>
      </c>
      <c r="B151" t="s">
        <v>2675</v>
      </c>
      <c r="C151" t="s">
        <v>3048</v>
      </c>
      <c r="D151" s="562">
        <v>50000</v>
      </c>
      <c r="E151" t="s">
        <v>820</v>
      </c>
      <c r="F151" t="s">
        <v>3046</v>
      </c>
      <c r="G151" s="562">
        <v>50000</v>
      </c>
      <c r="H151" s="562">
        <f>SUMIFS('Taxes Withheld'!F:F,'Taxes Withheld'!C:C,'Import DV AUCS'!A151)</f>
        <v>0</v>
      </c>
      <c r="I151" s="562">
        <f>SUMIFS('Taxes Withheld'!G:G,'Taxes Withheld'!C:C,'Import DV AUCS'!A151)</f>
        <v>0</v>
      </c>
      <c r="K151" s="562">
        <f t="shared" si="2"/>
        <v>0</v>
      </c>
      <c r="M151" t="s">
        <v>2685</v>
      </c>
      <c r="N151" t="s">
        <v>2683</v>
      </c>
      <c r="O151" t="s">
        <v>2678</v>
      </c>
    </row>
    <row r="152" spans="1:15">
      <c r="A152" t="s">
        <v>3049</v>
      </c>
      <c r="B152" t="s">
        <v>2675</v>
      </c>
      <c r="C152" t="s">
        <v>3050</v>
      </c>
      <c r="D152" s="562">
        <v>50000</v>
      </c>
      <c r="E152" t="s">
        <v>1539</v>
      </c>
      <c r="F152" t="s">
        <v>3046</v>
      </c>
      <c r="G152" s="562">
        <v>50000</v>
      </c>
      <c r="H152" s="562">
        <f>SUMIFS('Taxes Withheld'!F:F,'Taxes Withheld'!C:C,'Import DV AUCS'!A152)</f>
        <v>0</v>
      </c>
      <c r="I152" s="562">
        <f>SUMIFS('Taxes Withheld'!G:G,'Taxes Withheld'!C:C,'Import DV AUCS'!A152)</f>
        <v>0</v>
      </c>
      <c r="K152" s="562">
        <f t="shared" si="2"/>
        <v>0</v>
      </c>
      <c r="M152" t="s">
        <v>2685</v>
      </c>
      <c r="N152" t="s">
        <v>2683</v>
      </c>
      <c r="O152" t="s">
        <v>2678</v>
      </c>
    </row>
    <row r="153" spans="1:15">
      <c r="A153" t="s">
        <v>3051</v>
      </c>
      <c r="B153" t="s">
        <v>2675</v>
      </c>
      <c r="C153" t="s">
        <v>3052</v>
      </c>
      <c r="D153" s="562">
        <v>50000</v>
      </c>
      <c r="E153" t="s">
        <v>822</v>
      </c>
      <c r="F153" t="s">
        <v>3046</v>
      </c>
      <c r="G153" s="562">
        <v>50000</v>
      </c>
      <c r="H153" s="562">
        <f>SUMIFS('Taxes Withheld'!F:F,'Taxes Withheld'!C:C,'Import DV AUCS'!A153)</f>
        <v>0</v>
      </c>
      <c r="I153" s="562">
        <f>SUMIFS('Taxes Withheld'!G:G,'Taxes Withheld'!C:C,'Import DV AUCS'!A153)</f>
        <v>0</v>
      </c>
      <c r="K153" s="562">
        <f t="shared" si="2"/>
        <v>0</v>
      </c>
      <c r="M153" t="s">
        <v>2685</v>
      </c>
      <c r="N153" t="s">
        <v>2683</v>
      </c>
      <c r="O153" t="s">
        <v>2678</v>
      </c>
    </row>
    <row r="154" spans="1:15">
      <c r="A154" t="s">
        <v>3053</v>
      </c>
      <c r="B154" t="s">
        <v>2675</v>
      </c>
      <c r="C154" t="s">
        <v>3054</v>
      </c>
      <c r="D154" s="562">
        <v>50000</v>
      </c>
      <c r="E154" t="s">
        <v>823</v>
      </c>
      <c r="F154" t="s">
        <v>3046</v>
      </c>
      <c r="G154" s="562">
        <v>50000</v>
      </c>
      <c r="H154" s="562">
        <f>SUMIFS('Taxes Withheld'!F:F,'Taxes Withheld'!C:C,'Import DV AUCS'!A154)</f>
        <v>0</v>
      </c>
      <c r="I154" s="562">
        <f>SUMIFS('Taxes Withheld'!G:G,'Taxes Withheld'!C:C,'Import DV AUCS'!A154)</f>
        <v>0</v>
      </c>
      <c r="K154" s="562">
        <f t="shared" si="2"/>
        <v>0</v>
      </c>
      <c r="M154" t="s">
        <v>2685</v>
      </c>
      <c r="N154" t="s">
        <v>2683</v>
      </c>
      <c r="O154" t="s">
        <v>2678</v>
      </c>
    </row>
    <row r="155" spans="1:15">
      <c r="A155" t="s">
        <v>3055</v>
      </c>
      <c r="B155" t="s">
        <v>2675</v>
      </c>
      <c r="C155" t="s">
        <v>3056</v>
      </c>
      <c r="D155" s="562">
        <v>528841.48</v>
      </c>
      <c r="E155" t="s">
        <v>1682</v>
      </c>
      <c r="F155" t="s">
        <v>3057</v>
      </c>
      <c r="G155" s="562">
        <v>528841.48</v>
      </c>
      <c r="H155" s="562">
        <f>SUMIFS('Taxes Withheld'!F:F,'Taxes Withheld'!C:C,'Import DV AUCS'!A155)</f>
        <v>0</v>
      </c>
      <c r="I155" s="562">
        <f>SUMIFS('Taxes Withheld'!G:G,'Taxes Withheld'!C:C,'Import DV AUCS'!A155)</f>
        <v>0</v>
      </c>
      <c r="K155" s="562">
        <f t="shared" si="2"/>
        <v>0</v>
      </c>
      <c r="M155" t="s">
        <v>2685</v>
      </c>
      <c r="N155" t="s">
        <v>2683</v>
      </c>
      <c r="O155" t="s">
        <v>2678</v>
      </c>
    </row>
    <row r="156" spans="1:15">
      <c r="A156" t="s">
        <v>3058</v>
      </c>
      <c r="B156" t="s">
        <v>2675</v>
      </c>
      <c r="C156" t="s">
        <v>3059</v>
      </c>
      <c r="D156" s="562">
        <v>241528.69</v>
      </c>
      <c r="E156" t="s">
        <v>820</v>
      </c>
      <c r="F156" t="s">
        <v>3057</v>
      </c>
      <c r="G156" s="562">
        <v>241528.69</v>
      </c>
      <c r="H156" s="562">
        <f>SUMIFS('Taxes Withheld'!F:F,'Taxes Withheld'!C:C,'Import DV AUCS'!A156)</f>
        <v>0</v>
      </c>
      <c r="I156" s="562">
        <f>SUMIFS('Taxes Withheld'!G:G,'Taxes Withheld'!C:C,'Import DV AUCS'!A156)</f>
        <v>0</v>
      </c>
      <c r="K156" s="562">
        <f t="shared" si="2"/>
        <v>0</v>
      </c>
      <c r="M156" t="s">
        <v>2685</v>
      </c>
      <c r="N156" t="s">
        <v>2683</v>
      </c>
      <c r="O156" t="s">
        <v>2678</v>
      </c>
    </row>
    <row r="157" spans="1:15">
      <c r="A157" t="s">
        <v>3060</v>
      </c>
      <c r="B157" t="s">
        <v>2675</v>
      </c>
      <c r="C157" t="s">
        <v>3061</v>
      </c>
      <c r="D157" s="562">
        <v>337586.4</v>
      </c>
      <c r="E157" t="s">
        <v>821</v>
      </c>
      <c r="F157" t="s">
        <v>3057</v>
      </c>
      <c r="G157" s="562">
        <v>337586.4</v>
      </c>
      <c r="H157" s="562">
        <f>SUMIFS('Taxes Withheld'!F:F,'Taxes Withheld'!C:C,'Import DV AUCS'!A157)</f>
        <v>0</v>
      </c>
      <c r="I157" s="562">
        <f>SUMIFS('Taxes Withheld'!G:G,'Taxes Withheld'!C:C,'Import DV AUCS'!A157)</f>
        <v>0</v>
      </c>
      <c r="K157" s="562">
        <f t="shared" si="2"/>
        <v>0</v>
      </c>
      <c r="M157" t="s">
        <v>2685</v>
      </c>
      <c r="N157" t="s">
        <v>2683</v>
      </c>
      <c r="O157" t="s">
        <v>2678</v>
      </c>
    </row>
    <row r="158" spans="1:15">
      <c r="A158" t="s">
        <v>3062</v>
      </c>
      <c r="B158" t="s">
        <v>2675</v>
      </c>
      <c r="C158" t="s">
        <v>3063</v>
      </c>
      <c r="D158" s="562">
        <v>355426.3600000001</v>
      </c>
      <c r="E158" t="s">
        <v>822</v>
      </c>
      <c r="F158" t="s">
        <v>3057</v>
      </c>
      <c r="G158" s="562">
        <v>355426.36</v>
      </c>
      <c r="H158" s="562">
        <f>SUMIFS('Taxes Withheld'!F:F,'Taxes Withheld'!C:C,'Import DV AUCS'!A158)</f>
        <v>0</v>
      </c>
      <c r="I158" s="562">
        <f>SUMIFS('Taxes Withheld'!G:G,'Taxes Withheld'!C:C,'Import DV AUCS'!A158)</f>
        <v>0</v>
      </c>
      <c r="K158" s="562">
        <f t="shared" si="2"/>
        <v>0</v>
      </c>
      <c r="M158" t="s">
        <v>2685</v>
      </c>
      <c r="N158" t="s">
        <v>2683</v>
      </c>
      <c r="O158" t="s">
        <v>2678</v>
      </c>
    </row>
    <row r="159" spans="1:15">
      <c r="A159" t="s">
        <v>3064</v>
      </c>
      <c r="B159" t="s">
        <v>2675</v>
      </c>
      <c r="C159" t="s">
        <v>3065</v>
      </c>
      <c r="D159" s="562">
        <v>230967.52</v>
      </c>
      <c r="E159" t="s">
        <v>823</v>
      </c>
      <c r="F159" t="s">
        <v>3057</v>
      </c>
      <c r="G159" s="562">
        <v>230967.52</v>
      </c>
      <c r="H159" s="562">
        <f>SUMIFS('Taxes Withheld'!F:F,'Taxes Withheld'!C:C,'Import DV AUCS'!A159)</f>
        <v>0</v>
      </c>
      <c r="I159" s="562">
        <f>SUMIFS('Taxes Withheld'!G:G,'Taxes Withheld'!C:C,'Import DV AUCS'!A159)</f>
        <v>0</v>
      </c>
      <c r="K159" s="562">
        <f t="shared" si="2"/>
        <v>0</v>
      </c>
      <c r="M159" t="s">
        <v>2685</v>
      </c>
      <c r="N159" t="s">
        <v>2683</v>
      </c>
      <c r="O159" t="s">
        <v>2678</v>
      </c>
    </row>
    <row r="160" spans="1:15">
      <c r="A160" t="s">
        <v>3066</v>
      </c>
      <c r="B160" t="s">
        <v>2675</v>
      </c>
      <c r="C160" t="s">
        <v>3067</v>
      </c>
      <c r="D160" s="562">
        <v>65016.91</v>
      </c>
      <c r="E160" t="s">
        <v>1075</v>
      </c>
      <c r="F160" t="s">
        <v>3068</v>
      </c>
      <c r="G160" s="562">
        <v>59233.58</v>
      </c>
      <c r="H160" s="562">
        <f>SUMIFS('Taxes Withheld'!F:F,'Taxes Withheld'!C:C,'Import DV AUCS'!A160)</f>
        <v>0</v>
      </c>
      <c r="I160" s="562">
        <f>SUMIFS('Taxes Withheld'!G:G,'Taxes Withheld'!C:C,'Import DV AUCS'!A160)</f>
        <v>0</v>
      </c>
      <c r="K160" s="562">
        <f t="shared" si="2"/>
        <v>0</v>
      </c>
      <c r="M160" t="s">
        <v>2687</v>
      </c>
      <c r="N160" t="s">
        <v>2683</v>
      </c>
      <c r="O160" t="s">
        <v>2678</v>
      </c>
    </row>
    <row r="161" spans="1:15">
      <c r="A161" t="s">
        <v>3069</v>
      </c>
      <c r="B161" t="s">
        <v>2675</v>
      </c>
      <c r="C161" t="s">
        <v>3070</v>
      </c>
      <c r="D161" s="562">
        <v>16881.330000000002</v>
      </c>
      <c r="E161" t="s">
        <v>1075</v>
      </c>
      <c r="F161" t="s">
        <v>3068</v>
      </c>
      <c r="G161" s="562">
        <v>16881.330000000002</v>
      </c>
      <c r="H161" s="562">
        <f>SUMIFS('Taxes Withheld'!F:F,'Taxes Withheld'!C:C,'Import DV AUCS'!A161)</f>
        <v>0</v>
      </c>
      <c r="I161" s="562">
        <f>SUMIFS('Taxes Withheld'!G:G,'Taxes Withheld'!C:C,'Import DV AUCS'!A161)</f>
        <v>0</v>
      </c>
      <c r="K161" s="562">
        <f t="shared" si="2"/>
        <v>0</v>
      </c>
      <c r="M161" t="s">
        <v>2687</v>
      </c>
      <c r="N161" t="s">
        <v>2683</v>
      </c>
      <c r="O161" t="s">
        <v>2678</v>
      </c>
    </row>
    <row r="162" spans="1:15">
      <c r="A162" t="s">
        <v>3071</v>
      </c>
      <c r="B162" t="s">
        <v>2675</v>
      </c>
      <c r="C162" t="s">
        <v>2666</v>
      </c>
      <c r="D162" s="562">
        <v>0</v>
      </c>
      <c r="E162" t="s">
        <v>2974</v>
      </c>
      <c r="F162" t="s">
        <v>2975</v>
      </c>
      <c r="G162" s="562">
        <v>31350</v>
      </c>
      <c r="H162" s="562">
        <f>SUMIFS('Taxes Withheld'!F:F,'Taxes Withheld'!C:C,'Import DV AUCS'!A162)</f>
        <v>0</v>
      </c>
      <c r="I162" s="562">
        <f>SUMIFS('Taxes Withheld'!G:G,'Taxes Withheld'!C:C,'Import DV AUCS'!A162)</f>
        <v>0</v>
      </c>
      <c r="K162" s="562">
        <f t="shared" si="2"/>
        <v>0</v>
      </c>
      <c r="M162" t="s">
        <v>392</v>
      </c>
      <c r="N162" t="s">
        <v>2681</v>
      </c>
      <c r="O162" t="s">
        <v>2679</v>
      </c>
    </row>
    <row r="163" spans="1:15">
      <c r="A163" t="s">
        <v>3072</v>
      </c>
      <c r="B163" t="s">
        <v>2675</v>
      </c>
      <c r="C163" t="s">
        <v>2666</v>
      </c>
      <c r="D163" s="562">
        <v>0</v>
      </c>
      <c r="E163" t="s">
        <v>2876</v>
      </c>
      <c r="F163" t="s">
        <v>2877</v>
      </c>
      <c r="G163" s="562">
        <v>34320</v>
      </c>
      <c r="H163" s="562">
        <f>SUMIFS('Taxes Withheld'!F:F,'Taxes Withheld'!C:C,'Import DV AUCS'!A163)</f>
        <v>1072.5</v>
      </c>
      <c r="I163" s="562">
        <f>SUMIFS('Taxes Withheld'!G:G,'Taxes Withheld'!C:C,'Import DV AUCS'!A163)</f>
        <v>357.5</v>
      </c>
      <c r="K163" s="562">
        <f t="shared" si="2"/>
        <v>1430</v>
      </c>
      <c r="M163" t="s">
        <v>392</v>
      </c>
      <c r="N163" t="s">
        <v>2681</v>
      </c>
      <c r="O163" t="s">
        <v>2679</v>
      </c>
    </row>
    <row r="164" spans="1:15">
      <c r="A164" t="s">
        <v>3073</v>
      </c>
      <c r="B164" t="s">
        <v>2675</v>
      </c>
      <c r="C164" t="s">
        <v>2666</v>
      </c>
      <c r="D164" s="562">
        <v>0</v>
      </c>
      <c r="E164" t="s">
        <v>2882</v>
      </c>
      <c r="F164" t="s">
        <v>2883</v>
      </c>
      <c r="G164" s="562">
        <v>11313.6</v>
      </c>
      <c r="H164" s="562">
        <f>SUMIFS('Taxes Withheld'!F:F,'Taxes Withheld'!C:C,'Import DV AUCS'!A164)</f>
        <v>353.55</v>
      </c>
      <c r="I164" s="562">
        <f>SUMIFS('Taxes Withheld'!G:G,'Taxes Withheld'!C:C,'Import DV AUCS'!A164)</f>
        <v>117.85</v>
      </c>
      <c r="K164" s="562">
        <f t="shared" si="2"/>
        <v>471.4</v>
      </c>
      <c r="M164" t="s">
        <v>392</v>
      </c>
      <c r="N164" t="s">
        <v>2681</v>
      </c>
      <c r="O164" t="s">
        <v>2679</v>
      </c>
    </row>
    <row r="165" spans="1:15">
      <c r="A165" t="s">
        <v>3074</v>
      </c>
      <c r="B165" t="s">
        <v>2675</v>
      </c>
      <c r="C165" t="s">
        <v>2666</v>
      </c>
      <c r="D165" s="562">
        <v>0</v>
      </c>
      <c r="E165" t="s">
        <v>3075</v>
      </c>
      <c r="F165" t="s">
        <v>3076</v>
      </c>
      <c r="G165" s="562">
        <v>655.56</v>
      </c>
      <c r="H165" s="562">
        <f>SUMIFS('Taxes Withheld'!F:F,'Taxes Withheld'!C:C,'Import DV AUCS'!A165)</f>
        <v>0</v>
      </c>
      <c r="I165" s="562">
        <f>SUMIFS('Taxes Withheld'!G:G,'Taxes Withheld'!C:C,'Import DV AUCS'!A165)</f>
        <v>0</v>
      </c>
      <c r="K165" s="562">
        <f t="shared" si="2"/>
        <v>0</v>
      </c>
      <c r="M165" t="s">
        <v>2662</v>
      </c>
      <c r="N165" t="s">
        <v>2053</v>
      </c>
      <c r="O165" t="s">
        <v>2680</v>
      </c>
    </row>
    <row r="166" spans="1:15">
      <c r="A166" t="s">
        <v>3077</v>
      </c>
      <c r="B166" t="s">
        <v>2675</v>
      </c>
      <c r="C166" t="s">
        <v>3078</v>
      </c>
      <c r="D166" s="562">
        <v>10000</v>
      </c>
      <c r="E166" t="s">
        <v>2693</v>
      </c>
      <c r="F166" t="s">
        <v>3079</v>
      </c>
      <c r="G166" s="562">
        <v>10000</v>
      </c>
      <c r="H166" s="562">
        <f>SUMIFS('Taxes Withheld'!F:F,'Taxes Withheld'!C:C,'Import DV AUCS'!A166)</f>
        <v>0</v>
      </c>
      <c r="I166" s="562">
        <f>SUMIFS('Taxes Withheld'!G:G,'Taxes Withheld'!C:C,'Import DV AUCS'!A166)</f>
        <v>0</v>
      </c>
      <c r="K166" s="562">
        <f t="shared" si="2"/>
        <v>0</v>
      </c>
      <c r="M166" t="s">
        <v>2687</v>
      </c>
      <c r="N166" t="s">
        <v>2683</v>
      </c>
      <c r="O166" t="s">
        <v>2678</v>
      </c>
    </row>
    <row r="167" spans="1:15">
      <c r="A167" t="s">
        <v>3080</v>
      </c>
      <c r="B167" t="s">
        <v>2675</v>
      </c>
      <c r="C167" t="s">
        <v>3081</v>
      </c>
      <c r="D167" s="562">
        <v>28636.36</v>
      </c>
      <c r="E167" t="s">
        <v>3001</v>
      </c>
      <c r="F167" t="s">
        <v>3082</v>
      </c>
      <c r="G167" s="562">
        <v>28636.36</v>
      </c>
      <c r="H167" s="562">
        <f>SUMIFS('Taxes Withheld'!F:F,'Taxes Withheld'!C:C,'Import DV AUCS'!A167)</f>
        <v>0</v>
      </c>
      <c r="I167" s="562">
        <f>SUMIFS('Taxes Withheld'!G:G,'Taxes Withheld'!C:C,'Import DV AUCS'!A167)</f>
        <v>0</v>
      </c>
      <c r="K167" s="562">
        <f t="shared" si="2"/>
        <v>0</v>
      </c>
      <c r="M167" t="s">
        <v>2687</v>
      </c>
      <c r="N167" t="s">
        <v>2683</v>
      </c>
      <c r="O167" t="s">
        <v>2678</v>
      </c>
    </row>
    <row r="168" spans="1:15">
      <c r="A168" t="s">
        <v>3083</v>
      </c>
      <c r="B168" t="s">
        <v>2675</v>
      </c>
      <c r="C168" t="s">
        <v>2666</v>
      </c>
      <c r="D168" s="562">
        <v>0</v>
      </c>
      <c r="E168" t="s">
        <v>3084</v>
      </c>
      <c r="F168" t="s">
        <v>2862</v>
      </c>
      <c r="G168" s="562">
        <v>17100</v>
      </c>
      <c r="H168" s="562">
        <f>SUMIFS('Taxes Withheld'!F:F,'Taxes Withheld'!C:C,'Import DV AUCS'!A168)</f>
        <v>540</v>
      </c>
      <c r="I168" s="562">
        <f>SUMIFS('Taxes Withheld'!G:G,'Taxes Withheld'!C:C,'Import DV AUCS'!A168)</f>
        <v>360</v>
      </c>
      <c r="K168" s="562">
        <f t="shared" si="2"/>
        <v>900</v>
      </c>
      <c r="M168" t="s">
        <v>392</v>
      </c>
      <c r="N168" t="s">
        <v>2681</v>
      </c>
      <c r="O168" t="s">
        <v>2679</v>
      </c>
    </row>
    <row r="169" spans="1:15">
      <c r="A169" t="s">
        <v>3085</v>
      </c>
      <c r="B169" t="s">
        <v>2675</v>
      </c>
      <c r="C169" t="s">
        <v>3086</v>
      </c>
      <c r="D169" s="562">
        <v>4734.25</v>
      </c>
      <c r="E169" t="s">
        <v>2709</v>
      </c>
      <c r="F169" t="s">
        <v>3087</v>
      </c>
      <c r="G169" s="562">
        <v>4734.25</v>
      </c>
      <c r="H169" s="562">
        <f>SUMIFS('Taxes Withheld'!F:F,'Taxes Withheld'!C:C,'Import DV AUCS'!A169)</f>
        <v>0</v>
      </c>
      <c r="I169" s="562">
        <f>SUMIFS('Taxes Withheld'!G:G,'Taxes Withheld'!C:C,'Import DV AUCS'!A169)</f>
        <v>0</v>
      </c>
      <c r="K169" s="562">
        <f t="shared" si="2"/>
        <v>0</v>
      </c>
      <c r="M169" t="s">
        <v>2687</v>
      </c>
      <c r="N169" t="s">
        <v>2683</v>
      </c>
      <c r="O169" t="s">
        <v>2678</v>
      </c>
    </row>
    <row r="170" spans="1:15">
      <c r="A170" t="s">
        <v>3088</v>
      </c>
      <c r="B170" t="s">
        <v>2675</v>
      </c>
      <c r="C170" t="s">
        <v>3089</v>
      </c>
      <c r="D170" s="562">
        <v>1350</v>
      </c>
      <c r="E170" t="s">
        <v>1677</v>
      </c>
      <c r="F170" t="s">
        <v>3090</v>
      </c>
      <c r="G170" s="562">
        <v>1296</v>
      </c>
      <c r="H170" s="562">
        <f>SUMIFS('Taxes Withheld'!F:F,'Taxes Withheld'!C:C,'Import DV AUCS'!A170)</f>
        <v>40.5</v>
      </c>
      <c r="I170" s="562">
        <f>SUMIFS('Taxes Withheld'!G:G,'Taxes Withheld'!C:C,'Import DV AUCS'!A170)</f>
        <v>13.5</v>
      </c>
      <c r="K170" s="562">
        <f t="shared" si="2"/>
        <v>54</v>
      </c>
      <c r="M170" t="s">
        <v>2687</v>
      </c>
      <c r="N170" t="s">
        <v>2683</v>
      </c>
      <c r="O170" t="s">
        <v>2678</v>
      </c>
    </row>
    <row r="171" spans="1:15">
      <c r="A171" t="s">
        <v>3091</v>
      </c>
      <c r="B171" t="s">
        <v>2675</v>
      </c>
      <c r="C171" t="s">
        <v>3092</v>
      </c>
      <c r="D171" s="562">
        <v>750</v>
      </c>
      <c r="E171" t="s">
        <v>3093</v>
      </c>
      <c r="F171" t="s">
        <v>3094</v>
      </c>
      <c r="G171" s="562">
        <v>750</v>
      </c>
      <c r="H171" s="562">
        <f>SUMIFS('Taxes Withheld'!F:F,'Taxes Withheld'!C:C,'Import DV AUCS'!A171)</f>
        <v>0</v>
      </c>
      <c r="I171" s="562">
        <f>SUMIFS('Taxes Withheld'!G:G,'Taxes Withheld'!C:C,'Import DV AUCS'!A171)</f>
        <v>0</v>
      </c>
      <c r="K171" s="562">
        <f t="shared" si="2"/>
        <v>0</v>
      </c>
      <c r="M171" t="s">
        <v>2687</v>
      </c>
      <c r="N171" t="s">
        <v>2683</v>
      </c>
      <c r="O171" t="s">
        <v>2678</v>
      </c>
    </row>
    <row r="172" spans="1:15">
      <c r="A172" t="s">
        <v>3095</v>
      </c>
      <c r="B172" t="s">
        <v>2675</v>
      </c>
      <c r="C172" t="s">
        <v>3096</v>
      </c>
      <c r="D172" s="562">
        <v>750</v>
      </c>
      <c r="E172" t="s">
        <v>3097</v>
      </c>
      <c r="F172" t="s">
        <v>3094</v>
      </c>
      <c r="G172" s="562">
        <v>750</v>
      </c>
      <c r="H172" s="562">
        <f>SUMIFS('Taxes Withheld'!F:F,'Taxes Withheld'!C:C,'Import DV AUCS'!A172)</f>
        <v>0</v>
      </c>
      <c r="I172" s="562">
        <f>SUMIFS('Taxes Withheld'!G:G,'Taxes Withheld'!C:C,'Import DV AUCS'!A172)</f>
        <v>0</v>
      </c>
      <c r="K172" s="562">
        <f t="shared" si="2"/>
        <v>0</v>
      </c>
      <c r="M172" t="s">
        <v>2687</v>
      </c>
      <c r="N172" t="s">
        <v>2683</v>
      </c>
      <c r="O172" t="s">
        <v>2678</v>
      </c>
    </row>
    <row r="173" spans="1:15">
      <c r="A173" t="s">
        <v>3098</v>
      </c>
      <c r="B173" t="s">
        <v>2675</v>
      </c>
      <c r="C173" t="s">
        <v>3099</v>
      </c>
      <c r="D173" s="562">
        <v>750</v>
      </c>
      <c r="E173" t="s">
        <v>3100</v>
      </c>
      <c r="F173" t="s">
        <v>3094</v>
      </c>
      <c r="G173" s="562">
        <v>750</v>
      </c>
      <c r="H173" s="562">
        <f>SUMIFS('Taxes Withheld'!F:F,'Taxes Withheld'!C:C,'Import DV AUCS'!A173)</f>
        <v>0</v>
      </c>
      <c r="I173" s="562">
        <f>SUMIFS('Taxes Withheld'!G:G,'Taxes Withheld'!C:C,'Import DV AUCS'!A173)</f>
        <v>0</v>
      </c>
      <c r="K173" s="562">
        <f t="shared" si="2"/>
        <v>0</v>
      </c>
      <c r="M173" t="s">
        <v>2687</v>
      </c>
      <c r="N173" t="s">
        <v>2683</v>
      </c>
      <c r="O173" t="s">
        <v>2678</v>
      </c>
    </row>
    <row r="174" spans="1:15">
      <c r="A174" t="s">
        <v>3101</v>
      </c>
      <c r="B174" t="s">
        <v>2675</v>
      </c>
      <c r="C174" t="s">
        <v>2666</v>
      </c>
      <c r="D174" s="562">
        <v>0</v>
      </c>
      <c r="E174" t="s">
        <v>2894</v>
      </c>
      <c r="F174" t="s">
        <v>2897</v>
      </c>
      <c r="G174" s="562">
        <v>14250</v>
      </c>
      <c r="H174" s="562">
        <f>SUMIFS('Taxes Withheld'!F:F,'Taxes Withheld'!C:C,'Import DV AUCS'!A174)</f>
        <v>450</v>
      </c>
      <c r="I174" s="562">
        <f>SUMIFS('Taxes Withheld'!G:G,'Taxes Withheld'!C:C,'Import DV AUCS'!A174)</f>
        <v>300</v>
      </c>
      <c r="K174" s="562">
        <f t="shared" si="2"/>
        <v>750</v>
      </c>
      <c r="M174" t="s">
        <v>392</v>
      </c>
      <c r="N174" t="s">
        <v>2681</v>
      </c>
      <c r="O174" t="s">
        <v>2679</v>
      </c>
    </row>
    <row r="175" spans="1:15">
      <c r="A175" t="s">
        <v>3102</v>
      </c>
      <c r="B175" t="s">
        <v>2675</v>
      </c>
      <c r="C175" t="s">
        <v>2666</v>
      </c>
      <c r="D175" s="562">
        <v>0</v>
      </c>
      <c r="E175" t="s">
        <v>2899</v>
      </c>
      <c r="F175" t="s">
        <v>2900</v>
      </c>
      <c r="G175" s="562">
        <v>1295</v>
      </c>
      <c r="H175" s="562">
        <f>SUMIFS('Taxes Withheld'!F:F,'Taxes Withheld'!C:C,'Import DV AUCS'!A175)</f>
        <v>0</v>
      </c>
      <c r="I175" s="562">
        <f>SUMIFS('Taxes Withheld'!G:G,'Taxes Withheld'!C:C,'Import DV AUCS'!A175)</f>
        <v>0</v>
      </c>
      <c r="K175" s="562">
        <f t="shared" si="2"/>
        <v>0</v>
      </c>
      <c r="M175" t="s">
        <v>392</v>
      </c>
      <c r="N175" t="s">
        <v>2681</v>
      </c>
      <c r="O175" t="s">
        <v>2679</v>
      </c>
    </row>
    <row r="176" spans="1:15">
      <c r="A176" t="s">
        <v>3103</v>
      </c>
      <c r="B176" t="s">
        <v>2675</v>
      </c>
      <c r="C176" t="s">
        <v>2666</v>
      </c>
      <c r="D176" s="562">
        <v>0</v>
      </c>
      <c r="E176" t="s">
        <v>1680</v>
      </c>
      <c r="F176" t="s">
        <v>3104</v>
      </c>
      <c r="G176" s="562">
        <v>7041.43</v>
      </c>
      <c r="H176" s="562">
        <f>SUMIFS('Taxes Withheld'!F:F,'Taxes Withheld'!C:C,'Import DV AUCS'!A176)</f>
        <v>332.14</v>
      </c>
      <c r="I176" s="562">
        <f>SUMIFS('Taxes Withheld'!G:G,'Taxes Withheld'!C:C,'Import DV AUCS'!A176)</f>
        <v>66.430000000000007</v>
      </c>
      <c r="K176" s="562">
        <f t="shared" si="2"/>
        <v>398.57</v>
      </c>
      <c r="M176" t="s">
        <v>392</v>
      </c>
      <c r="N176" t="s">
        <v>2681</v>
      </c>
      <c r="O176" t="s">
        <v>2679</v>
      </c>
    </row>
    <row r="177" spans="1:15">
      <c r="A177" t="s">
        <v>3105</v>
      </c>
      <c r="B177" t="s">
        <v>2675</v>
      </c>
      <c r="C177" t="s">
        <v>2666</v>
      </c>
      <c r="D177" s="562">
        <v>0</v>
      </c>
      <c r="E177" t="s">
        <v>3106</v>
      </c>
      <c r="F177" t="s">
        <v>3107</v>
      </c>
      <c r="G177" s="562">
        <v>19268.16</v>
      </c>
      <c r="H177" s="562">
        <f>SUMIFS('Taxes Withheld'!F:F,'Taxes Withheld'!C:C,'Import DV AUCS'!A177)</f>
        <v>602.13</v>
      </c>
      <c r="I177" s="562">
        <f>SUMIFS('Taxes Withheld'!G:G,'Taxes Withheld'!C:C,'Import DV AUCS'!A177)</f>
        <v>200.71</v>
      </c>
      <c r="K177" s="562">
        <f t="shared" si="2"/>
        <v>802.84</v>
      </c>
      <c r="M177" t="s">
        <v>392</v>
      </c>
      <c r="N177" t="s">
        <v>2681</v>
      </c>
      <c r="O177" t="s">
        <v>2679</v>
      </c>
    </row>
    <row r="178" spans="1:15">
      <c r="A178" t="s">
        <v>3108</v>
      </c>
      <c r="B178" t="s">
        <v>2675</v>
      </c>
      <c r="C178" t="s">
        <v>2666</v>
      </c>
      <c r="D178" s="562">
        <v>0</v>
      </c>
      <c r="E178" t="s">
        <v>1684</v>
      </c>
      <c r="F178" t="s">
        <v>3109</v>
      </c>
      <c r="G178" s="562">
        <v>5606.65</v>
      </c>
      <c r="H178" s="562">
        <f>SUMIFS('Taxes Withheld'!F:F,'Taxes Withheld'!C:C,'Import DV AUCS'!A178)</f>
        <v>264.45999999999998</v>
      </c>
      <c r="I178" s="562">
        <f>SUMIFS('Taxes Withheld'!G:G,'Taxes Withheld'!C:C,'Import DV AUCS'!A178)</f>
        <v>52.89</v>
      </c>
      <c r="K178" s="562">
        <f t="shared" si="2"/>
        <v>317.34999999999997</v>
      </c>
      <c r="M178" t="s">
        <v>392</v>
      </c>
      <c r="N178" t="s">
        <v>2681</v>
      </c>
      <c r="O178" t="s">
        <v>2679</v>
      </c>
    </row>
    <row r="179" spans="1:15">
      <c r="A179" t="s">
        <v>3110</v>
      </c>
      <c r="B179" t="s">
        <v>2675</v>
      </c>
      <c r="C179" t="s">
        <v>3111</v>
      </c>
      <c r="D179" s="562">
        <v>2073.09</v>
      </c>
      <c r="E179" t="s">
        <v>3112</v>
      </c>
      <c r="F179" t="s">
        <v>3113</v>
      </c>
      <c r="G179" s="562">
        <v>2073.09</v>
      </c>
      <c r="H179" s="562">
        <f>SUMIFS('Taxes Withheld'!F:F,'Taxes Withheld'!C:C,'Import DV AUCS'!A179)</f>
        <v>0</v>
      </c>
      <c r="I179" s="562">
        <f>SUMIFS('Taxes Withheld'!G:G,'Taxes Withheld'!C:C,'Import DV AUCS'!A179)</f>
        <v>0</v>
      </c>
      <c r="K179" s="562">
        <f t="shared" si="2"/>
        <v>0</v>
      </c>
      <c r="M179" t="s">
        <v>2687</v>
      </c>
      <c r="N179" t="s">
        <v>2683</v>
      </c>
      <c r="O179" t="s">
        <v>2678</v>
      </c>
    </row>
    <row r="180" spans="1:15">
      <c r="A180" t="s">
        <v>3114</v>
      </c>
      <c r="B180" t="s">
        <v>2675</v>
      </c>
      <c r="C180" t="s">
        <v>3115</v>
      </c>
      <c r="D180" s="562">
        <v>0</v>
      </c>
      <c r="E180" t="s">
        <v>3116</v>
      </c>
      <c r="F180" t="s">
        <v>3117</v>
      </c>
      <c r="G180" s="562">
        <v>0</v>
      </c>
      <c r="H180" s="562">
        <f>SUMIFS('Taxes Withheld'!F:F,'Taxes Withheld'!C:C,'Import DV AUCS'!A180)</f>
        <v>0</v>
      </c>
      <c r="I180" s="562">
        <f>SUMIFS('Taxes Withheld'!G:G,'Taxes Withheld'!C:C,'Import DV AUCS'!A180)</f>
        <v>0</v>
      </c>
      <c r="K180" s="562">
        <f t="shared" si="2"/>
        <v>0</v>
      </c>
      <c r="M180" t="s">
        <v>2687</v>
      </c>
      <c r="N180" t="s">
        <v>2683</v>
      </c>
      <c r="O180" t="s">
        <v>2678</v>
      </c>
    </row>
    <row r="181" spans="1:15">
      <c r="A181" t="s">
        <v>3118</v>
      </c>
      <c r="B181" t="s">
        <v>2675</v>
      </c>
      <c r="C181" t="s">
        <v>3119</v>
      </c>
      <c r="D181" s="562">
        <v>4194.7300000000005</v>
      </c>
      <c r="E181" t="s">
        <v>2761</v>
      </c>
      <c r="F181" t="s">
        <v>3120</v>
      </c>
      <c r="G181" s="562">
        <v>3599.8700000000003</v>
      </c>
      <c r="H181" s="562">
        <f>SUMIFS('Taxes Withheld'!F:F,'Taxes Withheld'!C:C,'Import DV AUCS'!A181)</f>
        <v>0</v>
      </c>
      <c r="I181" s="562">
        <f>SUMIFS('Taxes Withheld'!G:G,'Taxes Withheld'!C:C,'Import DV AUCS'!A181)</f>
        <v>0</v>
      </c>
      <c r="K181" s="562">
        <f t="shared" si="2"/>
        <v>0</v>
      </c>
      <c r="M181" t="s">
        <v>2687</v>
      </c>
      <c r="N181" t="s">
        <v>2683</v>
      </c>
      <c r="O181" t="s">
        <v>2678</v>
      </c>
    </row>
    <row r="182" spans="1:15">
      <c r="A182" t="s">
        <v>3121</v>
      </c>
      <c r="B182" t="s">
        <v>2675</v>
      </c>
      <c r="C182" t="s">
        <v>2666</v>
      </c>
      <c r="D182" s="562">
        <v>0</v>
      </c>
      <c r="E182" t="s">
        <v>1105</v>
      </c>
      <c r="F182" t="s">
        <v>3122</v>
      </c>
      <c r="G182" s="562">
        <v>424.62</v>
      </c>
      <c r="H182" s="562">
        <f>SUMIFS('Taxes Withheld'!F:F,'Taxes Withheld'!C:C,'Import DV AUCS'!A182)</f>
        <v>0</v>
      </c>
      <c r="I182" s="562">
        <f>SUMIFS('Taxes Withheld'!G:G,'Taxes Withheld'!C:C,'Import DV AUCS'!A182)</f>
        <v>0</v>
      </c>
      <c r="K182" s="562">
        <f t="shared" si="2"/>
        <v>0</v>
      </c>
      <c r="M182" t="s">
        <v>2662</v>
      </c>
      <c r="N182" t="s">
        <v>2053</v>
      </c>
      <c r="O182" t="s">
        <v>2680</v>
      </c>
    </row>
    <row r="183" spans="1:15">
      <c r="A183" t="s">
        <v>3123</v>
      </c>
      <c r="B183" t="s">
        <v>2675</v>
      </c>
      <c r="C183" t="s">
        <v>2666</v>
      </c>
      <c r="D183" s="562">
        <v>0</v>
      </c>
      <c r="E183" t="s">
        <v>1105</v>
      </c>
      <c r="F183" t="s">
        <v>3124</v>
      </c>
      <c r="G183" s="562">
        <v>170.24</v>
      </c>
      <c r="H183" s="562">
        <f>SUMIFS('Taxes Withheld'!F:F,'Taxes Withheld'!C:C,'Import DV AUCS'!A183)</f>
        <v>0</v>
      </c>
      <c r="I183" s="562">
        <f>SUMIFS('Taxes Withheld'!G:G,'Taxes Withheld'!C:C,'Import DV AUCS'!A183)</f>
        <v>0</v>
      </c>
      <c r="K183" s="562">
        <f t="shared" si="2"/>
        <v>0</v>
      </c>
      <c r="M183" t="s">
        <v>2662</v>
      </c>
      <c r="N183" t="s">
        <v>2053</v>
      </c>
      <c r="O183" t="s">
        <v>2680</v>
      </c>
    </row>
    <row r="184" spans="1:15">
      <c r="A184" t="s">
        <v>3125</v>
      </c>
      <c r="B184" t="s">
        <v>2675</v>
      </c>
      <c r="C184" t="s">
        <v>2666</v>
      </c>
      <c r="D184" s="562">
        <v>0</v>
      </c>
      <c r="E184" t="s">
        <v>2949</v>
      </c>
      <c r="F184" t="s">
        <v>3126</v>
      </c>
      <c r="G184" s="562">
        <v>17032.63</v>
      </c>
      <c r="H184" s="562">
        <f>SUMIFS('Taxes Withheld'!F:F,'Taxes Withheld'!C:C,'Import DV AUCS'!A184)</f>
        <v>0</v>
      </c>
      <c r="I184" s="562">
        <f>SUMIFS('Taxes Withheld'!G:G,'Taxes Withheld'!C:C,'Import DV AUCS'!A184)</f>
        <v>0</v>
      </c>
      <c r="K184" s="562">
        <f t="shared" si="2"/>
        <v>0</v>
      </c>
      <c r="M184" t="s">
        <v>2662</v>
      </c>
      <c r="N184" t="s">
        <v>2053</v>
      </c>
      <c r="O184" t="s">
        <v>2680</v>
      </c>
    </row>
    <row r="185" spans="1:15">
      <c r="A185" t="s">
        <v>3127</v>
      </c>
      <c r="B185" t="s">
        <v>2675</v>
      </c>
      <c r="C185" t="s">
        <v>3128</v>
      </c>
      <c r="D185" s="562">
        <v>36158</v>
      </c>
      <c r="E185" t="s">
        <v>843</v>
      </c>
      <c r="F185" t="s">
        <v>3129</v>
      </c>
      <c r="G185" s="562">
        <v>35658</v>
      </c>
      <c r="H185" s="562">
        <f>SUMIFS('Taxes Withheld'!F:F,'Taxes Withheld'!C:C,'Import DV AUCS'!A185)</f>
        <v>0</v>
      </c>
      <c r="I185" s="562">
        <f>SUMIFS('Taxes Withheld'!G:G,'Taxes Withheld'!C:C,'Import DV AUCS'!A185)</f>
        <v>0</v>
      </c>
      <c r="K185" s="562">
        <f t="shared" si="2"/>
        <v>0</v>
      </c>
      <c r="M185" t="s">
        <v>2687</v>
      </c>
      <c r="N185" t="s">
        <v>2683</v>
      </c>
      <c r="O185" t="s">
        <v>2678</v>
      </c>
    </row>
    <row r="186" spans="1:15">
      <c r="A186" t="s">
        <v>3130</v>
      </c>
      <c r="B186" t="s">
        <v>2675</v>
      </c>
      <c r="C186" t="s">
        <v>3131</v>
      </c>
      <c r="D186" s="562">
        <v>1046300</v>
      </c>
      <c r="E186" t="s">
        <v>1682</v>
      </c>
      <c r="F186" t="s">
        <v>3132</v>
      </c>
      <c r="G186" s="562">
        <v>1046300</v>
      </c>
      <c r="H186" s="562">
        <f>SUMIFS('Taxes Withheld'!F:F,'Taxes Withheld'!C:C,'Import DV AUCS'!A186)</f>
        <v>0</v>
      </c>
      <c r="I186" s="562">
        <f>SUMIFS('Taxes Withheld'!G:G,'Taxes Withheld'!C:C,'Import DV AUCS'!A186)</f>
        <v>0</v>
      </c>
      <c r="K186" s="562">
        <f t="shared" si="2"/>
        <v>0</v>
      </c>
      <c r="M186" t="s">
        <v>2685</v>
      </c>
      <c r="N186" t="s">
        <v>2683</v>
      </c>
      <c r="O186" t="s">
        <v>2678</v>
      </c>
    </row>
    <row r="187" spans="1:15">
      <c r="A187" t="s">
        <v>3133</v>
      </c>
      <c r="B187" t="s">
        <v>2675</v>
      </c>
      <c r="C187" t="s">
        <v>3134</v>
      </c>
      <c r="D187" s="562">
        <v>535050</v>
      </c>
      <c r="E187" t="s">
        <v>820</v>
      </c>
      <c r="F187" t="s">
        <v>3132</v>
      </c>
      <c r="G187" s="562">
        <v>535050</v>
      </c>
      <c r="H187" s="562">
        <f>SUMIFS('Taxes Withheld'!F:F,'Taxes Withheld'!C:C,'Import DV AUCS'!A187)</f>
        <v>0</v>
      </c>
      <c r="I187" s="562">
        <f>SUMIFS('Taxes Withheld'!G:G,'Taxes Withheld'!C:C,'Import DV AUCS'!A187)</f>
        <v>0</v>
      </c>
      <c r="K187" s="562">
        <f t="shared" si="2"/>
        <v>0</v>
      </c>
      <c r="M187" t="s">
        <v>2685</v>
      </c>
      <c r="N187" t="s">
        <v>2683</v>
      </c>
      <c r="O187" t="s">
        <v>2678</v>
      </c>
    </row>
    <row r="188" spans="1:15">
      <c r="A188" t="s">
        <v>3135</v>
      </c>
      <c r="B188" t="s">
        <v>2675</v>
      </c>
      <c r="C188" t="s">
        <v>3136</v>
      </c>
      <c r="D188" s="562">
        <v>963500</v>
      </c>
      <c r="E188" t="s">
        <v>821</v>
      </c>
      <c r="F188" t="s">
        <v>3132</v>
      </c>
      <c r="G188" s="562">
        <v>963500</v>
      </c>
      <c r="H188" s="562">
        <f>SUMIFS('Taxes Withheld'!F:F,'Taxes Withheld'!C:C,'Import DV AUCS'!A188)</f>
        <v>0</v>
      </c>
      <c r="I188" s="562">
        <f>SUMIFS('Taxes Withheld'!G:G,'Taxes Withheld'!C:C,'Import DV AUCS'!A188)</f>
        <v>0</v>
      </c>
      <c r="K188" s="562">
        <f t="shared" si="2"/>
        <v>0</v>
      </c>
      <c r="M188" t="s">
        <v>2685</v>
      </c>
      <c r="N188" t="s">
        <v>2683</v>
      </c>
      <c r="O188" t="s">
        <v>2678</v>
      </c>
    </row>
    <row r="189" spans="1:15">
      <c r="A189" t="s">
        <v>3137</v>
      </c>
      <c r="B189" t="s">
        <v>2675</v>
      </c>
      <c r="C189" t="s">
        <v>3138</v>
      </c>
      <c r="D189" s="562">
        <v>870350</v>
      </c>
      <c r="E189" t="s">
        <v>822</v>
      </c>
      <c r="F189" t="s">
        <v>3132</v>
      </c>
      <c r="G189" s="562">
        <v>870350</v>
      </c>
      <c r="H189" s="562">
        <f>SUMIFS('Taxes Withheld'!F:F,'Taxes Withheld'!C:C,'Import DV AUCS'!A189)</f>
        <v>0</v>
      </c>
      <c r="I189" s="562">
        <f>SUMIFS('Taxes Withheld'!G:G,'Taxes Withheld'!C:C,'Import DV AUCS'!A189)</f>
        <v>0</v>
      </c>
      <c r="K189" s="562">
        <f t="shared" si="2"/>
        <v>0</v>
      </c>
      <c r="M189" t="s">
        <v>2685</v>
      </c>
      <c r="N189" t="s">
        <v>2683</v>
      </c>
      <c r="O189" t="s">
        <v>2678</v>
      </c>
    </row>
    <row r="190" spans="1:15">
      <c r="A190" t="s">
        <v>3139</v>
      </c>
      <c r="B190" t="s">
        <v>2675</v>
      </c>
      <c r="C190" t="s">
        <v>3140</v>
      </c>
      <c r="D190" s="562">
        <v>815900</v>
      </c>
      <c r="E190" t="s">
        <v>823</v>
      </c>
      <c r="F190" t="s">
        <v>3132</v>
      </c>
      <c r="G190" s="562">
        <v>815900</v>
      </c>
      <c r="H190" s="562">
        <f>SUMIFS('Taxes Withheld'!F:F,'Taxes Withheld'!C:C,'Import DV AUCS'!A190)</f>
        <v>0</v>
      </c>
      <c r="I190" s="562">
        <f>SUMIFS('Taxes Withheld'!G:G,'Taxes Withheld'!C:C,'Import DV AUCS'!A190)</f>
        <v>0</v>
      </c>
      <c r="K190" s="562">
        <f t="shared" si="2"/>
        <v>0</v>
      </c>
      <c r="M190" t="s">
        <v>2685</v>
      </c>
      <c r="N190" t="s">
        <v>2683</v>
      </c>
      <c r="O190" t="s">
        <v>2678</v>
      </c>
    </row>
    <row r="191" spans="1:15">
      <c r="A191" t="s">
        <v>3141</v>
      </c>
      <c r="B191" t="s">
        <v>2675</v>
      </c>
      <c r="C191" t="s">
        <v>2666</v>
      </c>
      <c r="D191" s="562">
        <v>0</v>
      </c>
      <c r="E191" t="s">
        <v>2885</v>
      </c>
      <c r="F191" t="s">
        <v>2886</v>
      </c>
      <c r="G191" s="562">
        <v>7680</v>
      </c>
      <c r="H191" s="562">
        <f>SUMIFS('Taxes Withheld'!F:F,'Taxes Withheld'!C:C,'Import DV AUCS'!A191)</f>
        <v>240</v>
      </c>
      <c r="I191" s="562">
        <f>SUMIFS('Taxes Withheld'!G:G,'Taxes Withheld'!C:C,'Import DV AUCS'!A191)</f>
        <v>80</v>
      </c>
      <c r="K191" s="562">
        <f t="shared" si="2"/>
        <v>320</v>
      </c>
      <c r="M191" t="s">
        <v>392</v>
      </c>
      <c r="N191" t="s">
        <v>2681</v>
      </c>
      <c r="O191" t="s">
        <v>2679</v>
      </c>
    </row>
    <row r="192" spans="1:15">
      <c r="A192" t="s">
        <v>3142</v>
      </c>
      <c r="B192" t="s">
        <v>2675</v>
      </c>
      <c r="C192" t="s">
        <v>2666</v>
      </c>
      <c r="D192" s="562">
        <v>0</v>
      </c>
      <c r="E192" t="s">
        <v>3143</v>
      </c>
      <c r="F192" t="s">
        <v>3144</v>
      </c>
      <c r="G192" s="562">
        <v>10000</v>
      </c>
      <c r="H192" s="562">
        <f>SUMIFS('Taxes Withheld'!F:F,'Taxes Withheld'!C:C,'Import DV AUCS'!A192)</f>
        <v>0</v>
      </c>
      <c r="I192" s="562">
        <f>SUMIFS('Taxes Withheld'!G:G,'Taxes Withheld'!C:C,'Import DV AUCS'!A192)</f>
        <v>0</v>
      </c>
      <c r="K192" s="562">
        <f t="shared" si="2"/>
        <v>0</v>
      </c>
      <c r="M192" t="s">
        <v>392</v>
      </c>
      <c r="N192" t="s">
        <v>2681</v>
      </c>
      <c r="O192" t="s">
        <v>2679</v>
      </c>
    </row>
    <row r="193" spans="1:15">
      <c r="A193" t="s">
        <v>3145</v>
      </c>
      <c r="B193" t="s">
        <v>2675</v>
      </c>
      <c r="C193" t="s">
        <v>2666</v>
      </c>
      <c r="D193" s="562">
        <v>0</v>
      </c>
      <c r="E193" t="s">
        <v>2720</v>
      </c>
      <c r="F193" t="s">
        <v>2852</v>
      </c>
      <c r="G193" s="562">
        <v>1125</v>
      </c>
      <c r="H193" s="562">
        <f>SUMIFS('Taxes Withheld'!F:F,'Taxes Withheld'!C:C,'Import DV AUCS'!A193)</f>
        <v>53.57</v>
      </c>
      <c r="I193" s="562">
        <f>SUMIFS('Taxes Withheld'!G:G,'Taxes Withheld'!C:C,'Import DV AUCS'!A193)</f>
        <v>21.43</v>
      </c>
      <c r="K193" s="562">
        <f t="shared" si="2"/>
        <v>75</v>
      </c>
      <c r="M193" t="s">
        <v>392</v>
      </c>
      <c r="N193" t="s">
        <v>2681</v>
      </c>
      <c r="O193" t="s">
        <v>2679</v>
      </c>
    </row>
    <row r="194" spans="1:15">
      <c r="A194" t="s">
        <v>3146</v>
      </c>
      <c r="B194" t="s">
        <v>2675</v>
      </c>
      <c r="C194" t="s">
        <v>3147</v>
      </c>
      <c r="D194" s="562">
        <v>62014.22</v>
      </c>
      <c r="E194" t="s">
        <v>10</v>
      </c>
      <c r="F194" t="s">
        <v>3148</v>
      </c>
      <c r="G194" s="562">
        <v>49219.630000000005</v>
      </c>
      <c r="H194" s="562">
        <f>SUMIFS('Taxes Withheld'!F:F,'Taxes Withheld'!C:C,'Import DV AUCS'!A194)</f>
        <v>0</v>
      </c>
      <c r="I194" s="562">
        <f>SUMIFS('Taxes Withheld'!G:G,'Taxes Withheld'!C:C,'Import DV AUCS'!A194)</f>
        <v>0</v>
      </c>
      <c r="K194" s="562">
        <f t="shared" si="2"/>
        <v>0</v>
      </c>
      <c r="M194" t="s">
        <v>2687</v>
      </c>
      <c r="N194" t="s">
        <v>2683</v>
      </c>
      <c r="O194" t="s">
        <v>2678</v>
      </c>
    </row>
    <row r="195" spans="1:15">
      <c r="A195" t="s">
        <v>3149</v>
      </c>
      <c r="B195" t="s">
        <v>2675</v>
      </c>
      <c r="C195" t="s">
        <v>3150</v>
      </c>
      <c r="D195" s="562">
        <v>17167.73</v>
      </c>
      <c r="E195" t="s">
        <v>3151</v>
      </c>
      <c r="F195" t="s">
        <v>3148</v>
      </c>
      <c r="G195" s="562">
        <v>13654.27</v>
      </c>
      <c r="H195" s="562">
        <f>SUMIFS('Taxes Withheld'!F:F,'Taxes Withheld'!C:C,'Import DV AUCS'!A195)</f>
        <v>0</v>
      </c>
      <c r="I195" s="562">
        <f>SUMIFS('Taxes Withheld'!G:G,'Taxes Withheld'!C:C,'Import DV AUCS'!A195)</f>
        <v>0</v>
      </c>
      <c r="K195" s="562">
        <f t="shared" si="2"/>
        <v>0</v>
      </c>
      <c r="M195" t="s">
        <v>2687</v>
      </c>
      <c r="N195" t="s">
        <v>2683</v>
      </c>
      <c r="O195" t="s">
        <v>2678</v>
      </c>
    </row>
    <row r="196" spans="1:15">
      <c r="A196" t="s">
        <v>3152</v>
      </c>
      <c r="B196" t="s">
        <v>2675</v>
      </c>
      <c r="C196" t="s">
        <v>3153</v>
      </c>
      <c r="D196" s="562">
        <v>17698.68</v>
      </c>
      <c r="E196" t="s">
        <v>777</v>
      </c>
      <c r="F196" t="s">
        <v>3148</v>
      </c>
      <c r="G196" s="562">
        <v>13997.75</v>
      </c>
      <c r="H196" s="562">
        <f>SUMIFS('Taxes Withheld'!F:F,'Taxes Withheld'!C:C,'Import DV AUCS'!A196)</f>
        <v>0</v>
      </c>
      <c r="I196" s="562">
        <f>SUMIFS('Taxes Withheld'!G:G,'Taxes Withheld'!C:C,'Import DV AUCS'!A196)</f>
        <v>0</v>
      </c>
      <c r="K196" s="562">
        <f t="shared" ref="K196:K259" si="3">H196+I196+J196</f>
        <v>0</v>
      </c>
      <c r="M196" t="s">
        <v>2687</v>
      </c>
      <c r="N196" t="s">
        <v>2683</v>
      </c>
      <c r="O196" t="s">
        <v>2678</v>
      </c>
    </row>
    <row r="197" spans="1:15">
      <c r="A197" t="s">
        <v>3154</v>
      </c>
      <c r="B197" t="s">
        <v>2675</v>
      </c>
      <c r="C197" t="s">
        <v>3155</v>
      </c>
      <c r="D197" s="562">
        <v>18167.440000000002</v>
      </c>
      <c r="E197" t="s">
        <v>764</v>
      </c>
      <c r="F197" t="s">
        <v>3148</v>
      </c>
      <c r="G197" s="562">
        <v>14367.369999999999</v>
      </c>
      <c r="H197" s="562">
        <f>SUMIFS('Taxes Withheld'!F:F,'Taxes Withheld'!C:C,'Import DV AUCS'!A197)</f>
        <v>0</v>
      </c>
      <c r="I197" s="562">
        <f>SUMIFS('Taxes Withheld'!G:G,'Taxes Withheld'!C:C,'Import DV AUCS'!A197)</f>
        <v>0</v>
      </c>
      <c r="K197" s="562">
        <f t="shared" si="3"/>
        <v>0</v>
      </c>
      <c r="M197" t="s">
        <v>2687</v>
      </c>
      <c r="N197" t="s">
        <v>2683</v>
      </c>
      <c r="O197" t="s">
        <v>2678</v>
      </c>
    </row>
    <row r="198" spans="1:15">
      <c r="A198" t="s">
        <v>3156</v>
      </c>
      <c r="B198" t="s">
        <v>2675</v>
      </c>
      <c r="C198" t="s">
        <v>3157</v>
      </c>
      <c r="D198" s="562">
        <v>21594.01</v>
      </c>
      <c r="E198" t="s">
        <v>768</v>
      </c>
      <c r="F198" t="s">
        <v>3148</v>
      </c>
      <c r="G198" s="562">
        <v>17130.28</v>
      </c>
      <c r="H198" s="562">
        <f>SUMIFS('Taxes Withheld'!F:F,'Taxes Withheld'!C:C,'Import DV AUCS'!A198)</f>
        <v>0</v>
      </c>
      <c r="I198" s="562">
        <f>SUMIFS('Taxes Withheld'!G:G,'Taxes Withheld'!C:C,'Import DV AUCS'!A198)</f>
        <v>0</v>
      </c>
      <c r="K198" s="562">
        <f t="shared" si="3"/>
        <v>0</v>
      </c>
      <c r="M198" t="s">
        <v>2687</v>
      </c>
      <c r="N198" t="s">
        <v>2683</v>
      </c>
      <c r="O198" t="s">
        <v>2678</v>
      </c>
    </row>
    <row r="199" spans="1:15">
      <c r="A199" t="s">
        <v>3158</v>
      </c>
      <c r="B199" t="s">
        <v>2675</v>
      </c>
      <c r="C199" t="s">
        <v>3159</v>
      </c>
      <c r="D199" s="562">
        <v>12904.51</v>
      </c>
      <c r="E199" t="s">
        <v>765</v>
      </c>
      <c r="F199" t="s">
        <v>3148</v>
      </c>
      <c r="G199" s="562">
        <v>10233.43</v>
      </c>
      <c r="H199" s="562">
        <f>SUMIFS('Taxes Withheld'!F:F,'Taxes Withheld'!C:C,'Import DV AUCS'!A199)</f>
        <v>0</v>
      </c>
      <c r="I199" s="562">
        <f>SUMIFS('Taxes Withheld'!G:G,'Taxes Withheld'!C:C,'Import DV AUCS'!A199)</f>
        <v>0</v>
      </c>
      <c r="K199" s="562">
        <f t="shared" si="3"/>
        <v>0</v>
      </c>
      <c r="M199" t="s">
        <v>2687</v>
      </c>
      <c r="N199" t="s">
        <v>2683</v>
      </c>
      <c r="O199" t="s">
        <v>2678</v>
      </c>
    </row>
    <row r="200" spans="1:15">
      <c r="A200" t="s">
        <v>3160</v>
      </c>
      <c r="B200" t="s">
        <v>2675</v>
      </c>
      <c r="C200" t="s">
        <v>3161</v>
      </c>
      <c r="D200" s="562">
        <v>1200</v>
      </c>
      <c r="E200" t="s">
        <v>3162</v>
      </c>
      <c r="F200" t="s">
        <v>3163</v>
      </c>
      <c r="G200" s="562">
        <v>1125</v>
      </c>
      <c r="H200" s="562">
        <f>SUMIFS('Taxes Withheld'!F:F,'Taxes Withheld'!C:C,'Import DV AUCS'!A200)</f>
        <v>53.57</v>
      </c>
      <c r="I200" s="562">
        <f>SUMIFS('Taxes Withheld'!G:G,'Taxes Withheld'!C:C,'Import DV AUCS'!A200)</f>
        <v>21.43</v>
      </c>
      <c r="K200" s="562">
        <f t="shared" si="3"/>
        <v>75</v>
      </c>
      <c r="M200" t="s">
        <v>2687</v>
      </c>
      <c r="N200" t="s">
        <v>2683</v>
      </c>
      <c r="O200" t="s">
        <v>2678</v>
      </c>
    </row>
    <row r="201" spans="1:15">
      <c r="A201" t="s">
        <v>3164</v>
      </c>
      <c r="B201" t="s">
        <v>2675</v>
      </c>
      <c r="C201" t="s">
        <v>3165</v>
      </c>
      <c r="D201" s="562">
        <v>8885.08</v>
      </c>
      <c r="E201" t="s">
        <v>1105</v>
      </c>
      <c r="F201" t="s">
        <v>3166</v>
      </c>
      <c r="G201" s="562">
        <v>8885.08</v>
      </c>
      <c r="H201" s="562">
        <f>SUMIFS('Taxes Withheld'!F:F,'Taxes Withheld'!C:C,'Import DV AUCS'!A201)</f>
        <v>0</v>
      </c>
      <c r="I201" s="562">
        <f>SUMIFS('Taxes Withheld'!G:G,'Taxes Withheld'!C:C,'Import DV AUCS'!A201)</f>
        <v>0</v>
      </c>
      <c r="K201" s="562">
        <f t="shared" si="3"/>
        <v>0</v>
      </c>
      <c r="M201" t="s">
        <v>2687</v>
      </c>
      <c r="N201" t="s">
        <v>2683</v>
      </c>
      <c r="O201" t="s">
        <v>2678</v>
      </c>
    </row>
    <row r="202" spans="1:15">
      <c r="A202" t="s">
        <v>3167</v>
      </c>
      <c r="B202" t="s">
        <v>2675</v>
      </c>
      <c r="C202" t="s">
        <v>3168</v>
      </c>
      <c r="D202" s="562">
        <v>2400</v>
      </c>
      <c r="E202" t="s">
        <v>3162</v>
      </c>
      <c r="F202" t="s">
        <v>3169</v>
      </c>
      <c r="G202" s="562">
        <v>2250</v>
      </c>
      <c r="H202" s="562">
        <f>SUMIFS('Taxes Withheld'!F:F,'Taxes Withheld'!C:C,'Import DV AUCS'!A202)</f>
        <v>107.14</v>
      </c>
      <c r="I202" s="562">
        <f>SUMIFS('Taxes Withheld'!G:G,'Taxes Withheld'!C:C,'Import DV AUCS'!A202)</f>
        <v>42.86</v>
      </c>
      <c r="K202" s="562">
        <f t="shared" si="3"/>
        <v>150</v>
      </c>
      <c r="M202" t="s">
        <v>2687</v>
      </c>
      <c r="N202" t="s">
        <v>2683</v>
      </c>
      <c r="O202" t="s">
        <v>2678</v>
      </c>
    </row>
    <row r="203" spans="1:15">
      <c r="A203" t="s">
        <v>3170</v>
      </c>
      <c r="B203" t="s">
        <v>2675</v>
      </c>
      <c r="C203" t="s">
        <v>3171</v>
      </c>
      <c r="D203" s="562">
        <v>10600</v>
      </c>
      <c r="E203" t="s">
        <v>2746</v>
      </c>
      <c r="F203" t="s">
        <v>3172</v>
      </c>
      <c r="G203" s="562">
        <v>9937.5</v>
      </c>
      <c r="H203" s="562">
        <f>SUMIFS('Taxes Withheld'!F:F,'Taxes Withheld'!C:C,'Import DV AUCS'!A203)</f>
        <v>473.21</v>
      </c>
      <c r="I203" s="562">
        <f>SUMIFS('Taxes Withheld'!G:G,'Taxes Withheld'!C:C,'Import DV AUCS'!A203)</f>
        <v>189.29</v>
      </c>
      <c r="K203" s="562">
        <f t="shared" si="3"/>
        <v>662.5</v>
      </c>
      <c r="M203" t="s">
        <v>2687</v>
      </c>
      <c r="N203" t="s">
        <v>2683</v>
      </c>
      <c r="O203" t="s">
        <v>2678</v>
      </c>
    </row>
    <row r="204" spans="1:15">
      <c r="A204" t="s">
        <v>3173</v>
      </c>
      <c r="B204" t="s">
        <v>2675</v>
      </c>
      <c r="C204" t="s">
        <v>3174</v>
      </c>
      <c r="D204" s="562">
        <v>2049964.0999999999</v>
      </c>
      <c r="E204" t="s">
        <v>10</v>
      </c>
      <c r="F204" t="s">
        <v>3175</v>
      </c>
      <c r="G204" s="562">
        <v>380927.66</v>
      </c>
      <c r="H204" s="562">
        <f>SUMIFS('Taxes Withheld'!F:F,'Taxes Withheld'!C:C,'Import DV AUCS'!A204)</f>
        <v>0</v>
      </c>
      <c r="I204" s="562">
        <f>SUMIFS('Taxes Withheld'!G:G,'Taxes Withheld'!C:C,'Import DV AUCS'!A204)</f>
        <v>0</v>
      </c>
      <c r="K204" s="562">
        <f t="shared" si="3"/>
        <v>0</v>
      </c>
      <c r="M204" t="s">
        <v>2687</v>
      </c>
      <c r="N204" t="s">
        <v>2683</v>
      </c>
      <c r="O204" t="s">
        <v>2678</v>
      </c>
    </row>
    <row r="205" spans="1:15">
      <c r="A205" t="s">
        <v>3176</v>
      </c>
      <c r="B205" t="s">
        <v>2675</v>
      </c>
      <c r="C205" t="s">
        <v>3177</v>
      </c>
      <c r="D205" s="562">
        <v>429402.37</v>
      </c>
      <c r="E205" t="s">
        <v>777</v>
      </c>
      <c r="F205" t="s">
        <v>3175</v>
      </c>
      <c r="G205" s="562">
        <v>102762.6</v>
      </c>
      <c r="H205" s="562">
        <f>SUMIFS('Taxes Withheld'!F:F,'Taxes Withheld'!C:C,'Import DV AUCS'!A205)</f>
        <v>0</v>
      </c>
      <c r="I205" s="562">
        <f>SUMIFS('Taxes Withheld'!G:G,'Taxes Withheld'!C:C,'Import DV AUCS'!A205)</f>
        <v>0</v>
      </c>
      <c r="K205" s="562">
        <f t="shared" si="3"/>
        <v>0</v>
      </c>
      <c r="M205" t="s">
        <v>2687</v>
      </c>
      <c r="N205" t="s">
        <v>2683</v>
      </c>
      <c r="O205" t="s">
        <v>2678</v>
      </c>
    </row>
    <row r="206" spans="1:15">
      <c r="A206" t="s">
        <v>3178</v>
      </c>
      <c r="B206" t="s">
        <v>2675</v>
      </c>
      <c r="C206" t="s">
        <v>3179</v>
      </c>
      <c r="D206" s="562">
        <v>389716.8</v>
      </c>
      <c r="E206" t="s">
        <v>765</v>
      </c>
      <c r="F206" t="s">
        <v>3175</v>
      </c>
      <c r="G206" s="562">
        <v>95341.3</v>
      </c>
      <c r="H206" s="562">
        <f>SUMIFS('Taxes Withheld'!F:F,'Taxes Withheld'!C:C,'Import DV AUCS'!A206)</f>
        <v>0</v>
      </c>
      <c r="I206" s="562">
        <f>SUMIFS('Taxes Withheld'!G:G,'Taxes Withheld'!C:C,'Import DV AUCS'!A206)</f>
        <v>0</v>
      </c>
      <c r="K206" s="562">
        <f t="shared" si="3"/>
        <v>0</v>
      </c>
      <c r="M206" t="s">
        <v>2687</v>
      </c>
      <c r="N206" t="s">
        <v>2683</v>
      </c>
      <c r="O206" t="s">
        <v>2678</v>
      </c>
    </row>
    <row r="207" spans="1:15">
      <c r="A207" t="s">
        <v>3180</v>
      </c>
      <c r="B207" t="s">
        <v>2675</v>
      </c>
      <c r="C207" t="s">
        <v>3181</v>
      </c>
      <c r="D207" s="562">
        <v>457.27</v>
      </c>
      <c r="E207" t="s">
        <v>2923</v>
      </c>
      <c r="F207" t="s">
        <v>3182</v>
      </c>
      <c r="G207" s="562">
        <v>416.38</v>
      </c>
      <c r="H207" s="562">
        <f>SUMIFS('Taxes Withheld'!F:F,'Taxes Withheld'!C:C,'Import DV AUCS'!A207)</f>
        <v>0</v>
      </c>
      <c r="I207" s="562">
        <f>SUMIFS('Taxes Withheld'!G:G,'Taxes Withheld'!C:C,'Import DV AUCS'!A207)</f>
        <v>0</v>
      </c>
      <c r="K207" s="562">
        <f t="shared" si="3"/>
        <v>0</v>
      </c>
      <c r="M207" t="s">
        <v>2687</v>
      </c>
      <c r="N207" t="s">
        <v>2683</v>
      </c>
      <c r="O207" t="s">
        <v>2678</v>
      </c>
    </row>
    <row r="208" spans="1:15">
      <c r="A208" t="s">
        <v>3183</v>
      </c>
      <c r="B208" t="s">
        <v>2675</v>
      </c>
      <c r="C208" t="s">
        <v>3184</v>
      </c>
      <c r="D208" s="562">
        <v>258.18</v>
      </c>
      <c r="E208" t="s">
        <v>3185</v>
      </c>
      <c r="F208" t="s">
        <v>3182</v>
      </c>
      <c r="G208" s="562">
        <v>235.09</v>
      </c>
      <c r="H208" s="562">
        <f>SUMIFS('Taxes Withheld'!F:F,'Taxes Withheld'!C:C,'Import DV AUCS'!A208)</f>
        <v>0</v>
      </c>
      <c r="I208" s="562">
        <f>SUMIFS('Taxes Withheld'!G:G,'Taxes Withheld'!C:C,'Import DV AUCS'!A208)</f>
        <v>0</v>
      </c>
      <c r="K208" s="562">
        <f t="shared" si="3"/>
        <v>0</v>
      </c>
      <c r="M208" t="s">
        <v>2687</v>
      </c>
      <c r="N208" t="s">
        <v>2683</v>
      </c>
      <c r="O208" t="s">
        <v>2678</v>
      </c>
    </row>
    <row r="209" spans="1:15">
      <c r="A209" t="s">
        <v>3186</v>
      </c>
      <c r="B209" t="s">
        <v>2675</v>
      </c>
      <c r="C209" t="s">
        <v>3187</v>
      </c>
      <c r="D209" s="562">
        <v>614.54999999999995</v>
      </c>
      <c r="E209" t="s">
        <v>1761</v>
      </c>
      <c r="F209" t="s">
        <v>3182</v>
      </c>
      <c r="G209" s="562">
        <v>559.6</v>
      </c>
      <c r="H209" s="562">
        <f>SUMIFS('Taxes Withheld'!F:F,'Taxes Withheld'!C:C,'Import DV AUCS'!A209)</f>
        <v>0</v>
      </c>
      <c r="I209" s="562">
        <f>SUMIFS('Taxes Withheld'!G:G,'Taxes Withheld'!C:C,'Import DV AUCS'!A209)</f>
        <v>0</v>
      </c>
      <c r="K209" s="562">
        <f t="shared" si="3"/>
        <v>0</v>
      </c>
      <c r="M209" t="s">
        <v>2687</v>
      </c>
      <c r="N209" t="s">
        <v>2683</v>
      </c>
      <c r="O209" t="s">
        <v>2678</v>
      </c>
    </row>
    <row r="210" spans="1:15">
      <c r="A210" t="s">
        <v>3188</v>
      </c>
      <c r="B210" t="s">
        <v>2675</v>
      </c>
      <c r="C210" t="s">
        <v>3189</v>
      </c>
      <c r="D210" s="562">
        <v>105049.54</v>
      </c>
      <c r="E210" t="s">
        <v>3001</v>
      </c>
      <c r="F210" t="s">
        <v>3190</v>
      </c>
      <c r="G210" s="562">
        <v>84139.95</v>
      </c>
      <c r="H210" s="562">
        <f>SUMIFS('Taxes Withheld'!F:F,'Taxes Withheld'!C:C,'Import DV AUCS'!A210)</f>
        <v>0</v>
      </c>
      <c r="I210" s="562">
        <f>SUMIFS('Taxes Withheld'!G:G,'Taxes Withheld'!C:C,'Import DV AUCS'!A210)</f>
        <v>0</v>
      </c>
      <c r="K210" s="562">
        <f t="shared" si="3"/>
        <v>0</v>
      </c>
      <c r="M210" t="s">
        <v>2687</v>
      </c>
      <c r="N210" t="s">
        <v>2683</v>
      </c>
      <c r="O210" t="s">
        <v>2678</v>
      </c>
    </row>
    <row r="211" spans="1:15">
      <c r="A211" t="s">
        <v>3191</v>
      </c>
      <c r="B211" t="s">
        <v>2675</v>
      </c>
      <c r="C211" t="s">
        <v>3192</v>
      </c>
      <c r="D211" s="562">
        <v>40307.629999999997</v>
      </c>
      <c r="E211" t="s">
        <v>1757</v>
      </c>
      <c r="F211" t="s">
        <v>3175</v>
      </c>
      <c r="G211" s="562">
        <v>14179.18</v>
      </c>
      <c r="H211" s="562">
        <f>SUMIFS('Taxes Withheld'!F:F,'Taxes Withheld'!C:C,'Import DV AUCS'!A211)</f>
        <v>0</v>
      </c>
      <c r="I211" s="562">
        <f>SUMIFS('Taxes Withheld'!G:G,'Taxes Withheld'!C:C,'Import DV AUCS'!A211)</f>
        <v>0</v>
      </c>
      <c r="K211" s="562">
        <f t="shared" si="3"/>
        <v>0</v>
      </c>
      <c r="M211" t="s">
        <v>2687</v>
      </c>
      <c r="N211" t="s">
        <v>2683</v>
      </c>
      <c r="O211" t="s">
        <v>2678</v>
      </c>
    </row>
    <row r="212" spans="1:15">
      <c r="A212" t="s">
        <v>3193</v>
      </c>
      <c r="B212" t="s">
        <v>2675</v>
      </c>
      <c r="C212" t="s">
        <v>3194</v>
      </c>
      <c r="D212" s="562">
        <v>51777.93</v>
      </c>
      <c r="E212" t="s">
        <v>3195</v>
      </c>
      <c r="F212" t="s">
        <v>3175</v>
      </c>
      <c r="G212" s="562">
        <v>13134.87</v>
      </c>
      <c r="H212" s="562">
        <f>SUMIFS('Taxes Withheld'!F:F,'Taxes Withheld'!C:C,'Import DV AUCS'!A212)</f>
        <v>0</v>
      </c>
      <c r="I212" s="562">
        <f>SUMIFS('Taxes Withheld'!G:G,'Taxes Withheld'!C:C,'Import DV AUCS'!A212)</f>
        <v>0</v>
      </c>
      <c r="K212" s="562">
        <f t="shared" si="3"/>
        <v>0</v>
      </c>
      <c r="M212" t="s">
        <v>2687</v>
      </c>
      <c r="N212" t="s">
        <v>2683</v>
      </c>
      <c r="O212" t="s">
        <v>2678</v>
      </c>
    </row>
    <row r="213" spans="1:15">
      <c r="A213" t="s">
        <v>3196</v>
      </c>
      <c r="B213" t="s">
        <v>2675</v>
      </c>
      <c r="C213" t="s">
        <v>3197</v>
      </c>
      <c r="D213" s="562">
        <v>470812.07</v>
      </c>
      <c r="E213" t="s">
        <v>764</v>
      </c>
      <c r="F213" t="s">
        <v>3175</v>
      </c>
      <c r="G213" s="562">
        <v>83314.61</v>
      </c>
      <c r="H213" s="562">
        <f>SUMIFS('Taxes Withheld'!F:F,'Taxes Withheld'!C:C,'Import DV AUCS'!A213)</f>
        <v>0</v>
      </c>
      <c r="I213" s="562">
        <f>SUMIFS('Taxes Withheld'!G:G,'Taxes Withheld'!C:C,'Import DV AUCS'!A213)</f>
        <v>0</v>
      </c>
      <c r="K213" s="562">
        <f t="shared" si="3"/>
        <v>0</v>
      </c>
      <c r="M213" t="s">
        <v>2687</v>
      </c>
      <c r="N213" t="s">
        <v>2683</v>
      </c>
      <c r="O213" t="s">
        <v>2678</v>
      </c>
    </row>
    <row r="214" spans="1:15">
      <c r="A214" t="s">
        <v>3198</v>
      </c>
      <c r="B214" t="s">
        <v>2675</v>
      </c>
      <c r="C214" t="s">
        <v>3199</v>
      </c>
      <c r="D214" s="562">
        <v>40307.629999999997</v>
      </c>
      <c r="E214" t="s">
        <v>2962</v>
      </c>
      <c r="F214" t="s">
        <v>3175</v>
      </c>
      <c r="G214" s="562">
        <v>14989.19</v>
      </c>
      <c r="H214" s="562">
        <f>SUMIFS('Taxes Withheld'!F:F,'Taxes Withheld'!C:C,'Import DV AUCS'!A214)</f>
        <v>0</v>
      </c>
      <c r="I214" s="562">
        <f>SUMIFS('Taxes Withheld'!G:G,'Taxes Withheld'!C:C,'Import DV AUCS'!A214)</f>
        <v>0</v>
      </c>
      <c r="K214" s="562">
        <f t="shared" si="3"/>
        <v>0</v>
      </c>
      <c r="M214" t="s">
        <v>2687</v>
      </c>
      <c r="N214" t="s">
        <v>2683</v>
      </c>
      <c r="O214" t="s">
        <v>2678</v>
      </c>
    </row>
    <row r="215" spans="1:15">
      <c r="A215" t="s">
        <v>3200</v>
      </c>
      <c r="B215" t="s">
        <v>2675</v>
      </c>
      <c r="C215" t="s">
        <v>3201</v>
      </c>
      <c r="D215" s="562">
        <v>92085.57</v>
      </c>
      <c r="E215" t="s">
        <v>768</v>
      </c>
      <c r="F215" t="s">
        <v>3175</v>
      </c>
      <c r="G215" s="562">
        <v>30522.880000000001</v>
      </c>
      <c r="H215" s="562">
        <f>SUMIFS('Taxes Withheld'!F:F,'Taxes Withheld'!C:C,'Import DV AUCS'!A215)</f>
        <v>0</v>
      </c>
      <c r="I215" s="562">
        <f>SUMIFS('Taxes Withheld'!G:G,'Taxes Withheld'!C:C,'Import DV AUCS'!A215)</f>
        <v>0</v>
      </c>
      <c r="K215" s="562">
        <f t="shared" si="3"/>
        <v>0</v>
      </c>
      <c r="M215" t="s">
        <v>2687</v>
      </c>
      <c r="N215" t="s">
        <v>2683</v>
      </c>
      <c r="O215" t="s">
        <v>2678</v>
      </c>
    </row>
    <row r="216" spans="1:15">
      <c r="A216" t="s">
        <v>3202</v>
      </c>
      <c r="B216" t="s">
        <v>2675</v>
      </c>
      <c r="C216" t="s">
        <v>3203</v>
      </c>
      <c r="D216" s="562">
        <v>688368.09</v>
      </c>
      <c r="E216" t="s">
        <v>768</v>
      </c>
      <c r="F216" t="s">
        <v>3175</v>
      </c>
      <c r="G216" s="562">
        <v>145801.79</v>
      </c>
      <c r="H216" s="562">
        <f>SUMIFS('Taxes Withheld'!F:F,'Taxes Withheld'!C:C,'Import DV AUCS'!A216)</f>
        <v>0</v>
      </c>
      <c r="I216" s="562">
        <f>SUMIFS('Taxes Withheld'!G:G,'Taxes Withheld'!C:C,'Import DV AUCS'!A216)</f>
        <v>0</v>
      </c>
      <c r="K216" s="562">
        <f t="shared" si="3"/>
        <v>0</v>
      </c>
      <c r="M216" t="s">
        <v>2687</v>
      </c>
      <c r="N216" t="s">
        <v>2683</v>
      </c>
      <c r="O216" t="s">
        <v>2678</v>
      </c>
    </row>
    <row r="217" spans="1:15">
      <c r="A217" t="s">
        <v>3204</v>
      </c>
      <c r="B217" t="s">
        <v>2675</v>
      </c>
      <c r="C217" t="s">
        <v>3205</v>
      </c>
      <c r="D217" s="562">
        <v>666486.65999999992</v>
      </c>
      <c r="E217" t="s">
        <v>3151</v>
      </c>
      <c r="F217" t="s">
        <v>3175</v>
      </c>
      <c r="G217" s="562">
        <v>99408.34</v>
      </c>
      <c r="H217" s="562">
        <f>SUMIFS('Taxes Withheld'!F:F,'Taxes Withheld'!C:C,'Import DV AUCS'!A217)</f>
        <v>0</v>
      </c>
      <c r="I217" s="562">
        <f>SUMIFS('Taxes Withheld'!G:G,'Taxes Withheld'!C:C,'Import DV AUCS'!A217)</f>
        <v>0</v>
      </c>
      <c r="K217" s="562">
        <f t="shared" si="3"/>
        <v>0</v>
      </c>
      <c r="M217" t="s">
        <v>2687</v>
      </c>
      <c r="N217" t="s">
        <v>2683</v>
      </c>
      <c r="O217" t="s">
        <v>2678</v>
      </c>
    </row>
    <row r="218" spans="1:15">
      <c r="A218" t="s">
        <v>3206</v>
      </c>
      <c r="B218" t="s">
        <v>2675</v>
      </c>
      <c r="C218" t="s">
        <v>3207</v>
      </c>
      <c r="D218" s="562">
        <v>92085.57</v>
      </c>
      <c r="E218" t="s">
        <v>3151</v>
      </c>
      <c r="F218" t="s">
        <v>3175</v>
      </c>
      <c r="G218" s="562">
        <v>26940.43</v>
      </c>
      <c r="H218" s="562">
        <f>SUMIFS('Taxes Withheld'!F:F,'Taxes Withheld'!C:C,'Import DV AUCS'!A218)</f>
        <v>0</v>
      </c>
      <c r="I218" s="562">
        <f>SUMIFS('Taxes Withheld'!G:G,'Taxes Withheld'!C:C,'Import DV AUCS'!A218)</f>
        <v>0</v>
      </c>
      <c r="K218" s="562">
        <f t="shared" si="3"/>
        <v>0</v>
      </c>
      <c r="M218" t="s">
        <v>2687</v>
      </c>
      <c r="N218" t="s">
        <v>2683</v>
      </c>
      <c r="O218" t="s">
        <v>2678</v>
      </c>
    </row>
    <row r="219" spans="1:15">
      <c r="A219" t="s">
        <v>3208</v>
      </c>
      <c r="B219" t="s">
        <v>2675</v>
      </c>
      <c r="C219" t="s">
        <v>3209</v>
      </c>
      <c r="D219" s="562">
        <v>40307.629999999997</v>
      </c>
      <c r="E219" t="s">
        <v>1756</v>
      </c>
      <c r="F219" t="s">
        <v>3175</v>
      </c>
      <c r="G219" s="562">
        <v>9184.18</v>
      </c>
      <c r="H219" s="562">
        <f>SUMIFS('Taxes Withheld'!F:F,'Taxes Withheld'!C:C,'Import DV AUCS'!A219)</f>
        <v>0</v>
      </c>
      <c r="I219" s="562">
        <f>SUMIFS('Taxes Withheld'!G:G,'Taxes Withheld'!C:C,'Import DV AUCS'!A219)</f>
        <v>0</v>
      </c>
      <c r="K219" s="562">
        <f t="shared" si="3"/>
        <v>0</v>
      </c>
      <c r="M219" t="s">
        <v>2687</v>
      </c>
      <c r="N219" t="s">
        <v>2683</v>
      </c>
      <c r="O219" t="s">
        <v>2678</v>
      </c>
    </row>
    <row r="220" spans="1:15">
      <c r="A220" t="s">
        <v>3210</v>
      </c>
      <c r="B220" t="s">
        <v>2675</v>
      </c>
      <c r="C220" t="s">
        <v>2666</v>
      </c>
      <c r="D220" s="562">
        <v>0</v>
      </c>
      <c r="E220" t="s">
        <v>2799</v>
      </c>
      <c r="F220" t="s">
        <v>2793</v>
      </c>
      <c r="G220" s="562">
        <v>950</v>
      </c>
      <c r="H220" s="562">
        <f>SUMIFS('Taxes Withheld'!F:F,'Taxes Withheld'!C:C,'Import DV AUCS'!A220)</f>
        <v>30</v>
      </c>
      <c r="I220" s="562">
        <f>SUMIFS('Taxes Withheld'!G:G,'Taxes Withheld'!C:C,'Import DV AUCS'!A220)</f>
        <v>20</v>
      </c>
      <c r="K220" s="562">
        <f t="shared" si="3"/>
        <v>50</v>
      </c>
      <c r="M220" t="s">
        <v>392</v>
      </c>
      <c r="N220" t="s">
        <v>2681</v>
      </c>
      <c r="O220" t="s">
        <v>2679</v>
      </c>
    </row>
    <row r="221" spans="1:15">
      <c r="A221" t="s">
        <v>3211</v>
      </c>
      <c r="B221" t="s">
        <v>2675</v>
      </c>
      <c r="C221" t="s">
        <v>3212</v>
      </c>
      <c r="D221" s="562">
        <v>13614.41</v>
      </c>
      <c r="E221" t="s">
        <v>3213</v>
      </c>
      <c r="F221" t="s">
        <v>3214</v>
      </c>
      <c r="G221" s="562">
        <v>9913.64</v>
      </c>
      <c r="H221" s="562">
        <f>SUMIFS('Taxes Withheld'!F:F,'Taxes Withheld'!C:C,'Import DV AUCS'!A221)</f>
        <v>0</v>
      </c>
      <c r="I221" s="562">
        <f>SUMIFS('Taxes Withheld'!G:G,'Taxes Withheld'!C:C,'Import DV AUCS'!A221)</f>
        <v>0</v>
      </c>
      <c r="K221" s="562">
        <f t="shared" si="3"/>
        <v>0</v>
      </c>
      <c r="M221" t="s">
        <v>2687</v>
      </c>
      <c r="N221" t="s">
        <v>2683</v>
      </c>
      <c r="O221" t="s">
        <v>2678</v>
      </c>
    </row>
    <row r="222" spans="1:15">
      <c r="A222" t="s">
        <v>3215</v>
      </c>
      <c r="B222" t="s">
        <v>2675</v>
      </c>
      <c r="C222" t="s">
        <v>3216</v>
      </c>
      <c r="D222" s="562">
        <v>13614.41</v>
      </c>
      <c r="E222" t="s">
        <v>3217</v>
      </c>
      <c r="F222" t="s">
        <v>3214</v>
      </c>
      <c r="G222" s="562">
        <v>9913.64</v>
      </c>
      <c r="H222" s="562">
        <f>SUMIFS('Taxes Withheld'!F:F,'Taxes Withheld'!C:C,'Import DV AUCS'!A222)</f>
        <v>0</v>
      </c>
      <c r="I222" s="562">
        <f>SUMIFS('Taxes Withheld'!G:G,'Taxes Withheld'!C:C,'Import DV AUCS'!A222)</f>
        <v>0</v>
      </c>
      <c r="K222" s="562">
        <f t="shared" si="3"/>
        <v>0</v>
      </c>
      <c r="M222" t="s">
        <v>2687</v>
      </c>
      <c r="N222" t="s">
        <v>2683</v>
      </c>
      <c r="O222" t="s">
        <v>2678</v>
      </c>
    </row>
    <row r="223" spans="1:15">
      <c r="A223" t="s">
        <v>3218</v>
      </c>
      <c r="B223" t="s">
        <v>2675</v>
      </c>
      <c r="C223" t="s">
        <v>3219</v>
      </c>
      <c r="D223" s="562">
        <v>13614.41</v>
      </c>
      <c r="E223" t="s">
        <v>3220</v>
      </c>
      <c r="F223" t="s">
        <v>3214</v>
      </c>
      <c r="G223" s="562">
        <v>9913.64</v>
      </c>
      <c r="H223" s="562">
        <f>SUMIFS('Taxes Withheld'!F:F,'Taxes Withheld'!C:C,'Import DV AUCS'!A223)</f>
        <v>0</v>
      </c>
      <c r="I223" s="562">
        <f>SUMIFS('Taxes Withheld'!G:G,'Taxes Withheld'!C:C,'Import DV AUCS'!A223)</f>
        <v>0</v>
      </c>
      <c r="K223" s="562">
        <f t="shared" si="3"/>
        <v>0</v>
      </c>
      <c r="M223" t="s">
        <v>2687</v>
      </c>
      <c r="N223" t="s">
        <v>2683</v>
      </c>
      <c r="O223" t="s">
        <v>2678</v>
      </c>
    </row>
    <row r="224" spans="1:15">
      <c r="A224" t="s">
        <v>3221</v>
      </c>
      <c r="B224" t="s">
        <v>2675</v>
      </c>
      <c r="C224" t="s">
        <v>3222</v>
      </c>
      <c r="D224" s="562">
        <v>13614.41</v>
      </c>
      <c r="E224" t="s">
        <v>3223</v>
      </c>
      <c r="F224" t="s">
        <v>3214</v>
      </c>
      <c r="G224" s="562">
        <v>9913.64</v>
      </c>
      <c r="H224" s="562">
        <f>SUMIFS('Taxes Withheld'!F:F,'Taxes Withheld'!C:C,'Import DV AUCS'!A224)</f>
        <v>0</v>
      </c>
      <c r="I224" s="562">
        <f>SUMIFS('Taxes Withheld'!G:G,'Taxes Withheld'!C:C,'Import DV AUCS'!A224)</f>
        <v>0</v>
      </c>
      <c r="K224" s="562">
        <f t="shared" si="3"/>
        <v>0</v>
      </c>
      <c r="M224" t="s">
        <v>2687</v>
      </c>
      <c r="N224" t="s">
        <v>2683</v>
      </c>
      <c r="O224" t="s">
        <v>2678</v>
      </c>
    </row>
    <row r="225" spans="1:15">
      <c r="A225" t="s">
        <v>3224</v>
      </c>
      <c r="B225" t="s">
        <v>2675</v>
      </c>
      <c r="C225" t="s">
        <v>3225</v>
      </c>
      <c r="D225" s="562">
        <v>13614.41</v>
      </c>
      <c r="E225" t="s">
        <v>3226</v>
      </c>
      <c r="F225" t="s">
        <v>3214</v>
      </c>
      <c r="G225" s="562">
        <v>9913.64</v>
      </c>
      <c r="H225" s="562">
        <f>SUMIFS('Taxes Withheld'!F:F,'Taxes Withheld'!C:C,'Import DV AUCS'!A225)</f>
        <v>0</v>
      </c>
      <c r="I225" s="562">
        <f>SUMIFS('Taxes Withheld'!G:G,'Taxes Withheld'!C:C,'Import DV AUCS'!A225)</f>
        <v>0</v>
      </c>
      <c r="K225" s="562">
        <f t="shared" si="3"/>
        <v>0</v>
      </c>
      <c r="M225" t="s">
        <v>2687</v>
      </c>
      <c r="N225" t="s">
        <v>2683</v>
      </c>
      <c r="O225" t="s">
        <v>2678</v>
      </c>
    </row>
    <row r="226" spans="1:15">
      <c r="A226" t="s">
        <v>3227</v>
      </c>
      <c r="B226" t="s">
        <v>2675</v>
      </c>
      <c r="C226" t="s">
        <v>3228</v>
      </c>
      <c r="D226" s="562">
        <v>29300.399999999998</v>
      </c>
      <c r="E226" t="s">
        <v>3213</v>
      </c>
      <c r="F226" t="s">
        <v>3229</v>
      </c>
      <c r="G226" s="562">
        <v>11559.96</v>
      </c>
      <c r="H226" s="562">
        <f>SUMIFS('Taxes Withheld'!F:F,'Taxes Withheld'!C:C,'Import DV AUCS'!A226)</f>
        <v>0</v>
      </c>
      <c r="I226" s="562">
        <f>SUMIFS('Taxes Withheld'!G:G,'Taxes Withheld'!C:C,'Import DV AUCS'!A226)</f>
        <v>0</v>
      </c>
      <c r="K226" s="562">
        <f t="shared" si="3"/>
        <v>0</v>
      </c>
      <c r="M226" t="s">
        <v>2687</v>
      </c>
      <c r="N226" t="s">
        <v>2683</v>
      </c>
      <c r="O226" t="s">
        <v>2678</v>
      </c>
    </row>
    <row r="227" spans="1:15">
      <c r="A227" t="s">
        <v>3230</v>
      </c>
      <c r="B227" t="s">
        <v>2675</v>
      </c>
      <c r="C227" t="s">
        <v>2666</v>
      </c>
      <c r="D227" s="562">
        <v>0</v>
      </c>
      <c r="E227" t="s">
        <v>2994</v>
      </c>
      <c r="F227" t="s">
        <v>3231</v>
      </c>
      <c r="G227" s="562">
        <v>177751.92</v>
      </c>
      <c r="H227" s="562">
        <f>SUMIFS('Taxes Withheld'!F:F,'Taxes Withheld'!C:C,'Import DV AUCS'!A227)</f>
        <v>0</v>
      </c>
      <c r="I227" s="562">
        <f>SUMIFS('Taxes Withheld'!G:G,'Taxes Withheld'!C:C,'Import DV AUCS'!A227)</f>
        <v>0</v>
      </c>
      <c r="K227" s="562">
        <f t="shared" si="3"/>
        <v>0</v>
      </c>
      <c r="M227" t="s">
        <v>2662</v>
      </c>
      <c r="N227" t="s">
        <v>2053</v>
      </c>
      <c r="O227" t="s">
        <v>2680</v>
      </c>
    </row>
    <row r="228" spans="1:15">
      <c r="A228" t="s">
        <v>3232</v>
      </c>
      <c r="B228" t="s">
        <v>2675</v>
      </c>
      <c r="C228" t="s">
        <v>3233</v>
      </c>
      <c r="D228" s="562">
        <v>0</v>
      </c>
      <c r="E228" t="s">
        <v>3234</v>
      </c>
      <c r="F228" t="s">
        <v>3235</v>
      </c>
      <c r="G228" s="562">
        <v>0</v>
      </c>
      <c r="H228" s="562">
        <f>SUMIFS('Taxes Withheld'!F:F,'Taxes Withheld'!C:C,'Import DV AUCS'!A228)</f>
        <v>0</v>
      </c>
      <c r="I228" s="562">
        <f>SUMIFS('Taxes Withheld'!G:G,'Taxes Withheld'!C:C,'Import DV AUCS'!A228)</f>
        <v>0</v>
      </c>
      <c r="K228" s="562">
        <f t="shared" si="3"/>
        <v>0</v>
      </c>
      <c r="M228" t="s">
        <v>2687</v>
      </c>
      <c r="N228" t="s">
        <v>2683</v>
      </c>
      <c r="O228" t="s">
        <v>2678</v>
      </c>
    </row>
    <row r="229" spans="1:15">
      <c r="A229" t="s">
        <v>3236</v>
      </c>
      <c r="B229" t="s">
        <v>2675</v>
      </c>
      <c r="C229" t="s">
        <v>3237</v>
      </c>
      <c r="D229" s="562">
        <v>640000</v>
      </c>
      <c r="E229" t="s">
        <v>820</v>
      </c>
      <c r="F229" t="s">
        <v>3235</v>
      </c>
      <c r="G229" s="562">
        <v>640000</v>
      </c>
      <c r="H229" s="562">
        <f>SUMIFS('Taxes Withheld'!F:F,'Taxes Withheld'!C:C,'Import DV AUCS'!A229)</f>
        <v>0</v>
      </c>
      <c r="I229" s="562">
        <f>SUMIFS('Taxes Withheld'!G:G,'Taxes Withheld'!C:C,'Import DV AUCS'!A229)</f>
        <v>0</v>
      </c>
      <c r="K229" s="562">
        <f t="shared" si="3"/>
        <v>0</v>
      </c>
      <c r="M229" t="s">
        <v>2685</v>
      </c>
      <c r="N229" t="s">
        <v>2683</v>
      </c>
      <c r="O229" t="s">
        <v>2678</v>
      </c>
    </row>
    <row r="230" spans="1:15">
      <c r="A230" t="s">
        <v>3238</v>
      </c>
      <c r="B230" t="s">
        <v>2675</v>
      </c>
      <c r="C230" t="s">
        <v>3239</v>
      </c>
      <c r="D230" s="562">
        <v>0</v>
      </c>
      <c r="E230" t="s">
        <v>821</v>
      </c>
      <c r="F230" t="s">
        <v>3235</v>
      </c>
      <c r="G230" s="562">
        <v>0</v>
      </c>
      <c r="H230" s="562">
        <f>SUMIFS('Taxes Withheld'!F:F,'Taxes Withheld'!C:C,'Import DV AUCS'!A230)</f>
        <v>0</v>
      </c>
      <c r="I230" s="562">
        <f>SUMIFS('Taxes Withheld'!G:G,'Taxes Withheld'!C:C,'Import DV AUCS'!A230)</f>
        <v>0</v>
      </c>
      <c r="K230" s="562">
        <f t="shared" si="3"/>
        <v>0</v>
      </c>
      <c r="M230" t="s">
        <v>2687</v>
      </c>
      <c r="N230" t="s">
        <v>2683</v>
      </c>
      <c r="O230" t="s">
        <v>2678</v>
      </c>
    </row>
    <row r="231" spans="1:15">
      <c r="A231" t="s">
        <v>3240</v>
      </c>
      <c r="B231" t="s">
        <v>2675</v>
      </c>
      <c r="C231" t="s">
        <v>3241</v>
      </c>
      <c r="D231" s="562">
        <v>0</v>
      </c>
      <c r="E231" t="s">
        <v>822</v>
      </c>
      <c r="F231" t="s">
        <v>3235</v>
      </c>
      <c r="G231" s="562">
        <v>0</v>
      </c>
      <c r="H231" s="562">
        <f>SUMIFS('Taxes Withheld'!F:F,'Taxes Withheld'!C:C,'Import DV AUCS'!A231)</f>
        <v>0</v>
      </c>
      <c r="I231" s="562">
        <f>SUMIFS('Taxes Withheld'!G:G,'Taxes Withheld'!C:C,'Import DV AUCS'!A231)</f>
        <v>0</v>
      </c>
      <c r="K231" s="562">
        <f t="shared" si="3"/>
        <v>0</v>
      </c>
      <c r="M231" t="s">
        <v>2687</v>
      </c>
      <c r="N231" t="s">
        <v>2683</v>
      </c>
      <c r="O231" t="s">
        <v>2678</v>
      </c>
    </row>
    <row r="232" spans="1:15">
      <c r="A232" t="s">
        <v>3242</v>
      </c>
      <c r="B232" t="s">
        <v>2675</v>
      </c>
      <c r="C232" t="s">
        <v>3243</v>
      </c>
      <c r="D232" s="562">
        <v>0</v>
      </c>
      <c r="E232" t="s">
        <v>823</v>
      </c>
      <c r="F232" t="s">
        <v>3235</v>
      </c>
      <c r="G232" s="562">
        <v>0</v>
      </c>
      <c r="H232" s="562">
        <f>SUMIFS('Taxes Withheld'!F:F,'Taxes Withheld'!C:C,'Import DV AUCS'!A232)</f>
        <v>0</v>
      </c>
      <c r="I232" s="562">
        <f>SUMIFS('Taxes Withheld'!G:G,'Taxes Withheld'!C:C,'Import DV AUCS'!A232)</f>
        <v>0</v>
      </c>
      <c r="K232" s="562">
        <f t="shared" si="3"/>
        <v>0</v>
      </c>
      <c r="M232" t="s">
        <v>2687</v>
      </c>
      <c r="N232" t="s">
        <v>2683</v>
      </c>
      <c r="O232" t="s">
        <v>2678</v>
      </c>
    </row>
    <row r="233" spans="1:15">
      <c r="A233" t="s">
        <v>3244</v>
      </c>
      <c r="B233" t="s">
        <v>2675</v>
      </c>
      <c r="C233" t="s">
        <v>3245</v>
      </c>
      <c r="D233" s="562">
        <v>144603.29</v>
      </c>
      <c r="E233" t="s">
        <v>3001</v>
      </c>
      <c r="F233" t="s">
        <v>3246</v>
      </c>
      <c r="G233" s="562">
        <v>144603.29</v>
      </c>
      <c r="H233" s="562">
        <f>SUMIFS('Taxes Withheld'!F:F,'Taxes Withheld'!C:C,'Import DV AUCS'!A233)</f>
        <v>0</v>
      </c>
      <c r="I233" s="562">
        <f>SUMIFS('Taxes Withheld'!G:G,'Taxes Withheld'!C:C,'Import DV AUCS'!A233)</f>
        <v>0</v>
      </c>
      <c r="K233" s="562">
        <f t="shared" si="3"/>
        <v>0</v>
      </c>
      <c r="M233" t="s">
        <v>2687</v>
      </c>
      <c r="N233" t="s">
        <v>2683</v>
      </c>
      <c r="O233" t="s">
        <v>2678</v>
      </c>
    </row>
    <row r="234" spans="1:15">
      <c r="A234" t="s">
        <v>3247</v>
      </c>
      <c r="B234" t="s">
        <v>2675</v>
      </c>
      <c r="C234" t="s">
        <v>3248</v>
      </c>
      <c r="D234" s="562">
        <v>170501.47</v>
      </c>
      <c r="E234" t="s">
        <v>2844</v>
      </c>
      <c r="F234" t="s">
        <v>3249</v>
      </c>
      <c r="G234" s="562">
        <v>155278.13</v>
      </c>
      <c r="H234" s="562">
        <f>SUMIFS('Taxes Withheld'!F:F,'Taxes Withheld'!C:C,'Import DV AUCS'!A234)</f>
        <v>7611.67</v>
      </c>
      <c r="I234" s="562">
        <f>SUMIFS('Taxes Withheld'!G:G,'Taxes Withheld'!C:C,'Import DV AUCS'!A234)</f>
        <v>7611.6727678571424</v>
      </c>
      <c r="K234" s="562">
        <f t="shared" si="3"/>
        <v>15223.342767857142</v>
      </c>
      <c r="M234" t="s">
        <v>2687</v>
      </c>
      <c r="N234" t="s">
        <v>2683</v>
      </c>
      <c r="O234" t="s">
        <v>2678</v>
      </c>
    </row>
    <row r="235" spans="1:15">
      <c r="A235" t="s">
        <v>3250</v>
      </c>
      <c r="B235" t="s">
        <v>2675</v>
      </c>
      <c r="C235" t="s">
        <v>3251</v>
      </c>
      <c r="D235" s="562">
        <v>11500</v>
      </c>
      <c r="E235" t="s">
        <v>3252</v>
      </c>
      <c r="F235" t="s">
        <v>3253</v>
      </c>
      <c r="G235" s="562">
        <v>10473.219999999999</v>
      </c>
      <c r="H235" s="562">
        <f>SUMIFS('Taxes Withheld'!F:F,'Taxes Withheld'!C:C,'Import DV AUCS'!A235)</f>
        <v>513.39</v>
      </c>
      <c r="I235" s="562">
        <f>SUMIFS('Taxes Withheld'!G:G,'Taxes Withheld'!C:C,'Import DV AUCS'!A235)</f>
        <v>513.39</v>
      </c>
      <c r="K235" s="562">
        <f t="shared" si="3"/>
        <v>1026.78</v>
      </c>
      <c r="M235" t="s">
        <v>2687</v>
      </c>
      <c r="N235" t="s">
        <v>2683</v>
      </c>
      <c r="O235" t="s">
        <v>2678</v>
      </c>
    </row>
    <row r="236" spans="1:15">
      <c r="A236" t="s">
        <v>3254</v>
      </c>
      <c r="B236" t="s">
        <v>2675</v>
      </c>
      <c r="C236" t="s">
        <v>3255</v>
      </c>
      <c r="D236" s="562">
        <v>28839.81</v>
      </c>
      <c r="E236" t="s">
        <v>3256</v>
      </c>
      <c r="F236" t="s">
        <v>3257</v>
      </c>
      <c r="G236" s="562">
        <v>27037.32</v>
      </c>
      <c r="H236" s="562">
        <f>SUMIFS('Taxes Withheld'!F:F,'Taxes Withheld'!C:C,'Import DV AUCS'!A236)</f>
        <v>1287.49</v>
      </c>
      <c r="I236" s="562">
        <f>SUMIFS('Taxes Withheld'!G:G,'Taxes Withheld'!C:C,'Import DV AUCS'!A236)</f>
        <v>515</v>
      </c>
      <c r="K236" s="562">
        <f t="shared" si="3"/>
        <v>1802.49</v>
      </c>
      <c r="M236" t="s">
        <v>2687</v>
      </c>
      <c r="N236" t="s">
        <v>2683</v>
      </c>
      <c r="O236" t="s">
        <v>2678</v>
      </c>
    </row>
    <row r="237" spans="1:15">
      <c r="A237" t="s">
        <v>3258</v>
      </c>
      <c r="B237" t="s">
        <v>2675</v>
      </c>
      <c r="C237" t="s">
        <v>3259</v>
      </c>
      <c r="D237" s="562">
        <v>18000</v>
      </c>
      <c r="E237" t="s">
        <v>3256</v>
      </c>
      <c r="F237" t="s">
        <v>3260</v>
      </c>
      <c r="G237" s="562">
        <v>16875</v>
      </c>
      <c r="H237" s="562">
        <f>SUMIFS('Taxes Withheld'!F:F,'Taxes Withheld'!C:C,'Import DV AUCS'!A237)</f>
        <v>803.57</v>
      </c>
      <c r="I237" s="562">
        <f>SUMIFS('Taxes Withheld'!G:G,'Taxes Withheld'!C:C,'Import DV AUCS'!A237)</f>
        <v>321.43</v>
      </c>
      <c r="K237" s="562">
        <f t="shared" si="3"/>
        <v>1125</v>
      </c>
      <c r="M237" t="s">
        <v>2687</v>
      </c>
      <c r="N237" t="s">
        <v>2683</v>
      </c>
      <c r="O237" t="s">
        <v>2678</v>
      </c>
    </row>
    <row r="238" spans="1:15">
      <c r="A238" t="s">
        <v>3261</v>
      </c>
      <c r="B238" t="s">
        <v>2675</v>
      </c>
      <c r="C238" t="s">
        <v>3262</v>
      </c>
      <c r="D238" s="562">
        <v>560</v>
      </c>
      <c r="E238" t="s">
        <v>3256</v>
      </c>
      <c r="F238" t="s">
        <v>3263</v>
      </c>
      <c r="G238" s="562">
        <v>525</v>
      </c>
      <c r="H238" s="562">
        <f>SUMIFS('Taxes Withheld'!F:F,'Taxes Withheld'!C:C,'Import DV AUCS'!A238)</f>
        <v>25</v>
      </c>
      <c r="I238" s="562">
        <f>SUMIFS('Taxes Withheld'!G:G,'Taxes Withheld'!C:C,'Import DV AUCS'!A238)</f>
        <v>10</v>
      </c>
      <c r="K238" s="562">
        <f t="shared" si="3"/>
        <v>35</v>
      </c>
      <c r="M238" t="s">
        <v>2687</v>
      </c>
      <c r="N238" t="s">
        <v>2683</v>
      </c>
      <c r="O238" t="s">
        <v>2678</v>
      </c>
    </row>
    <row r="239" spans="1:15">
      <c r="A239" t="s">
        <v>3264</v>
      </c>
      <c r="B239" t="s">
        <v>2675</v>
      </c>
      <c r="C239" t="s">
        <v>3265</v>
      </c>
      <c r="D239" s="562">
        <v>918.4</v>
      </c>
      <c r="E239" t="s">
        <v>3256</v>
      </c>
      <c r="F239" t="s">
        <v>3266</v>
      </c>
      <c r="G239" s="562">
        <v>861</v>
      </c>
      <c r="H239" s="562">
        <f>SUMIFS('Taxes Withheld'!F:F,'Taxes Withheld'!C:C,'Import DV AUCS'!A239)</f>
        <v>41</v>
      </c>
      <c r="I239" s="562">
        <f>SUMIFS('Taxes Withheld'!G:G,'Taxes Withheld'!C:C,'Import DV AUCS'!A239)</f>
        <v>16.399999999999999</v>
      </c>
      <c r="K239" s="562">
        <f t="shared" si="3"/>
        <v>57.4</v>
      </c>
      <c r="M239" t="s">
        <v>2687</v>
      </c>
      <c r="N239" t="s">
        <v>2683</v>
      </c>
      <c r="O239" t="s">
        <v>2678</v>
      </c>
    </row>
    <row r="240" spans="1:15">
      <c r="A240" t="s">
        <v>3267</v>
      </c>
      <c r="B240" t="s">
        <v>2675</v>
      </c>
      <c r="C240" t="s">
        <v>3268</v>
      </c>
      <c r="D240" s="562">
        <v>14000</v>
      </c>
      <c r="E240" t="s">
        <v>3269</v>
      </c>
      <c r="F240" t="s">
        <v>3270</v>
      </c>
      <c r="G240" s="562">
        <v>13125</v>
      </c>
      <c r="H240" s="562">
        <f>SUMIFS('Taxes Withheld'!F:F,'Taxes Withheld'!C:C,'Import DV AUCS'!A240)</f>
        <v>625</v>
      </c>
      <c r="I240" s="562">
        <f>SUMIFS('Taxes Withheld'!G:G,'Taxes Withheld'!C:C,'Import DV AUCS'!A240)</f>
        <v>250</v>
      </c>
      <c r="K240" s="562">
        <f t="shared" si="3"/>
        <v>875</v>
      </c>
      <c r="M240" t="s">
        <v>2687</v>
      </c>
      <c r="N240" t="s">
        <v>2683</v>
      </c>
      <c r="O240" t="s">
        <v>2678</v>
      </c>
    </row>
    <row r="241" spans="1:15">
      <c r="A241" t="s">
        <v>3271</v>
      </c>
      <c r="B241" t="s">
        <v>2675</v>
      </c>
      <c r="C241" t="s">
        <v>3272</v>
      </c>
      <c r="D241" s="562">
        <v>8774</v>
      </c>
      <c r="E241" t="s">
        <v>3273</v>
      </c>
      <c r="F241" t="s">
        <v>3274</v>
      </c>
      <c r="G241" s="562">
        <v>8225.6200000000008</v>
      </c>
      <c r="H241" s="562">
        <f>SUMIFS('Taxes Withheld'!F:F,'Taxes Withheld'!C:C,'Import DV AUCS'!A241)</f>
        <v>391.7</v>
      </c>
      <c r="I241" s="562">
        <f>SUMIFS('Taxes Withheld'!G:G,'Taxes Withheld'!C:C,'Import DV AUCS'!A241)</f>
        <v>156.68</v>
      </c>
      <c r="K241" s="562">
        <f t="shared" si="3"/>
        <v>548.38</v>
      </c>
      <c r="M241" t="s">
        <v>2687</v>
      </c>
      <c r="N241" t="s">
        <v>2683</v>
      </c>
      <c r="O241" t="s">
        <v>2678</v>
      </c>
    </row>
    <row r="242" spans="1:15">
      <c r="A242" t="s">
        <v>3275</v>
      </c>
      <c r="B242" t="s">
        <v>2675</v>
      </c>
      <c r="C242" t="s">
        <v>3276</v>
      </c>
      <c r="D242" s="562">
        <v>2850</v>
      </c>
      <c r="E242" t="s">
        <v>3100</v>
      </c>
      <c r="F242" t="s">
        <v>3277</v>
      </c>
      <c r="G242" s="562">
        <v>2850</v>
      </c>
      <c r="H242" s="562">
        <f>SUMIFS('Taxes Withheld'!F:F,'Taxes Withheld'!C:C,'Import DV AUCS'!A242)</f>
        <v>0</v>
      </c>
      <c r="I242" s="562">
        <f>SUMIFS('Taxes Withheld'!G:G,'Taxes Withheld'!C:C,'Import DV AUCS'!A242)</f>
        <v>0</v>
      </c>
      <c r="K242" s="562">
        <f t="shared" si="3"/>
        <v>0</v>
      </c>
      <c r="M242" t="s">
        <v>2687</v>
      </c>
      <c r="N242" t="s">
        <v>2683</v>
      </c>
      <c r="O242" t="s">
        <v>2678</v>
      </c>
    </row>
    <row r="243" spans="1:15">
      <c r="A243" t="s">
        <v>3278</v>
      </c>
      <c r="B243" t="s">
        <v>2675</v>
      </c>
      <c r="C243" t="s">
        <v>3279</v>
      </c>
      <c r="D243" s="562">
        <v>500</v>
      </c>
      <c r="E243" t="s">
        <v>3100</v>
      </c>
      <c r="F243" t="s">
        <v>3280</v>
      </c>
      <c r="G243" s="562">
        <v>500</v>
      </c>
      <c r="H243" s="562">
        <f>SUMIFS('Taxes Withheld'!F:F,'Taxes Withheld'!C:C,'Import DV AUCS'!A243)</f>
        <v>0</v>
      </c>
      <c r="I243" s="562">
        <f>SUMIFS('Taxes Withheld'!G:G,'Taxes Withheld'!C:C,'Import DV AUCS'!A243)</f>
        <v>0</v>
      </c>
      <c r="K243" s="562">
        <f t="shared" si="3"/>
        <v>0</v>
      </c>
      <c r="M243" t="s">
        <v>2687</v>
      </c>
      <c r="N243" t="s">
        <v>2683</v>
      </c>
      <c r="O243" t="s">
        <v>2678</v>
      </c>
    </row>
    <row r="244" spans="1:15">
      <c r="A244" t="s">
        <v>3281</v>
      </c>
      <c r="B244" t="s">
        <v>2675</v>
      </c>
      <c r="C244" t="s">
        <v>3282</v>
      </c>
      <c r="D244" s="562">
        <v>22320</v>
      </c>
      <c r="E244" t="s">
        <v>1680</v>
      </c>
      <c r="F244" t="s">
        <v>3283</v>
      </c>
      <c r="G244" s="562">
        <v>21124.28</v>
      </c>
      <c r="H244" s="562">
        <f>SUMIFS('Taxes Withheld'!F:F,'Taxes Withheld'!C:C,'Import DV AUCS'!A244)</f>
        <v>996.43</v>
      </c>
      <c r="I244" s="562">
        <f>SUMIFS('Taxes Withheld'!G:G,'Taxes Withheld'!C:C,'Import DV AUCS'!A244)</f>
        <v>199.29</v>
      </c>
      <c r="K244" s="562">
        <f t="shared" si="3"/>
        <v>1195.72</v>
      </c>
      <c r="M244" t="s">
        <v>2687</v>
      </c>
      <c r="N244" t="s">
        <v>2683</v>
      </c>
      <c r="O244" t="s">
        <v>2678</v>
      </c>
    </row>
    <row r="245" spans="1:15">
      <c r="A245" t="s">
        <v>3284</v>
      </c>
      <c r="B245" t="s">
        <v>2675</v>
      </c>
      <c r="C245" t="s">
        <v>2666</v>
      </c>
      <c r="D245" s="562">
        <v>0</v>
      </c>
      <c r="E245" t="s">
        <v>2971</v>
      </c>
      <c r="F245" t="s">
        <v>3285</v>
      </c>
      <c r="G245" s="562">
        <v>17967.22</v>
      </c>
      <c r="H245" s="562">
        <f>SUMIFS('Taxes Withheld'!F:F,'Taxes Withheld'!C:C,'Import DV AUCS'!A245)</f>
        <v>855.58</v>
      </c>
      <c r="I245" s="562">
        <f>SUMIFS('Taxes Withheld'!G:G,'Taxes Withheld'!C:C,'Import DV AUCS'!A245)</f>
        <v>342.23</v>
      </c>
      <c r="K245" s="562">
        <f t="shared" si="3"/>
        <v>1197.81</v>
      </c>
      <c r="M245" t="s">
        <v>392</v>
      </c>
      <c r="N245" t="s">
        <v>2681</v>
      </c>
      <c r="O245" t="s">
        <v>2679</v>
      </c>
    </row>
    <row r="246" spans="1:15">
      <c r="A246" t="s">
        <v>3286</v>
      </c>
      <c r="B246" t="s">
        <v>2675</v>
      </c>
      <c r="C246" t="s">
        <v>2666</v>
      </c>
      <c r="D246" s="562">
        <v>0</v>
      </c>
      <c r="E246" t="s">
        <v>2746</v>
      </c>
      <c r="F246" t="s">
        <v>2747</v>
      </c>
      <c r="G246" s="562">
        <v>11625</v>
      </c>
      <c r="H246" s="562">
        <f>SUMIFS('Taxes Withheld'!F:F,'Taxes Withheld'!C:C,'Import DV AUCS'!A246)</f>
        <v>553.57000000000005</v>
      </c>
      <c r="I246" s="562">
        <f>SUMIFS('Taxes Withheld'!G:G,'Taxes Withheld'!C:C,'Import DV AUCS'!A246)</f>
        <v>221.43</v>
      </c>
      <c r="K246" s="562">
        <f t="shared" si="3"/>
        <v>775</v>
      </c>
      <c r="M246" t="s">
        <v>392</v>
      </c>
      <c r="N246" t="s">
        <v>2681</v>
      </c>
      <c r="O246" t="s">
        <v>2679</v>
      </c>
    </row>
    <row r="247" spans="1:15">
      <c r="A247" t="s">
        <v>3287</v>
      </c>
      <c r="B247" t="s">
        <v>2675</v>
      </c>
      <c r="C247" t="s">
        <v>2666</v>
      </c>
      <c r="D247" s="562">
        <v>0</v>
      </c>
      <c r="E247" t="s">
        <v>3288</v>
      </c>
      <c r="F247" t="s">
        <v>3289</v>
      </c>
      <c r="G247" s="562">
        <v>37508.5</v>
      </c>
      <c r="H247" s="562">
        <f>SUMIFS('Taxes Withheld'!F:F,'Taxes Withheld'!C:C,'Import DV AUCS'!A247)</f>
        <v>0</v>
      </c>
      <c r="I247" s="562">
        <f>SUMIFS('Taxes Withheld'!G:G,'Taxes Withheld'!C:C,'Import DV AUCS'!A247)</f>
        <v>0</v>
      </c>
      <c r="K247" s="562">
        <f t="shared" si="3"/>
        <v>0</v>
      </c>
      <c r="M247" t="s">
        <v>392</v>
      </c>
      <c r="N247" t="s">
        <v>2681</v>
      </c>
      <c r="O247" t="s">
        <v>2679</v>
      </c>
    </row>
    <row r="248" spans="1:15">
      <c r="A248" t="s">
        <v>3290</v>
      </c>
      <c r="B248" t="s">
        <v>2675</v>
      </c>
      <c r="C248" t="s">
        <v>3291</v>
      </c>
      <c r="D248" s="562">
        <v>25000</v>
      </c>
      <c r="E248" t="s">
        <v>3292</v>
      </c>
      <c r="F248" t="s">
        <v>3293</v>
      </c>
      <c r="G248" s="562">
        <v>23437.5</v>
      </c>
      <c r="H248" s="562">
        <f>SUMIFS('Taxes Withheld'!F:F,'Taxes Withheld'!C:C,'Import DV AUCS'!A248)</f>
        <v>1116.07</v>
      </c>
      <c r="I248" s="562">
        <f>SUMIFS('Taxes Withheld'!G:G,'Taxes Withheld'!C:C,'Import DV AUCS'!A248)</f>
        <v>446.43</v>
      </c>
      <c r="K248" s="562">
        <f t="shared" si="3"/>
        <v>1562.5</v>
      </c>
      <c r="M248" t="s">
        <v>2687</v>
      </c>
      <c r="N248" t="s">
        <v>2683</v>
      </c>
      <c r="O248" t="s">
        <v>2678</v>
      </c>
    </row>
    <row r="249" spans="1:15">
      <c r="A249" t="s">
        <v>3294</v>
      </c>
      <c r="B249" t="s">
        <v>2675</v>
      </c>
      <c r="C249" t="s">
        <v>3295</v>
      </c>
      <c r="D249" s="562">
        <v>1990</v>
      </c>
      <c r="E249" t="s">
        <v>3296</v>
      </c>
      <c r="F249" t="s">
        <v>3297</v>
      </c>
      <c r="G249" s="562">
        <v>1883.39</v>
      </c>
      <c r="H249" s="562">
        <f>SUMIFS('Taxes Withheld'!F:F,'Taxes Withheld'!C:C,'Import DV AUCS'!A249)</f>
        <v>88.84</v>
      </c>
      <c r="I249" s="562">
        <f>SUMIFS('Taxes Withheld'!G:G,'Taxes Withheld'!C:C,'Import DV AUCS'!A249)</f>
        <v>17.77</v>
      </c>
      <c r="K249" s="562">
        <f t="shared" si="3"/>
        <v>106.61</v>
      </c>
      <c r="M249" t="s">
        <v>2687</v>
      </c>
      <c r="N249" t="s">
        <v>2683</v>
      </c>
      <c r="O249" t="s">
        <v>2678</v>
      </c>
    </row>
    <row r="250" spans="1:15">
      <c r="A250" t="s">
        <v>3298</v>
      </c>
      <c r="B250" t="s">
        <v>2675</v>
      </c>
      <c r="C250" t="s">
        <v>2666</v>
      </c>
      <c r="D250" s="562">
        <v>0</v>
      </c>
      <c r="E250" t="s">
        <v>3299</v>
      </c>
      <c r="F250" t="s">
        <v>3300</v>
      </c>
      <c r="G250" s="562">
        <v>10735</v>
      </c>
      <c r="H250" s="562">
        <f>SUMIFS('Taxes Withheld'!F:F,'Taxes Withheld'!C:C,'Import DV AUCS'!A250)</f>
        <v>339</v>
      </c>
      <c r="I250" s="562">
        <f>SUMIFS('Taxes Withheld'!G:G,'Taxes Withheld'!C:C,'Import DV AUCS'!A250)</f>
        <v>226</v>
      </c>
      <c r="K250" s="562">
        <f t="shared" si="3"/>
        <v>565</v>
      </c>
      <c r="M250" t="s">
        <v>392</v>
      </c>
      <c r="N250" t="s">
        <v>2681</v>
      </c>
      <c r="O250" t="s">
        <v>2679</v>
      </c>
    </row>
    <row r="251" spans="1:15">
      <c r="A251" t="s">
        <v>3301</v>
      </c>
      <c r="B251" t="s">
        <v>2675</v>
      </c>
      <c r="C251" t="s">
        <v>3302</v>
      </c>
      <c r="D251" s="562">
        <v>119889.07</v>
      </c>
      <c r="E251" t="s">
        <v>3001</v>
      </c>
      <c r="F251" t="s">
        <v>3246</v>
      </c>
      <c r="G251" s="562">
        <v>119889.07</v>
      </c>
      <c r="H251" s="562">
        <f>SUMIFS('Taxes Withheld'!F:F,'Taxes Withheld'!C:C,'Import DV AUCS'!A251)</f>
        <v>0</v>
      </c>
      <c r="I251" s="562">
        <f>SUMIFS('Taxes Withheld'!G:G,'Taxes Withheld'!C:C,'Import DV AUCS'!A251)</f>
        <v>0</v>
      </c>
      <c r="K251" s="562">
        <f t="shared" si="3"/>
        <v>0</v>
      </c>
      <c r="M251" t="s">
        <v>2687</v>
      </c>
      <c r="N251" t="s">
        <v>2683</v>
      </c>
      <c r="O251" t="s">
        <v>2678</v>
      </c>
    </row>
    <row r="252" spans="1:15">
      <c r="A252" t="s">
        <v>3303</v>
      </c>
      <c r="B252" t="s">
        <v>2675</v>
      </c>
      <c r="C252" t="s">
        <v>3304</v>
      </c>
      <c r="D252" s="562">
        <v>83142.720000000001</v>
      </c>
      <c r="E252" t="s">
        <v>3001</v>
      </c>
      <c r="F252" t="s">
        <v>3246</v>
      </c>
      <c r="G252" s="562">
        <v>83142.720000000001</v>
      </c>
      <c r="H252" s="562">
        <f>SUMIFS('Taxes Withheld'!F:F,'Taxes Withheld'!C:C,'Import DV AUCS'!A252)</f>
        <v>0</v>
      </c>
      <c r="I252" s="562">
        <f>SUMIFS('Taxes Withheld'!G:G,'Taxes Withheld'!C:C,'Import DV AUCS'!A252)</f>
        <v>0</v>
      </c>
      <c r="K252" s="562">
        <f t="shared" si="3"/>
        <v>0</v>
      </c>
      <c r="M252" t="s">
        <v>2687</v>
      </c>
      <c r="N252" t="s">
        <v>2683</v>
      </c>
      <c r="O252" t="s">
        <v>2678</v>
      </c>
    </row>
    <row r="253" spans="1:15">
      <c r="A253" t="s">
        <v>3305</v>
      </c>
      <c r="B253" t="s">
        <v>2675</v>
      </c>
      <c r="C253" t="s">
        <v>3306</v>
      </c>
      <c r="D253" s="562">
        <v>106531.33</v>
      </c>
      <c r="E253" t="s">
        <v>3001</v>
      </c>
      <c r="F253" t="s">
        <v>3246</v>
      </c>
      <c r="G253" s="562">
        <v>106531.33</v>
      </c>
      <c r="H253" s="562">
        <f>SUMIFS('Taxes Withheld'!F:F,'Taxes Withheld'!C:C,'Import DV AUCS'!A253)</f>
        <v>0</v>
      </c>
      <c r="I253" s="562">
        <f>SUMIFS('Taxes Withheld'!G:G,'Taxes Withheld'!C:C,'Import DV AUCS'!A253)</f>
        <v>0</v>
      </c>
      <c r="K253" s="562">
        <f t="shared" si="3"/>
        <v>0</v>
      </c>
      <c r="M253" t="s">
        <v>2687</v>
      </c>
      <c r="N253" t="s">
        <v>2683</v>
      </c>
      <c r="O253" t="s">
        <v>2678</v>
      </c>
    </row>
    <row r="254" spans="1:15">
      <c r="A254" t="s">
        <v>3307</v>
      </c>
      <c r="B254" t="s">
        <v>2675</v>
      </c>
      <c r="C254" t="s">
        <v>3308</v>
      </c>
      <c r="D254" s="562">
        <v>135125</v>
      </c>
      <c r="E254" t="s">
        <v>820</v>
      </c>
      <c r="F254" t="s">
        <v>3309</v>
      </c>
      <c r="G254" s="562">
        <v>135125</v>
      </c>
      <c r="H254" s="562">
        <f>SUMIFS('Taxes Withheld'!F:F,'Taxes Withheld'!C:C,'Import DV AUCS'!A254)</f>
        <v>0</v>
      </c>
      <c r="I254" s="562">
        <f>SUMIFS('Taxes Withheld'!G:G,'Taxes Withheld'!C:C,'Import DV AUCS'!A254)</f>
        <v>0</v>
      </c>
      <c r="K254" s="562">
        <f t="shared" si="3"/>
        <v>0</v>
      </c>
      <c r="M254" t="s">
        <v>2685</v>
      </c>
      <c r="N254" t="s">
        <v>2683</v>
      </c>
      <c r="O254" t="s">
        <v>2678</v>
      </c>
    </row>
    <row r="255" spans="1:15">
      <c r="A255" t="s">
        <v>3310</v>
      </c>
      <c r="B255" t="s">
        <v>2675</v>
      </c>
      <c r="C255" t="s">
        <v>3311</v>
      </c>
      <c r="D255" s="562">
        <v>80335.709999999992</v>
      </c>
      <c r="E255" t="s">
        <v>3312</v>
      </c>
      <c r="F255" t="s">
        <v>3313</v>
      </c>
      <c r="G255" s="562">
        <v>80335.710000000006</v>
      </c>
      <c r="H255" s="562">
        <f>SUMIFS('Taxes Withheld'!F:F,'Taxes Withheld'!C:C,'Import DV AUCS'!A255)</f>
        <v>0</v>
      </c>
      <c r="I255" s="562">
        <f>SUMIFS('Taxes Withheld'!G:G,'Taxes Withheld'!C:C,'Import DV AUCS'!A255)</f>
        <v>0</v>
      </c>
      <c r="K255" s="562">
        <f t="shared" si="3"/>
        <v>0</v>
      </c>
      <c r="M255" t="s">
        <v>2685</v>
      </c>
      <c r="N255" t="s">
        <v>2683</v>
      </c>
      <c r="O255" t="s">
        <v>2678</v>
      </c>
    </row>
    <row r="256" spans="1:15">
      <c r="A256" t="s">
        <v>3314</v>
      </c>
      <c r="B256" t="s">
        <v>2675</v>
      </c>
      <c r="C256" t="s">
        <v>3315</v>
      </c>
      <c r="D256" s="562">
        <v>31356</v>
      </c>
      <c r="E256" t="s">
        <v>820</v>
      </c>
      <c r="F256" t="s">
        <v>3316</v>
      </c>
      <c r="G256" s="562">
        <v>31356</v>
      </c>
      <c r="H256" s="562">
        <f>SUMIFS('Taxes Withheld'!F:F,'Taxes Withheld'!C:C,'Import DV AUCS'!A256)</f>
        <v>0</v>
      </c>
      <c r="I256" s="562">
        <f>SUMIFS('Taxes Withheld'!G:G,'Taxes Withheld'!C:C,'Import DV AUCS'!A256)</f>
        <v>0</v>
      </c>
      <c r="K256" s="562">
        <f t="shared" si="3"/>
        <v>0</v>
      </c>
      <c r="M256" t="s">
        <v>2685</v>
      </c>
      <c r="N256" t="s">
        <v>2683</v>
      </c>
      <c r="O256" t="s">
        <v>2678</v>
      </c>
    </row>
    <row r="257" spans="1:15">
      <c r="A257" t="s">
        <v>3317</v>
      </c>
      <c r="B257" t="s">
        <v>2675</v>
      </c>
      <c r="C257" t="s">
        <v>3318</v>
      </c>
      <c r="D257" s="562">
        <v>100000</v>
      </c>
      <c r="E257" t="s">
        <v>1540</v>
      </c>
      <c r="F257" t="s">
        <v>3309</v>
      </c>
      <c r="G257" s="562">
        <v>100000</v>
      </c>
      <c r="H257" s="562">
        <f>SUMIFS('Taxes Withheld'!F:F,'Taxes Withheld'!C:C,'Import DV AUCS'!A257)</f>
        <v>0</v>
      </c>
      <c r="I257" s="562">
        <f>SUMIFS('Taxes Withheld'!G:G,'Taxes Withheld'!C:C,'Import DV AUCS'!A257)</f>
        <v>0</v>
      </c>
      <c r="K257" s="562">
        <f t="shared" si="3"/>
        <v>0</v>
      </c>
      <c r="M257" t="s">
        <v>2685</v>
      </c>
      <c r="N257" t="s">
        <v>2683</v>
      </c>
      <c r="O257" t="s">
        <v>2678</v>
      </c>
    </row>
    <row r="258" spans="1:15">
      <c r="A258" t="s">
        <v>3319</v>
      </c>
      <c r="B258" t="s">
        <v>2675</v>
      </c>
      <c r="C258" t="s">
        <v>2666</v>
      </c>
      <c r="D258" s="562">
        <v>0</v>
      </c>
      <c r="E258" t="s">
        <v>10</v>
      </c>
      <c r="F258" t="s">
        <v>3320</v>
      </c>
      <c r="G258" s="562">
        <v>380927.53</v>
      </c>
      <c r="H258" s="562">
        <f>SUMIFS('Taxes Withheld'!F:F,'Taxes Withheld'!C:C,'Import DV AUCS'!A258)</f>
        <v>0</v>
      </c>
      <c r="I258" s="562">
        <f>SUMIFS('Taxes Withheld'!G:G,'Taxes Withheld'!C:C,'Import DV AUCS'!A258)</f>
        <v>0</v>
      </c>
      <c r="K258" s="562">
        <f t="shared" si="3"/>
        <v>0</v>
      </c>
      <c r="M258" t="s">
        <v>2662</v>
      </c>
      <c r="N258" t="s">
        <v>2053</v>
      </c>
      <c r="O258" t="s">
        <v>2680</v>
      </c>
    </row>
    <row r="259" spans="1:15">
      <c r="A259" t="s">
        <v>3321</v>
      </c>
      <c r="B259" t="s">
        <v>2675</v>
      </c>
      <c r="C259" t="s">
        <v>2666</v>
      </c>
      <c r="D259" s="562">
        <v>0</v>
      </c>
      <c r="E259" t="s">
        <v>10</v>
      </c>
      <c r="F259" t="s">
        <v>3322</v>
      </c>
      <c r="G259" s="562">
        <v>3900</v>
      </c>
      <c r="H259" s="562">
        <f>SUMIFS('Taxes Withheld'!F:F,'Taxes Withheld'!C:C,'Import DV AUCS'!A259)</f>
        <v>0</v>
      </c>
      <c r="I259" s="562">
        <f>SUMIFS('Taxes Withheld'!G:G,'Taxes Withheld'!C:C,'Import DV AUCS'!A259)</f>
        <v>0</v>
      </c>
      <c r="K259" s="562">
        <f t="shared" si="3"/>
        <v>0</v>
      </c>
      <c r="M259" t="s">
        <v>2662</v>
      </c>
      <c r="N259" t="s">
        <v>2053</v>
      </c>
      <c r="O259" t="s">
        <v>2680</v>
      </c>
    </row>
    <row r="260" spans="1:15">
      <c r="A260" t="s">
        <v>3323</v>
      </c>
      <c r="B260" t="s">
        <v>2675</v>
      </c>
      <c r="C260" t="s">
        <v>2666</v>
      </c>
      <c r="D260" s="562">
        <v>0</v>
      </c>
      <c r="E260" t="s">
        <v>3151</v>
      </c>
      <c r="F260" t="s">
        <v>3320</v>
      </c>
      <c r="G260" s="562">
        <v>99285.77</v>
      </c>
      <c r="H260" s="562">
        <f>SUMIFS('Taxes Withheld'!F:F,'Taxes Withheld'!C:C,'Import DV AUCS'!A260)</f>
        <v>0</v>
      </c>
      <c r="I260" s="562">
        <f>SUMIFS('Taxes Withheld'!G:G,'Taxes Withheld'!C:C,'Import DV AUCS'!A260)</f>
        <v>0</v>
      </c>
      <c r="K260" s="562">
        <f t="shared" ref="K260:K323" si="4">H260+I260+J260</f>
        <v>0</v>
      </c>
      <c r="M260" t="s">
        <v>2662</v>
      </c>
      <c r="N260" t="s">
        <v>2053</v>
      </c>
      <c r="O260" t="s">
        <v>2680</v>
      </c>
    </row>
    <row r="261" spans="1:15">
      <c r="A261" t="s">
        <v>3324</v>
      </c>
      <c r="B261" t="s">
        <v>2675</v>
      </c>
      <c r="C261" t="s">
        <v>2666</v>
      </c>
      <c r="D261" s="562">
        <v>0</v>
      </c>
      <c r="E261" t="s">
        <v>777</v>
      </c>
      <c r="F261" t="s">
        <v>3320</v>
      </c>
      <c r="G261" s="562">
        <v>102762.55</v>
      </c>
      <c r="H261" s="562">
        <f>SUMIFS('Taxes Withheld'!F:F,'Taxes Withheld'!C:C,'Import DV AUCS'!A261)</f>
        <v>0</v>
      </c>
      <c r="I261" s="562">
        <f>SUMIFS('Taxes Withheld'!G:G,'Taxes Withheld'!C:C,'Import DV AUCS'!A261)</f>
        <v>0</v>
      </c>
      <c r="K261" s="562">
        <f t="shared" si="4"/>
        <v>0</v>
      </c>
      <c r="M261" t="s">
        <v>2662</v>
      </c>
      <c r="N261" t="s">
        <v>2053</v>
      </c>
      <c r="O261" t="s">
        <v>2680</v>
      </c>
    </row>
    <row r="262" spans="1:15">
      <c r="A262" t="s">
        <v>3325</v>
      </c>
      <c r="B262" t="s">
        <v>2675</v>
      </c>
      <c r="C262" t="s">
        <v>2666</v>
      </c>
      <c r="D262" s="562">
        <v>0</v>
      </c>
      <c r="E262" t="s">
        <v>764</v>
      </c>
      <c r="F262" t="s">
        <v>3320</v>
      </c>
      <c r="G262" s="562">
        <v>82214.570000000007</v>
      </c>
      <c r="H262" s="562">
        <f>SUMIFS('Taxes Withheld'!F:F,'Taxes Withheld'!C:C,'Import DV AUCS'!A262)</f>
        <v>0</v>
      </c>
      <c r="I262" s="562">
        <f>SUMIFS('Taxes Withheld'!G:G,'Taxes Withheld'!C:C,'Import DV AUCS'!A262)</f>
        <v>0</v>
      </c>
      <c r="K262" s="562">
        <f t="shared" si="4"/>
        <v>0</v>
      </c>
      <c r="M262" t="s">
        <v>2662</v>
      </c>
      <c r="N262" t="s">
        <v>2053</v>
      </c>
      <c r="O262" t="s">
        <v>2680</v>
      </c>
    </row>
    <row r="263" spans="1:15">
      <c r="A263" t="s">
        <v>3326</v>
      </c>
      <c r="B263" t="s">
        <v>2675</v>
      </c>
      <c r="C263" t="s">
        <v>2666</v>
      </c>
      <c r="D263" s="562">
        <v>0</v>
      </c>
      <c r="E263" t="s">
        <v>768</v>
      </c>
      <c r="F263" t="s">
        <v>3320</v>
      </c>
      <c r="G263" s="562">
        <v>145801.79</v>
      </c>
      <c r="H263" s="562">
        <f>SUMIFS('Taxes Withheld'!F:F,'Taxes Withheld'!C:C,'Import DV AUCS'!A263)</f>
        <v>0</v>
      </c>
      <c r="I263" s="562">
        <f>SUMIFS('Taxes Withheld'!G:G,'Taxes Withheld'!C:C,'Import DV AUCS'!A263)</f>
        <v>0</v>
      </c>
      <c r="K263" s="562">
        <f t="shared" si="4"/>
        <v>0</v>
      </c>
      <c r="M263" t="s">
        <v>2662</v>
      </c>
      <c r="N263" t="s">
        <v>2053</v>
      </c>
      <c r="O263" t="s">
        <v>2680</v>
      </c>
    </row>
    <row r="264" spans="1:15">
      <c r="A264" t="s">
        <v>3327</v>
      </c>
      <c r="B264" t="s">
        <v>2675</v>
      </c>
      <c r="C264" t="s">
        <v>2666</v>
      </c>
      <c r="D264" s="562">
        <v>0</v>
      </c>
      <c r="E264" t="s">
        <v>765</v>
      </c>
      <c r="F264" t="s">
        <v>3320</v>
      </c>
      <c r="G264" s="562">
        <v>95341.34</v>
      </c>
      <c r="H264" s="562">
        <f>SUMIFS('Taxes Withheld'!F:F,'Taxes Withheld'!C:C,'Import DV AUCS'!A264)</f>
        <v>0</v>
      </c>
      <c r="I264" s="562">
        <f>SUMIFS('Taxes Withheld'!G:G,'Taxes Withheld'!C:C,'Import DV AUCS'!A264)</f>
        <v>0</v>
      </c>
      <c r="K264" s="562">
        <f t="shared" si="4"/>
        <v>0</v>
      </c>
      <c r="M264" t="s">
        <v>2662</v>
      </c>
      <c r="N264" t="s">
        <v>2053</v>
      </c>
      <c r="O264" t="s">
        <v>2680</v>
      </c>
    </row>
    <row r="265" spans="1:15">
      <c r="A265" t="s">
        <v>3328</v>
      </c>
      <c r="B265" t="s">
        <v>2675</v>
      </c>
      <c r="C265" t="s">
        <v>2666</v>
      </c>
      <c r="D265" s="562">
        <v>0</v>
      </c>
      <c r="E265" t="s">
        <v>3195</v>
      </c>
      <c r="F265" t="s">
        <v>3329</v>
      </c>
      <c r="G265" s="562">
        <v>13134.87</v>
      </c>
      <c r="H265" s="562">
        <f>SUMIFS('Taxes Withheld'!F:F,'Taxes Withheld'!C:C,'Import DV AUCS'!A265)</f>
        <v>0</v>
      </c>
      <c r="I265" s="562">
        <f>SUMIFS('Taxes Withheld'!G:G,'Taxes Withheld'!C:C,'Import DV AUCS'!A265)</f>
        <v>0</v>
      </c>
      <c r="K265" s="562">
        <f t="shared" si="4"/>
        <v>0</v>
      </c>
      <c r="M265" t="s">
        <v>2662</v>
      </c>
      <c r="N265" t="s">
        <v>2053</v>
      </c>
      <c r="O265" t="s">
        <v>2680</v>
      </c>
    </row>
    <row r="266" spans="1:15">
      <c r="A266" t="s">
        <v>3330</v>
      </c>
      <c r="B266" t="s">
        <v>2675</v>
      </c>
      <c r="C266" t="s">
        <v>2666</v>
      </c>
      <c r="D266" s="562">
        <v>0</v>
      </c>
      <c r="E266" t="s">
        <v>2834</v>
      </c>
      <c r="F266" t="s">
        <v>3329</v>
      </c>
      <c r="G266" s="562">
        <v>26940.44</v>
      </c>
      <c r="H266" s="562">
        <f>SUMIFS('Taxes Withheld'!F:F,'Taxes Withheld'!C:C,'Import DV AUCS'!A266)</f>
        <v>0</v>
      </c>
      <c r="I266" s="562">
        <f>SUMIFS('Taxes Withheld'!G:G,'Taxes Withheld'!C:C,'Import DV AUCS'!A266)</f>
        <v>0</v>
      </c>
      <c r="K266" s="562">
        <f t="shared" si="4"/>
        <v>0</v>
      </c>
      <c r="M266" t="s">
        <v>2662</v>
      </c>
      <c r="N266" t="s">
        <v>2053</v>
      </c>
      <c r="O266" t="s">
        <v>2680</v>
      </c>
    </row>
    <row r="267" spans="1:15">
      <c r="A267" t="s">
        <v>3331</v>
      </c>
      <c r="B267" t="s">
        <v>2675</v>
      </c>
      <c r="C267" t="s">
        <v>2666</v>
      </c>
      <c r="D267" s="562">
        <v>0</v>
      </c>
      <c r="E267" t="s">
        <v>2962</v>
      </c>
      <c r="F267" t="s">
        <v>3329</v>
      </c>
      <c r="G267" s="562">
        <v>14989.18</v>
      </c>
      <c r="H267" s="562">
        <f>SUMIFS('Taxes Withheld'!F:F,'Taxes Withheld'!C:C,'Import DV AUCS'!A267)</f>
        <v>0</v>
      </c>
      <c r="I267" s="562">
        <f>SUMIFS('Taxes Withheld'!G:G,'Taxes Withheld'!C:C,'Import DV AUCS'!A267)</f>
        <v>0</v>
      </c>
      <c r="K267" s="562">
        <f t="shared" si="4"/>
        <v>0</v>
      </c>
      <c r="M267" t="s">
        <v>2662</v>
      </c>
      <c r="N267" t="s">
        <v>2053</v>
      </c>
      <c r="O267" t="s">
        <v>2680</v>
      </c>
    </row>
    <row r="268" spans="1:15">
      <c r="A268" t="s">
        <v>3332</v>
      </c>
      <c r="B268" t="s">
        <v>2675</v>
      </c>
      <c r="C268" t="s">
        <v>2666</v>
      </c>
      <c r="D268" s="562">
        <v>0</v>
      </c>
      <c r="E268" t="s">
        <v>1756</v>
      </c>
      <c r="F268" t="s">
        <v>3329</v>
      </c>
      <c r="G268" s="562">
        <v>8584.19</v>
      </c>
      <c r="H268" s="562">
        <f>SUMIFS('Taxes Withheld'!F:F,'Taxes Withheld'!C:C,'Import DV AUCS'!A268)</f>
        <v>0</v>
      </c>
      <c r="I268" s="562">
        <f>SUMIFS('Taxes Withheld'!G:G,'Taxes Withheld'!C:C,'Import DV AUCS'!A268)</f>
        <v>0</v>
      </c>
      <c r="K268" s="562">
        <f t="shared" si="4"/>
        <v>0</v>
      </c>
      <c r="M268" t="s">
        <v>2662</v>
      </c>
      <c r="N268" t="s">
        <v>2053</v>
      </c>
      <c r="O268" t="s">
        <v>2680</v>
      </c>
    </row>
    <row r="269" spans="1:15">
      <c r="A269" t="s">
        <v>3333</v>
      </c>
      <c r="B269" t="s">
        <v>2675</v>
      </c>
      <c r="C269" t="s">
        <v>2666</v>
      </c>
      <c r="D269" s="562">
        <v>0</v>
      </c>
      <c r="E269" t="s">
        <v>768</v>
      </c>
      <c r="F269" t="s">
        <v>3329</v>
      </c>
      <c r="G269" s="562">
        <v>30522.87</v>
      </c>
      <c r="H269" s="562">
        <f>SUMIFS('Taxes Withheld'!F:F,'Taxes Withheld'!C:C,'Import DV AUCS'!A269)</f>
        <v>0</v>
      </c>
      <c r="I269" s="562">
        <f>SUMIFS('Taxes Withheld'!G:G,'Taxes Withheld'!C:C,'Import DV AUCS'!A269)</f>
        <v>0</v>
      </c>
      <c r="K269" s="562">
        <f t="shared" si="4"/>
        <v>0</v>
      </c>
      <c r="M269" t="s">
        <v>2662</v>
      </c>
      <c r="N269" t="s">
        <v>2053</v>
      </c>
      <c r="O269" t="s">
        <v>2680</v>
      </c>
    </row>
    <row r="270" spans="1:15">
      <c r="A270" t="s">
        <v>3334</v>
      </c>
      <c r="B270" t="s">
        <v>2675</v>
      </c>
      <c r="C270" t="s">
        <v>2666</v>
      </c>
      <c r="D270" s="562">
        <v>0</v>
      </c>
      <c r="E270" t="s">
        <v>1757</v>
      </c>
      <c r="F270" t="s">
        <v>3329</v>
      </c>
      <c r="G270" s="562">
        <v>14179.19</v>
      </c>
      <c r="H270" s="562">
        <f>SUMIFS('Taxes Withheld'!F:F,'Taxes Withheld'!C:C,'Import DV AUCS'!A270)</f>
        <v>0</v>
      </c>
      <c r="I270" s="562">
        <f>SUMIFS('Taxes Withheld'!G:G,'Taxes Withheld'!C:C,'Import DV AUCS'!A270)</f>
        <v>0</v>
      </c>
      <c r="K270" s="562">
        <f t="shared" si="4"/>
        <v>0</v>
      </c>
      <c r="M270" t="s">
        <v>2662</v>
      </c>
      <c r="N270" t="s">
        <v>2053</v>
      </c>
      <c r="O270" t="s">
        <v>2680</v>
      </c>
    </row>
    <row r="271" spans="1:15">
      <c r="A271" t="s">
        <v>3335</v>
      </c>
      <c r="B271" t="s">
        <v>2675</v>
      </c>
      <c r="C271" t="s">
        <v>2666</v>
      </c>
      <c r="D271" s="562">
        <v>0</v>
      </c>
      <c r="E271" t="s">
        <v>3195</v>
      </c>
      <c r="F271" t="s">
        <v>3336</v>
      </c>
      <c r="G271" s="562">
        <v>1744.26</v>
      </c>
      <c r="H271" s="562">
        <f>SUMIFS('Taxes Withheld'!F:F,'Taxes Withheld'!C:C,'Import DV AUCS'!A271)</f>
        <v>0</v>
      </c>
      <c r="I271" s="562">
        <f>SUMIFS('Taxes Withheld'!G:G,'Taxes Withheld'!C:C,'Import DV AUCS'!A271)</f>
        <v>0</v>
      </c>
      <c r="K271" s="562">
        <f t="shared" si="4"/>
        <v>0</v>
      </c>
      <c r="M271" t="s">
        <v>2662</v>
      </c>
      <c r="N271" t="s">
        <v>2053</v>
      </c>
      <c r="O271" t="s">
        <v>2680</v>
      </c>
    </row>
    <row r="272" spans="1:15">
      <c r="A272" t="s">
        <v>3337</v>
      </c>
      <c r="B272" t="s">
        <v>2675</v>
      </c>
      <c r="C272" t="s">
        <v>2666</v>
      </c>
      <c r="D272" s="562">
        <v>0</v>
      </c>
      <c r="E272" t="s">
        <v>1105</v>
      </c>
      <c r="F272" t="s">
        <v>3338</v>
      </c>
      <c r="G272" s="562">
        <v>0</v>
      </c>
      <c r="H272" s="562">
        <f>SUMIFS('Taxes Withheld'!F:F,'Taxes Withheld'!C:C,'Import DV AUCS'!A272)</f>
        <v>0</v>
      </c>
      <c r="I272" s="562">
        <f>SUMIFS('Taxes Withheld'!G:G,'Taxes Withheld'!C:C,'Import DV AUCS'!A272)</f>
        <v>0</v>
      </c>
      <c r="K272" s="562">
        <f t="shared" si="4"/>
        <v>0</v>
      </c>
      <c r="M272" t="s">
        <v>2687</v>
      </c>
      <c r="N272" t="s">
        <v>2683</v>
      </c>
      <c r="O272" t="s">
        <v>2678</v>
      </c>
    </row>
    <row r="273" spans="1:15">
      <c r="A273" t="s">
        <v>3339</v>
      </c>
      <c r="B273" t="s">
        <v>2675</v>
      </c>
      <c r="C273" t="s">
        <v>2666</v>
      </c>
      <c r="D273" s="562">
        <v>0</v>
      </c>
      <c r="E273" t="s">
        <v>1105</v>
      </c>
      <c r="F273" t="s">
        <v>3340</v>
      </c>
      <c r="G273" s="562">
        <v>91461.27</v>
      </c>
      <c r="H273" s="562">
        <f>SUMIFS('Taxes Withheld'!F:F,'Taxes Withheld'!C:C,'Import DV AUCS'!A273)</f>
        <v>0</v>
      </c>
      <c r="I273" s="562">
        <f>SUMIFS('Taxes Withheld'!G:G,'Taxes Withheld'!C:C,'Import DV AUCS'!A273)</f>
        <v>0</v>
      </c>
      <c r="K273" s="562">
        <f t="shared" si="4"/>
        <v>0</v>
      </c>
      <c r="M273" t="s">
        <v>2662</v>
      </c>
      <c r="N273" t="s">
        <v>2053</v>
      </c>
      <c r="O273" t="s">
        <v>2680</v>
      </c>
    </row>
    <row r="274" spans="1:15">
      <c r="A274" t="s">
        <v>3341</v>
      </c>
      <c r="B274" t="s">
        <v>2675</v>
      </c>
      <c r="C274" t="s">
        <v>2666</v>
      </c>
      <c r="D274" s="562">
        <v>0</v>
      </c>
      <c r="E274" t="s">
        <v>1759</v>
      </c>
      <c r="F274" t="s">
        <v>3342</v>
      </c>
      <c r="G274" s="562">
        <v>4845.12</v>
      </c>
      <c r="H274" s="562">
        <f>SUMIFS('Taxes Withheld'!F:F,'Taxes Withheld'!C:C,'Import DV AUCS'!A274)</f>
        <v>0</v>
      </c>
      <c r="I274" s="562">
        <f>SUMIFS('Taxes Withheld'!G:G,'Taxes Withheld'!C:C,'Import DV AUCS'!A274)</f>
        <v>0</v>
      </c>
      <c r="K274" s="562">
        <f t="shared" si="4"/>
        <v>0</v>
      </c>
      <c r="M274" t="s">
        <v>2662</v>
      </c>
      <c r="N274" t="s">
        <v>2053</v>
      </c>
      <c r="O274" t="s">
        <v>2680</v>
      </c>
    </row>
    <row r="275" spans="1:15">
      <c r="A275" t="s">
        <v>3343</v>
      </c>
      <c r="B275" t="s">
        <v>2675</v>
      </c>
      <c r="C275" t="s">
        <v>2666</v>
      </c>
      <c r="D275" s="562">
        <v>0</v>
      </c>
      <c r="E275" t="s">
        <v>1679</v>
      </c>
      <c r="F275" t="s">
        <v>2995</v>
      </c>
      <c r="G275" s="562">
        <v>8967.5400000000009</v>
      </c>
      <c r="H275" s="562">
        <f>SUMIFS('Taxes Withheld'!F:F,'Taxes Withheld'!C:C,'Import DV AUCS'!A275)</f>
        <v>0</v>
      </c>
      <c r="I275" s="562">
        <f>SUMIFS('Taxes Withheld'!G:G,'Taxes Withheld'!C:C,'Import DV AUCS'!A275)</f>
        <v>0</v>
      </c>
      <c r="K275" s="562">
        <f t="shared" si="4"/>
        <v>0</v>
      </c>
      <c r="M275" t="s">
        <v>2662</v>
      </c>
      <c r="N275" t="s">
        <v>2053</v>
      </c>
      <c r="O275" t="s">
        <v>2680</v>
      </c>
    </row>
    <row r="276" spans="1:15">
      <c r="A276" t="s">
        <v>3344</v>
      </c>
      <c r="B276" t="s">
        <v>2675</v>
      </c>
      <c r="C276" t="s">
        <v>2666</v>
      </c>
      <c r="D276" s="562">
        <v>0</v>
      </c>
      <c r="E276" t="s">
        <v>2933</v>
      </c>
      <c r="F276" t="s">
        <v>3345</v>
      </c>
      <c r="G276" s="562">
        <v>800</v>
      </c>
      <c r="H276" s="562">
        <f>SUMIFS('Taxes Withheld'!F:F,'Taxes Withheld'!C:C,'Import DV AUCS'!A276)</f>
        <v>0</v>
      </c>
      <c r="I276" s="562">
        <f>SUMIFS('Taxes Withheld'!G:G,'Taxes Withheld'!C:C,'Import DV AUCS'!A276)</f>
        <v>0</v>
      </c>
      <c r="K276" s="562">
        <f t="shared" si="4"/>
        <v>0</v>
      </c>
      <c r="M276" t="s">
        <v>2662</v>
      </c>
      <c r="N276" t="s">
        <v>2053</v>
      </c>
      <c r="O276" t="s">
        <v>2680</v>
      </c>
    </row>
    <row r="277" spans="1:15">
      <c r="A277" t="s">
        <v>3346</v>
      </c>
      <c r="B277" t="s">
        <v>2675</v>
      </c>
      <c r="C277" t="s">
        <v>2666</v>
      </c>
      <c r="D277" s="562">
        <v>0</v>
      </c>
      <c r="E277" t="s">
        <v>3347</v>
      </c>
      <c r="F277" t="s">
        <v>3348</v>
      </c>
      <c r="G277" s="562">
        <v>300</v>
      </c>
      <c r="H277" s="562">
        <f>SUMIFS('Taxes Withheld'!F:F,'Taxes Withheld'!C:C,'Import DV AUCS'!A277)</f>
        <v>0</v>
      </c>
      <c r="I277" s="562">
        <f>SUMIFS('Taxes Withheld'!G:G,'Taxes Withheld'!C:C,'Import DV AUCS'!A277)</f>
        <v>0</v>
      </c>
      <c r="K277" s="562">
        <f t="shared" si="4"/>
        <v>0</v>
      </c>
      <c r="M277" t="s">
        <v>2662</v>
      </c>
      <c r="N277" t="s">
        <v>2053</v>
      </c>
      <c r="O277" t="s">
        <v>2680</v>
      </c>
    </row>
    <row r="278" spans="1:15">
      <c r="A278" t="s">
        <v>3349</v>
      </c>
      <c r="B278" t="s">
        <v>2675</v>
      </c>
      <c r="C278" t="s">
        <v>2666</v>
      </c>
      <c r="D278" s="562">
        <v>0</v>
      </c>
      <c r="E278" t="s">
        <v>3350</v>
      </c>
      <c r="F278" t="s">
        <v>2995</v>
      </c>
      <c r="G278" s="562">
        <v>4640</v>
      </c>
      <c r="H278" s="562">
        <f>SUMIFS('Taxes Withheld'!F:F,'Taxes Withheld'!C:C,'Import DV AUCS'!A278)</f>
        <v>0</v>
      </c>
      <c r="I278" s="562">
        <f>SUMIFS('Taxes Withheld'!G:G,'Taxes Withheld'!C:C,'Import DV AUCS'!A278)</f>
        <v>0</v>
      </c>
      <c r="K278" s="562">
        <f t="shared" si="4"/>
        <v>0</v>
      </c>
      <c r="M278" t="s">
        <v>2662</v>
      </c>
      <c r="N278" t="s">
        <v>2053</v>
      </c>
      <c r="O278" t="s">
        <v>2680</v>
      </c>
    </row>
    <row r="279" spans="1:15">
      <c r="A279" t="s">
        <v>3351</v>
      </c>
      <c r="B279" t="s">
        <v>2675</v>
      </c>
      <c r="C279" t="s">
        <v>2666</v>
      </c>
      <c r="D279" s="562">
        <v>0</v>
      </c>
      <c r="E279" t="s">
        <v>1690</v>
      </c>
      <c r="F279" t="s">
        <v>3352</v>
      </c>
      <c r="G279" s="562">
        <v>1030</v>
      </c>
      <c r="H279" s="562">
        <f>SUMIFS('Taxes Withheld'!F:F,'Taxes Withheld'!C:C,'Import DV AUCS'!A279)</f>
        <v>0</v>
      </c>
      <c r="I279" s="562">
        <f>SUMIFS('Taxes Withheld'!G:G,'Taxes Withheld'!C:C,'Import DV AUCS'!A279)</f>
        <v>0</v>
      </c>
      <c r="K279" s="562">
        <f t="shared" si="4"/>
        <v>0</v>
      </c>
      <c r="M279" t="s">
        <v>2662</v>
      </c>
      <c r="N279" t="s">
        <v>2053</v>
      </c>
      <c r="O279" t="s">
        <v>2680</v>
      </c>
    </row>
    <row r="280" spans="1:15">
      <c r="A280" t="s">
        <v>3353</v>
      </c>
      <c r="B280" t="s">
        <v>2675</v>
      </c>
      <c r="C280" t="s">
        <v>2666</v>
      </c>
      <c r="D280" s="562">
        <v>0</v>
      </c>
      <c r="E280" t="s">
        <v>3354</v>
      </c>
      <c r="F280" t="s">
        <v>3355</v>
      </c>
      <c r="G280" s="562">
        <v>4500</v>
      </c>
      <c r="H280" s="562">
        <f>SUMIFS('Taxes Withheld'!F:F,'Taxes Withheld'!C:C,'Import DV AUCS'!A280)</f>
        <v>0</v>
      </c>
      <c r="I280" s="562">
        <f>SUMIFS('Taxes Withheld'!G:G,'Taxes Withheld'!C:C,'Import DV AUCS'!A280)</f>
        <v>0</v>
      </c>
      <c r="K280" s="562">
        <f t="shared" si="4"/>
        <v>0</v>
      </c>
      <c r="M280" t="s">
        <v>2662</v>
      </c>
      <c r="N280" t="s">
        <v>2053</v>
      </c>
      <c r="O280" t="s">
        <v>2680</v>
      </c>
    </row>
    <row r="281" spans="1:15">
      <c r="A281" t="s">
        <v>3356</v>
      </c>
      <c r="B281" t="s">
        <v>2675</v>
      </c>
      <c r="C281" t="s">
        <v>2666</v>
      </c>
      <c r="D281" s="562">
        <v>0</v>
      </c>
      <c r="E281" t="s">
        <v>1757</v>
      </c>
      <c r="F281" t="s">
        <v>3357</v>
      </c>
      <c r="G281" s="562">
        <v>120</v>
      </c>
      <c r="H281" s="562">
        <f>SUMIFS('Taxes Withheld'!F:F,'Taxes Withheld'!C:C,'Import DV AUCS'!A281)</f>
        <v>0</v>
      </c>
      <c r="I281" s="562">
        <f>SUMIFS('Taxes Withheld'!G:G,'Taxes Withheld'!C:C,'Import DV AUCS'!A281)</f>
        <v>0</v>
      </c>
      <c r="K281" s="562">
        <f t="shared" si="4"/>
        <v>0</v>
      </c>
      <c r="M281" t="s">
        <v>2662</v>
      </c>
      <c r="N281" t="s">
        <v>2053</v>
      </c>
      <c r="O281" t="s">
        <v>2680</v>
      </c>
    </row>
    <row r="282" spans="1:15">
      <c r="A282" t="s">
        <v>3358</v>
      </c>
      <c r="B282" t="s">
        <v>2675</v>
      </c>
      <c r="C282" t="s">
        <v>3359</v>
      </c>
      <c r="D282" s="562">
        <v>0</v>
      </c>
      <c r="E282" t="s">
        <v>3112</v>
      </c>
      <c r="F282" t="s">
        <v>3360</v>
      </c>
      <c r="G282" s="562">
        <v>0</v>
      </c>
      <c r="H282" s="562">
        <f>SUMIFS('Taxes Withheld'!F:F,'Taxes Withheld'!C:C,'Import DV AUCS'!A282)</f>
        <v>0</v>
      </c>
      <c r="I282" s="562">
        <f>SUMIFS('Taxes Withheld'!G:G,'Taxes Withheld'!C:C,'Import DV AUCS'!A282)</f>
        <v>0</v>
      </c>
      <c r="K282" s="562">
        <f t="shared" si="4"/>
        <v>0</v>
      </c>
      <c r="M282" t="s">
        <v>2687</v>
      </c>
      <c r="N282" t="s">
        <v>2683</v>
      </c>
      <c r="O282" t="s">
        <v>2678</v>
      </c>
    </row>
    <row r="283" spans="1:15">
      <c r="A283" t="s">
        <v>3361</v>
      </c>
      <c r="B283" t="s">
        <v>2675</v>
      </c>
      <c r="C283" t="s">
        <v>3362</v>
      </c>
      <c r="D283" s="562">
        <v>10000</v>
      </c>
      <c r="E283" t="s">
        <v>3363</v>
      </c>
      <c r="F283" t="s">
        <v>3364</v>
      </c>
      <c r="G283" s="562">
        <v>9000</v>
      </c>
      <c r="H283" s="562">
        <f>SUMIFS('Taxes Withheld'!F:F,'Taxes Withheld'!C:C,'Import DV AUCS'!A283)</f>
        <v>0</v>
      </c>
      <c r="I283" s="562">
        <f>SUMIFS('Taxes Withheld'!G:G,'Taxes Withheld'!C:C,'Import DV AUCS'!A283)</f>
        <v>0</v>
      </c>
      <c r="K283" s="562">
        <f t="shared" si="4"/>
        <v>0</v>
      </c>
      <c r="M283" t="s">
        <v>2687</v>
      </c>
      <c r="N283" t="s">
        <v>2683</v>
      </c>
      <c r="O283" t="s">
        <v>2678</v>
      </c>
    </row>
    <row r="284" spans="1:15">
      <c r="A284" t="s">
        <v>3365</v>
      </c>
      <c r="B284" t="s">
        <v>2675</v>
      </c>
      <c r="C284" t="s">
        <v>3366</v>
      </c>
      <c r="D284" s="562">
        <v>10790</v>
      </c>
      <c r="E284" t="s">
        <v>1075</v>
      </c>
      <c r="F284" t="s">
        <v>3364</v>
      </c>
      <c r="G284" s="562">
        <v>10790</v>
      </c>
      <c r="H284" s="562">
        <f>SUMIFS('Taxes Withheld'!F:F,'Taxes Withheld'!C:C,'Import DV AUCS'!A284)</f>
        <v>0</v>
      </c>
      <c r="I284" s="562">
        <f>SUMIFS('Taxes Withheld'!G:G,'Taxes Withheld'!C:C,'Import DV AUCS'!A284)</f>
        <v>0</v>
      </c>
      <c r="K284" s="562">
        <f t="shared" si="4"/>
        <v>0</v>
      </c>
      <c r="M284" t="s">
        <v>2687</v>
      </c>
      <c r="N284" t="s">
        <v>2683</v>
      </c>
      <c r="O284" t="s">
        <v>2678</v>
      </c>
    </row>
    <row r="285" spans="1:15">
      <c r="A285" t="s">
        <v>3367</v>
      </c>
      <c r="B285" t="s">
        <v>2675</v>
      </c>
      <c r="C285" t="s">
        <v>3368</v>
      </c>
      <c r="D285" s="562">
        <v>12352.18</v>
      </c>
      <c r="E285" t="s">
        <v>1075</v>
      </c>
      <c r="F285" t="s">
        <v>3364</v>
      </c>
      <c r="G285" s="562">
        <v>11852.18</v>
      </c>
      <c r="H285" s="562">
        <f>SUMIFS('Taxes Withheld'!F:F,'Taxes Withheld'!C:C,'Import DV AUCS'!A285)</f>
        <v>0</v>
      </c>
      <c r="I285" s="562">
        <f>SUMIFS('Taxes Withheld'!G:G,'Taxes Withheld'!C:C,'Import DV AUCS'!A285)</f>
        <v>0</v>
      </c>
      <c r="K285" s="562">
        <f t="shared" si="4"/>
        <v>0</v>
      </c>
      <c r="M285" t="s">
        <v>2687</v>
      </c>
      <c r="N285" t="s">
        <v>2683</v>
      </c>
      <c r="O285" t="s">
        <v>2678</v>
      </c>
    </row>
    <row r="286" spans="1:15">
      <c r="A286" t="s">
        <v>3369</v>
      </c>
      <c r="B286" t="s">
        <v>2675</v>
      </c>
      <c r="C286" t="s">
        <v>3370</v>
      </c>
      <c r="D286" s="562">
        <v>23474</v>
      </c>
      <c r="E286" t="s">
        <v>1075</v>
      </c>
      <c r="F286" t="s">
        <v>3364</v>
      </c>
      <c r="G286" s="562">
        <v>23474</v>
      </c>
      <c r="H286" s="562">
        <f>SUMIFS('Taxes Withheld'!F:F,'Taxes Withheld'!C:C,'Import DV AUCS'!A286)</f>
        <v>0</v>
      </c>
      <c r="I286" s="562">
        <f>SUMIFS('Taxes Withheld'!G:G,'Taxes Withheld'!C:C,'Import DV AUCS'!A286)</f>
        <v>0</v>
      </c>
      <c r="K286" s="562">
        <f t="shared" si="4"/>
        <v>0</v>
      </c>
      <c r="M286" t="s">
        <v>2687</v>
      </c>
      <c r="N286" t="s">
        <v>2683</v>
      </c>
      <c r="O286" t="s">
        <v>2678</v>
      </c>
    </row>
    <row r="287" spans="1:15">
      <c r="A287" t="s">
        <v>3371</v>
      </c>
      <c r="B287" t="s">
        <v>2675</v>
      </c>
      <c r="C287" t="s">
        <v>3372</v>
      </c>
      <c r="D287" s="562">
        <v>27256.91</v>
      </c>
      <c r="E287" t="s">
        <v>1075</v>
      </c>
      <c r="F287" t="s">
        <v>3364</v>
      </c>
      <c r="G287" s="562">
        <v>21473.58</v>
      </c>
      <c r="H287" s="562">
        <f>SUMIFS('Taxes Withheld'!F:F,'Taxes Withheld'!C:C,'Import DV AUCS'!A287)</f>
        <v>0</v>
      </c>
      <c r="I287" s="562">
        <f>SUMIFS('Taxes Withheld'!G:G,'Taxes Withheld'!C:C,'Import DV AUCS'!A287)</f>
        <v>0</v>
      </c>
      <c r="K287" s="562">
        <f t="shared" si="4"/>
        <v>0</v>
      </c>
      <c r="M287" t="s">
        <v>2687</v>
      </c>
      <c r="N287" t="s">
        <v>2683</v>
      </c>
      <c r="O287" t="s">
        <v>2678</v>
      </c>
    </row>
    <row r="288" spans="1:15">
      <c r="A288" t="s">
        <v>3373</v>
      </c>
      <c r="B288" t="s">
        <v>2675</v>
      </c>
      <c r="C288" t="s">
        <v>3374</v>
      </c>
      <c r="D288" s="562">
        <v>7321.62</v>
      </c>
      <c r="E288" t="s">
        <v>3375</v>
      </c>
      <c r="F288" t="s">
        <v>3376</v>
      </c>
      <c r="G288" s="562">
        <v>7321.62</v>
      </c>
      <c r="H288" s="562">
        <f>SUMIFS('Taxes Withheld'!F:F,'Taxes Withheld'!C:C,'Import DV AUCS'!A288)</f>
        <v>0</v>
      </c>
      <c r="I288" s="562">
        <f>SUMIFS('Taxes Withheld'!G:G,'Taxes Withheld'!C:C,'Import DV AUCS'!A288)</f>
        <v>0</v>
      </c>
      <c r="K288" s="562">
        <f t="shared" si="4"/>
        <v>0</v>
      </c>
      <c r="M288" t="s">
        <v>2687</v>
      </c>
      <c r="N288" t="s">
        <v>2683</v>
      </c>
      <c r="O288" t="s">
        <v>2678</v>
      </c>
    </row>
    <row r="289" spans="1:15">
      <c r="A289" t="s">
        <v>3377</v>
      </c>
      <c r="B289" t="s">
        <v>2675</v>
      </c>
      <c r="C289" t="s">
        <v>2666</v>
      </c>
      <c r="D289" s="562">
        <v>0</v>
      </c>
      <c r="E289" t="s">
        <v>2994</v>
      </c>
      <c r="F289" t="s">
        <v>3378</v>
      </c>
      <c r="G289" s="562">
        <v>0</v>
      </c>
      <c r="H289" s="562">
        <f>SUMIFS('Taxes Withheld'!F:F,'Taxes Withheld'!C:C,'Import DV AUCS'!A289)</f>
        <v>0</v>
      </c>
      <c r="I289" s="562">
        <f>SUMIFS('Taxes Withheld'!G:G,'Taxes Withheld'!C:C,'Import DV AUCS'!A289)</f>
        <v>0</v>
      </c>
      <c r="K289" s="562">
        <f t="shared" si="4"/>
        <v>0</v>
      </c>
      <c r="M289" t="s">
        <v>2687</v>
      </c>
      <c r="N289" t="s">
        <v>2683</v>
      </c>
      <c r="O289" t="s">
        <v>2678</v>
      </c>
    </row>
    <row r="290" spans="1:15">
      <c r="A290" t="s">
        <v>3379</v>
      </c>
      <c r="B290" t="s">
        <v>2675</v>
      </c>
      <c r="C290" t="s">
        <v>3380</v>
      </c>
      <c r="D290" s="562">
        <v>0</v>
      </c>
      <c r="E290" t="s">
        <v>3381</v>
      </c>
      <c r="F290" t="s">
        <v>3382</v>
      </c>
      <c r="G290" s="562">
        <v>0</v>
      </c>
      <c r="H290" s="562">
        <f>SUMIFS('Taxes Withheld'!F:F,'Taxes Withheld'!C:C,'Import DV AUCS'!A290)</f>
        <v>0</v>
      </c>
      <c r="I290" s="562">
        <f>SUMIFS('Taxes Withheld'!G:G,'Taxes Withheld'!C:C,'Import DV AUCS'!A290)</f>
        <v>0</v>
      </c>
      <c r="K290" s="562">
        <f t="shared" si="4"/>
        <v>0</v>
      </c>
      <c r="M290" t="s">
        <v>2687</v>
      </c>
      <c r="N290" t="s">
        <v>2683</v>
      </c>
      <c r="O290" t="s">
        <v>2678</v>
      </c>
    </row>
    <row r="291" spans="1:15">
      <c r="A291" t="s">
        <v>3383</v>
      </c>
      <c r="B291" t="s">
        <v>2675</v>
      </c>
      <c r="C291" t="s">
        <v>3384</v>
      </c>
      <c r="D291" s="562">
        <v>0</v>
      </c>
      <c r="E291" t="s">
        <v>3162</v>
      </c>
      <c r="F291" t="s">
        <v>3385</v>
      </c>
      <c r="G291" s="562">
        <v>0</v>
      </c>
      <c r="H291" s="562">
        <f>SUMIFS('Taxes Withheld'!F:F,'Taxes Withheld'!C:C,'Import DV AUCS'!A291)</f>
        <v>0</v>
      </c>
      <c r="I291" s="562">
        <f>SUMIFS('Taxes Withheld'!G:G,'Taxes Withheld'!C:C,'Import DV AUCS'!A291)</f>
        <v>0</v>
      </c>
      <c r="K291" s="562">
        <f t="shared" si="4"/>
        <v>0</v>
      </c>
      <c r="M291" t="s">
        <v>2687</v>
      </c>
      <c r="N291" t="s">
        <v>2683</v>
      </c>
      <c r="O291" t="s">
        <v>2678</v>
      </c>
    </row>
    <row r="292" spans="1:15">
      <c r="A292" t="s">
        <v>3386</v>
      </c>
      <c r="B292" t="s">
        <v>2675</v>
      </c>
      <c r="C292" t="s">
        <v>2666</v>
      </c>
      <c r="D292" s="562">
        <v>0</v>
      </c>
      <c r="E292" t="s">
        <v>2939</v>
      </c>
      <c r="F292" t="s">
        <v>3387</v>
      </c>
      <c r="G292" s="562">
        <v>0</v>
      </c>
      <c r="H292" s="562">
        <f>SUMIFS('Taxes Withheld'!F:F,'Taxes Withheld'!C:C,'Import DV AUCS'!A292)</f>
        <v>0</v>
      </c>
      <c r="I292" s="562">
        <f>SUMIFS('Taxes Withheld'!G:G,'Taxes Withheld'!C:C,'Import DV AUCS'!A292)</f>
        <v>0</v>
      </c>
      <c r="K292" s="562">
        <f t="shared" si="4"/>
        <v>0</v>
      </c>
      <c r="M292" t="s">
        <v>2687</v>
      </c>
      <c r="N292" t="s">
        <v>2683</v>
      </c>
      <c r="O292" t="s">
        <v>2678</v>
      </c>
    </row>
    <row r="293" spans="1:15">
      <c r="A293" t="s">
        <v>3388</v>
      </c>
      <c r="B293" t="s">
        <v>2675</v>
      </c>
      <c r="C293" t="s">
        <v>2666</v>
      </c>
      <c r="D293" s="562">
        <v>0</v>
      </c>
      <c r="E293" t="s">
        <v>1690</v>
      </c>
      <c r="F293" t="s">
        <v>3231</v>
      </c>
      <c r="G293" s="562">
        <v>0</v>
      </c>
      <c r="H293" s="562">
        <f>SUMIFS('Taxes Withheld'!F:F,'Taxes Withheld'!C:C,'Import DV AUCS'!A293)</f>
        <v>0</v>
      </c>
      <c r="I293" s="562">
        <f>SUMIFS('Taxes Withheld'!G:G,'Taxes Withheld'!C:C,'Import DV AUCS'!A293)</f>
        <v>0</v>
      </c>
      <c r="K293" s="562">
        <f t="shared" si="4"/>
        <v>0</v>
      </c>
      <c r="M293" t="s">
        <v>2687</v>
      </c>
      <c r="N293" t="s">
        <v>2683</v>
      </c>
      <c r="O293" t="s">
        <v>2678</v>
      </c>
    </row>
    <row r="294" spans="1:15">
      <c r="A294" t="s">
        <v>3389</v>
      </c>
      <c r="B294" t="s">
        <v>2676</v>
      </c>
      <c r="C294" t="s">
        <v>2666</v>
      </c>
      <c r="D294" s="562">
        <v>0</v>
      </c>
      <c r="E294" t="s">
        <v>3390</v>
      </c>
      <c r="F294" t="s">
        <v>3391</v>
      </c>
      <c r="G294" s="562">
        <v>46237.5</v>
      </c>
      <c r="H294" s="562">
        <f>SUMIFS('Taxes Withheld'!F:F,'Taxes Withheld'!C:C,'Import DV AUCS'!A294)</f>
        <v>0</v>
      </c>
      <c r="I294" s="562">
        <f>SUMIFS('Taxes Withheld'!G:G,'Taxes Withheld'!C:C,'Import DV AUCS'!A294)</f>
        <v>0</v>
      </c>
      <c r="K294" s="562">
        <f t="shared" si="4"/>
        <v>0</v>
      </c>
      <c r="M294" t="s">
        <v>2662</v>
      </c>
      <c r="N294" t="s">
        <v>2053</v>
      </c>
      <c r="O294" t="s">
        <v>2680</v>
      </c>
    </row>
    <row r="295" spans="1:15">
      <c r="A295" t="s">
        <v>3392</v>
      </c>
      <c r="B295" t="s">
        <v>2676</v>
      </c>
      <c r="C295" t="s">
        <v>2666</v>
      </c>
      <c r="D295" s="562">
        <v>0</v>
      </c>
      <c r="E295" t="s">
        <v>3393</v>
      </c>
      <c r="F295" t="s">
        <v>3394</v>
      </c>
      <c r="G295" s="562">
        <v>3750</v>
      </c>
      <c r="H295" s="562">
        <f>SUMIFS('Taxes Withheld'!F:F,'Taxes Withheld'!C:C,'Import DV AUCS'!A295)</f>
        <v>0</v>
      </c>
      <c r="I295" s="562">
        <f>SUMIFS('Taxes Withheld'!G:G,'Taxes Withheld'!C:C,'Import DV AUCS'!A295)</f>
        <v>0</v>
      </c>
      <c r="K295" s="562">
        <f t="shared" si="4"/>
        <v>0</v>
      </c>
      <c r="M295" t="s">
        <v>2662</v>
      </c>
      <c r="N295" t="s">
        <v>2053</v>
      </c>
      <c r="O295" t="s">
        <v>2680</v>
      </c>
    </row>
    <row r="296" spans="1:15">
      <c r="A296" t="s">
        <v>3395</v>
      </c>
      <c r="B296" t="s">
        <v>2676</v>
      </c>
      <c r="C296" t="s">
        <v>2666</v>
      </c>
      <c r="D296" s="562">
        <v>0</v>
      </c>
      <c r="E296" t="s">
        <v>3396</v>
      </c>
      <c r="F296" t="s">
        <v>3397</v>
      </c>
      <c r="G296" s="562">
        <v>3217.58</v>
      </c>
      <c r="H296" s="562">
        <f>SUMIFS('Taxes Withheld'!F:F,'Taxes Withheld'!C:C,'Import DV AUCS'!A296)</f>
        <v>0</v>
      </c>
      <c r="I296" s="562">
        <f>SUMIFS('Taxes Withheld'!G:G,'Taxes Withheld'!C:C,'Import DV AUCS'!A296)</f>
        <v>0</v>
      </c>
      <c r="K296" s="562">
        <f t="shared" si="4"/>
        <v>0</v>
      </c>
      <c r="M296" t="s">
        <v>2662</v>
      </c>
      <c r="N296" t="s">
        <v>2053</v>
      </c>
      <c r="O296" t="s">
        <v>2680</v>
      </c>
    </row>
    <row r="297" spans="1:15">
      <c r="A297" t="s">
        <v>3398</v>
      </c>
      <c r="B297" t="s">
        <v>2676</v>
      </c>
      <c r="C297" t="s">
        <v>2666</v>
      </c>
      <c r="D297" s="562">
        <v>0</v>
      </c>
      <c r="E297" t="s">
        <v>1105</v>
      </c>
      <c r="F297" t="s">
        <v>3399</v>
      </c>
      <c r="G297" s="562">
        <v>27726.3</v>
      </c>
      <c r="H297" s="562">
        <f>SUMIFS('Taxes Withheld'!F:F,'Taxes Withheld'!C:C,'Import DV AUCS'!A297)</f>
        <v>0</v>
      </c>
      <c r="I297" s="562">
        <f>SUMIFS('Taxes Withheld'!G:G,'Taxes Withheld'!C:C,'Import DV AUCS'!A297)</f>
        <v>0</v>
      </c>
      <c r="K297" s="562">
        <f t="shared" si="4"/>
        <v>0</v>
      </c>
      <c r="M297" t="s">
        <v>2662</v>
      </c>
      <c r="N297" t="s">
        <v>2053</v>
      </c>
      <c r="O297" t="s">
        <v>2680</v>
      </c>
    </row>
    <row r="298" spans="1:15">
      <c r="A298" t="s">
        <v>3400</v>
      </c>
      <c r="B298" t="s">
        <v>2676</v>
      </c>
      <c r="C298" t="s">
        <v>2666</v>
      </c>
      <c r="D298" s="562">
        <v>0</v>
      </c>
      <c r="E298" t="s">
        <v>3396</v>
      </c>
      <c r="F298" t="s">
        <v>3401</v>
      </c>
      <c r="G298" s="562">
        <v>103430.25</v>
      </c>
      <c r="H298" s="562">
        <f>SUMIFS('Taxes Withheld'!F:F,'Taxes Withheld'!C:C,'Import DV AUCS'!A298)</f>
        <v>0</v>
      </c>
      <c r="I298" s="562">
        <f>SUMIFS('Taxes Withheld'!G:G,'Taxes Withheld'!C:C,'Import DV AUCS'!A298)</f>
        <v>0</v>
      </c>
      <c r="K298" s="562">
        <f t="shared" si="4"/>
        <v>0</v>
      </c>
      <c r="M298" t="s">
        <v>2662</v>
      </c>
      <c r="N298" t="s">
        <v>2053</v>
      </c>
      <c r="O298" t="s">
        <v>2680</v>
      </c>
    </row>
    <row r="299" spans="1:15">
      <c r="A299" t="s">
        <v>3402</v>
      </c>
      <c r="B299" t="s">
        <v>2676</v>
      </c>
      <c r="C299" t="s">
        <v>2666</v>
      </c>
      <c r="D299" s="562">
        <v>0</v>
      </c>
      <c r="E299" t="s">
        <v>3403</v>
      </c>
      <c r="F299" t="s">
        <v>3404</v>
      </c>
      <c r="G299" s="562">
        <v>4000.04</v>
      </c>
      <c r="H299" s="562">
        <f>SUMIFS('Taxes Withheld'!F:F,'Taxes Withheld'!C:C,'Import DV AUCS'!A299)</f>
        <v>0</v>
      </c>
      <c r="I299" s="562">
        <f>SUMIFS('Taxes Withheld'!G:G,'Taxes Withheld'!C:C,'Import DV AUCS'!A299)</f>
        <v>0</v>
      </c>
      <c r="K299" s="562">
        <f t="shared" si="4"/>
        <v>0</v>
      </c>
      <c r="M299" t="s">
        <v>2662</v>
      </c>
      <c r="N299" t="s">
        <v>2053</v>
      </c>
      <c r="O299" t="s">
        <v>2680</v>
      </c>
    </row>
    <row r="300" spans="1:15">
      <c r="A300" t="s">
        <v>3405</v>
      </c>
      <c r="B300" t="s">
        <v>2676</v>
      </c>
      <c r="C300" t="s">
        <v>2666</v>
      </c>
      <c r="D300" s="562">
        <v>0</v>
      </c>
      <c r="E300" t="s">
        <v>3217</v>
      </c>
      <c r="F300" t="s">
        <v>3406</v>
      </c>
      <c r="G300" s="562">
        <v>11559.96</v>
      </c>
      <c r="H300" s="562">
        <f>SUMIFS('Taxes Withheld'!F:F,'Taxes Withheld'!C:C,'Import DV AUCS'!A300)</f>
        <v>0</v>
      </c>
      <c r="I300" s="562">
        <f>SUMIFS('Taxes Withheld'!G:G,'Taxes Withheld'!C:C,'Import DV AUCS'!A300)</f>
        <v>0</v>
      </c>
      <c r="K300" s="562">
        <f t="shared" si="4"/>
        <v>0</v>
      </c>
      <c r="M300" t="s">
        <v>2662</v>
      </c>
      <c r="N300" t="s">
        <v>2053</v>
      </c>
      <c r="O300" t="s">
        <v>2680</v>
      </c>
    </row>
    <row r="301" spans="1:15">
      <c r="A301" t="s">
        <v>3407</v>
      </c>
      <c r="B301" t="s">
        <v>2676</v>
      </c>
      <c r="C301" t="s">
        <v>2666</v>
      </c>
      <c r="D301" s="562">
        <v>0</v>
      </c>
      <c r="E301" t="s">
        <v>3213</v>
      </c>
      <c r="F301" t="s">
        <v>3408</v>
      </c>
      <c r="G301" s="562">
        <v>11559.96</v>
      </c>
      <c r="H301" s="562">
        <f>SUMIFS('Taxes Withheld'!F:F,'Taxes Withheld'!C:C,'Import DV AUCS'!A301)</f>
        <v>0</v>
      </c>
      <c r="I301" s="562">
        <f>SUMIFS('Taxes Withheld'!G:G,'Taxes Withheld'!C:C,'Import DV AUCS'!A301)</f>
        <v>0</v>
      </c>
      <c r="K301" s="562">
        <f t="shared" si="4"/>
        <v>0</v>
      </c>
      <c r="M301" t="s">
        <v>2662</v>
      </c>
      <c r="N301" t="s">
        <v>2053</v>
      </c>
      <c r="O301" t="s">
        <v>2680</v>
      </c>
    </row>
    <row r="302" spans="1:15">
      <c r="A302" t="s">
        <v>3409</v>
      </c>
      <c r="B302" t="s">
        <v>2676</v>
      </c>
      <c r="C302" t="s">
        <v>3410</v>
      </c>
      <c r="D302" s="562">
        <v>4032</v>
      </c>
      <c r="E302" t="s">
        <v>2775</v>
      </c>
      <c r="F302" t="s">
        <v>3411</v>
      </c>
      <c r="G302" s="562">
        <v>3816</v>
      </c>
      <c r="H302" s="562">
        <f>SUMIFS('Taxes Withheld'!F:F,'Taxes Withheld'!C:C,'Import DV AUCS'!A302)</f>
        <v>180</v>
      </c>
      <c r="I302" s="562">
        <f>SUMIFS('Taxes Withheld'!G:G,'Taxes Withheld'!C:C,'Import DV AUCS'!A302)</f>
        <v>36</v>
      </c>
      <c r="K302" s="562">
        <f t="shared" si="4"/>
        <v>216</v>
      </c>
      <c r="M302" t="s">
        <v>2687</v>
      </c>
      <c r="N302" t="s">
        <v>2683</v>
      </c>
      <c r="O302" t="s">
        <v>2678</v>
      </c>
    </row>
    <row r="303" spans="1:15">
      <c r="A303" t="s">
        <v>3412</v>
      </c>
      <c r="B303" t="s">
        <v>2676</v>
      </c>
      <c r="C303" t="s">
        <v>2666</v>
      </c>
      <c r="D303" s="562">
        <v>0</v>
      </c>
      <c r="E303" t="s">
        <v>3413</v>
      </c>
      <c r="F303" t="s">
        <v>3414</v>
      </c>
      <c r="G303" s="562">
        <v>2395.17</v>
      </c>
      <c r="H303" s="562">
        <f>SUMIFS('Taxes Withheld'!F:F,'Taxes Withheld'!C:C,'Import DV AUCS'!A303)</f>
        <v>0</v>
      </c>
      <c r="I303" s="562">
        <f>SUMIFS('Taxes Withheld'!G:G,'Taxes Withheld'!C:C,'Import DV AUCS'!A303)</f>
        <v>0</v>
      </c>
      <c r="K303" s="562">
        <f t="shared" si="4"/>
        <v>0</v>
      </c>
      <c r="M303" t="s">
        <v>2662</v>
      </c>
      <c r="N303" t="s">
        <v>2053</v>
      </c>
      <c r="O303" t="s">
        <v>2680</v>
      </c>
    </row>
    <row r="304" spans="1:15">
      <c r="A304" t="s">
        <v>3415</v>
      </c>
      <c r="B304" t="s">
        <v>2676</v>
      </c>
      <c r="C304" t="s">
        <v>2666</v>
      </c>
      <c r="D304" s="562">
        <v>0</v>
      </c>
      <c r="E304" t="s">
        <v>1664</v>
      </c>
      <c r="F304" t="s">
        <v>3416</v>
      </c>
      <c r="G304" s="562">
        <v>1680166.27</v>
      </c>
      <c r="H304" s="562">
        <f>SUMIFS('Taxes Withheld'!F:F,'Taxes Withheld'!C:C,'Import DV AUCS'!A304)</f>
        <v>0</v>
      </c>
      <c r="I304" s="562">
        <f>SUMIFS('Taxes Withheld'!G:G,'Taxes Withheld'!C:C,'Import DV AUCS'!A304)</f>
        <v>0</v>
      </c>
      <c r="K304" s="562">
        <f t="shared" si="4"/>
        <v>0</v>
      </c>
      <c r="M304" t="s">
        <v>2662</v>
      </c>
      <c r="N304" t="s">
        <v>2053</v>
      </c>
      <c r="O304" t="s">
        <v>2680</v>
      </c>
    </row>
    <row r="305" spans="1:15">
      <c r="A305" t="s">
        <v>3417</v>
      </c>
      <c r="B305" t="s">
        <v>2676</v>
      </c>
      <c r="C305" t="s">
        <v>2666</v>
      </c>
      <c r="D305" s="562">
        <v>0</v>
      </c>
      <c r="E305" t="s">
        <v>3418</v>
      </c>
      <c r="F305" t="s">
        <v>3419</v>
      </c>
      <c r="G305" s="562">
        <v>1200</v>
      </c>
      <c r="H305" s="562">
        <f>SUMIFS('Taxes Withheld'!F:F,'Taxes Withheld'!C:C,'Import DV AUCS'!A305)</f>
        <v>0</v>
      </c>
      <c r="I305" s="562">
        <f>SUMIFS('Taxes Withheld'!G:G,'Taxes Withheld'!C:C,'Import DV AUCS'!A305)</f>
        <v>0</v>
      </c>
      <c r="K305" s="562">
        <f t="shared" si="4"/>
        <v>0</v>
      </c>
      <c r="M305" t="s">
        <v>2662</v>
      </c>
      <c r="N305" t="s">
        <v>2053</v>
      </c>
      <c r="O305" t="s">
        <v>2680</v>
      </c>
    </row>
    <row r="306" spans="1:15">
      <c r="A306" t="s">
        <v>3420</v>
      </c>
      <c r="B306" t="s">
        <v>2676</v>
      </c>
      <c r="C306" t="s">
        <v>2666</v>
      </c>
      <c r="D306" s="562">
        <v>0</v>
      </c>
      <c r="E306" t="s">
        <v>3418</v>
      </c>
      <c r="F306" t="s">
        <v>3421</v>
      </c>
      <c r="G306" s="562">
        <v>27440</v>
      </c>
      <c r="H306" s="562">
        <f>SUMIFS('Taxes Withheld'!F:F,'Taxes Withheld'!C:C,'Import DV AUCS'!A306)</f>
        <v>0</v>
      </c>
      <c r="I306" s="562">
        <f>SUMIFS('Taxes Withheld'!G:G,'Taxes Withheld'!C:C,'Import DV AUCS'!A306)</f>
        <v>0</v>
      </c>
      <c r="K306" s="562">
        <f t="shared" si="4"/>
        <v>0</v>
      </c>
      <c r="M306" t="s">
        <v>2662</v>
      </c>
      <c r="N306" t="s">
        <v>2053</v>
      </c>
      <c r="O306" t="s">
        <v>2680</v>
      </c>
    </row>
    <row r="307" spans="1:15">
      <c r="A307" t="s">
        <v>3422</v>
      </c>
      <c r="B307" t="s">
        <v>2676</v>
      </c>
      <c r="C307" t="s">
        <v>2666</v>
      </c>
      <c r="D307" s="562">
        <v>0</v>
      </c>
      <c r="E307" t="s">
        <v>3396</v>
      </c>
      <c r="F307" t="s">
        <v>3423</v>
      </c>
      <c r="G307" s="562">
        <v>1255.3</v>
      </c>
      <c r="H307" s="562">
        <f>SUMIFS('Taxes Withheld'!F:F,'Taxes Withheld'!C:C,'Import DV AUCS'!A307)</f>
        <v>0</v>
      </c>
      <c r="I307" s="562">
        <f>SUMIFS('Taxes Withheld'!G:G,'Taxes Withheld'!C:C,'Import DV AUCS'!A307)</f>
        <v>0</v>
      </c>
      <c r="K307" s="562">
        <f t="shared" si="4"/>
        <v>0</v>
      </c>
      <c r="M307" t="s">
        <v>2662</v>
      </c>
      <c r="N307" t="s">
        <v>2053</v>
      </c>
      <c r="O307" t="s">
        <v>2680</v>
      </c>
    </row>
    <row r="308" spans="1:15">
      <c r="A308" t="s">
        <v>3424</v>
      </c>
      <c r="B308" t="s">
        <v>2676</v>
      </c>
      <c r="C308" t="s">
        <v>2666</v>
      </c>
      <c r="D308" s="562">
        <v>0</v>
      </c>
      <c r="E308" t="s">
        <v>1105</v>
      </c>
      <c r="F308" t="s">
        <v>3425</v>
      </c>
      <c r="G308" s="562">
        <v>19423.169999999998</v>
      </c>
      <c r="H308" s="562">
        <f>SUMIFS('Taxes Withheld'!F:F,'Taxes Withheld'!C:C,'Import DV AUCS'!A308)</f>
        <v>0</v>
      </c>
      <c r="I308" s="562">
        <f>SUMIFS('Taxes Withheld'!G:G,'Taxes Withheld'!C:C,'Import DV AUCS'!A308)</f>
        <v>0</v>
      </c>
      <c r="K308" s="562">
        <f t="shared" si="4"/>
        <v>0</v>
      </c>
      <c r="M308" t="s">
        <v>2662</v>
      </c>
      <c r="N308" t="s">
        <v>2053</v>
      </c>
      <c r="O308" t="s">
        <v>2680</v>
      </c>
    </row>
    <row r="309" spans="1:15">
      <c r="A309" t="s">
        <v>3426</v>
      </c>
      <c r="B309" t="s">
        <v>2676</v>
      </c>
      <c r="C309" t="s">
        <v>2666</v>
      </c>
      <c r="D309" s="562">
        <v>0</v>
      </c>
      <c r="E309" t="s">
        <v>1690</v>
      </c>
      <c r="F309" t="s">
        <v>3231</v>
      </c>
      <c r="G309" s="562">
        <v>54327.25</v>
      </c>
      <c r="H309" s="562">
        <f>SUMIFS('Taxes Withheld'!F:F,'Taxes Withheld'!C:C,'Import DV AUCS'!A309)</f>
        <v>0</v>
      </c>
      <c r="I309" s="562">
        <f>SUMIFS('Taxes Withheld'!G:G,'Taxes Withheld'!C:C,'Import DV AUCS'!A309)</f>
        <v>0</v>
      </c>
      <c r="K309" s="562">
        <f t="shared" si="4"/>
        <v>0</v>
      </c>
      <c r="M309" t="s">
        <v>2662</v>
      </c>
      <c r="N309" t="s">
        <v>2053</v>
      </c>
      <c r="O309" t="s">
        <v>2680</v>
      </c>
    </row>
    <row r="310" spans="1:15">
      <c r="A310" t="s">
        <v>3427</v>
      </c>
      <c r="B310" t="s">
        <v>2676</v>
      </c>
      <c r="C310" t="s">
        <v>2666</v>
      </c>
      <c r="D310" s="562">
        <v>0</v>
      </c>
      <c r="E310" t="s">
        <v>2939</v>
      </c>
      <c r="F310" t="s">
        <v>3387</v>
      </c>
      <c r="G310" s="562">
        <v>903</v>
      </c>
      <c r="H310" s="562">
        <f>SUMIFS('Taxes Withheld'!F:F,'Taxes Withheld'!C:C,'Import DV AUCS'!A310)</f>
        <v>0</v>
      </c>
      <c r="I310" s="562">
        <f>SUMIFS('Taxes Withheld'!G:G,'Taxes Withheld'!C:C,'Import DV AUCS'!A310)</f>
        <v>0</v>
      </c>
      <c r="K310" s="562">
        <f t="shared" si="4"/>
        <v>0</v>
      </c>
      <c r="M310" t="s">
        <v>2662</v>
      </c>
      <c r="N310" t="s">
        <v>2053</v>
      </c>
      <c r="O310" t="s">
        <v>2680</v>
      </c>
    </row>
    <row r="311" spans="1:15">
      <c r="A311" t="s">
        <v>3428</v>
      </c>
      <c r="B311" t="s">
        <v>2676</v>
      </c>
      <c r="C311" t="s">
        <v>2666</v>
      </c>
      <c r="D311" s="562">
        <v>0</v>
      </c>
      <c r="E311" t="s">
        <v>1759</v>
      </c>
      <c r="F311" t="s">
        <v>3429</v>
      </c>
      <c r="G311" s="562">
        <v>1000</v>
      </c>
      <c r="H311" s="562">
        <f>SUMIFS('Taxes Withheld'!F:F,'Taxes Withheld'!C:C,'Import DV AUCS'!A311)</f>
        <v>0</v>
      </c>
      <c r="I311" s="562">
        <f>SUMIFS('Taxes Withheld'!G:G,'Taxes Withheld'!C:C,'Import DV AUCS'!A311)</f>
        <v>0</v>
      </c>
      <c r="K311" s="562">
        <f t="shared" si="4"/>
        <v>0</v>
      </c>
      <c r="M311" t="s">
        <v>2662</v>
      </c>
      <c r="N311" t="s">
        <v>2053</v>
      </c>
      <c r="O311" t="s">
        <v>2680</v>
      </c>
    </row>
    <row r="312" spans="1:15">
      <c r="A312" t="s">
        <v>3430</v>
      </c>
      <c r="B312" t="s">
        <v>2676</v>
      </c>
      <c r="C312" t="s">
        <v>2666</v>
      </c>
      <c r="D312" s="562">
        <v>0</v>
      </c>
      <c r="E312" t="s">
        <v>3396</v>
      </c>
      <c r="F312" t="s">
        <v>3431</v>
      </c>
      <c r="G312" s="562">
        <v>3581.55</v>
      </c>
      <c r="H312" s="562">
        <f>SUMIFS('Taxes Withheld'!F:F,'Taxes Withheld'!C:C,'Import DV AUCS'!A312)</f>
        <v>0</v>
      </c>
      <c r="I312" s="562">
        <f>SUMIFS('Taxes Withheld'!G:G,'Taxes Withheld'!C:C,'Import DV AUCS'!A312)</f>
        <v>0</v>
      </c>
      <c r="K312" s="562">
        <f t="shared" si="4"/>
        <v>0</v>
      </c>
      <c r="M312" t="s">
        <v>2662</v>
      </c>
      <c r="N312" t="s">
        <v>2053</v>
      </c>
      <c r="O312" t="s">
        <v>2680</v>
      </c>
    </row>
    <row r="313" spans="1:15">
      <c r="A313" t="s">
        <v>3432</v>
      </c>
      <c r="B313" t="s">
        <v>2676</v>
      </c>
      <c r="C313" t="s">
        <v>2666</v>
      </c>
      <c r="D313" s="562">
        <v>0</v>
      </c>
      <c r="E313" t="s">
        <v>1105</v>
      </c>
      <c r="F313" t="s">
        <v>3433</v>
      </c>
      <c r="G313" s="562">
        <v>11322.3</v>
      </c>
      <c r="H313" s="562">
        <f>SUMIFS('Taxes Withheld'!F:F,'Taxes Withheld'!C:C,'Import DV AUCS'!A313)</f>
        <v>0</v>
      </c>
      <c r="I313" s="562">
        <f>SUMIFS('Taxes Withheld'!G:G,'Taxes Withheld'!C:C,'Import DV AUCS'!A313)</f>
        <v>0</v>
      </c>
      <c r="K313" s="562">
        <f t="shared" si="4"/>
        <v>0</v>
      </c>
      <c r="M313" t="s">
        <v>2662</v>
      </c>
      <c r="N313" t="s">
        <v>2053</v>
      </c>
      <c r="O313" t="s">
        <v>2680</v>
      </c>
    </row>
    <row r="314" spans="1:15">
      <c r="A314" t="s">
        <v>3434</v>
      </c>
      <c r="B314" t="s">
        <v>2676</v>
      </c>
      <c r="C314" t="s">
        <v>2666</v>
      </c>
      <c r="D314" s="562">
        <v>0</v>
      </c>
      <c r="E314" t="s">
        <v>3005</v>
      </c>
      <c r="F314" t="s">
        <v>3435</v>
      </c>
      <c r="G314" s="562">
        <v>850</v>
      </c>
      <c r="H314" s="562">
        <f>SUMIFS('Taxes Withheld'!F:F,'Taxes Withheld'!C:C,'Import DV AUCS'!A314)</f>
        <v>0</v>
      </c>
      <c r="I314" s="562">
        <f>SUMIFS('Taxes Withheld'!G:G,'Taxes Withheld'!C:C,'Import DV AUCS'!A314)</f>
        <v>0</v>
      </c>
      <c r="K314" s="562">
        <f t="shared" si="4"/>
        <v>0</v>
      </c>
      <c r="M314" t="s">
        <v>2662</v>
      </c>
      <c r="N314" t="s">
        <v>2053</v>
      </c>
      <c r="O314" t="s">
        <v>2680</v>
      </c>
    </row>
    <row r="315" spans="1:15">
      <c r="A315" t="s">
        <v>3436</v>
      </c>
      <c r="B315" t="s">
        <v>2676</v>
      </c>
      <c r="C315" t="s">
        <v>2666</v>
      </c>
      <c r="D315" s="562">
        <v>0</v>
      </c>
      <c r="E315" t="s">
        <v>3437</v>
      </c>
      <c r="F315" t="s">
        <v>3438</v>
      </c>
      <c r="G315" s="562">
        <v>250</v>
      </c>
      <c r="H315" s="562">
        <f>SUMIFS('Taxes Withheld'!F:F,'Taxes Withheld'!C:C,'Import DV AUCS'!A315)</f>
        <v>0</v>
      </c>
      <c r="I315" s="562">
        <f>SUMIFS('Taxes Withheld'!G:G,'Taxes Withheld'!C:C,'Import DV AUCS'!A315)</f>
        <v>0</v>
      </c>
      <c r="K315" s="562">
        <f t="shared" si="4"/>
        <v>0</v>
      </c>
      <c r="M315" t="s">
        <v>2662</v>
      </c>
      <c r="N315" t="s">
        <v>2053</v>
      </c>
      <c r="O315" t="s">
        <v>2680</v>
      </c>
    </row>
    <row r="316" spans="1:15">
      <c r="A316" t="s">
        <v>3439</v>
      </c>
      <c r="B316" t="s">
        <v>2676</v>
      </c>
      <c r="C316" t="s">
        <v>2666</v>
      </c>
      <c r="D316" s="562">
        <v>0</v>
      </c>
      <c r="E316" t="s">
        <v>3440</v>
      </c>
      <c r="F316" t="s">
        <v>3441</v>
      </c>
      <c r="G316" s="562">
        <v>1000</v>
      </c>
      <c r="H316" s="562">
        <f>SUMIFS('Taxes Withheld'!F:F,'Taxes Withheld'!C:C,'Import DV AUCS'!A316)</f>
        <v>0</v>
      </c>
      <c r="I316" s="562">
        <f>SUMIFS('Taxes Withheld'!G:G,'Taxes Withheld'!C:C,'Import DV AUCS'!A316)</f>
        <v>0</v>
      </c>
      <c r="K316" s="562">
        <f t="shared" si="4"/>
        <v>0</v>
      </c>
      <c r="M316" t="s">
        <v>2662</v>
      </c>
      <c r="N316" t="s">
        <v>2053</v>
      </c>
      <c r="O316" t="s">
        <v>2680</v>
      </c>
    </row>
    <row r="317" spans="1:15">
      <c r="A317" t="s">
        <v>3442</v>
      </c>
      <c r="B317" t="s">
        <v>2676</v>
      </c>
      <c r="C317" t="s">
        <v>2666</v>
      </c>
      <c r="D317" s="562">
        <v>0</v>
      </c>
      <c r="E317" t="s">
        <v>1759</v>
      </c>
      <c r="F317" t="s">
        <v>3443</v>
      </c>
      <c r="G317" s="562">
        <v>202411.41</v>
      </c>
      <c r="H317" s="562">
        <f>SUMIFS('Taxes Withheld'!F:F,'Taxes Withheld'!C:C,'Import DV AUCS'!A317)</f>
        <v>0</v>
      </c>
      <c r="I317" s="562">
        <f>SUMIFS('Taxes Withheld'!G:G,'Taxes Withheld'!C:C,'Import DV AUCS'!A317)</f>
        <v>0</v>
      </c>
      <c r="K317" s="562">
        <f t="shared" si="4"/>
        <v>0</v>
      </c>
      <c r="M317" t="s">
        <v>2662</v>
      </c>
      <c r="N317" t="s">
        <v>2053</v>
      </c>
      <c r="O317" t="s">
        <v>2680</v>
      </c>
    </row>
    <row r="318" spans="1:15">
      <c r="A318" t="s">
        <v>3444</v>
      </c>
      <c r="B318" t="s">
        <v>2676</v>
      </c>
      <c r="C318" t="s">
        <v>3445</v>
      </c>
      <c r="D318" s="562">
        <v>29300.399999999998</v>
      </c>
      <c r="E318" t="s">
        <v>3220</v>
      </c>
      <c r="F318" t="s">
        <v>3446</v>
      </c>
      <c r="G318" s="562">
        <v>23119.919999999998</v>
      </c>
      <c r="H318" s="562">
        <f>SUMIFS('Taxes Withheld'!F:F,'Taxes Withheld'!C:C,'Import DV AUCS'!A318)</f>
        <v>0</v>
      </c>
      <c r="I318" s="562">
        <f>SUMIFS('Taxes Withheld'!G:G,'Taxes Withheld'!C:C,'Import DV AUCS'!A318)</f>
        <v>0</v>
      </c>
      <c r="K318" s="562">
        <f t="shared" si="4"/>
        <v>0</v>
      </c>
      <c r="M318" t="s">
        <v>2687</v>
      </c>
      <c r="N318" t="s">
        <v>2683</v>
      </c>
      <c r="O318" t="s">
        <v>2678</v>
      </c>
    </row>
    <row r="319" spans="1:15">
      <c r="A319" t="s">
        <v>3447</v>
      </c>
      <c r="B319" t="s">
        <v>2676</v>
      </c>
      <c r="C319" t="s">
        <v>3448</v>
      </c>
      <c r="D319" s="562">
        <v>29300.399999999998</v>
      </c>
      <c r="E319" t="s">
        <v>3223</v>
      </c>
      <c r="F319" t="s">
        <v>3446</v>
      </c>
      <c r="G319" s="562">
        <v>23119.919999999998</v>
      </c>
      <c r="H319" s="562">
        <f>SUMIFS('Taxes Withheld'!F:F,'Taxes Withheld'!C:C,'Import DV AUCS'!A319)</f>
        <v>0</v>
      </c>
      <c r="I319" s="562">
        <f>SUMIFS('Taxes Withheld'!G:G,'Taxes Withheld'!C:C,'Import DV AUCS'!A319)</f>
        <v>0</v>
      </c>
      <c r="K319" s="562">
        <f t="shared" si="4"/>
        <v>0</v>
      </c>
      <c r="M319" t="s">
        <v>2687</v>
      </c>
      <c r="N319" t="s">
        <v>2683</v>
      </c>
      <c r="O319" t="s">
        <v>2678</v>
      </c>
    </row>
    <row r="320" spans="1:15">
      <c r="A320" t="s">
        <v>3449</v>
      </c>
      <c r="B320" t="s">
        <v>2676</v>
      </c>
      <c r="C320" t="s">
        <v>3450</v>
      </c>
      <c r="D320" s="562">
        <v>9170</v>
      </c>
      <c r="E320" t="s">
        <v>3451</v>
      </c>
      <c r="F320" t="s">
        <v>3452</v>
      </c>
      <c r="G320" s="562">
        <v>9170</v>
      </c>
      <c r="H320" s="562">
        <f>SUMIFS('Taxes Withheld'!F:F,'Taxes Withheld'!C:C,'Import DV AUCS'!A320)</f>
        <v>0</v>
      </c>
      <c r="I320" s="562">
        <f>SUMIFS('Taxes Withheld'!G:G,'Taxes Withheld'!C:C,'Import DV AUCS'!A320)</f>
        <v>0</v>
      </c>
      <c r="K320" s="562">
        <f t="shared" si="4"/>
        <v>0</v>
      </c>
      <c r="M320" t="s">
        <v>2687</v>
      </c>
      <c r="N320" t="s">
        <v>2683</v>
      </c>
      <c r="O320" t="s">
        <v>2678</v>
      </c>
    </row>
    <row r="321" spans="1:15">
      <c r="A321" t="s">
        <v>3453</v>
      </c>
      <c r="B321" t="s">
        <v>2676</v>
      </c>
      <c r="C321" t="s">
        <v>3454</v>
      </c>
      <c r="D321" s="562">
        <v>29300.399999999998</v>
      </c>
      <c r="E321" t="s">
        <v>3226</v>
      </c>
      <c r="F321" t="s">
        <v>3446</v>
      </c>
      <c r="G321" s="562">
        <v>23119.919999999998</v>
      </c>
      <c r="H321" s="562">
        <f>SUMIFS('Taxes Withheld'!F:F,'Taxes Withheld'!C:C,'Import DV AUCS'!A321)</f>
        <v>0</v>
      </c>
      <c r="I321" s="562">
        <f>SUMIFS('Taxes Withheld'!G:G,'Taxes Withheld'!C:C,'Import DV AUCS'!A321)</f>
        <v>0</v>
      </c>
      <c r="K321" s="562">
        <f t="shared" si="4"/>
        <v>0</v>
      </c>
      <c r="M321" t="s">
        <v>2687</v>
      </c>
      <c r="N321" t="s">
        <v>2683</v>
      </c>
      <c r="O321" t="s">
        <v>2678</v>
      </c>
    </row>
    <row r="322" spans="1:15">
      <c r="A322" t="s">
        <v>3455</v>
      </c>
      <c r="B322" t="s">
        <v>2676</v>
      </c>
      <c r="C322" t="s">
        <v>3456</v>
      </c>
      <c r="D322" s="562">
        <v>83842.210000000006</v>
      </c>
      <c r="E322" t="s">
        <v>3457</v>
      </c>
      <c r="F322" t="s">
        <v>3458</v>
      </c>
      <c r="G322" s="562">
        <v>83842.210000000006</v>
      </c>
      <c r="H322" s="562">
        <f>SUMIFS('Taxes Withheld'!F:F,'Taxes Withheld'!C:C,'Import DV AUCS'!A322)</f>
        <v>0</v>
      </c>
      <c r="I322" s="562">
        <f>SUMIFS('Taxes Withheld'!G:G,'Taxes Withheld'!C:C,'Import DV AUCS'!A322)</f>
        <v>0</v>
      </c>
      <c r="K322" s="562">
        <f t="shared" si="4"/>
        <v>0</v>
      </c>
      <c r="M322" t="s">
        <v>2687</v>
      </c>
      <c r="N322" t="s">
        <v>2683</v>
      </c>
      <c r="O322" t="s">
        <v>2678</v>
      </c>
    </row>
    <row r="323" spans="1:15">
      <c r="A323" t="s">
        <v>3459</v>
      </c>
      <c r="B323" t="s">
        <v>2676</v>
      </c>
      <c r="C323" t="s">
        <v>3460</v>
      </c>
      <c r="D323" s="562">
        <v>83842.210000000006</v>
      </c>
      <c r="E323" t="s">
        <v>3457</v>
      </c>
      <c r="F323" t="s">
        <v>3461</v>
      </c>
      <c r="G323" s="562">
        <v>83842.210000000006</v>
      </c>
      <c r="H323" s="562">
        <f>SUMIFS('Taxes Withheld'!F:F,'Taxes Withheld'!C:C,'Import DV AUCS'!A323)</f>
        <v>0</v>
      </c>
      <c r="I323" s="562">
        <f>SUMIFS('Taxes Withheld'!G:G,'Taxes Withheld'!C:C,'Import DV AUCS'!A323)</f>
        <v>0</v>
      </c>
      <c r="K323" s="562">
        <f t="shared" si="4"/>
        <v>0</v>
      </c>
      <c r="M323" t="s">
        <v>2687</v>
      </c>
      <c r="N323" t="s">
        <v>2683</v>
      </c>
      <c r="O323" t="s">
        <v>2678</v>
      </c>
    </row>
    <row r="324" spans="1:15">
      <c r="A324" t="s">
        <v>3462</v>
      </c>
      <c r="B324" t="s">
        <v>2676</v>
      </c>
      <c r="C324" t="s">
        <v>3463</v>
      </c>
      <c r="D324" s="562">
        <v>1200</v>
      </c>
      <c r="E324" t="s">
        <v>3464</v>
      </c>
      <c r="F324" t="s">
        <v>3465</v>
      </c>
      <c r="G324" s="562">
        <v>1200</v>
      </c>
      <c r="H324" s="562">
        <f>SUMIFS('Taxes Withheld'!F:F,'Taxes Withheld'!C:C,'Import DV AUCS'!A324)</f>
        <v>0</v>
      </c>
      <c r="I324" s="562">
        <f>SUMIFS('Taxes Withheld'!G:G,'Taxes Withheld'!C:C,'Import DV AUCS'!A324)</f>
        <v>0</v>
      </c>
      <c r="K324" s="562">
        <f t="shared" ref="K324:K387" si="5">H324+I324+J324</f>
        <v>0</v>
      </c>
      <c r="M324" t="s">
        <v>2687</v>
      </c>
      <c r="N324" t="s">
        <v>2683</v>
      </c>
      <c r="O324" t="s">
        <v>2678</v>
      </c>
    </row>
    <row r="325" spans="1:15">
      <c r="A325" t="s">
        <v>3466</v>
      </c>
      <c r="B325" t="s">
        <v>2676</v>
      </c>
      <c r="C325" t="s">
        <v>3467</v>
      </c>
      <c r="D325" s="562">
        <v>2404.7800000000002</v>
      </c>
      <c r="E325" t="s">
        <v>3112</v>
      </c>
      <c r="F325" t="s">
        <v>3468</v>
      </c>
      <c r="G325" s="562">
        <v>2404.7800000000002</v>
      </c>
      <c r="H325" s="562">
        <f>SUMIFS('Taxes Withheld'!F:F,'Taxes Withheld'!C:C,'Import DV AUCS'!A325)</f>
        <v>0</v>
      </c>
      <c r="I325" s="562">
        <f>SUMIFS('Taxes Withheld'!G:G,'Taxes Withheld'!C:C,'Import DV AUCS'!A325)</f>
        <v>0</v>
      </c>
      <c r="K325" s="562">
        <f t="shared" si="5"/>
        <v>0</v>
      </c>
      <c r="M325" t="s">
        <v>2687</v>
      </c>
      <c r="N325" t="s">
        <v>2683</v>
      </c>
      <c r="O325" t="s">
        <v>2678</v>
      </c>
    </row>
    <row r="326" spans="1:15">
      <c r="A326" t="s">
        <v>3469</v>
      </c>
      <c r="B326" t="s">
        <v>2676</v>
      </c>
      <c r="C326" t="s">
        <v>3470</v>
      </c>
      <c r="D326" s="562">
        <v>11000</v>
      </c>
      <c r="E326" t="s">
        <v>3381</v>
      </c>
      <c r="F326" t="s">
        <v>3382</v>
      </c>
      <c r="G326" s="562">
        <v>10312.5</v>
      </c>
      <c r="H326" s="562">
        <f>SUMIFS('Taxes Withheld'!F:F,'Taxes Withheld'!C:C,'Import DV AUCS'!A326)</f>
        <v>491.07</v>
      </c>
      <c r="I326" s="562">
        <f>SUMIFS('Taxes Withheld'!G:G,'Taxes Withheld'!C:C,'Import DV AUCS'!A326)</f>
        <v>196.43</v>
      </c>
      <c r="K326" s="562">
        <f t="shared" si="5"/>
        <v>687.5</v>
      </c>
      <c r="M326" t="s">
        <v>2687</v>
      </c>
      <c r="N326" t="s">
        <v>2683</v>
      </c>
      <c r="O326" t="s">
        <v>2678</v>
      </c>
    </row>
    <row r="327" spans="1:15">
      <c r="A327" t="s">
        <v>3471</v>
      </c>
      <c r="B327" t="s">
        <v>2676</v>
      </c>
      <c r="C327" t="s">
        <v>3472</v>
      </c>
      <c r="D327" s="562">
        <v>2500</v>
      </c>
      <c r="E327" t="s">
        <v>3162</v>
      </c>
      <c r="F327" t="s">
        <v>3385</v>
      </c>
      <c r="G327" s="562">
        <v>2343.75</v>
      </c>
      <c r="H327" s="562">
        <f>SUMIFS('Taxes Withheld'!F:F,'Taxes Withheld'!C:C,'Import DV AUCS'!A327)</f>
        <v>111.61</v>
      </c>
      <c r="I327" s="562">
        <f>SUMIFS('Taxes Withheld'!G:G,'Taxes Withheld'!C:C,'Import DV AUCS'!A327)</f>
        <v>44.64</v>
      </c>
      <c r="K327" s="562">
        <f t="shared" si="5"/>
        <v>156.25</v>
      </c>
      <c r="M327" t="s">
        <v>2687</v>
      </c>
      <c r="N327" t="s">
        <v>2683</v>
      </c>
      <c r="O327" t="s">
        <v>2678</v>
      </c>
    </row>
    <row r="328" spans="1:15">
      <c r="A328" t="s">
        <v>3473</v>
      </c>
      <c r="B328" t="s">
        <v>2676</v>
      </c>
      <c r="C328" t="s">
        <v>3474</v>
      </c>
      <c r="D328" s="562">
        <v>4223.5</v>
      </c>
      <c r="E328" t="s">
        <v>2709</v>
      </c>
      <c r="F328" t="s">
        <v>3475</v>
      </c>
      <c r="G328" s="562">
        <v>4223.5</v>
      </c>
      <c r="H328" s="562">
        <f>SUMIFS('Taxes Withheld'!F:F,'Taxes Withheld'!C:C,'Import DV AUCS'!A328)</f>
        <v>0</v>
      </c>
      <c r="I328" s="562">
        <f>SUMIFS('Taxes Withheld'!G:G,'Taxes Withheld'!C:C,'Import DV AUCS'!A328)</f>
        <v>0</v>
      </c>
      <c r="K328" s="562">
        <f t="shared" si="5"/>
        <v>0</v>
      </c>
      <c r="M328" t="s">
        <v>2687</v>
      </c>
      <c r="N328" t="s">
        <v>2683</v>
      </c>
      <c r="O328" t="s">
        <v>2678</v>
      </c>
    </row>
    <row r="329" spans="1:15">
      <c r="A329" t="s">
        <v>3476</v>
      </c>
      <c r="B329" t="s">
        <v>2676</v>
      </c>
      <c r="C329" t="s">
        <v>2666</v>
      </c>
      <c r="D329" s="562">
        <v>0</v>
      </c>
      <c r="E329" t="s">
        <v>3477</v>
      </c>
      <c r="F329" t="s">
        <v>3478</v>
      </c>
      <c r="G329" s="562">
        <v>1000</v>
      </c>
      <c r="H329" s="562">
        <f>SUMIFS('Taxes Withheld'!F:F,'Taxes Withheld'!C:C,'Import DV AUCS'!A329)</f>
        <v>0</v>
      </c>
      <c r="I329" s="562">
        <f>SUMIFS('Taxes Withheld'!G:G,'Taxes Withheld'!C:C,'Import DV AUCS'!A329)</f>
        <v>0</v>
      </c>
      <c r="K329" s="562">
        <f t="shared" si="5"/>
        <v>0</v>
      </c>
      <c r="M329" t="s">
        <v>2662</v>
      </c>
      <c r="N329" t="s">
        <v>2053</v>
      </c>
      <c r="O329" t="s">
        <v>2680</v>
      </c>
    </row>
    <row r="330" spans="1:15">
      <c r="A330" t="s">
        <v>3479</v>
      </c>
      <c r="B330" t="s">
        <v>2676</v>
      </c>
      <c r="C330" t="s">
        <v>2666</v>
      </c>
      <c r="D330" s="562">
        <v>0</v>
      </c>
      <c r="E330" t="s">
        <v>3480</v>
      </c>
      <c r="F330" t="s">
        <v>3478</v>
      </c>
      <c r="G330" s="562">
        <v>770.25</v>
      </c>
      <c r="H330" s="562">
        <f>SUMIFS('Taxes Withheld'!F:F,'Taxes Withheld'!C:C,'Import DV AUCS'!A330)</f>
        <v>0</v>
      </c>
      <c r="I330" s="562">
        <f>SUMIFS('Taxes Withheld'!G:G,'Taxes Withheld'!C:C,'Import DV AUCS'!A330)</f>
        <v>0</v>
      </c>
      <c r="K330" s="562">
        <f t="shared" si="5"/>
        <v>0</v>
      </c>
      <c r="M330" t="s">
        <v>2662</v>
      </c>
      <c r="N330" t="s">
        <v>2053</v>
      </c>
      <c r="O330" t="s">
        <v>2680</v>
      </c>
    </row>
    <row r="331" spans="1:15">
      <c r="A331" t="s">
        <v>3481</v>
      </c>
      <c r="B331" t="s">
        <v>2676</v>
      </c>
      <c r="C331" t="s">
        <v>2666</v>
      </c>
      <c r="D331" s="562">
        <v>0</v>
      </c>
      <c r="E331" t="s">
        <v>2949</v>
      </c>
      <c r="F331" t="s">
        <v>3482</v>
      </c>
      <c r="G331" s="562">
        <v>22481.95</v>
      </c>
      <c r="H331" s="562">
        <f>SUMIFS('Taxes Withheld'!F:F,'Taxes Withheld'!C:C,'Import DV AUCS'!A331)</f>
        <v>0</v>
      </c>
      <c r="I331" s="562">
        <f>SUMIFS('Taxes Withheld'!G:G,'Taxes Withheld'!C:C,'Import DV AUCS'!A331)</f>
        <v>0</v>
      </c>
      <c r="K331" s="562">
        <f t="shared" si="5"/>
        <v>0</v>
      </c>
      <c r="M331" t="s">
        <v>2662</v>
      </c>
      <c r="N331" t="s">
        <v>2053</v>
      </c>
      <c r="O331" t="s">
        <v>2680</v>
      </c>
    </row>
    <row r="332" spans="1:15">
      <c r="A332" t="s">
        <v>3483</v>
      </c>
      <c r="B332" t="s">
        <v>2676</v>
      </c>
      <c r="C332" t="s">
        <v>2666</v>
      </c>
      <c r="D332" s="562">
        <v>0</v>
      </c>
      <c r="E332" t="s">
        <v>2949</v>
      </c>
      <c r="F332" t="s">
        <v>3484</v>
      </c>
      <c r="G332" s="562">
        <v>13866.66</v>
      </c>
      <c r="H332" s="562">
        <f>SUMIFS('Taxes Withheld'!F:F,'Taxes Withheld'!C:C,'Import DV AUCS'!A332)</f>
        <v>0</v>
      </c>
      <c r="I332" s="562">
        <f>SUMIFS('Taxes Withheld'!G:G,'Taxes Withheld'!C:C,'Import DV AUCS'!A332)</f>
        <v>0</v>
      </c>
      <c r="K332" s="562">
        <f t="shared" si="5"/>
        <v>0</v>
      </c>
      <c r="M332" t="s">
        <v>2662</v>
      </c>
      <c r="N332" t="s">
        <v>2053</v>
      </c>
      <c r="O332" t="s">
        <v>2680</v>
      </c>
    </row>
    <row r="333" spans="1:15">
      <c r="A333" t="s">
        <v>3485</v>
      </c>
      <c r="B333" t="s">
        <v>2676</v>
      </c>
      <c r="C333" t="s">
        <v>3486</v>
      </c>
      <c r="D333" s="562">
        <v>64106</v>
      </c>
      <c r="E333" t="s">
        <v>3487</v>
      </c>
      <c r="F333" t="s">
        <v>3488</v>
      </c>
      <c r="G333" s="562">
        <v>64106</v>
      </c>
      <c r="H333" s="562">
        <f>SUMIFS('Taxes Withheld'!F:F,'Taxes Withheld'!C:C,'Import DV AUCS'!A333)</f>
        <v>0</v>
      </c>
      <c r="I333" s="562">
        <f>SUMIFS('Taxes Withheld'!G:G,'Taxes Withheld'!C:C,'Import DV AUCS'!A333)</f>
        <v>0</v>
      </c>
      <c r="K333" s="562">
        <f t="shared" si="5"/>
        <v>0</v>
      </c>
      <c r="M333" t="s">
        <v>2687</v>
      </c>
      <c r="N333" t="s">
        <v>2683</v>
      </c>
      <c r="O333" t="s">
        <v>2678</v>
      </c>
    </row>
    <row r="334" spans="1:15">
      <c r="A334" t="s">
        <v>3489</v>
      </c>
      <c r="B334" t="s">
        <v>2676</v>
      </c>
      <c r="C334" t="s">
        <v>2666</v>
      </c>
      <c r="D334" s="562">
        <v>0</v>
      </c>
      <c r="E334" t="s">
        <v>3490</v>
      </c>
      <c r="F334" t="s">
        <v>3478</v>
      </c>
      <c r="G334" s="562">
        <v>5144.79</v>
      </c>
      <c r="H334" s="562">
        <f>SUMIFS('Taxes Withheld'!F:F,'Taxes Withheld'!C:C,'Import DV AUCS'!A334)</f>
        <v>0</v>
      </c>
      <c r="I334" s="562">
        <f>SUMIFS('Taxes Withheld'!G:G,'Taxes Withheld'!C:C,'Import DV AUCS'!A334)</f>
        <v>0</v>
      </c>
      <c r="K334" s="562">
        <f t="shared" si="5"/>
        <v>0</v>
      </c>
      <c r="M334" t="s">
        <v>2662</v>
      </c>
      <c r="N334" t="s">
        <v>2053</v>
      </c>
      <c r="O334" t="s">
        <v>2680</v>
      </c>
    </row>
    <row r="335" spans="1:15">
      <c r="A335" t="s">
        <v>3491</v>
      </c>
      <c r="B335" t="s">
        <v>2676</v>
      </c>
      <c r="C335" t="s">
        <v>3492</v>
      </c>
      <c r="D335" s="562">
        <v>10000</v>
      </c>
      <c r="E335" t="s">
        <v>3363</v>
      </c>
      <c r="F335" t="s">
        <v>3493</v>
      </c>
      <c r="G335" s="562">
        <v>9000</v>
      </c>
      <c r="H335" s="562">
        <f>SUMIFS('Taxes Withheld'!F:F,'Taxes Withheld'!C:C,'Import DV AUCS'!A335)</f>
        <v>0</v>
      </c>
      <c r="I335" s="562">
        <f>SUMIFS('Taxes Withheld'!G:G,'Taxes Withheld'!C:C,'Import DV AUCS'!A335)</f>
        <v>0</v>
      </c>
      <c r="K335" s="562">
        <f t="shared" si="5"/>
        <v>0</v>
      </c>
      <c r="M335" t="s">
        <v>2687</v>
      </c>
      <c r="N335" t="s">
        <v>2683</v>
      </c>
      <c r="O335" t="s">
        <v>2678</v>
      </c>
    </row>
    <row r="336" spans="1:15">
      <c r="A336" t="s">
        <v>3494</v>
      </c>
      <c r="B336" t="s">
        <v>2676</v>
      </c>
      <c r="C336" t="s">
        <v>3495</v>
      </c>
      <c r="D336" s="562">
        <v>27760</v>
      </c>
      <c r="E336" t="s">
        <v>3451</v>
      </c>
      <c r="F336" t="s">
        <v>3496</v>
      </c>
      <c r="G336" s="562">
        <v>22676.67</v>
      </c>
      <c r="H336" s="562">
        <f>SUMIFS('Taxes Withheld'!F:F,'Taxes Withheld'!C:C,'Import DV AUCS'!A336)</f>
        <v>0</v>
      </c>
      <c r="I336" s="562">
        <f>SUMIFS('Taxes Withheld'!G:G,'Taxes Withheld'!C:C,'Import DV AUCS'!A336)</f>
        <v>0</v>
      </c>
      <c r="K336" s="562">
        <f t="shared" si="5"/>
        <v>0</v>
      </c>
      <c r="M336" t="s">
        <v>2687</v>
      </c>
      <c r="N336" t="s">
        <v>2683</v>
      </c>
      <c r="O336" t="s">
        <v>2678</v>
      </c>
    </row>
    <row r="337" spans="1:15">
      <c r="A337" t="s">
        <v>3497</v>
      </c>
      <c r="B337" t="s">
        <v>2676</v>
      </c>
      <c r="C337" t="s">
        <v>3498</v>
      </c>
      <c r="D337" s="562">
        <v>16332.5</v>
      </c>
      <c r="E337" t="s">
        <v>3499</v>
      </c>
      <c r="F337" t="s">
        <v>3500</v>
      </c>
      <c r="G337" s="562">
        <v>16332.5</v>
      </c>
      <c r="H337" s="562">
        <f>SUMIFS('Taxes Withheld'!F:F,'Taxes Withheld'!C:C,'Import DV AUCS'!A337)</f>
        <v>0</v>
      </c>
      <c r="I337" s="562">
        <f>SUMIFS('Taxes Withheld'!G:G,'Taxes Withheld'!C:C,'Import DV AUCS'!A337)</f>
        <v>0</v>
      </c>
      <c r="K337" s="562">
        <f t="shared" si="5"/>
        <v>0</v>
      </c>
      <c r="M337" t="s">
        <v>2687</v>
      </c>
      <c r="N337" t="s">
        <v>2683</v>
      </c>
      <c r="O337" t="s">
        <v>2678</v>
      </c>
    </row>
    <row r="338" spans="1:15">
      <c r="A338" t="s">
        <v>3501</v>
      </c>
      <c r="B338" t="s">
        <v>2676</v>
      </c>
      <c r="C338" t="s">
        <v>3502</v>
      </c>
      <c r="D338" s="562">
        <v>22316</v>
      </c>
      <c r="E338" t="s">
        <v>3451</v>
      </c>
      <c r="F338" t="s">
        <v>3496</v>
      </c>
      <c r="G338" s="562">
        <v>22316</v>
      </c>
      <c r="H338" s="562">
        <f>SUMIFS('Taxes Withheld'!F:F,'Taxes Withheld'!C:C,'Import DV AUCS'!A338)</f>
        <v>0</v>
      </c>
      <c r="I338" s="562">
        <f>SUMIFS('Taxes Withheld'!G:G,'Taxes Withheld'!C:C,'Import DV AUCS'!A338)</f>
        <v>0</v>
      </c>
      <c r="K338" s="562">
        <f t="shared" si="5"/>
        <v>0</v>
      </c>
      <c r="M338" t="s">
        <v>2687</v>
      </c>
      <c r="N338" t="s">
        <v>2683</v>
      </c>
      <c r="O338" t="s">
        <v>2678</v>
      </c>
    </row>
    <row r="339" spans="1:15">
      <c r="A339" t="s">
        <v>3503</v>
      </c>
      <c r="B339" t="s">
        <v>2676</v>
      </c>
      <c r="C339" t="s">
        <v>3504</v>
      </c>
      <c r="D339" s="562">
        <v>13034</v>
      </c>
      <c r="E339" t="s">
        <v>3451</v>
      </c>
      <c r="F339" t="s">
        <v>3496</v>
      </c>
      <c r="G339" s="562">
        <v>12534</v>
      </c>
      <c r="H339" s="562">
        <f>SUMIFS('Taxes Withheld'!F:F,'Taxes Withheld'!C:C,'Import DV AUCS'!A339)</f>
        <v>0</v>
      </c>
      <c r="I339" s="562">
        <f>SUMIFS('Taxes Withheld'!G:G,'Taxes Withheld'!C:C,'Import DV AUCS'!A339)</f>
        <v>0</v>
      </c>
      <c r="K339" s="562">
        <f t="shared" si="5"/>
        <v>0</v>
      </c>
      <c r="M339" t="s">
        <v>2687</v>
      </c>
      <c r="N339" t="s">
        <v>2683</v>
      </c>
      <c r="O339" t="s">
        <v>2678</v>
      </c>
    </row>
    <row r="340" spans="1:15">
      <c r="A340" t="s">
        <v>3505</v>
      </c>
      <c r="B340" t="s">
        <v>2676</v>
      </c>
      <c r="C340" t="s">
        <v>3506</v>
      </c>
      <c r="D340" s="562">
        <v>150000</v>
      </c>
      <c r="E340" t="s">
        <v>3457</v>
      </c>
      <c r="F340" t="s">
        <v>3507</v>
      </c>
      <c r="G340" s="562">
        <v>127518.05</v>
      </c>
      <c r="H340" s="562">
        <f>SUMIFS('Taxes Withheld'!F:F,'Taxes Withheld'!C:C,'Import DV AUCS'!A340)</f>
        <v>0</v>
      </c>
      <c r="I340" s="562">
        <f>SUMIFS('Taxes Withheld'!G:G,'Taxes Withheld'!C:C,'Import DV AUCS'!A340)</f>
        <v>0</v>
      </c>
      <c r="K340" s="562">
        <f t="shared" si="5"/>
        <v>0</v>
      </c>
      <c r="M340" t="s">
        <v>2687</v>
      </c>
      <c r="N340" t="s">
        <v>2683</v>
      </c>
      <c r="O340" t="s">
        <v>2678</v>
      </c>
    </row>
    <row r="341" spans="1:15">
      <c r="A341" t="s">
        <v>3508</v>
      </c>
      <c r="B341" t="s">
        <v>2676</v>
      </c>
      <c r="C341" t="s">
        <v>3509</v>
      </c>
      <c r="D341" s="562">
        <v>16332.5</v>
      </c>
      <c r="E341" t="s">
        <v>3510</v>
      </c>
      <c r="F341" t="s">
        <v>3511</v>
      </c>
      <c r="G341" s="562">
        <v>16332.5</v>
      </c>
      <c r="H341" s="562">
        <f>SUMIFS('Taxes Withheld'!F:F,'Taxes Withheld'!C:C,'Import DV AUCS'!A341)</f>
        <v>0</v>
      </c>
      <c r="I341" s="562">
        <f>SUMIFS('Taxes Withheld'!G:G,'Taxes Withheld'!C:C,'Import DV AUCS'!A341)</f>
        <v>0</v>
      </c>
      <c r="K341" s="562">
        <f t="shared" si="5"/>
        <v>0</v>
      </c>
      <c r="M341" t="s">
        <v>2687</v>
      </c>
      <c r="N341" t="s">
        <v>2683</v>
      </c>
      <c r="O341" t="s">
        <v>2678</v>
      </c>
    </row>
    <row r="342" spans="1:15">
      <c r="A342" t="s">
        <v>3512</v>
      </c>
      <c r="B342" t="s">
        <v>2676</v>
      </c>
      <c r="C342" t="s">
        <v>3513</v>
      </c>
      <c r="D342" s="562">
        <v>6617.76</v>
      </c>
      <c r="E342" t="s">
        <v>1105</v>
      </c>
      <c r="F342" t="s">
        <v>3514</v>
      </c>
      <c r="G342" s="562">
        <v>6617.76</v>
      </c>
      <c r="H342" s="562">
        <f>SUMIFS('Taxes Withheld'!F:F,'Taxes Withheld'!C:C,'Import DV AUCS'!A342)</f>
        <v>0</v>
      </c>
      <c r="I342" s="562">
        <f>SUMIFS('Taxes Withheld'!G:G,'Taxes Withheld'!C:C,'Import DV AUCS'!A342)</f>
        <v>0</v>
      </c>
      <c r="K342" s="562">
        <f t="shared" si="5"/>
        <v>0</v>
      </c>
      <c r="M342" t="s">
        <v>2687</v>
      </c>
      <c r="N342" t="s">
        <v>2683</v>
      </c>
      <c r="O342" t="s">
        <v>2678</v>
      </c>
    </row>
    <row r="343" spans="1:15">
      <c r="A343" t="s">
        <v>3515</v>
      </c>
      <c r="B343" t="s">
        <v>2676</v>
      </c>
      <c r="C343" t="s">
        <v>3516</v>
      </c>
      <c r="D343" s="562">
        <v>2179.06</v>
      </c>
      <c r="E343" t="s">
        <v>3517</v>
      </c>
      <c r="F343" t="s">
        <v>3518</v>
      </c>
      <c r="G343" s="562">
        <v>2179.06</v>
      </c>
      <c r="H343" s="562">
        <f>SUMIFS('Taxes Withheld'!F:F,'Taxes Withheld'!C:C,'Import DV AUCS'!A343)</f>
        <v>0</v>
      </c>
      <c r="I343" s="562">
        <f>SUMIFS('Taxes Withheld'!G:G,'Taxes Withheld'!C:C,'Import DV AUCS'!A343)</f>
        <v>0</v>
      </c>
      <c r="K343" s="562">
        <f t="shared" si="5"/>
        <v>0</v>
      </c>
      <c r="M343" t="s">
        <v>2687</v>
      </c>
      <c r="N343" t="s">
        <v>2683</v>
      </c>
      <c r="O343" t="s">
        <v>2678</v>
      </c>
    </row>
    <row r="344" spans="1:15">
      <c r="A344" t="s">
        <v>3519</v>
      </c>
      <c r="B344" t="s">
        <v>2676</v>
      </c>
      <c r="C344" t="s">
        <v>3520</v>
      </c>
      <c r="D344" s="562">
        <v>3075</v>
      </c>
      <c r="E344" t="s">
        <v>3521</v>
      </c>
      <c r="F344" t="s">
        <v>3522</v>
      </c>
      <c r="G344" s="562">
        <v>3075</v>
      </c>
      <c r="H344" s="562">
        <f>SUMIFS('Taxes Withheld'!F:F,'Taxes Withheld'!C:C,'Import DV AUCS'!A344)</f>
        <v>0</v>
      </c>
      <c r="I344" s="562">
        <f>SUMIFS('Taxes Withheld'!G:G,'Taxes Withheld'!C:C,'Import DV AUCS'!A344)</f>
        <v>0</v>
      </c>
      <c r="K344" s="562">
        <f t="shared" si="5"/>
        <v>0</v>
      </c>
      <c r="M344" t="s">
        <v>2687</v>
      </c>
      <c r="N344" t="s">
        <v>2683</v>
      </c>
      <c r="O344" t="s">
        <v>2678</v>
      </c>
    </row>
    <row r="345" spans="1:15">
      <c r="A345" t="s">
        <v>3523</v>
      </c>
      <c r="B345" t="s">
        <v>2676</v>
      </c>
      <c r="C345" t="s">
        <v>3524</v>
      </c>
      <c r="D345" s="562">
        <v>3048</v>
      </c>
      <c r="E345" t="s">
        <v>2775</v>
      </c>
      <c r="F345" t="s">
        <v>3525</v>
      </c>
      <c r="G345" s="562">
        <v>2884.72</v>
      </c>
      <c r="H345" s="562">
        <f>SUMIFS('Taxes Withheld'!F:F,'Taxes Withheld'!C:C,'Import DV AUCS'!A345)</f>
        <v>136.07</v>
      </c>
      <c r="I345" s="562">
        <f>SUMIFS('Taxes Withheld'!G:G,'Taxes Withheld'!C:C,'Import DV AUCS'!A345)</f>
        <v>27.21</v>
      </c>
      <c r="K345" s="562">
        <f t="shared" si="5"/>
        <v>163.28</v>
      </c>
      <c r="M345" t="s">
        <v>2687</v>
      </c>
      <c r="N345" t="s">
        <v>2683</v>
      </c>
      <c r="O345" t="s">
        <v>2678</v>
      </c>
    </row>
    <row r="346" spans="1:15">
      <c r="A346" t="s">
        <v>3526</v>
      </c>
      <c r="B346" t="s">
        <v>2676</v>
      </c>
      <c r="C346" t="s">
        <v>3527</v>
      </c>
      <c r="D346" s="562">
        <v>1080</v>
      </c>
      <c r="E346" t="s">
        <v>1676</v>
      </c>
      <c r="F346" t="s">
        <v>3528</v>
      </c>
      <c r="G346" s="562">
        <v>1012.5</v>
      </c>
      <c r="H346" s="562">
        <f>SUMIFS('Taxes Withheld'!F:F,'Taxes Withheld'!C:C,'Import DV AUCS'!A346)</f>
        <v>48.21</v>
      </c>
      <c r="I346" s="562">
        <f>SUMIFS('Taxes Withheld'!G:G,'Taxes Withheld'!C:C,'Import DV AUCS'!A346)</f>
        <v>19.29</v>
      </c>
      <c r="K346" s="562">
        <f t="shared" si="5"/>
        <v>67.5</v>
      </c>
      <c r="M346" t="s">
        <v>2687</v>
      </c>
      <c r="N346" t="s">
        <v>2683</v>
      </c>
      <c r="O346" t="s">
        <v>2678</v>
      </c>
    </row>
    <row r="347" spans="1:15">
      <c r="A347" t="s">
        <v>3529</v>
      </c>
      <c r="B347" t="s">
        <v>2676</v>
      </c>
      <c r="C347" t="s">
        <v>3530</v>
      </c>
      <c r="D347" s="562">
        <v>8800</v>
      </c>
      <c r="E347" t="s">
        <v>3531</v>
      </c>
      <c r="F347" t="s">
        <v>3532</v>
      </c>
      <c r="G347" s="562">
        <v>8014.28</v>
      </c>
      <c r="H347" s="562">
        <f>SUMIFS('Taxes Withheld'!F:F,'Taxes Withheld'!C:C,'Import DV AUCS'!A347)</f>
        <v>392.86</v>
      </c>
      <c r="I347" s="562">
        <f>SUMIFS('Taxes Withheld'!G:G,'Taxes Withheld'!C:C,'Import DV AUCS'!A347)</f>
        <v>392.86</v>
      </c>
      <c r="K347" s="562">
        <f t="shared" si="5"/>
        <v>785.72</v>
      </c>
      <c r="M347" t="s">
        <v>2687</v>
      </c>
      <c r="N347" t="s">
        <v>2683</v>
      </c>
      <c r="O347" t="s">
        <v>2678</v>
      </c>
    </row>
    <row r="348" spans="1:15">
      <c r="A348" t="s">
        <v>3533</v>
      </c>
      <c r="B348" t="s">
        <v>2676</v>
      </c>
      <c r="C348" t="s">
        <v>3534</v>
      </c>
      <c r="D348" s="562">
        <v>29318.18</v>
      </c>
      <c r="E348" t="s">
        <v>3001</v>
      </c>
      <c r="F348" t="s">
        <v>3535</v>
      </c>
      <c r="G348" s="562">
        <v>29318.18</v>
      </c>
      <c r="H348" s="562">
        <f>SUMIFS('Taxes Withheld'!F:F,'Taxes Withheld'!C:C,'Import DV AUCS'!A348)</f>
        <v>0</v>
      </c>
      <c r="I348" s="562">
        <f>SUMIFS('Taxes Withheld'!G:G,'Taxes Withheld'!C:C,'Import DV AUCS'!A348)</f>
        <v>0</v>
      </c>
      <c r="K348" s="562">
        <f t="shared" si="5"/>
        <v>0</v>
      </c>
      <c r="M348" t="s">
        <v>2687</v>
      </c>
      <c r="N348" t="s">
        <v>2683</v>
      </c>
      <c r="O348" t="s">
        <v>2678</v>
      </c>
    </row>
    <row r="349" spans="1:15">
      <c r="A349" t="s">
        <v>3536</v>
      </c>
      <c r="B349" t="s">
        <v>2676</v>
      </c>
      <c r="C349" t="s">
        <v>3537</v>
      </c>
      <c r="D349" s="562">
        <v>9565</v>
      </c>
      <c r="E349" t="s">
        <v>3538</v>
      </c>
      <c r="F349" t="s">
        <v>3539</v>
      </c>
      <c r="G349" s="562">
        <v>9052.59</v>
      </c>
      <c r="H349" s="562">
        <f>SUMIFS('Taxes Withheld'!F:F,'Taxes Withheld'!C:C,'Import DV AUCS'!A349)</f>
        <v>427.01</v>
      </c>
      <c r="I349" s="562">
        <f>SUMIFS('Taxes Withheld'!G:G,'Taxes Withheld'!C:C,'Import DV AUCS'!A349)</f>
        <v>85.4</v>
      </c>
      <c r="K349" s="562">
        <f t="shared" si="5"/>
        <v>512.41</v>
      </c>
      <c r="M349" t="s">
        <v>2687</v>
      </c>
      <c r="N349" t="s">
        <v>2683</v>
      </c>
      <c r="O349" t="s">
        <v>2678</v>
      </c>
    </row>
    <row r="350" spans="1:15">
      <c r="A350" t="s">
        <v>3540</v>
      </c>
      <c r="B350" t="s">
        <v>2676</v>
      </c>
      <c r="C350" t="s">
        <v>3541</v>
      </c>
      <c r="D350" s="562">
        <v>1560</v>
      </c>
      <c r="E350" t="s">
        <v>2739</v>
      </c>
      <c r="F350" t="s">
        <v>3539</v>
      </c>
      <c r="G350" s="562">
        <v>1476.43</v>
      </c>
      <c r="H350" s="562">
        <f>SUMIFS('Taxes Withheld'!F:F,'Taxes Withheld'!C:C,'Import DV AUCS'!A350)</f>
        <v>69.64</v>
      </c>
      <c r="I350" s="562">
        <f>SUMIFS('Taxes Withheld'!G:G,'Taxes Withheld'!C:C,'Import DV AUCS'!A350)</f>
        <v>13.93</v>
      </c>
      <c r="K350" s="562">
        <f t="shared" si="5"/>
        <v>83.57</v>
      </c>
      <c r="M350" t="s">
        <v>2687</v>
      </c>
      <c r="N350" t="s">
        <v>2683</v>
      </c>
      <c r="O350" t="s">
        <v>2678</v>
      </c>
    </row>
    <row r="351" spans="1:15">
      <c r="A351" t="s">
        <v>3542</v>
      </c>
      <c r="B351" t="s">
        <v>2676</v>
      </c>
      <c r="C351" t="s">
        <v>3543</v>
      </c>
      <c r="D351" s="562">
        <v>17820</v>
      </c>
      <c r="E351" t="s">
        <v>1684</v>
      </c>
      <c r="F351" t="s">
        <v>3539</v>
      </c>
      <c r="G351" s="562">
        <v>16865.349999999999</v>
      </c>
      <c r="H351" s="562">
        <f>SUMIFS('Taxes Withheld'!F:F,'Taxes Withheld'!C:C,'Import DV AUCS'!A351)</f>
        <v>795.54</v>
      </c>
      <c r="I351" s="562">
        <f>SUMIFS('Taxes Withheld'!G:G,'Taxes Withheld'!C:C,'Import DV AUCS'!A351)</f>
        <v>159.11000000000001</v>
      </c>
      <c r="K351" s="562">
        <f t="shared" si="5"/>
        <v>954.65</v>
      </c>
      <c r="M351" t="s">
        <v>2687</v>
      </c>
      <c r="N351" t="s">
        <v>2683</v>
      </c>
      <c r="O351" t="s">
        <v>2678</v>
      </c>
    </row>
    <row r="352" spans="1:15">
      <c r="A352" t="s">
        <v>3544</v>
      </c>
      <c r="B352" t="s">
        <v>2676</v>
      </c>
      <c r="C352" t="s">
        <v>3545</v>
      </c>
      <c r="D352" s="562">
        <v>11547.23</v>
      </c>
      <c r="E352" t="s">
        <v>3546</v>
      </c>
      <c r="F352" t="s">
        <v>3547</v>
      </c>
      <c r="G352" s="562">
        <v>10825.529999999999</v>
      </c>
      <c r="H352" s="562">
        <f>SUMIFS('Taxes Withheld'!F:F,'Taxes Withheld'!C:C,'Import DV AUCS'!A352)</f>
        <v>515.5</v>
      </c>
      <c r="I352" s="562">
        <f>SUMIFS('Taxes Withheld'!G:G,'Taxes Withheld'!C:C,'Import DV AUCS'!A352)</f>
        <v>206.2</v>
      </c>
      <c r="K352" s="562">
        <f t="shared" si="5"/>
        <v>721.7</v>
      </c>
      <c r="M352" t="s">
        <v>2687</v>
      </c>
      <c r="N352" t="s">
        <v>2683</v>
      </c>
      <c r="O352" t="s">
        <v>2678</v>
      </c>
    </row>
    <row r="353" spans="1:15">
      <c r="A353" t="s">
        <v>3548</v>
      </c>
      <c r="B353" t="s">
        <v>2676</v>
      </c>
      <c r="C353" t="s">
        <v>3549</v>
      </c>
      <c r="D353" s="562">
        <v>9900</v>
      </c>
      <c r="E353" t="s">
        <v>3550</v>
      </c>
      <c r="F353" t="s">
        <v>3551</v>
      </c>
      <c r="G353" s="562">
        <v>9405</v>
      </c>
      <c r="H353" s="562">
        <f>SUMIFS('Taxes Withheld'!F:F,'Taxes Withheld'!C:C,'Import DV AUCS'!A353)</f>
        <v>297</v>
      </c>
      <c r="I353" s="562">
        <f>SUMIFS('Taxes Withheld'!G:G,'Taxes Withheld'!C:C,'Import DV AUCS'!A353)</f>
        <v>198</v>
      </c>
      <c r="K353" s="562">
        <f t="shared" si="5"/>
        <v>495</v>
      </c>
      <c r="M353" t="s">
        <v>2687</v>
      </c>
      <c r="N353" t="s">
        <v>2683</v>
      </c>
      <c r="O353" t="s">
        <v>2678</v>
      </c>
    </row>
    <row r="354" spans="1:15">
      <c r="A354" t="s">
        <v>3552</v>
      </c>
      <c r="B354" t="s">
        <v>2676</v>
      </c>
      <c r="C354" t="s">
        <v>3553</v>
      </c>
      <c r="D354" s="562">
        <v>1840</v>
      </c>
      <c r="E354" t="s">
        <v>2899</v>
      </c>
      <c r="F354" t="s">
        <v>3554</v>
      </c>
      <c r="G354" s="562">
        <v>1840</v>
      </c>
      <c r="H354" s="562">
        <f>SUMIFS('Taxes Withheld'!F:F,'Taxes Withheld'!C:C,'Import DV AUCS'!A354)</f>
        <v>0</v>
      </c>
      <c r="I354" s="562">
        <f>SUMIFS('Taxes Withheld'!G:G,'Taxes Withheld'!C:C,'Import DV AUCS'!A354)</f>
        <v>0</v>
      </c>
      <c r="K354" s="562">
        <f t="shared" si="5"/>
        <v>0</v>
      </c>
      <c r="M354" t="s">
        <v>2687</v>
      </c>
      <c r="N354" t="s">
        <v>2683</v>
      </c>
      <c r="O354" t="s">
        <v>2678</v>
      </c>
    </row>
    <row r="355" spans="1:15">
      <c r="A355" t="s">
        <v>3555</v>
      </c>
      <c r="B355" t="s">
        <v>2676</v>
      </c>
      <c r="C355" t="s">
        <v>3556</v>
      </c>
      <c r="D355" s="562">
        <v>17500</v>
      </c>
      <c r="E355" t="s">
        <v>3557</v>
      </c>
      <c r="F355" t="s">
        <v>3558</v>
      </c>
      <c r="G355" s="562">
        <v>16800</v>
      </c>
      <c r="H355" s="562">
        <f>SUMIFS('Taxes Withheld'!F:F,'Taxes Withheld'!C:C,'Import DV AUCS'!A355)</f>
        <v>525</v>
      </c>
      <c r="I355" s="562">
        <f>SUMIFS('Taxes Withheld'!G:G,'Taxes Withheld'!C:C,'Import DV AUCS'!A355)</f>
        <v>175</v>
      </c>
      <c r="K355" s="562">
        <f t="shared" si="5"/>
        <v>700</v>
      </c>
      <c r="M355" t="s">
        <v>2687</v>
      </c>
      <c r="N355" t="s">
        <v>2683</v>
      </c>
      <c r="O355" t="s">
        <v>2678</v>
      </c>
    </row>
    <row r="356" spans="1:15">
      <c r="A356" t="s">
        <v>3559</v>
      </c>
      <c r="B356" t="s">
        <v>2676</v>
      </c>
      <c r="C356" t="s">
        <v>3560</v>
      </c>
      <c r="D356" s="562">
        <v>1800</v>
      </c>
      <c r="E356" t="s">
        <v>3561</v>
      </c>
      <c r="F356" t="s">
        <v>3562</v>
      </c>
      <c r="G356" s="562">
        <v>1800</v>
      </c>
      <c r="H356" s="562">
        <f>SUMIFS('Taxes Withheld'!F:F,'Taxes Withheld'!C:C,'Import DV AUCS'!A356)</f>
        <v>0</v>
      </c>
      <c r="I356" s="562">
        <f>SUMIFS('Taxes Withheld'!G:G,'Taxes Withheld'!C:C,'Import DV AUCS'!A356)</f>
        <v>0</v>
      </c>
      <c r="K356" s="562">
        <f t="shared" si="5"/>
        <v>0</v>
      </c>
      <c r="M356" t="s">
        <v>2687</v>
      </c>
      <c r="N356" t="s">
        <v>2683</v>
      </c>
      <c r="O356" t="s">
        <v>2678</v>
      </c>
    </row>
    <row r="357" spans="1:15">
      <c r="A357" t="s">
        <v>3563</v>
      </c>
      <c r="B357" t="s">
        <v>2676</v>
      </c>
      <c r="C357" t="s">
        <v>3564</v>
      </c>
      <c r="D357" s="562">
        <v>20626.73</v>
      </c>
      <c r="E357" t="s">
        <v>3565</v>
      </c>
      <c r="F357" t="s">
        <v>3566</v>
      </c>
      <c r="G357" s="562">
        <v>20626.73</v>
      </c>
      <c r="H357" s="562">
        <f>SUMIFS('Taxes Withheld'!F:F,'Taxes Withheld'!C:C,'Import DV AUCS'!A357)</f>
        <v>0</v>
      </c>
      <c r="I357" s="562">
        <f>SUMIFS('Taxes Withheld'!G:G,'Taxes Withheld'!C:C,'Import DV AUCS'!A357)</f>
        <v>0</v>
      </c>
      <c r="K357" s="562">
        <f t="shared" si="5"/>
        <v>0</v>
      </c>
      <c r="M357" t="s">
        <v>2687</v>
      </c>
      <c r="N357" t="s">
        <v>2683</v>
      </c>
      <c r="O357" t="s">
        <v>2678</v>
      </c>
    </row>
    <row r="358" spans="1:15">
      <c r="A358" t="s">
        <v>3567</v>
      </c>
      <c r="B358" t="s">
        <v>2676</v>
      </c>
      <c r="C358" t="s">
        <v>3568</v>
      </c>
      <c r="D358" s="562">
        <v>16308.47</v>
      </c>
      <c r="E358" t="s">
        <v>3569</v>
      </c>
      <c r="F358" t="s">
        <v>3570</v>
      </c>
      <c r="G358" s="562">
        <v>16308.47</v>
      </c>
      <c r="H358" s="562">
        <f>SUMIFS('Taxes Withheld'!F:F,'Taxes Withheld'!C:C,'Import DV AUCS'!A358)</f>
        <v>0</v>
      </c>
      <c r="I358" s="562">
        <f>SUMIFS('Taxes Withheld'!G:G,'Taxes Withheld'!C:C,'Import DV AUCS'!A358)</f>
        <v>0</v>
      </c>
      <c r="K358" s="562">
        <f t="shared" si="5"/>
        <v>0</v>
      </c>
      <c r="M358" t="s">
        <v>2687</v>
      </c>
      <c r="N358" t="s">
        <v>2683</v>
      </c>
      <c r="O358" t="s">
        <v>2678</v>
      </c>
    </row>
    <row r="359" spans="1:15">
      <c r="A359" t="s">
        <v>3571</v>
      </c>
      <c r="B359" t="s">
        <v>2676</v>
      </c>
      <c r="C359" t="s">
        <v>3572</v>
      </c>
      <c r="D359" s="562">
        <v>7200</v>
      </c>
      <c r="E359" t="s">
        <v>3573</v>
      </c>
      <c r="F359" t="s">
        <v>3574</v>
      </c>
      <c r="G359" s="562">
        <v>7200</v>
      </c>
      <c r="H359" s="562">
        <f>SUMIFS('Taxes Withheld'!F:F,'Taxes Withheld'!C:C,'Import DV AUCS'!A359)</f>
        <v>0</v>
      </c>
      <c r="I359" s="562">
        <f>SUMIFS('Taxes Withheld'!G:G,'Taxes Withheld'!C:C,'Import DV AUCS'!A359)</f>
        <v>0</v>
      </c>
      <c r="K359" s="562">
        <f t="shared" si="5"/>
        <v>0</v>
      </c>
      <c r="M359" t="s">
        <v>2687</v>
      </c>
      <c r="N359" t="s">
        <v>2683</v>
      </c>
      <c r="O359" t="s">
        <v>2678</v>
      </c>
    </row>
    <row r="360" spans="1:15">
      <c r="A360" t="s">
        <v>3575</v>
      </c>
      <c r="B360" t="s">
        <v>2676</v>
      </c>
      <c r="C360" t="s">
        <v>3576</v>
      </c>
      <c r="D360" s="562">
        <v>12900</v>
      </c>
      <c r="E360" t="s">
        <v>2746</v>
      </c>
      <c r="F360" t="s">
        <v>3577</v>
      </c>
      <c r="G360" s="562">
        <v>12093.75</v>
      </c>
      <c r="H360" s="562">
        <f>SUMIFS('Taxes Withheld'!F:F,'Taxes Withheld'!C:C,'Import DV AUCS'!A360)</f>
        <v>575.89</v>
      </c>
      <c r="I360" s="562">
        <f>SUMIFS('Taxes Withheld'!G:G,'Taxes Withheld'!C:C,'Import DV AUCS'!A360)</f>
        <v>230.36</v>
      </c>
      <c r="K360" s="562">
        <f t="shared" si="5"/>
        <v>806.25</v>
      </c>
      <c r="M360" t="s">
        <v>2687</v>
      </c>
      <c r="N360" t="s">
        <v>2683</v>
      </c>
      <c r="O360" t="s">
        <v>2678</v>
      </c>
    </row>
    <row r="361" spans="1:15">
      <c r="A361" t="s">
        <v>3578</v>
      </c>
      <c r="B361" t="s">
        <v>2676</v>
      </c>
      <c r="C361" t="s">
        <v>3579</v>
      </c>
      <c r="D361" s="562">
        <v>4950</v>
      </c>
      <c r="E361" t="s">
        <v>2746</v>
      </c>
      <c r="F361" t="s">
        <v>3580</v>
      </c>
      <c r="G361" s="562">
        <v>4640.63</v>
      </c>
      <c r="H361" s="562">
        <f>SUMIFS('Taxes Withheld'!F:F,'Taxes Withheld'!C:C,'Import DV AUCS'!A361)</f>
        <v>220.98</v>
      </c>
      <c r="I361" s="562">
        <f>SUMIFS('Taxes Withheld'!G:G,'Taxes Withheld'!C:C,'Import DV AUCS'!A361)</f>
        <v>88.39</v>
      </c>
      <c r="K361" s="562">
        <f t="shared" si="5"/>
        <v>309.37</v>
      </c>
      <c r="M361" t="s">
        <v>2687</v>
      </c>
      <c r="N361" t="s">
        <v>2683</v>
      </c>
      <c r="O361" t="s">
        <v>2678</v>
      </c>
    </row>
    <row r="362" spans="1:15">
      <c r="A362" t="s">
        <v>3581</v>
      </c>
      <c r="B362" t="s">
        <v>2676</v>
      </c>
      <c r="C362" t="s">
        <v>3582</v>
      </c>
      <c r="D362" s="562">
        <v>7830</v>
      </c>
      <c r="E362" t="s">
        <v>1684</v>
      </c>
      <c r="F362" t="s">
        <v>3583</v>
      </c>
      <c r="G362" s="562">
        <v>7410.54</v>
      </c>
      <c r="H362" s="562">
        <f>SUMIFS('Taxes Withheld'!F:F,'Taxes Withheld'!C:C,'Import DV AUCS'!A362)</f>
        <v>349.55</v>
      </c>
      <c r="I362" s="562">
        <f>SUMIFS('Taxes Withheld'!G:G,'Taxes Withheld'!C:C,'Import DV AUCS'!A362)</f>
        <v>69.91</v>
      </c>
      <c r="K362" s="562">
        <f t="shared" si="5"/>
        <v>419.46000000000004</v>
      </c>
      <c r="M362" t="s">
        <v>2687</v>
      </c>
      <c r="N362" t="s">
        <v>2683</v>
      </c>
      <c r="O362" t="s">
        <v>2678</v>
      </c>
    </row>
    <row r="363" spans="1:15">
      <c r="A363" t="s">
        <v>3584</v>
      </c>
      <c r="B363" t="s">
        <v>2676</v>
      </c>
      <c r="C363" t="s">
        <v>3585</v>
      </c>
      <c r="D363" s="562">
        <v>27000</v>
      </c>
      <c r="E363" t="s">
        <v>3586</v>
      </c>
      <c r="F363" t="s">
        <v>3587</v>
      </c>
      <c r="G363" s="562">
        <v>25553.57</v>
      </c>
      <c r="H363" s="562">
        <f>SUMIFS('Taxes Withheld'!F:F,'Taxes Withheld'!C:C,'Import DV AUCS'!A363)</f>
        <v>1205.3599999999999</v>
      </c>
      <c r="I363" s="562">
        <f>SUMIFS('Taxes Withheld'!G:G,'Taxes Withheld'!C:C,'Import DV AUCS'!A363)</f>
        <v>241.07</v>
      </c>
      <c r="K363" s="562">
        <f t="shared" si="5"/>
        <v>1446.4299999999998</v>
      </c>
      <c r="M363" t="s">
        <v>2687</v>
      </c>
      <c r="N363" t="s">
        <v>2683</v>
      </c>
      <c r="O363" t="s">
        <v>2678</v>
      </c>
    </row>
    <row r="364" spans="1:15">
      <c r="A364" t="s">
        <v>3588</v>
      </c>
      <c r="B364" t="s">
        <v>2676</v>
      </c>
      <c r="C364" t="s">
        <v>2666</v>
      </c>
      <c r="D364" s="562">
        <v>0</v>
      </c>
      <c r="E364" t="s">
        <v>2949</v>
      </c>
      <c r="F364" t="s">
        <v>3589</v>
      </c>
      <c r="G364" s="562">
        <v>180829.47</v>
      </c>
      <c r="H364" s="562">
        <f>SUMIFS('Taxes Withheld'!F:F,'Taxes Withheld'!C:C,'Import DV AUCS'!A364)</f>
        <v>0</v>
      </c>
      <c r="I364" s="562">
        <f>SUMIFS('Taxes Withheld'!G:G,'Taxes Withheld'!C:C,'Import DV AUCS'!A364)</f>
        <v>0</v>
      </c>
      <c r="K364" s="562">
        <f t="shared" si="5"/>
        <v>0</v>
      </c>
      <c r="M364" t="s">
        <v>2662</v>
      </c>
      <c r="N364" t="s">
        <v>2053</v>
      </c>
      <c r="O364" t="s">
        <v>2680</v>
      </c>
    </row>
    <row r="365" spans="1:15">
      <c r="A365" t="s">
        <v>3590</v>
      </c>
      <c r="B365" t="s">
        <v>2676</v>
      </c>
      <c r="C365" t="s">
        <v>3591</v>
      </c>
      <c r="D365" s="562">
        <v>3400</v>
      </c>
      <c r="E365" t="s">
        <v>3592</v>
      </c>
      <c r="F365" t="s">
        <v>3593</v>
      </c>
      <c r="G365" s="562">
        <v>3187.5</v>
      </c>
      <c r="H365" s="562">
        <f>SUMIFS('Taxes Withheld'!F:F,'Taxes Withheld'!C:C,'Import DV AUCS'!A365)</f>
        <v>151.79</v>
      </c>
      <c r="I365" s="562">
        <f>SUMIFS('Taxes Withheld'!G:G,'Taxes Withheld'!C:C,'Import DV AUCS'!A365)</f>
        <v>60.71</v>
      </c>
      <c r="K365" s="562">
        <f t="shared" si="5"/>
        <v>212.5</v>
      </c>
      <c r="M365" t="s">
        <v>2687</v>
      </c>
      <c r="N365" t="s">
        <v>2683</v>
      </c>
      <c r="O365" t="s">
        <v>2678</v>
      </c>
    </row>
    <row r="366" spans="1:15">
      <c r="A366" t="s">
        <v>3594</v>
      </c>
      <c r="B366" t="s">
        <v>2676</v>
      </c>
      <c r="C366" t="s">
        <v>2666</v>
      </c>
      <c r="D366" s="562">
        <v>0</v>
      </c>
      <c r="E366" t="s">
        <v>3195</v>
      </c>
      <c r="F366" t="s">
        <v>3595</v>
      </c>
      <c r="G366" s="562">
        <v>220</v>
      </c>
      <c r="H366" s="562">
        <f>SUMIFS('Taxes Withheld'!F:F,'Taxes Withheld'!C:C,'Import DV AUCS'!A366)</f>
        <v>0</v>
      </c>
      <c r="I366" s="562">
        <f>SUMIFS('Taxes Withheld'!G:G,'Taxes Withheld'!C:C,'Import DV AUCS'!A366)</f>
        <v>0</v>
      </c>
      <c r="K366" s="562">
        <f t="shared" si="5"/>
        <v>0</v>
      </c>
      <c r="M366" t="s">
        <v>2662</v>
      </c>
      <c r="N366" t="s">
        <v>2053</v>
      </c>
      <c r="O366" t="s">
        <v>2680</v>
      </c>
    </row>
    <row r="367" spans="1:15">
      <c r="A367" t="s">
        <v>3596</v>
      </c>
      <c r="B367" t="s">
        <v>2676</v>
      </c>
      <c r="C367" t="s">
        <v>3597</v>
      </c>
      <c r="D367" s="562">
        <v>5600</v>
      </c>
      <c r="E367" t="s">
        <v>3598</v>
      </c>
      <c r="F367" t="s">
        <v>3599</v>
      </c>
      <c r="G367" s="562">
        <v>5250</v>
      </c>
      <c r="H367" s="562">
        <f>SUMIFS('Taxes Withheld'!F:F,'Taxes Withheld'!C:C,'Import DV AUCS'!A367)</f>
        <v>250</v>
      </c>
      <c r="I367" s="562">
        <f>SUMIFS('Taxes Withheld'!G:G,'Taxes Withheld'!C:C,'Import DV AUCS'!A367)</f>
        <v>100</v>
      </c>
      <c r="K367" s="562">
        <f t="shared" si="5"/>
        <v>350</v>
      </c>
      <c r="M367" t="s">
        <v>2687</v>
      </c>
      <c r="N367" t="s">
        <v>2683</v>
      </c>
      <c r="O367" t="s">
        <v>2678</v>
      </c>
    </row>
    <row r="368" spans="1:15">
      <c r="A368" t="s">
        <v>3600</v>
      </c>
      <c r="B368" t="s">
        <v>2676</v>
      </c>
      <c r="C368" t="s">
        <v>3601</v>
      </c>
      <c r="D368" s="562">
        <v>22882.230000000003</v>
      </c>
      <c r="E368" t="s">
        <v>2811</v>
      </c>
      <c r="F368" t="s">
        <v>3602</v>
      </c>
      <c r="G368" s="562">
        <v>21452.09</v>
      </c>
      <c r="H368" s="562">
        <f>SUMIFS('Taxes Withheld'!F:F,'Taxes Withheld'!C:C,'Import DV AUCS'!A368)</f>
        <v>1021.53</v>
      </c>
      <c r="I368" s="562">
        <f>SUMIFS('Taxes Withheld'!G:G,'Taxes Withheld'!C:C,'Import DV AUCS'!A368)</f>
        <v>408.61</v>
      </c>
      <c r="K368" s="562">
        <f t="shared" si="5"/>
        <v>1430.1399999999999</v>
      </c>
      <c r="M368" t="s">
        <v>2687</v>
      </c>
      <c r="N368" t="s">
        <v>2683</v>
      </c>
      <c r="O368" t="s">
        <v>2678</v>
      </c>
    </row>
    <row r="369" spans="1:15">
      <c r="A369" t="s">
        <v>3603</v>
      </c>
      <c r="B369" t="s">
        <v>2676</v>
      </c>
      <c r="C369" t="s">
        <v>3604</v>
      </c>
      <c r="D369" s="562">
        <v>2275</v>
      </c>
      <c r="E369" t="s">
        <v>3605</v>
      </c>
      <c r="F369" t="s">
        <v>3606</v>
      </c>
      <c r="G369" s="562">
        <v>2153.13</v>
      </c>
      <c r="H369" s="562">
        <f>SUMIFS('Taxes Withheld'!F:F,'Taxes Withheld'!C:C,'Import DV AUCS'!A369)</f>
        <v>101.56</v>
      </c>
      <c r="I369" s="562">
        <f>SUMIFS('Taxes Withheld'!G:G,'Taxes Withheld'!C:C,'Import DV AUCS'!A369)</f>
        <v>20.309999999999999</v>
      </c>
      <c r="K369" s="562">
        <f t="shared" si="5"/>
        <v>121.87</v>
      </c>
      <c r="M369" t="s">
        <v>2687</v>
      </c>
      <c r="N369" t="s">
        <v>2683</v>
      </c>
      <c r="O369" t="s">
        <v>2678</v>
      </c>
    </row>
    <row r="370" spans="1:15">
      <c r="A370" t="s">
        <v>3607</v>
      </c>
      <c r="B370" t="s">
        <v>2676</v>
      </c>
      <c r="C370" t="s">
        <v>3608</v>
      </c>
      <c r="D370" s="562">
        <v>6323</v>
      </c>
      <c r="E370" t="s">
        <v>3609</v>
      </c>
      <c r="F370" t="s">
        <v>3610</v>
      </c>
      <c r="G370" s="562">
        <v>5927.81</v>
      </c>
      <c r="H370" s="562">
        <f>SUMIFS('Taxes Withheld'!F:F,'Taxes Withheld'!C:C,'Import DV AUCS'!A370)</f>
        <v>282.27999999999997</v>
      </c>
      <c r="I370" s="562">
        <f>SUMIFS('Taxes Withheld'!G:G,'Taxes Withheld'!C:C,'Import DV AUCS'!A370)</f>
        <v>112.91</v>
      </c>
      <c r="K370" s="562">
        <f t="shared" si="5"/>
        <v>395.18999999999994</v>
      </c>
      <c r="M370" t="s">
        <v>2687</v>
      </c>
      <c r="N370" t="s">
        <v>2683</v>
      </c>
      <c r="O370" t="s">
        <v>2678</v>
      </c>
    </row>
    <row r="371" spans="1:15">
      <c r="A371" t="s">
        <v>3611</v>
      </c>
      <c r="B371" t="s">
        <v>2676</v>
      </c>
      <c r="C371" t="s">
        <v>3612</v>
      </c>
      <c r="D371" s="562">
        <v>1242</v>
      </c>
      <c r="E371" t="s">
        <v>3613</v>
      </c>
      <c r="F371" t="s">
        <v>3614</v>
      </c>
      <c r="G371" s="562">
        <v>1192.32</v>
      </c>
      <c r="H371" s="562">
        <f>SUMIFS('Taxes Withheld'!F:F,'Taxes Withheld'!C:C,'Import DV AUCS'!A371)</f>
        <v>37.26</v>
      </c>
      <c r="I371" s="562">
        <f>SUMIFS('Taxes Withheld'!G:G,'Taxes Withheld'!C:C,'Import DV AUCS'!A371)</f>
        <v>12.42</v>
      </c>
      <c r="K371" s="562">
        <f t="shared" si="5"/>
        <v>49.68</v>
      </c>
      <c r="M371" t="s">
        <v>2687</v>
      </c>
      <c r="N371" t="s">
        <v>2683</v>
      </c>
      <c r="O371" t="s">
        <v>2678</v>
      </c>
    </row>
    <row r="372" spans="1:15">
      <c r="A372" t="s">
        <v>3615</v>
      </c>
      <c r="B372" t="s">
        <v>2676</v>
      </c>
      <c r="C372" t="s">
        <v>3616</v>
      </c>
      <c r="D372" s="562">
        <v>170501.47</v>
      </c>
      <c r="E372" t="s">
        <v>2844</v>
      </c>
      <c r="F372" t="s">
        <v>3617</v>
      </c>
      <c r="G372" s="562">
        <v>155278.13</v>
      </c>
      <c r="H372" s="562">
        <f>SUMIFS('Taxes Withheld'!F:F,'Taxes Withheld'!C:C,'Import DV AUCS'!A372)</f>
        <v>7611.67</v>
      </c>
      <c r="I372" s="562">
        <f>SUMIFS('Taxes Withheld'!G:G,'Taxes Withheld'!C:C,'Import DV AUCS'!A372)</f>
        <v>7611.67</v>
      </c>
      <c r="K372" s="562">
        <f t="shared" si="5"/>
        <v>15223.34</v>
      </c>
      <c r="M372" t="s">
        <v>2687</v>
      </c>
      <c r="N372" t="s">
        <v>2683</v>
      </c>
      <c r="O372" t="s">
        <v>2678</v>
      </c>
    </row>
    <row r="373" spans="1:15">
      <c r="A373" t="s">
        <v>3618</v>
      </c>
      <c r="B373" t="s">
        <v>2676</v>
      </c>
      <c r="C373" t="s">
        <v>3619</v>
      </c>
      <c r="D373" s="562">
        <v>2049964.0999999999</v>
      </c>
      <c r="E373" t="s">
        <v>1704</v>
      </c>
      <c r="F373" t="s">
        <v>3620</v>
      </c>
      <c r="G373" s="562">
        <v>375596.07000000018</v>
      </c>
      <c r="H373" s="562">
        <f>SUMIFS('Taxes Withheld'!F:F,'Taxes Withheld'!C:C,'Import DV AUCS'!A373)</f>
        <v>0</v>
      </c>
      <c r="I373" s="562">
        <f>SUMIFS('Taxes Withheld'!G:G,'Taxes Withheld'!C:C,'Import DV AUCS'!A373)</f>
        <v>0</v>
      </c>
      <c r="K373" s="562">
        <f t="shared" si="5"/>
        <v>0</v>
      </c>
      <c r="M373" t="s">
        <v>2687</v>
      </c>
      <c r="N373" t="s">
        <v>2683</v>
      </c>
      <c r="O373" t="s">
        <v>2678</v>
      </c>
    </row>
    <row r="374" spans="1:15">
      <c r="A374" t="s">
        <v>3621</v>
      </c>
      <c r="B374" t="s">
        <v>2676</v>
      </c>
      <c r="C374" t="s">
        <v>3622</v>
      </c>
      <c r="D374" s="562">
        <v>429402.37</v>
      </c>
      <c r="E374" t="s">
        <v>1706</v>
      </c>
      <c r="F374" t="s">
        <v>3620</v>
      </c>
      <c r="G374" s="562">
        <v>102762.59999999998</v>
      </c>
      <c r="H374" s="562">
        <f>SUMIFS('Taxes Withheld'!F:F,'Taxes Withheld'!C:C,'Import DV AUCS'!A374)</f>
        <v>0</v>
      </c>
      <c r="I374" s="562">
        <f>SUMIFS('Taxes Withheld'!G:G,'Taxes Withheld'!C:C,'Import DV AUCS'!A374)</f>
        <v>0</v>
      </c>
      <c r="K374" s="562">
        <f t="shared" si="5"/>
        <v>0</v>
      </c>
      <c r="M374" t="s">
        <v>2687</v>
      </c>
      <c r="N374" t="s">
        <v>2683</v>
      </c>
      <c r="O374" t="s">
        <v>2678</v>
      </c>
    </row>
    <row r="375" spans="1:15">
      <c r="A375" t="s">
        <v>3623</v>
      </c>
      <c r="B375" t="s">
        <v>2676</v>
      </c>
      <c r="C375" t="s">
        <v>3624</v>
      </c>
      <c r="D375" s="562">
        <v>688368.09</v>
      </c>
      <c r="E375" t="s">
        <v>1707</v>
      </c>
      <c r="F375" t="s">
        <v>3620</v>
      </c>
      <c r="G375" s="562">
        <v>146482.77999999994</v>
      </c>
      <c r="H375" s="562">
        <f>SUMIFS('Taxes Withheld'!F:F,'Taxes Withheld'!C:C,'Import DV AUCS'!A375)</f>
        <v>0</v>
      </c>
      <c r="I375" s="562">
        <f>SUMIFS('Taxes Withheld'!G:G,'Taxes Withheld'!C:C,'Import DV AUCS'!A375)</f>
        <v>0</v>
      </c>
      <c r="K375" s="562">
        <f t="shared" si="5"/>
        <v>0</v>
      </c>
      <c r="M375" t="s">
        <v>2687</v>
      </c>
      <c r="N375" t="s">
        <v>2683</v>
      </c>
      <c r="O375" t="s">
        <v>2678</v>
      </c>
    </row>
    <row r="376" spans="1:15">
      <c r="A376" t="s">
        <v>3625</v>
      </c>
      <c r="B376" t="s">
        <v>2676</v>
      </c>
      <c r="C376" t="s">
        <v>3626</v>
      </c>
      <c r="D376" s="562">
        <v>389716.8</v>
      </c>
      <c r="E376" t="s">
        <v>1708</v>
      </c>
      <c r="F376" t="s">
        <v>3620</v>
      </c>
      <c r="G376" s="562">
        <v>93042.809999999969</v>
      </c>
      <c r="H376" s="562">
        <f>SUMIFS('Taxes Withheld'!F:F,'Taxes Withheld'!C:C,'Import DV AUCS'!A376)</f>
        <v>0</v>
      </c>
      <c r="I376" s="562">
        <f>SUMIFS('Taxes Withheld'!G:G,'Taxes Withheld'!C:C,'Import DV AUCS'!A376)</f>
        <v>0</v>
      </c>
      <c r="K376" s="562">
        <f t="shared" si="5"/>
        <v>0</v>
      </c>
      <c r="M376" t="s">
        <v>2687</v>
      </c>
      <c r="N376" t="s">
        <v>2683</v>
      </c>
      <c r="O376" t="s">
        <v>2678</v>
      </c>
    </row>
    <row r="377" spans="1:15">
      <c r="A377" t="s">
        <v>3627</v>
      </c>
      <c r="B377" t="s">
        <v>2676</v>
      </c>
      <c r="C377" t="s">
        <v>3628</v>
      </c>
      <c r="D377" s="562">
        <v>40307.629999999997</v>
      </c>
      <c r="E377" t="s">
        <v>1757</v>
      </c>
      <c r="F377" t="s">
        <v>3629</v>
      </c>
      <c r="G377" s="562">
        <v>14239.179999999995</v>
      </c>
      <c r="H377" s="562">
        <f>SUMIFS('Taxes Withheld'!F:F,'Taxes Withheld'!C:C,'Import DV AUCS'!A377)</f>
        <v>0</v>
      </c>
      <c r="I377" s="562">
        <f>SUMIFS('Taxes Withheld'!G:G,'Taxes Withheld'!C:C,'Import DV AUCS'!A377)</f>
        <v>0</v>
      </c>
      <c r="K377" s="562">
        <f t="shared" si="5"/>
        <v>0</v>
      </c>
      <c r="M377" t="s">
        <v>2687</v>
      </c>
      <c r="N377" t="s">
        <v>2683</v>
      </c>
      <c r="O377" t="s">
        <v>2678</v>
      </c>
    </row>
    <row r="378" spans="1:15">
      <c r="A378" t="s">
        <v>3630</v>
      </c>
      <c r="B378" t="s">
        <v>2676</v>
      </c>
      <c r="C378" t="s">
        <v>3631</v>
      </c>
      <c r="D378" s="562">
        <v>51777.94</v>
      </c>
      <c r="E378" t="s">
        <v>3195</v>
      </c>
      <c r="F378" t="s">
        <v>3629</v>
      </c>
      <c r="G378" s="562">
        <v>14057.010000000002</v>
      </c>
      <c r="H378" s="562">
        <f>SUMIFS('Taxes Withheld'!F:F,'Taxes Withheld'!C:C,'Import DV AUCS'!A378)</f>
        <v>0</v>
      </c>
      <c r="I378" s="562">
        <f>SUMIFS('Taxes Withheld'!G:G,'Taxes Withheld'!C:C,'Import DV AUCS'!A378)</f>
        <v>0</v>
      </c>
      <c r="K378" s="562">
        <f t="shared" si="5"/>
        <v>0</v>
      </c>
      <c r="M378" t="s">
        <v>2687</v>
      </c>
      <c r="N378" t="s">
        <v>2683</v>
      </c>
      <c r="O378" t="s">
        <v>2678</v>
      </c>
    </row>
    <row r="379" spans="1:15">
      <c r="A379" t="s">
        <v>3632</v>
      </c>
      <c r="B379" t="s">
        <v>2676</v>
      </c>
      <c r="C379" t="s">
        <v>3633</v>
      </c>
      <c r="D379" s="562">
        <v>92085.57</v>
      </c>
      <c r="E379" t="s">
        <v>3634</v>
      </c>
      <c r="F379" t="s">
        <v>3629</v>
      </c>
      <c r="G379" s="562">
        <v>29322.880000000012</v>
      </c>
      <c r="H379" s="562">
        <f>SUMIFS('Taxes Withheld'!F:F,'Taxes Withheld'!C:C,'Import DV AUCS'!A379)</f>
        <v>0</v>
      </c>
      <c r="I379" s="562">
        <f>SUMIFS('Taxes Withheld'!G:G,'Taxes Withheld'!C:C,'Import DV AUCS'!A379)</f>
        <v>0</v>
      </c>
      <c r="K379" s="562">
        <f t="shared" si="5"/>
        <v>0</v>
      </c>
      <c r="M379" t="s">
        <v>2687</v>
      </c>
      <c r="N379" t="s">
        <v>2683</v>
      </c>
      <c r="O379" t="s">
        <v>2678</v>
      </c>
    </row>
    <row r="380" spans="1:15">
      <c r="A380" t="s">
        <v>3635</v>
      </c>
      <c r="B380" t="s">
        <v>2676</v>
      </c>
      <c r="C380" t="s">
        <v>3636</v>
      </c>
      <c r="D380" s="562">
        <v>40307.629999999997</v>
      </c>
      <c r="E380" t="s">
        <v>2962</v>
      </c>
      <c r="F380" t="s">
        <v>3629</v>
      </c>
      <c r="G380" s="562">
        <v>14929.189999999997</v>
      </c>
      <c r="H380" s="562">
        <f>SUMIFS('Taxes Withheld'!F:F,'Taxes Withheld'!C:C,'Import DV AUCS'!A380)</f>
        <v>0</v>
      </c>
      <c r="I380" s="562">
        <f>SUMIFS('Taxes Withheld'!G:G,'Taxes Withheld'!C:C,'Import DV AUCS'!A380)</f>
        <v>0</v>
      </c>
      <c r="K380" s="562">
        <f t="shared" si="5"/>
        <v>0</v>
      </c>
      <c r="M380" t="s">
        <v>2687</v>
      </c>
      <c r="N380" t="s">
        <v>2683</v>
      </c>
      <c r="O380" t="s">
        <v>2678</v>
      </c>
    </row>
    <row r="381" spans="1:15">
      <c r="A381" t="s">
        <v>3637</v>
      </c>
      <c r="B381" t="s">
        <v>2676</v>
      </c>
      <c r="C381" t="s">
        <v>3638</v>
      </c>
      <c r="D381" s="562">
        <v>29300.399999999998</v>
      </c>
      <c r="E381" t="s">
        <v>3213</v>
      </c>
      <c r="F381" t="s">
        <v>3639</v>
      </c>
      <c r="G381" s="562">
        <v>9059.9600000000028</v>
      </c>
      <c r="H381" s="562">
        <f>SUMIFS('Taxes Withheld'!F:F,'Taxes Withheld'!C:C,'Import DV AUCS'!A381)</f>
        <v>0</v>
      </c>
      <c r="I381" s="562">
        <f>SUMIFS('Taxes Withheld'!G:G,'Taxes Withheld'!C:C,'Import DV AUCS'!A381)</f>
        <v>0</v>
      </c>
      <c r="K381" s="562">
        <f t="shared" si="5"/>
        <v>0</v>
      </c>
      <c r="M381" t="s">
        <v>2687</v>
      </c>
      <c r="N381" t="s">
        <v>2683</v>
      </c>
      <c r="O381" t="s">
        <v>2678</v>
      </c>
    </row>
    <row r="382" spans="1:15">
      <c r="A382" t="s">
        <v>3640</v>
      </c>
      <c r="B382" t="s">
        <v>2676</v>
      </c>
      <c r="C382" t="s">
        <v>3641</v>
      </c>
      <c r="D382" s="562">
        <v>29300.399999999998</v>
      </c>
      <c r="E382" t="s">
        <v>3217</v>
      </c>
      <c r="F382" t="s">
        <v>3639</v>
      </c>
      <c r="G382" s="562">
        <v>11559.960000000003</v>
      </c>
      <c r="H382" s="562">
        <f>SUMIFS('Taxes Withheld'!F:F,'Taxes Withheld'!C:C,'Import DV AUCS'!A382)</f>
        <v>0</v>
      </c>
      <c r="I382" s="562">
        <f>SUMIFS('Taxes Withheld'!G:G,'Taxes Withheld'!C:C,'Import DV AUCS'!A382)</f>
        <v>0</v>
      </c>
      <c r="K382" s="562">
        <f t="shared" si="5"/>
        <v>0</v>
      </c>
      <c r="M382" t="s">
        <v>2687</v>
      </c>
      <c r="N382" t="s">
        <v>2683</v>
      </c>
      <c r="O382" t="s">
        <v>2678</v>
      </c>
    </row>
    <row r="383" spans="1:15">
      <c r="A383" t="s">
        <v>3642</v>
      </c>
      <c r="B383" t="s">
        <v>2676</v>
      </c>
      <c r="C383" t="s">
        <v>3643</v>
      </c>
      <c r="D383" s="562">
        <v>29300.399999999998</v>
      </c>
      <c r="E383" t="s">
        <v>3226</v>
      </c>
      <c r="F383" t="s">
        <v>3639</v>
      </c>
      <c r="G383" s="562">
        <v>11559.960000000003</v>
      </c>
      <c r="H383" s="562">
        <f>SUMIFS('Taxes Withheld'!F:F,'Taxes Withheld'!C:C,'Import DV AUCS'!A383)</f>
        <v>0</v>
      </c>
      <c r="I383" s="562">
        <f>SUMIFS('Taxes Withheld'!G:G,'Taxes Withheld'!C:C,'Import DV AUCS'!A383)</f>
        <v>0</v>
      </c>
      <c r="K383" s="562">
        <f t="shared" si="5"/>
        <v>0</v>
      </c>
      <c r="M383" t="s">
        <v>2687</v>
      </c>
      <c r="N383" t="s">
        <v>2683</v>
      </c>
      <c r="O383" t="s">
        <v>2678</v>
      </c>
    </row>
    <row r="384" spans="1:15">
      <c r="A384" t="s">
        <v>3644</v>
      </c>
      <c r="B384" t="s">
        <v>2676</v>
      </c>
      <c r="C384" t="s">
        <v>3645</v>
      </c>
      <c r="D384" s="562">
        <v>29300.399999999998</v>
      </c>
      <c r="E384" t="s">
        <v>3646</v>
      </c>
      <c r="F384" t="s">
        <v>3647</v>
      </c>
      <c r="G384" s="562">
        <v>22949.920000000002</v>
      </c>
      <c r="H384" s="562">
        <f>SUMIFS('Taxes Withheld'!F:F,'Taxes Withheld'!C:C,'Import DV AUCS'!A384)</f>
        <v>0</v>
      </c>
      <c r="I384" s="562">
        <f>SUMIFS('Taxes Withheld'!G:G,'Taxes Withheld'!C:C,'Import DV AUCS'!A384)</f>
        <v>0</v>
      </c>
      <c r="K384" s="562">
        <f t="shared" si="5"/>
        <v>0</v>
      </c>
      <c r="M384" t="s">
        <v>2687</v>
      </c>
      <c r="N384" t="s">
        <v>2683</v>
      </c>
      <c r="O384" t="s">
        <v>2678</v>
      </c>
    </row>
    <row r="385" spans="1:15">
      <c r="A385" t="s">
        <v>3648</v>
      </c>
      <c r="B385" t="s">
        <v>2676</v>
      </c>
      <c r="C385" t="s">
        <v>3649</v>
      </c>
      <c r="D385" s="562">
        <v>29300.399999999998</v>
      </c>
      <c r="E385" t="s">
        <v>3223</v>
      </c>
      <c r="F385" t="s">
        <v>3639</v>
      </c>
      <c r="G385" s="562">
        <v>11559.960000000003</v>
      </c>
      <c r="H385" s="562">
        <f>SUMIFS('Taxes Withheld'!F:F,'Taxes Withheld'!C:C,'Import DV AUCS'!A385)</f>
        <v>0</v>
      </c>
      <c r="I385" s="562">
        <f>SUMIFS('Taxes Withheld'!G:G,'Taxes Withheld'!C:C,'Import DV AUCS'!A385)</f>
        <v>0</v>
      </c>
      <c r="K385" s="562">
        <f t="shared" si="5"/>
        <v>0</v>
      </c>
      <c r="M385" t="s">
        <v>2687</v>
      </c>
      <c r="N385" t="s">
        <v>2683</v>
      </c>
      <c r="O385" t="s">
        <v>2678</v>
      </c>
    </row>
    <row r="386" spans="1:15">
      <c r="A386" t="s">
        <v>3650</v>
      </c>
      <c r="B386" t="s">
        <v>2676</v>
      </c>
      <c r="C386" t="s">
        <v>3651</v>
      </c>
      <c r="D386" s="562">
        <v>29300.399999999998</v>
      </c>
      <c r="E386" t="s">
        <v>3646</v>
      </c>
      <c r="F386" t="s">
        <v>3639</v>
      </c>
      <c r="G386" s="562">
        <v>11559.960000000003</v>
      </c>
      <c r="H386" s="562">
        <f>SUMIFS('Taxes Withheld'!F:F,'Taxes Withheld'!C:C,'Import DV AUCS'!A386)</f>
        <v>0</v>
      </c>
      <c r="I386" s="562">
        <f>SUMIFS('Taxes Withheld'!G:G,'Taxes Withheld'!C:C,'Import DV AUCS'!A386)</f>
        <v>0</v>
      </c>
      <c r="K386" s="562">
        <f t="shared" si="5"/>
        <v>0</v>
      </c>
      <c r="M386" t="s">
        <v>2687</v>
      </c>
      <c r="N386" t="s">
        <v>2683</v>
      </c>
      <c r="O386" t="s">
        <v>2678</v>
      </c>
    </row>
    <row r="387" spans="1:15">
      <c r="A387" t="s">
        <v>3652</v>
      </c>
      <c r="B387" t="s">
        <v>2676</v>
      </c>
      <c r="C387" t="s">
        <v>3653</v>
      </c>
      <c r="D387" s="562">
        <v>470812.07</v>
      </c>
      <c r="E387" t="s">
        <v>3654</v>
      </c>
      <c r="F387" t="s">
        <v>3620</v>
      </c>
      <c r="G387" s="562">
        <v>82889.609999999986</v>
      </c>
      <c r="H387" s="562">
        <f>SUMIFS('Taxes Withheld'!F:F,'Taxes Withheld'!C:C,'Import DV AUCS'!A387)</f>
        <v>0</v>
      </c>
      <c r="I387" s="562">
        <f>SUMIFS('Taxes Withheld'!G:G,'Taxes Withheld'!C:C,'Import DV AUCS'!A387)</f>
        <v>0</v>
      </c>
      <c r="K387" s="562">
        <f t="shared" si="5"/>
        <v>0</v>
      </c>
      <c r="M387" t="s">
        <v>2687</v>
      </c>
      <c r="N387" t="s">
        <v>2683</v>
      </c>
      <c r="O387" t="s">
        <v>2678</v>
      </c>
    </row>
    <row r="388" spans="1:15">
      <c r="A388" t="s">
        <v>3655</v>
      </c>
      <c r="B388" t="s">
        <v>2676</v>
      </c>
      <c r="C388" t="s">
        <v>3656</v>
      </c>
      <c r="D388" s="562">
        <v>40307.629999999997</v>
      </c>
      <c r="E388" t="s">
        <v>1756</v>
      </c>
      <c r="F388" t="s">
        <v>3629</v>
      </c>
      <c r="G388" s="562">
        <v>8884.1799999999948</v>
      </c>
      <c r="H388" s="562">
        <f>SUMIFS('Taxes Withheld'!F:F,'Taxes Withheld'!C:C,'Import DV AUCS'!A388)</f>
        <v>0</v>
      </c>
      <c r="I388" s="562">
        <f>SUMIFS('Taxes Withheld'!G:G,'Taxes Withheld'!C:C,'Import DV AUCS'!A388)</f>
        <v>0</v>
      </c>
      <c r="K388" s="562">
        <f t="shared" ref="K388:K451" si="6">H388+I388+J388</f>
        <v>0</v>
      </c>
      <c r="M388" t="s">
        <v>2687</v>
      </c>
      <c r="N388" t="s">
        <v>2683</v>
      </c>
      <c r="O388" t="s">
        <v>2678</v>
      </c>
    </row>
    <row r="389" spans="1:15">
      <c r="A389" t="s">
        <v>3657</v>
      </c>
      <c r="B389" t="s">
        <v>2676</v>
      </c>
      <c r="C389" t="s">
        <v>3658</v>
      </c>
      <c r="D389" s="562">
        <v>39600</v>
      </c>
      <c r="E389" t="s">
        <v>3550</v>
      </c>
      <c r="F389" t="s">
        <v>3659</v>
      </c>
      <c r="G389" s="562">
        <v>37620</v>
      </c>
      <c r="H389" s="562">
        <f>SUMIFS('Taxes Withheld'!F:F,'Taxes Withheld'!C:C,'Import DV AUCS'!A389)</f>
        <v>1188</v>
      </c>
      <c r="I389" s="562">
        <f>SUMIFS('Taxes Withheld'!G:G,'Taxes Withheld'!C:C,'Import DV AUCS'!A389)</f>
        <v>792</v>
      </c>
      <c r="K389" s="562">
        <f t="shared" si="6"/>
        <v>1980</v>
      </c>
      <c r="M389" t="s">
        <v>2687</v>
      </c>
      <c r="N389" t="s">
        <v>2683</v>
      </c>
      <c r="O389" t="s">
        <v>2678</v>
      </c>
    </row>
    <row r="390" spans="1:15">
      <c r="A390" t="s">
        <v>3660</v>
      </c>
      <c r="B390" t="s">
        <v>2676</v>
      </c>
      <c r="C390" t="s">
        <v>3661</v>
      </c>
      <c r="D390" s="562">
        <v>1800</v>
      </c>
      <c r="E390" t="s">
        <v>3521</v>
      </c>
      <c r="F390" t="s">
        <v>3662</v>
      </c>
      <c r="G390" s="562">
        <v>1800</v>
      </c>
      <c r="H390" s="562">
        <f>SUMIFS('Taxes Withheld'!F:F,'Taxes Withheld'!C:C,'Import DV AUCS'!A390)</f>
        <v>0</v>
      </c>
      <c r="I390" s="562">
        <f>SUMIFS('Taxes Withheld'!G:G,'Taxes Withheld'!C:C,'Import DV AUCS'!A390)</f>
        <v>0</v>
      </c>
      <c r="K390" s="562">
        <f t="shared" si="6"/>
        <v>0</v>
      </c>
      <c r="M390" t="s">
        <v>2687</v>
      </c>
      <c r="N390" t="s">
        <v>2683</v>
      </c>
      <c r="O390" t="s">
        <v>2678</v>
      </c>
    </row>
    <row r="391" spans="1:15">
      <c r="A391" t="s">
        <v>3663</v>
      </c>
      <c r="B391" t="s">
        <v>2676</v>
      </c>
      <c r="C391" t="s">
        <v>3664</v>
      </c>
      <c r="D391" s="562">
        <v>7635</v>
      </c>
      <c r="E391" t="s">
        <v>3665</v>
      </c>
      <c r="F391" t="s">
        <v>3666</v>
      </c>
      <c r="G391" s="562">
        <v>7635</v>
      </c>
      <c r="H391" s="562">
        <f>SUMIFS('Taxes Withheld'!F:F,'Taxes Withheld'!C:C,'Import DV AUCS'!A391)</f>
        <v>0</v>
      </c>
      <c r="I391" s="562">
        <f>SUMIFS('Taxes Withheld'!G:G,'Taxes Withheld'!C:C,'Import DV AUCS'!A391)</f>
        <v>0</v>
      </c>
      <c r="K391" s="562">
        <f t="shared" si="6"/>
        <v>0</v>
      </c>
      <c r="M391" t="s">
        <v>2687</v>
      </c>
      <c r="N391" t="s">
        <v>2683</v>
      </c>
      <c r="O391" t="s">
        <v>2678</v>
      </c>
    </row>
    <row r="392" spans="1:15">
      <c r="A392" t="s">
        <v>3667</v>
      </c>
      <c r="B392" t="s">
        <v>2676</v>
      </c>
      <c r="C392" t="s">
        <v>3668</v>
      </c>
      <c r="D392" s="562">
        <v>29300.399999999998</v>
      </c>
      <c r="E392" t="s">
        <v>3217</v>
      </c>
      <c r="F392" t="s">
        <v>3669</v>
      </c>
      <c r="G392" s="562">
        <v>11559.960000000003</v>
      </c>
      <c r="H392" s="562">
        <f>SUMIFS('Taxes Withheld'!F:F,'Taxes Withheld'!C:C,'Import DV AUCS'!A392)</f>
        <v>0</v>
      </c>
      <c r="I392" s="562">
        <f>SUMIFS('Taxes Withheld'!G:G,'Taxes Withheld'!C:C,'Import DV AUCS'!A392)</f>
        <v>0</v>
      </c>
      <c r="K392" s="562">
        <f t="shared" si="6"/>
        <v>0</v>
      </c>
      <c r="M392" t="s">
        <v>2687</v>
      </c>
      <c r="N392" t="s">
        <v>2683</v>
      </c>
      <c r="O392" t="s">
        <v>2678</v>
      </c>
    </row>
    <row r="393" spans="1:15">
      <c r="A393" t="s">
        <v>3670</v>
      </c>
      <c r="B393" t="s">
        <v>2676</v>
      </c>
      <c r="C393" t="s">
        <v>3671</v>
      </c>
      <c r="D393" s="562">
        <v>29300.399999999998</v>
      </c>
      <c r="E393" t="s">
        <v>3220</v>
      </c>
      <c r="F393" t="s">
        <v>3639</v>
      </c>
      <c r="G393" s="562">
        <v>11559.960000000003</v>
      </c>
      <c r="H393" s="562">
        <f>SUMIFS('Taxes Withheld'!F:F,'Taxes Withheld'!C:C,'Import DV AUCS'!A393)</f>
        <v>0</v>
      </c>
      <c r="I393" s="562">
        <f>SUMIFS('Taxes Withheld'!G:G,'Taxes Withheld'!C:C,'Import DV AUCS'!A393)</f>
        <v>0</v>
      </c>
      <c r="K393" s="562">
        <f t="shared" si="6"/>
        <v>0</v>
      </c>
      <c r="M393" t="s">
        <v>2687</v>
      </c>
      <c r="N393" t="s">
        <v>2683</v>
      </c>
      <c r="O393" t="s">
        <v>2678</v>
      </c>
    </row>
    <row r="394" spans="1:15">
      <c r="A394" t="s">
        <v>3672</v>
      </c>
      <c r="B394" t="s">
        <v>2676</v>
      </c>
      <c r="C394" t="s">
        <v>3673</v>
      </c>
      <c r="D394" s="562">
        <v>92085.57</v>
      </c>
      <c r="E394" t="s">
        <v>3151</v>
      </c>
      <c r="F394" t="s">
        <v>3629</v>
      </c>
      <c r="G394" s="562">
        <v>26940.44000000001</v>
      </c>
      <c r="H394" s="562">
        <f>SUMIFS('Taxes Withheld'!F:F,'Taxes Withheld'!C:C,'Import DV AUCS'!A394)</f>
        <v>0</v>
      </c>
      <c r="I394" s="562">
        <f>SUMIFS('Taxes Withheld'!G:G,'Taxes Withheld'!C:C,'Import DV AUCS'!A394)</f>
        <v>0</v>
      </c>
      <c r="K394" s="562">
        <f t="shared" si="6"/>
        <v>0</v>
      </c>
      <c r="M394" t="s">
        <v>2687</v>
      </c>
      <c r="N394" t="s">
        <v>2683</v>
      </c>
      <c r="O394" t="s">
        <v>2678</v>
      </c>
    </row>
    <row r="395" spans="1:15">
      <c r="A395" t="s">
        <v>3674</v>
      </c>
      <c r="B395" t="s">
        <v>2676</v>
      </c>
      <c r="C395" t="s">
        <v>3675</v>
      </c>
      <c r="D395" s="562">
        <v>666486.65999999992</v>
      </c>
      <c r="E395" t="s">
        <v>3151</v>
      </c>
      <c r="F395" t="s">
        <v>3620</v>
      </c>
      <c r="G395" s="562">
        <v>100622.31999999999</v>
      </c>
      <c r="H395" s="562">
        <f>SUMIFS('Taxes Withheld'!F:F,'Taxes Withheld'!C:C,'Import DV AUCS'!A395)</f>
        <v>0</v>
      </c>
      <c r="I395" s="562">
        <f>SUMIFS('Taxes Withheld'!G:G,'Taxes Withheld'!C:C,'Import DV AUCS'!A395)</f>
        <v>0</v>
      </c>
      <c r="K395" s="562">
        <f t="shared" si="6"/>
        <v>0</v>
      </c>
      <c r="M395" t="s">
        <v>2687</v>
      </c>
      <c r="N395" t="s">
        <v>2683</v>
      </c>
      <c r="O395" t="s">
        <v>2678</v>
      </c>
    </row>
    <row r="396" spans="1:15">
      <c r="A396" t="s">
        <v>3676</v>
      </c>
      <c r="B396" t="s">
        <v>2676</v>
      </c>
      <c r="C396" t="s">
        <v>3677</v>
      </c>
      <c r="D396" s="562">
        <v>2016</v>
      </c>
      <c r="E396" t="s">
        <v>2775</v>
      </c>
      <c r="F396" t="s">
        <v>3678</v>
      </c>
      <c r="G396" s="562">
        <v>1908</v>
      </c>
      <c r="H396" s="562">
        <f>SUMIFS('Taxes Withheld'!F:F,'Taxes Withheld'!C:C,'Import DV AUCS'!A396)</f>
        <v>90</v>
      </c>
      <c r="I396" s="562">
        <f>SUMIFS('Taxes Withheld'!G:G,'Taxes Withheld'!C:C,'Import DV AUCS'!A396)</f>
        <v>18</v>
      </c>
      <c r="K396" s="562">
        <f t="shared" si="6"/>
        <v>108</v>
      </c>
      <c r="M396" t="s">
        <v>2687</v>
      </c>
      <c r="N396" t="s">
        <v>2683</v>
      </c>
      <c r="O396" t="s">
        <v>2678</v>
      </c>
    </row>
    <row r="397" spans="1:15">
      <c r="A397" t="s">
        <v>3679</v>
      </c>
      <c r="B397" t="s">
        <v>2676</v>
      </c>
      <c r="C397" t="s">
        <v>3680</v>
      </c>
      <c r="D397" s="562">
        <v>1344</v>
      </c>
      <c r="E397" t="s">
        <v>2775</v>
      </c>
      <c r="F397" t="s">
        <v>3681</v>
      </c>
      <c r="G397" s="562">
        <v>1272</v>
      </c>
      <c r="H397" s="562">
        <f>SUMIFS('Taxes Withheld'!F:F,'Taxes Withheld'!C:C,'Import DV AUCS'!A397)</f>
        <v>60</v>
      </c>
      <c r="I397" s="562">
        <f>SUMIFS('Taxes Withheld'!G:G,'Taxes Withheld'!C:C,'Import DV AUCS'!A397)</f>
        <v>12</v>
      </c>
      <c r="K397" s="562">
        <f t="shared" si="6"/>
        <v>72</v>
      </c>
      <c r="M397" t="s">
        <v>2687</v>
      </c>
      <c r="N397" t="s">
        <v>2683</v>
      </c>
      <c r="O397" t="s">
        <v>2678</v>
      </c>
    </row>
    <row r="398" spans="1:15">
      <c r="A398" t="s">
        <v>3682</v>
      </c>
      <c r="B398" t="s">
        <v>2676</v>
      </c>
      <c r="C398" t="s">
        <v>3683</v>
      </c>
      <c r="D398" s="562">
        <v>1651.12</v>
      </c>
      <c r="E398" t="s">
        <v>3112</v>
      </c>
      <c r="F398" t="s">
        <v>3684</v>
      </c>
      <c r="G398" s="562">
        <v>1651.12</v>
      </c>
      <c r="H398" s="562">
        <f>SUMIFS('Taxes Withheld'!F:F,'Taxes Withheld'!C:C,'Import DV AUCS'!A398)</f>
        <v>0</v>
      </c>
      <c r="I398" s="562">
        <f>SUMIFS('Taxes Withheld'!G:G,'Taxes Withheld'!C:C,'Import DV AUCS'!A398)</f>
        <v>0</v>
      </c>
      <c r="K398" s="562">
        <f t="shared" si="6"/>
        <v>0</v>
      </c>
      <c r="M398" t="s">
        <v>2687</v>
      </c>
      <c r="N398" t="s">
        <v>2683</v>
      </c>
      <c r="O398" t="s">
        <v>2678</v>
      </c>
    </row>
    <row r="399" spans="1:15">
      <c r="A399" t="s">
        <v>3685</v>
      </c>
      <c r="B399" t="s">
        <v>2676</v>
      </c>
      <c r="C399" t="s">
        <v>3686</v>
      </c>
      <c r="D399" s="562">
        <v>22000</v>
      </c>
      <c r="E399" t="s">
        <v>3687</v>
      </c>
      <c r="F399" t="s">
        <v>3688</v>
      </c>
      <c r="G399" s="562">
        <v>20821.43</v>
      </c>
      <c r="H399" s="562">
        <f>SUMIFS('Taxes Withheld'!F:F,'Taxes Withheld'!C:C,'Import DV AUCS'!A399)</f>
        <v>982.14</v>
      </c>
      <c r="I399" s="562">
        <f>SUMIFS('Taxes Withheld'!G:G,'Taxes Withheld'!C:C,'Import DV AUCS'!A399)</f>
        <v>196.43</v>
      </c>
      <c r="K399" s="562">
        <f t="shared" si="6"/>
        <v>1178.57</v>
      </c>
      <c r="M399" t="s">
        <v>2687</v>
      </c>
      <c r="N399" t="s">
        <v>2683</v>
      </c>
      <c r="O399" t="s">
        <v>2678</v>
      </c>
    </row>
    <row r="400" spans="1:15">
      <c r="A400" t="s">
        <v>3689</v>
      </c>
      <c r="B400" t="s">
        <v>2676</v>
      </c>
      <c r="C400" t="s">
        <v>3690</v>
      </c>
      <c r="D400" s="562">
        <v>94707.14</v>
      </c>
      <c r="E400" t="s">
        <v>820</v>
      </c>
      <c r="F400" t="s">
        <v>3691</v>
      </c>
      <c r="G400" s="562">
        <v>94707.14</v>
      </c>
      <c r="H400" s="562">
        <f>SUMIFS('Taxes Withheld'!F:F,'Taxes Withheld'!C:C,'Import DV AUCS'!A400)</f>
        <v>0</v>
      </c>
      <c r="I400" s="562">
        <f>SUMIFS('Taxes Withheld'!G:G,'Taxes Withheld'!C:C,'Import DV AUCS'!A400)</f>
        <v>0</v>
      </c>
      <c r="K400" s="562">
        <f t="shared" si="6"/>
        <v>0</v>
      </c>
      <c r="M400" t="s">
        <v>2685</v>
      </c>
      <c r="N400" t="s">
        <v>2683</v>
      </c>
      <c r="O400" t="s">
        <v>2678</v>
      </c>
    </row>
    <row r="401" spans="1:15">
      <c r="A401" t="s">
        <v>3692</v>
      </c>
      <c r="B401" t="s">
        <v>2676</v>
      </c>
      <c r="C401" t="s">
        <v>3693</v>
      </c>
      <c r="D401" s="562">
        <v>640000</v>
      </c>
      <c r="E401" t="s">
        <v>823</v>
      </c>
      <c r="F401" t="s">
        <v>3694</v>
      </c>
      <c r="G401" s="562">
        <v>640000</v>
      </c>
      <c r="H401" s="562">
        <f>SUMIFS('Taxes Withheld'!F:F,'Taxes Withheld'!C:C,'Import DV AUCS'!A401)</f>
        <v>0</v>
      </c>
      <c r="I401" s="562">
        <f>SUMIFS('Taxes Withheld'!G:G,'Taxes Withheld'!C:C,'Import DV AUCS'!A401)</f>
        <v>0</v>
      </c>
      <c r="K401" s="562">
        <f t="shared" si="6"/>
        <v>0</v>
      </c>
      <c r="M401" t="s">
        <v>2685</v>
      </c>
      <c r="N401" t="s">
        <v>2683</v>
      </c>
      <c r="O401" t="s">
        <v>2678</v>
      </c>
    </row>
    <row r="402" spans="1:15">
      <c r="A402" t="s">
        <v>3695</v>
      </c>
      <c r="B402" t="s">
        <v>2676</v>
      </c>
      <c r="C402" t="s">
        <v>3696</v>
      </c>
      <c r="D402" s="562">
        <v>160000</v>
      </c>
      <c r="E402" t="s">
        <v>818</v>
      </c>
      <c r="F402" t="s">
        <v>3697</v>
      </c>
      <c r="G402" s="562">
        <v>160000</v>
      </c>
      <c r="H402" s="562">
        <f>SUMIFS('Taxes Withheld'!F:F,'Taxes Withheld'!C:C,'Import DV AUCS'!A402)</f>
        <v>0</v>
      </c>
      <c r="I402" s="562">
        <f>SUMIFS('Taxes Withheld'!G:G,'Taxes Withheld'!C:C,'Import DV AUCS'!A402)</f>
        <v>0</v>
      </c>
      <c r="K402" s="562">
        <f t="shared" si="6"/>
        <v>0</v>
      </c>
      <c r="M402" t="s">
        <v>2685</v>
      </c>
      <c r="N402" t="s">
        <v>2683</v>
      </c>
      <c r="O402" t="s">
        <v>2678</v>
      </c>
    </row>
    <row r="403" spans="1:15">
      <c r="A403" t="s">
        <v>3698</v>
      </c>
      <c r="B403" t="s">
        <v>2676</v>
      </c>
      <c r="C403" t="s">
        <v>3699</v>
      </c>
      <c r="D403" s="562">
        <v>119634</v>
      </c>
      <c r="E403" t="s">
        <v>818</v>
      </c>
      <c r="F403" t="s">
        <v>3700</v>
      </c>
      <c r="G403" s="562">
        <v>119634</v>
      </c>
      <c r="H403" s="562">
        <f>SUMIFS('Taxes Withheld'!F:F,'Taxes Withheld'!C:C,'Import DV AUCS'!A403)</f>
        <v>0</v>
      </c>
      <c r="I403" s="562">
        <f>SUMIFS('Taxes Withheld'!G:G,'Taxes Withheld'!C:C,'Import DV AUCS'!A403)</f>
        <v>0</v>
      </c>
      <c r="K403" s="562">
        <f t="shared" si="6"/>
        <v>0</v>
      </c>
      <c r="M403" t="s">
        <v>2685</v>
      </c>
      <c r="N403" t="s">
        <v>2683</v>
      </c>
      <c r="O403" t="s">
        <v>2678</v>
      </c>
    </row>
    <row r="404" spans="1:15">
      <c r="A404" t="s">
        <v>3701</v>
      </c>
      <c r="B404" t="s">
        <v>2676</v>
      </c>
      <c r="C404" t="s">
        <v>3702</v>
      </c>
      <c r="D404" s="562">
        <v>60000</v>
      </c>
      <c r="E404" t="s">
        <v>789</v>
      </c>
      <c r="F404" t="s">
        <v>3703</v>
      </c>
      <c r="G404" s="562">
        <v>60000</v>
      </c>
      <c r="H404" s="562">
        <f>SUMIFS('Taxes Withheld'!F:F,'Taxes Withheld'!C:C,'Import DV AUCS'!A404)</f>
        <v>0</v>
      </c>
      <c r="I404" s="562">
        <f>SUMIFS('Taxes Withheld'!G:G,'Taxes Withheld'!C:C,'Import DV AUCS'!A404)</f>
        <v>0</v>
      </c>
      <c r="K404" s="562">
        <f t="shared" si="6"/>
        <v>0</v>
      </c>
      <c r="M404" t="s">
        <v>2687</v>
      </c>
      <c r="N404" t="s">
        <v>2683</v>
      </c>
      <c r="O404" t="s">
        <v>2678</v>
      </c>
    </row>
    <row r="405" spans="1:15">
      <c r="A405" t="s">
        <v>3704</v>
      </c>
      <c r="B405" t="s">
        <v>2676</v>
      </c>
      <c r="C405" t="s">
        <v>3705</v>
      </c>
      <c r="D405" s="562">
        <v>60000</v>
      </c>
      <c r="E405" t="s">
        <v>777</v>
      </c>
      <c r="F405" t="s">
        <v>3703</v>
      </c>
      <c r="G405" s="562">
        <v>60000</v>
      </c>
      <c r="H405" s="562">
        <f>SUMIFS('Taxes Withheld'!F:F,'Taxes Withheld'!C:C,'Import DV AUCS'!A405)</f>
        <v>0</v>
      </c>
      <c r="I405" s="562">
        <f>SUMIFS('Taxes Withheld'!G:G,'Taxes Withheld'!C:C,'Import DV AUCS'!A405)</f>
        <v>0</v>
      </c>
      <c r="K405" s="562">
        <f t="shared" si="6"/>
        <v>0</v>
      </c>
      <c r="M405" t="s">
        <v>2687</v>
      </c>
      <c r="N405" t="s">
        <v>2683</v>
      </c>
      <c r="O405" t="s">
        <v>2678</v>
      </c>
    </row>
    <row r="406" spans="1:15">
      <c r="A406" t="s">
        <v>3706</v>
      </c>
      <c r="B406" t="s">
        <v>2676</v>
      </c>
      <c r="C406" t="s">
        <v>3707</v>
      </c>
      <c r="D406" s="562">
        <v>66000</v>
      </c>
      <c r="E406" t="s">
        <v>3708</v>
      </c>
      <c r="F406" t="s">
        <v>3703</v>
      </c>
      <c r="G406" s="562">
        <v>66000</v>
      </c>
      <c r="H406" s="562">
        <f>SUMIFS('Taxes Withheld'!F:F,'Taxes Withheld'!C:C,'Import DV AUCS'!A406)</f>
        <v>0</v>
      </c>
      <c r="I406" s="562">
        <f>SUMIFS('Taxes Withheld'!G:G,'Taxes Withheld'!C:C,'Import DV AUCS'!A406)</f>
        <v>0</v>
      </c>
      <c r="K406" s="562">
        <f t="shared" si="6"/>
        <v>0</v>
      </c>
      <c r="M406" t="s">
        <v>2687</v>
      </c>
      <c r="N406" t="s">
        <v>2683</v>
      </c>
      <c r="O406" t="s">
        <v>2678</v>
      </c>
    </row>
    <row r="407" spans="1:15">
      <c r="A407" t="s">
        <v>3709</v>
      </c>
      <c r="B407" t="s">
        <v>2676</v>
      </c>
      <c r="C407" t="s">
        <v>3710</v>
      </c>
      <c r="D407" s="562">
        <v>72000</v>
      </c>
      <c r="E407" t="s">
        <v>768</v>
      </c>
      <c r="F407" t="s">
        <v>3703</v>
      </c>
      <c r="G407" s="562">
        <v>72000</v>
      </c>
      <c r="H407" s="562">
        <f>SUMIFS('Taxes Withheld'!F:F,'Taxes Withheld'!C:C,'Import DV AUCS'!A407)</f>
        <v>0</v>
      </c>
      <c r="I407" s="562">
        <f>SUMIFS('Taxes Withheld'!G:G,'Taxes Withheld'!C:C,'Import DV AUCS'!A407)</f>
        <v>0</v>
      </c>
      <c r="K407" s="562">
        <f t="shared" si="6"/>
        <v>0</v>
      </c>
      <c r="M407" t="s">
        <v>2687</v>
      </c>
      <c r="N407" t="s">
        <v>2683</v>
      </c>
      <c r="O407" t="s">
        <v>2678</v>
      </c>
    </row>
    <row r="408" spans="1:15">
      <c r="A408" t="s">
        <v>3711</v>
      </c>
      <c r="B408" t="s">
        <v>2676</v>
      </c>
      <c r="C408" t="s">
        <v>3712</v>
      </c>
      <c r="D408" s="562">
        <v>48000</v>
      </c>
      <c r="E408" t="s">
        <v>765</v>
      </c>
      <c r="F408" t="s">
        <v>3703</v>
      </c>
      <c r="G408" s="562">
        <v>48000</v>
      </c>
      <c r="H408" s="562">
        <f>SUMIFS('Taxes Withheld'!F:F,'Taxes Withheld'!C:C,'Import DV AUCS'!A408)</f>
        <v>0</v>
      </c>
      <c r="I408" s="562">
        <f>SUMIFS('Taxes Withheld'!G:G,'Taxes Withheld'!C:C,'Import DV AUCS'!A408)</f>
        <v>0</v>
      </c>
      <c r="K408" s="562">
        <f t="shared" si="6"/>
        <v>0</v>
      </c>
      <c r="M408" t="s">
        <v>2687</v>
      </c>
      <c r="N408" t="s">
        <v>2683</v>
      </c>
      <c r="O408" t="s">
        <v>2678</v>
      </c>
    </row>
    <row r="409" spans="1:15">
      <c r="A409" t="s">
        <v>3713</v>
      </c>
      <c r="B409" t="s">
        <v>2676</v>
      </c>
      <c r="C409" t="s">
        <v>3714</v>
      </c>
      <c r="D409" s="562">
        <v>14000</v>
      </c>
      <c r="E409" t="s">
        <v>1344</v>
      </c>
      <c r="F409" t="s">
        <v>3715</v>
      </c>
      <c r="G409" s="562">
        <v>14000</v>
      </c>
      <c r="H409" s="562">
        <f>SUMIFS('Taxes Withheld'!F:F,'Taxes Withheld'!C:C,'Import DV AUCS'!A409)</f>
        <v>0</v>
      </c>
      <c r="I409" s="562">
        <f>SUMIFS('Taxes Withheld'!G:G,'Taxes Withheld'!C:C,'Import DV AUCS'!A409)</f>
        <v>0</v>
      </c>
      <c r="K409" s="562">
        <f t="shared" si="6"/>
        <v>0</v>
      </c>
      <c r="M409" t="s">
        <v>2687</v>
      </c>
      <c r="N409" t="s">
        <v>2683</v>
      </c>
      <c r="O409" t="s">
        <v>2678</v>
      </c>
    </row>
    <row r="410" spans="1:15">
      <c r="A410" t="s">
        <v>3716</v>
      </c>
      <c r="B410" t="s">
        <v>2676</v>
      </c>
      <c r="C410" t="s">
        <v>3717</v>
      </c>
      <c r="D410" s="562">
        <v>216000</v>
      </c>
      <c r="E410" t="s">
        <v>10</v>
      </c>
      <c r="F410" t="s">
        <v>3703</v>
      </c>
      <c r="G410" s="562">
        <v>216000</v>
      </c>
      <c r="H410" s="562">
        <f>SUMIFS('Taxes Withheld'!F:F,'Taxes Withheld'!C:C,'Import DV AUCS'!A410)</f>
        <v>0</v>
      </c>
      <c r="I410" s="562">
        <f>SUMIFS('Taxes Withheld'!G:G,'Taxes Withheld'!C:C,'Import DV AUCS'!A410)</f>
        <v>0</v>
      </c>
      <c r="K410" s="562">
        <f t="shared" si="6"/>
        <v>0</v>
      </c>
      <c r="M410" t="s">
        <v>2687</v>
      </c>
      <c r="N410" t="s">
        <v>2683</v>
      </c>
      <c r="O410" t="s">
        <v>2678</v>
      </c>
    </row>
    <row r="411" spans="1:15">
      <c r="A411" t="s">
        <v>3718</v>
      </c>
      <c r="B411" t="s">
        <v>2676</v>
      </c>
      <c r="C411" t="s">
        <v>2666</v>
      </c>
      <c r="D411" s="562">
        <v>0</v>
      </c>
      <c r="E411" t="s">
        <v>3719</v>
      </c>
      <c r="F411" t="s">
        <v>3720</v>
      </c>
      <c r="G411" s="562">
        <v>2246.61</v>
      </c>
      <c r="H411" s="562">
        <f>SUMIFS('Taxes Withheld'!F:F,'Taxes Withheld'!C:C,'Import DV AUCS'!A411)</f>
        <v>0</v>
      </c>
      <c r="I411" s="562">
        <f>SUMIFS('Taxes Withheld'!G:G,'Taxes Withheld'!C:C,'Import DV AUCS'!A411)</f>
        <v>0</v>
      </c>
      <c r="K411" s="562">
        <f t="shared" si="6"/>
        <v>0</v>
      </c>
      <c r="M411" t="s">
        <v>2662</v>
      </c>
      <c r="N411" t="s">
        <v>2053</v>
      </c>
      <c r="O411" t="s">
        <v>2680</v>
      </c>
    </row>
    <row r="412" spans="1:15">
      <c r="A412" t="s">
        <v>3721</v>
      </c>
      <c r="B412" t="s">
        <v>2676</v>
      </c>
      <c r="C412" t="s">
        <v>2666</v>
      </c>
      <c r="D412" s="562">
        <v>0</v>
      </c>
      <c r="E412" t="s">
        <v>1759</v>
      </c>
      <c r="F412" t="s">
        <v>3722</v>
      </c>
      <c r="G412" s="562">
        <v>190201.32</v>
      </c>
      <c r="H412" s="562">
        <f>SUMIFS('Taxes Withheld'!F:F,'Taxes Withheld'!C:C,'Import DV AUCS'!A412)</f>
        <v>0</v>
      </c>
      <c r="I412" s="562">
        <f>SUMIFS('Taxes Withheld'!G:G,'Taxes Withheld'!C:C,'Import DV AUCS'!A412)</f>
        <v>0</v>
      </c>
      <c r="K412" s="562">
        <f t="shared" si="6"/>
        <v>0</v>
      </c>
      <c r="M412" t="s">
        <v>2662</v>
      </c>
      <c r="N412" t="s">
        <v>2053</v>
      </c>
      <c r="O412" t="s">
        <v>2680</v>
      </c>
    </row>
    <row r="413" spans="1:15">
      <c r="A413" t="s">
        <v>3723</v>
      </c>
      <c r="B413" t="s">
        <v>2676</v>
      </c>
      <c r="C413" t="s">
        <v>2666</v>
      </c>
      <c r="D413" s="562">
        <v>0</v>
      </c>
      <c r="E413" t="s">
        <v>2908</v>
      </c>
      <c r="F413" t="s">
        <v>3724</v>
      </c>
      <c r="G413" s="562">
        <v>103430.25</v>
      </c>
      <c r="H413" s="562">
        <f>SUMIFS('Taxes Withheld'!F:F,'Taxes Withheld'!C:C,'Import DV AUCS'!A413)</f>
        <v>0</v>
      </c>
      <c r="I413" s="562">
        <f>SUMIFS('Taxes Withheld'!G:G,'Taxes Withheld'!C:C,'Import DV AUCS'!A413)</f>
        <v>0</v>
      </c>
      <c r="K413" s="562">
        <f t="shared" si="6"/>
        <v>0</v>
      </c>
      <c r="M413" t="s">
        <v>2662</v>
      </c>
      <c r="N413" t="s">
        <v>2053</v>
      </c>
      <c r="O413" t="s">
        <v>2680</v>
      </c>
    </row>
    <row r="414" spans="1:15">
      <c r="A414" t="s">
        <v>3725</v>
      </c>
      <c r="B414" t="s">
        <v>2676</v>
      </c>
      <c r="C414" t="s">
        <v>2666</v>
      </c>
      <c r="D414" s="562">
        <v>0</v>
      </c>
      <c r="E414" t="s">
        <v>2933</v>
      </c>
      <c r="F414" t="s">
        <v>3726</v>
      </c>
      <c r="G414" s="562">
        <v>49734.05</v>
      </c>
      <c r="H414" s="562">
        <f>SUMIFS('Taxes Withheld'!F:F,'Taxes Withheld'!C:C,'Import DV AUCS'!A414)</f>
        <v>0</v>
      </c>
      <c r="I414" s="562">
        <f>SUMIFS('Taxes Withheld'!G:G,'Taxes Withheld'!C:C,'Import DV AUCS'!A414)</f>
        <v>0</v>
      </c>
      <c r="K414" s="562">
        <f t="shared" si="6"/>
        <v>0</v>
      </c>
      <c r="M414" t="s">
        <v>2662</v>
      </c>
      <c r="N414" t="s">
        <v>2053</v>
      </c>
      <c r="O414" t="s">
        <v>2680</v>
      </c>
    </row>
    <row r="415" spans="1:15">
      <c r="A415" t="s">
        <v>3727</v>
      </c>
      <c r="B415" t="s">
        <v>2676</v>
      </c>
      <c r="C415" t="s">
        <v>2666</v>
      </c>
      <c r="D415" s="562">
        <v>0</v>
      </c>
      <c r="E415" t="s">
        <v>2936</v>
      </c>
      <c r="F415" t="s">
        <v>3728</v>
      </c>
      <c r="G415" s="562">
        <v>3750</v>
      </c>
      <c r="H415" s="562">
        <f>SUMIFS('Taxes Withheld'!F:F,'Taxes Withheld'!C:C,'Import DV AUCS'!A415)</f>
        <v>0</v>
      </c>
      <c r="I415" s="562">
        <f>SUMIFS('Taxes Withheld'!G:G,'Taxes Withheld'!C:C,'Import DV AUCS'!A415)</f>
        <v>0</v>
      </c>
      <c r="K415" s="562">
        <f t="shared" si="6"/>
        <v>0</v>
      </c>
      <c r="M415" t="s">
        <v>2662</v>
      </c>
      <c r="N415" t="s">
        <v>2053</v>
      </c>
      <c r="O415" t="s">
        <v>2680</v>
      </c>
    </row>
    <row r="416" spans="1:15">
      <c r="A416" t="s">
        <v>3729</v>
      </c>
      <c r="B416" t="s">
        <v>2676</v>
      </c>
      <c r="C416" t="s">
        <v>2666</v>
      </c>
      <c r="D416" s="562">
        <v>0</v>
      </c>
      <c r="E416" t="s">
        <v>3005</v>
      </c>
      <c r="F416" t="s">
        <v>3730</v>
      </c>
      <c r="G416" s="562">
        <v>27440</v>
      </c>
      <c r="H416" s="562">
        <f>SUMIFS('Taxes Withheld'!F:F,'Taxes Withheld'!C:C,'Import DV AUCS'!A416)</f>
        <v>0</v>
      </c>
      <c r="I416" s="562">
        <f>SUMIFS('Taxes Withheld'!G:G,'Taxes Withheld'!C:C,'Import DV AUCS'!A416)</f>
        <v>0</v>
      </c>
      <c r="K416" s="562">
        <f t="shared" si="6"/>
        <v>0</v>
      </c>
      <c r="M416" t="s">
        <v>2662</v>
      </c>
      <c r="N416" t="s">
        <v>2053</v>
      </c>
      <c r="O416" t="s">
        <v>2680</v>
      </c>
    </row>
    <row r="417" spans="1:15">
      <c r="A417" t="s">
        <v>3731</v>
      </c>
      <c r="B417" t="s">
        <v>2676</v>
      </c>
      <c r="C417" t="s">
        <v>2666</v>
      </c>
      <c r="D417" s="562">
        <v>0</v>
      </c>
      <c r="E417" t="s">
        <v>1661</v>
      </c>
      <c r="F417" t="s">
        <v>3732</v>
      </c>
      <c r="G417" s="562">
        <v>101497.04</v>
      </c>
      <c r="H417" s="562">
        <f>SUMIFS('Taxes Withheld'!F:F,'Taxes Withheld'!C:C,'Import DV AUCS'!A417)</f>
        <v>0</v>
      </c>
      <c r="I417" s="562">
        <f>SUMIFS('Taxes Withheld'!G:G,'Taxes Withheld'!C:C,'Import DV AUCS'!A417)</f>
        <v>0</v>
      </c>
      <c r="K417" s="562">
        <f t="shared" si="6"/>
        <v>0</v>
      </c>
      <c r="M417" t="s">
        <v>2662</v>
      </c>
      <c r="N417" t="s">
        <v>2053</v>
      </c>
      <c r="O417" t="s">
        <v>2680</v>
      </c>
    </row>
    <row r="418" spans="1:15">
      <c r="A418" t="s">
        <v>3733</v>
      </c>
      <c r="B418" t="s">
        <v>2676</v>
      </c>
      <c r="C418" t="s">
        <v>2666</v>
      </c>
      <c r="D418" s="562">
        <v>0</v>
      </c>
      <c r="E418" t="s">
        <v>1690</v>
      </c>
      <c r="F418" t="s">
        <v>3732</v>
      </c>
      <c r="G418" s="562">
        <v>63707.289999999994</v>
      </c>
      <c r="H418" s="562">
        <f>SUMIFS('Taxes Withheld'!F:F,'Taxes Withheld'!C:C,'Import DV AUCS'!A418)</f>
        <v>0</v>
      </c>
      <c r="I418" s="562">
        <f>SUMIFS('Taxes Withheld'!G:G,'Taxes Withheld'!C:C,'Import DV AUCS'!A418)</f>
        <v>0</v>
      </c>
      <c r="K418" s="562">
        <f t="shared" si="6"/>
        <v>0</v>
      </c>
      <c r="M418" t="s">
        <v>2662</v>
      </c>
      <c r="N418" t="s">
        <v>2053</v>
      </c>
      <c r="O418" t="s">
        <v>2680</v>
      </c>
    </row>
    <row r="419" spans="1:15">
      <c r="A419" t="s">
        <v>3734</v>
      </c>
      <c r="B419" t="s">
        <v>2676</v>
      </c>
      <c r="C419" t="s">
        <v>2666</v>
      </c>
      <c r="D419" s="562">
        <v>0</v>
      </c>
      <c r="E419" t="s">
        <v>3354</v>
      </c>
      <c r="F419" t="s">
        <v>3732</v>
      </c>
      <c r="G419" s="562">
        <v>37916.67</v>
      </c>
      <c r="H419" s="562">
        <f>SUMIFS('Taxes Withheld'!F:F,'Taxes Withheld'!C:C,'Import DV AUCS'!A419)</f>
        <v>0</v>
      </c>
      <c r="I419" s="562">
        <f>SUMIFS('Taxes Withheld'!G:G,'Taxes Withheld'!C:C,'Import DV AUCS'!A419)</f>
        <v>0</v>
      </c>
      <c r="K419" s="562">
        <f t="shared" si="6"/>
        <v>0</v>
      </c>
      <c r="M419" t="s">
        <v>2662</v>
      </c>
      <c r="N419" t="s">
        <v>2053</v>
      </c>
      <c r="O419" t="s">
        <v>2680</v>
      </c>
    </row>
    <row r="420" spans="1:15">
      <c r="A420" t="s">
        <v>3735</v>
      </c>
      <c r="B420" t="s">
        <v>2676</v>
      </c>
      <c r="C420" t="s">
        <v>2666</v>
      </c>
      <c r="D420" s="562">
        <v>0</v>
      </c>
      <c r="E420" t="s">
        <v>2939</v>
      </c>
      <c r="F420" t="s">
        <v>3736</v>
      </c>
      <c r="G420" s="562">
        <v>903</v>
      </c>
      <c r="H420" s="562">
        <f>SUMIFS('Taxes Withheld'!F:F,'Taxes Withheld'!C:C,'Import DV AUCS'!A420)</f>
        <v>0</v>
      </c>
      <c r="I420" s="562">
        <f>SUMIFS('Taxes Withheld'!G:G,'Taxes Withheld'!C:C,'Import DV AUCS'!A420)</f>
        <v>0</v>
      </c>
      <c r="K420" s="562">
        <f t="shared" si="6"/>
        <v>0</v>
      </c>
      <c r="M420" t="s">
        <v>2662</v>
      </c>
      <c r="N420" t="s">
        <v>2053</v>
      </c>
      <c r="O420" t="s">
        <v>2680</v>
      </c>
    </row>
    <row r="421" spans="1:15">
      <c r="A421" t="s">
        <v>3737</v>
      </c>
      <c r="B421" t="s">
        <v>2676</v>
      </c>
      <c r="C421" t="s">
        <v>2666</v>
      </c>
      <c r="D421" s="562">
        <v>0</v>
      </c>
      <c r="E421" t="s">
        <v>1669</v>
      </c>
      <c r="F421" t="s">
        <v>3738</v>
      </c>
      <c r="G421" s="562">
        <v>2796.63</v>
      </c>
      <c r="H421" s="562">
        <f>SUMIFS('Taxes Withheld'!F:F,'Taxes Withheld'!C:C,'Import DV AUCS'!A421)</f>
        <v>0</v>
      </c>
      <c r="I421" s="562">
        <f>SUMIFS('Taxes Withheld'!G:G,'Taxes Withheld'!C:C,'Import DV AUCS'!A421)</f>
        <v>0</v>
      </c>
      <c r="K421" s="562">
        <f t="shared" si="6"/>
        <v>0</v>
      </c>
      <c r="M421" t="s">
        <v>2662</v>
      </c>
      <c r="N421" t="s">
        <v>2053</v>
      </c>
      <c r="O421" t="s">
        <v>2680</v>
      </c>
    </row>
    <row r="422" spans="1:15">
      <c r="A422" t="s">
        <v>3739</v>
      </c>
      <c r="B422" t="s">
        <v>2676</v>
      </c>
      <c r="C422" t="s">
        <v>2666</v>
      </c>
      <c r="D422" s="562">
        <v>0</v>
      </c>
      <c r="E422" t="s">
        <v>1761</v>
      </c>
      <c r="F422" t="s">
        <v>3740</v>
      </c>
      <c r="G422" s="562">
        <v>24.15</v>
      </c>
      <c r="H422" s="562">
        <f>SUMIFS('Taxes Withheld'!F:F,'Taxes Withheld'!C:C,'Import DV AUCS'!A422)</f>
        <v>0</v>
      </c>
      <c r="I422" s="562">
        <f>SUMIFS('Taxes Withheld'!G:G,'Taxes Withheld'!C:C,'Import DV AUCS'!A422)</f>
        <v>0</v>
      </c>
      <c r="K422" s="562">
        <f t="shared" si="6"/>
        <v>0</v>
      </c>
      <c r="M422" t="s">
        <v>2662</v>
      </c>
      <c r="N422" t="s">
        <v>2053</v>
      </c>
      <c r="O422" t="s">
        <v>2680</v>
      </c>
    </row>
    <row r="423" spans="1:15">
      <c r="A423" t="s">
        <v>3741</v>
      </c>
      <c r="B423" t="s">
        <v>2676</v>
      </c>
      <c r="C423" t="s">
        <v>2666</v>
      </c>
      <c r="D423" s="562">
        <v>0</v>
      </c>
      <c r="E423" t="s">
        <v>2949</v>
      </c>
      <c r="F423" t="s">
        <v>3742</v>
      </c>
      <c r="G423" s="562">
        <v>104315.37</v>
      </c>
      <c r="H423" s="562">
        <f>SUMIFS('Taxes Withheld'!F:F,'Taxes Withheld'!C:C,'Import DV AUCS'!A423)</f>
        <v>0</v>
      </c>
      <c r="I423" s="562">
        <f>SUMIFS('Taxes Withheld'!G:G,'Taxes Withheld'!C:C,'Import DV AUCS'!A423)</f>
        <v>0</v>
      </c>
      <c r="K423" s="562">
        <f t="shared" si="6"/>
        <v>0</v>
      </c>
      <c r="M423" t="s">
        <v>2662</v>
      </c>
      <c r="N423" t="s">
        <v>2053</v>
      </c>
      <c r="O423" t="s">
        <v>2680</v>
      </c>
    </row>
    <row r="424" spans="1:15">
      <c r="A424" t="s">
        <v>3743</v>
      </c>
      <c r="B424" t="s">
        <v>2676</v>
      </c>
      <c r="C424" t="s">
        <v>2666</v>
      </c>
      <c r="D424" s="562">
        <v>0</v>
      </c>
      <c r="E424" t="s">
        <v>1105</v>
      </c>
      <c r="F424" t="s">
        <v>3744</v>
      </c>
      <c r="G424" s="562">
        <v>1698029.37</v>
      </c>
      <c r="H424" s="562">
        <f>SUMIFS('Taxes Withheld'!F:F,'Taxes Withheld'!C:C,'Import DV AUCS'!A424)</f>
        <v>0</v>
      </c>
      <c r="I424" s="562">
        <f>SUMIFS('Taxes Withheld'!G:G,'Taxes Withheld'!C:C,'Import DV AUCS'!A424)</f>
        <v>0</v>
      </c>
      <c r="K424" s="562">
        <f t="shared" si="6"/>
        <v>0</v>
      </c>
      <c r="M424" t="s">
        <v>2662</v>
      </c>
      <c r="N424" t="s">
        <v>2053</v>
      </c>
      <c r="O424" t="s">
        <v>2680</v>
      </c>
    </row>
    <row r="425" spans="1:15">
      <c r="A425" t="s">
        <v>3745</v>
      </c>
      <c r="B425" t="s">
        <v>2676</v>
      </c>
      <c r="C425" t="s">
        <v>3746</v>
      </c>
      <c r="D425" s="562">
        <v>10000</v>
      </c>
      <c r="E425" t="s">
        <v>2693</v>
      </c>
      <c r="F425" t="s">
        <v>3747</v>
      </c>
      <c r="G425" s="562">
        <v>10000</v>
      </c>
      <c r="H425" s="562">
        <f>SUMIFS('Taxes Withheld'!F:F,'Taxes Withheld'!C:C,'Import DV AUCS'!A425)</f>
        <v>0</v>
      </c>
      <c r="I425" s="562">
        <f>SUMIFS('Taxes Withheld'!G:G,'Taxes Withheld'!C:C,'Import DV AUCS'!A425)</f>
        <v>0</v>
      </c>
      <c r="K425" s="562">
        <f t="shared" si="6"/>
        <v>0</v>
      </c>
      <c r="M425" t="s">
        <v>2687</v>
      </c>
      <c r="N425" t="s">
        <v>2683</v>
      </c>
      <c r="O425" t="s">
        <v>2678</v>
      </c>
    </row>
    <row r="426" spans="1:15">
      <c r="A426" t="s">
        <v>3748</v>
      </c>
      <c r="B426" t="s">
        <v>2676</v>
      </c>
      <c r="C426" t="s">
        <v>3749</v>
      </c>
      <c r="D426" s="562">
        <v>82098.38</v>
      </c>
      <c r="E426" t="s">
        <v>3001</v>
      </c>
      <c r="F426" t="s">
        <v>3750</v>
      </c>
      <c r="G426" s="562">
        <v>82098.38</v>
      </c>
      <c r="H426" s="562">
        <f>SUMIFS('Taxes Withheld'!F:F,'Taxes Withheld'!C:C,'Import DV AUCS'!A426)</f>
        <v>0</v>
      </c>
      <c r="I426" s="562">
        <f>SUMIFS('Taxes Withheld'!G:G,'Taxes Withheld'!C:C,'Import DV AUCS'!A426)</f>
        <v>0</v>
      </c>
      <c r="K426" s="562">
        <f t="shared" si="6"/>
        <v>0</v>
      </c>
      <c r="M426" t="s">
        <v>2687</v>
      </c>
      <c r="N426" t="s">
        <v>2683</v>
      </c>
      <c r="O426" t="s">
        <v>2678</v>
      </c>
    </row>
    <row r="427" spans="1:15">
      <c r="A427" t="s">
        <v>3751</v>
      </c>
      <c r="B427" t="s">
        <v>2676</v>
      </c>
      <c r="C427" t="s">
        <v>3752</v>
      </c>
      <c r="D427" s="562">
        <v>70905.22</v>
      </c>
      <c r="E427" t="s">
        <v>3001</v>
      </c>
      <c r="F427" t="s">
        <v>3750</v>
      </c>
      <c r="G427" s="562">
        <v>70905.22</v>
      </c>
      <c r="H427" s="562">
        <f>SUMIFS('Taxes Withheld'!F:F,'Taxes Withheld'!C:C,'Import DV AUCS'!A427)</f>
        <v>0</v>
      </c>
      <c r="I427" s="562">
        <f>SUMIFS('Taxes Withheld'!G:G,'Taxes Withheld'!C:C,'Import DV AUCS'!A427)</f>
        <v>0</v>
      </c>
      <c r="K427" s="562">
        <f t="shared" si="6"/>
        <v>0</v>
      </c>
      <c r="M427" t="s">
        <v>2687</v>
      </c>
      <c r="N427" t="s">
        <v>2683</v>
      </c>
      <c r="O427" t="s">
        <v>2678</v>
      </c>
    </row>
    <row r="428" spans="1:15">
      <c r="A428" t="s">
        <v>3753</v>
      </c>
      <c r="B428" t="s">
        <v>2676</v>
      </c>
      <c r="C428" t="s">
        <v>3754</v>
      </c>
      <c r="D428" s="562">
        <v>10000</v>
      </c>
      <c r="E428" t="s">
        <v>3363</v>
      </c>
      <c r="F428" t="s">
        <v>3755</v>
      </c>
      <c r="G428" s="562">
        <v>9000</v>
      </c>
      <c r="H428" s="562">
        <f>SUMIFS('Taxes Withheld'!F:F,'Taxes Withheld'!C:C,'Import DV AUCS'!A428)</f>
        <v>0</v>
      </c>
      <c r="I428" s="562">
        <f>SUMIFS('Taxes Withheld'!G:G,'Taxes Withheld'!C:C,'Import DV AUCS'!A428)</f>
        <v>0</v>
      </c>
      <c r="K428" s="562">
        <f t="shared" si="6"/>
        <v>0</v>
      </c>
      <c r="M428" t="s">
        <v>2687</v>
      </c>
      <c r="N428" t="s">
        <v>2683</v>
      </c>
      <c r="O428" t="s">
        <v>2678</v>
      </c>
    </row>
    <row r="429" spans="1:15">
      <c r="A429" t="s">
        <v>3756</v>
      </c>
      <c r="B429" t="s">
        <v>2676</v>
      </c>
      <c r="C429" t="s">
        <v>2666</v>
      </c>
      <c r="D429" s="562">
        <v>0</v>
      </c>
      <c r="E429" t="s">
        <v>1105</v>
      </c>
      <c r="F429" t="s">
        <v>3757</v>
      </c>
      <c r="G429" s="562">
        <v>91461.26999999999</v>
      </c>
      <c r="H429" s="562">
        <f>SUMIFS('Taxes Withheld'!F:F,'Taxes Withheld'!C:C,'Import DV AUCS'!A429)</f>
        <v>0</v>
      </c>
      <c r="I429" s="562">
        <f>SUMIFS('Taxes Withheld'!G:G,'Taxes Withheld'!C:C,'Import DV AUCS'!A429)</f>
        <v>0</v>
      </c>
      <c r="K429" s="562">
        <f t="shared" si="6"/>
        <v>0</v>
      </c>
      <c r="M429" t="s">
        <v>2662</v>
      </c>
      <c r="N429" t="s">
        <v>2053</v>
      </c>
      <c r="O429" t="s">
        <v>2680</v>
      </c>
    </row>
    <row r="430" spans="1:15">
      <c r="A430" t="s">
        <v>3758</v>
      </c>
      <c r="B430" t="s">
        <v>2676</v>
      </c>
      <c r="C430" t="s">
        <v>2666</v>
      </c>
      <c r="D430" s="562">
        <v>0</v>
      </c>
      <c r="E430" t="s">
        <v>1759</v>
      </c>
      <c r="F430" t="s">
        <v>3759</v>
      </c>
      <c r="G430" s="562">
        <v>4845.12</v>
      </c>
      <c r="H430" s="562">
        <f>SUMIFS('Taxes Withheld'!F:F,'Taxes Withheld'!C:C,'Import DV AUCS'!A430)</f>
        <v>0</v>
      </c>
      <c r="I430" s="562">
        <f>SUMIFS('Taxes Withheld'!G:G,'Taxes Withheld'!C:C,'Import DV AUCS'!A430)</f>
        <v>0</v>
      </c>
      <c r="K430" s="562">
        <f t="shared" si="6"/>
        <v>0</v>
      </c>
      <c r="M430" t="s">
        <v>2662</v>
      </c>
      <c r="N430" t="s">
        <v>2053</v>
      </c>
      <c r="O430" t="s">
        <v>2680</v>
      </c>
    </row>
    <row r="431" spans="1:15">
      <c r="A431" t="s">
        <v>3760</v>
      </c>
      <c r="B431" t="s">
        <v>2676</v>
      </c>
      <c r="C431" t="s">
        <v>2666</v>
      </c>
      <c r="D431" s="562">
        <v>0</v>
      </c>
      <c r="E431" t="s">
        <v>1691</v>
      </c>
      <c r="F431" t="s">
        <v>3761</v>
      </c>
      <c r="G431" s="562">
        <v>8967.5399999999991</v>
      </c>
      <c r="H431" s="562">
        <f>SUMIFS('Taxes Withheld'!F:F,'Taxes Withheld'!C:C,'Import DV AUCS'!A431)</f>
        <v>0</v>
      </c>
      <c r="I431" s="562">
        <f>SUMIFS('Taxes Withheld'!G:G,'Taxes Withheld'!C:C,'Import DV AUCS'!A431)</f>
        <v>0</v>
      </c>
      <c r="K431" s="562">
        <f t="shared" si="6"/>
        <v>0</v>
      </c>
      <c r="M431" t="s">
        <v>2662</v>
      </c>
      <c r="N431" t="s">
        <v>2053</v>
      </c>
      <c r="O431" t="s">
        <v>2680</v>
      </c>
    </row>
    <row r="432" spans="1:15">
      <c r="A432" t="s">
        <v>3762</v>
      </c>
      <c r="B432" t="s">
        <v>2676</v>
      </c>
      <c r="C432" t="s">
        <v>2666</v>
      </c>
      <c r="D432" s="562">
        <v>0</v>
      </c>
      <c r="E432" t="s">
        <v>2933</v>
      </c>
      <c r="F432" t="s">
        <v>3763</v>
      </c>
      <c r="G432" s="562">
        <v>800</v>
      </c>
      <c r="H432" s="562">
        <f>SUMIFS('Taxes Withheld'!F:F,'Taxes Withheld'!C:C,'Import DV AUCS'!A432)</f>
        <v>0</v>
      </c>
      <c r="I432" s="562">
        <f>SUMIFS('Taxes Withheld'!G:G,'Taxes Withheld'!C:C,'Import DV AUCS'!A432)</f>
        <v>0</v>
      </c>
      <c r="K432" s="562">
        <f t="shared" si="6"/>
        <v>0</v>
      </c>
      <c r="M432" t="s">
        <v>2662</v>
      </c>
      <c r="N432" t="s">
        <v>2053</v>
      </c>
      <c r="O432" t="s">
        <v>2680</v>
      </c>
    </row>
    <row r="433" spans="1:15">
      <c r="A433" t="s">
        <v>3764</v>
      </c>
      <c r="B433" t="s">
        <v>2676</v>
      </c>
      <c r="C433" t="s">
        <v>2666</v>
      </c>
      <c r="D433" s="562">
        <v>0</v>
      </c>
      <c r="E433" t="s">
        <v>2936</v>
      </c>
      <c r="F433" t="s">
        <v>3765</v>
      </c>
      <c r="G433" s="562">
        <v>300</v>
      </c>
      <c r="H433" s="562">
        <f>SUMIFS('Taxes Withheld'!F:F,'Taxes Withheld'!C:C,'Import DV AUCS'!A433)</f>
        <v>0</v>
      </c>
      <c r="I433" s="562">
        <f>SUMIFS('Taxes Withheld'!G:G,'Taxes Withheld'!C:C,'Import DV AUCS'!A433)</f>
        <v>0</v>
      </c>
      <c r="K433" s="562">
        <f t="shared" si="6"/>
        <v>0</v>
      </c>
      <c r="M433" t="s">
        <v>2662</v>
      </c>
      <c r="N433" t="s">
        <v>2053</v>
      </c>
      <c r="O433" t="s">
        <v>2680</v>
      </c>
    </row>
    <row r="434" spans="1:15">
      <c r="A434" t="s">
        <v>3766</v>
      </c>
      <c r="B434" t="s">
        <v>2676</v>
      </c>
      <c r="C434" t="s">
        <v>2666</v>
      </c>
      <c r="D434" s="562">
        <v>0</v>
      </c>
      <c r="E434" t="s">
        <v>3418</v>
      </c>
      <c r="F434" t="s">
        <v>3767</v>
      </c>
      <c r="G434" s="562">
        <v>120</v>
      </c>
      <c r="H434" s="562">
        <f>SUMIFS('Taxes Withheld'!F:F,'Taxes Withheld'!C:C,'Import DV AUCS'!A434)</f>
        <v>0</v>
      </c>
      <c r="I434" s="562">
        <f>SUMIFS('Taxes Withheld'!G:G,'Taxes Withheld'!C:C,'Import DV AUCS'!A434)</f>
        <v>0</v>
      </c>
      <c r="K434" s="562">
        <f t="shared" si="6"/>
        <v>0</v>
      </c>
      <c r="M434" t="s">
        <v>2662</v>
      </c>
      <c r="N434" t="s">
        <v>2053</v>
      </c>
      <c r="O434" t="s">
        <v>2680</v>
      </c>
    </row>
    <row r="435" spans="1:15">
      <c r="A435" t="s">
        <v>3768</v>
      </c>
      <c r="B435" t="s">
        <v>2676</v>
      </c>
      <c r="C435" t="s">
        <v>2666</v>
      </c>
      <c r="D435" s="562">
        <v>0</v>
      </c>
      <c r="E435" t="s">
        <v>3769</v>
      </c>
      <c r="F435" t="s">
        <v>3770</v>
      </c>
      <c r="G435" s="562">
        <v>4640</v>
      </c>
      <c r="H435" s="562">
        <f>SUMIFS('Taxes Withheld'!F:F,'Taxes Withheld'!C:C,'Import DV AUCS'!A435)</f>
        <v>0</v>
      </c>
      <c r="I435" s="562">
        <f>SUMIFS('Taxes Withheld'!G:G,'Taxes Withheld'!C:C,'Import DV AUCS'!A435)</f>
        <v>0</v>
      </c>
      <c r="K435" s="562">
        <f t="shared" si="6"/>
        <v>0</v>
      </c>
      <c r="M435" t="s">
        <v>2662</v>
      </c>
      <c r="N435" t="s">
        <v>2053</v>
      </c>
      <c r="O435" t="s">
        <v>2680</v>
      </c>
    </row>
    <row r="436" spans="1:15">
      <c r="A436" t="s">
        <v>3771</v>
      </c>
      <c r="B436" t="s">
        <v>2676</v>
      </c>
      <c r="C436" t="s">
        <v>2666</v>
      </c>
      <c r="D436" s="562">
        <v>0</v>
      </c>
      <c r="E436" t="s">
        <v>1690</v>
      </c>
      <c r="F436" t="s">
        <v>3770</v>
      </c>
      <c r="G436" s="562">
        <v>1030</v>
      </c>
      <c r="H436" s="562">
        <f>SUMIFS('Taxes Withheld'!F:F,'Taxes Withheld'!C:C,'Import DV AUCS'!A436)</f>
        <v>0</v>
      </c>
      <c r="I436" s="562">
        <f>SUMIFS('Taxes Withheld'!G:G,'Taxes Withheld'!C:C,'Import DV AUCS'!A436)</f>
        <v>0</v>
      </c>
      <c r="K436" s="562">
        <f t="shared" si="6"/>
        <v>0</v>
      </c>
      <c r="M436" t="s">
        <v>2662</v>
      </c>
      <c r="N436" t="s">
        <v>2053</v>
      </c>
      <c r="O436" t="s">
        <v>2680</v>
      </c>
    </row>
    <row r="437" spans="1:15">
      <c r="A437" t="s">
        <v>3772</v>
      </c>
      <c r="B437" t="s">
        <v>2676</v>
      </c>
      <c r="C437" t="s">
        <v>2666</v>
      </c>
      <c r="D437" s="562">
        <v>0</v>
      </c>
      <c r="E437" t="s">
        <v>3354</v>
      </c>
      <c r="F437" t="s">
        <v>3773</v>
      </c>
      <c r="G437" s="562">
        <v>6900</v>
      </c>
      <c r="H437" s="562">
        <f>SUMIFS('Taxes Withheld'!F:F,'Taxes Withheld'!C:C,'Import DV AUCS'!A437)</f>
        <v>0</v>
      </c>
      <c r="I437" s="562">
        <f>SUMIFS('Taxes Withheld'!G:G,'Taxes Withheld'!C:C,'Import DV AUCS'!A437)</f>
        <v>0</v>
      </c>
      <c r="K437" s="562">
        <f t="shared" si="6"/>
        <v>0</v>
      </c>
      <c r="M437" t="s">
        <v>2662</v>
      </c>
      <c r="N437" t="s">
        <v>2053</v>
      </c>
      <c r="O437" t="s">
        <v>2680</v>
      </c>
    </row>
    <row r="438" spans="1:15">
      <c r="A438" t="s">
        <v>3774</v>
      </c>
      <c r="B438" t="s">
        <v>2676</v>
      </c>
      <c r="C438" t="s">
        <v>2666</v>
      </c>
      <c r="D438" s="562">
        <v>0</v>
      </c>
      <c r="E438" t="s">
        <v>3418</v>
      </c>
      <c r="F438" t="s">
        <v>3775</v>
      </c>
      <c r="G438" s="562">
        <v>170</v>
      </c>
      <c r="H438" s="562">
        <f>SUMIFS('Taxes Withheld'!F:F,'Taxes Withheld'!C:C,'Import DV AUCS'!A438)</f>
        <v>0</v>
      </c>
      <c r="I438" s="562">
        <f>SUMIFS('Taxes Withheld'!G:G,'Taxes Withheld'!C:C,'Import DV AUCS'!A438)</f>
        <v>0</v>
      </c>
      <c r="K438" s="562">
        <f t="shared" si="6"/>
        <v>0</v>
      </c>
      <c r="M438" t="s">
        <v>2662</v>
      </c>
      <c r="N438" t="s">
        <v>2053</v>
      </c>
      <c r="O438" t="s">
        <v>2680</v>
      </c>
    </row>
    <row r="439" spans="1:15">
      <c r="A439" t="s">
        <v>3776</v>
      </c>
      <c r="B439" t="s">
        <v>2676</v>
      </c>
      <c r="C439" t="s">
        <v>2666</v>
      </c>
      <c r="D439" s="562">
        <v>0</v>
      </c>
      <c r="E439" t="s">
        <v>2936</v>
      </c>
      <c r="F439" t="s">
        <v>3777</v>
      </c>
      <c r="G439" s="562">
        <v>200</v>
      </c>
      <c r="H439" s="562">
        <f>SUMIFS('Taxes Withheld'!F:F,'Taxes Withheld'!C:C,'Import DV AUCS'!A439)</f>
        <v>0</v>
      </c>
      <c r="I439" s="562">
        <f>SUMIFS('Taxes Withheld'!G:G,'Taxes Withheld'!C:C,'Import DV AUCS'!A439)</f>
        <v>0</v>
      </c>
      <c r="K439" s="562">
        <f t="shared" si="6"/>
        <v>0</v>
      </c>
      <c r="M439" t="s">
        <v>2662</v>
      </c>
      <c r="N439" t="s">
        <v>2053</v>
      </c>
      <c r="O439" t="s">
        <v>2680</v>
      </c>
    </row>
    <row r="440" spans="1:15">
      <c r="A440" t="s">
        <v>3778</v>
      </c>
      <c r="B440" t="s">
        <v>2676</v>
      </c>
      <c r="C440" t="s">
        <v>2666</v>
      </c>
      <c r="D440" s="562">
        <v>0</v>
      </c>
      <c r="E440" t="s">
        <v>2933</v>
      </c>
      <c r="F440" t="s">
        <v>3779</v>
      </c>
      <c r="G440" s="562">
        <v>600</v>
      </c>
      <c r="H440" s="562">
        <f>SUMIFS('Taxes Withheld'!F:F,'Taxes Withheld'!C:C,'Import DV AUCS'!A440)</f>
        <v>0</v>
      </c>
      <c r="I440" s="562">
        <f>SUMIFS('Taxes Withheld'!G:G,'Taxes Withheld'!C:C,'Import DV AUCS'!A440)</f>
        <v>0</v>
      </c>
      <c r="K440" s="562">
        <f t="shared" si="6"/>
        <v>0</v>
      </c>
      <c r="M440" t="s">
        <v>2662</v>
      </c>
      <c r="N440" t="s">
        <v>2053</v>
      </c>
      <c r="O440" t="s">
        <v>2680</v>
      </c>
    </row>
    <row r="441" spans="1:15">
      <c r="A441" t="s">
        <v>3780</v>
      </c>
      <c r="B441" t="s">
        <v>2676</v>
      </c>
      <c r="C441" t="s">
        <v>2666</v>
      </c>
      <c r="D441" s="562">
        <v>0</v>
      </c>
      <c r="E441" t="s">
        <v>3396</v>
      </c>
      <c r="F441" t="s">
        <v>3781</v>
      </c>
      <c r="G441" s="562">
        <v>4297.8599999999997</v>
      </c>
      <c r="H441" s="562">
        <f>SUMIFS('Taxes Withheld'!F:F,'Taxes Withheld'!C:C,'Import DV AUCS'!A441)</f>
        <v>0</v>
      </c>
      <c r="I441" s="562">
        <f>SUMIFS('Taxes Withheld'!G:G,'Taxes Withheld'!C:C,'Import DV AUCS'!A441)</f>
        <v>0</v>
      </c>
      <c r="K441" s="562">
        <f t="shared" si="6"/>
        <v>0</v>
      </c>
      <c r="M441" t="s">
        <v>2662</v>
      </c>
      <c r="N441" t="s">
        <v>2053</v>
      </c>
      <c r="O441" t="s">
        <v>2680</v>
      </c>
    </row>
    <row r="442" spans="1:15">
      <c r="A442" t="s">
        <v>3782</v>
      </c>
      <c r="B442" t="s">
        <v>2676</v>
      </c>
      <c r="C442" t="s">
        <v>2666</v>
      </c>
      <c r="D442" s="562">
        <v>0</v>
      </c>
      <c r="E442" t="s">
        <v>1759</v>
      </c>
      <c r="F442" t="s">
        <v>3783</v>
      </c>
      <c r="G442" s="562">
        <v>1200</v>
      </c>
      <c r="H442" s="562">
        <f>SUMIFS('Taxes Withheld'!F:F,'Taxes Withheld'!C:C,'Import DV AUCS'!A442)</f>
        <v>0</v>
      </c>
      <c r="I442" s="562">
        <f>SUMIFS('Taxes Withheld'!G:G,'Taxes Withheld'!C:C,'Import DV AUCS'!A442)</f>
        <v>0</v>
      </c>
      <c r="K442" s="562">
        <f t="shared" si="6"/>
        <v>0</v>
      </c>
      <c r="M442" t="s">
        <v>2662</v>
      </c>
      <c r="N442" t="s">
        <v>2053</v>
      </c>
      <c r="O442" t="s">
        <v>2680</v>
      </c>
    </row>
    <row r="443" spans="1:15">
      <c r="A443" t="s">
        <v>3784</v>
      </c>
      <c r="B443" t="s">
        <v>2676</v>
      </c>
      <c r="C443" t="s">
        <v>2666</v>
      </c>
      <c r="D443" s="562">
        <v>0</v>
      </c>
      <c r="E443" t="s">
        <v>1105</v>
      </c>
      <c r="F443" t="s">
        <v>3785</v>
      </c>
      <c r="G443" s="562">
        <v>30685.02</v>
      </c>
      <c r="H443" s="562">
        <f>SUMIFS('Taxes Withheld'!F:F,'Taxes Withheld'!C:C,'Import DV AUCS'!A443)</f>
        <v>0</v>
      </c>
      <c r="I443" s="562">
        <f>SUMIFS('Taxes Withheld'!G:G,'Taxes Withheld'!C:C,'Import DV AUCS'!A443)</f>
        <v>0</v>
      </c>
      <c r="K443" s="562">
        <f t="shared" si="6"/>
        <v>0</v>
      </c>
      <c r="M443" t="s">
        <v>2662</v>
      </c>
      <c r="N443" t="s">
        <v>2053</v>
      </c>
      <c r="O443" t="s">
        <v>2680</v>
      </c>
    </row>
    <row r="444" spans="1:15">
      <c r="A444" t="s">
        <v>3786</v>
      </c>
      <c r="B444" t="s">
        <v>2676</v>
      </c>
      <c r="C444" t="s">
        <v>2666</v>
      </c>
      <c r="D444" s="562">
        <v>0</v>
      </c>
      <c r="E444" t="s">
        <v>1661</v>
      </c>
      <c r="F444" t="s">
        <v>3787</v>
      </c>
      <c r="G444" s="562">
        <v>5000</v>
      </c>
      <c r="H444" s="562">
        <f>SUMIFS('Taxes Withheld'!F:F,'Taxes Withheld'!C:C,'Import DV AUCS'!A444)</f>
        <v>0</v>
      </c>
      <c r="I444" s="562">
        <f>SUMIFS('Taxes Withheld'!G:G,'Taxes Withheld'!C:C,'Import DV AUCS'!A444)</f>
        <v>0</v>
      </c>
      <c r="K444" s="562">
        <f t="shared" si="6"/>
        <v>0</v>
      </c>
      <c r="M444" t="s">
        <v>2662</v>
      </c>
      <c r="N444" t="s">
        <v>2053</v>
      </c>
      <c r="O444" t="s">
        <v>2680</v>
      </c>
    </row>
    <row r="445" spans="1:15">
      <c r="A445" t="s">
        <v>3788</v>
      </c>
      <c r="B445" t="s">
        <v>2676</v>
      </c>
      <c r="C445" t="s">
        <v>2666</v>
      </c>
      <c r="D445" s="562">
        <v>0</v>
      </c>
      <c r="E445" t="s">
        <v>3347</v>
      </c>
      <c r="F445" t="s">
        <v>3789</v>
      </c>
      <c r="G445" s="562">
        <v>300</v>
      </c>
      <c r="H445" s="562">
        <f>SUMIFS('Taxes Withheld'!F:F,'Taxes Withheld'!C:C,'Import DV AUCS'!A445)</f>
        <v>0</v>
      </c>
      <c r="I445" s="562">
        <f>SUMIFS('Taxes Withheld'!G:G,'Taxes Withheld'!C:C,'Import DV AUCS'!A445)</f>
        <v>0</v>
      </c>
      <c r="K445" s="562">
        <f t="shared" si="6"/>
        <v>0</v>
      </c>
      <c r="M445" t="s">
        <v>2662</v>
      </c>
      <c r="N445" t="s">
        <v>2053</v>
      </c>
      <c r="O445" t="s">
        <v>2680</v>
      </c>
    </row>
    <row r="446" spans="1:15">
      <c r="A446" t="s">
        <v>3790</v>
      </c>
      <c r="B446" t="s">
        <v>2676</v>
      </c>
      <c r="C446" t="s">
        <v>2666</v>
      </c>
      <c r="D446" s="562">
        <v>0</v>
      </c>
      <c r="E446" t="s">
        <v>2933</v>
      </c>
      <c r="F446" t="s">
        <v>3791</v>
      </c>
      <c r="G446" s="562">
        <v>600</v>
      </c>
      <c r="H446" s="562">
        <f>SUMIFS('Taxes Withheld'!F:F,'Taxes Withheld'!C:C,'Import DV AUCS'!A446)</f>
        <v>0</v>
      </c>
      <c r="I446" s="562">
        <f>SUMIFS('Taxes Withheld'!G:G,'Taxes Withheld'!C:C,'Import DV AUCS'!A446)</f>
        <v>0</v>
      </c>
      <c r="K446" s="562">
        <f t="shared" si="6"/>
        <v>0</v>
      </c>
      <c r="M446" t="s">
        <v>2662</v>
      </c>
      <c r="N446" t="s">
        <v>2053</v>
      </c>
      <c r="O446" t="s">
        <v>2680</v>
      </c>
    </row>
    <row r="447" spans="1:15">
      <c r="A447" t="s">
        <v>3792</v>
      </c>
      <c r="B447" t="s">
        <v>2676</v>
      </c>
      <c r="C447" t="s">
        <v>2666</v>
      </c>
      <c r="D447" s="562">
        <v>0</v>
      </c>
      <c r="E447" t="s">
        <v>2908</v>
      </c>
      <c r="F447" t="s">
        <v>3793</v>
      </c>
      <c r="G447" s="562">
        <v>4297.8599999999997</v>
      </c>
      <c r="H447" s="562">
        <f>SUMIFS('Taxes Withheld'!F:F,'Taxes Withheld'!C:C,'Import DV AUCS'!A447)</f>
        <v>0</v>
      </c>
      <c r="I447" s="562">
        <f>SUMIFS('Taxes Withheld'!G:G,'Taxes Withheld'!C:C,'Import DV AUCS'!A447)</f>
        <v>0</v>
      </c>
      <c r="K447" s="562">
        <f t="shared" si="6"/>
        <v>0</v>
      </c>
      <c r="M447" t="s">
        <v>2662</v>
      </c>
      <c r="N447" t="s">
        <v>2053</v>
      </c>
      <c r="O447" t="s">
        <v>2680</v>
      </c>
    </row>
    <row r="448" spans="1:15">
      <c r="A448" t="s">
        <v>3794</v>
      </c>
      <c r="B448" t="s">
        <v>2676</v>
      </c>
      <c r="C448" t="s">
        <v>2666</v>
      </c>
      <c r="D448" s="562">
        <v>0</v>
      </c>
      <c r="E448" t="s">
        <v>1759</v>
      </c>
      <c r="F448" t="s">
        <v>3795</v>
      </c>
      <c r="G448" s="562">
        <v>1200</v>
      </c>
      <c r="H448" s="562">
        <f>SUMIFS('Taxes Withheld'!F:F,'Taxes Withheld'!C:C,'Import DV AUCS'!A448)</f>
        <v>0</v>
      </c>
      <c r="I448" s="562">
        <f>SUMIFS('Taxes Withheld'!G:G,'Taxes Withheld'!C:C,'Import DV AUCS'!A448)</f>
        <v>0</v>
      </c>
      <c r="K448" s="562">
        <f t="shared" si="6"/>
        <v>0</v>
      </c>
      <c r="M448" t="s">
        <v>2662</v>
      </c>
      <c r="N448" t="s">
        <v>2053</v>
      </c>
      <c r="O448" t="s">
        <v>2680</v>
      </c>
    </row>
    <row r="449" spans="1:15">
      <c r="A449" t="s">
        <v>3796</v>
      </c>
      <c r="B449" t="s">
        <v>2676</v>
      </c>
      <c r="C449" t="s">
        <v>2666</v>
      </c>
      <c r="D449" s="562">
        <v>0</v>
      </c>
      <c r="E449" t="s">
        <v>1105</v>
      </c>
      <c r="F449" t="s">
        <v>3797</v>
      </c>
      <c r="G449" s="562">
        <v>30685.02</v>
      </c>
      <c r="H449" s="562">
        <f>SUMIFS('Taxes Withheld'!F:F,'Taxes Withheld'!C:C,'Import DV AUCS'!A449)</f>
        <v>0</v>
      </c>
      <c r="I449" s="562">
        <f>SUMIFS('Taxes Withheld'!G:G,'Taxes Withheld'!C:C,'Import DV AUCS'!A449)</f>
        <v>0</v>
      </c>
      <c r="K449" s="562">
        <f t="shared" si="6"/>
        <v>0</v>
      </c>
      <c r="M449" t="s">
        <v>2662</v>
      </c>
      <c r="N449" t="s">
        <v>2053</v>
      </c>
      <c r="O449" t="s">
        <v>2680</v>
      </c>
    </row>
    <row r="450" spans="1:15">
      <c r="A450" t="s">
        <v>3798</v>
      </c>
      <c r="B450" t="s">
        <v>2676</v>
      </c>
      <c r="C450" t="s">
        <v>2666</v>
      </c>
      <c r="D450" s="562">
        <v>0</v>
      </c>
      <c r="E450" t="s">
        <v>3799</v>
      </c>
      <c r="F450" t="s">
        <v>3800</v>
      </c>
      <c r="G450" s="562">
        <v>63576.729999999996</v>
      </c>
      <c r="H450" s="562">
        <f>SUMIFS('Taxes Withheld'!F:F,'Taxes Withheld'!C:C,'Import DV AUCS'!A450)</f>
        <v>3116.51</v>
      </c>
      <c r="I450" s="562">
        <f>SUMIFS('Taxes Withheld'!G:G,'Taxes Withheld'!C:C,'Import DV AUCS'!A450)</f>
        <v>3116.51</v>
      </c>
      <c r="K450" s="562">
        <f t="shared" si="6"/>
        <v>6233.02</v>
      </c>
      <c r="M450" t="s">
        <v>392</v>
      </c>
      <c r="N450" t="s">
        <v>2681</v>
      </c>
      <c r="O450" t="s">
        <v>2679</v>
      </c>
    </row>
    <row r="451" spans="1:15">
      <c r="A451" t="s">
        <v>3801</v>
      </c>
      <c r="B451" t="s">
        <v>2676</v>
      </c>
      <c r="C451" t="s">
        <v>2666</v>
      </c>
      <c r="D451" s="562">
        <v>0</v>
      </c>
      <c r="E451" t="s">
        <v>3802</v>
      </c>
      <c r="F451" t="s">
        <v>3803</v>
      </c>
      <c r="G451" s="562">
        <v>2375</v>
      </c>
      <c r="H451" s="562">
        <f>SUMIFS('Taxes Withheld'!F:F,'Taxes Withheld'!C:C,'Import DV AUCS'!A451)</f>
        <v>75</v>
      </c>
      <c r="I451" s="562">
        <f>SUMIFS('Taxes Withheld'!G:G,'Taxes Withheld'!C:C,'Import DV AUCS'!A451)</f>
        <v>50</v>
      </c>
      <c r="K451" s="562">
        <f t="shared" si="6"/>
        <v>125</v>
      </c>
      <c r="M451" t="s">
        <v>392</v>
      </c>
      <c r="N451" t="s">
        <v>2681</v>
      </c>
      <c r="O451" t="s">
        <v>2679</v>
      </c>
    </row>
    <row r="452" spans="1:15">
      <c r="A452" t="s">
        <v>3804</v>
      </c>
      <c r="B452" t="s">
        <v>2676</v>
      </c>
      <c r="C452" t="s">
        <v>2666</v>
      </c>
      <c r="D452" s="562">
        <v>0</v>
      </c>
      <c r="E452" t="s">
        <v>3805</v>
      </c>
      <c r="F452" t="s">
        <v>3806</v>
      </c>
      <c r="G452" s="562">
        <v>3171.56</v>
      </c>
      <c r="H452" s="562">
        <f>SUMIFS('Taxes Withheld'!F:F,'Taxes Withheld'!C:C,'Import DV AUCS'!A452)</f>
        <v>151.03</v>
      </c>
      <c r="I452" s="562">
        <f>SUMIFS('Taxes Withheld'!G:G,'Taxes Withheld'!C:C,'Import DV AUCS'!A452)</f>
        <v>60.41</v>
      </c>
      <c r="K452" s="562">
        <f t="shared" ref="K452:K515" si="7">H452+I452+J452</f>
        <v>211.44</v>
      </c>
      <c r="M452" t="s">
        <v>392</v>
      </c>
      <c r="N452" t="s">
        <v>2681</v>
      </c>
      <c r="O452" t="s">
        <v>2679</v>
      </c>
    </row>
    <row r="453" spans="1:15">
      <c r="A453" t="s">
        <v>3807</v>
      </c>
      <c r="B453" t="s">
        <v>2676</v>
      </c>
      <c r="C453" t="s">
        <v>2666</v>
      </c>
      <c r="D453" s="562">
        <v>0</v>
      </c>
      <c r="E453" t="s">
        <v>3808</v>
      </c>
      <c r="F453" t="s">
        <v>3809</v>
      </c>
      <c r="G453" s="562">
        <v>230</v>
      </c>
      <c r="H453" s="562">
        <f>SUMIFS('Taxes Withheld'!F:F,'Taxes Withheld'!C:C,'Import DV AUCS'!A453)</f>
        <v>0</v>
      </c>
      <c r="I453" s="562">
        <f>SUMIFS('Taxes Withheld'!G:G,'Taxes Withheld'!C:C,'Import DV AUCS'!A453)</f>
        <v>0</v>
      </c>
      <c r="K453" s="562">
        <f t="shared" si="7"/>
        <v>0</v>
      </c>
      <c r="M453" t="s">
        <v>392</v>
      </c>
      <c r="N453" t="s">
        <v>2681</v>
      </c>
      <c r="O453" t="s">
        <v>2679</v>
      </c>
    </row>
    <row r="454" spans="1:15">
      <c r="A454" t="s">
        <v>3810</v>
      </c>
      <c r="B454" t="s">
        <v>2676</v>
      </c>
      <c r="C454" t="s">
        <v>2666</v>
      </c>
      <c r="D454" s="562">
        <v>0</v>
      </c>
      <c r="E454" t="s">
        <v>3811</v>
      </c>
      <c r="F454" t="s">
        <v>3812</v>
      </c>
      <c r="G454" s="562">
        <v>40600</v>
      </c>
      <c r="H454" s="562">
        <f>SUMIFS('Taxes Withheld'!F:F,'Taxes Withheld'!C:C,'Import DV AUCS'!A454)</f>
        <v>0</v>
      </c>
      <c r="I454" s="562">
        <f>SUMIFS('Taxes Withheld'!G:G,'Taxes Withheld'!C:C,'Import DV AUCS'!A454)</f>
        <v>0</v>
      </c>
      <c r="K454" s="562">
        <f t="shared" si="7"/>
        <v>0</v>
      </c>
      <c r="M454" t="s">
        <v>392</v>
      </c>
      <c r="N454" t="s">
        <v>2681</v>
      </c>
      <c r="O454" t="s">
        <v>2679</v>
      </c>
    </row>
    <row r="455" spans="1:15">
      <c r="A455" t="s">
        <v>3813</v>
      </c>
      <c r="B455" t="s">
        <v>2676</v>
      </c>
      <c r="C455" t="s">
        <v>2666</v>
      </c>
      <c r="D455" s="562">
        <v>0</v>
      </c>
      <c r="E455" t="s">
        <v>3814</v>
      </c>
      <c r="F455" t="s">
        <v>3815</v>
      </c>
      <c r="G455" s="562">
        <v>0</v>
      </c>
      <c r="H455" s="562">
        <f>SUMIFS('Taxes Withheld'!F:F,'Taxes Withheld'!C:C,'Import DV AUCS'!A455)</f>
        <v>0</v>
      </c>
      <c r="I455" s="562">
        <f>SUMIFS('Taxes Withheld'!G:G,'Taxes Withheld'!C:C,'Import DV AUCS'!A455)</f>
        <v>0</v>
      </c>
      <c r="K455" s="562">
        <f t="shared" si="7"/>
        <v>0</v>
      </c>
      <c r="M455" t="s">
        <v>2687</v>
      </c>
      <c r="N455" t="s">
        <v>2683</v>
      </c>
      <c r="O455" t="s">
        <v>2678</v>
      </c>
    </row>
    <row r="456" spans="1:15">
      <c r="A456" t="s">
        <v>3816</v>
      </c>
      <c r="B456" t="s">
        <v>2676</v>
      </c>
      <c r="C456" t="s">
        <v>2666</v>
      </c>
      <c r="D456" s="562">
        <v>0</v>
      </c>
      <c r="E456" t="s">
        <v>3162</v>
      </c>
      <c r="F456" t="s">
        <v>3817</v>
      </c>
      <c r="G456" s="562">
        <v>1392.25</v>
      </c>
      <c r="H456" s="562">
        <f>SUMIFS('Taxes Withheld'!F:F,'Taxes Withheld'!C:C,'Import DV AUCS'!A456)</f>
        <v>66.3</v>
      </c>
      <c r="I456" s="562">
        <f>SUMIFS('Taxes Withheld'!G:G,'Taxes Withheld'!C:C,'Import DV AUCS'!A456)</f>
        <v>26.52</v>
      </c>
      <c r="K456" s="562">
        <f t="shared" si="7"/>
        <v>92.82</v>
      </c>
      <c r="M456" t="s">
        <v>392</v>
      </c>
      <c r="N456" t="s">
        <v>2681</v>
      </c>
      <c r="O456" t="s">
        <v>2679</v>
      </c>
    </row>
    <row r="457" spans="1:15">
      <c r="A457" t="s">
        <v>3818</v>
      </c>
      <c r="B457" t="s">
        <v>2676</v>
      </c>
      <c r="C457" t="s">
        <v>2666</v>
      </c>
      <c r="D457" s="562">
        <v>0</v>
      </c>
      <c r="E457" t="s">
        <v>3819</v>
      </c>
      <c r="F457" t="s">
        <v>3820</v>
      </c>
      <c r="G457" s="562">
        <v>0</v>
      </c>
      <c r="H457" s="562">
        <f>SUMIFS('Taxes Withheld'!F:F,'Taxes Withheld'!C:C,'Import DV AUCS'!A457)</f>
        <v>0</v>
      </c>
      <c r="I457" s="562">
        <f>SUMIFS('Taxes Withheld'!G:G,'Taxes Withheld'!C:C,'Import DV AUCS'!A457)</f>
        <v>0</v>
      </c>
      <c r="K457" s="562">
        <f t="shared" si="7"/>
        <v>0</v>
      </c>
      <c r="M457" t="s">
        <v>2687</v>
      </c>
      <c r="N457" t="s">
        <v>2683</v>
      </c>
      <c r="O457" t="s">
        <v>2678</v>
      </c>
    </row>
    <row r="458" spans="1:15">
      <c r="A458" t="s">
        <v>3821</v>
      </c>
      <c r="B458" t="s">
        <v>2676</v>
      </c>
      <c r="C458" t="s">
        <v>2666</v>
      </c>
      <c r="D458" s="562">
        <v>0</v>
      </c>
      <c r="E458" t="s">
        <v>3822</v>
      </c>
      <c r="F458" t="s">
        <v>3823</v>
      </c>
      <c r="G458" s="562">
        <v>0</v>
      </c>
      <c r="H458" s="562">
        <f>SUMIFS('Taxes Withheld'!F:F,'Taxes Withheld'!C:C,'Import DV AUCS'!A458)</f>
        <v>0</v>
      </c>
      <c r="I458" s="562">
        <f>SUMIFS('Taxes Withheld'!G:G,'Taxes Withheld'!C:C,'Import DV AUCS'!A458)</f>
        <v>0</v>
      </c>
      <c r="K458" s="562">
        <f t="shared" si="7"/>
        <v>0</v>
      </c>
      <c r="M458" t="s">
        <v>2687</v>
      </c>
      <c r="N458" t="s">
        <v>2683</v>
      </c>
      <c r="O458" t="s">
        <v>2678</v>
      </c>
    </row>
    <row r="459" spans="1:15">
      <c r="A459" t="s">
        <v>3824</v>
      </c>
      <c r="B459" t="s">
        <v>2676</v>
      </c>
      <c r="C459" t="s">
        <v>3825</v>
      </c>
      <c r="D459" s="562">
        <v>800</v>
      </c>
      <c r="E459" t="s">
        <v>2720</v>
      </c>
      <c r="F459" t="s">
        <v>3826</v>
      </c>
      <c r="G459" s="562">
        <v>750</v>
      </c>
      <c r="H459" s="562">
        <f>SUMIFS('Taxes Withheld'!F:F,'Taxes Withheld'!C:C,'Import DV AUCS'!A459)</f>
        <v>35.71</v>
      </c>
      <c r="I459" s="562">
        <f>SUMIFS('Taxes Withheld'!G:G,'Taxes Withheld'!C:C,'Import DV AUCS'!A459)</f>
        <v>14.29</v>
      </c>
      <c r="K459" s="562">
        <f t="shared" si="7"/>
        <v>50</v>
      </c>
      <c r="M459" t="s">
        <v>2687</v>
      </c>
      <c r="N459" t="s">
        <v>2683</v>
      </c>
      <c r="O459" t="s">
        <v>2678</v>
      </c>
    </row>
    <row r="460" spans="1:15">
      <c r="A460" t="s">
        <v>3827</v>
      </c>
      <c r="B460" t="s">
        <v>2676</v>
      </c>
      <c r="C460" t="s">
        <v>2666</v>
      </c>
      <c r="D460" s="562">
        <v>0</v>
      </c>
      <c r="E460" t="s">
        <v>3814</v>
      </c>
      <c r="F460" t="s">
        <v>3828</v>
      </c>
      <c r="G460" s="562">
        <v>0</v>
      </c>
      <c r="H460" s="562">
        <f>SUMIFS('Taxes Withheld'!F:F,'Taxes Withheld'!C:C,'Import DV AUCS'!A460)</f>
        <v>0</v>
      </c>
      <c r="I460" s="562">
        <f>SUMIFS('Taxes Withheld'!G:G,'Taxes Withheld'!C:C,'Import DV AUCS'!A460)</f>
        <v>0</v>
      </c>
      <c r="K460" s="562">
        <f t="shared" si="7"/>
        <v>0</v>
      </c>
      <c r="M460" t="s">
        <v>2687</v>
      </c>
      <c r="N460" t="s">
        <v>2683</v>
      </c>
      <c r="O460" t="s">
        <v>2678</v>
      </c>
    </row>
    <row r="461" spans="1:15">
      <c r="A461" t="s">
        <v>3829</v>
      </c>
      <c r="B461" t="s">
        <v>2676</v>
      </c>
      <c r="C461" t="s">
        <v>2666</v>
      </c>
      <c r="D461" s="562">
        <v>0</v>
      </c>
      <c r="E461" t="s">
        <v>3830</v>
      </c>
      <c r="F461" t="s">
        <v>3831</v>
      </c>
      <c r="G461" s="562">
        <v>40694.54</v>
      </c>
      <c r="H461" s="562">
        <f>SUMIFS('Taxes Withheld'!F:F,'Taxes Withheld'!C:C,'Import DV AUCS'!A461)</f>
        <v>1919.55</v>
      </c>
      <c r="I461" s="562">
        <f>SUMIFS('Taxes Withheld'!G:G,'Taxes Withheld'!C:C,'Import DV AUCS'!A461)</f>
        <v>383.91</v>
      </c>
      <c r="K461" s="562">
        <f t="shared" si="7"/>
        <v>2303.46</v>
      </c>
      <c r="M461" t="s">
        <v>392</v>
      </c>
      <c r="N461" t="s">
        <v>2681</v>
      </c>
      <c r="O461" t="s">
        <v>2679</v>
      </c>
    </row>
    <row r="462" spans="1:15">
      <c r="A462" t="s">
        <v>3832</v>
      </c>
      <c r="B462" t="s">
        <v>2676</v>
      </c>
      <c r="C462" t="s">
        <v>2666</v>
      </c>
      <c r="D462" s="562">
        <v>0</v>
      </c>
      <c r="E462" t="s">
        <v>3833</v>
      </c>
      <c r="F462" t="s">
        <v>3834</v>
      </c>
      <c r="G462" s="562">
        <v>0</v>
      </c>
      <c r="H462" s="562">
        <f>SUMIFS('Taxes Withheld'!F:F,'Taxes Withheld'!C:C,'Import DV AUCS'!A462)</f>
        <v>0</v>
      </c>
      <c r="I462" s="562">
        <f>SUMIFS('Taxes Withheld'!G:G,'Taxes Withheld'!C:C,'Import DV AUCS'!A462)</f>
        <v>0</v>
      </c>
      <c r="K462" s="562">
        <f t="shared" si="7"/>
        <v>0</v>
      </c>
      <c r="M462" t="s">
        <v>2687</v>
      </c>
      <c r="N462" t="s">
        <v>2683</v>
      </c>
      <c r="O462" t="s">
        <v>2678</v>
      </c>
    </row>
    <row r="463" spans="1:15">
      <c r="A463" t="s">
        <v>3835</v>
      </c>
      <c r="B463" t="s">
        <v>2676</v>
      </c>
      <c r="C463" t="s">
        <v>2666</v>
      </c>
      <c r="D463" s="562">
        <v>0</v>
      </c>
      <c r="E463" t="s">
        <v>2864</v>
      </c>
      <c r="F463" t="s">
        <v>2865</v>
      </c>
      <c r="G463" s="562">
        <v>9500</v>
      </c>
      <c r="H463" s="562">
        <f>SUMIFS('Taxes Withheld'!F:F,'Taxes Withheld'!C:C,'Import DV AUCS'!A463)</f>
        <v>300</v>
      </c>
      <c r="I463" s="562">
        <f>SUMIFS('Taxes Withheld'!G:G,'Taxes Withheld'!C:C,'Import DV AUCS'!A463)</f>
        <v>200</v>
      </c>
      <c r="K463" s="562">
        <f t="shared" si="7"/>
        <v>500</v>
      </c>
      <c r="M463" t="s">
        <v>392</v>
      </c>
      <c r="N463" t="s">
        <v>2681</v>
      </c>
      <c r="O463" t="s">
        <v>2679</v>
      </c>
    </row>
    <row r="464" spans="1:15">
      <c r="A464" t="s">
        <v>3836</v>
      </c>
      <c r="B464" t="s">
        <v>2676</v>
      </c>
      <c r="C464" t="s">
        <v>3837</v>
      </c>
      <c r="D464" s="562">
        <v>3760</v>
      </c>
      <c r="E464" t="s">
        <v>2739</v>
      </c>
      <c r="F464" t="s">
        <v>3838</v>
      </c>
      <c r="G464" s="562">
        <v>3558.57</v>
      </c>
      <c r="H464" s="562">
        <f>SUMIFS('Taxes Withheld'!F:F,'Taxes Withheld'!C:C,'Import DV AUCS'!A464)</f>
        <v>167.86</v>
      </c>
      <c r="I464" s="562">
        <f>SUMIFS('Taxes Withheld'!G:G,'Taxes Withheld'!C:C,'Import DV AUCS'!A464)</f>
        <v>33.57</v>
      </c>
      <c r="K464" s="562">
        <f t="shared" si="7"/>
        <v>201.43</v>
      </c>
      <c r="M464" t="s">
        <v>2687</v>
      </c>
      <c r="N464" t="s">
        <v>2683</v>
      </c>
      <c r="O464" t="s">
        <v>2678</v>
      </c>
    </row>
    <row r="465" spans="1:15">
      <c r="A465" t="s">
        <v>3839</v>
      </c>
      <c r="B465" t="s">
        <v>2676</v>
      </c>
      <c r="C465" t="s">
        <v>3840</v>
      </c>
      <c r="D465" s="562">
        <v>30000</v>
      </c>
      <c r="E465" t="s">
        <v>3841</v>
      </c>
      <c r="F465" t="s">
        <v>3842</v>
      </c>
      <c r="G465" s="562">
        <v>28125</v>
      </c>
      <c r="H465" s="562">
        <f>SUMIFS('Taxes Withheld'!F:F,'Taxes Withheld'!C:C,'Import DV AUCS'!A465)</f>
        <v>1339.29</v>
      </c>
      <c r="I465" s="562">
        <f>SUMIFS('Taxes Withheld'!G:G,'Taxes Withheld'!C:C,'Import DV AUCS'!A465)</f>
        <v>535.71</v>
      </c>
      <c r="K465" s="562">
        <f t="shared" si="7"/>
        <v>1875</v>
      </c>
      <c r="M465" t="s">
        <v>2687</v>
      </c>
      <c r="N465" t="s">
        <v>2683</v>
      </c>
      <c r="O465" t="s">
        <v>2678</v>
      </c>
    </row>
    <row r="466" spans="1:15">
      <c r="A466" t="s">
        <v>3843</v>
      </c>
      <c r="B466" t="s">
        <v>2676</v>
      </c>
      <c r="C466" t="s">
        <v>2666</v>
      </c>
      <c r="D466" s="562">
        <v>0</v>
      </c>
      <c r="E466" t="s">
        <v>3844</v>
      </c>
      <c r="F466" t="s">
        <v>3845</v>
      </c>
      <c r="G466" s="562">
        <v>4495.3100000000004</v>
      </c>
      <c r="H466" s="562">
        <f>SUMIFS('Taxes Withheld'!F:F,'Taxes Withheld'!C:C,'Import DV AUCS'!A466)</f>
        <v>214.06</v>
      </c>
      <c r="I466" s="562">
        <f>SUMIFS('Taxes Withheld'!G:G,'Taxes Withheld'!C:C,'Import DV AUCS'!A466)</f>
        <v>85.63</v>
      </c>
      <c r="K466" s="562">
        <f t="shared" si="7"/>
        <v>299.69</v>
      </c>
      <c r="M466" t="s">
        <v>392</v>
      </c>
      <c r="N466" t="s">
        <v>2681</v>
      </c>
      <c r="O466" t="s">
        <v>2679</v>
      </c>
    </row>
    <row r="467" spans="1:15">
      <c r="A467" t="s">
        <v>3846</v>
      </c>
      <c r="B467" t="s">
        <v>2676</v>
      </c>
      <c r="C467" t="s">
        <v>3847</v>
      </c>
      <c r="D467" s="562">
        <v>2800</v>
      </c>
      <c r="E467" t="s">
        <v>3848</v>
      </c>
      <c r="F467" t="s">
        <v>3849</v>
      </c>
      <c r="G467" s="562">
        <v>2800</v>
      </c>
      <c r="H467" s="562">
        <f>SUMIFS('Taxes Withheld'!F:F,'Taxes Withheld'!C:C,'Import DV AUCS'!A467)</f>
        <v>0</v>
      </c>
      <c r="I467" s="562">
        <f>SUMIFS('Taxes Withheld'!G:G,'Taxes Withheld'!C:C,'Import DV AUCS'!A467)</f>
        <v>0</v>
      </c>
      <c r="K467" s="562">
        <f t="shared" si="7"/>
        <v>0</v>
      </c>
      <c r="M467" t="s">
        <v>2687</v>
      </c>
      <c r="N467" t="s">
        <v>2683</v>
      </c>
      <c r="O467" t="s">
        <v>2678</v>
      </c>
    </row>
    <row r="468" spans="1:15">
      <c r="A468" t="s">
        <v>3850</v>
      </c>
      <c r="B468" t="s">
        <v>2676</v>
      </c>
      <c r="C468" t="s">
        <v>3851</v>
      </c>
      <c r="D468" s="562">
        <v>2000</v>
      </c>
      <c r="E468" t="s">
        <v>2899</v>
      </c>
      <c r="F468" t="s">
        <v>3852</v>
      </c>
      <c r="G468" s="562">
        <v>2000</v>
      </c>
      <c r="H468" s="562">
        <f>SUMIFS('Taxes Withheld'!F:F,'Taxes Withheld'!C:C,'Import DV AUCS'!A468)</f>
        <v>0</v>
      </c>
      <c r="I468" s="562">
        <f>SUMIFS('Taxes Withheld'!G:G,'Taxes Withheld'!C:C,'Import DV AUCS'!A468)</f>
        <v>0</v>
      </c>
      <c r="K468" s="562">
        <f t="shared" si="7"/>
        <v>0</v>
      </c>
      <c r="M468" t="s">
        <v>2687</v>
      </c>
      <c r="N468" t="s">
        <v>2683</v>
      </c>
      <c r="O468" t="s">
        <v>2678</v>
      </c>
    </row>
    <row r="469" spans="1:15">
      <c r="A469" t="s">
        <v>3853</v>
      </c>
      <c r="B469" t="s">
        <v>2676</v>
      </c>
      <c r="C469" t="s">
        <v>3854</v>
      </c>
      <c r="D469" s="562">
        <v>9600</v>
      </c>
      <c r="E469" t="s">
        <v>1344</v>
      </c>
      <c r="F469" t="s">
        <v>3855</v>
      </c>
      <c r="G469" s="562">
        <v>9600</v>
      </c>
      <c r="H469" s="562">
        <f>SUMIFS('Taxes Withheld'!F:F,'Taxes Withheld'!C:C,'Import DV AUCS'!A469)</f>
        <v>0</v>
      </c>
      <c r="I469" s="562">
        <f>SUMIFS('Taxes Withheld'!G:G,'Taxes Withheld'!C:C,'Import DV AUCS'!A469)</f>
        <v>0</v>
      </c>
      <c r="K469" s="562">
        <f t="shared" si="7"/>
        <v>0</v>
      </c>
      <c r="M469" t="s">
        <v>2687</v>
      </c>
      <c r="N469" t="s">
        <v>2683</v>
      </c>
      <c r="O469" t="s">
        <v>2678</v>
      </c>
    </row>
    <row r="470" spans="1:15">
      <c r="A470" t="s">
        <v>3856</v>
      </c>
      <c r="B470" t="s">
        <v>2676</v>
      </c>
      <c r="C470" t="s">
        <v>3857</v>
      </c>
      <c r="D470" s="562">
        <v>3500</v>
      </c>
      <c r="E470" t="s">
        <v>3858</v>
      </c>
      <c r="F470" t="s">
        <v>3859</v>
      </c>
      <c r="G470" s="562">
        <v>3281.25</v>
      </c>
      <c r="H470" s="562">
        <f>SUMIFS('Taxes Withheld'!F:F,'Taxes Withheld'!C:C,'Import DV AUCS'!A470)</f>
        <v>156.25</v>
      </c>
      <c r="I470" s="562">
        <f>SUMIFS('Taxes Withheld'!G:G,'Taxes Withheld'!C:C,'Import DV AUCS'!A470)</f>
        <v>62.5</v>
      </c>
      <c r="K470" s="562">
        <f t="shared" si="7"/>
        <v>218.75</v>
      </c>
      <c r="M470" t="s">
        <v>2687</v>
      </c>
      <c r="N470" t="s">
        <v>2683</v>
      </c>
      <c r="O470" t="s">
        <v>2678</v>
      </c>
    </row>
    <row r="471" spans="1:15">
      <c r="A471" t="s">
        <v>3860</v>
      </c>
      <c r="B471" t="s">
        <v>2676</v>
      </c>
      <c r="C471" t="s">
        <v>3861</v>
      </c>
      <c r="D471" s="562">
        <v>0</v>
      </c>
      <c r="E471" t="s">
        <v>822</v>
      </c>
      <c r="F471" t="s">
        <v>3862</v>
      </c>
      <c r="G471" s="562">
        <v>0</v>
      </c>
      <c r="H471" s="562">
        <f>SUMIFS('Taxes Withheld'!F:F,'Taxes Withheld'!C:C,'Import DV AUCS'!A471)</f>
        <v>0</v>
      </c>
      <c r="I471" s="562">
        <f>SUMIFS('Taxes Withheld'!G:G,'Taxes Withheld'!C:C,'Import DV AUCS'!A471)</f>
        <v>0</v>
      </c>
      <c r="K471" s="562">
        <f t="shared" si="7"/>
        <v>0</v>
      </c>
      <c r="M471" t="s">
        <v>2687</v>
      </c>
      <c r="N471" t="s">
        <v>2683</v>
      </c>
      <c r="O471" t="s">
        <v>2678</v>
      </c>
    </row>
    <row r="472" spans="1:15">
      <c r="A472" t="s">
        <v>3863</v>
      </c>
      <c r="B472" t="s">
        <v>2676</v>
      </c>
      <c r="C472" t="s">
        <v>3864</v>
      </c>
      <c r="D472" s="562">
        <v>7873</v>
      </c>
      <c r="E472" t="s">
        <v>3609</v>
      </c>
      <c r="F472" t="s">
        <v>3865</v>
      </c>
      <c r="G472" s="562">
        <v>7380.94</v>
      </c>
      <c r="H472" s="562">
        <f>SUMIFS('Taxes Withheld'!F:F,'Taxes Withheld'!C:C,'Import DV AUCS'!A472)</f>
        <v>351.47</v>
      </c>
      <c r="I472" s="562">
        <f>SUMIFS('Taxes Withheld'!G:G,'Taxes Withheld'!C:C,'Import DV AUCS'!A472)</f>
        <v>140.59</v>
      </c>
      <c r="K472" s="562">
        <f t="shared" si="7"/>
        <v>492.06000000000006</v>
      </c>
      <c r="M472" t="s">
        <v>2687</v>
      </c>
      <c r="N472" t="s">
        <v>2683</v>
      </c>
      <c r="O472" t="s">
        <v>2678</v>
      </c>
    </row>
    <row r="473" spans="1:15">
      <c r="A473" t="s">
        <v>3866</v>
      </c>
      <c r="B473" t="s">
        <v>2676</v>
      </c>
      <c r="C473" t="s">
        <v>3867</v>
      </c>
      <c r="D473" s="562">
        <v>11000</v>
      </c>
      <c r="E473" t="s">
        <v>3269</v>
      </c>
      <c r="F473" t="s">
        <v>3868</v>
      </c>
      <c r="G473" s="562">
        <v>10312.5</v>
      </c>
      <c r="H473" s="562">
        <f>SUMIFS('Taxes Withheld'!F:F,'Taxes Withheld'!C:C,'Import DV AUCS'!A473)</f>
        <v>491.07</v>
      </c>
      <c r="I473" s="562">
        <f>SUMIFS('Taxes Withheld'!G:G,'Taxes Withheld'!C:C,'Import DV AUCS'!A473)</f>
        <v>196.43</v>
      </c>
      <c r="K473" s="562">
        <f t="shared" si="7"/>
        <v>687.5</v>
      </c>
      <c r="M473" t="s">
        <v>2687</v>
      </c>
      <c r="N473" t="s">
        <v>2683</v>
      </c>
      <c r="O473" t="s">
        <v>2678</v>
      </c>
    </row>
    <row r="474" spans="1:15">
      <c r="A474" t="s">
        <v>3869</v>
      </c>
      <c r="B474" t="s">
        <v>2676</v>
      </c>
      <c r="C474" t="s">
        <v>2666</v>
      </c>
      <c r="D474" s="562">
        <v>0</v>
      </c>
      <c r="E474" t="s">
        <v>2775</v>
      </c>
      <c r="F474" t="s">
        <v>3870</v>
      </c>
      <c r="G474" s="562">
        <v>480.78</v>
      </c>
      <c r="H474" s="562">
        <f>SUMIFS('Taxes Withheld'!F:F,'Taxes Withheld'!C:C,'Import DV AUCS'!A474)</f>
        <v>22.68</v>
      </c>
      <c r="I474" s="562">
        <f>SUMIFS('Taxes Withheld'!G:G,'Taxes Withheld'!C:C,'Import DV AUCS'!A474)</f>
        <v>4.54</v>
      </c>
      <c r="K474" s="562">
        <f t="shared" si="7"/>
        <v>27.22</v>
      </c>
      <c r="M474" t="s">
        <v>392</v>
      </c>
      <c r="N474" t="s">
        <v>2681</v>
      </c>
      <c r="O474" t="s">
        <v>2679</v>
      </c>
    </row>
    <row r="475" spans="1:15">
      <c r="A475" t="s">
        <v>3871</v>
      </c>
      <c r="B475" t="s">
        <v>2676</v>
      </c>
      <c r="C475" t="s">
        <v>2666</v>
      </c>
      <c r="D475" s="562">
        <v>0</v>
      </c>
      <c r="E475" t="s">
        <v>3844</v>
      </c>
      <c r="F475" t="s">
        <v>3872</v>
      </c>
      <c r="G475" s="562">
        <v>4495.3100000000004</v>
      </c>
      <c r="H475" s="562">
        <f>SUMIFS('Taxes Withheld'!F:F,'Taxes Withheld'!C:C,'Import DV AUCS'!A475)</f>
        <v>214.06</v>
      </c>
      <c r="I475" s="562">
        <f>SUMIFS('Taxes Withheld'!G:G,'Taxes Withheld'!C:C,'Import DV AUCS'!A475)</f>
        <v>85.63</v>
      </c>
      <c r="K475" s="562">
        <f t="shared" si="7"/>
        <v>299.69</v>
      </c>
      <c r="M475" t="s">
        <v>392</v>
      </c>
      <c r="N475" t="s">
        <v>2681</v>
      </c>
      <c r="O475" t="s">
        <v>2679</v>
      </c>
    </row>
    <row r="476" spans="1:15">
      <c r="A476" t="s">
        <v>3873</v>
      </c>
      <c r="B476" t="s">
        <v>2676</v>
      </c>
      <c r="C476" t="s">
        <v>2666</v>
      </c>
      <c r="D476" s="562">
        <v>0</v>
      </c>
      <c r="E476" t="s">
        <v>2782</v>
      </c>
      <c r="F476" t="s">
        <v>3874</v>
      </c>
      <c r="G476" s="562">
        <v>25781.25</v>
      </c>
      <c r="H476" s="562">
        <f>SUMIFS('Taxes Withheld'!F:F,'Taxes Withheld'!C:C,'Import DV AUCS'!A476)</f>
        <v>1227.68</v>
      </c>
      <c r="I476" s="562">
        <f>SUMIFS('Taxes Withheld'!G:G,'Taxes Withheld'!C:C,'Import DV AUCS'!A476)</f>
        <v>491.07</v>
      </c>
      <c r="K476" s="562">
        <f t="shared" si="7"/>
        <v>1718.75</v>
      </c>
      <c r="M476" t="s">
        <v>392</v>
      </c>
      <c r="N476" t="s">
        <v>2681</v>
      </c>
      <c r="O476" t="s">
        <v>2679</v>
      </c>
    </row>
    <row r="477" spans="1:15">
      <c r="A477" t="s">
        <v>3875</v>
      </c>
      <c r="B477" t="s">
        <v>2676</v>
      </c>
      <c r="C477" t="s">
        <v>3876</v>
      </c>
      <c r="D477" s="562">
        <v>976560</v>
      </c>
      <c r="E477" t="s">
        <v>3877</v>
      </c>
      <c r="F477" t="s">
        <v>3878</v>
      </c>
      <c r="G477" s="562">
        <v>924244.28</v>
      </c>
      <c r="H477" s="562">
        <f>SUMIFS('Taxes Withheld'!F:F,'Taxes Withheld'!C:C,'Import DV AUCS'!A477)</f>
        <v>43596.43</v>
      </c>
      <c r="I477" s="562">
        <f>SUMIFS('Taxes Withheld'!G:G,'Taxes Withheld'!C:C,'Import DV AUCS'!A477)</f>
        <v>8719.2900000000009</v>
      </c>
      <c r="K477" s="562">
        <f t="shared" si="7"/>
        <v>52315.72</v>
      </c>
      <c r="M477" t="s">
        <v>2687</v>
      </c>
      <c r="N477" t="s">
        <v>2683</v>
      </c>
      <c r="O477" t="s">
        <v>2678</v>
      </c>
    </row>
    <row r="478" spans="1:15">
      <c r="A478" t="s">
        <v>3879</v>
      </c>
      <c r="B478" t="s">
        <v>2676</v>
      </c>
      <c r="C478" t="s">
        <v>2666</v>
      </c>
      <c r="D478" s="562">
        <v>0</v>
      </c>
      <c r="E478" t="s">
        <v>3880</v>
      </c>
      <c r="F478" t="s">
        <v>3881</v>
      </c>
      <c r="G478" s="562">
        <v>8755.2000000000007</v>
      </c>
      <c r="H478" s="562">
        <f>SUMIFS('Taxes Withheld'!F:F,'Taxes Withheld'!C:C,'Import DV AUCS'!A478)</f>
        <v>273.60000000000002</v>
      </c>
      <c r="I478" s="562">
        <f>SUMIFS('Taxes Withheld'!G:G,'Taxes Withheld'!C:C,'Import DV AUCS'!A478)</f>
        <v>91.2</v>
      </c>
      <c r="K478" s="562">
        <f t="shared" si="7"/>
        <v>364.8</v>
      </c>
      <c r="M478" t="s">
        <v>392</v>
      </c>
      <c r="N478" t="s">
        <v>2681</v>
      </c>
      <c r="O478" t="s">
        <v>2679</v>
      </c>
    </row>
    <row r="479" spans="1:15">
      <c r="A479" t="s">
        <v>3882</v>
      </c>
      <c r="B479" t="s">
        <v>2676</v>
      </c>
      <c r="C479" t="s">
        <v>2666</v>
      </c>
      <c r="D479" s="562">
        <v>0</v>
      </c>
      <c r="E479" t="s">
        <v>3883</v>
      </c>
      <c r="F479" t="s">
        <v>3884</v>
      </c>
      <c r="G479" s="562">
        <v>1138282.71</v>
      </c>
      <c r="H479" s="562">
        <f>SUMIFS('Taxes Withheld'!F:F,'Taxes Withheld'!C:C,'Import DV AUCS'!A479)</f>
        <v>0</v>
      </c>
      <c r="I479" s="562">
        <f>SUMIFS('Taxes Withheld'!G:G,'Taxes Withheld'!C:C,'Import DV AUCS'!A479)</f>
        <v>0</v>
      </c>
      <c r="K479" s="562">
        <f t="shared" si="7"/>
        <v>0</v>
      </c>
      <c r="M479" t="s">
        <v>392</v>
      </c>
      <c r="N479" t="s">
        <v>2681</v>
      </c>
      <c r="O479" t="s">
        <v>2679</v>
      </c>
    </row>
    <row r="480" spans="1:15">
      <c r="A480" t="s">
        <v>3885</v>
      </c>
      <c r="B480" t="s">
        <v>2676</v>
      </c>
      <c r="C480" t="s">
        <v>3886</v>
      </c>
      <c r="D480" s="562">
        <v>6320</v>
      </c>
      <c r="E480" t="s">
        <v>2775</v>
      </c>
      <c r="F480" t="s">
        <v>3887</v>
      </c>
      <c r="G480" s="562">
        <v>5981.43</v>
      </c>
      <c r="H480" s="562">
        <f>SUMIFS('Taxes Withheld'!F:F,'Taxes Withheld'!C:C,'Import DV AUCS'!A480)</f>
        <v>282.14</v>
      </c>
      <c r="I480" s="562">
        <f>SUMIFS('Taxes Withheld'!G:G,'Taxes Withheld'!C:C,'Import DV AUCS'!A480)</f>
        <v>56.43</v>
      </c>
      <c r="K480" s="562">
        <f t="shared" si="7"/>
        <v>338.57</v>
      </c>
      <c r="M480" t="s">
        <v>2687</v>
      </c>
      <c r="N480" t="s">
        <v>2683</v>
      </c>
      <c r="O480" t="s">
        <v>2678</v>
      </c>
    </row>
    <row r="481" spans="1:15">
      <c r="A481" t="s">
        <v>3888</v>
      </c>
      <c r="B481" t="s">
        <v>2676</v>
      </c>
      <c r="C481" t="s">
        <v>3889</v>
      </c>
      <c r="D481" s="562">
        <v>2800</v>
      </c>
      <c r="E481" t="s">
        <v>3890</v>
      </c>
      <c r="F481" t="s">
        <v>3891</v>
      </c>
      <c r="G481" s="562">
        <v>2688</v>
      </c>
      <c r="H481" s="562">
        <f>SUMIFS('Taxes Withheld'!F:F,'Taxes Withheld'!C:C,'Import DV AUCS'!A481)</f>
        <v>84</v>
      </c>
      <c r="I481" s="562">
        <f>SUMIFS('Taxes Withheld'!G:G,'Taxes Withheld'!C:C,'Import DV AUCS'!A481)</f>
        <v>28</v>
      </c>
      <c r="K481" s="562">
        <f t="shared" si="7"/>
        <v>112</v>
      </c>
      <c r="M481" t="s">
        <v>2687</v>
      </c>
      <c r="N481" t="s">
        <v>2683</v>
      </c>
      <c r="O481" t="s">
        <v>2678</v>
      </c>
    </row>
    <row r="482" spans="1:15">
      <c r="A482" t="s">
        <v>3892</v>
      </c>
      <c r="B482" t="s">
        <v>2676</v>
      </c>
      <c r="C482" t="s">
        <v>3893</v>
      </c>
      <c r="D482" s="562">
        <v>2486</v>
      </c>
      <c r="E482" t="s">
        <v>2882</v>
      </c>
      <c r="F482" t="s">
        <v>3894</v>
      </c>
      <c r="G482" s="562">
        <v>2386.56</v>
      </c>
      <c r="H482" s="562">
        <f>SUMIFS('Taxes Withheld'!F:F,'Taxes Withheld'!C:C,'Import DV AUCS'!A482)</f>
        <v>74.58</v>
      </c>
      <c r="I482" s="562">
        <f>SUMIFS('Taxes Withheld'!G:G,'Taxes Withheld'!C:C,'Import DV AUCS'!A482)</f>
        <v>24.86</v>
      </c>
      <c r="K482" s="562">
        <f t="shared" si="7"/>
        <v>99.44</v>
      </c>
      <c r="M482" t="s">
        <v>2687</v>
      </c>
      <c r="N482" t="s">
        <v>2683</v>
      </c>
      <c r="O482" t="s">
        <v>2678</v>
      </c>
    </row>
    <row r="483" spans="1:15">
      <c r="A483" t="s">
        <v>3895</v>
      </c>
      <c r="B483" t="s">
        <v>2676</v>
      </c>
      <c r="C483" t="s">
        <v>3896</v>
      </c>
      <c r="D483" s="562">
        <v>1200</v>
      </c>
      <c r="E483" t="s">
        <v>2731</v>
      </c>
      <c r="F483" t="s">
        <v>3897</v>
      </c>
      <c r="G483" s="562">
        <v>1125</v>
      </c>
      <c r="H483" s="562">
        <f>SUMIFS('Taxes Withheld'!F:F,'Taxes Withheld'!C:C,'Import DV AUCS'!A483)</f>
        <v>53.57</v>
      </c>
      <c r="I483" s="562">
        <f>SUMIFS('Taxes Withheld'!G:G,'Taxes Withheld'!C:C,'Import DV AUCS'!A483)</f>
        <v>21.43</v>
      </c>
      <c r="K483" s="562">
        <f t="shared" si="7"/>
        <v>75</v>
      </c>
      <c r="M483" t="s">
        <v>2687</v>
      </c>
      <c r="N483" t="s">
        <v>2683</v>
      </c>
      <c r="O483" t="s">
        <v>2678</v>
      </c>
    </row>
    <row r="484" spans="1:15">
      <c r="A484" t="s">
        <v>3898</v>
      </c>
      <c r="B484" t="s">
        <v>2676</v>
      </c>
      <c r="C484" t="s">
        <v>3899</v>
      </c>
      <c r="D484" s="562">
        <v>13034</v>
      </c>
      <c r="E484" t="s">
        <v>1075</v>
      </c>
      <c r="F484" t="s">
        <v>3900</v>
      </c>
      <c r="G484" s="562">
        <v>12534</v>
      </c>
      <c r="H484" s="562">
        <f>SUMIFS('Taxes Withheld'!F:F,'Taxes Withheld'!C:C,'Import DV AUCS'!A484)</f>
        <v>0</v>
      </c>
      <c r="I484" s="562">
        <f>SUMIFS('Taxes Withheld'!G:G,'Taxes Withheld'!C:C,'Import DV AUCS'!A484)</f>
        <v>0</v>
      </c>
      <c r="K484" s="562">
        <f t="shared" si="7"/>
        <v>0</v>
      </c>
      <c r="M484" t="s">
        <v>2687</v>
      </c>
      <c r="N484" t="s">
        <v>2683</v>
      </c>
      <c r="O484" t="s">
        <v>2678</v>
      </c>
    </row>
    <row r="485" spans="1:15">
      <c r="A485" t="s">
        <v>3901</v>
      </c>
      <c r="B485" t="s">
        <v>2676</v>
      </c>
      <c r="C485" t="s">
        <v>3902</v>
      </c>
      <c r="D485" s="562">
        <v>21301.64</v>
      </c>
      <c r="E485" t="s">
        <v>1075</v>
      </c>
      <c r="F485" t="s">
        <v>3900</v>
      </c>
      <c r="G485" s="562">
        <v>21301.64</v>
      </c>
      <c r="H485" s="562">
        <f>SUMIFS('Taxes Withheld'!F:F,'Taxes Withheld'!C:C,'Import DV AUCS'!A485)</f>
        <v>0</v>
      </c>
      <c r="I485" s="562">
        <f>SUMIFS('Taxes Withheld'!G:G,'Taxes Withheld'!C:C,'Import DV AUCS'!A485)</f>
        <v>0</v>
      </c>
      <c r="K485" s="562">
        <f t="shared" si="7"/>
        <v>0</v>
      </c>
      <c r="M485" t="s">
        <v>2687</v>
      </c>
      <c r="N485" t="s">
        <v>2683</v>
      </c>
      <c r="O485" t="s">
        <v>2678</v>
      </c>
    </row>
    <row r="486" spans="1:15">
      <c r="A486" t="s">
        <v>3903</v>
      </c>
      <c r="B486" t="s">
        <v>2676</v>
      </c>
      <c r="C486" t="s">
        <v>3904</v>
      </c>
      <c r="D486" s="562">
        <v>1200</v>
      </c>
      <c r="E486" t="s">
        <v>2731</v>
      </c>
      <c r="F486" t="s">
        <v>3905</v>
      </c>
      <c r="G486" s="562">
        <v>1125</v>
      </c>
      <c r="H486" s="562">
        <f>SUMIFS('Taxes Withheld'!F:F,'Taxes Withheld'!C:C,'Import DV AUCS'!A486)</f>
        <v>53.57</v>
      </c>
      <c r="I486" s="562">
        <f>SUMIFS('Taxes Withheld'!G:G,'Taxes Withheld'!C:C,'Import DV AUCS'!A486)</f>
        <v>21.43</v>
      </c>
      <c r="K486" s="562">
        <f t="shared" si="7"/>
        <v>75</v>
      </c>
      <c r="M486" t="s">
        <v>2687</v>
      </c>
      <c r="N486" t="s">
        <v>2683</v>
      </c>
      <c r="O486" t="s">
        <v>2678</v>
      </c>
    </row>
    <row r="487" spans="1:15">
      <c r="A487" t="s">
        <v>3906</v>
      </c>
      <c r="B487" t="s">
        <v>2676</v>
      </c>
      <c r="C487" t="s">
        <v>3907</v>
      </c>
      <c r="D487" s="562">
        <v>18421.13</v>
      </c>
      <c r="E487" t="s">
        <v>2811</v>
      </c>
      <c r="F487" t="s">
        <v>3908</v>
      </c>
      <c r="G487" s="562">
        <v>17638.59</v>
      </c>
      <c r="H487" s="562">
        <f>SUMIFS('Taxes Withheld'!F:F,'Taxes Withheld'!C:C,'Import DV AUCS'!A487)</f>
        <v>822.37</v>
      </c>
      <c r="I487" s="562">
        <f>SUMIFS('Taxes Withheld'!G:G,'Taxes Withheld'!C:C,'Import DV AUCS'!A487)</f>
        <v>164.47</v>
      </c>
      <c r="K487" s="562">
        <f t="shared" si="7"/>
        <v>986.84</v>
      </c>
      <c r="M487" t="s">
        <v>2687</v>
      </c>
      <c r="N487" t="s">
        <v>2683</v>
      </c>
      <c r="O487" t="s">
        <v>2678</v>
      </c>
    </row>
    <row r="488" spans="1:15">
      <c r="A488" t="s">
        <v>3909</v>
      </c>
      <c r="B488" t="s">
        <v>2676</v>
      </c>
      <c r="C488" t="s">
        <v>3910</v>
      </c>
      <c r="D488" s="562">
        <v>12300</v>
      </c>
      <c r="E488" t="s">
        <v>1075</v>
      </c>
      <c r="F488" t="s">
        <v>3900</v>
      </c>
      <c r="G488" s="562">
        <v>12300</v>
      </c>
      <c r="H488" s="562">
        <f>SUMIFS('Taxes Withheld'!F:F,'Taxes Withheld'!C:C,'Import DV AUCS'!A488)</f>
        <v>0</v>
      </c>
      <c r="I488" s="562">
        <f>SUMIFS('Taxes Withheld'!G:G,'Taxes Withheld'!C:C,'Import DV AUCS'!A488)</f>
        <v>0</v>
      </c>
      <c r="K488" s="562">
        <f t="shared" si="7"/>
        <v>0</v>
      </c>
      <c r="M488" t="s">
        <v>2687</v>
      </c>
      <c r="N488" t="s">
        <v>2683</v>
      </c>
      <c r="O488" t="s">
        <v>2678</v>
      </c>
    </row>
    <row r="489" spans="1:15">
      <c r="A489" t="s">
        <v>3911</v>
      </c>
      <c r="B489" t="s">
        <v>2676</v>
      </c>
      <c r="C489" t="s">
        <v>3912</v>
      </c>
      <c r="D489" s="562">
        <v>40369.5</v>
      </c>
      <c r="E489" t="s">
        <v>1075</v>
      </c>
      <c r="F489" t="s">
        <v>3913</v>
      </c>
      <c r="G489" s="562">
        <v>35286.17</v>
      </c>
      <c r="H489" s="562">
        <f>SUMIFS('Taxes Withheld'!F:F,'Taxes Withheld'!C:C,'Import DV AUCS'!A489)</f>
        <v>0</v>
      </c>
      <c r="I489" s="562">
        <f>SUMIFS('Taxes Withheld'!G:G,'Taxes Withheld'!C:C,'Import DV AUCS'!A489)</f>
        <v>0</v>
      </c>
      <c r="K489" s="562">
        <f t="shared" si="7"/>
        <v>0</v>
      </c>
      <c r="M489" t="s">
        <v>2687</v>
      </c>
      <c r="N489" t="s">
        <v>2683</v>
      </c>
      <c r="O489" t="s">
        <v>2678</v>
      </c>
    </row>
    <row r="490" spans="1:15">
      <c r="A490" t="s">
        <v>3914</v>
      </c>
      <c r="B490" t="s">
        <v>2676</v>
      </c>
      <c r="C490" t="s">
        <v>3915</v>
      </c>
      <c r="D490" s="562">
        <v>5390.81</v>
      </c>
      <c r="E490" t="s">
        <v>2731</v>
      </c>
      <c r="F490" t="s">
        <v>3916</v>
      </c>
      <c r="G490" s="562">
        <v>5053.8900000000003</v>
      </c>
      <c r="H490" s="562">
        <f>SUMIFS('Taxes Withheld'!F:F,'Taxes Withheld'!C:C,'Import DV AUCS'!A490)</f>
        <v>240.66</v>
      </c>
      <c r="I490" s="562">
        <f>SUMIFS('Taxes Withheld'!G:G,'Taxes Withheld'!C:C,'Import DV AUCS'!A490)</f>
        <v>96.26</v>
      </c>
      <c r="K490" s="562">
        <f t="shared" si="7"/>
        <v>336.92</v>
      </c>
      <c r="M490" t="s">
        <v>2687</v>
      </c>
      <c r="N490" t="s">
        <v>2683</v>
      </c>
      <c r="O490" t="s">
        <v>2678</v>
      </c>
    </row>
    <row r="491" spans="1:15">
      <c r="A491" t="s">
        <v>3917</v>
      </c>
      <c r="B491" t="s">
        <v>2676</v>
      </c>
      <c r="C491" t="s">
        <v>3918</v>
      </c>
      <c r="D491" s="562">
        <v>920</v>
      </c>
      <c r="E491" t="s">
        <v>2720</v>
      </c>
      <c r="F491" t="s">
        <v>3919</v>
      </c>
      <c r="G491" s="562">
        <v>862.5</v>
      </c>
      <c r="H491" s="562">
        <f>SUMIFS('Taxes Withheld'!F:F,'Taxes Withheld'!C:C,'Import DV AUCS'!A491)</f>
        <v>41.07</v>
      </c>
      <c r="I491" s="562">
        <f>SUMIFS('Taxes Withheld'!G:G,'Taxes Withheld'!C:C,'Import DV AUCS'!A491)</f>
        <v>16.43</v>
      </c>
      <c r="K491" s="562">
        <f t="shared" si="7"/>
        <v>57.5</v>
      </c>
      <c r="M491" t="s">
        <v>2687</v>
      </c>
      <c r="N491" t="s">
        <v>2683</v>
      </c>
      <c r="O491" t="s">
        <v>2678</v>
      </c>
    </row>
    <row r="492" spans="1:15">
      <c r="A492" t="s">
        <v>3920</v>
      </c>
      <c r="B492" t="s">
        <v>2676</v>
      </c>
      <c r="C492" t="s">
        <v>2666</v>
      </c>
      <c r="D492" s="562">
        <v>0</v>
      </c>
      <c r="E492" t="s">
        <v>3921</v>
      </c>
      <c r="F492" t="s">
        <v>3922</v>
      </c>
      <c r="G492" s="562">
        <v>950</v>
      </c>
      <c r="H492" s="562">
        <f>SUMIFS('Taxes Withheld'!F:F,'Taxes Withheld'!C:C,'Import DV AUCS'!A492)</f>
        <v>30</v>
      </c>
      <c r="I492" s="562">
        <f>SUMIFS('Taxes Withheld'!G:G,'Taxes Withheld'!C:C,'Import DV AUCS'!A492)</f>
        <v>20</v>
      </c>
      <c r="K492" s="562">
        <f t="shared" si="7"/>
        <v>50</v>
      </c>
      <c r="M492" t="s">
        <v>392</v>
      </c>
      <c r="N492" t="s">
        <v>2681</v>
      </c>
      <c r="O492" t="s">
        <v>2679</v>
      </c>
    </row>
    <row r="493" spans="1:15">
      <c r="A493" t="s">
        <v>3923</v>
      </c>
      <c r="B493" t="s">
        <v>2676</v>
      </c>
      <c r="C493" t="s">
        <v>2666</v>
      </c>
      <c r="D493" s="562">
        <v>0</v>
      </c>
      <c r="E493" t="s">
        <v>3924</v>
      </c>
      <c r="F493" t="s">
        <v>3922</v>
      </c>
      <c r="G493" s="562">
        <v>950</v>
      </c>
      <c r="H493" s="562">
        <f>SUMIFS('Taxes Withheld'!F:F,'Taxes Withheld'!C:C,'Import DV AUCS'!A493)</f>
        <v>30</v>
      </c>
      <c r="I493" s="562">
        <f>SUMIFS('Taxes Withheld'!G:G,'Taxes Withheld'!C:C,'Import DV AUCS'!A493)</f>
        <v>20</v>
      </c>
      <c r="K493" s="562">
        <f t="shared" si="7"/>
        <v>50</v>
      </c>
      <c r="M493" t="s">
        <v>392</v>
      </c>
      <c r="N493" t="s">
        <v>2681</v>
      </c>
      <c r="O493" t="s">
        <v>2679</v>
      </c>
    </row>
    <row r="494" spans="1:15">
      <c r="A494" t="s">
        <v>3925</v>
      </c>
      <c r="B494" t="s">
        <v>2676</v>
      </c>
      <c r="C494" t="s">
        <v>2666</v>
      </c>
      <c r="D494" s="562">
        <v>0</v>
      </c>
      <c r="E494" t="s">
        <v>2807</v>
      </c>
      <c r="F494" t="s">
        <v>3922</v>
      </c>
      <c r="G494" s="562">
        <v>9500</v>
      </c>
      <c r="H494" s="562">
        <f>SUMIFS('Taxes Withheld'!F:F,'Taxes Withheld'!C:C,'Import DV AUCS'!A494)</f>
        <v>300</v>
      </c>
      <c r="I494" s="562">
        <f>SUMIFS('Taxes Withheld'!G:G,'Taxes Withheld'!C:C,'Import DV AUCS'!A494)</f>
        <v>200</v>
      </c>
      <c r="K494" s="562">
        <f t="shared" si="7"/>
        <v>500</v>
      </c>
      <c r="M494" t="s">
        <v>392</v>
      </c>
      <c r="N494" t="s">
        <v>2681</v>
      </c>
      <c r="O494" t="s">
        <v>2679</v>
      </c>
    </row>
    <row r="495" spans="1:15">
      <c r="A495" t="s">
        <v>3926</v>
      </c>
      <c r="B495" t="s">
        <v>2676</v>
      </c>
      <c r="C495" t="s">
        <v>2666</v>
      </c>
      <c r="D495" s="562">
        <v>0</v>
      </c>
      <c r="E495" t="s">
        <v>3927</v>
      </c>
      <c r="F495" t="s">
        <v>3922</v>
      </c>
      <c r="G495" s="562">
        <v>950</v>
      </c>
      <c r="H495" s="562">
        <f>SUMIFS('Taxes Withheld'!F:F,'Taxes Withheld'!C:C,'Import DV AUCS'!A495)</f>
        <v>30</v>
      </c>
      <c r="I495" s="562">
        <f>SUMIFS('Taxes Withheld'!G:G,'Taxes Withheld'!C:C,'Import DV AUCS'!A495)</f>
        <v>20</v>
      </c>
      <c r="K495" s="562">
        <f t="shared" si="7"/>
        <v>50</v>
      </c>
      <c r="M495" t="s">
        <v>392</v>
      </c>
      <c r="N495" t="s">
        <v>2681</v>
      </c>
      <c r="O495" t="s">
        <v>2679</v>
      </c>
    </row>
    <row r="496" spans="1:15">
      <c r="A496" t="s">
        <v>3928</v>
      </c>
      <c r="B496" t="s">
        <v>2676</v>
      </c>
      <c r="C496" t="s">
        <v>3929</v>
      </c>
      <c r="D496" s="562">
        <v>13600</v>
      </c>
      <c r="E496" t="s">
        <v>2739</v>
      </c>
      <c r="F496" t="s">
        <v>3930</v>
      </c>
      <c r="G496" s="562">
        <v>12871.43</v>
      </c>
      <c r="H496" s="562">
        <f>SUMIFS('Taxes Withheld'!F:F,'Taxes Withheld'!C:C,'Import DV AUCS'!A496)</f>
        <v>607.14</v>
      </c>
      <c r="I496" s="562">
        <f>SUMIFS('Taxes Withheld'!G:G,'Taxes Withheld'!C:C,'Import DV AUCS'!A496)</f>
        <v>121.43</v>
      </c>
      <c r="K496" s="562">
        <f t="shared" si="7"/>
        <v>728.56999999999994</v>
      </c>
      <c r="M496" t="s">
        <v>2687</v>
      </c>
      <c r="N496" t="s">
        <v>2683</v>
      </c>
      <c r="O496" t="s">
        <v>2678</v>
      </c>
    </row>
    <row r="497" spans="1:15">
      <c r="A497" t="s">
        <v>3931</v>
      </c>
      <c r="B497" t="s">
        <v>2676</v>
      </c>
      <c r="C497" t="s">
        <v>3932</v>
      </c>
      <c r="D497" s="562">
        <v>1500</v>
      </c>
      <c r="E497" t="s">
        <v>3933</v>
      </c>
      <c r="F497" t="s">
        <v>3934</v>
      </c>
      <c r="G497" s="562">
        <v>1500</v>
      </c>
      <c r="H497" s="562">
        <f>SUMIFS('Taxes Withheld'!F:F,'Taxes Withheld'!C:C,'Import DV AUCS'!A497)</f>
        <v>0</v>
      </c>
      <c r="I497" s="562">
        <f>SUMIFS('Taxes Withheld'!G:G,'Taxes Withheld'!C:C,'Import DV AUCS'!A497)</f>
        <v>0</v>
      </c>
      <c r="K497" s="562">
        <f t="shared" si="7"/>
        <v>0</v>
      </c>
      <c r="M497" t="s">
        <v>2687</v>
      </c>
      <c r="N497" t="s">
        <v>2683</v>
      </c>
      <c r="O497" t="s">
        <v>2678</v>
      </c>
    </row>
    <row r="498" spans="1:15">
      <c r="A498" t="s">
        <v>3935</v>
      </c>
      <c r="B498" t="s">
        <v>2676</v>
      </c>
      <c r="C498" t="s">
        <v>3936</v>
      </c>
      <c r="D498" s="562">
        <v>350</v>
      </c>
      <c r="E498" t="s">
        <v>3143</v>
      </c>
      <c r="F498" t="s">
        <v>3937</v>
      </c>
      <c r="G498" s="562">
        <v>350</v>
      </c>
      <c r="H498" s="562">
        <f>SUMIFS('Taxes Withheld'!F:F,'Taxes Withheld'!C:C,'Import DV AUCS'!A498)</f>
        <v>0</v>
      </c>
      <c r="I498" s="562">
        <f>SUMIFS('Taxes Withheld'!G:G,'Taxes Withheld'!C:C,'Import DV AUCS'!A498)</f>
        <v>0</v>
      </c>
      <c r="K498" s="562">
        <f t="shared" si="7"/>
        <v>0</v>
      </c>
      <c r="M498" t="s">
        <v>2687</v>
      </c>
      <c r="N498" t="s">
        <v>2683</v>
      </c>
      <c r="O498" t="s">
        <v>2678</v>
      </c>
    </row>
    <row r="499" spans="1:15">
      <c r="A499" t="s">
        <v>3938</v>
      </c>
      <c r="B499" t="s">
        <v>2676</v>
      </c>
      <c r="C499" t="s">
        <v>3939</v>
      </c>
      <c r="D499" s="562">
        <v>31800</v>
      </c>
      <c r="E499" t="s">
        <v>2746</v>
      </c>
      <c r="F499" t="s">
        <v>3940</v>
      </c>
      <c r="G499" s="562">
        <v>29812.5</v>
      </c>
      <c r="H499" s="562">
        <f>SUMIFS('Taxes Withheld'!F:F,'Taxes Withheld'!C:C,'Import DV AUCS'!A499)</f>
        <v>1419.64</v>
      </c>
      <c r="I499" s="562">
        <f>SUMIFS('Taxes Withheld'!G:G,'Taxes Withheld'!C:C,'Import DV AUCS'!A499)</f>
        <v>567.86</v>
      </c>
      <c r="K499" s="562">
        <f t="shared" si="7"/>
        <v>1987.5</v>
      </c>
      <c r="M499" t="s">
        <v>2687</v>
      </c>
      <c r="N499" t="s">
        <v>2683</v>
      </c>
      <c r="O499" t="s">
        <v>2678</v>
      </c>
    </row>
    <row r="500" spans="1:15">
      <c r="A500" t="s">
        <v>3941</v>
      </c>
      <c r="B500" t="s">
        <v>2676</v>
      </c>
      <c r="C500" t="s">
        <v>3942</v>
      </c>
      <c r="D500" s="562">
        <v>480</v>
      </c>
      <c r="E500" t="s">
        <v>2720</v>
      </c>
      <c r="F500" t="s">
        <v>3943</v>
      </c>
      <c r="G500" s="562">
        <v>450</v>
      </c>
      <c r="H500" s="562">
        <f>SUMIFS('Taxes Withheld'!F:F,'Taxes Withheld'!C:C,'Import DV AUCS'!A500)</f>
        <v>21.43</v>
      </c>
      <c r="I500" s="562">
        <f>SUMIFS('Taxes Withheld'!G:G,'Taxes Withheld'!C:C,'Import DV AUCS'!A500)</f>
        <v>8.57</v>
      </c>
      <c r="K500" s="562">
        <f t="shared" si="7"/>
        <v>30</v>
      </c>
      <c r="M500" t="s">
        <v>2687</v>
      </c>
      <c r="N500" t="s">
        <v>2683</v>
      </c>
      <c r="O500" t="s">
        <v>2678</v>
      </c>
    </row>
    <row r="501" spans="1:15">
      <c r="A501" t="s">
        <v>3944</v>
      </c>
      <c r="B501" t="s">
        <v>2676</v>
      </c>
      <c r="C501" t="s">
        <v>3945</v>
      </c>
      <c r="D501" s="562">
        <v>48000</v>
      </c>
      <c r="E501" t="s">
        <v>3946</v>
      </c>
      <c r="F501" t="s">
        <v>3947</v>
      </c>
      <c r="G501" s="562">
        <v>48000</v>
      </c>
      <c r="H501" s="562">
        <f>SUMIFS('Taxes Withheld'!F:F,'Taxes Withheld'!C:C,'Import DV AUCS'!A501)</f>
        <v>0</v>
      </c>
      <c r="I501" s="562">
        <f>SUMIFS('Taxes Withheld'!G:G,'Taxes Withheld'!C:C,'Import DV AUCS'!A501)</f>
        <v>0</v>
      </c>
      <c r="K501" s="562">
        <f t="shared" si="7"/>
        <v>0</v>
      </c>
      <c r="M501" t="s">
        <v>2687</v>
      </c>
      <c r="N501" t="s">
        <v>2683</v>
      </c>
      <c r="O501" t="s">
        <v>2678</v>
      </c>
    </row>
    <row r="502" spans="1:15">
      <c r="A502" t="s">
        <v>3948</v>
      </c>
      <c r="B502" t="s">
        <v>2676</v>
      </c>
      <c r="C502" t="s">
        <v>2666</v>
      </c>
      <c r="D502" s="562">
        <v>0</v>
      </c>
      <c r="E502" t="s">
        <v>10</v>
      </c>
      <c r="F502" t="s">
        <v>3949</v>
      </c>
      <c r="G502" s="562">
        <v>351153.32</v>
      </c>
      <c r="H502" s="562">
        <f>SUMIFS('Taxes Withheld'!F:F,'Taxes Withheld'!C:C,'Import DV AUCS'!A502)</f>
        <v>0</v>
      </c>
      <c r="I502" s="562">
        <f>SUMIFS('Taxes Withheld'!G:G,'Taxes Withheld'!C:C,'Import DV AUCS'!A502)</f>
        <v>0</v>
      </c>
      <c r="K502" s="562">
        <f t="shared" si="7"/>
        <v>0</v>
      </c>
      <c r="M502" t="s">
        <v>2662</v>
      </c>
      <c r="N502" t="s">
        <v>2053</v>
      </c>
      <c r="O502" t="s">
        <v>2680</v>
      </c>
    </row>
    <row r="503" spans="1:15">
      <c r="A503" t="s">
        <v>3950</v>
      </c>
      <c r="B503" t="s">
        <v>2676</v>
      </c>
      <c r="C503" t="s">
        <v>2666</v>
      </c>
      <c r="D503" s="562">
        <v>0</v>
      </c>
      <c r="E503" t="s">
        <v>3951</v>
      </c>
      <c r="F503" t="s">
        <v>3949</v>
      </c>
      <c r="G503" s="562">
        <v>102762.55</v>
      </c>
      <c r="H503" s="562">
        <f>SUMIFS('Taxes Withheld'!F:F,'Taxes Withheld'!C:C,'Import DV AUCS'!A503)</f>
        <v>0</v>
      </c>
      <c r="I503" s="562">
        <f>SUMIFS('Taxes Withheld'!G:G,'Taxes Withheld'!C:C,'Import DV AUCS'!A503)</f>
        <v>0</v>
      </c>
      <c r="K503" s="562">
        <f t="shared" si="7"/>
        <v>0</v>
      </c>
      <c r="M503" t="s">
        <v>2662</v>
      </c>
      <c r="N503" t="s">
        <v>2053</v>
      </c>
      <c r="O503" t="s">
        <v>2680</v>
      </c>
    </row>
    <row r="504" spans="1:15">
      <c r="A504" t="s">
        <v>3952</v>
      </c>
      <c r="B504" t="s">
        <v>2676</v>
      </c>
      <c r="C504" t="s">
        <v>2666</v>
      </c>
      <c r="D504" s="562">
        <v>0</v>
      </c>
      <c r="E504" t="s">
        <v>764</v>
      </c>
      <c r="F504" t="s">
        <v>3949</v>
      </c>
      <c r="G504" s="562">
        <v>82889.570000000007</v>
      </c>
      <c r="H504" s="562">
        <f>SUMIFS('Taxes Withheld'!F:F,'Taxes Withheld'!C:C,'Import DV AUCS'!A504)</f>
        <v>0</v>
      </c>
      <c r="I504" s="562">
        <f>SUMIFS('Taxes Withheld'!G:G,'Taxes Withheld'!C:C,'Import DV AUCS'!A504)</f>
        <v>0</v>
      </c>
      <c r="K504" s="562">
        <f t="shared" si="7"/>
        <v>0</v>
      </c>
      <c r="M504" t="s">
        <v>2662</v>
      </c>
      <c r="N504" t="s">
        <v>2053</v>
      </c>
      <c r="O504" t="s">
        <v>2680</v>
      </c>
    </row>
    <row r="505" spans="1:15">
      <c r="A505" t="s">
        <v>3953</v>
      </c>
      <c r="B505" t="s">
        <v>2676</v>
      </c>
      <c r="C505" t="s">
        <v>2666</v>
      </c>
      <c r="D505" s="562">
        <v>0</v>
      </c>
      <c r="E505" t="s">
        <v>768</v>
      </c>
      <c r="F505" t="s">
        <v>3949</v>
      </c>
      <c r="G505" s="562">
        <v>146482.78</v>
      </c>
      <c r="H505" s="562">
        <f>SUMIFS('Taxes Withheld'!F:F,'Taxes Withheld'!C:C,'Import DV AUCS'!A505)</f>
        <v>0</v>
      </c>
      <c r="I505" s="562">
        <f>SUMIFS('Taxes Withheld'!G:G,'Taxes Withheld'!C:C,'Import DV AUCS'!A505)</f>
        <v>0</v>
      </c>
      <c r="K505" s="562">
        <f t="shared" si="7"/>
        <v>0</v>
      </c>
      <c r="M505" t="s">
        <v>2662</v>
      </c>
      <c r="N505" t="s">
        <v>2053</v>
      </c>
      <c r="O505" t="s">
        <v>2680</v>
      </c>
    </row>
    <row r="506" spans="1:15">
      <c r="A506" t="s">
        <v>3954</v>
      </c>
      <c r="B506" t="s">
        <v>2676</v>
      </c>
      <c r="C506" t="s">
        <v>2666</v>
      </c>
      <c r="D506" s="562">
        <v>0</v>
      </c>
      <c r="E506" t="s">
        <v>765</v>
      </c>
      <c r="F506" t="s">
        <v>3949</v>
      </c>
      <c r="G506" s="562">
        <v>93042.85</v>
      </c>
      <c r="H506" s="562">
        <f>SUMIFS('Taxes Withheld'!F:F,'Taxes Withheld'!C:C,'Import DV AUCS'!A506)</f>
        <v>0</v>
      </c>
      <c r="I506" s="562">
        <f>SUMIFS('Taxes Withheld'!G:G,'Taxes Withheld'!C:C,'Import DV AUCS'!A506)</f>
        <v>0</v>
      </c>
      <c r="K506" s="562">
        <f t="shared" si="7"/>
        <v>0</v>
      </c>
      <c r="M506" t="s">
        <v>2662</v>
      </c>
      <c r="N506" t="s">
        <v>2053</v>
      </c>
      <c r="O506" t="s">
        <v>2680</v>
      </c>
    </row>
    <row r="507" spans="1:15">
      <c r="A507" t="s">
        <v>3955</v>
      </c>
      <c r="B507" t="s">
        <v>2676</v>
      </c>
      <c r="C507" t="s">
        <v>2666</v>
      </c>
      <c r="D507" s="562">
        <v>0</v>
      </c>
      <c r="E507" t="s">
        <v>789</v>
      </c>
      <c r="F507" t="s">
        <v>3949</v>
      </c>
      <c r="G507" s="562">
        <v>100622.32</v>
      </c>
      <c r="H507" s="562">
        <f>SUMIFS('Taxes Withheld'!F:F,'Taxes Withheld'!C:C,'Import DV AUCS'!A507)</f>
        <v>0</v>
      </c>
      <c r="I507" s="562">
        <f>SUMIFS('Taxes Withheld'!G:G,'Taxes Withheld'!C:C,'Import DV AUCS'!A507)</f>
        <v>0</v>
      </c>
      <c r="K507" s="562">
        <f t="shared" si="7"/>
        <v>0</v>
      </c>
      <c r="M507" t="s">
        <v>2662</v>
      </c>
      <c r="N507" t="s">
        <v>2053</v>
      </c>
      <c r="O507" t="s">
        <v>2680</v>
      </c>
    </row>
    <row r="508" spans="1:15">
      <c r="A508" t="s">
        <v>3956</v>
      </c>
      <c r="B508" t="s">
        <v>2676</v>
      </c>
      <c r="C508" t="s">
        <v>2666</v>
      </c>
      <c r="D508" s="562">
        <v>0</v>
      </c>
      <c r="E508" t="s">
        <v>768</v>
      </c>
      <c r="F508" t="s">
        <v>3957</v>
      </c>
      <c r="G508" s="562">
        <v>29322.87</v>
      </c>
      <c r="H508" s="562">
        <f>SUMIFS('Taxes Withheld'!F:F,'Taxes Withheld'!C:C,'Import DV AUCS'!A508)</f>
        <v>0</v>
      </c>
      <c r="I508" s="562">
        <f>SUMIFS('Taxes Withheld'!G:G,'Taxes Withheld'!C:C,'Import DV AUCS'!A508)</f>
        <v>0</v>
      </c>
      <c r="K508" s="562">
        <f t="shared" si="7"/>
        <v>0</v>
      </c>
      <c r="M508" t="s">
        <v>2662</v>
      </c>
      <c r="N508" t="s">
        <v>2053</v>
      </c>
      <c r="O508" t="s">
        <v>2680</v>
      </c>
    </row>
    <row r="509" spans="1:15">
      <c r="A509" t="s">
        <v>3958</v>
      </c>
      <c r="B509" t="s">
        <v>2676</v>
      </c>
      <c r="C509" t="s">
        <v>3959</v>
      </c>
      <c r="D509" s="562">
        <v>41497.269999999997</v>
      </c>
      <c r="E509" t="s">
        <v>3001</v>
      </c>
      <c r="F509" t="s">
        <v>3960</v>
      </c>
      <c r="G509" s="562">
        <v>41497.269999999997</v>
      </c>
      <c r="H509" s="562">
        <f>SUMIFS('Taxes Withheld'!F:F,'Taxes Withheld'!C:C,'Import DV AUCS'!A509)</f>
        <v>0</v>
      </c>
      <c r="I509" s="562">
        <f>SUMIFS('Taxes Withheld'!G:G,'Taxes Withheld'!C:C,'Import DV AUCS'!A509)</f>
        <v>0</v>
      </c>
      <c r="K509" s="562">
        <f t="shared" si="7"/>
        <v>0</v>
      </c>
      <c r="M509" t="s">
        <v>2687</v>
      </c>
      <c r="N509" t="s">
        <v>2683</v>
      </c>
      <c r="O509" t="s">
        <v>2678</v>
      </c>
    </row>
    <row r="510" spans="1:15">
      <c r="A510" t="s">
        <v>3961</v>
      </c>
      <c r="B510" t="s">
        <v>2676</v>
      </c>
      <c r="C510" t="s">
        <v>3962</v>
      </c>
      <c r="D510" s="562">
        <v>45808.9</v>
      </c>
      <c r="E510" t="s">
        <v>3001</v>
      </c>
      <c r="F510" t="s">
        <v>3963</v>
      </c>
      <c r="G510" s="562">
        <v>45808.9</v>
      </c>
      <c r="H510" s="562">
        <f>SUMIFS('Taxes Withheld'!F:F,'Taxes Withheld'!C:C,'Import DV AUCS'!A510)</f>
        <v>0</v>
      </c>
      <c r="I510" s="562">
        <f>SUMIFS('Taxes Withheld'!G:G,'Taxes Withheld'!C:C,'Import DV AUCS'!A510)</f>
        <v>0</v>
      </c>
      <c r="K510" s="562">
        <f t="shared" si="7"/>
        <v>0</v>
      </c>
      <c r="M510" t="s">
        <v>2687</v>
      </c>
      <c r="N510" t="s">
        <v>2683</v>
      </c>
      <c r="O510" t="s">
        <v>2678</v>
      </c>
    </row>
    <row r="511" spans="1:15">
      <c r="A511" t="s">
        <v>3964</v>
      </c>
      <c r="B511" t="s">
        <v>2676</v>
      </c>
      <c r="C511" t="s">
        <v>2666</v>
      </c>
      <c r="D511" s="562">
        <v>0</v>
      </c>
      <c r="E511" t="s">
        <v>3195</v>
      </c>
      <c r="F511" t="s">
        <v>3957</v>
      </c>
      <c r="G511" s="562">
        <v>14057</v>
      </c>
      <c r="H511" s="562">
        <f>SUMIFS('Taxes Withheld'!F:F,'Taxes Withheld'!C:C,'Import DV AUCS'!A511)</f>
        <v>0</v>
      </c>
      <c r="I511" s="562">
        <f>SUMIFS('Taxes Withheld'!G:G,'Taxes Withheld'!C:C,'Import DV AUCS'!A511)</f>
        <v>0</v>
      </c>
      <c r="K511" s="562">
        <f t="shared" si="7"/>
        <v>0</v>
      </c>
      <c r="M511" t="s">
        <v>2662</v>
      </c>
      <c r="N511" t="s">
        <v>2053</v>
      </c>
      <c r="O511" t="s">
        <v>2680</v>
      </c>
    </row>
    <row r="512" spans="1:15">
      <c r="A512" t="s">
        <v>3965</v>
      </c>
      <c r="B512" t="s">
        <v>2676</v>
      </c>
      <c r="C512" t="s">
        <v>2666</v>
      </c>
      <c r="D512" s="562">
        <v>0</v>
      </c>
      <c r="E512" t="s">
        <v>789</v>
      </c>
      <c r="F512" t="s">
        <v>3957</v>
      </c>
      <c r="G512" s="562">
        <v>26940.43</v>
      </c>
      <c r="H512" s="562">
        <f>SUMIFS('Taxes Withheld'!F:F,'Taxes Withheld'!C:C,'Import DV AUCS'!A512)</f>
        <v>0</v>
      </c>
      <c r="I512" s="562">
        <f>SUMIFS('Taxes Withheld'!G:G,'Taxes Withheld'!C:C,'Import DV AUCS'!A512)</f>
        <v>0</v>
      </c>
      <c r="K512" s="562">
        <f t="shared" si="7"/>
        <v>0</v>
      </c>
      <c r="M512" t="s">
        <v>2662</v>
      </c>
      <c r="N512" t="s">
        <v>2053</v>
      </c>
      <c r="O512" t="s">
        <v>2680</v>
      </c>
    </row>
    <row r="513" spans="1:15">
      <c r="A513" t="s">
        <v>3966</v>
      </c>
      <c r="B513" t="s">
        <v>2676</v>
      </c>
      <c r="C513" t="s">
        <v>2666</v>
      </c>
      <c r="D513" s="562">
        <v>0</v>
      </c>
      <c r="E513" t="s">
        <v>2962</v>
      </c>
      <c r="F513" t="s">
        <v>3957</v>
      </c>
      <c r="G513" s="562">
        <v>14929.18</v>
      </c>
      <c r="H513" s="562">
        <f>SUMIFS('Taxes Withheld'!F:F,'Taxes Withheld'!C:C,'Import DV AUCS'!A513)</f>
        <v>0</v>
      </c>
      <c r="I513" s="562">
        <f>SUMIFS('Taxes Withheld'!G:G,'Taxes Withheld'!C:C,'Import DV AUCS'!A513)</f>
        <v>0</v>
      </c>
      <c r="K513" s="562">
        <f t="shared" si="7"/>
        <v>0</v>
      </c>
      <c r="M513" t="s">
        <v>2662</v>
      </c>
      <c r="N513" t="s">
        <v>2053</v>
      </c>
      <c r="O513" t="s">
        <v>2680</v>
      </c>
    </row>
    <row r="514" spans="1:15">
      <c r="A514" t="s">
        <v>3967</v>
      </c>
      <c r="B514" t="s">
        <v>2676</v>
      </c>
      <c r="C514" t="s">
        <v>2666</v>
      </c>
      <c r="D514" s="562">
        <v>0</v>
      </c>
      <c r="E514" t="s">
        <v>1756</v>
      </c>
      <c r="F514" t="s">
        <v>3957</v>
      </c>
      <c r="G514" s="562">
        <v>8884.19</v>
      </c>
      <c r="H514" s="562">
        <f>SUMIFS('Taxes Withheld'!F:F,'Taxes Withheld'!C:C,'Import DV AUCS'!A514)</f>
        <v>0</v>
      </c>
      <c r="I514" s="562">
        <f>SUMIFS('Taxes Withheld'!G:G,'Taxes Withheld'!C:C,'Import DV AUCS'!A514)</f>
        <v>0</v>
      </c>
      <c r="K514" s="562">
        <f t="shared" si="7"/>
        <v>0</v>
      </c>
      <c r="M514" t="s">
        <v>2662</v>
      </c>
      <c r="N514" t="s">
        <v>2053</v>
      </c>
      <c r="O514" t="s">
        <v>2680</v>
      </c>
    </row>
    <row r="515" spans="1:15">
      <c r="A515" t="s">
        <v>3968</v>
      </c>
      <c r="B515" t="s">
        <v>2676</v>
      </c>
      <c r="C515" t="s">
        <v>2666</v>
      </c>
      <c r="D515" s="562">
        <v>0</v>
      </c>
      <c r="E515" t="s">
        <v>1757</v>
      </c>
      <c r="F515" t="s">
        <v>3957</v>
      </c>
      <c r="G515" s="562">
        <v>14239.19</v>
      </c>
      <c r="H515" s="562">
        <f>SUMIFS('Taxes Withheld'!F:F,'Taxes Withheld'!C:C,'Import DV AUCS'!A515)</f>
        <v>0</v>
      </c>
      <c r="I515" s="562">
        <f>SUMIFS('Taxes Withheld'!G:G,'Taxes Withheld'!C:C,'Import DV AUCS'!A515)</f>
        <v>0</v>
      </c>
      <c r="K515" s="562">
        <f t="shared" si="7"/>
        <v>0</v>
      </c>
      <c r="M515" t="s">
        <v>2662</v>
      </c>
      <c r="N515" t="s">
        <v>2053</v>
      </c>
      <c r="O515" t="s">
        <v>2680</v>
      </c>
    </row>
    <row r="516" spans="1:15">
      <c r="A516" t="s">
        <v>3969</v>
      </c>
      <c r="B516" t="s">
        <v>2676</v>
      </c>
      <c r="C516" t="s">
        <v>2666</v>
      </c>
      <c r="D516" s="562">
        <v>0</v>
      </c>
      <c r="E516" t="s">
        <v>3223</v>
      </c>
      <c r="F516" t="s">
        <v>3970</v>
      </c>
      <c r="G516" s="562">
        <v>11559.96</v>
      </c>
      <c r="H516" s="562">
        <f>SUMIFS('Taxes Withheld'!F:F,'Taxes Withheld'!C:C,'Import DV AUCS'!A516)</f>
        <v>0</v>
      </c>
      <c r="I516" s="562">
        <f>SUMIFS('Taxes Withheld'!G:G,'Taxes Withheld'!C:C,'Import DV AUCS'!A516)</f>
        <v>0</v>
      </c>
      <c r="K516" s="562">
        <f t="shared" ref="K516:K579" si="8">H516+I516+J516</f>
        <v>0</v>
      </c>
      <c r="M516" t="s">
        <v>2662</v>
      </c>
      <c r="N516" t="s">
        <v>2053</v>
      </c>
      <c r="O516" t="s">
        <v>2680</v>
      </c>
    </row>
    <row r="517" spans="1:15">
      <c r="A517" t="s">
        <v>3971</v>
      </c>
      <c r="B517" t="s">
        <v>2676</v>
      </c>
      <c r="C517" t="s">
        <v>2666</v>
      </c>
      <c r="D517" s="562">
        <v>0</v>
      </c>
      <c r="E517" t="s">
        <v>3646</v>
      </c>
      <c r="F517" t="s">
        <v>3970</v>
      </c>
      <c r="G517" s="562">
        <v>11559.96</v>
      </c>
      <c r="H517" s="562">
        <f>SUMIFS('Taxes Withheld'!F:F,'Taxes Withheld'!C:C,'Import DV AUCS'!A517)</f>
        <v>0</v>
      </c>
      <c r="I517" s="562">
        <f>SUMIFS('Taxes Withheld'!G:G,'Taxes Withheld'!C:C,'Import DV AUCS'!A517)</f>
        <v>0</v>
      </c>
      <c r="K517" s="562">
        <f t="shared" si="8"/>
        <v>0</v>
      </c>
      <c r="M517" t="s">
        <v>2662</v>
      </c>
      <c r="N517" t="s">
        <v>2053</v>
      </c>
      <c r="O517" t="s">
        <v>2680</v>
      </c>
    </row>
    <row r="518" spans="1:15">
      <c r="A518" t="s">
        <v>3972</v>
      </c>
      <c r="B518" t="s">
        <v>2676</v>
      </c>
      <c r="C518" t="s">
        <v>2666</v>
      </c>
      <c r="D518" s="562">
        <v>0</v>
      </c>
      <c r="E518" t="s">
        <v>3226</v>
      </c>
      <c r="F518" t="s">
        <v>3970</v>
      </c>
      <c r="G518" s="562">
        <v>11559.96</v>
      </c>
      <c r="H518" s="562">
        <f>SUMIFS('Taxes Withheld'!F:F,'Taxes Withheld'!C:C,'Import DV AUCS'!A518)</f>
        <v>0</v>
      </c>
      <c r="I518" s="562">
        <f>SUMIFS('Taxes Withheld'!G:G,'Taxes Withheld'!C:C,'Import DV AUCS'!A518)</f>
        <v>0</v>
      </c>
      <c r="K518" s="562">
        <f t="shared" si="8"/>
        <v>0</v>
      </c>
      <c r="M518" t="s">
        <v>2662</v>
      </c>
      <c r="N518" t="s">
        <v>2053</v>
      </c>
      <c r="O518" t="s">
        <v>2680</v>
      </c>
    </row>
    <row r="519" spans="1:15">
      <c r="A519" t="s">
        <v>3973</v>
      </c>
      <c r="B519" t="s">
        <v>2676</v>
      </c>
      <c r="C519" t="s">
        <v>2666</v>
      </c>
      <c r="D519" s="562">
        <v>0</v>
      </c>
      <c r="E519" t="s">
        <v>3217</v>
      </c>
      <c r="F519" t="s">
        <v>3970</v>
      </c>
      <c r="G519" s="562">
        <v>11559.96</v>
      </c>
      <c r="H519" s="562">
        <f>SUMIFS('Taxes Withheld'!F:F,'Taxes Withheld'!C:C,'Import DV AUCS'!A519)</f>
        <v>0</v>
      </c>
      <c r="I519" s="562">
        <f>SUMIFS('Taxes Withheld'!G:G,'Taxes Withheld'!C:C,'Import DV AUCS'!A519)</f>
        <v>0</v>
      </c>
      <c r="K519" s="562">
        <f t="shared" si="8"/>
        <v>0</v>
      </c>
      <c r="M519" t="s">
        <v>2662</v>
      </c>
      <c r="N519" t="s">
        <v>2053</v>
      </c>
      <c r="O519" t="s">
        <v>2680</v>
      </c>
    </row>
    <row r="520" spans="1:15">
      <c r="A520" t="s">
        <v>3974</v>
      </c>
      <c r="B520" t="s">
        <v>2676</v>
      </c>
      <c r="C520" t="s">
        <v>2666</v>
      </c>
      <c r="D520" s="562">
        <v>0</v>
      </c>
      <c r="E520" t="s">
        <v>3220</v>
      </c>
      <c r="F520" t="s">
        <v>3970</v>
      </c>
      <c r="G520" s="562">
        <v>11559.96</v>
      </c>
      <c r="H520" s="562">
        <f>SUMIFS('Taxes Withheld'!F:F,'Taxes Withheld'!C:C,'Import DV AUCS'!A520)</f>
        <v>0</v>
      </c>
      <c r="I520" s="562">
        <f>SUMIFS('Taxes Withheld'!G:G,'Taxes Withheld'!C:C,'Import DV AUCS'!A520)</f>
        <v>0</v>
      </c>
      <c r="K520" s="562">
        <f t="shared" si="8"/>
        <v>0</v>
      </c>
      <c r="M520" t="s">
        <v>2662</v>
      </c>
      <c r="N520" t="s">
        <v>2053</v>
      </c>
      <c r="O520" t="s">
        <v>2680</v>
      </c>
    </row>
    <row r="521" spans="1:15">
      <c r="A521" t="s">
        <v>3975</v>
      </c>
      <c r="B521" t="s">
        <v>2676</v>
      </c>
      <c r="C521" t="s">
        <v>2666</v>
      </c>
      <c r="D521" s="562">
        <v>0</v>
      </c>
      <c r="E521" t="s">
        <v>3213</v>
      </c>
      <c r="F521" t="s">
        <v>3970</v>
      </c>
      <c r="G521" s="562">
        <v>9059.9599999999991</v>
      </c>
      <c r="H521" s="562">
        <f>SUMIFS('Taxes Withheld'!F:F,'Taxes Withheld'!C:C,'Import DV AUCS'!A521)</f>
        <v>0</v>
      </c>
      <c r="I521" s="562">
        <f>SUMIFS('Taxes Withheld'!G:G,'Taxes Withheld'!C:C,'Import DV AUCS'!A521)</f>
        <v>0</v>
      </c>
      <c r="K521" s="562">
        <f t="shared" si="8"/>
        <v>0</v>
      </c>
      <c r="M521" t="s">
        <v>2662</v>
      </c>
      <c r="N521" t="s">
        <v>2053</v>
      </c>
      <c r="O521" t="s">
        <v>2680</v>
      </c>
    </row>
    <row r="522" spans="1:15">
      <c r="A522" t="s">
        <v>3976</v>
      </c>
      <c r="B522" t="s">
        <v>2676</v>
      </c>
      <c r="C522" t="s">
        <v>3977</v>
      </c>
      <c r="D522" s="562">
        <v>792144.86</v>
      </c>
      <c r="E522" t="s">
        <v>1682</v>
      </c>
      <c r="F522" t="s">
        <v>3978</v>
      </c>
      <c r="G522" s="562">
        <v>792144.86</v>
      </c>
      <c r="H522" s="562">
        <f>SUMIFS('Taxes Withheld'!F:F,'Taxes Withheld'!C:C,'Import DV AUCS'!A522)</f>
        <v>0</v>
      </c>
      <c r="I522" s="562">
        <f>SUMIFS('Taxes Withheld'!G:G,'Taxes Withheld'!C:C,'Import DV AUCS'!A522)</f>
        <v>0</v>
      </c>
      <c r="K522" s="562">
        <f t="shared" si="8"/>
        <v>0</v>
      </c>
      <c r="M522" t="s">
        <v>2685</v>
      </c>
      <c r="N522" t="s">
        <v>2683</v>
      </c>
      <c r="O522" t="s">
        <v>2678</v>
      </c>
    </row>
    <row r="523" spans="1:15">
      <c r="A523" t="s">
        <v>3979</v>
      </c>
      <c r="B523" t="s">
        <v>2676</v>
      </c>
      <c r="C523" t="s">
        <v>3980</v>
      </c>
      <c r="D523" s="562">
        <v>361782.69999999995</v>
      </c>
      <c r="E523" t="s">
        <v>820</v>
      </c>
      <c r="F523" t="s">
        <v>3978</v>
      </c>
      <c r="G523" s="562">
        <v>361782.7</v>
      </c>
      <c r="H523" s="562">
        <f>SUMIFS('Taxes Withheld'!F:F,'Taxes Withheld'!C:C,'Import DV AUCS'!A523)</f>
        <v>0</v>
      </c>
      <c r="I523" s="562">
        <f>SUMIFS('Taxes Withheld'!G:G,'Taxes Withheld'!C:C,'Import DV AUCS'!A523)</f>
        <v>0</v>
      </c>
      <c r="K523" s="562">
        <f t="shared" si="8"/>
        <v>0</v>
      </c>
      <c r="M523" t="s">
        <v>2685</v>
      </c>
      <c r="N523" t="s">
        <v>2683</v>
      </c>
      <c r="O523" t="s">
        <v>2678</v>
      </c>
    </row>
    <row r="524" spans="1:15">
      <c r="A524" t="s">
        <v>3981</v>
      </c>
      <c r="B524" t="s">
        <v>2676</v>
      </c>
      <c r="C524" t="s">
        <v>3982</v>
      </c>
      <c r="D524" s="562">
        <v>505666.32</v>
      </c>
      <c r="E524" t="s">
        <v>1539</v>
      </c>
      <c r="F524" t="s">
        <v>3978</v>
      </c>
      <c r="G524" s="562">
        <v>505666.32</v>
      </c>
      <c r="H524" s="562">
        <f>SUMIFS('Taxes Withheld'!F:F,'Taxes Withheld'!C:C,'Import DV AUCS'!A524)</f>
        <v>0</v>
      </c>
      <c r="I524" s="562">
        <f>SUMIFS('Taxes Withheld'!G:G,'Taxes Withheld'!C:C,'Import DV AUCS'!A524)</f>
        <v>0</v>
      </c>
      <c r="K524" s="562">
        <f t="shared" si="8"/>
        <v>0</v>
      </c>
      <c r="M524" t="s">
        <v>2685</v>
      </c>
      <c r="N524" t="s">
        <v>2683</v>
      </c>
      <c r="O524" t="s">
        <v>2678</v>
      </c>
    </row>
    <row r="525" spans="1:15">
      <c r="A525" t="s">
        <v>3983</v>
      </c>
      <c r="B525" t="s">
        <v>2676</v>
      </c>
      <c r="C525" t="s">
        <v>3984</v>
      </c>
      <c r="D525" s="562">
        <v>532388.56000000006</v>
      </c>
      <c r="E525" t="s">
        <v>822</v>
      </c>
      <c r="F525" t="s">
        <v>3978</v>
      </c>
      <c r="G525" s="562">
        <v>532388.56000000006</v>
      </c>
      <c r="H525" s="562">
        <f>SUMIFS('Taxes Withheld'!F:F,'Taxes Withheld'!C:C,'Import DV AUCS'!A525)</f>
        <v>0</v>
      </c>
      <c r="I525" s="562">
        <f>SUMIFS('Taxes Withheld'!G:G,'Taxes Withheld'!C:C,'Import DV AUCS'!A525)</f>
        <v>0</v>
      </c>
      <c r="K525" s="562">
        <f t="shared" si="8"/>
        <v>0</v>
      </c>
      <c r="M525" t="s">
        <v>2685</v>
      </c>
      <c r="N525" t="s">
        <v>2683</v>
      </c>
      <c r="O525" t="s">
        <v>2678</v>
      </c>
    </row>
    <row r="526" spans="1:15">
      <c r="A526" t="s">
        <v>3985</v>
      </c>
      <c r="B526" t="s">
        <v>2676</v>
      </c>
      <c r="C526" t="s">
        <v>3986</v>
      </c>
      <c r="D526" s="562">
        <v>345963.3</v>
      </c>
      <c r="E526" t="s">
        <v>1540</v>
      </c>
      <c r="F526" t="s">
        <v>3978</v>
      </c>
      <c r="G526" s="562">
        <v>345963.3</v>
      </c>
      <c r="H526" s="562">
        <f>SUMIFS('Taxes Withheld'!F:F,'Taxes Withheld'!C:C,'Import DV AUCS'!A526)</f>
        <v>0</v>
      </c>
      <c r="I526" s="562">
        <f>SUMIFS('Taxes Withheld'!G:G,'Taxes Withheld'!C:C,'Import DV AUCS'!A526)</f>
        <v>0</v>
      </c>
      <c r="K526" s="562">
        <f t="shared" si="8"/>
        <v>0</v>
      </c>
      <c r="M526" t="s">
        <v>2685</v>
      </c>
      <c r="N526" t="s">
        <v>2683</v>
      </c>
      <c r="O526" t="s">
        <v>2678</v>
      </c>
    </row>
    <row r="527" spans="1:15">
      <c r="A527" t="s">
        <v>3987</v>
      </c>
      <c r="B527" t="s">
        <v>2676</v>
      </c>
      <c r="C527" t="s">
        <v>3988</v>
      </c>
      <c r="D527" s="562">
        <v>900000</v>
      </c>
      <c r="E527" t="s">
        <v>3989</v>
      </c>
      <c r="F527" t="s">
        <v>3990</v>
      </c>
      <c r="G527" s="562">
        <v>900000</v>
      </c>
      <c r="H527" s="562">
        <f>SUMIFS('Taxes Withheld'!F:F,'Taxes Withheld'!C:C,'Import DV AUCS'!A527)</f>
        <v>0</v>
      </c>
      <c r="I527" s="562">
        <f>SUMIFS('Taxes Withheld'!G:G,'Taxes Withheld'!C:C,'Import DV AUCS'!A527)</f>
        <v>0</v>
      </c>
      <c r="K527" s="562">
        <f t="shared" si="8"/>
        <v>0</v>
      </c>
      <c r="M527" t="s">
        <v>2685</v>
      </c>
      <c r="N527" t="s">
        <v>2683</v>
      </c>
      <c r="O527" t="s">
        <v>2678</v>
      </c>
    </row>
    <row r="528" spans="1:15">
      <c r="A528" t="s">
        <v>3991</v>
      </c>
      <c r="B528" t="s">
        <v>2676</v>
      </c>
      <c r="C528" t="s">
        <v>2666</v>
      </c>
      <c r="D528" s="562">
        <v>0</v>
      </c>
      <c r="E528" t="s">
        <v>2731</v>
      </c>
      <c r="F528" t="s">
        <v>3992</v>
      </c>
      <c r="G528" s="562">
        <v>1598.88</v>
      </c>
      <c r="H528" s="562">
        <f>SUMIFS('Taxes Withheld'!F:F,'Taxes Withheld'!C:C,'Import DV AUCS'!A528)</f>
        <v>76.14</v>
      </c>
      <c r="I528" s="562">
        <f>SUMIFS('Taxes Withheld'!G:G,'Taxes Withheld'!C:C,'Import DV AUCS'!A528)</f>
        <v>30.46</v>
      </c>
      <c r="K528" s="562">
        <f t="shared" si="8"/>
        <v>106.6</v>
      </c>
      <c r="M528" t="s">
        <v>392</v>
      </c>
      <c r="N528" t="s">
        <v>2681</v>
      </c>
      <c r="O528" t="s">
        <v>2679</v>
      </c>
    </row>
    <row r="529" spans="1:15">
      <c r="A529" t="s">
        <v>3993</v>
      </c>
      <c r="B529" t="s">
        <v>2676</v>
      </c>
      <c r="C529" t="s">
        <v>2666</v>
      </c>
      <c r="D529" s="562">
        <v>0</v>
      </c>
      <c r="E529" t="s">
        <v>2731</v>
      </c>
      <c r="F529" t="s">
        <v>3994</v>
      </c>
      <c r="G529" s="562">
        <v>1802.6499999999999</v>
      </c>
      <c r="H529" s="562">
        <f>SUMIFS('Taxes Withheld'!F:F,'Taxes Withheld'!C:C,'Import DV AUCS'!A529)</f>
        <v>85.84</v>
      </c>
      <c r="I529" s="562">
        <f>SUMIFS('Taxes Withheld'!G:G,'Taxes Withheld'!C:C,'Import DV AUCS'!A529)</f>
        <v>34.340000000000003</v>
      </c>
      <c r="K529" s="562">
        <f t="shared" si="8"/>
        <v>120.18</v>
      </c>
      <c r="M529" t="s">
        <v>392</v>
      </c>
      <c r="N529" t="s">
        <v>2681</v>
      </c>
      <c r="O529" t="s">
        <v>2679</v>
      </c>
    </row>
    <row r="530" spans="1:15">
      <c r="A530" t="s">
        <v>3995</v>
      </c>
      <c r="B530" t="s">
        <v>2676</v>
      </c>
      <c r="C530" t="s">
        <v>3996</v>
      </c>
      <c r="D530" s="562">
        <v>4355.8500000000004</v>
      </c>
      <c r="E530" t="s">
        <v>2709</v>
      </c>
      <c r="F530" t="s">
        <v>3997</v>
      </c>
      <c r="G530" s="562">
        <v>4355.8500000000004</v>
      </c>
      <c r="H530" s="562">
        <f>SUMIFS('Taxes Withheld'!F:F,'Taxes Withheld'!C:C,'Import DV AUCS'!A530)</f>
        <v>0</v>
      </c>
      <c r="I530" s="562">
        <f>SUMIFS('Taxes Withheld'!G:G,'Taxes Withheld'!C:C,'Import DV AUCS'!A530)</f>
        <v>0</v>
      </c>
      <c r="K530" s="562">
        <f t="shared" si="8"/>
        <v>0</v>
      </c>
      <c r="M530" t="s">
        <v>2687</v>
      </c>
      <c r="N530" t="s">
        <v>2683</v>
      </c>
      <c r="O530" t="s">
        <v>2678</v>
      </c>
    </row>
    <row r="531" spans="1:15">
      <c r="A531" t="s">
        <v>3998</v>
      </c>
      <c r="B531" t="s">
        <v>2676</v>
      </c>
      <c r="C531" t="s">
        <v>2666</v>
      </c>
      <c r="D531" s="562">
        <v>0</v>
      </c>
      <c r="E531" t="s">
        <v>3999</v>
      </c>
      <c r="F531" t="s">
        <v>4000</v>
      </c>
      <c r="G531" s="562">
        <v>1962</v>
      </c>
      <c r="H531" s="562">
        <f>SUMIFS('Taxes Withheld'!F:F,'Taxes Withheld'!C:C,'Import DV AUCS'!A531)</f>
        <v>0</v>
      </c>
      <c r="I531" s="562">
        <f>SUMIFS('Taxes Withheld'!G:G,'Taxes Withheld'!C:C,'Import DV AUCS'!A531)</f>
        <v>0</v>
      </c>
      <c r="K531" s="562">
        <f t="shared" si="8"/>
        <v>0</v>
      </c>
      <c r="M531" t="s">
        <v>392</v>
      </c>
      <c r="N531" t="s">
        <v>2681</v>
      </c>
      <c r="O531" t="s">
        <v>2679</v>
      </c>
    </row>
    <row r="532" spans="1:15">
      <c r="A532" t="s">
        <v>4001</v>
      </c>
      <c r="B532" t="s">
        <v>2676</v>
      </c>
      <c r="C532" t="s">
        <v>2666</v>
      </c>
      <c r="D532" s="562">
        <v>0</v>
      </c>
      <c r="E532" t="s">
        <v>4002</v>
      </c>
      <c r="F532" t="s">
        <v>4003</v>
      </c>
      <c r="G532" s="562">
        <v>804437.39</v>
      </c>
      <c r="H532" s="562">
        <f>SUMIFS('Taxes Withheld'!F:F,'Taxes Withheld'!C:C,'Import DV AUCS'!A532)</f>
        <v>0</v>
      </c>
      <c r="I532" s="562">
        <f>SUMIFS('Taxes Withheld'!G:G,'Taxes Withheld'!C:C,'Import DV AUCS'!A532)</f>
        <v>0</v>
      </c>
      <c r="K532" s="562">
        <f t="shared" si="8"/>
        <v>0</v>
      </c>
      <c r="M532" t="s">
        <v>392</v>
      </c>
      <c r="N532" t="s">
        <v>2681</v>
      </c>
      <c r="O532" t="s">
        <v>2679</v>
      </c>
    </row>
    <row r="533" spans="1:15">
      <c r="A533" t="s">
        <v>4004</v>
      </c>
      <c r="B533" t="s">
        <v>2676</v>
      </c>
      <c r="C533" t="s">
        <v>2666</v>
      </c>
      <c r="D533" s="562">
        <v>0</v>
      </c>
      <c r="E533" t="s">
        <v>2775</v>
      </c>
      <c r="F533" t="s">
        <v>4005</v>
      </c>
      <c r="G533" s="562">
        <v>1081.76</v>
      </c>
      <c r="H533" s="562">
        <f>SUMIFS('Taxes Withheld'!F:F,'Taxes Withheld'!C:C,'Import DV AUCS'!A533)</f>
        <v>51.03</v>
      </c>
      <c r="I533" s="562">
        <f>SUMIFS('Taxes Withheld'!G:G,'Taxes Withheld'!C:C,'Import DV AUCS'!A533)</f>
        <v>10.210000000000001</v>
      </c>
      <c r="K533" s="562">
        <f t="shared" si="8"/>
        <v>61.24</v>
      </c>
      <c r="M533" t="s">
        <v>392</v>
      </c>
      <c r="N533" t="s">
        <v>2681</v>
      </c>
      <c r="O533" t="s">
        <v>2679</v>
      </c>
    </row>
    <row r="534" spans="1:15">
      <c r="A534" t="s">
        <v>4006</v>
      </c>
      <c r="B534" t="s">
        <v>2676</v>
      </c>
      <c r="C534" t="s">
        <v>2666</v>
      </c>
      <c r="D534" s="562">
        <v>0</v>
      </c>
      <c r="E534" t="s">
        <v>3586</v>
      </c>
      <c r="F534" t="s">
        <v>4007</v>
      </c>
      <c r="G534" s="562">
        <v>16562.5</v>
      </c>
      <c r="H534" s="562">
        <f>SUMIFS('Taxes Withheld'!F:F,'Taxes Withheld'!C:C,'Import DV AUCS'!A534)</f>
        <v>781.25</v>
      </c>
      <c r="I534" s="562">
        <f>SUMIFS('Taxes Withheld'!G:G,'Taxes Withheld'!C:C,'Import DV AUCS'!A534)</f>
        <v>156.25</v>
      </c>
      <c r="K534" s="562">
        <f t="shared" si="8"/>
        <v>937.5</v>
      </c>
      <c r="M534" t="s">
        <v>392</v>
      </c>
      <c r="N534" t="s">
        <v>2681</v>
      </c>
      <c r="O534" t="s">
        <v>2679</v>
      </c>
    </row>
    <row r="535" spans="1:15">
      <c r="A535" t="s">
        <v>4008</v>
      </c>
      <c r="B535" t="s">
        <v>2676</v>
      </c>
      <c r="C535" t="s">
        <v>4009</v>
      </c>
      <c r="D535" s="562">
        <v>345500</v>
      </c>
      <c r="E535" t="s">
        <v>818</v>
      </c>
      <c r="F535" t="s">
        <v>4010</v>
      </c>
      <c r="G535" s="562">
        <v>345500</v>
      </c>
      <c r="H535" s="562">
        <f>SUMIFS('Taxes Withheld'!F:F,'Taxes Withheld'!C:C,'Import DV AUCS'!A535)</f>
        <v>0</v>
      </c>
      <c r="I535" s="562">
        <f>SUMIFS('Taxes Withheld'!G:G,'Taxes Withheld'!C:C,'Import DV AUCS'!A535)</f>
        <v>0</v>
      </c>
      <c r="K535" s="562">
        <f t="shared" si="8"/>
        <v>0</v>
      </c>
      <c r="M535" t="s">
        <v>2685</v>
      </c>
      <c r="N535" t="s">
        <v>2683</v>
      </c>
      <c r="O535" t="s">
        <v>2678</v>
      </c>
    </row>
    <row r="536" spans="1:15">
      <c r="A536" t="s">
        <v>4011</v>
      </c>
      <c r="B536" t="s">
        <v>2676</v>
      </c>
      <c r="C536" t="s">
        <v>4012</v>
      </c>
      <c r="D536" s="562">
        <v>466200</v>
      </c>
      <c r="E536" t="s">
        <v>1539</v>
      </c>
      <c r="F536" t="s">
        <v>4010</v>
      </c>
      <c r="G536" s="562">
        <v>466200</v>
      </c>
      <c r="H536" s="562">
        <f>SUMIFS('Taxes Withheld'!F:F,'Taxes Withheld'!C:C,'Import DV AUCS'!A536)</f>
        <v>0</v>
      </c>
      <c r="I536" s="562">
        <f>SUMIFS('Taxes Withheld'!G:G,'Taxes Withheld'!C:C,'Import DV AUCS'!A536)</f>
        <v>0</v>
      </c>
      <c r="K536" s="562">
        <f t="shared" si="8"/>
        <v>0</v>
      </c>
      <c r="M536" t="s">
        <v>2685</v>
      </c>
      <c r="N536" t="s">
        <v>2683</v>
      </c>
      <c r="O536" t="s">
        <v>2678</v>
      </c>
    </row>
    <row r="537" spans="1:15">
      <c r="A537" t="s">
        <v>4013</v>
      </c>
      <c r="B537" t="s">
        <v>2676</v>
      </c>
      <c r="C537" t="s">
        <v>4014</v>
      </c>
      <c r="D537" s="562">
        <v>205000</v>
      </c>
      <c r="E537" t="s">
        <v>1540</v>
      </c>
      <c r="F537" t="s">
        <v>4010</v>
      </c>
      <c r="G537" s="562">
        <v>205000</v>
      </c>
      <c r="H537" s="562">
        <f>SUMIFS('Taxes Withheld'!F:F,'Taxes Withheld'!C:C,'Import DV AUCS'!A537)</f>
        <v>0</v>
      </c>
      <c r="I537" s="562">
        <f>SUMIFS('Taxes Withheld'!G:G,'Taxes Withheld'!C:C,'Import DV AUCS'!A537)</f>
        <v>0</v>
      </c>
      <c r="K537" s="562">
        <f t="shared" si="8"/>
        <v>0</v>
      </c>
      <c r="M537" t="s">
        <v>2685</v>
      </c>
      <c r="N537" t="s">
        <v>2683</v>
      </c>
      <c r="O537" t="s">
        <v>2678</v>
      </c>
    </row>
    <row r="538" spans="1:15">
      <c r="A538" t="s">
        <v>4015</v>
      </c>
      <c r="B538" t="s">
        <v>2676</v>
      </c>
      <c r="C538" t="s">
        <v>4016</v>
      </c>
      <c r="D538" s="562">
        <v>455476.19</v>
      </c>
      <c r="E538" t="s">
        <v>1682</v>
      </c>
      <c r="F538" t="s">
        <v>4017</v>
      </c>
      <c r="G538" s="562">
        <v>455476.19</v>
      </c>
      <c r="H538" s="562">
        <f>SUMIFS('Taxes Withheld'!F:F,'Taxes Withheld'!C:C,'Import DV AUCS'!A538)</f>
        <v>0</v>
      </c>
      <c r="I538" s="562">
        <f>SUMIFS('Taxes Withheld'!G:G,'Taxes Withheld'!C:C,'Import DV AUCS'!A538)</f>
        <v>0</v>
      </c>
      <c r="K538" s="562">
        <f t="shared" si="8"/>
        <v>0</v>
      </c>
      <c r="M538" t="s">
        <v>2685</v>
      </c>
      <c r="N538" t="s">
        <v>2683</v>
      </c>
      <c r="O538" t="s">
        <v>2678</v>
      </c>
    </row>
    <row r="539" spans="1:15">
      <c r="A539" t="s">
        <v>4018</v>
      </c>
      <c r="B539" t="s">
        <v>2676</v>
      </c>
      <c r="C539" t="s">
        <v>4019</v>
      </c>
      <c r="D539" s="562">
        <v>284121.43</v>
      </c>
      <c r="E539" t="s">
        <v>820</v>
      </c>
      <c r="F539" t="s">
        <v>4020</v>
      </c>
      <c r="G539" s="562">
        <v>284121.43</v>
      </c>
      <c r="H539" s="562">
        <f>SUMIFS('Taxes Withheld'!F:F,'Taxes Withheld'!C:C,'Import DV AUCS'!A539)</f>
        <v>0</v>
      </c>
      <c r="I539" s="562">
        <f>SUMIFS('Taxes Withheld'!G:G,'Taxes Withheld'!C:C,'Import DV AUCS'!A539)</f>
        <v>0</v>
      </c>
      <c r="K539" s="562">
        <f t="shared" si="8"/>
        <v>0</v>
      </c>
      <c r="M539" t="s">
        <v>2685</v>
      </c>
      <c r="N539" t="s">
        <v>2683</v>
      </c>
      <c r="O539" t="s">
        <v>2678</v>
      </c>
    </row>
    <row r="540" spans="1:15">
      <c r="A540" t="s">
        <v>4021</v>
      </c>
      <c r="B540" t="s">
        <v>2676</v>
      </c>
      <c r="C540" t="s">
        <v>4022</v>
      </c>
      <c r="D540" s="562">
        <v>241007.14</v>
      </c>
      <c r="E540" t="s">
        <v>1539</v>
      </c>
      <c r="F540" t="s">
        <v>4020</v>
      </c>
      <c r="G540" s="562">
        <v>241007.14</v>
      </c>
      <c r="H540" s="562">
        <f>SUMIFS('Taxes Withheld'!F:F,'Taxes Withheld'!C:C,'Import DV AUCS'!A540)</f>
        <v>0</v>
      </c>
      <c r="I540" s="562">
        <f>SUMIFS('Taxes Withheld'!G:G,'Taxes Withheld'!C:C,'Import DV AUCS'!A540)</f>
        <v>0</v>
      </c>
      <c r="K540" s="562">
        <f t="shared" si="8"/>
        <v>0</v>
      </c>
      <c r="M540" t="s">
        <v>2685</v>
      </c>
      <c r="N540" t="s">
        <v>2683</v>
      </c>
      <c r="O540" t="s">
        <v>2678</v>
      </c>
    </row>
    <row r="541" spans="1:15">
      <c r="A541" t="s">
        <v>4023</v>
      </c>
      <c r="B541" t="s">
        <v>2676</v>
      </c>
      <c r="C541" t="s">
        <v>4024</v>
      </c>
      <c r="D541" s="562">
        <v>321342.84999999998</v>
      </c>
      <c r="E541" t="s">
        <v>4025</v>
      </c>
      <c r="F541" t="s">
        <v>4020</v>
      </c>
      <c r="G541" s="562">
        <v>321342.84999999998</v>
      </c>
      <c r="H541" s="562">
        <f>SUMIFS('Taxes Withheld'!F:F,'Taxes Withheld'!C:C,'Import DV AUCS'!A541)</f>
        <v>0</v>
      </c>
      <c r="I541" s="562">
        <f>SUMIFS('Taxes Withheld'!G:G,'Taxes Withheld'!C:C,'Import DV AUCS'!A541)</f>
        <v>0</v>
      </c>
      <c r="K541" s="562">
        <f t="shared" si="8"/>
        <v>0</v>
      </c>
      <c r="M541" t="s">
        <v>2685</v>
      </c>
      <c r="N541" t="s">
        <v>2683</v>
      </c>
      <c r="O541" t="s">
        <v>2678</v>
      </c>
    </row>
    <row r="542" spans="1:15">
      <c r="A542" t="s">
        <v>4026</v>
      </c>
      <c r="B542" t="s">
        <v>2676</v>
      </c>
      <c r="C542" t="s">
        <v>4027</v>
      </c>
      <c r="D542" s="562">
        <v>1200</v>
      </c>
      <c r="E542" t="s">
        <v>2731</v>
      </c>
      <c r="F542" t="s">
        <v>4028</v>
      </c>
      <c r="G542" s="562">
        <v>1125</v>
      </c>
      <c r="H542" s="562">
        <f>SUMIFS('Taxes Withheld'!F:F,'Taxes Withheld'!C:C,'Import DV AUCS'!A542)</f>
        <v>53.57</v>
      </c>
      <c r="I542" s="562">
        <f>SUMIFS('Taxes Withheld'!G:G,'Taxes Withheld'!C:C,'Import DV AUCS'!A542)</f>
        <v>21.43</v>
      </c>
      <c r="K542" s="562">
        <f t="shared" si="8"/>
        <v>75</v>
      </c>
      <c r="M542" t="s">
        <v>2687</v>
      </c>
      <c r="N542" t="s">
        <v>2683</v>
      </c>
      <c r="O542" t="s">
        <v>2678</v>
      </c>
    </row>
    <row r="543" spans="1:15">
      <c r="A543" t="s">
        <v>4029</v>
      </c>
      <c r="B543" t="s">
        <v>2676</v>
      </c>
      <c r="C543" t="s">
        <v>4030</v>
      </c>
      <c r="D543" s="562">
        <v>20000</v>
      </c>
      <c r="E543" t="s">
        <v>4031</v>
      </c>
      <c r="F543" t="s">
        <v>4032</v>
      </c>
      <c r="G543" s="562">
        <v>18750</v>
      </c>
      <c r="H543" s="562">
        <f>SUMIFS('Taxes Withheld'!F:F,'Taxes Withheld'!C:C,'Import DV AUCS'!A543)</f>
        <v>892.86</v>
      </c>
      <c r="I543" s="562">
        <f>SUMIFS('Taxes Withheld'!G:G,'Taxes Withheld'!C:C,'Import DV AUCS'!A543)</f>
        <v>357.14</v>
      </c>
      <c r="K543" s="562">
        <f t="shared" si="8"/>
        <v>1250</v>
      </c>
      <c r="M543" t="s">
        <v>2687</v>
      </c>
      <c r="N543" t="s">
        <v>2683</v>
      </c>
      <c r="O543" t="s">
        <v>2678</v>
      </c>
    </row>
    <row r="544" spans="1:15">
      <c r="A544" t="s">
        <v>4033</v>
      </c>
      <c r="B544" t="s">
        <v>2676</v>
      </c>
      <c r="C544" t="s">
        <v>4034</v>
      </c>
      <c r="D544" s="562">
        <v>76000</v>
      </c>
      <c r="E544" t="s">
        <v>4035</v>
      </c>
      <c r="F544" t="s">
        <v>4036</v>
      </c>
      <c r="G544" s="562">
        <v>71928.570000000007</v>
      </c>
      <c r="H544" s="562">
        <f>SUMIFS('Taxes Withheld'!F:F,'Taxes Withheld'!C:C,'Import DV AUCS'!A544)</f>
        <v>3392.86</v>
      </c>
      <c r="I544" s="562">
        <f>SUMIFS('Taxes Withheld'!G:G,'Taxes Withheld'!C:C,'Import DV AUCS'!A544)</f>
        <v>678.57</v>
      </c>
      <c r="K544" s="562">
        <f t="shared" si="8"/>
        <v>4071.4300000000003</v>
      </c>
      <c r="M544" t="s">
        <v>2687</v>
      </c>
      <c r="N544" t="s">
        <v>2683</v>
      </c>
      <c r="O544" t="s">
        <v>2678</v>
      </c>
    </row>
    <row r="545" spans="1:15">
      <c r="A545" t="s">
        <v>4037</v>
      </c>
      <c r="B545" t="s">
        <v>2676</v>
      </c>
      <c r="C545" t="s">
        <v>4038</v>
      </c>
      <c r="D545" s="562">
        <v>2130</v>
      </c>
      <c r="E545" t="s">
        <v>2899</v>
      </c>
      <c r="F545" t="s">
        <v>4039</v>
      </c>
      <c r="G545" s="562">
        <v>2130</v>
      </c>
      <c r="H545" s="562">
        <f>SUMIFS('Taxes Withheld'!F:F,'Taxes Withheld'!C:C,'Import DV AUCS'!A545)</f>
        <v>0</v>
      </c>
      <c r="I545" s="562">
        <f>SUMIFS('Taxes Withheld'!G:G,'Taxes Withheld'!C:C,'Import DV AUCS'!A545)</f>
        <v>0</v>
      </c>
      <c r="K545" s="562">
        <f t="shared" si="8"/>
        <v>0</v>
      </c>
      <c r="M545" t="s">
        <v>2687</v>
      </c>
      <c r="N545" t="s">
        <v>2683</v>
      </c>
      <c r="O545" t="s">
        <v>2678</v>
      </c>
    </row>
    <row r="546" spans="1:15">
      <c r="A546" t="s">
        <v>4040</v>
      </c>
      <c r="B546" t="s">
        <v>2676</v>
      </c>
      <c r="C546" t="s">
        <v>4041</v>
      </c>
      <c r="D546" s="562">
        <v>5175</v>
      </c>
      <c r="E546" t="s">
        <v>1669</v>
      </c>
      <c r="F546" t="s">
        <v>4042</v>
      </c>
      <c r="G546" s="562">
        <v>5175</v>
      </c>
      <c r="H546" s="562">
        <f>SUMIFS('Taxes Withheld'!F:F,'Taxes Withheld'!C:C,'Import DV AUCS'!A546)</f>
        <v>0</v>
      </c>
      <c r="I546" s="562">
        <f>SUMIFS('Taxes Withheld'!G:G,'Taxes Withheld'!C:C,'Import DV AUCS'!A546)</f>
        <v>0</v>
      </c>
      <c r="K546" s="562">
        <f t="shared" si="8"/>
        <v>0</v>
      </c>
      <c r="M546" t="s">
        <v>2687</v>
      </c>
      <c r="N546" t="s">
        <v>2683</v>
      </c>
      <c r="O546" t="s">
        <v>2678</v>
      </c>
    </row>
    <row r="547" spans="1:15">
      <c r="A547" t="s">
        <v>4043</v>
      </c>
      <c r="B547" t="s">
        <v>2676</v>
      </c>
      <c r="C547" t="s">
        <v>4044</v>
      </c>
      <c r="D547" s="562">
        <v>4200</v>
      </c>
      <c r="E547" t="s">
        <v>4045</v>
      </c>
      <c r="F547" t="s">
        <v>4046</v>
      </c>
      <c r="G547" s="562">
        <v>4200</v>
      </c>
      <c r="H547" s="562">
        <f>SUMIFS('Taxes Withheld'!F:F,'Taxes Withheld'!C:C,'Import DV AUCS'!A547)</f>
        <v>0</v>
      </c>
      <c r="I547" s="562">
        <f>SUMIFS('Taxes Withheld'!G:G,'Taxes Withheld'!C:C,'Import DV AUCS'!A547)</f>
        <v>0</v>
      </c>
      <c r="K547" s="562">
        <f t="shared" si="8"/>
        <v>0</v>
      </c>
      <c r="M547" t="s">
        <v>2686</v>
      </c>
      <c r="N547" t="s">
        <v>2683</v>
      </c>
      <c r="O547" t="s">
        <v>2678</v>
      </c>
    </row>
    <row r="548" spans="1:15">
      <c r="A548" t="s">
        <v>4047</v>
      </c>
      <c r="B548" t="s">
        <v>2676</v>
      </c>
      <c r="C548" t="s">
        <v>4048</v>
      </c>
      <c r="D548" s="562">
        <v>2688</v>
      </c>
      <c r="E548" t="s">
        <v>2775</v>
      </c>
      <c r="F548" t="s">
        <v>4049</v>
      </c>
      <c r="G548" s="562">
        <v>2544</v>
      </c>
      <c r="H548" s="562">
        <f>SUMIFS('Taxes Withheld'!F:F,'Taxes Withheld'!C:C,'Import DV AUCS'!A548)</f>
        <v>120</v>
      </c>
      <c r="I548" s="562">
        <f>SUMIFS('Taxes Withheld'!G:G,'Taxes Withheld'!C:C,'Import DV AUCS'!A548)</f>
        <v>24</v>
      </c>
      <c r="K548" s="562">
        <f t="shared" si="8"/>
        <v>144</v>
      </c>
      <c r="M548" t="s">
        <v>2687</v>
      </c>
      <c r="N548" t="s">
        <v>2683</v>
      </c>
      <c r="O548" t="s">
        <v>2678</v>
      </c>
    </row>
    <row r="549" spans="1:15">
      <c r="A549" t="s">
        <v>4050</v>
      </c>
      <c r="B549" t="s">
        <v>2676</v>
      </c>
      <c r="C549" t="s">
        <v>4051</v>
      </c>
      <c r="D549" s="562">
        <v>2500</v>
      </c>
      <c r="E549" t="s">
        <v>3598</v>
      </c>
      <c r="F549" t="s">
        <v>4052</v>
      </c>
      <c r="G549" s="562">
        <v>2366.0700000000002</v>
      </c>
      <c r="H549" s="562">
        <f>SUMIFS('Taxes Withheld'!F:F,'Taxes Withheld'!C:C,'Import DV AUCS'!A549)</f>
        <v>111.61</v>
      </c>
      <c r="I549" s="562">
        <f>SUMIFS('Taxes Withheld'!G:G,'Taxes Withheld'!C:C,'Import DV AUCS'!A549)</f>
        <v>22.32</v>
      </c>
      <c r="K549" s="562">
        <f t="shared" si="8"/>
        <v>133.93</v>
      </c>
      <c r="M549" t="s">
        <v>2687</v>
      </c>
      <c r="N549" t="s">
        <v>2683</v>
      </c>
      <c r="O549" t="s">
        <v>2678</v>
      </c>
    </row>
    <row r="550" spans="1:15">
      <c r="A550" t="s">
        <v>4053</v>
      </c>
      <c r="B550" t="s">
        <v>2676</v>
      </c>
      <c r="C550" t="s">
        <v>4054</v>
      </c>
      <c r="D550" s="562">
        <v>640</v>
      </c>
      <c r="E550" t="s">
        <v>2720</v>
      </c>
      <c r="F550" t="s">
        <v>4055</v>
      </c>
      <c r="G550" s="562">
        <v>600.14</v>
      </c>
      <c r="H550" s="562">
        <f>SUMIFS('Taxes Withheld'!F:F,'Taxes Withheld'!C:C,'Import DV AUCS'!A550)</f>
        <v>28.57</v>
      </c>
      <c r="I550" s="562">
        <f>SUMIFS('Taxes Withheld'!G:G,'Taxes Withheld'!C:C,'Import DV AUCS'!A550)</f>
        <v>11.29</v>
      </c>
      <c r="K550" s="562">
        <f t="shared" si="8"/>
        <v>39.86</v>
      </c>
      <c r="M550" t="s">
        <v>2687</v>
      </c>
      <c r="N550" t="s">
        <v>2683</v>
      </c>
      <c r="O550" t="s">
        <v>2678</v>
      </c>
    </row>
    <row r="551" spans="1:15">
      <c r="A551" t="s">
        <v>4056</v>
      </c>
      <c r="B551" t="s">
        <v>2676</v>
      </c>
      <c r="C551" t="s">
        <v>4057</v>
      </c>
      <c r="D551" s="562">
        <v>33180</v>
      </c>
      <c r="E551" t="s">
        <v>4058</v>
      </c>
      <c r="F551" t="s">
        <v>4059</v>
      </c>
      <c r="G551" s="562">
        <v>31521</v>
      </c>
      <c r="H551" s="562">
        <f>SUMIFS('Taxes Withheld'!F:F,'Taxes Withheld'!C:C,'Import DV AUCS'!A551)</f>
        <v>995.4</v>
      </c>
      <c r="I551" s="562">
        <f>SUMIFS('Taxes Withheld'!G:G,'Taxes Withheld'!C:C,'Import DV AUCS'!A551)</f>
        <v>663.6</v>
      </c>
      <c r="K551" s="562">
        <f t="shared" si="8"/>
        <v>1659</v>
      </c>
      <c r="M551" t="s">
        <v>2687</v>
      </c>
      <c r="N551" t="s">
        <v>2683</v>
      </c>
      <c r="O551" t="s">
        <v>2678</v>
      </c>
    </row>
    <row r="552" spans="1:15">
      <c r="A552" t="s">
        <v>4060</v>
      </c>
      <c r="B552" t="s">
        <v>2676</v>
      </c>
      <c r="C552" t="s">
        <v>2666</v>
      </c>
      <c r="D552" s="562">
        <v>0</v>
      </c>
      <c r="E552" t="s">
        <v>2751</v>
      </c>
      <c r="F552" t="s">
        <v>4061</v>
      </c>
      <c r="G552" s="562">
        <v>16742.400000000001</v>
      </c>
      <c r="H552" s="562">
        <f>SUMIFS('Taxes Withheld'!F:F,'Taxes Withheld'!C:C,'Import DV AUCS'!A552)</f>
        <v>523.19999999999993</v>
      </c>
      <c r="I552" s="562">
        <f>SUMIFS('Taxes Withheld'!G:G,'Taxes Withheld'!C:C,'Import DV AUCS'!A552)</f>
        <v>174.4</v>
      </c>
      <c r="K552" s="562">
        <f t="shared" si="8"/>
        <v>697.59999999999991</v>
      </c>
      <c r="M552" t="s">
        <v>392</v>
      </c>
      <c r="N552" t="s">
        <v>2681</v>
      </c>
      <c r="O552" t="s">
        <v>2679</v>
      </c>
    </row>
    <row r="553" spans="1:15">
      <c r="A553" t="s">
        <v>4062</v>
      </c>
      <c r="B553" t="s">
        <v>2676</v>
      </c>
      <c r="C553" t="s">
        <v>4063</v>
      </c>
      <c r="D553" s="562">
        <v>550000</v>
      </c>
      <c r="E553" t="s">
        <v>1682</v>
      </c>
      <c r="F553" t="s">
        <v>4064</v>
      </c>
      <c r="G553" s="562">
        <v>550000</v>
      </c>
      <c r="H553" s="562">
        <f>SUMIFS('Taxes Withheld'!F:F,'Taxes Withheld'!C:C,'Import DV AUCS'!A553)</f>
        <v>0</v>
      </c>
      <c r="I553" s="562">
        <f>SUMIFS('Taxes Withheld'!G:G,'Taxes Withheld'!C:C,'Import DV AUCS'!A553)</f>
        <v>0</v>
      </c>
      <c r="K553" s="562">
        <f t="shared" si="8"/>
        <v>0</v>
      </c>
      <c r="M553" t="s">
        <v>2685</v>
      </c>
      <c r="N553" t="s">
        <v>2683</v>
      </c>
      <c r="O553" t="s">
        <v>2678</v>
      </c>
    </row>
    <row r="554" spans="1:15">
      <c r="A554" t="s">
        <v>4065</v>
      </c>
      <c r="B554" t="s">
        <v>2676</v>
      </c>
      <c r="C554" t="s">
        <v>4066</v>
      </c>
      <c r="D554" s="562">
        <v>550000</v>
      </c>
      <c r="E554" t="s">
        <v>820</v>
      </c>
      <c r="F554" t="s">
        <v>4064</v>
      </c>
      <c r="G554" s="562">
        <v>550000</v>
      </c>
      <c r="H554" s="562">
        <f>SUMIFS('Taxes Withheld'!F:F,'Taxes Withheld'!C:C,'Import DV AUCS'!A554)</f>
        <v>0</v>
      </c>
      <c r="I554" s="562">
        <f>SUMIFS('Taxes Withheld'!G:G,'Taxes Withheld'!C:C,'Import DV AUCS'!A554)</f>
        <v>0</v>
      </c>
      <c r="K554" s="562">
        <f t="shared" si="8"/>
        <v>0</v>
      </c>
      <c r="M554" t="s">
        <v>2685</v>
      </c>
      <c r="N554" t="s">
        <v>2683</v>
      </c>
      <c r="O554" t="s">
        <v>2678</v>
      </c>
    </row>
    <row r="555" spans="1:15">
      <c r="A555" t="s">
        <v>4067</v>
      </c>
      <c r="B555" t="s">
        <v>2676</v>
      </c>
      <c r="C555" t="s">
        <v>4068</v>
      </c>
      <c r="D555" s="562">
        <v>600000</v>
      </c>
      <c r="E555" t="s">
        <v>1539</v>
      </c>
      <c r="F555" t="s">
        <v>4064</v>
      </c>
      <c r="G555" s="562">
        <v>600000</v>
      </c>
      <c r="H555" s="562">
        <f>SUMIFS('Taxes Withheld'!F:F,'Taxes Withheld'!C:C,'Import DV AUCS'!A555)</f>
        <v>0</v>
      </c>
      <c r="I555" s="562">
        <f>SUMIFS('Taxes Withheld'!G:G,'Taxes Withheld'!C:C,'Import DV AUCS'!A555)</f>
        <v>0</v>
      </c>
      <c r="K555" s="562">
        <f t="shared" si="8"/>
        <v>0</v>
      </c>
      <c r="M555" t="s">
        <v>2685</v>
      </c>
      <c r="N555" t="s">
        <v>2683</v>
      </c>
      <c r="O555" t="s">
        <v>2678</v>
      </c>
    </row>
    <row r="556" spans="1:15">
      <c r="A556" t="s">
        <v>4069</v>
      </c>
      <c r="B556" t="s">
        <v>2676</v>
      </c>
      <c r="C556" t="s">
        <v>4070</v>
      </c>
      <c r="D556" s="562">
        <v>550000</v>
      </c>
      <c r="E556" t="s">
        <v>822</v>
      </c>
      <c r="F556" t="s">
        <v>4064</v>
      </c>
      <c r="G556" s="562">
        <v>550000</v>
      </c>
      <c r="H556" s="562">
        <f>SUMIFS('Taxes Withheld'!F:F,'Taxes Withheld'!C:C,'Import DV AUCS'!A556)</f>
        <v>0</v>
      </c>
      <c r="I556" s="562">
        <f>SUMIFS('Taxes Withheld'!G:G,'Taxes Withheld'!C:C,'Import DV AUCS'!A556)</f>
        <v>0</v>
      </c>
      <c r="K556" s="562">
        <f t="shared" si="8"/>
        <v>0</v>
      </c>
      <c r="M556" t="s">
        <v>2685</v>
      </c>
      <c r="N556" t="s">
        <v>2683</v>
      </c>
      <c r="O556" t="s">
        <v>2678</v>
      </c>
    </row>
    <row r="557" spans="1:15">
      <c r="A557" t="s">
        <v>4071</v>
      </c>
      <c r="B557" t="s">
        <v>2676</v>
      </c>
      <c r="C557" t="s">
        <v>4072</v>
      </c>
      <c r="D557" s="562">
        <v>550000</v>
      </c>
      <c r="E557" t="s">
        <v>1540</v>
      </c>
      <c r="F557" t="s">
        <v>4064</v>
      </c>
      <c r="G557" s="562">
        <v>550000</v>
      </c>
      <c r="H557" s="562">
        <f>SUMIFS('Taxes Withheld'!F:F,'Taxes Withheld'!C:C,'Import DV AUCS'!A557)</f>
        <v>0</v>
      </c>
      <c r="I557" s="562">
        <f>SUMIFS('Taxes Withheld'!G:G,'Taxes Withheld'!C:C,'Import DV AUCS'!A557)</f>
        <v>0</v>
      </c>
      <c r="K557" s="562">
        <f t="shared" si="8"/>
        <v>0</v>
      </c>
      <c r="M557" t="s">
        <v>2685</v>
      </c>
      <c r="N557" t="s">
        <v>2683</v>
      </c>
      <c r="O557" t="s">
        <v>2678</v>
      </c>
    </row>
    <row r="558" spans="1:15">
      <c r="A558" t="s">
        <v>4073</v>
      </c>
      <c r="B558" t="s">
        <v>2676</v>
      </c>
      <c r="C558" t="s">
        <v>2666</v>
      </c>
      <c r="D558" s="562">
        <v>0</v>
      </c>
      <c r="E558" t="s">
        <v>4074</v>
      </c>
      <c r="F558" t="s">
        <v>4075</v>
      </c>
      <c r="G558" s="562">
        <v>150000</v>
      </c>
      <c r="H558" s="562">
        <f>SUMIFS('Taxes Withheld'!F:F,'Taxes Withheld'!C:C,'Import DV AUCS'!A558)</f>
        <v>0</v>
      </c>
      <c r="I558" s="562">
        <f>SUMIFS('Taxes Withheld'!G:G,'Taxes Withheld'!C:C,'Import DV AUCS'!A558)</f>
        <v>0</v>
      </c>
      <c r="K558" s="562">
        <f t="shared" si="8"/>
        <v>0</v>
      </c>
      <c r="M558" t="s">
        <v>2685</v>
      </c>
      <c r="N558" t="s">
        <v>2681</v>
      </c>
      <c r="O558" t="s">
        <v>2679</v>
      </c>
    </row>
    <row r="559" spans="1:15">
      <c r="A559" t="s">
        <v>4076</v>
      </c>
      <c r="B559" t="s">
        <v>2676</v>
      </c>
      <c r="C559" t="s">
        <v>2666</v>
      </c>
      <c r="D559" s="562">
        <v>0</v>
      </c>
      <c r="E559" t="s">
        <v>822</v>
      </c>
      <c r="F559" t="s">
        <v>4075</v>
      </c>
      <c r="G559" s="562">
        <v>426841.76</v>
      </c>
      <c r="H559" s="562">
        <f>SUMIFS('Taxes Withheld'!F:F,'Taxes Withheld'!C:C,'Import DV AUCS'!A559)</f>
        <v>0</v>
      </c>
      <c r="I559" s="562">
        <f>SUMIFS('Taxes Withheld'!G:G,'Taxes Withheld'!C:C,'Import DV AUCS'!A559)</f>
        <v>0</v>
      </c>
      <c r="K559" s="562">
        <f t="shared" si="8"/>
        <v>0</v>
      </c>
      <c r="M559" t="s">
        <v>2685</v>
      </c>
      <c r="N559" t="s">
        <v>2681</v>
      </c>
      <c r="O559" t="s">
        <v>2679</v>
      </c>
    </row>
    <row r="560" spans="1:15">
      <c r="A560" t="s">
        <v>4077</v>
      </c>
      <c r="B560" t="s">
        <v>2676</v>
      </c>
      <c r="C560" t="s">
        <v>2666</v>
      </c>
      <c r="D560" s="562">
        <v>0</v>
      </c>
      <c r="E560" t="s">
        <v>823</v>
      </c>
      <c r="F560" t="s">
        <v>4075</v>
      </c>
      <c r="G560" s="562">
        <v>186833.71</v>
      </c>
      <c r="H560" s="562">
        <f>SUMIFS('Taxes Withheld'!F:F,'Taxes Withheld'!C:C,'Import DV AUCS'!A560)</f>
        <v>0</v>
      </c>
      <c r="I560" s="562">
        <f>SUMIFS('Taxes Withheld'!G:G,'Taxes Withheld'!C:C,'Import DV AUCS'!A560)</f>
        <v>0</v>
      </c>
      <c r="K560" s="562">
        <f t="shared" si="8"/>
        <v>0</v>
      </c>
      <c r="M560" t="s">
        <v>2685</v>
      </c>
      <c r="N560" t="s">
        <v>2681</v>
      </c>
      <c r="O560" t="s">
        <v>2679</v>
      </c>
    </row>
    <row r="561" spans="1:15">
      <c r="A561" t="s">
        <v>4078</v>
      </c>
      <c r="B561" t="s">
        <v>2676</v>
      </c>
      <c r="C561" t="s">
        <v>2666</v>
      </c>
      <c r="D561" s="562">
        <v>0</v>
      </c>
      <c r="E561" t="s">
        <v>4079</v>
      </c>
      <c r="F561" t="s">
        <v>4080</v>
      </c>
      <c r="G561" s="562">
        <v>24442.61</v>
      </c>
      <c r="H561" s="562">
        <f>SUMIFS('Taxes Withheld'!F:F,'Taxes Withheld'!C:C,'Import DV AUCS'!A561)</f>
        <v>0</v>
      </c>
      <c r="I561" s="562">
        <f>SUMIFS('Taxes Withheld'!G:G,'Taxes Withheld'!C:C,'Import DV AUCS'!A561)</f>
        <v>0</v>
      </c>
      <c r="K561" s="562">
        <f t="shared" si="8"/>
        <v>0</v>
      </c>
      <c r="M561" t="s">
        <v>2662</v>
      </c>
      <c r="N561" t="s">
        <v>2053</v>
      </c>
      <c r="O561" t="s">
        <v>2680</v>
      </c>
    </row>
    <row r="562" spans="1:15">
      <c r="A562" t="s">
        <v>4081</v>
      </c>
      <c r="B562" t="s">
        <v>2676</v>
      </c>
      <c r="C562" t="s">
        <v>4082</v>
      </c>
      <c r="D562" s="562">
        <v>51050</v>
      </c>
      <c r="E562" t="s">
        <v>818</v>
      </c>
      <c r="F562" t="s">
        <v>4083</v>
      </c>
      <c r="G562" s="562">
        <v>51050</v>
      </c>
      <c r="H562" s="562">
        <f>SUMIFS('Taxes Withheld'!F:F,'Taxes Withheld'!C:C,'Import DV AUCS'!A562)</f>
        <v>0</v>
      </c>
      <c r="I562" s="562">
        <f>SUMIFS('Taxes Withheld'!G:G,'Taxes Withheld'!C:C,'Import DV AUCS'!A562)</f>
        <v>0</v>
      </c>
      <c r="K562" s="562">
        <f t="shared" si="8"/>
        <v>0</v>
      </c>
      <c r="M562" t="s">
        <v>2685</v>
      </c>
      <c r="N562" t="s">
        <v>2683</v>
      </c>
      <c r="O562" t="s">
        <v>2678</v>
      </c>
    </row>
    <row r="563" spans="1:15">
      <c r="A563" t="s">
        <v>4084</v>
      </c>
      <c r="B563" t="s">
        <v>2676</v>
      </c>
      <c r="C563" t="s">
        <v>4085</v>
      </c>
      <c r="D563" s="562">
        <v>100000</v>
      </c>
      <c r="E563" t="s">
        <v>820</v>
      </c>
      <c r="F563" t="s">
        <v>4083</v>
      </c>
      <c r="G563" s="562">
        <v>100000</v>
      </c>
      <c r="H563" s="562">
        <f>SUMIFS('Taxes Withheld'!F:F,'Taxes Withheld'!C:C,'Import DV AUCS'!A563)</f>
        <v>0</v>
      </c>
      <c r="I563" s="562">
        <f>SUMIFS('Taxes Withheld'!G:G,'Taxes Withheld'!C:C,'Import DV AUCS'!A563)</f>
        <v>0</v>
      </c>
      <c r="K563" s="562">
        <f t="shared" si="8"/>
        <v>0</v>
      </c>
      <c r="M563" t="s">
        <v>2685</v>
      </c>
      <c r="N563" t="s">
        <v>2683</v>
      </c>
      <c r="O563" t="s">
        <v>2678</v>
      </c>
    </row>
    <row r="564" spans="1:15">
      <c r="A564" t="s">
        <v>4086</v>
      </c>
      <c r="B564" t="s">
        <v>2676</v>
      </c>
      <c r="C564" t="s">
        <v>4087</v>
      </c>
      <c r="D564" s="562">
        <v>99030</v>
      </c>
      <c r="E564" t="s">
        <v>1539</v>
      </c>
      <c r="F564" t="s">
        <v>4083</v>
      </c>
      <c r="G564" s="562">
        <v>99030</v>
      </c>
      <c r="H564" s="562">
        <f>SUMIFS('Taxes Withheld'!F:F,'Taxes Withheld'!C:C,'Import DV AUCS'!A564)</f>
        <v>0</v>
      </c>
      <c r="I564" s="562">
        <f>SUMIFS('Taxes Withheld'!G:G,'Taxes Withheld'!C:C,'Import DV AUCS'!A564)</f>
        <v>0</v>
      </c>
      <c r="K564" s="562">
        <f t="shared" si="8"/>
        <v>0</v>
      </c>
      <c r="M564" t="s">
        <v>2685</v>
      </c>
      <c r="N564" t="s">
        <v>2683</v>
      </c>
      <c r="O564" t="s">
        <v>2678</v>
      </c>
    </row>
    <row r="565" spans="1:15">
      <c r="A565" t="s">
        <v>4088</v>
      </c>
      <c r="B565" t="s">
        <v>2676</v>
      </c>
      <c r="C565" t="s">
        <v>4089</v>
      </c>
      <c r="D565" s="562">
        <v>10250</v>
      </c>
      <c r="E565" t="s">
        <v>1540</v>
      </c>
      <c r="F565" t="s">
        <v>4083</v>
      </c>
      <c r="G565" s="562">
        <v>10250</v>
      </c>
      <c r="H565" s="562">
        <f>SUMIFS('Taxes Withheld'!F:F,'Taxes Withheld'!C:C,'Import DV AUCS'!A565)</f>
        <v>0</v>
      </c>
      <c r="I565" s="562">
        <f>SUMIFS('Taxes Withheld'!G:G,'Taxes Withheld'!C:C,'Import DV AUCS'!A565)</f>
        <v>0</v>
      </c>
      <c r="K565" s="562">
        <f t="shared" si="8"/>
        <v>0</v>
      </c>
      <c r="M565" t="s">
        <v>2685</v>
      </c>
      <c r="N565" t="s">
        <v>2683</v>
      </c>
      <c r="O565" t="s">
        <v>2678</v>
      </c>
    </row>
    <row r="566" spans="1:15">
      <c r="A566" t="s">
        <v>4090</v>
      </c>
      <c r="B566" t="s">
        <v>2676</v>
      </c>
      <c r="C566" t="s">
        <v>4091</v>
      </c>
      <c r="D566" s="562">
        <v>13034</v>
      </c>
      <c r="E566" t="s">
        <v>1075</v>
      </c>
      <c r="F566" t="s">
        <v>4092</v>
      </c>
      <c r="G566" s="562">
        <v>12034</v>
      </c>
      <c r="H566" s="562">
        <f>SUMIFS('Taxes Withheld'!F:F,'Taxes Withheld'!C:C,'Import DV AUCS'!A566)</f>
        <v>0</v>
      </c>
      <c r="I566" s="562">
        <f>SUMIFS('Taxes Withheld'!G:G,'Taxes Withheld'!C:C,'Import DV AUCS'!A566)</f>
        <v>0</v>
      </c>
      <c r="K566" s="562">
        <f t="shared" si="8"/>
        <v>0</v>
      </c>
      <c r="M566" t="s">
        <v>2687</v>
      </c>
      <c r="N566" t="s">
        <v>2683</v>
      </c>
      <c r="O566" t="s">
        <v>2678</v>
      </c>
    </row>
    <row r="567" spans="1:15">
      <c r="A567" t="s">
        <v>4093</v>
      </c>
      <c r="B567" t="s">
        <v>2676</v>
      </c>
      <c r="C567" t="s">
        <v>4094</v>
      </c>
      <c r="D567" s="562">
        <v>6850</v>
      </c>
      <c r="E567" t="s">
        <v>4095</v>
      </c>
      <c r="F567" t="s">
        <v>4096</v>
      </c>
      <c r="G567" s="562">
        <v>6483.04</v>
      </c>
      <c r="H567" s="562">
        <f>SUMIFS('Taxes Withheld'!F:F,'Taxes Withheld'!C:C,'Import DV AUCS'!A567)</f>
        <v>305.8</v>
      </c>
      <c r="I567" s="562">
        <f>SUMIFS('Taxes Withheld'!G:G,'Taxes Withheld'!C:C,'Import DV AUCS'!A567)</f>
        <v>61.16</v>
      </c>
      <c r="K567" s="562">
        <f t="shared" si="8"/>
        <v>366.96000000000004</v>
      </c>
      <c r="M567" t="s">
        <v>2687</v>
      </c>
      <c r="N567" t="s">
        <v>2683</v>
      </c>
      <c r="O567" t="s">
        <v>2678</v>
      </c>
    </row>
    <row r="568" spans="1:15">
      <c r="A568" t="s">
        <v>4097</v>
      </c>
      <c r="B568" t="s">
        <v>2676</v>
      </c>
      <c r="C568" t="s">
        <v>4098</v>
      </c>
      <c r="D568" s="562">
        <v>101505.45</v>
      </c>
      <c r="E568" t="s">
        <v>4099</v>
      </c>
      <c r="F568" t="s">
        <v>4100</v>
      </c>
      <c r="G568" s="562">
        <v>101505.45</v>
      </c>
      <c r="H568" s="562">
        <f>SUMIFS('Taxes Withheld'!F:F,'Taxes Withheld'!C:C,'Import DV AUCS'!A568)</f>
        <v>0</v>
      </c>
      <c r="I568" s="562">
        <f>SUMIFS('Taxes Withheld'!G:G,'Taxes Withheld'!C:C,'Import DV AUCS'!A568)</f>
        <v>0</v>
      </c>
      <c r="K568" s="562">
        <f t="shared" si="8"/>
        <v>0</v>
      </c>
      <c r="M568" t="s">
        <v>2687</v>
      </c>
      <c r="N568" t="s">
        <v>2683</v>
      </c>
      <c r="O568" t="s">
        <v>2678</v>
      </c>
    </row>
    <row r="569" spans="1:15">
      <c r="A569" t="s">
        <v>4101</v>
      </c>
      <c r="B569" t="s">
        <v>2676</v>
      </c>
      <c r="C569" t="s">
        <v>2666</v>
      </c>
      <c r="D569" s="562">
        <v>0</v>
      </c>
      <c r="E569" t="s">
        <v>4099</v>
      </c>
      <c r="F569" t="s">
        <v>4102</v>
      </c>
      <c r="G569" s="562">
        <v>86607.18</v>
      </c>
      <c r="H569" s="562">
        <f>SUMIFS('Taxes Withheld'!F:F,'Taxes Withheld'!C:C,'Import DV AUCS'!A569)</f>
        <v>0</v>
      </c>
      <c r="I569" s="562">
        <f>SUMIFS('Taxes Withheld'!G:G,'Taxes Withheld'!C:C,'Import DV AUCS'!A569)</f>
        <v>0</v>
      </c>
      <c r="K569" s="562">
        <f t="shared" si="8"/>
        <v>0</v>
      </c>
      <c r="M569" t="s">
        <v>392</v>
      </c>
      <c r="N569" t="s">
        <v>2681</v>
      </c>
      <c r="O569" t="s">
        <v>2679</v>
      </c>
    </row>
    <row r="570" spans="1:15">
      <c r="A570" t="s">
        <v>4103</v>
      </c>
      <c r="B570" t="s">
        <v>2676</v>
      </c>
      <c r="C570" t="s">
        <v>4104</v>
      </c>
      <c r="D570" s="562">
        <v>11455.25</v>
      </c>
      <c r="E570" t="s">
        <v>3001</v>
      </c>
      <c r="F570" t="s">
        <v>4105</v>
      </c>
      <c r="G570" s="562">
        <v>11455.25</v>
      </c>
      <c r="H570" s="562">
        <f>SUMIFS('Taxes Withheld'!F:F,'Taxes Withheld'!C:C,'Import DV AUCS'!A570)</f>
        <v>0</v>
      </c>
      <c r="I570" s="562">
        <f>SUMIFS('Taxes Withheld'!G:G,'Taxes Withheld'!C:C,'Import DV AUCS'!A570)</f>
        <v>0</v>
      </c>
      <c r="K570" s="562">
        <f t="shared" si="8"/>
        <v>0</v>
      </c>
      <c r="M570" t="s">
        <v>2687</v>
      </c>
      <c r="N570" t="s">
        <v>2683</v>
      </c>
      <c r="O570" t="s">
        <v>2678</v>
      </c>
    </row>
    <row r="571" spans="1:15">
      <c r="A571" t="s">
        <v>4106</v>
      </c>
      <c r="B571" t="s">
        <v>2676</v>
      </c>
      <c r="C571" t="s">
        <v>4107</v>
      </c>
      <c r="D571" s="562">
        <v>8164.75</v>
      </c>
      <c r="E571" t="s">
        <v>4108</v>
      </c>
      <c r="F571" t="s">
        <v>4109</v>
      </c>
      <c r="G571" s="562">
        <v>8164.75</v>
      </c>
      <c r="H571" s="562">
        <f>SUMIFS('Taxes Withheld'!F:F,'Taxes Withheld'!C:C,'Import DV AUCS'!A571)</f>
        <v>0</v>
      </c>
      <c r="I571" s="562">
        <f>SUMIFS('Taxes Withheld'!G:G,'Taxes Withheld'!C:C,'Import DV AUCS'!A571)</f>
        <v>0</v>
      </c>
      <c r="K571" s="562">
        <f t="shared" si="8"/>
        <v>0</v>
      </c>
      <c r="M571" t="s">
        <v>2687</v>
      </c>
      <c r="N571" t="s">
        <v>2683</v>
      </c>
      <c r="O571" t="s">
        <v>2678</v>
      </c>
    </row>
    <row r="572" spans="1:15">
      <c r="A572" t="s">
        <v>4110</v>
      </c>
      <c r="B572" t="s">
        <v>2676</v>
      </c>
      <c r="C572" t="s">
        <v>4111</v>
      </c>
      <c r="D572" s="562">
        <v>2500</v>
      </c>
      <c r="E572" t="s">
        <v>2731</v>
      </c>
      <c r="F572" t="s">
        <v>4112</v>
      </c>
      <c r="G572" s="562">
        <v>2343.75</v>
      </c>
      <c r="H572" s="562">
        <f>SUMIFS('Taxes Withheld'!F:F,'Taxes Withheld'!C:C,'Import DV AUCS'!A572)</f>
        <v>111.61</v>
      </c>
      <c r="I572" s="562">
        <f>SUMIFS('Taxes Withheld'!G:G,'Taxes Withheld'!C:C,'Import DV AUCS'!A572)</f>
        <v>44.64</v>
      </c>
      <c r="K572" s="562">
        <f t="shared" si="8"/>
        <v>156.25</v>
      </c>
      <c r="M572" t="s">
        <v>2687</v>
      </c>
      <c r="N572" t="s">
        <v>2683</v>
      </c>
      <c r="O572" t="s">
        <v>2678</v>
      </c>
    </row>
    <row r="573" spans="1:15">
      <c r="A573" t="s">
        <v>4113</v>
      </c>
      <c r="B573" t="s">
        <v>2676</v>
      </c>
      <c r="C573" t="s">
        <v>4114</v>
      </c>
      <c r="D573" s="562">
        <v>2511.36</v>
      </c>
      <c r="E573" t="s">
        <v>3112</v>
      </c>
      <c r="F573" t="s">
        <v>4115</v>
      </c>
      <c r="G573" s="562">
        <v>2511.36</v>
      </c>
      <c r="H573" s="562">
        <f>SUMIFS('Taxes Withheld'!F:F,'Taxes Withheld'!C:C,'Import DV AUCS'!A573)</f>
        <v>0</v>
      </c>
      <c r="I573" s="562">
        <f>SUMIFS('Taxes Withheld'!G:G,'Taxes Withheld'!C:C,'Import DV AUCS'!A573)</f>
        <v>0</v>
      </c>
      <c r="K573" s="562">
        <f t="shared" si="8"/>
        <v>0</v>
      </c>
      <c r="M573" t="s">
        <v>2687</v>
      </c>
      <c r="N573" t="s">
        <v>2683</v>
      </c>
      <c r="O573" t="s">
        <v>2678</v>
      </c>
    </row>
    <row r="574" spans="1:15">
      <c r="A574" t="s">
        <v>4116</v>
      </c>
      <c r="B574" t="s">
        <v>2676</v>
      </c>
      <c r="C574" t="s">
        <v>4117</v>
      </c>
      <c r="D574" s="562">
        <v>10000</v>
      </c>
      <c r="E574" t="s">
        <v>3363</v>
      </c>
      <c r="F574" t="s">
        <v>4092</v>
      </c>
      <c r="G574" s="562">
        <v>0</v>
      </c>
      <c r="H574" s="562">
        <f>SUMIFS('Taxes Withheld'!F:F,'Taxes Withheld'!C:C,'Import DV AUCS'!A574)</f>
        <v>0</v>
      </c>
      <c r="I574" s="562">
        <f>SUMIFS('Taxes Withheld'!G:G,'Taxes Withheld'!C:C,'Import DV AUCS'!A574)</f>
        <v>0</v>
      </c>
      <c r="K574" s="562">
        <f t="shared" si="8"/>
        <v>0</v>
      </c>
      <c r="M574" t="s">
        <v>2687</v>
      </c>
      <c r="N574" t="s">
        <v>2683</v>
      </c>
      <c r="O574" t="s">
        <v>2678</v>
      </c>
    </row>
    <row r="575" spans="1:15">
      <c r="A575" t="s">
        <v>4118</v>
      </c>
      <c r="B575" t="s">
        <v>2676</v>
      </c>
      <c r="C575" t="s">
        <v>4119</v>
      </c>
      <c r="D575" s="562">
        <v>170501.47</v>
      </c>
      <c r="E575" t="s">
        <v>2844</v>
      </c>
      <c r="F575" t="s">
        <v>4120</v>
      </c>
      <c r="G575" s="562">
        <v>155278.13</v>
      </c>
      <c r="H575" s="562">
        <f>SUMIFS('Taxes Withheld'!F:F,'Taxes Withheld'!C:C,'Import DV AUCS'!A575)</f>
        <v>7611.67</v>
      </c>
      <c r="I575" s="562">
        <f>SUMIFS('Taxes Withheld'!G:G,'Taxes Withheld'!C:C,'Import DV AUCS'!A575)</f>
        <v>7611.67</v>
      </c>
      <c r="K575" s="562">
        <f t="shared" si="8"/>
        <v>15223.34</v>
      </c>
      <c r="M575" t="s">
        <v>2687</v>
      </c>
      <c r="N575" t="s">
        <v>2683</v>
      </c>
      <c r="O575" t="s">
        <v>2678</v>
      </c>
    </row>
    <row r="576" spans="1:15">
      <c r="A576" t="s">
        <v>4121</v>
      </c>
      <c r="B576" t="s">
        <v>2676</v>
      </c>
      <c r="C576" t="s">
        <v>4122</v>
      </c>
      <c r="D576" s="562">
        <v>7712.46</v>
      </c>
      <c r="E576" t="s">
        <v>2916</v>
      </c>
      <c r="F576" t="s">
        <v>4123</v>
      </c>
      <c r="G576" s="562">
        <v>7712.46</v>
      </c>
      <c r="H576" s="562">
        <f>SUMIFS('Taxes Withheld'!F:F,'Taxes Withheld'!C:C,'Import DV AUCS'!A576)</f>
        <v>0</v>
      </c>
      <c r="I576" s="562">
        <f>SUMIFS('Taxes Withheld'!G:G,'Taxes Withheld'!C:C,'Import DV AUCS'!A576)</f>
        <v>0</v>
      </c>
      <c r="K576" s="562">
        <f t="shared" si="8"/>
        <v>0</v>
      </c>
      <c r="M576" t="s">
        <v>2687</v>
      </c>
      <c r="N576" t="s">
        <v>2683</v>
      </c>
      <c r="O576" t="s">
        <v>2678</v>
      </c>
    </row>
    <row r="577" spans="1:15">
      <c r="A577" t="s">
        <v>4124</v>
      </c>
      <c r="B577" t="s">
        <v>2676</v>
      </c>
      <c r="C577" t="s">
        <v>4125</v>
      </c>
      <c r="D577" s="562">
        <v>9559.2900000000009</v>
      </c>
      <c r="E577" t="s">
        <v>4099</v>
      </c>
      <c r="F577" t="s">
        <v>4126</v>
      </c>
      <c r="G577" s="562">
        <v>9559.2900000000009</v>
      </c>
      <c r="H577" s="562">
        <f>SUMIFS('Taxes Withheld'!F:F,'Taxes Withheld'!C:C,'Import DV AUCS'!A577)</f>
        <v>0</v>
      </c>
      <c r="I577" s="562">
        <f>SUMIFS('Taxes Withheld'!G:G,'Taxes Withheld'!C:C,'Import DV AUCS'!A577)</f>
        <v>0</v>
      </c>
      <c r="K577" s="562">
        <f t="shared" si="8"/>
        <v>0</v>
      </c>
      <c r="M577" t="s">
        <v>2687</v>
      </c>
      <c r="N577" t="s">
        <v>2683</v>
      </c>
      <c r="O577" t="s">
        <v>2678</v>
      </c>
    </row>
    <row r="578" spans="1:15">
      <c r="A578" t="s">
        <v>4127</v>
      </c>
      <c r="B578" t="s">
        <v>2676</v>
      </c>
      <c r="C578" t="s">
        <v>2666</v>
      </c>
      <c r="D578" s="562">
        <v>0</v>
      </c>
      <c r="E578" t="s">
        <v>4099</v>
      </c>
      <c r="F578" t="s">
        <v>4128</v>
      </c>
      <c r="G578" s="562">
        <v>73582.86</v>
      </c>
      <c r="H578" s="562">
        <f>SUMIFS('Taxes Withheld'!F:F,'Taxes Withheld'!C:C,'Import DV AUCS'!A578)</f>
        <v>0</v>
      </c>
      <c r="I578" s="562">
        <f>SUMIFS('Taxes Withheld'!G:G,'Taxes Withheld'!C:C,'Import DV AUCS'!A578)</f>
        <v>0</v>
      </c>
      <c r="K578" s="562">
        <f t="shared" si="8"/>
        <v>0</v>
      </c>
      <c r="M578" t="s">
        <v>392</v>
      </c>
      <c r="N578" t="s">
        <v>2681</v>
      </c>
      <c r="O578" t="s">
        <v>2679</v>
      </c>
    </row>
    <row r="579" spans="1:15">
      <c r="A579" t="s">
        <v>4129</v>
      </c>
      <c r="B579" t="s">
        <v>2676</v>
      </c>
      <c r="C579" t="s">
        <v>2666</v>
      </c>
      <c r="D579" s="562">
        <v>0</v>
      </c>
      <c r="E579" t="s">
        <v>3001</v>
      </c>
      <c r="F579" t="s">
        <v>3338</v>
      </c>
      <c r="G579" s="562">
        <v>118.93</v>
      </c>
      <c r="H579" s="562">
        <f>SUMIFS('Taxes Withheld'!F:F,'Taxes Withheld'!C:C,'Import DV AUCS'!A579)</f>
        <v>0</v>
      </c>
      <c r="I579" s="562">
        <f>SUMIFS('Taxes Withheld'!G:G,'Taxes Withheld'!C:C,'Import DV AUCS'!A579)</f>
        <v>0</v>
      </c>
      <c r="K579" s="562">
        <f t="shared" si="8"/>
        <v>0</v>
      </c>
      <c r="M579" t="s">
        <v>2662</v>
      </c>
      <c r="N579" t="s">
        <v>2053</v>
      </c>
      <c r="O579" t="s">
        <v>2680</v>
      </c>
    </row>
    <row r="580" spans="1:15">
      <c r="A580" t="s">
        <v>4130</v>
      </c>
      <c r="B580" t="s">
        <v>2676</v>
      </c>
      <c r="C580" t="s">
        <v>4131</v>
      </c>
      <c r="D580" s="562">
        <v>3800</v>
      </c>
      <c r="E580" t="s">
        <v>2720</v>
      </c>
      <c r="F580" t="s">
        <v>4132</v>
      </c>
      <c r="G580" s="562">
        <v>3562.5</v>
      </c>
      <c r="H580" s="562">
        <f>SUMIFS('Taxes Withheld'!F:F,'Taxes Withheld'!C:C,'Import DV AUCS'!A580)</f>
        <v>169.64</v>
      </c>
      <c r="I580" s="562">
        <f>SUMIFS('Taxes Withheld'!G:G,'Taxes Withheld'!C:C,'Import DV AUCS'!A580)</f>
        <v>67.86</v>
      </c>
      <c r="K580" s="562">
        <f t="shared" ref="K580:K606" si="9">H580+I580+J580</f>
        <v>237.5</v>
      </c>
      <c r="M580" t="s">
        <v>2687</v>
      </c>
      <c r="N580" t="s">
        <v>2683</v>
      </c>
      <c r="O580" t="s">
        <v>2678</v>
      </c>
    </row>
    <row r="581" spans="1:15">
      <c r="A581" t="s">
        <v>4133</v>
      </c>
      <c r="B581" t="s">
        <v>2676</v>
      </c>
      <c r="C581" t="s">
        <v>2666</v>
      </c>
      <c r="D581" s="562">
        <v>0</v>
      </c>
      <c r="E581" t="s">
        <v>4134</v>
      </c>
      <c r="F581" t="s">
        <v>4135</v>
      </c>
      <c r="G581" s="562">
        <v>838388.86</v>
      </c>
      <c r="H581" s="562">
        <f>SUMIFS('Taxes Withheld'!F:F,'Taxes Withheld'!C:C,'Import DV AUCS'!A581)</f>
        <v>0</v>
      </c>
      <c r="I581" s="562">
        <f>SUMIFS('Taxes Withheld'!G:G,'Taxes Withheld'!C:C,'Import DV AUCS'!A581)</f>
        <v>0</v>
      </c>
      <c r="K581" s="562">
        <f t="shared" si="9"/>
        <v>0</v>
      </c>
      <c r="M581" t="s">
        <v>392</v>
      </c>
      <c r="N581" t="s">
        <v>2681</v>
      </c>
      <c r="O581" t="s">
        <v>2679</v>
      </c>
    </row>
    <row r="582" spans="1:15">
      <c r="A582" t="s">
        <v>4136</v>
      </c>
      <c r="B582" t="s">
        <v>2676</v>
      </c>
      <c r="C582" t="s">
        <v>2666</v>
      </c>
      <c r="D582" s="562">
        <v>0</v>
      </c>
      <c r="E582" t="s">
        <v>4137</v>
      </c>
      <c r="F582" t="s">
        <v>4138</v>
      </c>
      <c r="G582" s="562">
        <v>399360</v>
      </c>
      <c r="H582" s="562">
        <f>SUMIFS('Taxes Withheld'!F:F,'Taxes Withheld'!C:C,'Import DV AUCS'!A582)</f>
        <v>12480</v>
      </c>
      <c r="I582" s="562">
        <f>SUMIFS('Taxes Withheld'!G:G,'Taxes Withheld'!C:C,'Import DV AUCS'!A582)</f>
        <v>4160</v>
      </c>
      <c r="K582" s="562">
        <f t="shared" si="9"/>
        <v>16640</v>
      </c>
      <c r="M582" t="s">
        <v>392</v>
      </c>
      <c r="N582" t="s">
        <v>2681</v>
      </c>
      <c r="O582" t="s">
        <v>2679</v>
      </c>
    </row>
    <row r="583" spans="1:15">
      <c r="A583" t="s">
        <v>4139</v>
      </c>
      <c r="B583" t="s">
        <v>2676</v>
      </c>
      <c r="C583" t="s">
        <v>2666</v>
      </c>
      <c r="D583" s="562">
        <v>0</v>
      </c>
      <c r="E583" t="s">
        <v>4140</v>
      </c>
      <c r="F583" t="s">
        <v>4141</v>
      </c>
      <c r="G583" s="562">
        <v>530000</v>
      </c>
      <c r="H583" s="562">
        <f>SUMIFS('Taxes Withheld'!F:F,'Taxes Withheld'!C:C,'Import DV AUCS'!A583)</f>
        <v>25000</v>
      </c>
      <c r="I583" s="562">
        <f>SUMIFS('Taxes Withheld'!G:G,'Taxes Withheld'!C:C,'Import DV AUCS'!A583)</f>
        <v>5000</v>
      </c>
      <c r="K583" s="562">
        <f t="shared" si="9"/>
        <v>30000</v>
      </c>
      <c r="M583" t="s">
        <v>392</v>
      </c>
      <c r="N583" t="s">
        <v>2681</v>
      </c>
      <c r="O583" t="s">
        <v>2679</v>
      </c>
    </row>
    <row r="584" spans="1:15">
      <c r="A584" t="s">
        <v>4142</v>
      </c>
      <c r="B584" t="s">
        <v>2676</v>
      </c>
      <c r="C584" t="s">
        <v>4143</v>
      </c>
      <c r="D584" s="562">
        <v>256101</v>
      </c>
      <c r="E584" t="s">
        <v>1540</v>
      </c>
      <c r="F584" t="s">
        <v>4144</v>
      </c>
      <c r="G584" s="562">
        <v>256101</v>
      </c>
      <c r="H584" s="562">
        <f>SUMIFS('Taxes Withheld'!F:F,'Taxes Withheld'!C:C,'Import DV AUCS'!A584)</f>
        <v>0</v>
      </c>
      <c r="I584" s="562">
        <f>SUMIFS('Taxes Withheld'!G:G,'Taxes Withheld'!C:C,'Import DV AUCS'!A584)</f>
        <v>0</v>
      </c>
      <c r="K584" s="562">
        <f t="shared" si="9"/>
        <v>0</v>
      </c>
      <c r="M584" t="s">
        <v>2685</v>
      </c>
      <c r="N584" t="s">
        <v>2683</v>
      </c>
      <c r="O584" t="s">
        <v>2678</v>
      </c>
    </row>
    <row r="585" spans="1:15">
      <c r="A585" t="s">
        <v>4145</v>
      </c>
      <c r="B585" t="s">
        <v>2676</v>
      </c>
      <c r="C585" t="s">
        <v>4146</v>
      </c>
      <c r="D585" s="562">
        <v>184464</v>
      </c>
      <c r="E585" t="s">
        <v>1539</v>
      </c>
      <c r="F585" t="s">
        <v>4144</v>
      </c>
      <c r="G585" s="562">
        <v>184464</v>
      </c>
      <c r="H585" s="562">
        <f>SUMIFS('Taxes Withheld'!F:F,'Taxes Withheld'!C:C,'Import DV AUCS'!A585)</f>
        <v>0</v>
      </c>
      <c r="I585" s="562">
        <f>SUMIFS('Taxes Withheld'!G:G,'Taxes Withheld'!C:C,'Import DV AUCS'!A585)</f>
        <v>0</v>
      </c>
      <c r="K585" s="562">
        <f t="shared" si="9"/>
        <v>0</v>
      </c>
      <c r="M585" t="s">
        <v>2685</v>
      </c>
      <c r="N585" t="s">
        <v>2683</v>
      </c>
      <c r="O585" t="s">
        <v>2678</v>
      </c>
    </row>
    <row r="586" spans="1:15">
      <c r="A586" t="s">
        <v>4147</v>
      </c>
      <c r="B586" t="s">
        <v>2676</v>
      </c>
      <c r="C586" t="s">
        <v>4148</v>
      </c>
      <c r="D586" s="562">
        <v>22316</v>
      </c>
      <c r="E586" t="s">
        <v>843</v>
      </c>
      <c r="F586" t="s">
        <v>4149</v>
      </c>
      <c r="G586" s="562">
        <v>22316</v>
      </c>
      <c r="H586" s="562">
        <f>SUMIFS('Taxes Withheld'!F:F,'Taxes Withheld'!C:C,'Import DV AUCS'!A586)</f>
        <v>0</v>
      </c>
      <c r="I586" s="562">
        <f>SUMIFS('Taxes Withheld'!G:G,'Taxes Withheld'!C:C,'Import DV AUCS'!A586)</f>
        <v>0</v>
      </c>
      <c r="K586" s="562">
        <f t="shared" si="9"/>
        <v>0</v>
      </c>
      <c r="M586" t="s">
        <v>2687</v>
      </c>
      <c r="N586" t="s">
        <v>2683</v>
      </c>
      <c r="O586" t="s">
        <v>2678</v>
      </c>
    </row>
    <row r="587" spans="1:15">
      <c r="A587" t="s">
        <v>4150</v>
      </c>
      <c r="B587" t="s">
        <v>2676</v>
      </c>
      <c r="C587" t="s">
        <v>4151</v>
      </c>
      <c r="D587" s="562">
        <v>14120</v>
      </c>
      <c r="E587" t="s">
        <v>843</v>
      </c>
      <c r="F587" t="s">
        <v>4149</v>
      </c>
      <c r="G587" s="562">
        <v>14120</v>
      </c>
      <c r="H587" s="562">
        <f>SUMIFS('Taxes Withheld'!F:F,'Taxes Withheld'!C:C,'Import DV AUCS'!A587)</f>
        <v>0</v>
      </c>
      <c r="I587" s="562">
        <f>SUMIFS('Taxes Withheld'!G:G,'Taxes Withheld'!C:C,'Import DV AUCS'!A587)</f>
        <v>0</v>
      </c>
      <c r="K587" s="562">
        <f t="shared" si="9"/>
        <v>0</v>
      </c>
      <c r="M587" t="s">
        <v>2687</v>
      </c>
      <c r="N587" t="s">
        <v>2683</v>
      </c>
      <c r="O587" t="s">
        <v>2678</v>
      </c>
    </row>
    <row r="588" spans="1:15">
      <c r="A588" t="s">
        <v>4152</v>
      </c>
      <c r="B588" t="s">
        <v>2676</v>
      </c>
      <c r="C588" t="s">
        <v>4153</v>
      </c>
      <c r="D588" s="562">
        <v>43786.5</v>
      </c>
      <c r="E588" t="s">
        <v>843</v>
      </c>
      <c r="F588" t="s">
        <v>4149</v>
      </c>
      <c r="G588" s="562">
        <v>38703.17</v>
      </c>
      <c r="H588" s="562">
        <f>SUMIFS('Taxes Withheld'!F:F,'Taxes Withheld'!C:C,'Import DV AUCS'!A588)</f>
        <v>0</v>
      </c>
      <c r="I588" s="562">
        <f>SUMIFS('Taxes Withheld'!G:G,'Taxes Withheld'!C:C,'Import DV AUCS'!A588)</f>
        <v>0</v>
      </c>
      <c r="K588" s="562">
        <f t="shared" si="9"/>
        <v>0</v>
      </c>
      <c r="M588" t="s">
        <v>2687</v>
      </c>
      <c r="N588" t="s">
        <v>2683</v>
      </c>
      <c r="O588" t="s">
        <v>2678</v>
      </c>
    </row>
    <row r="589" spans="1:15">
      <c r="A589" t="s">
        <v>4154</v>
      </c>
      <c r="B589" t="s">
        <v>2676</v>
      </c>
      <c r="C589" t="s">
        <v>2666</v>
      </c>
      <c r="D589" s="562">
        <v>0</v>
      </c>
      <c r="E589" t="s">
        <v>3363</v>
      </c>
      <c r="F589" t="s">
        <v>4149</v>
      </c>
      <c r="G589" s="562">
        <v>9000</v>
      </c>
      <c r="H589" s="562">
        <f>SUMIFS('Taxes Withheld'!F:F,'Taxes Withheld'!C:C,'Import DV AUCS'!A589)</f>
        <v>0</v>
      </c>
      <c r="I589" s="562">
        <f>SUMIFS('Taxes Withheld'!G:G,'Taxes Withheld'!C:C,'Import DV AUCS'!A589)</f>
        <v>0</v>
      </c>
      <c r="K589" s="562">
        <f t="shared" si="9"/>
        <v>0</v>
      </c>
      <c r="M589" t="s">
        <v>2662</v>
      </c>
      <c r="N589" t="s">
        <v>2053</v>
      </c>
      <c r="O589" t="s">
        <v>2680</v>
      </c>
    </row>
    <row r="590" spans="1:15">
      <c r="A590" t="s">
        <v>4155</v>
      </c>
      <c r="B590" t="s">
        <v>2676</v>
      </c>
      <c r="C590" t="s">
        <v>4156</v>
      </c>
      <c r="D590" s="562">
        <v>1464950</v>
      </c>
      <c r="E590" t="s">
        <v>820</v>
      </c>
      <c r="F590" t="s">
        <v>4157</v>
      </c>
      <c r="G590" s="562">
        <v>1464950</v>
      </c>
      <c r="H590" s="562">
        <f>SUMIFS('Taxes Withheld'!F:F,'Taxes Withheld'!C:C,'Import DV AUCS'!A590)</f>
        <v>0</v>
      </c>
      <c r="I590" s="562">
        <f>SUMIFS('Taxes Withheld'!G:G,'Taxes Withheld'!C:C,'Import DV AUCS'!A590)</f>
        <v>0</v>
      </c>
      <c r="K590" s="562">
        <f t="shared" si="9"/>
        <v>0</v>
      </c>
      <c r="M590" t="s">
        <v>2685</v>
      </c>
      <c r="N590" t="s">
        <v>2683</v>
      </c>
      <c r="O590" t="s">
        <v>2678</v>
      </c>
    </row>
    <row r="591" spans="1:15">
      <c r="A591" t="s">
        <v>4158</v>
      </c>
      <c r="B591" t="s">
        <v>2676</v>
      </c>
      <c r="C591" t="s">
        <v>4159</v>
      </c>
      <c r="D591" s="562">
        <v>1266031.21</v>
      </c>
      <c r="E591" t="s">
        <v>4160</v>
      </c>
      <c r="F591" t="s">
        <v>4157</v>
      </c>
      <c r="G591" s="562">
        <v>1266031.2099999667</v>
      </c>
      <c r="H591" s="562">
        <f>SUMIFS('Taxes Withheld'!F:F,'Taxes Withheld'!C:C,'Import DV AUCS'!A591)</f>
        <v>0</v>
      </c>
      <c r="I591" s="562">
        <f>SUMIFS('Taxes Withheld'!G:G,'Taxes Withheld'!C:C,'Import DV AUCS'!A591)</f>
        <v>0</v>
      </c>
      <c r="K591" s="562">
        <f t="shared" si="9"/>
        <v>0</v>
      </c>
      <c r="M591" t="s">
        <v>2685</v>
      </c>
      <c r="N591" t="s">
        <v>2683</v>
      </c>
      <c r="O591" t="s">
        <v>2678</v>
      </c>
    </row>
    <row r="592" spans="1:15">
      <c r="A592" t="s">
        <v>4161</v>
      </c>
      <c r="B592" t="s">
        <v>2676</v>
      </c>
      <c r="C592" t="s">
        <v>4162</v>
      </c>
      <c r="D592" s="562">
        <v>348243.76</v>
      </c>
      <c r="E592" t="s">
        <v>4163</v>
      </c>
      <c r="F592" t="s">
        <v>4164</v>
      </c>
      <c r="G592" s="562">
        <v>348243.76</v>
      </c>
      <c r="H592" s="562">
        <f>SUMIFS('Taxes Withheld'!F:F,'Taxes Withheld'!C:C,'Import DV AUCS'!A592)</f>
        <v>0</v>
      </c>
      <c r="I592" s="562">
        <f>SUMIFS('Taxes Withheld'!G:G,'Taxes Withheld'!C:C,'Import DV AUCS'!A592)</f>
        <v>0</v>
      </c>
      <c r="K592" s="562">
        <f t="shared" si="9"/>
        <v>0</v>
      </c>
      <c r="M592" t="s">
        <v>2685</v>
      </c>
      <c r="N592" t="s">
        <v>2683</v>
      </c>
      <c r="O592" t="s">
        <v>2678</v>
      </c>
    </row>
    <row r="593" spans="1:15">
      <c r="A593" t="s">
        <v>4165</v>
      </c>
      <c r="B593" t="s">
        <v>2676</v>
      </c>
      <c r="C593" t="s">
        <v>4166</v>
      </c>
      <c r="D593" s="562">
        <v>333817.76</v>
      </c>
      <c r="E593" t="s">
        <v>4160</v>
      </c>
      <c r="F593" t="s">
        <v>4164</v>
      </c>
      <c r="G593" s="562">
        <v>333817.76</v>
      </c>
      <c r="H593" s="562">
        <f>SUMIFS('Taxes Withheld'!F:F,'Taxes Withheld'!C:C,'Import DV AUCS'!A593)</f>
        <v>0</v>
      </c>
      <c r="I593" s="562">
        <f>SUMIFS('Taxes Withheld'!G:G,'Taxes Withheld'!C:C,'Import DV AUCS'!A593)</f>
        <v>0</v>
      </c>
      <c r="K593" s="562">
        <f t="shared" si="9"/>
        <v>0</v>
      </c>
      <c r="M593" t="s">
        <v>2685</v>
      </c>
      <c r="N593" t="s">
        <v>2683</v>
      </c>
      <c r="O593" t="s">
        <v>2678</v>
      </c>
    </row>
    <row r="594" spans="1:15">
      <c r="A594" t="s">
        <v>4167</v>
      </c>
      <c r="B594" t="s">
        <v>2676</v>
      </c>
      <c r="C594" t="s">
        <v>4168</v>
      </c>
      <c r="D594" s="562">
        <v>348243.76</v>
      </c>
      <c r="E594" t="s">
        <v>4169</v>
      </c>
      <c r="F594" t="s">
        <v>4164</v>
      </c>
      <c r="G594" s="562">
        <v>348243.76</v>
      </c>
      <c r="H594" s="562">
        <f>SUMIFS('Taxes Withheld'!F:F,'Taxes Withheld'!C:C,'Import DV AUCS'!A594)</f>
        <v>0</v>
      </c>
      <c r="I594" s="562">
        <f>SUMIFS('Taxes Withheld'!G:G,'Taxes Withheld'!C:C,'Import DV AUCS'!A594)</f>
        <v>0</v>
      </c>
      <c r="K594" s="562">
        <f t="shared" si="9"/>
        <v>0</v>
      </c>
      <c r="M594" t="s">
        <v>2685</v>
      </c>
      <c r="N594" t="s">
        <v>2683</v>
      </c>
      <c r="O594" t="s">
        <v>2678</v>
      </c>
    </row>
    <row r="595" spans="1:15">
      <c r="A595" t="s">
        <v>4170</v>
      </c>
      <c r="B595" t="s">
        <v>2676</v>
      </c>
      <c r="C595" t="s">
        <v>2666</v>
      </c>
      <c r="D595" s="562">
        <v>0</v>
      </c>
      <c r="E595" t="s">
        <v>1105</v>
      </c>
      <c r="F595" t="s">
        <v>4171</v>
      </c>
      <c r="G595" s="562">
        <v>500</v>
      </c>
      <c r="H595" s="562">
        <f>SUMIFS('Taxes Withheld'!F:F,'Taxes Withheld'!C:C,'Import DV AUCS'!A595)</f>
        <v>0</v>
      </c>
      <c r="I595" s="562">
        <f>SUMIFS('Taxes Withheld'!G:G,'Taxes Withheld'!C:C,'Import DV AUCS'!A595)</f>
        <v>0</v>
      </c>
      <c r="K595" s="562">
        <f t="shared" si="9"/>
        <v>0</v>
      </c>
      <c r="M595" t="s">
        <v>2662</v>
      </c>
      <c r="N595" t="s">
        <v>2053</v>
      </c>
      <c r="O595" t="s">
        <v>2680</v>
      </c>
    </row>
    <row r="596" spans="1:15">
      <c r="A596" t="s">
        <v>4172</v>
      </c>
      <c r="B596" t="s">
        <v>2676</v>
      </c>
      <c r="C596" t="s">
        <v>4173</v>
      </c>
      <c r="D596" s="562">
        <v>760350</v>
      </c>
      <c r="E596" t="s">
        <v>822</v>
      </c>
      <c r="F596" t="s">
        <v>4174</v>
      </c>
      <c r="G596" s="562">
        <v>760350</v>
      </c>
      <c r="H596" s="562">
        <f>SUMIFS('Taxes Withheld'!F:F,'Taxes Withheld'!C:C,'Import DV AUCS'!A596)</f>
        <v>0</v>
      </c>
      <c r="I596" s="562">
        <f>SUMIFS('Taxes Withheld'!G:G,'Taxes Withheld'!C:C,'Import DV AUCS'!A596)</f>
        <v>0</v>
      </c>
      <c r="K596" s="562">
        <f t="shared" si="9"/>
        <v>0</v>
      </c>
      <c r="M596" t="s">
        <v>2685</v>
      </c>
      <c r="N596" t="s">
        <v>2683</v>
      </c>
      <c r="O596" t="s">
        <v>2678</v>
      </c>
    </row>
    <row r="597" spans="1:15">
      <c r="A597" t="s">
        <v>4175</v>
      </c>
      <c r="B597" t="s">
        <v>2676</v>
      </c>
      <c r="C597" t="s">
        <v>4176</v>
      </c>
      <c r="D597" s="562">
        <v>194400</v>
      </c>
      <c r="E597" t="s">
        <v>1682</v>
      </c>
      <c r="F597" t="s">
        <v>4177</v>
      </c>
      <c r="G597" s="562">
        <v>194400</v>
      </c>
      <c r="H597" s="562">
        <f>SUMIFS('Taxes Withheld'!F:F,'Taxes Withheld'!C:C,'Import DV AUCS'!A597)</f>
        <v>0</v>
      </c>
      <c r="I597" s="562">
        <f>SUMIFS('Taxes Withheld'!G:G,'Taxes Withheld'!C:C,'Import DV AUCS'!A597)</f>
        <v>0</v>
      </c>
      <c r="K597" s="562">
        <f t="shared" si="9"/>
        <v>0</v>
      </c>
      <c r="M597" t="s">
        <v>2685</v>
      </c>
      <c r="N597" t="s">
        <v>2683</v>
      </c>
      <c r="O597" t="s">
        <v>2678</v>
      </c>
    </row>
    <row r="598" spans="1:15">
      <c r="A598" t="s">
        <v>4178</v>
      </c>
      <c r="B598" t="s">
        <v>2676</v>
      </c>
      <c r="C598" t="s">
        <v>4179</v>
      </c>
      <c r="D598" s="562">
        <v>194400</v>
      </c>
      <c r="E598" t="s">
        <v>1539</v>
      </c>
      <c r="F598" t="s">
        <v>4177</v>
      </c>
      <c r="G598" s="562">
        <v>194400</v>
      </c>
      <c r="H598" s="562">
        <f>SUMIFS('Taxes Withheld'!F:F,'Taxes Withheld'!C:C,'Import DV AUCS'!A598)</f>
        <v>0</v>
      </c>
      <c r="I598" s="562">
        <f>SUMIFS('Taxes Withheld'!G:G,'Taxes Withheld'!C:C,'Import DV AUCS'!A598)</f>
        <v>0</v>
      </c>
      <c r="K598" s="562">
        <f t="shared" si="9"/>
        <v>0</v>
      </c>
      <c r="M598" t="s">
        <v>2685</v>
      </c>
      <c r="N598" t="s">
        <v>2683</v>
      </c>
      <c r="O598" t="s">
        <v>2678</v>
      </c>
    </row>
    <row r="599" spans="1:15">
      <c r="A599" t="s">
        <v>4180</v>
      </c>
      <c r="B599" t="s">
        <v>2676</v>
      </c>
      <c r="C599" t="s">
        <v>4181</v>
      </c>
      <c r="D599" s="562">
        <v>194400</v>
      </c>
      <c r="E599" t="s">
        <v>1540</v>
      </c>
      <c r="F599" t="s">
        <v>4177</v>
      </c>
      <c r="G599" s="562">
        <v>194400</v>
      </c>
      <c r="H599" s="562">
        <f>SUMIFS('Taxes Withheld'!F:F,'Taxes Withheld'!C:C,'Import DV AUCS'!A599)</f>
        <v>0</v>
      </c>
      <c r="I599" s="562">
        <f>SUMIFS('Taxes Withheld'!G:G,'Taxes Withheld'!C:C,'Import DV AUCS'!A599)</f>
        <v>0</v>
      </c>
      <c r="K599" s="562">
        <f t="shared" si="9"/>
        <v>0</v>
      </c>
      <c r="M599" t="s">
        <v>2685</v>
      </c>
      <c r="N599" t="s">
        <v>2683</v>
      </c>
      <c r="O599" t="s">
        <v>2678</v>
      </c>
    </row>
    <row r="600" spans="1:15">
      <c r="A600" t="s">
        <v>4182</v>
      </c>
      <c r="B600" t="s">
        <v>2676</v>
      </c>
      <c r="C600" t="s">
        <v>4183</v>
      </c>
      <c r="D600" s="562">
        <v>640000</v>
      </c>
      <c r="E600" t="s">
        <v>822</v>
      </c>
      <c r="F600" t="s">
        <v>4184</v>
      </c>
      <c r="G600" s="562">
        <v>640000</v>
      </c>
      <c r="H600" s="562">
        <f>SUMIFS('Taxes Withheld'!F:F,'Taxes Withheld'!C:C,'Import DV AUCS'!A600)</f>
        <v>0</v>
      </c>
      <c r="I600" s="562">
        <f>SUMIFS('Taxes Withheld'!G:G,'Taxes Withheld'!C:C,'Import DV AUCS'!A600)</f>
        <v>0</v>
      </c>
      <c r="K600" s="562">
        <f t="shared" si="9"/>
        <v>0</v>
      </c>
      <c r="M600" t="s">
        <v>2685</v>
      </c>
      <c r="N600" t="s">
        <v>2683</v>
      </c>
      <c r="O600" t="s">
        <v>2678</v>
      </c>
    </row>
    <row r="601" spans="1:15">
      <c r="A601" t="s">
        <v>4185</v>
      </c>
      <c r="B601" t="s">
        <v>2676</v>
      </c>
      <c r="C601" t="s">
        <v>4186</v>
      </c>
      <c r="D601" s="562">
        <v>287809.53000000003</v>
      </c>
      <c r="E601" t="s">
        <v>822</v>
      </c>
      <c r="F601" t="s">
        <v>4187</v>
      </c>
      <c r="G601" s="562">
        <v>287809.53000000003</v>
      </c>
      <c r="H601" s="562">
        <f>SUMIFS('Taxes Withheld'!F:F,'Taxes Withheld'!C:C,'Import DV AUCS'!A601)</f>
        <v>0</v>
      </c>
      <c r="I601" s="562">
        <f>SUMIFS('Taxes Withheld'!G:G,'Taxes Withheld'!C:C,'Import DV AUCS'!A601)</f>
        <v>0</v>
      </c>
      <c r="K601" s="562">
        <f t="shared" si="9"/>
        <v>0</v>
      </c>
      <c r="M601" t="s">
        <v>2685</v>
      </c>
      <c r="N601" t="s">
        <v>2683</v>
      </c>
      <c r="O601" t="s">
        <v>2678</v>
      </c>
    </row>
    <row r="602" spans="1:15">
      <c r="A602" t="s">
        <v>4188</v>
      </c>
      <c r="B602" t="s">
        <v>2676</v>
      </c>
      <c r="C602" t="s">
        <v>2666</v>
      </c>
      <c r="D602" s="562">
        <v>0</v>
      </c>
      <c r="E602" t="s">
        <v>4189</v>
      </c>
      <c r="F602" t="s">
        <v>4190</v>
      </c>
      <c r="G602" s="562">
        <v>253642.85</v>
      </c>
      <c r="H602" s="562">
        <f>SUMIFS('Taxes Withheld'!F:F,'Taxes Withheld'!C:C,'Import DV AUCS'!A602)</f>
        <v>11964.29</v>
      </c>
      <c r="I602" s="562">
        <f>SUMIFS('Taxes Withheld'!G:G,'Taxes Withheld'!C:C,'Import DV AUCS'!A602)</f>
        <v>2392.86</v>
      </c>
      <c r="K602" s="562">
        <f t="shared" si="9"/>
        <v>14357.150000000001</v>
      </c>
      <c r="M602" t="s">
        <v>392</v>
      </c>
      <c r="N602" t="s">
        <v>2681</v>
      </c>
      <c r="O602" t="s">
        <v>2679</v>
      </c>
    </row>
    <row r="603" spans="1:15">
      <c r="A603" t="s">
        <v>4191</v>
      </c>
      <c r="B603" t="s">
        <v>2676</v>
      </c>
      <c r="C603" t="s">
        <v>2666</v>
      </c>
      <c r="D603" s="562">
        <v>0</v>
      </c>
      <c r="E603" t="s">
        <v>4192</v>
      </c>
      <c r="F603" t="s">
        <v>4193</v>
      </c>
      <c r="G603" s="562">
        <v>100</v>
      </c>
      <c r="H603" s="562">
        <f>SUMIFS('Taxes Withheld'!F:F,'Taxes Withheld'!C:C,'Import DV AUCS'!A603)</f>
        <v>0</v>
      </c>
      <c r="I603" s="562">
        <f>SUMIFS('Taxes Withheld'!G:G,'Taxes Withheld'!C:C,'Import DV AUCS'!A603)</f>
        <v>0</v>
      </c>
      <c r="K603" s="562">
        <f t="shared" si="9"/>
        <v>0</v>
      </c>
      <c r="M603" t="s">
        <v>2662</v>
      </c>
      <c r="N603" t="s">
        <v>2053</v>
      </c>
      <c r="O603" t="s">
        <v>2680</v>
      </c>
    </row>
    <row r="604" spans="1:15">
      <c r="A604" t="s">
        <v>4194</v>
      </c>
      <c r="B604" t="s">
        <v>2676</v>
      </c>
      <c r="C604" t="s">
        <v>4195</v>
      </c>
      <c r="D604" s="562">
        <v>3500</v>
      </c>
      <c r="E604" t="s">
        <v>2731</v>
      </c>
      <c r="F604" t="s">
        <v>4196</v>
      </c>
      <c r="G604" s="562">
        <v>3281.25</v>
      </c>
      <c r="H604" s="562">
        <f>SUMIFS('Taxes Withheld'!F:F,'Taxes Withheld'!C:C,'Import DV AUCS'!A604)</f>
        <v>156.25</v>
      </c>
      <c r="I604" s="562">
        <f>SUMIFS('Taxes Withheld'!G:G,'Taxes Withheld'!C:C,'Import DV AUCS'!A604)</f>
        <v>62.5</v>
      </c>
      <c r="K604" s="562">
        <f t="shared" si="9"/>
        <v>218.75</v>
      </c>
      <c r="M604" t="s">
        <v>2687</v>
      </c>
      <c r="N604" t="s">
        <v>2683</v>
      </c>
      <c r="O604" t="s">
        <v>2678</v>
      </c>
    </row>
    <row r="605" spans="1:15">
      <c r="A605" t="s">
        <v>4197</v>
      </c>
      <c r="B605" t="s">
        <v>2676</v>
      </c>
      <c r="C605" t="s">
        <v>4198</v>
      </c>
      <c r="D605" s="562">
        <v>12000</v>
      </c>
      <c r="E605" t="s">
        <v>2693</v>
      </c>
      <c r="F605" t="s">
        <v>4199</v>
      </c>
      <c r="G605" s="562">
        <v>12000</v>
      </c>
      <c r="H605" s="562">
        <f>SUMIFS('Taxes Withheld'!F:F,'Taxes Withheld'!C:C,'Import DV AUCS'!A605)</f>
        <v>0</v>
      </c>
      <c r="I605" s="562">
        <f>SUMIFS('Taxes Withheld'!G:G,'Taxes Withheld'!C:C,'Import DV AUCS'!A605)</f>
        <v>0</v>
      </c>
      <c r="K605" s="562">
        <f t="shared" si="9"/>
        <v>0</v>
      </c>
      <c r="M605" t="s">
        <v>2687</v>
      </c>
      <c r="N605" t="s">
        <v>2683</v>
      </c>
      <c r="O605" t="s">
        <v>2678</v>
      </c>
    </row>
    <row r="606" spans="1:15">
      <c r="A606" t="s">
        <v>4200</v>
      </c>
      <c r="B606" t="s">
        <v>2676</v>
      </c>
      <c r="C606" t="s">
        <v>4201</v>
      </c>
      <c r="D606" s="562">
        <v>4800</v>
      </c>
      <c r="E606" t="s">
        <v>4079</v>
      </c>
      <c r="F606" t="s">
        <v>4202</v>
      </c>
      <c r="G606" s="562">
        <v>4800</v>
      </c>
      <c r="H606" s="562">
        <f>SUMIFS('Taxes Withheld'!F:F,'Taxes Withheld'!C:C,'Import DV AUCS'!A606)</f>
        <v>0</v>
      </c>
      <c r="I606" s="562">
        <f>SUMIFS('Taxes Withheld'!G:G,'Taxes Withheld'!C:C,'Import DV AUCS'!A606)</f>
        <v>0</v>
      </c>
      <c r="K606" s="562">
        <f t="shared" si="9"/>
        <v>0</v>
      </c>
      <c r="M606" t="s">
        <v>2687</v>
      </c>
      <c r="N606" t="s">
        <v>2683</v>
      </c>
      <c r="O606" t="s">
        <v>2678</v>
      </c>
    </row>
  </sheetData>
  <autoFilter ref="A2:O606" xr:uid="{00000000-0009-0000-0000-000002000000}"/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31007-CF8D-4EC9-AC3E-384DC04E41B6}">
  <sheetPr>
    <tabColor rgb="FFFFFF00"/>
  </sheetPr>
  <dimension ref="A1:H302"/>
  <sheetViews>
    <sheetView workbookViewId="0">
      <selection activeCell="G3" sqref="G3"/>
    </sheetView>
  </sheetViews>
  <sheetFormatPr defaultRowHeight="14.4"/>
  <cols>
    <col min="1" max="1" width="20.33203125" bestFit="1" customWidth="1"/>
    <col min="2" max="2" width="20.33203125" customWidth="1"/>
    <col min="3" max="3" width="21.109375" customWidth="1"/>
    <col min="4" max="5" width="27" bestFit="1" customWidth="1"/>
    <col min="6" max="6" width="12.88671875" customWidth="1"/>
    <col min="7" max="7" width="14.88671875" customWidth="1"/>
    <col min="8" max="8" width="19.6640625" customWidth="1"/>
  </cols>
  <sheetData>
    <row r="1" spans="1:8">
      <c r="A1" s="10" t="s">
        <v>4212</v>
      </c>
      <c r="B1" s="10"/>
      <c r="C1" s="10"/>
      <c r="D1" s="10"/>
      <c r="E1" s="10"/>
      <c r="F1" s="10"/>
      <c r="G1" s="9" t="s">
        <v>4213</v>
      </c>
      <c r="H1" s="9"/>
    </row>
    <row r="2" spans="1:8" ht="28.8">
      <c r="A2" s="568" t="s">
        <v>2052</v>
      </c>
      <c r="B2" s="568" t="s">
        <v>4626</v>
      </c>
      <c r="C2" s="569" t="s">
        <v>2665</v>
      </c>
      <c r="D2" s="568" t="s">
        <v>155</v>
      </c>
      <c r="E2" s="568" t="s">
        <v>4208</v>
      </c>
      <c r="F2" s="568" t="s">
        <v>4210</v>
      </c>
      <c r="G2" s="568" t="s">
        <v>4211</v>
      </c>
      <c r="H2" s="568" t="s">
        <v>4209</v>
      </c>
    </row>
    <row r="3" spans="1:8">
      <c r="A3" t="s">
        <v>2719</v>
      </c>
      <c r="B3" t="s">
        <v>2674</v>
      </c>
      <c r="C3" t="s">
        <v>2666</v>
      </c>
      <c r="D3" t="s">
        <v>2720</v>
      </c>
      <c r="E3" t="s">
        <v>4203</v>
      </c>
      <c r="F3" s="571">
        <v>133.04</v>
      </c>
    </row>
    <row r="4" spans="1:8">
      <c r="A4" t="s">
        <v>2719</v>
      </c>
      <c r="B4" t="s">
        <v>2674</v>
      </c>
      <c r="C4" t="s">
        <v>2666</v>
      </c>
      <c r="D4" t="s">
        <v>2720</v>
      </c>
      <c r="E4" t="s">
        <v>4204</v>
      </c>
      <c r="F4" s="571">
        <v>53.21</v>
      </c>
    </row>
    <row r="5" spans="1:8">
      <c r="A5" t="s">
        <v>2722</v>
      </c>
      <c r="B5" t="s">
        <v>2674</v>
      </c>
      <c r="C5" t="s">
        <v>2666</v>
      </c>
      <c r="D5" t="s">
        <v>2723</v>
      </c>
      <c r="E5" t="s">
        <v>4203</v>
      </c>
      <c r="F5" s="571">
        <v>24.11</v>
      </c>
    </row>
    <row r="6" spans="1:8">
      <c r="A6" t="s">
        <v>2722</v>
      </c>
      <c r="B6" t="s">
        <v>2674</v>
      </c>
      <c r="C6" t="s">
        <v>2666</v>
      </c>
      <c r="D6" t="s">
        <v>2723</v>
      </c>
      <c r="E6" t="s">
        <v>4204</v>
      </c>
      <c r="F6" s="571">
        <v>9.64</v>
      </c>
    </row>
    <row r="7" spans="1:8">
      <c r="A7" t="s">
        <v>2725</v>
      </c>
      <c r="B7" t="s">
        <v>2674</v>
      </c>
      <c r="C7" t="s">
        <v>2666</v>
      </c>
      <c r="D7" t="s">
        <v>2726</v>
      </c>
      <c r="E7" t="s">
        <v>4203</v>
      </c>
      <c r="F7" s="571">
        <v>1060.27</v>
      </c>
    </row>
    <row r="8" spans="1:8">
      <c r="A8" t="s">
        <v>2725</v>
      </c>
      <c r="B8" t="s">
        <v>2674</v>
      </c>
      <c r="C8" t="s">
        <v>2666</v>
      </c>
      <c r="D8" t="s">
        <v>2726</v>
      </c>
      <c r="E8" t="s">
        <v>4204</v>
      </c>
      <c r="F8" s="571">
        <v>424.11</v>
      </c>
    </row>
    <row r="9" spans="1:8">
      <c r="A9" t="s">
        <v>2730</v>
      </c>
      <c r="B9" t="s">
        <v>2674</v>
      </c>
      <c r="C9" t="s">
        <v>2666</v>
      </c>
      <c r="D9" t="s">
        <v>2731</v>
      </c>
      <c r="E9" t="s">
        <v>4203</v>
      </c>
      <c r="F9" s="571">
        <v>111.61</v>
      </c>
    </row>
    <row r="10" spans="1:8">
      <c r="A10" t="s">
        <v>2730</v>
      </c>
      <c r="B10" t="s">
        <v>2674</v>
      </c>
      <c r="C10" t="s">
        <v>2666</v>
      </c>
      <c r="D10" t="s">
        <v>2731</v>
      </c>
      <c r="E10" t="s">
        <v>4204</v>
      </c>
      <c r="F10" s="571">
        <v>44.64</v>
      </c>
    </row>
    <row r="11" spans="1:8">
      <c r="A11" t="s">
        <v>2733</v>
      </c>
      <c r="B11" t="s">
        <v>2674</v>
      </c>
      <c r="C11" t="s">
        <v>2666</v>
      </c>
      <c r="D11" t="s">
        <v>2731</v>
      </c>
      <c r="E11" t="s">
        <v>4203</v>
      </c>
      <c r="F11" s="571">
        <v>107.14</v>
      </c>
    </row>
    <row r="12" spans="1:8">
      <c r="A12" t="s">
        <v>2733</v>
      </c>
      <c r="B12" t="s">
        <v>2674</v>
      </c>
      <c r="C12" t="s">
        <v>2666</v>
      </c>
      <c r="D12" t="s">
        <v>2731</v>
      </c>
      <c r="E12" t="s">
        <v>4204</v>
      </c>
      <c r="F12" s="571">
        <v>42.86</v>
      </c>
    </row>
    <row r="13" spans="1:8">
      <c r="A13" t="s">
        <v>2735</v>
      </c>
      <c r="B13" t="s">
        <v>2674</v>
      </c>
      <c r="C13" t="s">
        <v>2666</v>
      </c>
      <c r="D13" t="s">
        <v>2736</v>
      </c>
      <c r="E13" t="s">
        <v>4203</v>
      </c>
      <c r="F13" s="571">
        <v>215.89</v>
      </c>
    </row>
    <row r="14" spans="1:8">
      <c r="A14" t="s">
        <v>2735</v>
      </c>
      <c r="B14" t="s">
        <v>2674</v>
      </c>
      <c r="C14" t="s">
        <v>2666</v>
      </c>
      <c r="D14" t="s">
        <v>2736</v>
      </c>
      <c r="E14" t="s">
        <v>4204</v>
      </c>
      <c r="F14" s="571">
        <v>43.18</v>
      </c>
    </row>
    <row r="15" spans="1:8">
      <c r="A15" t="s">
        <v>2738</v>
      </c>
      <c r="B15" t="s">
        <v>2674</v>
      </c>
      <c r="C15" t="s">
        <v>2666</v>
      </c>
      <c r="D15" t="s">
        <v>2739</v>
      </c>
      <c r="E15" t="s">
        <v>4203</v>
      </c>
      <c r="F15" s="571">
        <v>132.13999999999999</v>
      </c>
    </row>
    <row r="16" spans="1:8">
      <c r="A16" t="s">
        <v>2738</v>
      </c>
      <c r="B16" t="s">
        <v>2674</v>
      </c>
      <c r="C16" t="s">
        <v>2666</v>
      </c>
      <c r="D16" t="s">
        <v>2739</v>
      </c>
      <c r="E16" t="s">
        <v>4204</v>
      </c>
      <c r="F16" s="571">
        <v>26.43</v>
      </c>
    </row>
    <row r="17" spans="1:6">
      <c r="A17" t="s">
        <v>2741</v>
      </c>
      <c r="B17" t="s">
        <v>2674</v>
      </c>
      <c r="C17" t="s">
        <v>2666</v>
      </c>
      <c r="D17" t="s">
        <v>2742</v>
      </c>
      <c r="E17" t="s">
        <v>4203</v>
      </c>
      <c r="F17" s="571">
        <v>246.65</v>
      </c>
    </row>
    <row r="18" spans="1:6">
      <c r="A18" t="s">
        <v>2741</v>
      </c>
      <c r="B18" t="s">
        <v>2674</v>
      </c>
      <c r="C18" t="s">
        <v>2666</v>
      </c>
      <c r="D18" t="s">
        <v>2742</v>
      </c>
      <c r="E18" t="s">
        <v>4204</v>
      </c>
      <c r="F18" s="571">
        <v>49.33</v>
      </c>
    </row>
    <row r="19" spans="1:6">
      <c r="A19" t="s">
        <v>2743</v>
      </c>
      <c r="B19" t="s">
        <v>2674</v>
      </c>
      <c r="C19" t="s">
        <v>2666</v>
      </c>
      <c r="D19" t="s">
        <v>2726</v>
      </c>
      <c r="E19" t="s">
        <v>4203</v>
      </c>
      <c r="F19" s="571">
        <v>187.5</v>
      </c>
    </row>
    <row r="20" spans="1:6">
      <c r="A20" t="s">
        <v>2743</v>
      </c>
      <c r="B20" t="s">
        <v>2674</v>
      </c>
      <c r="C20" t="s">
        <v>2666</v>
      </c>
      <c r="D20" t="s">
        <v>2726</v>
      </c>
      <c r="E20" t="s">
        <v>4204</v>
      </c>
      <c r="F20" s="571">
        <v>75</v>
      </c>
    </row>
    <row r="21" spans="1:6">
      <c r="A21" t="s">
        <v>2748</v>
      </c>
      <c r="B21" t="s">
        <v>2674</v>
      </c>
      <c r="C21" t="s">
        <v>2666</v>
      </c>
      <c r="D21" t="s">
        <v>2726</v>
      </c>
      <c r="E21" t="s">
        <v>4203</v>
      </c>
      <c r="F21" s="571">
        <v>1166.29</v>
      </c>
    </row>
    <row r="22" spans="1:6">
      <c r="A22" t="s">
        <v>2748</v>
      </c>
      <c r="B22" t="s">
        <v>2674</v>
      </c>
      <c r="C22" t="s">
        <v>2666</v>
      </c>
      <c r="D22" t="s">
        <v>2726</v>
      </c>
      <c r="E22" t="s">
        <v>4204</v>
      </c>
      <c r="F22" s="571">
        <v>466.52</v>
      </c>
    </row>
    <row r="23" spans="1:6">
      <c r="A23" t="s">
        <v>2750</v>
      </c>
      <c r="B23" t="s">
        <v>2674</v>
      </c>
      <c r="C23" t="s">
        <v>2666</v>
      </c>
      <c r="D23" t="s">
        <v>2751</v>
      </c>
      <c r="E23" t="s">
        <v>4203</v>
      </c>
      <c r="F23" s="571">
        <v>189.6</v>
      </c>
    </row>
    <row r="24" spans="1:6">
      <c r="A24" t="s">
        <v>2750</v>
      </c>
      <c r="B24" t="s">
        <v>2674</v>
      </c>
      <c r="C24" t="s">
        <v>2666</v>
      </c>
      <c r="D24" t="s">
        <v>2751</v>
      </c>
      <c r="E24" t="s">
        <v>4204</v>
      </c>
      <c r="F24" s="571">
        <v>63.2</v>
      </c>
    </row>
    <row r="25" spans="1:6">
      <c r="A25" t="s">
        <v>2766</v>
      </c>
      <c r="B25" t="s">
        <v>2674</v>
      </c>
      <c r="C25" t="s">
        <v>2666</v>
      </c>
      <c r="D25" t="s">
        <v>2767</v>
      </c>
      <c r="E25" t="s">
        <v>4203</v>
      </c>
      <c r="F25" s="571">
        <v>802.99285714285713</v>
      </c>
    </row>
    <row r="26" spans="1:6">
      <c r="A26" t="s">
        <v>2766</v>
      </c>
      <c r="B26" t="s">
        <v>2674</v>
      </c>
      <c r="C26" t="s">
        <v>2666</v>
      </c>
      <c r="D26" t="s">
        <v>2767</v>
      </c>
      <c r="E26" t="s">
        <v>4204</v>
      </c>
      <c r="F26" s="571">
        <v>321.2</v>
      </c>
    </row>
    <row r="27" spans="1:6">
      <c r="A27" t="s">
        <v>2769</v>
      </c>
      <c r="B27" t="s">
        <v>2674</v>
      </c>
      <c r="C27" t="s">
        <v>2666</v>
      </c>
      <c r="D27" t="s">
        <v>2739</v>
      </c>
      <c r="E27" t="s">
        <v>4203</v>
      </c>
      <c r="F27" s="571">
        <v>391.74</v>
      </c>
    </row>
    <row r="28" spans="1:6">
      <c r="A28" t="s">
        <v>2769</v>
      </c>
      <c r="B28" t="s">
        <v>2674</v>
      </c>
      <c r="C28" t="s">
        <v>2666</v>
      </c>
      <c r="D28" t="s">
        <v>2739</v>
      </c>
      <c r="E28" t="s">
        <v>4204</v>
      </c>
      <c r="F28" s="571">
        <v>78.349999999999994</v>
      </c>
    </row>
    <row r="29" spans="1:6">
      <c r="A29" t="s">
        <v>2771</v>
      </c>
      <c r="B29" t="s">
        <v>2674</v>
      </c>
      <c r="C29" t="s">
        <v>2666</v>
      </c>
      <c r="D29" t="s">
        <v>2772</v>
      </c>
      <c r="E29" t="s">
        <v>4203</v>
      </c>
      <c r="F29" s="571">
        <v>900</v>
      </c>
    </row>
    <row r="30" spans="1:6">
      <c r="A30" t="s">
        <v>2771</v>
      </c>
      <c r="B30" t="s">
        <v>2674</v>
      </c>
      <c r="C30" t="s">
        <v>2666</v>
      </c>
      <c r="D30" t="s">
        <v>2772</v>
      </c>
      <c r="E30" t="s">
        <v>4204</v>
      </c>
      <c r="F30" s="571">
        <v>600</v>
      </c>
    </row>
    <row r="31" spans="1:6">
      <c r="A31" t="s">
        <v>2774</v>
      </c>
      <c r="B31" t="s">
        <v>2674</v>
      </c>
      <c r="C31" t="s">
        <v>2666</v>
      </c>
      <c r="D31" t="s">
        <v>2775</v>
      </c>
      <c r="E31" t="s">
        <v>4203</v>
      </c>
      <c r="F31" s="571">
        <v>175</v>
      </c>
    </row>
    <row r="32" spans="1:6">
      <c r="A32" t="s">
        <v>2774</v>
      </c>
      <c r="B32" t="s">
        <v>2674</v>
      </c>
      <c r="C32" t="s">
        <v>2666</v>
      </c>
      <c r="D32" t="s">
        <v>2775</v>
      </c>
      <c r="E32" t="s">
        <v>4204</v>
      </c>
      <c r="F32" s="571">
        <v>35</v>
      </c>
    </row>
    <row r="33" spans="1:6">
      <c r="A33" t="s">
        <v>2779</v>
      </c>
      <c r="B33" t="s">
        <v>2674</v>
      </c>
      <c r="C33" t="s">
        <v>2666</v>
      </c>
      <c r="D33" t="s">
        <v>2720</v>
      </c>
      <c r="E33" t="s">
        <v>4203</v>
      </c>
      <c r="F33" s="571">
        <v>66.959999999999994</v>
      </c>
    </row>
    <row r="34" spans="1:6">
      <c r="A34" t="s">
        <v>2779</v>
      </c>
      <c r="B34" t="s">
        <v>2674</v>
      </c>
      <c r="C34" t="s">
        <v>2666</v>
      </c>
      <c r="D34" t="s">
        <v>2720</v>
      </c>
      <c r="E34" t="s">
        <v>4204</v>
      </c>
      <c r="F34" s="571">
        <v>26.79</v>
      </c>
    </row>
    <row r="35" spans="1:6">
      <c r="A35" t="s">
        <v>2781</v>
      </c>
      <c r="B35" t="s">
        <v>2674</v>
      </c>
      <c r="C35" t="s">
        <v>2666</v>
      </c>
      <c r="D35" t="s">
        <v>2782</v>
      </c>
      <c r="E35" t="s">
        <v>4203</v>
      </c>
      <c r="F35" s="571">
        <v>803.57</v>
      </c>
    </row>
    <row r="36" spans="1:6">
      <c r="A36" t="s">
        <v>2781</v>
      </c>
      <c r="B36" t="s">
        <v>2674</v>
      </c>
      <c r="C36" t="s">
        <v>2666</v>
      </c>
      <c r="D36" t="s">
        <v>2782</v>
      </c>
      <c r="E36" t="s">
        <v>4204</v>
      </c>
      <c r="F36" s="571">
        <v>321.43</v>
      </c>
    </row>
    <row r="37" spans="1:6">
      <c r="A37" t="s">
        <v>2784</v>
      </c>
      <c r="B37" t="s">
        <v>2674</v>
      </c>
      <c r="C37" t="s">
        <v>2666</v>
      </c>
      <c r="D37" t="s">
        <v>2746</v>
      </c>
      <c r="E37" t="s">
        <v>4203</v>
      </c>
      <c r="F37" s="571">
        <v>357.14</v>
      </c>
    </row>
    <row r="38" spans="1:6">
      <c r="A38" t="s">
        <v>2784</v>
      </c>
      <c r="B38" t="s">
        <v>2674</v>
      </c>
      <c r="C38" t="s">
        <v>2666</v>
      </c>
      <c r="D38" t="s">
        <v>2746</v>
      </c>
      <c r="E38" t="s">
        <v>4204</v>
      </c>
      <c r="F38" s="571">
        <v>142.86000000000001</v>
      </c>
    </row>
    <row r="39" spans="1:6">
      <c r="A39" t="s">
        <v>2786</v>
      </c>
      <c r="B39" t="s">
        <v>2674</v>
      </c>
      <c r="C39" t="s">
        <v>2666</v>
      </c>
      <c r="D39" t="s">
        <v>2746</v>
      </c>
      <c r="E39" t="s">
        <v>4203</v>
      </c>
      <c r="F39" s="571">
        <v>214.29</v>
      </c>
    </row>
    <row r="40" spans="1:6">
      <c r="A40" t="s">
        <v>2786</v>
      </c>
      <c r="B40" t="s">
        <v>2674</v>
      </c>
      <c r="C40" t="s">
        <v>2666</v>
      </c>
      <c r="D40" t="s">
        <v>2746</v>
      </c>
      <c r="E40" t="s">
        <v>4204</v>
      </c>
      <c r="F40" s="571">
        <v>85.71</v>
      </c>
    </row>
    <row r="41" spans="1:6">
      <c r="A41" t="s">
        <v>2800</v>
      </c>
      <c r="B41" t="s">
        <v>2674</v>
      </c>
      <c r="C41" t="s">
        <v>2666</v>
      </c>
      <c r="D41" t="s">
        <v>2801</v>
      </c>
      <c r="E41" t="s">
        <v>4203</v>
      </c>
      <c r="F41" s="571">
        <v>90</v>
      </c>
    </row>
    <row r="42" spans="1:6">
      <c r="A42" t="s">
        <v>2800</v>
      </c>
      <c r="B42" t="s">
        <v>2674</v>
      </c>
      <c r="C42" t="s">
        <v>2666</v>
      </c>
      <c r="D42" t="s">
        <v>2801</v>
      </c>
      <c r="E42" t="s">
        <v>4204</v>
      </c>
      <c r="F42" s="571">
        <v>60</v>
      </c>
    </row>
    <row r="43" spans="1:6">
      <c r="A43" t="s">
        <v>2809</v>
      </c>
      <c r="B43" t="s">
        <v>2674</v>
      </c>
      <c r="C43" t="s">
        <v>2810</v>
      </c>
      <c r="D43" t="s">
        <v>2811</v>
      </c>
      <c r="E43" t="s">
        <v>4203</v>
      </c>
      <c r="F43" s="571">
        <v>1006.72</v>
      </c>
    </row>
    <row r="44" spans="1:6">
      <c r="A44" t="s">
        <v>2809</v>
      </c>
      <c r="B44" t="s">
        <v>2674</v>
      </c>
      <c r="C44" t="s">
        <v>2810</v>
      </c>
      <c r="D44" t="s">
        <v>2811</v>
      </c>
      <c r="E44" t="s">
        <v>4204</v>
      </c>
      <c r="F44" s="571">
        <v>201.34</v>
      </c>
    </row>
    <row r="45" spans="1:6">
      <c r="A45" t="s">
        <v>2841</v>
      </c>
      <c r="B45" t="s">
        <v>2674</v>
      </c>
      <c r="C45" t="s">
        <v>2666</v>
      </c>
      <c r="D45" t="s">
        <v>2746</v>
      </c>
      <c r="E45" t="s">
        <v>4203</v>
      </c>
      <c r="F45" s="571">
        <v>357.14</v>
      </c>
    </row>
    <row r="46" spans="1:6">
      <c r="A46" t="s">
        <v>2841</v>
      </c>
      <c r="B46" t="s">
        <v>2674</v>
      </c>
      <c r="C46" t="s">
        <v>2666</v>
      </c>
      <c r="D46" t="s">
        <v>2746</v>
      </c>
      <c r="E46" t="s">
        <v>4204</v>
      </c>
      <c r="F46" s="571">
        <v>142.86000000000001</v>
      </c>
    </row>
    <row r="47" spans="1:6">
      <c r="A47" t="s">
        <v>2848</v>
      </c>
      <c r="B47" t="s">
        <v>2674</v>
      </c>
      <c r="C47" t="s">
        <v>2666</v>
      </c>
      <c r="D47" t="s">
        <v>2849</v>
      </c>
      <c r="E47" t="s">
        <v>4203</v>
      </c>
      <c r="F47" s="571">
        <v>439.55</v>
      </c>
    </row>
    <row r="48" spans="1:6">
      <c r="A48" t="s">
        <v>2848</v>
      </c>
      <c r="B48" t="s">
        <v>2674</v>
      </c>
      <c r="C48" t="s">
        <v>2666</v>
      </c>
      <c r="D48" t="s">
        <v>2849</v>
      </c>
      <c r="E48" t="s">
        <v>4204</v>
      </c>
      <c r="F48" s="571">
        <v>175.82</v>
      </c>
    </row>
    <row r="49" spans="1:6">
      <c r="A49" t="s">
        <v>2853</v>
      </c>
      <c r="B49" t="s">
        <v>2674</v>
      </c>
      <c r="C49" t="s">
        <v>2666</v>
      </c>
      <c r="D49" t="s">
        <v>1677</v>
      </c>
      <c r="E49" t="s">
        <v>4203</v>
      </c>
      <c r="F49" s="571">
        <v>38.07</v>
      </c>
    </row>
    <row r="50" spans="1:6">
      <c r="A50" t="s">
        <v>2853</v>
      </c>
      <c r="B50" t="s">
        <v>2674</v>
      </c>
      <c r="C50" t="s">
        <v>2666</v>
      </c>
      <c r="D50" t="s">
        <v>1677</v>
      </c>
      <c r="E50" t="s">
        <v>4204</v>
      </c>
      <c r="F50" s="571">
        <v>12.69</v>
      </c>
    </row>
    <row r="51" spans="1:6">
      <c r="A51" t="s">
        <v>2855</v>
      </c>
      <c r="B51" t="s">
        <v>2674</v>
      </c>
      <c r="C51" t="s">
        <v>2670</v>
      </c>
      <c r="D51" t="s">
        <v>2751</v>
      </c>
      <c r="E51" t="s">
        <v>4203</v>
      </c>
      <c r="F51" s="571">
        <v>1785</v>
      </c>
    </row>
    <row r="52" spans="1:6">
      <c r="A52" t="s">
        <v>2855</v>
      </c>
      <c r="B52" t="s">
        <v>2674</v>
      </c>
      <c r="C52" t="s">
        <v>2670</v>
      </c>
      <c r="D52" t="s">
        <v>2751</v>
      </c>
      <c r="E52" t="s">
        <v>4204</v>
      </c>
      <c r="F52" s="571">
        <v>595</v>
      </c>
    </row>
    <row r="53" spans="1:6">
      <c r="A53" t="s">
        <v>2866</v>
      </c>
      <c r="B53" t="s">
        <v>2674</v>
      </c>
      <c r="C53" t="s">
        <v>2666</v>
      </c>
      <c r="D53" t="s">
        <v>2739</v>
      </c>
      <c r="E53" t="s">
        <v>4203</v>
      </c>
      <c r="F53" s="571">
        <v>413.35</v>
      </c>
    </row>
    <row r="54" spans="1:6">
      <c r="A54" t="s">
        <v>2866</v>
      </c>
      <c r="B54" t="s">
        <v>2674</v>
      </c>
      <c r="C54" t="s">
        <v>2666</v>
      </c>
      <c r="D54" t="s">
        <v>2739</v>
      </c>
      <c r="E54" t="s">
        <v>4204</v>
      </c>
      <c r="F54" s="571">
        <v>82.67</v>
      </c>
    </row>
    <row r="55" spans="1:6">
      <c r="A55" t="s">
        <v>2868</v>
      </c>
      <c r="B55" t="s">
        <v>2674</v>
      </c>
      <c r="C55" t="s">
        <v>2666</v>
      </c>
      <c r="D55" t="s">
        <v>2739</v>
      </c>
      <c r="E55" t="s">
        <v>4203</v>
      </c>
      <c r="F55" s="571">
        <v>803.57</v>
      </c>
    </row>
    <row r="56" spans="1:6">
      <c r="A56" t="s">
        <v>2868</v>
      </c>
      <c r="B56" t="s">
        <v>2674</v>
      </c>
      <c r="C56" t="s">
        <v>2666</v>
      </c>
      <c r="D56" t="s">
        <v>2739</v>
      </c>
      <c r="E56" t="s">
        <v>4204</v>
      </c>
      <c r="F56" s="571">
        <v>160.71</v>
      </c>
    </row>
    <row r="57" spans="1:6">
      <c r="A57" t="s">
        <v>2870</v>
      </c>
      <c r="B57" t="s">
        <v>2674</v>
      </c>
      <c r="C57" t="s">
        <v>2666</v>
      </c>
      <c r="D57" t="s">
        <v>2871</v>
      </c>
      <c r="E57" t="s">
        <v>4203</v>
      </c>
      <c r="F57" s="571">
        <v>379.46</v>
      </c>
    </row>
    <row r="58" spans="1:6">
      <c r="A58" t="s">
        <v>2870</v>
      </c>
      <c r="B58" t="s">
        <v>2674</v>
      </c>
      <c r="C58" t="s">
        <v>2666</v>
      </c>
      <c r="D58" t="s">
        <v>2871</v>
      </c>
      <c r="E58" t="s">
        <v>4204</v>
      </c>
      <c r="F58" s="571">
        <v>75.89</v>
      </c>
    </row>
    <row r="59" spans="1:6">
      <c r="A59" t="s">
        <v>2873</v>
      </c>
      <c r="B59" t="s">
        <v>2674</v>
      </c>
      <c r="C59" t="s">
        <v>2666</v>
      </c>
      <c r="D59" t="s">
        <v>2871</v>
      </c>
      <c r="E59" t="s">
        <v>4203</v>
      </c>
      <c r="F59" s="571">
        <v>2080.36</v>
      </c>
    </row>
    <row r="60" spans="1:6">
      <c r="A60" t="s">
        <v>2873</v>
      </c>
      <c r="B60" t="s">
        <v>2674</v>
      </c>
      <c r="C60" t="s">
        <v>2666</v>
      </c>
      <c r="D60" t="s">
        <v>2871</v>
      </c>
      <c r="E60" t="s">
        <v>4204</v>
      </c>
      <c r="F60" s="571">
        <v>416.07</v>
      </c>
    </row>
    <row r="61" spans="1:6">
      <c r="A61" t="s">
        <v>2918</v>
      </c>
      <c r="B61" t="s">
        <v>2674</v>
      </c>
      <c r="C61" t="s">
        <v>2919</v>
      </c>
      <c r="D61" t="s">
        <v>1762</v>
      </c>
      <c r="E61" t="s">
        <v>4203</v>
      </c>
      <c r="F61" s="571">
        <v>164.06</v>
      </c>
    </row>
    <row r="62" spans="1:6">
      <c r="A62" t="s">
        <v>2918</v>
      </c>
      <c r="B62" t="s">
        <v>2674</v>
      </c>
      <c r="C62" t="s">
        <v>2919</v>
      </c>
      <c r="D62" t="s">
        <v>1762</v>
      </c>
      <c r="E62" t="s">
        <v>4204</v>
      </c>
      <c r="F62" s="571">
        <v>32.81</v>
      </c>
    </row>
    <row r="63" spans="1:6">
      <c r="A63" t="s">
        <v>2981</v>
      </c>
      <c r="B63" t="s">
        <v>2675</v>
      </c>
      <c r="C63" t="s">
        <v>2982</v>
      </c>
      <c r="D63" t="s">
        <v>2912</v>
      </c>
      <c r="E63" t="s">
        <v>4203</v>
      </c>
      <c r="F63" s="571">
        <v>785.71</v>
      </c>
    </row>
    <row r="64" spans="1:6">
      <c r="A64" t="s">
        <v>2981</v>
      </c>
      <c r="B64" t="s">
        <v>2675</v>
      </c>
      <c r="C64" t="s">
        <v>2982</v>
      </c>
      <c r="D64" t="s">
        <v>2912</v>
      </c>
      <c r="E64" t="s">
        <v>4204</v>
      </c>
      <c r="F64" s="571">
        <v>785.71</v>
      </c>
    </row>
    <row r="65" spans="1:6">
      <c r="A65" t="s">
        <v>2983</v>
      </c>
      <c r="B65" t="s">
        <v>2675</v>
      </c>
      <c r="C65" t="s">
        <v>2666</v>
      </c>
      <c r="D65" t="s">
        <v>2789</v>
      </c>
      <c r="E65" t="s">
        <v>4203</v>
      </c>
      <c r="F65" s="571">
        <v>30</v>
      </c>
    </row>
    <row r="66" spans="1:6">
      <c r="A66" t="s">
        <v>2983</v>
      </c>
      <c r="B66" t="s">
        <v>2675</v>
      </c>
      <c r="C66" t="s">
        <v>2666</v>
      </c>
      <c r="D66" t="s">
        <v>2789</v>
      </c>
      <c r="E66" t="s">
        <v>4204</v>
      </c>
      <c r="F66" s="571">
        <v>20</v>
      </c>
    </row>
    <row r="67" spans="1:6">
      <c r="A67" t="s">
        <v>2984</v>
      </c>
      <c r="B67" t="s">
        <v>2675</v>
      </c>
      <c r="C67" t="s">
        <v>2666</v>
      </c>
      <c r="D67" t="s">
        <v>2792</v>
      </c>
      <c r="E67" t="s">
        <v>4203</v>
      </c>
      <c r="F67" s="571">
        <v>60</v>
      </c>
    </row>
    <row r="68" spans="1:6">
      <c r="A68" t="s">
        <v>2984</v>
      </c>
      <c r="B68" t="s">
        <v>2675</v>
      </c>
      <c r="C68" t="s">
        <v>2666</v>
      </c>
      <c r="D68" t="s">
        <v>2792</v>
      </c>
      <c r="E68" t="s">
        <v>4204</v>
      </c>
      <c r="F68" s="571">
        <v>40</v>
      </c>
    </row>
    <row r="69" spans="1:6">
      <c r="A69" t="s">
        <v>2985</v>
      </c>
      <c r="B69" t="s">
        <v>2675</v>
      </c>
      <c r="C69" t="s">
        <v>2666</v>
      </c>
      <c r="D69" t="s">
        <v>2795</v>
      </c>
      <c r="E69" t="s">
        <v>4203</v>
      </c>
      <c r="F69" s="571">
        <v>30</v>
      </c>
    </row>
    <row r="70" spans="1:6">
      <c r="A70" t="s">
        <v>2985</v>
      </c>
      <c r="B70" t="s">
        <v>2675</v>
      </c>
      <c r="C70" t="s">
        <v>2666</v>
      </c>
      <c r="D70" t="s">
        <v>2795</v>
      </c>
      <c r="E70" t="s">
        <v>4204</v>
      </c>
      <c r="F70" s="571">
        <v>20</v>
      </c>
    </row>
    <row r="71" spans="1:6">
      <c r="A71" t="s">
        <v>2986</v>
      </c>
      <c r="B71" t="s">
        <v>2675</v>
      </c>
      <c r="C71" t="s">
        <v>2666</v>
      </c>
      <c r="D71" t="s">
        <v>2797</v>
      </c>
      <c r="E71" t="s">
        <v>4203</v>
      </c>
      <c r="F71" s="571">
        <v>30</v>
      </c>
    </row>
    <row r="72" spans="1:6">
      <c r="A72" t="s">
        <v>2986</v>
      </c>
      <c r="B72" t="s">
        <v>2675</v>
      </c>
      <c r="C72" t="s">
        <v>2666</v>
      </c>
      <c r="D72" t="s">
        <v>2797</v>
      </c>
      <c r="E72" t="s">
        <v>4204</v>
      </c>
      <c r="F72" s="571">
        <v>20</v>
      </c>
    </row>
    <row r="73" spans="1:6">
      <c r="A73" t="s">
        <v>2987</v>
      </c>
      <c r="B73" t="s">
        <v>2675</v>
      </c>
      <c r="C73" t="s">
        <v>2666</v>
      </c>
      <c r="D73" t="s">
        <v>2803</v>
      </c>
      <c r="E73" t="s">
        <v>4203</v>
      </c>
      <c r="F73" s="571">
        <v>90</v>
      </c>
    </row>
    <row r="74" spans="1:6">
      <c r="A74" t="s">
        <v>2987</v>
      </c>
      <c r="B74" t="s">
        <v>2675</v>
      </c>
      <c r="C74" t="s">
        <v>2666</v>
      </c>
      <c r="D74" t="s">
        <v>2803</v>
      </c>
      <c r="E74" t="s">
        <v>4204</v>
      </c>
      <c r="F74" s="571">
        <v>60</v>
      </c>
    </row>
    <row r="75" spans="1:6">
      <c r="A75" t="s">
        <v>2988</v>
      </c>
      <c r="B75" t="s">
        <v>2675</v>
      </c>
      <c r="C75" t="s">
        <v>2666</v>
      </c>
      <c r="D75" t="s">
        <v>2805</v>
      </c>
      <c r="E75" t="s">
        <v>4203</v>
      </c>
      <c r="F75" s="571">
        <v>60</v>
      </c>
    </row>
    <row r="76" spans="1:6">
      <c r="A76" t="s">
        <v>2988</v>
      </c>
      <c r="B76" t="s">
        <v>2675</v>
      </c>
      <c r="C76" t="s">
        <v>2666</v>
      </c>
      <c r="D76" t="s">
        <v>2805</v>
      </c>
      <c r="E76" t="s">
        <v>4204</v>
      </c>
      <c r="F76" s="571">
        <v>40</v>
      </c>
    </row>
    <row r="77" spans="1:6">
      <c r="A77" t="s">
        <v>2989</v>
      </c>
      <c r="B77" t="s">
        <v>2675</v>
      </c>
      <c r="C77" t="s">
        <v>2666</v>
      </c>
      <c r="D77" t="s">
        <v>2888</v>
      </c>
      <c r="E77" t="s">
        <v>4203</v>
      </c>
      <c r="F77" s="571">
        <v>1350</v>
      </c>
    </row>
    <row r="78" spans="1:6">
      <c r="A78" t="s">
        <v>2989</v>
      </c>
      <c r="B78" t="s">
        <v>2675</v>
      </c>
      <c r="C78" t="s">
        <v>2666</v>
      </c>
      <c r="D78" t="s">
        <v>2888</v>
      </c>
      <c r="E78" t="s">
        <v>4204</v>
      </c>
      <c r="F78" s="571">
        <v>900</v>
      </c>
    </row>
    <row r="79" spans="1:6">
      <c r="A79" t="s">
        <v>2990</v>
      </c>
      <c r="B79" t="s">
        <v>2675</v>
      </c>
      <c r="C79" t="s">
        <v>2666</v>
      </c>
      <c r="D79" t="s">
        <v>2879</v>
      </c>
      <c r="E79" t="s">
        <v>4203</v>
      </c>
      <c r="F79" s="571">
        <v>187.5</v>
      </c>
    </row>
    <row r="80" spans="1:6">
      <c r="A80" t="s">
        <v>2990</v>
      </c>
      <c r="B80" t="s">
        <v>2675</v>
      </c>
      <c r="C80" t="s">
        <v>2666</v>
      </c>
      <c r="D80" t="s">
        <v>2879</v>
      </c>
      <c r="E80" t="s">
        <v>4204</v>
      </c>
      <c r="F80" s="571">
        <v>62.5</v>
      </c>
    </row>
    <row r="81" spans="1:6">
      <c r="A81" t="s">
        <v>2991</v>
      </c>
      <c r="B81" t="s">
        <v>2675</v>
      </c>
      <c r="C81" t="s">
        <v>2666</v>
      </c>
      <c r="D81" t="s">
        <v>2891</v>
      </c>
      <c r="E81" t="s">
        <v>4203</v>
      </c>
      <c r="F81" s="571">
        <v>225</v>
      </c>
    </row>
    <row r="82" spans="1:6">
      <c r="A82" t="s">
        <v>2991</v>
      </c>
      <c r="B82" t="s">
        <v>2675</v>
      </c>
      <c r="C82" t="s">
        <v>2666</v>
      </c>
      <c r="D82" t="s">
        <v>2891</v>
      </c>
      <c r="E82" t="s">
        <v>4204</v>
      </c>
      <c r="F82" s="571">
        <v>150</v>
      </c>
    </row>
    <row r="83" spans="1:6">
      <c r="A83" t="s">
        <v>2992</v>
      </c>
      <c r="B83" t="s">
        <v>2675</v>
      </c>
      <c r="C83" t="s">
        <v>2666</v>
      </c>
      <c r="D83" t="s">
        <v>2894</v>
      </c>
      <c r="E83" t="s">
        <v>4203</v>
      </c>
      <c r="F83" s="571">
        <v>195</v>
      </c>
    </row>
    <row r="84" spans="1:6">
      <c r="A84" t="s">
        <v>2992</v>
      </c>
      <c r="B84" t="s">
        <v>2675</v>
      </c>
      <c r="C84" t="s">
        <v>2666</v>
      </c>
      <c r="D84" t="s">
        <v>2894</v>
      </c>
      <c r="E84" t="s">
        <v>4204</v>
      </c>
      <c r="F84" s="571">
        <v>130</v>
      </c>
    </row>
    <row r="85" spans="1:6">
      <c r="A85" t="s">
        <v>3011</v>
      </c>
      <c r="B85" t="s">
        <v>2675</v>
      </c>
      <c r="C85" t="s">
        <v>2666</v>
      </c>
      <c r="D85" t="s">
        <v>3012</v>
      </c>
      <c r="E85" t="s">
        <v>4203</v>
      </c>
      <c r="F85" s="571">
        <v>781.25</v>
      </c>
    </row>
    <row r="86" spans="1:6">
      <c r="A86" t="s">
        <v>3011</v>
      </c>
      <c r="B86" t="s">
        <v>2675</v>
      </c>
      <c r="C86" t="s">
        <v>2666</v>
      </c>
      <c r="D86" t="s">
        <v>3012</v>
      </c>
      <c r="E86" t="s">
        <v>4204</v>
      </c>
      <c r="F86" s="571">
        <v>312.5</v>
      </c>
    </row>
    <row r="87" spans="1:6">
      <c r="A87" t="s">
        <v>3072</v>
      </c>
      <c r="B87" t="s">
        <v>2675</v>
      </c>
      <c r="C87" t="s">
        <v>2666</v>
      </c>
      <c r="D87" t="s">
        <v>2876</v>
      </c>
      <c r="E87" t="s">
        <v>4203</v>
      </c>
      <c r="F87" s="571">
        <v>1072.5</v>
      </c>
    </row>
    <row r="88" spans="1:6">
      <c r="A88" t="s">
        <v>3072</v>
      </c>
      <c r="B88" t="s">
        <v>2675</v>
      </c>
      <c r="C88" t="s">
        <v>2666</v>
      </c>
      <c r="D88" t="s">
        <v>2876</v>
      </c>
      <c r="E88" t="s">
        <v>4204</v>
      </c>
      <c r="F88" s="571">
        <v>357.5</v>
      </c>
    </row>
    <row r="89" spans="1:6">
      <c r="A89" t="s">
        <v>3073</v>
      </c>
      <c r="B89" t="s">
        <v>2675</v>
      </c>
      <c r="C89" t="s">
        <v>2666</v>
      </c>
      <c r="D89" t="s">
        <v>2882</v>
      </c>
      <c r="E89" t="s">
        <v>4203</v>
      </c>
      <c r="F89" s="571">
        <v>353.55</v>
      </c>
    </row>
    <row r="90" spans="1:6">
      <c r="A90" t="s">
        <v>3073</v>
      </c>
      <c r="B90" t="s">
        <v>2675</v>
      </c>
      <c r="C90" t="s">
        <v>2666</v>
      </c>
      <c r="D90" t="s">
        <v>2882</v>
      </c>
      <c r="E90" t="s">
        <v>4204</v>
      </c>
      <c r="F90" s="571">
        <v>117.85</v>
      </c>
    </row>
    <row r="91" spans="1:6">
      <c r="A91" t="s">
        <v>3083</v>
      </c>
      <c r="B91" t="s">
        <v>2675</v>
      </c>
      <c r="C91" t="s">
        <v>2666</v>
      </c>
      <c r="D91" t="s">
        <v>3084</v>
      </c>
      <c r="E91" t="s">
        <v>4203</v>
      </c>
      <c r="F91" s="571">
        <v>540</v>
      </c>
    </row>
    <row r="92" spans="1:6">
      <c r="A92" t="s">
        <v>3083</v>
      </c>
      <c r="B92" t="s">
        <v>2675</v>
      </c>
      <c r="C92" t="s">
        <v>2666</v>
      </c>
      <c r="D92" t="s">
        <v>3084</v>
      </c>
      <c r="E92" t="s">
        <v>4204</v>
      </c>
      <c r="F92" s="571">
        <v>360</v>
      </c>
    </row>
    <row r="93" spans="1:6">
      <c r="A93" t="s">
        <v>3088</v>
      </c>
      <c r="B93" t="s">
        <v>2675</v>
      </c>
      <c r="C93" t="s">
        <v>3089</v>
      </c>
      <c r="D93" t="s">
        <v>1677</v>
      </c>
      <c r="E93" t="s">
        <v>4203</v>
      </c>
      <c r="F93" s="571">
        <v>40.5</v>
      </c>
    </row>
    <row r="94" spans="1:6">
      <c r="A94" t="s">
        <v>3088</v>
      </c>
      <c r="B94" t="s">
        <v>2675</v>
      </c>
      <c r="C94" t="s">
        <v>3089</v>
      </c>
      <c r="D94" t="s">
        <v>1677</v>
      </c>
      <c r="E94" t="s">
        <v>4204</v>
      </c>
      <c r="F94" s="571">
        <v>13.5</v>
      </c>
    </row>
    <row r="95" spans="1:6">
      <c r="A95" t="s">
        <v>3101</v>
      </c>
      <c r="B95" t="s">
        <v>2675</v>
      </c>
      <c r="C95" t="s">
        <v>2666</v>
      </c>
      <c r="D95" t="s">
        <v>2894</v>
      </c>
      <c r="E95" t="s">
        <v>4203</v>
      </c>
      <c r="F95" s="571">
        <v>450</v>
      </c>
    </row>
    <row r="96" spans="1:6">
      <c r="A96" t="s">
        <v>3101</v>
      </c>
      <c r="B96" t="s">
        <v>2675</v>
      </c>
      <c r="C96" t="s">
        <v>2666</v>
      </c>
      <c r="D96" t="s">
        <v>2894</v>
      </c>
      <c r="E96" t="s">
        <v>4204</v>
      </c>
      <c r="F96" s="571">
        <v>300</v>
      </c>
    </row>
    <row r="97" spans="1:6">
      <c r="A97" t="s">
        <v>3103</v>
      </c>
      <c r="B97" t="s">
        <v>2675</v>
      </c>
      <c r="C97" t="s">
        <v>2666</v>
      </c>
      <c r="D97" t="s">
        <v>1680</v>
      </c>
      <c r="E97" t="s">
        <v>4203</v>
      </c>
      <c r="F97" s="571">
        <v>332.14</v>
      </c>
    </row>
    <row r="98" spans="1:6">
      <c r="A98" t="s">
        <v>3103</v>
      </c>
      <c r="B98" t="s">
        <v>2675</v>
      </c>
      <c r="C98" t="s">
        <v>2666</v>
      </c>
      <c r="D98" t="s">
        <v>1680</v>
      </c>
      <c r="E98" t="s">
        <v>4204</v>
      </c>
      <c r="F98" s="571">
        <v>66.430000000000007</v>
      </c>
    </row>
    <row r="99" spans="1:6">
      <c r="A99" t="s">
        <v>3105</v>
      </c>
      <c r="B99" t="s">
        <v>2675</v>
      </c>
      <c r="C99" t="s">
        <v>2666</v>
      </c>
      <c r="D99" t="s">
        <v>3106</v>
      </c>
      <c r="E99" t="s">
        <v>4203</v>
      </c>
      <c r="F99" s="571">
        <v>602.13</v>
      </c>
    </row>
    <row r="100" spans="1:6">
      <c r="A100" t="s">
        <v>3105</v>
      </c>
      <c r="B100" t="s">
        <v>2675</v>
      </c>
      <c r="C100" t="s">
        <v>2666</v>
      </c>
      <c r="D100" t="s">
        <v>3106</v>
      </c>
      <c r="E100" t="s">
        <v>4204</v>
      </c>
      <c r="F100" s="571">
        <v>200.71</v>
      </c>
    </row>
    <row r="101" spans="1:6">
      <c r="A101" t="s">
        <v>3108</v>
      </c>
      <c r="B101" t="s">
        <v>2675</v>
      </c>
      <c r="C101" t="s">
        <v>2666</v>
      </c>
      <c r="D101" t="s">
        <v>1684</v>
      </c>
      <c r="E101" t="s">
        <v>4203</v>
      </c>
      <c r="F101" s="571">
        <v>264.45999999999998</v>
      </c>
    </row>
    <row r="102" spans="1:6">
      <c r="A102" t="s">
        <v>3108</v>
      </c>
      <c r="B102" t="s">
        <v>2675</v>
      </c>
      <c r="C102" t="s">
        <v>2666</v>
      </c>
      <c r="D102" t="s">
        <v>1684</v>
      </c>
      <c r="E102" t="s">
        <v>4204</v>
      </c>
      <c r="F102" s="571">
        <v>52.89</v>
      </c>
    </row>
    <row r="103" spans="1:6">
      <c r="A103" t="s">
        <v>3141</v>
      </c>
      <c r="B103" t="s">
        <v>2675</v>
      </c>
      <c r="C103" t="s">
        <v>2666</v>
      </c>
      <c r="D103" t="s">
        <v>2885</v>
      </c>
      <c r="E103" t="s">
        <v>4203</v>
      </c>
      <c r="F103" s="571">
        <v>240</v>
      </c>
    </row>
    <row r="104" spans="1:6">
      <c r="A104" t="s">
        <v>3141</v>
      </c>
      <c r="B104" t="s">
        <v>2675</v>
      </c>
      <c r="C104" t="s">
        <v>2666</v>
      </c>
      <c r="D104" t="s">
        <v>2885</v>
      </c>
      <c r="E104" t="s">
        <v>4204</v>
      </c>
      <c r="F104" s="571">
        <v>80</v>
      </c>
    </row>
    <row r="105" spans="1:6">
      <c r="A105" t="s">
        <v>3145</v>
      </c>
      <c r="B105" t="s">
        <v>2675</v>
      </c>
      <c r="C105" t="s">
        <v>2666</v>
      </c>
      <c r="D105" t="s">
        <v>2720</v>
      </c>
      <c r="E105" t="s">
        <v>4203</v>
      </c>
      <c r="F105" s="571">
        <v>53.57</v>
      </c>
    </row>
    <row r="106" spans="1:6">
      <c r="A106" t="s">
        <v>3145</v>
      </c>
      <c r="B106" t="s">
        <v>2675</v>
      </c>
      <c r="C106" t="s">
        <v>2666</v>
      </c>
      <c r="D106" t="s">
        <v>2720</v>
      </c>
      <c r="E106" t="s">
        <v>4204</v>
      </c>
      <c r="F106" s="571">
        <v>21.43</v>
      </c>
    </row>
    <row r="107" spans="1:6">
      <c r="A107" t="s">
        <v>3160</v>
      </c>
      <c r="B107" t="s">
        <v>2675</v>
      </c>
      <c r="C107" t="s">
        <v>3161</v>
      </c>
      <c r="D107" t="s">
        <v>3162</v>
      </c>
      <c r="E107" t="s">
        <v>4203</v>
      </c>
      <c r="F107" s="571">
        <v>53.57</v>
      </c>
    </row>
    <row r="108" spans="1:6">
      <c r="A108" t="s">
        <v>3160</v>
      </c>
      <c r="B108" t="s">
        <v>2675</v>
      </c>
      <c r="C108" t="s">
        <v>3161</v>
      </c>
      <c r="D108" t="s">
        <v>3162</v>
      </c>
      <c r="E108" t="s">
        <v>4204</v>
      </c>
      <c r="F108" s="571">
        <v>21.43</v>
      </c>
    </row>
    <row r="109" spans="1:6">
      <c r="A109" t="s">
        <v>3167</v>
      </c>
      <c r="B109" t="s">
        <v>2675</v>
      </c>
      <c r="C109" t="s">
        <v>3168</v>
      </c>
      <c r="D109" t="s">
        <v>3162</v>
      </c>
      <c r="E109" t="s">
        <v>4203</v>
      </c>
      <c r="F109" s="571">
        <v>107.14</v>
      </c>
    </row>
    <row r="110" spans="1:6">
      <c r="A110" t="s">
        <v>3167</v>
      </c>
      <c r="B110" t="s">
        <v>2675</v>
      </c>
      <c r="C110" t="s">
        <v>3168</v>
      </c>
      <c r="D110" t="s">
        <v>3162</v>
      </c>
      <c r="E110" t="s">
        <v>4204</v>
      </c>
      <c r="F110" s="571">
        <v>42.86</v>
      </c>
    </row>
    <row r="111" spans="1:6">
      <c r="A111" t="s">
        <v>3170</v>
      </c>
      <c r="B111" t="s">
        <v>2675</v>
      </c>
      <c r="C111" t="s">
        <v>3171</v>
      </c>
      <c r="D111" t="s">
        <v>2746</v>
      </c>
      <c r="E111" t="s">
        <v>4203</v>
      </c>
      <c r="F111" s="571">
        <v>473.21</v>
      </c>
    </row>
    <row r="112" spans="1:6">
      <c r="A112" t="s">
        <v>3170</v>
      </c>
      <c r="B112" t="s">
        <v>2675</v>
      </c>
      <c r="C112" t="s">
        <v>3171</v>
      </c>
      <c r="D112" t="s">
        <v>2746</v>
      </c>
      <c r="E112" t="s">
        <v>4204</v>
      </c>
      <c r="F112" s="571">
        <v>189.29</v>
      </c>
    </row>
    <row r="113" spans="1:6">
      <c r="A113" t="s">
        <v>3210</v>
      </c>
      <c r="B113" t="s">
        <v>2675</v>
      </c>
      <c r="C113" t="s">
        <v>2666</v>
      </c>
      <c r="D113" t="s">
        <v>2799</v>
      </c>
      <c r="E113" t="s">
        <v>4203</v>
      </c>
      <c r="F113" s="571">
        <v>30</v>
      </c>
    </row>
    <row r="114" spans="1:6">
      <c r="A114" t="s">
        <v>3210</v>
      </c>
      <c r="B114" t="s">
        <v>2675</v>
      </c>
      <c r="C114" t="s">
        <v>2666</v>
      </c>
      <c r="D114" t="s">
        <v>2799</v>
      </c>
      <c r="E114" t="s">
        <v>4204</v>
      </c>
      <c r="F114" s="571">
        <v>20</v>
      </c>
    </row>
    <row r="115" spans="1:6">
      <c r="A115" t="s">
        <v>3247</v>
      </c>
      <c r="B115" t="s">
        <v>2675</v>
      </c>
      <c r="C115" t="s">
        <v>3248</v>
      </c>
      <c r="D115" t="s">
        <v>2844</v>
      </c>
      <c r="E115" t="s">
        <v>4203</v>
      </c>
      <c r="F115" s="571">
        <v>7611.67</v>
      </c>
    </row>
    <row r="116" spans="1:6">
      <c r="A116" t="s">
        <v>3247</v>
      </c>
      <c r="B116" t="s">
        <v>2675</v>
      </c>
      <c r="C116" t="s">
        <v>3248</v>
      </c>
      <c r="D116" t="s">
        <v>2844</v>
      </c>
      <c r="E116" t="s">
        <v>4204</v>
      </c>
      <c r="F116" s="571">
        <v>7611.6727678571424</v>
      </c>
    </row>
    <row r="117" spans="1:6">
      <c r="A117" t="s">
        <v>3250</v>
      </c>
      <c r="B117" t="s">
        <v>2675</v>
      </c>
      <c r="C117" t="s">
        <v>3251</v>
      </c>
      <c r="D117" t="s">
        <v>3252</v>
      </c>
      <c r="E117" t="s">
        <v>4203</v>
      </c>
      <c r="F117" s="571">
        <v>513.39</v>
      </c>
    </row>
    <row r="118" spans="1:6">
      <c r="A118" t="s">
        <v>3250</v>
      </c>
      <c r="B118" t="s">
        <v>2675</v>
      </c>
      <c r="C118" t="s">
        <v>3251</v>
      </c>
      <c r="D118" t="s">
        <v>3252</v>
      </c>
      <c r="E118" t="s">
        <v>4204</v>
      </c>
      <c r="F118" s="571">
        <v>513.39</v>
      </c>
    </row>
    <row r="119" spans="1:6">
      <c r="A119" t="s">
        <v>3254</v>
      </c>
      <c r="B119" t="s">
        <v>2675</v>
      </c>
      <c r="C119" t="s">
        <v>3255</v>
      </c>
      <c r="D119" t="s">
        <v>3256</v>
      </c>
      <c r="E119" t="s">
        <v>4203</v>
      </c>
      <c r="F119" s="571">
        <v>1287.49</v>
      </c>
    </row>
    <row r="120" spans="1:6">
      <c r="A120" t="s">
        <v>3254</v>
      </c>
      <c r="B120" t="s">
        <v>2675</v>
      </c>
      <c r="C120" t="s">
        <v>3255</v>
      </c>
      <c r="D120" t="s">
        <v>3256</v>
      </c>
      <c r="E120" t="s">
        <v>4204</v>
      </c>
      <c r="F120" s="571">
        <v>515</v>
      </c>
    </row>
    <row r="121" spans="1:6">
      <c r="A121" t="s">
        <v>3258</v>
      </c>
      <c r="B121" t="s">
        <v>2675</v>
      </c>
      <c r="C121" t="s">
        <v>3259</v>
      </c>
      <c r="D121" t="s">
        <v>3256</v>
      </c>
      <c r="E121" t="s">
        <v>4203</v>
      </c>
      <c r="F121" s="571">
        <v>803.57</v>
      </c>
    </row>
    <row r="122" spans="1:6">
      <c r="A122" t="s">
        <v>3258</v>
      </c>
      <c r="B122" t="s">
        <v>2675</v>
      </c>
      <c r="C122" t="s">
        <v>3259</v>
      </c>
      <c r="D122" t="s">
        <v>3256</v>
      </c>
      <c r="E122" t="s">
        <v>4204</v>
      </c>
      <c r="F122" s="571">
        <v>321.43</v>
      </c>
    </row>
    <row r="123" spans="1:6">
      <c r="A123" t="s">
        <v>3261</v>
      </c>
      <c r="B123" t="s">
        <v>2675</v>
      </c>
      <c r="C123" t="s">
        <v>3262</v>
      </c>
      <c r="D123" t="s">
        <v>3256</v>
      </c>
      <c r="E123" t="s">
        <v>4203</v>
      </c>
      <c r="F123" s="571">
        <v>25</v>
      </c>
    </row>
    <row r="124" spans="1:6">
      <c r="A124" t="s">
        <v>3261</v>
      </c>
      <c r="B124" t="s">
        <v>2675</v>
      </c>
      <c r="C124" t="s">
        <v>3262</v>
      </c>
      <c r="D124" t="s">
        <v>3256</v>
      </c>
      <c r="E124" t="s">
        <v>4204</v>
      </c>
      <c r="F124" s="571">
        <v>10</v>
      </c>
    </row>
    <row r="125" spans="1:6">
      <c r="A125" t="s">
        <v>3264</v>
      </c>
      <c r="B125" t="s">
        <v>2675</v>
      </c>
      <c r="C125" t="s">
        <v>3265</v>
      </c>
      <c r="D125" t="s">
        <v>3256</v>
      </c>
      <c r="E125" t="s">
        <v>4203</v>
      </c>
      <c r="F125" s="571">
        <v>41</v>
      </c>
    </row>
    <row r="126" spans="1:6">
      <c r="A126" t="s">
        <v>3264</v>
      </c>
      <c r="B126" t="s">
        <v>2675</v>
      </c>
      <c r="C126" t="s">
        <v>3265</v>
      </c>
      <c r="D126" t="s">
        <v>3256</v>
      </c>
      <c r="E126" t="s">
        <v>4204</v>
      </c>
      <c r="F126" s="571">
        <v>16.399999999999999</v>
      </c>
    </row>
    <row r="127" spans="1:6">
      <c r="A127" t="s">
        <v>3267</v>
      </c>
      <c r="B127" t="s">
        <v>2675</v>
      </c>
      <c r="C127" t="s">
        <v>3268</v>
      </c>
      <c r="D127" t="s">
        <v>3269</v>
      </c>
      <c r="E127" t="s">
        <v>4203</v>
      </c>
      <c r="F127" s="571">
        <v>625</v>
      </c>
    </row>
    <row r="128" spans="1:6">
      <c r="A128" t="s">
        <v>3267</v>
      </c>
      <c r="B128" t="s">
        <v>2675</v>
      </c>
      <c r="C128" t="s">
        <v>3268</v>
      </c>
      <c r="D128" t="s">
        <v>3269</v>
      </c>
      <c r="E128" t="s">
        <v>4204</v>
      </c>
      <c r="F128" s="571">
        <v>250</v>
      </c>
    </row>
    <row r="129" spans="1:6">
      <c r="A129" t="s">
        <v>3271</v>
      </c>
      <c r="B129" t="s">
        <v>2675</v>
      </c>
      <c r="C129" t="s">
        <v>3272</v>
      </c>
      <c r="D129" t="s">
        <v>3273</v>
      </c>
      <c r="E129" t="s">
        <v>4203</v>
      </c>
      <c r="F129" s="571">
        <v>391.7</v>
      </c>
    </row>
    <row r="130" spans="1:6">
      <c r="A130" t="s">
        <v>3271</v>
      </c>
      <c r="B130" t="s">
        <v>2675</v>
      </c>
      <c r="C130" t="s">
        <v>3272</v>
      </c>
      <c r="D130" t="s">
        <v>3273</v>
      </c>
      <c r="E130" t="s">
        <v>4204</v>
      </c>
      <c r="F130" s="571">
        <v>156.68</v>
      </c>
    </row>
    <row r="131" spans="1:6">
      <c r="A131" t="s">
        <v>3281</v>
      </c>
      <c r="B131" t="s">
        <v>2675</v>
      </c>
      <c r="C131" t="s">
        <v>3282</v>
      </c>
      <c r="D131" t="s">
        <v>1680</v>
      </c>
      <c r="E131" t="s">
        <v>4203</v>
      </c>
      <c r="F131" s="571">
        <v>996.43</v>
      </c>
    </row>
    <row r="132" spans="1:6">
      <c r="A132" t="s">
        <v>3281</v>
      </c>
      <c r="B132" t="s">
        <v>2675</v>
      </c>
      <c r="C132" t="s">
        <v>3282</v>
      </c>
      <c r="D132" t="s">
        <v>1680</v>
      </c>
      <c r="E132" t="s">
        <v>4204</v>
      </c>
      <c r="F132" s="571">
        <v>199.29</v>
      </c>
    </row>
    <row r="133" spans="1:6">
      <c r="A133" t="s">
        <v>3284</v>
      </c>
      <c r="B133" t="s">
        <v>2675</v>
      </c>
      <c r="C133" t="s">
        <v>2666</v>
      </c>
      <c r="D133" t="s">
        <v>2971</v>
      </c>
      <c r="E133" t="s">
        <v>4203</v>
      </c>
      <c r="F133" s="571">
        <v>855.58</v>
      </c>
    </row>
    <row r="134" spans="1:6">
      <c r="A134" t="s">
        <v>3284</v>
      </c>
      <c r="B134" t="s">
        <v>2675</v>
      </c>
      <c r="C134" t="s">
        <v>2666</v>
      </c>
      <c r="D134" t="s">
        <v>2971</v>
      </c>
      <c r="E134" t="s">
        <v>4204</v>
      </c>
      <c r="F134" s="571">
        <v>342.23</v>
      </c>
    </row>
    <row r="135" spans="1:6">
      <c r="A135" t="s">
        <v>3286</v>
      </c>
      <c r="B135" t="s">
        <v>2675</v>
      </c>
      <c r="C135" t="s">
        <v>2666</v>
      </c>
      <c r="D135" t="s">
        <v>2746</v>
      </c>
      <c r="E135" t="s">
        <v>4203</v>
      </c>
      <c r="F135" s="571">
        <v>553.57000000000005</v>
      </c>
    </row>
    <row r="136" spans="1:6">
      <c r="A136" t="s">
        <v>3286</v>
      </c>
      <c r="B136" t="s">
        <v>2675</v>
      </c>
      <c r="C136" t="s">
        <v>2666</v>
      </c>
      <c r="D136" t="s">
        <v>2746</v>
      </c>
      <c r="E136" t="s">
        <v>4204</v>
      </c>
      <c r="F136" s="571">
        <v>221.43</v>
      </c>
    </row>
    <row r="137" spans="1:6">
      <c r="A137" t="s">
        <v>3290</v>
      </c>
      <c r="B137" t="s">
        <v>2675</v>
      </c>
      <c r="C137" t="s">
        <v>3291</v>
      </c>
      <c r="D137" t="s">
        <v>3292</v>
      </c>
      <c r="E137" t="s">
        <v>4203</v>
      </c>
      <c r="F137" s="571">
        <v>1116.07</v>
      </c>
    </row>
    <row r="138" spans="1:6">
      <c r="A138" t="s">
        <v>3290</v>
      </c>
      <c r="B138" t="s">
        <v>2675</v>
      </c>
      <c r="C138" t="s">
        <v>3291</v>
      </c>
      <c r="D138" t="s">
        <v>3292</v>
      </c>
      <c r="E138" t="s">
        <v>4204</v>
      </c>
      <c r="F138" s="571">
        <v>446.43</v>
      </c>
    </row>
    <row r="139" spans="1:6">
      <c r="A139" t="s">
        <v>3294</v>
      </c>
      <c r="B139" t="s">
        <v>2675</v>
      </c>
      <c r="C139" t="s">
        <v>3295</v>
      </c>
      <c r="D139" t="s">
        <v>3296</v>
      </c>
      <c r="E139" t="s">
        <v>4203</v>
      </c>
      <c r="F139" s="571">
        <v>88.84</v>
      </c>
    </row>
    <row r="140" spans="1:6">
      <c r="A140" t="s">
        <v>3294</v>
      </c>
      <c r="B140" t="s">
        <v>2675</v>
      </c>
      <c r="C140" t="s">
        <v>3295</v>
      </c>
      <c r="D140" t="s">
        <v>3296</v>
      </c>
      <c r="E140" t="s">
        <v>4204</v>
      </c>
      <c r="F140" s="571">
        <v>17.77</v>
      </c>
    </row>
    <row r="141" spans="1:6">
      <c r="A141" t="s">
        <v>3298</v>
      </c>
      <c r="B141" t="s">
        <v>2675</v>
      </c>
      <c r="C141" t="s">
        <v>2666</v>
      </c>
      <c r="D141" t="s">
        <v>3299</v>
      </c>
      <c r="E141" t="s">
        <v>4203</v>
      </c>
      <c r="F141" s="571">
        <v>339</v>
      </c>
    </row>
    <row r="142" spans="1:6">
      <c r="A142" t="s">
        <v>3298</v>
      </c>
      <c r="B142" t="s">
        <v>2675</v>
      </c>
      <c r="C142" t="s">
        <v>2666</v>
      </c>
      <c r="D142" t="s">
        <v>3299</v>
      </c>
      <c r="E142" t="s">
        <v>4204</v>
      </c>
      <c r="F142" s="571">
        <v>226</v>
      </c>
    </row>
    <row r="143" spans="1:6">
      <c r="A143" t="s">
        <v>3409</v>
      </c>
      <c r="B143" t="s">
        <v>2676</v>
      </c>
      <c r="C143" t="s">
        <v>3410</v>
      </c>
      <c r="D143" t="s">
        <v>2775</v>
      </c>
      <c r="E143" t="s">
        <v>4203</v>
      </c>
      <c r="F143" s="571">
        <v>180</v>
      </c>
    </row>
    <row r="144" spans="1:6">
      <c r="A144" t="s">
        <v>3409</v>
      </c>
      <c r="B144" t="s">
        <v>2676</v>
      </c>
      <c r="C144" t="s">
        <v>3410</v>
      </c>
      <c r="D144" t="s">
        <v>2775</v>
      </c>
      <c r="E144" t="s">
        <v>4204</v>
      </c>
      <c r="F144" s="571">
        <v>36</v>
      </c>
    </row>
    <row r="145" spans="1:6">
      <c r="A145" t="s">
        <v>3469</v>
      </c>
      <c r="B145" t="s">
        <v>2676</v>
      </c>
      <c r="C145" t="s">
        <v>3470</v>
      </c>
      <c r="D145" t="s">
        <v>3381</v>
      </c>
      <c r="E145" t="s">
        <v>4203</v>
      </c>
      <c r="F145" s="571">
        <v>491.07</v>
      </c>
    </row>
    <row r="146" spans="1:6">
      <c r="A146" t="s">
        <v>3469</v>
      </c>
      <c r="B146" t="s">
        <v>2676</v>
      </c>
      <c r="C146" t="s">
        <v>3470</v>
      </c>
      <c r="D146" t="s">
        <v>3381</v>
      </c>
      <c r="E146" t="s">
        <v>4204</v>
      </c>
      <c r="F146" s="571">
        <v>196.43</v>
      </c>
    </row>
    <row r="147" spans="1:6">
      <c r="A147" t="s">
        <v>3471</v>
      </c>
      <c r="B147" t="s">
        <v>2676</v>
      </c>
      <c r="C147" t="s">
        <v>3472</v>
      </c>
      <c r="D147" t="s">
        <v>3162</v>
      </c>
      <c r="E147" t="s">
        <v>4203</v>
      </c>
      <c r="F147" s="571">
        <v>111.61</v>
      </c>
    </row>
    <row r="148" spans="1:6">
      <c r="A148" t="s">
        <v>3471</v>
      </c>
      <c r="B148" t="s">
        <v>2676</v>
      </c>
      <c r="C148" t="s">
        <v>3472</v>
      </c>
      <c r="D148" t="s">
        <v>3162</v>
      </c>
      <c r="E148" t="s">
        <v>4204</v>
      </c>
      <c r="F148" s="571">
        <v>44.64</v>
      </c>
    </row>
    <row r="149" spans="1:6">
      <c r="A149" t="s">
        <v>3523</v>
      </c>
      <c r="B149" t="s">
        <v>2676</v>
      </c>
      <c r="C149" t="s">
        <v>3524</v>
      </c>
      <c r="D149" t="s">
        <v>2775</v>
      </c>
      <c r="E149" t="s">
        <v>4203</v>
      </c>
      <c r="F149" s="571">
        <v>136.07</v>
      </c>
    </row>
    <row r="150" spans="1:6">
      <c r="A150" t="s">
        <v>3523</v>
      </c>
      <c r="B150" t="s">
        <v>2676</v>
      </c>
      <c r="C150" t="s">
        <v>3524</v>
      </c>
      <c r="D150" t="s">
        <v>2775</v>
      </c>
      <c r="E150" t="s">
        <v>4204</v>
      </c>
      <c r="F150" s="571">
        <v>27.21</v>
      </c>
    </row>
    <row r="151" spans="1:6">
      <c r="A151" t="s">
        <v>3526</v>
      </c>
      <c r="B151" t="s">
        <v>2676</v>
      </c>
      <c r="C151" t="s">
        <v>3527</v>
      </c>
      <c r="D151" t="s">
        <v>1676</v>
      </c>
      <c r="E151" t="s">
        <v>4203</v>
      </c>
      <c r="F151" s="571">
        <v>48.21</v>
      </c>
    </row>
    <row r="152" spans="1:6">
      <c r="A152" t="s">
        <v>3526</v>
      </c>
      <c r="B152" t="s">
        <v>2676</v>
      </c>
      <c r="C152" t="s">
        <v>3527</v>
      </c>
      <c r="D152" t="s">
        <v>1676</v>
      </c>
      <c r="E152" t="s">
        <v>4204</v>
      </c>
      <c r="F152" s="571">
        <v>19.29</v>
      </c>
    </row>
    <row r="153" spans="1:6">
      <c r="A153" t="s">
        <v>3529</v>
      </c>
      <c r="B153" t="s">
        <v>2676</v>
      </c>
      <c r="C153" t="s">
        <v>3530</v>
      </c>
      <c r="D153" t="s">
        <v>3531</v>
      </c>
      <c r="E153" t="s">
        <v>4203</v>
      </c>
      <c r="F153" s="571">
        <v>392.86</v>
      </c>
    </row>
    <row r="154" spans="1:6">
      <c r="A154" t="s">
        <v>3529</v>
      </c>
      <c r="B154" t="s">
        <v>2676</v>
      </c>
      <c r="C154" t="s">
        <v>3530</v>
      </c>
      <c r="D154" t="s">
        <v>3531</v>
      </c>
      <c r="E154" t="s">
        <v>4204</v>
      </c>
      <c r="F154" s="571">
        <v>392.86</v>
      </c>
    </row>
    <row r="155" spans="1:6">
      <c r="A155" t="s">
        <v>3536</v>
      </c>
      <c r="B155" t="s">
        <v>2676</v>
      </c>
      <c r="C155" t="s">
        <v>3537</v>
      </c>
      <c r="D155" t="s">
        <v>3538</v>
      </c>
      <c r="E155" t="s">
        <v>4203</v>
      </c>
      <c r="F155" s="571">
        <v>427.01</v>
      </c>
    </row>
    <row r="156" spans="1:6">
      <c r="A156" t="s">
        <v>3536</v>
      </c>
      <c r="B156" t="s">
        <v>2676</v>
      </c>
      <c r="C156" t="s">
        <v>3537</v>
      </c>
      <c r="D156" t="s">
        <v>3538</v>
      </c>
      <c r="E156" t="s">
        <v>4204</v>
      </c>
      <c r="F156" s="571">
        <v>85.4</v>
      </c>
    </row>
    <row r="157" spans="1:6">
      <c r="A157" t="s">
        <v>3540</v>
      </c>
      <c r="B157" t="s">
        <v>2676</v>
      </c>
      <c r="C157" t="s">
        <v>3541</v>
      </c>
      <c r="D157" t="s">
        <v>2739</v>
      </c>
      <c r="E157" t="s">
        <v>4203</v>
      </c>
      <c r="F157" s="571">
        <v>69.64</v>
      </c>
    </row>
    <row r="158" spans="1:6">
      <c r="A158" t="s">
        <v>3540</v>
      </c>
      <c r="B158" t="s">
        <v>2676</v>
      </c>
      <c r="C158" t="s">
        <v>3541</v>
      </c>
      <c r="D158" t="s">
        <v>2739</v>
      </c>
      <c r="E158" t="s">
        <v>4204</v>
      </c>
      <c r="F158" s="571">
        <v>13.93</v>
      </c>
    </row>
    <row r="159" spans="1:6">
      <c r="A159" t="s">
        <v>3542</v>
      </c>
      <c r="B159" t="s">
        <v>2676</v>
      </c>
      <c r="C159" t="s">
        <v>3543</v>
      </c>
      <c r="D159" t="s">
        <v>1684</v>
      </c>
      <c r="E159" t="s">
        <v>4203</v>
      </c>
      <c r="F159" s="571">
        <v>795.54</v>
      </c>
    </row>
    <row r="160" spans="1:6">
      <c r="A160" t="s">
        <v>3542</v>
      </c>
      <c r="B160" t="s">
        <v>2676</v>
      </c>
      <c r="C160" t="s">
        <v>3543</v>
      </c>
      <c r="D160" t="s">
        <v>1684</v>
      </c>
      <c r="E160" t="s">
        <v>4204</v>
      </c>
      <c r="F160" s="571">
        <v>159.11000000000001</v>
      </c>
    </row>
    <row r="161" spans="1:6">
      <c r="A161" t="s">
        <v>3544</v>
      </c>
      <c r="B161" t="s">
        <v>2676</v>
      </c>
      <c r="C161" t="s">
        <v>3545</v>
      </c>
      <c r="D161" t="s">
        <v>3546</v>
      </c>
      <c r="E161" t="s">
        <v>4203</v>
      </c>
      <c r="F161" s="571">
        <v>515.5</v>
      </c>
    </row>
    <row r="162" spans="1:6">
      <c r="A162" t="s">
        <v>3544</v>
      </c>
      <c r="B162" t="s">
        <v>2676</v>
      </c>
      <c r="C162" t="s">
        <v>3545</v>
      </c>
      <c r="D162" t="s">
        <v>3546</v>
      </c>
      <c r="E162" t="s">
        <v>4204</v>
      </c>
      <c r="F162" s="571">
        <v>206.2</v>
      </c>
    </row>
    <row r="163" spans="1:6">
      <c r="A163" t="s">
        <v>3548</v>
      </c>
      <c r="B163" t="s">
        <v>2676</v>
      </c>
      <c r="C163" t="s">
        <v>3549</v>
      </c>
      <c r="D163" t="s">
        <v>3550</v>
      </c>
      <c r="E163" t="s">
        <v>4203</v>
      </c>
      <c r="F163" s="571">
        <v>297</v>
      </c>
    </row>
    <row r="164" spans="1:6">
      <c r="A164" t="s">
        <v>3548</v>
      </c>
      <c r="B164" t="s">
        <v>2676</v>
      </c>
      <c r="C164" t="s">
        <v>3549</v>
      </c>
      <c r="D164" t="s">
        <v>3550</v>
      </c>
      <c r="E164" t="s">
        <v>4204</v>
      </c>
      <c r="F164" s="571">
        <v>198</v>
      </c>
    </row>
    <row r="165" spans="1:6">
      <c r="A165" t="s">
        <v>3555</v>
      </c>
      <c r="B165" t="s">
        <v>2676</v>
      </c>
      <c r="C165" t="s">
        <v>3556</v>
      </c>
      <c r="D165" t="s">
        <v>3557</v>
      </c>
      <c r="E165" t="s">
        <v>4203</v>
      </c>
      <c r="F165" s="571">
        <v>525</v>
      </c>
    </row>
    <row r="166" spans="1:6">
      <c r="A166" t="s">
        <v>3555</v>
      </c>
      <c r="B166" t="s">
        <v>2676</v>
      </c>
      <c r="C166" t="s">
        <v>3556</v>
      </c>
      <c r="D166" t="s">
        <v>3557</v>
      </c>
      <c r="E166" t="s">
        <v>4204</v>
      </c>
      <c r="F166" s="571">
        <v>175</v>
      </c>
    </row>
    <row r="167" spans="1:6">
      <c r="A167" t="s">
        <v>3575</v>
      </c>
      <c r="B167" t="s">
        <v>2676</v>
      </c>
      <c r="C167" t="s">
        <v>3576</v>
      </c>
      <c r="D167" t="s">
        <v>2746</v>
      </c>
      <c r="E167" t="s">
        <v>4203</v>
      </c>
      <c r="F167" s="571">
        <v>575.89</v>
      </c>
    </row>
    <row r="168" spans="1:6">
      <c r="A168" t="s">
        <v>3575</v>
      </c>
      <c r="B168" t="s">
        <v>2676</v>
      </c>
      <c r="C168" t="s">
        <v>3576</v>
      </c>
      <c r="D168" t="s">
        <v>2746</v>
      </c>
      <c r="E168" t="s">
        <v>4204</v>
      </c>
      <c r="F168" s="571">
        <v>230.36</v>
      </c>
    </row>
    <row r="169" spans="1:6">
      <c r="A169" t="s">
        <v>3578</v>
      </c>
      <c r="B169" t="s">
        <v>2676</v>
      </c>
      <c r="C169" t="s">
        <v>3579</v>
      </c>
      <c r="D169" t="s">
        <v>2746</v>
      </c>
      <c r="E169" t="s">
        <v>4203</v>
      </c>
      <c r="F169" s="571">
        <v>220.98</v>
      </c>
    </row>
    <row r="170" spans="1:6">
      <c r="A170" t="s">
        <v>3578</v>
      </c>
      <c r="B170" t="s">
        <v>2676</v>
      </c>
      <c r="C170" t="s">
        <v>3579</v>
      </c>
      <c r="D170" t="s">
        <v>2746</v>
      </c>
      <c r="E170" t="s">
        <v>4204</v>
      </c>
      <c r="F170" s="571">
        <v>88.39</v>
      </c>
    </row>
    <row r="171" spans="1:6">
      <c r="A171" t="s">
        <v>3581</v>
      </c>
      <c r="B171" t="s">
        <v>2676</v>
      </c>
      <c r="C171" t="s">
        <v>3582</v>
      </c>
      <c r="D171" t="s">
        <v>1684</v>
      </c>
      <c r="E171" t="s">
        <v>4203</v>
      </c>
      <c r="F171" s="571">
        <v>349.55</v>
      </c>
    </row>
    <row r="172" spans="1:6">
      <c r="A172" t="s">
        <v>3581</v>
      </c>
      <c r="B172" t="s">
        <v>2676</v>
      </c>
      <c r="C172" t="s">
        <v>3582</v>
      </c>
      <c r="D172" t="s">
        <v>1684</v>
      </c>
      <c r="E172" t="s">
        <v>4204</v>
      </c>
      <c r="F172" s="571">
        <v>69.91</v>
      </c>
    </row>
    <row r="173" spans="1:6">
      <c r="A173" t="s">
        <v>3584</v>
      </c>
      <c r="B173" t="s">
        <v>2676</v>
      </c>
      <c r="C173" t="s">
        <v>3585</v>
      </c>
      <c r="D173" t="s">
        <v>3586</v>
      </c>
      <c r="E173" t="s">
        <v>4203</v>
      </c>
      <c r="F173" s="571">
        <v>1205.3599999999999</v>
      </c>
    </row>
    <row r="174" spans="1:6">
      <c r="A174" t="s">
        <v>3584</v>
      </c>
      <c r="B174" t="s">
        <v>2676</v>
      </c>
      <c r="C174" t="s">
        <v>3585</v>
      </c>
      <c r="D174" t="s">
        <v>3586</v>
      </c>
      <c r="E174" t="s">
        <v>4204</v>
      </c>
      <c r="F174" s="571">
        <v>241.07</v>
      </c>
    </row>
    <row r="175" spans="1:6">
      <c r="A175" t="s">
        <v>3590</v>
      </c>
      <c r="B175" t="s">
        <v>2676</v>
      </c>
      <c r="C175" t="s">
        <v>3591</v>
      </c>
      <c r="D175" t="s">
        <v>3592</v>
      </c>
      <c r="E175" t="s">
        <v>4203</v>
      </c>
      <c r="F175" s="571">
        <v>151.79</v>
      </c>
    </row>
    <row r="176" spans="1:6">
      <c r="A176" t="s">
        <v>3590</v>
      </c>
      <c r="B176" t="s">
        <v>2676</v>
      </c>
      <c r="C176" t="s">
        <v>3591</v>
      </c>
      <c r="D176" t="s">
        <v>3592</v>
      </c>
      <c r="E176" t="s">
        <v>4204</v>
      </c>
      <c r="F176" s="571">
        <v>60.71</v>
      </c>
    </row>
    <row r="177" spans="1:6">
      <c r="A177" t="s">
        <v>3596</v>
      </c>
      <c r="B177" t="s">
        <v>2676</v>
      </c>
      <c r="C177" t="s">
        <v>3597</v>
      </c>
      <c r="D177" t="s">
        <v>3598</v>
      </c>
      <c r="E177" t="s">
        <v>4203</v>
      </c>
      <c r="F177" s="571">
        <v>250</v>
      </c>
    </row>
    <row r="178" spans="1:6">
      <c r="A178" t="s">
        <v>3596</v>
      </c>
      <c r="B178" t="s">
        <v>2676</v>
      </c>
      <c r="C178" t="s">
        <v>3597</v>
      </c>
      <c r="D178" t="s">
        <v>3598</v>
      </c>
      <c r="E178" t="s">
        <v>4204</v>
      </c>
      <c r="F178" s="571">
        <v>100</v>
      </c>
    </row>
    <row r="179" spans="1:6">
      <c r="A179" t="s">
        <v>3600</v>
      </c>
      <c r="B179" t="s">
        <v>2676</v>
      </c>
      <c r="C179" t="s">
        <v>3601</v>
      </c>
      <c r="D179" t="s">
        <v>2811</v>
      </c>
      <c r="E179" t="s">
        <v>4203</v>
      </c>
      <c r="F179" s="571">
        <v>1021.53</v>
      </c>
    </row>
    <row r="180" spans="1:6">
      <c r="A180" t="s">
        <v>3600</v>
      </c>
      <c r="B180" t="s">
        <v>2676</v>
      </c>
      <c r="C180" t="s">
        <v>3601</v>
      </c>
      <c r="D180" t="s">
        <v>2811</v>
      </c>
      <c r="E180" t="s">
        <v>4204</v>
      </c>
      <c r="F180" s="571">
        <v>408.61</v>
      </c>
    </row>
    <row r="181" spans="1:6">
      <c r="A181" t="s">
        <v>3603</v>
      </c>
      <c r="B181" t="s">
        <v>2676</v>
      </c>
      <c r="C181" t="s">
        <v>3604</v>
      </c>
      <c r="D181" t="s">
        <v>3605</v>
      </c>
      <c r="E181" t="s">
        <v>4203</v>
      </c>
      <c r="F181" s="571">
        <v>101.56</v>
      </c>
    </row>
    <row r="182" spans="1:6">
      <c r="A182" t="s">
        <v>3603</v>
      </c>
      <c r="B182" t="s">
        <v>2676</v>
      </c>
      <c r="C182" t="s">
        <v>3604</v>
      </c>
      <c r="D182" t="s">
        <v>3605</v>
      </c>
      <c r="E182" t="s">
        <v>4204</v>
      </c>
      <c r="F182" s="571">
        <v>20.309999999999999</v>
      </c>
    </row>
    <row r="183" spans="1:6">
      <c r="A183" t="s">
        <v>3607</v>
      </c>
      <c r="B183" t="s">
        <v>2676</v>
      </c>
      <c r="C183" t="s">
        <v>3608</v>
      </c>
      <c r="D183" t="s">
        <v>3609</v>
      </c>
      <c r="E183" t="s">
        <v>4203</v>
      </c>
      <c r="F183" s="571">
        <v>282.27999999999997</v>
      </c>
    </row>
    <row r="184" spans="1:6">
      <c r="A184" t="s">
        <v>3607</v>
      </c>
      <c r="B184" t="s">
        <v>2676</v>
      </c>
      <c r="C184" t="s">
        <v>3608</v>
      </c>
      <c r="D184" t="s">
        <v>3609</v>
      </c>
      <c r="E184" t="s">
        <v>4204</v>
      </c>
      <c r="F184" s="571">
        <v>112.91</v>
      </c>
    </row>
    <row r="185" spans="1:6">
      <c r="A185" t="s">
        <v>3611</v>
      </c>
      <c r="B185" t="s">
        <v>2676</v>
      </c>
      <c r="C185" t="s">
        <v>3612</v>
      </c>
      <c r="D185" t="s">
        <v>3613</v>
      </c>
      <c r="E185" t="s">
        <v>4203</v>
      </c>
      <c r="F185" s="571">
        <v>37.26</v>
      </c>
    </row>
    <row r="186" spans="1:6">
      <c r="A186" t="s">
        <v>3611</v>
      </c>
      <c r="B186" t="s">
        <v>2676</v>
      </c>
      <c r="C186" t="s">
        <v>3612</v>
      </c>
      <c r="D186" t="s">
        <v>3613</v>
      </c>
      <c r="E186" t="s">
        <v>4204</v>
      </c>
      <c r="F186" s="571">
        <v>12.42</v>
      </c>
    </row>
    <row r="187" spans="1:6">
      <c r="A187" t="s">
        <v>3615</v>
      </c>
      <c r="B187" t="s">
        <v>2676</v>
      </c>
      <c r="C187" t="s">
        <v>3616</v>
      </c>
      <c r="D187" t="s">
        <v>2844</v>
      </c>
      <c r="E187" t="s">
        <v>4203</v>
      </c>
      <c r="F187" s="571">
        <v>7611.67</v>
      </c>
    </row>
    <row r="188" spans="1:6">
      <c r="A188" t="s">
        <v>3615</v>
      </c>
      <c r="B188" t="s">
        <v>2676</v>
      </c>
      <c r="C188" t="s">
        <v>3616</v>
      </c>
      <c r="D188" t="s">
        <v>2844</v>
      </c>
      <c r="E188" t="s">
        <v>4204</v>
      </c>
      <c r="F188" s="571">
        <v>7611.67</v>
      </c>
    </row>
    <row r="189" spans="1:6">
      <c r="A189" t="s">
        <v>3657</v>
      </c>
      <c r="B189" t="s">
        <v>2676</v>
      </c>
      <c r="C189" t="s">
        <v>3658</v>
      </c>
      <c r="D189" t="s">
        <v>3550</v>
      </c>
      <c r="E189" t="s">
        <v>4203</v>
      </c>
      <c r="F189" s="571">
        <v>1188</v>
      </c>
    </row>
    <row r="190" spans="1:6">
      <c r="A190" t="s">
        <v>3657</v>
      </c>
      <c r="B190" t="s">
        <v>2676</v>
      </c>
      <c r="C190" t="s">
        <v>3658</v>
      </c>
      <c r="D190" t="s">
        <v>3550</v>
      </c>
      <c r="E190" t="s">
        <v>4204</v>
      </c>
      <c r="F190" s="571">
        <v>792</v>
      </c>
    </row>
    <row r="191" spans="1:6">
      <c r="A191" t="s">
        <v>3676</v>
      </c>
      <c r="B191" t="s">
        <v>2676</v>
      </c>
      <c r="C191" t="s">
        <v>3677</v>
      </c>
      <c r="D191" t="s">
        <v>2775</v>
      </c>
      <c r="E191" t="s">
        <v>4203</v>
      </c>
      <c r="F191" s="571">
        <v>90</v>
      </c>
    </row>
    <row r="192" spans="1:6">
      <c r="A192" t="s">
        <v>3676</v>
      </c>
      <c r="B192" t="s">
        <v>2676</v>
      </c>
      <c r="C192" t="s">
        <v>3677</v>
      </c>
      <c r="D192" t="s">
        <v>2775</v>
      </c>
      <c r="E192" t="s">
        <v>4204</v>
      </c>
      <c r="F192" s="571">
        <v>18</v>
      </c>
    </row>
    <row r="193" spans="1:6">
      <c r="A193" t="s">
        <v>3679</v>
      </c>
      <c r="B193" t="s">
        <v>2676</v>
      </c>
      <c r="C193" t="s">
        <v>3680</v>
      </c>
      <c r="D193" t="s">
        <v>2775</v>
      </c>
      <c r="E193" t="s">
        <v>4203</v>
      </c>
      <c r="F193" s="571">
        <v>60</v>
      </c>
    </row>
    <row r="194" spans="1:6">
      <c r="A194" t="s">
        <v>3679</v>
      </c>
      <c r="B194" t="s">
        <v>2676</v>
      </c>
      <c r="C194" t="s">
        <v>3680</v>
      </c>
      <c r="D194" t="s">
        <v>2775</v>
      </c>
      <c r="E194" t="s">
        <v>4204</v>
      </c>
      <c r="F194" s="571">
        <v>12</v>
      </c>
    </row>
    <row r="195" spans="1:6">
      <c r="A195" t="s">
        <v>3685</v>
      </c>
      <c r="B195" t="s">
        <v>2676</v>
      </c>
      <c r="C195" t="s">
        <v>3686</v>
      </c>
      <c r="D195" t="s">
        <v>3687</v>
      </c>
      <c r="E195" t="s">
        <v>4203</v>
      </c>
      <c r="F195" s="571">
        <v>982.14</v>
      </c>
    </row>
    <row r="196" spans="1:6">
      <c r="A196" t="s">
        <v>3685</v>
      </c>
      <c r="B196" t="s">
        <v>2676</v>
      </c>
      <c r="C196" t="s">
        <v>3686</v>
      </c>
      <c r="D196" t="s">
        <v>3687</v>
      </c>
      <c r="E196" t="s">
        <v>4204</v>
      </c>
      <c r="F196" s="571">
        <v>196.43</v>
      </c>
    </row>
    <row r="197" spans="1:6">
      <c r="A197" t="s">
        <v>3798</v>
      </c>
      <c r="B197" t="s">
        <v>2676</v>
      </c>
      <c r="C197" t="s">
        <v>2666</v>
      </c>
      <c r="D197" t="s">
        <v>3799</v>
      </c>
      <c r="E197" t="s">
        <v>4203</v>
      </c>
      <c r="F197" s="571">
        <v>3116.51</v>
      </c>
    </row>
    <row r="198" spans="1:6">
      <c r="A198" t="s">
        <v>3798</v>
      </c>
      <c r="B198" t="s">
        <v>2676</v>
      </c>
      <c r="C198" t="s">
        <v>2666</v>
      </c>
      <c r="D198" t="s">
        <v>3799</v>
      </c>
      <c r="E198" t="s">
        <v>4204</v>
      </c>
      <c r="F198" s="571">
        <v>3116.51</v>
      </c>
    </row>
    <row r="199" spans="1:6">
      <c r="A199" t="s">
        <v>3801</v>
      </c>
      <c r="B199" t="s">
        <v>2676</v>
      </c>
      <c r="C199" t="s">
        <v>2666</v>
      </c>
      <c r="D199" t="s">
        <v>3802</v>
      </c>
      <c r="E199" t="s">
        <v>4203</v>
      </c>
      <c r="F199" s="571">
        <v>75</v>
      </c>
    </row>
    <row r="200" spans="1:6">
      <c r="A200" t="s">
        <v>3801</v>
      </c>
      <c r="B200" t="s">
        <v>2676</v>
      </c>
      <c r="C200" t="s">
        <v>2666</v>
      </c>
      <c r="D200" t="s">
        <v>3802</v>
      </c>
      <c r="E200" t="s">
        <v>4204</v>
      </c>
      <c r="F200" s="571">
        <v>50</v>
      </c>
    </row>
    <row r="201" spans="1:6">
      <c r="A201" t="s">
        <v>3804</v>
      </c>
      <c r="B201" t="s">
        <v>2676</v>
      </c>
      <c r="C201" t="s">
        <v>2666</v>
      </c>
      <c r="D201" t="s">
        <v>3805</v>
      </c>
      <c r="E201" t="s">
        <v>4203</v>
      </c>
      <c r="F201" s="571">
        <v>151.03</v>
      </c>
    </row>
    <row r="202" spans="1:6">
      <c r="A202" t="s">
        <v>3804</v>
      </c>
      <c r="B202" t="s">
        <v>2676</v>
      </c>
      <c r="C202" t="s">
        <v>2666</v>
      </c>
      <c r="D202" t="s">
        <v>3805</v>
      </c>
      <c r="E202" t="s">
        <v>4204</v>
      </c>
      <c r="F202" s="571">
        <v>60.41</v>
      </c>
    </row>
    <row r="203" spans="1:6">
      <c r="A203" t="s">
        <v>3816</v>
      </c>
      <c r="B203" t="s">
        <v>2676</v>
      </c>
      <c r="C203" t="s">
        <v>2666</v>
      </c>
      <c r="D203" t="s">
        <v>3162</v>
      </c>
      <c r="E203" t="s">
        <v>4203</v>
      </c>
      <c r="F203" s="571">
        <v>66.3</v>
      </c>
    </row>
    <row r="204" spans="1:6">
      <c r="A204" t="s">
        <v>3816</v>
      </c>
      <c r="B204" t="s">
        <v>2676</v>
      </c>
      <c r="C204" t="s">
        <v>2666</v>
      </c>
      <c r="D204" t="s">
        <v>3162</v>
      </c>
      <c r="E204" t="s">
        <v>4204</v>
      </c>
      <c r="F204" s="571">
        <v>26.52</v>
      </c>
    </row>
    <row r="205" spans="1:6">
      <c r="A205" t="s">
        <v>3824</v>
      </c>
      <c r="B205" t="s">
        <v>2676</v>
      </c>
      <c r="C205" t="s">
        <v>3825</v>
      </c>
      <c r="D205" t="s">
        <v>2720</v>
      </c>
      <c r="E205" t="s">
        <v>4203</v>
      </c>
      <c r="F205" s="571">
        <v>35.71</v>
      </c>
    </row>
    <row r="206" spans="1:6">
      <c r="A206" t="s">
        <v>3824</v>
      </c>
      <c r="B206" t="s">
        <v>2676</v>
      </c>
      <c r="C206" t="s">
        <v>3825</v>
      </c>
      <c r="D206" t="s">
        <v>2720</v>
      </c>
      <c r="E206" t="s">
        <v>4204</v>
      </c>
      <c r="F206" s="571">
        <v>14.29</v>
      </c>
    </row>
    <row r="207" spans="1:6">
      <c r="A207" t="s">
        <v>3829</v>
      </c>
      <c r="B207" t="s">
        <v>2676</v>
      </c>
      <c r="C207" t="s">
        <v>2666</v>
      </c>
      <c r="D207" t="s">
        <v>3830</v>
      </c>
      <c r="E207" t="s">
        <v>4203</v>
      </c>
      <c r="F207" s="571">
        <v>1919.55</v>
      </c>
    </row>
    <row r="208" spans="1:6">
      <c r="A208" t="s">
        <v>3829</v>
      </c>
      <c r="B208" t="s">
        <v>2676</v>
      </c>
      <c r="C208" t="s">
        <v>2666</v>
      </c>
      <c r="D208" t="s">
        <v>3830</v>
      </c>
      <c r="E208" t="s">
        <v>4204</v>
      </c>
      <c r="F208" s="571">
        <v>383.91</v>
      </c>
    </row>
    <row r="209" spans="1:6">
      <c r="A209" t="s">
        <v>3835</v>
      </c>
      <c r="B209" t="s">
        <v>2676</v>
      </c>
      <c r="C209" t="s">
        <v>2666</v>
      </c>
      <c r="D209" t="s">
        <v>2864</v>
      </c>
      <c r="E209" t="s">
        <v>4203</v>
      </c>
      <c r="F209" s="571">
        <v>300</v>
      </c>
    </row>
    <row r="210" spans="1:6">
      <c r="A210" t="s">
        <v>3835</v>
      </c>
      <c r="B210" t="s">
        <v>2676</v>
      </c>
      <c r="C210" t="s">
        <v>2666</v>
      </c>
      <c r="D210" t="s">
        <v>2864</v>
      </c>
      <c r="E210" t="s">
        <v>4204</v>
      </c>
      <c r="F210" s="571">
        <v>200</v>
      </c>
    </row>
    <row r="211" spans="1:6">
      <c r="A211" t="s">
        <v>3836</v>
      </c>
      <c r="B211" t="s">
        <v>2676</v>
      </c>
      <c r="C211" t="s">
        <v>3837</v>
      </c>
      <c r="D211" t="s">
        <v>2739</v>
      </c>
      <c r="E211" t="s">
        <v>4203</v>
      </c>
      <c r="F211" s="571">
        <v>167.86</v>
      </c>
    </row>
    <row r="212" spans="1:6">
      <c r="A212" t="s">
        <v>3836</v>
      </c>
      <c r="B212" t="s">
        <v>2676</v>
      </c>
      <c r="C212" t="s">
        <v>3837</v>
      </c>
      <c r="D212" t="s">
        <v>2739</v>
      </c>
      <c r="E212" t="s">
        <v>4204</v>
      </c>
      <c r="F212" s="571">
        <v>33.57</v>
      </c>
    </row>
    <row r="213" spans="1:6">
      <c r="A213" t="s">
        <v>3839</v>
      </c>
      <c r="B213" t="s">
        <v>2676</v>
      </c>
      <c r="C213" t="s">
        <v>3840</v>
      </c>
      <c r="D213" t="s">
        <v>3841</v>
      </c>
      <c r="E213" t="s">
        <v>4203</v>
      </c>
      <c r="F213" s="571">
        <v>1339.29</v>
      </c>
    </row>
    <row r="214" spans="1:6">
      <c r="A214" t="s">
        <v>3839</v>
      </c>
      <c r="B214" t="s">
        <v>2676</v>
      </c>
      <c r="C214" t="s">
        <v>3840</v>
      </c>
      <c r="D214" t="s">
        <v>3841</v>
      </c>
      <c r="E214" t="s">
        <v>4204</v>
      </c>
      <c r="F214" s="571">
        <v>535.71</v>
      </c>
    </row>
    <row r="215" spans="1:6">
      <c r="A215" t="s">
        <v>3843</v>
      </c>
      <c r="B215" t="s">
        <v>2676</v>
      </c>
      <c r="C215" t="s">
        <v>2666</v>
      </c>
      <c r="D215" t="s">
        <v>3844</v>
      </c>
      <c r="E215" t="s">
        <v>4203</v>
      </c>
      <c r="F215" s="571">
        <v>214.06</v>
      </c>
    </row>
    <row r="216" spans="1:6">
      <c r="A216" t="s">
        <v>3843</v>
      </c>
      <c r="B216" t="s">
        <v>2676</v>
      </c>
      <c r="C216" t="s">
        <v>2666</v>
      </c>
      <c r="D216" t="s">
        <v>3844</v>
      </c>
      <c r="E216" t="s">
        <v>4204</v>
      </c>
      <c r="F216" s="571">
        <v>85.63</v>
      </c>
    </row>
    <row r="217" spans="1:6">
      <c r="A217" t="s">
        <v>3856</v>
      </c>
      <c r="B217" t="s">
        <v>2676</v>
      </c>
      <c r="C217" t="s">
        <v>3857</v>
      </c>
      <c r="D217" t="s">
        <v>3858</v>
      </c>
      <c r="E217" t="s">
        <v>4203</v>
      </c>
      <c r="F217" s="571">
        <v>156.25</v>
      </c>
    </row>
    <row r="218" spans="1:6">
      <c r="A218" t="s">
        <v>3856</v>
      </c>
      <c r="B218" t="s">
        <v>2676</v>
      </c>
      <c r="C218" t="s">
        <v>3857</v>
      </c>
      <c r="D218" t="s">
        <v>3858</v>
      </c>
      <c r="E218" t="s">
        <v>4204</v>
      </c>
      <c r="F218" s="571">
        <v>62.5</v>
      </c>
    </row>
    <row r="219" spans="1:6">
      <c r="A219" t="s">
        <v>3863</v>
      </c>
      <c r="B219" t="s">
        <v>2676</v>
      </c>
      <c r="C219" t="s">
        <v>3864</v>
      </c>
      <c r="D219" t="s">
        <v>3609</v>
      </c>
      <c r="E219" t="s">
        <v>4203</v>
      </c>
      <c r="F219" s="571">
        <v>351.47</v>
      </c>
    </row>
    <row r="220" spans="1:6">
      <c r="A220" t="s">
        <v>3863</v>
      </c>
      <c r="B220" t="s">
        <v>2676</v>
      </c>
      <c r="C220" t="s">
        <v>3864</v>
      </c>
      <c r="D220" t="s">
        <v>3609</v>
      </c>
      <c r="E220" t="s">
        <v>4204</v>
      </c>
      <c r="F220" s="571">
        <v>140.59</v>
      </c>
    </row>
    <row r="221" spans="1:6">
      <c r="A221" t="s">
        <v>3866</v>
      </c>
      <c r="B221" t="s">
        <v>2676</v>
      </c>
      <c r="C221" t="s">
        <v>3867</v>
      </c>
      <c r="D221" t="s">
        <v>3269</v>
      </c>
      <c r="E221" t="s">
        <v>4203</v>
      </c>
      <c r="F221" s="571">
        <v>491.07</v>
      </c>
    </row>
    <row r="222" spans="1:6">
      <c r="A222" t="s">
        <v>3866</v>
      </c>
      <c r="B222" t="s">
        <v>2676</v>
      </c>
      <c r="C222" t="s">
        <v>3867</v>
      </c>
      <c r="D222" t="s">
        <v>3269</v>
      </c>
      <c r="E222" t="s">
        <v>4204</v>
      </c>
      <c r="F222" s="571">
        <v>196.43</v>
      </c>
    </row>
    <row r="223" spans="1:6">
      <c r="A223" t="s">
        <v>3869</v>
      </c>
      <c r="B223" t="s">
        <v>2676</v>
      </c>
      <c r="C223" t="s">
        <v>2666</v>
      </c>
      <c r="D223" t="s">
        <v>2775</v>
      </c>
      <c r="E223" t="s">
        <v>4203</v>
      </c>
      <c r="F223" s="571">
        <v>22.68</v>
      </c>
    </row>
    <row r="224" spans="1:6">
      <c r="A224" t="s">
        <v>3869</v>
      </c>
      <c r="B224" t="s">
        <v>2676</v>
      </c>
      <c r="C224" t="s">
        <v>2666</v>
      </c>
      <c r="D224" t="s">
        <v>2775</v>
      </c>
      <c r="E224" t="s">
        <v>4204</v>
      </c>
      <c r="F224" s="571">
        <v>4.54</v>
      </c>
    </row>
    <row r="225" spans="1:6">
      <c r="A225" t="s">
        <v>3871</v>
      </c>
      <c r="B225" t="s">
        <v>2676</v>
      </c>
      <c r="C225" t="s">
        <v>2666</v>
      </c>
      <c r="D225" t="s">
        <v>3844</v>
      </c>
      <c r="E225" t="s">
        <v>4203</v>
      </c>
      <c r="F225" s="571">
        <v>214.06</v>
      </c>
    </row>
    <row r="226" spans="1:6">
      <c r="A226" t="s">
        <v>3871</v>
      </c>
      <c r="B226" t="s">
        <v>2676</v>
      </c>
      <c r="C226" t="s">
        <v>2666</v>
      </c>
      <c r="D226" t="s">
        <v>3844</v>
      </c>
      <c r="E226" t="s">
        <v>4204</v>
      </c>
      <c r="F226" s="571">
        <v>85.63</v>
      </c>
    </row>
    <row r="227" spans="1:6">
      <c r="A227" t="s">
        <v>3873</v>
      </c>
      <c r="B227" t="s">
        <v>2676</v>
      </c>
      <c r="C227" t="s">
        <v>2666</v>
      </c>
      <c r="D227" t="s">
        <v>2782</v>
      </c>
      <c r="E227" t="s">
        <v>4203</v>
      </c>
      <c r="F227" s="571">
        <v>1227.68</v>
      </c>
    </row>
    <row r="228" spans="1:6">
      <c r="A228" t="s">
        <v>3873</v>
      </c>
      <c r="B228" t="s">
        <v>2676</v>
      </c>
      <c r="C228" t="s">
        <v>2666</v>
      </c>
      <c r="D228" t="s">
        <v>2782</v>
      </c>
      <c r="E228" t="s">
        <v>4204</v>
      </c>
      <c r="F228" s="571">
        <v>491.07</v>
      </c>
    </row>
    <row r="229" spans="1:6">
      <c r="A229" t="s">
        <v>3875</v>
      </c>
      <c r="B229" t="s">
        <v>2676</v>
      </c>
      <c r="C229" t="s">
        <v>3876</v>
      </c>
      <c r="D229" t="s">
        <v>3877</v>
      </c>
      <c r="E229" t="s">
        <v>4203</v>
      </c>
      <c r="F229" s="571">
        <v>43596.43</v>
      </c>
    </row>
    <row r="230" spans="1:6">
      <c r="A230" t="s">
        <v>3875</v>
      </c>
      <c r="B230" t="s">
        <v>2676</v>
      </c>
      <c r="C230" t="s">
        <v>3876</v>
      </c>
      <c r="D230" t="s">
        <v>3877</v>
      </c>
      <c r="E230" t="s">
        <v>4204</v>
      </c>
      <c r="F230" s="571">
        <v>8719.2900000000009</v>
      </c>
    </row>
    <row r="231" spans="1:6">
      <c r="A231" t="s">
        <v>3879</v>
      </c>
      <c r="B231" t="s">
        <v>2676</v>
      </c>
      <c r="C231" t="s">
        <v>2666</v>
      </c>
      <c r="D231" t="s">
        <v>3880</v>
      </c>
      <c r="E231" t="s">
        <v>4203</v>
      </c>
      <c r="F231" s="571">
        <v>273.60000000000002</v>
      </c>
    </row>
    <row r="232" spans="1:6">
      <c r="A232" t="s">
        <v>3879</v>
      </c>
      <c r="B232" t="s">
        <v>2676</v>
      </c>
      <c r="C232" t="s">
        <v>2666</v>
      </c>
      <c r="D232" t="s">
        <v>3880</v>
      </c>
      <c r="E232" t="s">
        <v>4204</v>
      </c>
      <c r="F232" s="571">
        <v>91.2</v>
      </c>
    </row>
    <row r="233" spans="1:6">
      <c r="A233" t="s">
        <v>3885</v>
      </c>
      <c r="B233" t="s">
        <v>2676</v>
      </c>
      <c r="C233" t="s">
        <v>3886</v>
      </c>
      <c r="D233" t="s">
        <v>2775</v>
      </c>
      <c r="E233" t="s">
        <v>4203</v>
      </c>
      <c r="F233" s="571">
        <v>282.14</v>
      </c>
    </row>
    <row r="234" spans="1:6">
      <c r="A234" t="s">
        <v>3885</v>
      </c>
      <c r="B234" t="s">
        <v>2676</v>
      </c>
      <c r="C234" t="s">
        <v>3886</v>
      </c>
      <c r="D234" t="s">
        <v>2775</v>
      </c>
      <c r="E234" t="s">
        <v>4204</v>
      </c>
      <c r="F234" s="571">
        <v>56.43</v>
      </c>
    </row>
    <row r="235" spans="1:6">
      <c r="A235" t="s">
        <v>3888</v>
      </c>
      <c r="B235" t="s">
        <v>2676</v>
      </c>
      <c r="C235" t="s">
        <v>3889</v>
      </c>
      <c r="D235" t="s">
        <v>3890</v>
      </c>
      <c r="E235" t="s">
        <v>4203</v>
      </c>
      <c r="F235" s="571">
        <v>84</v>
      </c>
    </row>
    <row r="236" spans="1:6">
      <c r="A236" t="s">
        <v>3888</v>
      </c>
      <c r="B236" t="s">
        <v>2676</v>
      </c>
      <c r="C236" t="s">
        <v>3889</v>
      </c>
      <c r="D236" t="s">
        <v>3890</v>
      </c>
      <c r="E236" t="s">
        <v>4204</v>
      </c>
      <c r="F236" s="571">
        <v>28</v>
      </c>
    </row>
    <row r="237" spans="1:6">
      <c r="A237" t="s">
        <v>3892</v>
      </c>
      <c r="B237" t="s">
        <v>2676</v>
      </c>
      <c r="C237" t="s">
        <v>3893</v>
      </c>
      <c r="D237" t="s">
        <v>2882</v>
      </c>
      <c r="E237" t="s">
        <v>4203</v>
      </c>
      <c r="F237" s="571">
        <v>74.58</v>
      </c>
    </row>
    <row r="238" spans="1:6">
      <c r="A238" t="s">
        <v>3892</v>
      </c>
      <c r="B238" t="s">
        <v>2676</v>
      </c>
      <c r="C238" t="s">
        <v>3893</v>
      </c>
      <c r="D238" t="s">
        <v>2882</v>
      </c>
      <c r="E238" t="s">
        <v>4204</v>
      </c>
      <c r="F238" s="571">
        <v>24.86</v>
      </c>
    </row>
    <row r="239" spans="1:6">
      <c r="A239" t="s">
        <v>3895</v>
      </c>
      <c r="B239" t="s">
        <v>2676</v>
      </c>
      <c r="C239" t="s">
        <v>3896</v>
      </c>
      <c r="D239" t="s">
        <v>2731</v>
      </c>
      <c r="E239" t="s">
        <v>4203</v>
      </c>
      <c r="F239" s="571">
        <v>53.57</v>
      </c>
    </row>
    <row r="240" spans="1:6">
      <c r="A240" t="s">
        <v>3895</v>
      </c>
      <c r="B240" t="s">
        <v>2676</v>
      </c>
      <c r="C240" t="s">
        <v>3896</v>
      </c>
      <c r="D240" t="s">
        <v>2731</v>
      </c>
      <c r="E240" t="s">
        <v>4204</v>
      </c>
      <c r="F240" s="571">
        <v>21.43</v>
      </c>
    </row>
    <row r="241" spans="1:6">
      <c r="A241" t="s">
        <v>3903</v>
      </c>
      <c r="B241" t="s">
        <v>2676</v>
      </c>
      <c r="C241" t="s">
        <v>3904</v>
      </c>
      <c r="D241" t="s">
        <v>2731</v>
      </c>
      <c r="E241" t="s">
        <v>4203</v>
      </c>
      <c r="F241" s="571">
        <v>53.57</v>
      </c>
    </row>
    <row r="242" spans="1:6">
      <c r="A242" t="s">
        <v>3903</v>
      </c>
      <c r="B242" t="s">
        <v>2676</v>
      </c>
      <c r="C242" t="s">
        <v>3904</v>
      </c>
      <c r="D242" t="s">
        <v>2731</v>
      </c>
      <c r="E242" t="s">
        <v>4204</v>
      </c>
      <c r="F242" s="571">
        <v>21.43</v>
      </c>
    </row>
    <row r="243" spans="1:6">
      <c r="A243" t="s">
        <v>3906</v>
      </c>
      <c r="B243" t="s">
        <v>2676</v>
      </c>
      <c r="C243" t="s">
        <v>3907</v>
      </c>
      <c r="D243" t="s">
        <v>2811</v>
      </c>
      <c r="E243" t="s">
        <v>4203</v>
      </c>
      <c r="F243" s="571">
        <v>822.37</v>
      </c>
    </row>
    <row r="244" spans="1:6">
      <c r="A244" t="s">
        <v>3906</v>
      </c>
      <c r="B244" t="s">
        <v>2676</v>
      </c>
      <c r="C244" t="s">
        <v>3907</v>
      </c>
      <c r="D244" t="s">
        <v>2811</v>
      </c>
      <c r="E244" t="s">
        <v>4204</v>
      </c>
      <c r="F244" s="571">
        <v>164.47</v>
      </c>
    </row>
    <row r="245" spans="1:6">
      <c r="A245" t="s">
        <v>3914</v>
      </c>
      <c r="B245" t="s">
        <v>2676</v>
      </c>
      <c r="C245" t="s">
        <v>3915</v>
      </c>
      <c r="D245" t="s">
        <v>2731</v>
      </c>
      <c r="E245" t="s">
        <v>4203</v>
      </c>
      <c r="F245" s="571">
        <v>240.66</v>
      </c>
    </row>
    <row r="246" spans="1:6">
      <c r="A246" t="s">
        <v>3914</v>
      </c>
      <c r="B246" t="s">
        <v>2676</v>
      </c>
      <c r="C246" t="s">
        <v>3915</v>
      </c>
      <c r="D246" t="s">
        <v>2731</v>
      </c>
      <c r="E246" t="s">
        <v>4204</v>
      </c>
      <c r="F246" s="571">
        <v>96.26</v>
      </c>
    </row>
    <row r="247" spans="1:6">
      <c r="A247" t="s">
        <v>3917</v>
      </c>
      <c r="B247" t="s">
        <v>2676</v>
      </c>
      <c r="C247" t="s">
        <v>3918</v>
      </c>
      <c r="D247" t="s">
        <v>2720</v>
      </c>
      <c r="E247" t="s">
        <v>4203</v>
      </c>
      <c r="F247" s="571">
        <v>41.07</v>
      </c>
    </row>
    <row r="248" spans="1:6">
      <c r="A248" t="s">
        <v>3917</v>
      </c>
      <c r="B248" t="s">
        <v>2676</v>
      </c>
      <c r="C248" t="s">
        <v>3918</v>
      </c>
      <c r="D248" t="s">
        <v>2720</v>
      </c>
      <c r="E248" t="s">
        <v>4204</v>
      </c>
      <c r="F248" s="571">
        <v>16.43</v>
      </c>
    </row>
    <row r="249" spans="1:6">
      <c r="A249" t="s">
        <v>3920</v>
      </c>
      <c r="B249" t="s">
        <v>2676</v>
      </c>
      <c r="C249" t="s">
        <v>2666</v>
      </c>
      <c r="D249" t="s">
        <v>3921</v>
      </c>
      <c r="E249" t="s">
        <v>4203</v>
      </c>
      <c r="F249" s="571">
        <v>30</v>
      </c>
    </row>
    <row r="250" spans="1:6">
      <c r="A250" t="s">
        <v>3920</v>
      </c>
      <c r="B250" t="s">
        <v>2676</v>
      </c>
      <c r="C250" t="s">
        <v>2666</v>
      </c>
      <c r="D250" t="s">
        <v>3921</v>
      </c>
      <c r="E250" t="s">
        <v>4204</v>
      </c>
      <c r="F250" s="571">
        <v>20</v>
      </c>
    </row>
    <row r="251" spans="1:6">
      <c r="A251" t="s">
        <v>3923</v>
      </c>
      <c r="B251" t="s">
        <v>2676</v>
      </c>
      <c r="C251" t="s">
        <v>2666</v>
      </c>
      <c r="D251" t="s">
        <v>3924</v>
      </c>
      <c r="E251" t="s">
        <v>4203</v>
      </c>
      <c r="F251" s="571">
        <v>30</v>
      </c>
    </row>
    <row r="252" spans="1:6">
      <c r="A252" t="s">
        <v>3923</v>
      </c>
      <c r="B252" t="s">
        <v>2676</v>
      </c>
      <c r="C252" t="s">
        <v>2666</v>
      </c>
      <c r="D252" t="s">
        <v>3924</v>
      </c>
      <c r="E252" t="s">
        <v>4204</v>
      </c>
      <c r="F252" s="571">
        <v>20</v>
      </c>
    </row>
    <row r="253" spans="1:6">
      <c r="A253" t="s">
        <v>3925</v>
      </c>
      <c r="B253" t="s">
        <v>2676</v>
      </c>
      <c r="C253" t="s">
        <v>2666</v>
      </c>
      <c r="D253" t="s">
        <v>2807</v>
      </c>
      <c r="E253" t="s">
        <v>4203</v>
      </c>
      <c r="F253" s="571">
        <v>300</v>
      </c>
    </row>
    <row r="254" spans="1:6">
      <c r="A254" t="s">
        <v>3925</v>
      </c>
      <c r="B254" t="s">
        <v>2676</v>
      </c>
      <c r="C254" t="s">
        <v>2666</v>
      </c>
      <c r="D254" t="s">
        <v>2807</v>
      </c>
      <c r="E254" t="s">
        <v>4204</v>
      </c>
      <c r="F254" s="571">
        <v>200</v>
      </c>
    </row>
    <row r="255" spans="1:6">
      <c r="A255" t="s">
        <v>3926</v>
      </c>
      <c r="B255" t="s">
        <v>2676</v>
      </c>
      <c r="C255" t="s">
        <v>2666</v>
      </c>
      <c r="D255" t="s">
        <v>3927</v>
      </c>
      <c r="E255" t="s">
        <v>4203</v>
      </c>
      <c r="F255" s="571">
        <v>30</v>
      </c>
    </row>
    <row r="256" spans="1:6">
      <c r="A256" t="s">
        <v>3926</v>
      </c>
      <c r="B256" t="s">
        <v>2676</v>
      </c>
      <c r="C256" t="s">
        <v>2666</v>
      </c>
      <c r="D256" t="s">
        <v>3927</v>
      </c>
      <c r="E256" t="s">
        <v>4204</v>
      </c>
      <c r="F256" s="571">
        <v>20</v>
      </c>
    </row>
    <row r="257" spans="1:6">
      <c r="A257" t="s">
        <v>3928</v>
      </c>
      <c r="B257" t="s">
        <v>2676</v>
      </c>
      <c r="C257" t="s">
        <v>3929</v>
      </c>
      <c r="D257" t="s">
        <v>2739</v>
      </c>
      <c r="E257" t="s">
        <v>4203</v>
      </c>
      <c r="F257" s="571">
        <v>607.14</v>
      </c>
    </row>
    <row r="258" spans="1:6">
      <c r="A258" t="s">
        <v>3928</v>
      </c>
      <c r="B258" t="s">
        <v>2676</v>
      </c>
      <c r="C258" t="s">
        <v>3929</v>
      </c>
      <c r="D258" t="s">
        <v>2739</v>
      </c>
      <c r="E258" t="s">
        <v>4204</v>
      </c>
      <c r="F258" s="571">
        <v>121.43</v>
      </c>
    </row>
    <row r="259" spans="1:6">
      <c r="A259" t="s">
        <v>3938</v>
      </c>
      <c r="B259" t="s">
        <v>2676</v>
      </c>
      <c r="C259" t="s">
        <v>3939</v>
      </c>
      <c r="D259" t="s">
        <v>2746</v>
      </c>
      <c r="E259" t="s">
        <v>4203</v>
      </c>
      <c r="F259" s="571">
        <v>1419.64</v>
      </c>
    </row>
    <row r="260" spans="1:6">
      <c r="A260" t="s">
        <v>3938</v>
      </c>
      <c r="B260" t="s">
        <v>2676</v>
      </c>
      <c r="C260" t="s">
        <v>3939</v>
      </c>
      <c r="D260" t="s">
        <v>2746</v>
      </c>
      <c r="E260" t="s">
        <v>4204</v>
      </c>
      <c r="F260" s="571">
        <v>567.86</v>
      </c>
    </row>
    <row r="261" spans="1:6">
      <c r="A261" t="s">
        <v>3941</v>
      </c>
      <c r="B261" t="s">
        <v>2676</v>
      </c>
      <c r="C261" t="s">
        <v>3942</v>
      </c>
      <c r="D261" t="s">
        <v>2720</v>
      </c>
      <c r="E261" t="s">
        <v>4203</v>
      </c>
      <c r="F261" s="571">
        <v>21.43</v>
      </c>
    </row>
    <row r="262" spans="1:6">
      <c r="A262" t="s">
        <v>3941</v>
      </c>
      <c r="B262" t="s">
        <v>2676</v>
      </c>
      <c r="C262" t="s">
        <v>3942</v>
      </c>
      <c r="D262" t="s">
        <v>2720</v>
      </c>
      <c r="E262" t="s">
        <v>4204</v>
      </c>
      <c r="F262" s="571">
        <v>8.57</v>
      </c>
    </row>
    <row r="263" spans="1:6">
      <c r="A263" t="s">
        <v>3991</v>
      </c>
      <c r="B263" t="s">
        <v>2676</v>
      </c>
      <c r="C263" t="s">
        <v>2666</v>
      </c>
      <c r="D263" t="s">
        <v>2731</v>
      </c>
      <c r="E263" t="s">
        <v>4203</v>
      </c>
      <c r="F263" s="571">
        <v>76.14</v>
      </c>
    </row>
    <row r="264" spans="1:6">
      <c r="A264" t="s">
        <v>3991</v>
      </c>
      <c r="B264" t="s">
        <v>2676</v>
      </c>
      <c r="C264" t="s">
        <v>2666</v>
      </c>
      <c r="D264" t="s">
        <v>2731</v>
      </c>
      <c r="E264" t="s">
        <v>4204</v>
      </c>
      <c r="F264" s="571">
        <v>30.46</v>
      </c>
    </row>
    <row r="265" spans="1:6">
      <c r="A265" t="s">
        <v>3993</v>
      </c>
      <c r="B265" t="s">
        <v>2676</v>
      </c>
      <c r="C265" t="s">
        <v>2666</v>
      </c>
      <c r="D265" t="s">
        <v>2731</v>
      </c>
      <c r="E265" t="s">
        <v>4203</v>
      </c>
      <c r="F265" s="571">
        <v>85.84</v>
      </c>
    </row>
    <row r="266" spans="1:6">
      <c r="A266" t="s">
        <v>3993</v>
      </c>
      <c r="B266" t="s">
        <v>2676</v>
      </c>
      <c r="C266" t="s">
        <v>2666</v>
      </c>
      <c r="D266" t="s">
        <v>2731</v>
      </c>
      <c r="E266" t="s">
        <v>4204</v>
      </c>
      <c r="F266" s="571">
        <v>34.340000000000003</v>
      </c>
    </row>
    <row r="267" spans="1:6">
      <c r="A267" t="s">
        <v>4004</v>
      </c>
      <c r="B267" t="s">
        <v>2676</v>
      </c>
      <c r="C267" t="s">
        <v>2666</v>
      </c>
      <c r="D267" t="s">
        <v>2775</v>
      </c>
      <c r="E267" t="s">
        <v>4203</v>
      </c>
      <c r="F267" s="571">
        <v>51.03</v>
      </c>
    </row>
    <row r="268" spans="1:6">
      <c r="A268" t="s">
        <v>4004</v>
      </c>
      <c r="B268" t="s">
        <v>2676</v>
      </c>
      <c r="C268" t="s">
        <v>2666</v>
      </c>
      <c r="D268" t="s">
        <v>2775</v>
      </c>
      <c r="E268" t="s">
        <v>4204</v>
      </c>
      <c r="F268" s="571">
        <v>10.210000000000001</v>
      </c>
    </row>
    <row r="269" spans="1:6">
      <c r="A269" t="s">
        <v>4006</v>
      </c>
      <c r="B269" t="s">
        <v>2676</v>
      </c>
      <c r="C269" t="s">
        <v>2666</v>
      </c>
      <c r="D269" t="s">
        <v>3586</v>
      </c>
      <c r="E269" t="s">
        <v>4203</v>
      </c>
      <c r="F269" s="571">
        <v>781.25</v>
      </c>
    </row>
    <row r="270" spans="1:6">
      <c r="A270" t="s">
        <v>4006</v>
      </c>
      <c r="B270" t="s">
        <v>2676</v>
      </c>
      <c r="C270" t="s">
        <v>2666</v>
      </c>
      <c r="D270" t="s">
        <v>3586</v>
      </c>
      <c r="E270" t="s">
        <v>4204</v>
      </c>
      <c r="F270" s="571">
        <v>156.25</v>
      </c>
    </row>
    <row r="271" spans="1:6">
      <c r="A271" t="s">
        <v>4026</v>
      </c>
      <c r="B271" t="s">
        <v>2676</v>
      </c>
      <c r="C271" t="s">
        <v>4027</v>
      </c>
      <c r="D271" t="s">
        <v>2731</v>
      </c>
      <c r="E271" t="s">
        <v>4203</v>
      </c>
      <c r="F271" s="571">
        <v>53.57</v>
      </c>
    </row>
    <row r="272" spans="1:6">
      <c r="A272" t="s">
        <v>4026</v>
      </c>
      <c r="B272" t="s">
        <v>2676</v>
      </c>
      <c r="C272" t="s">
        <v>4027</v>
      </c>
      <c r="D272" t="s">
        <v>2731</v>
      </c>
      <c r="E272" t="s">
        <v>4204</v>
      </c>
      <c r="F272" s="571">
        <v>21.43</v>
      </c>
    </row>
    <row r="273" spans="1:6">
      <c r="A273" t="s">
        <v>4029</v>
      </c>
      <c r="B273" t="s">
        <v>2676</v>
      </c>
      <c r="C273" t="s">
        <v>4030</v>
      </c>
      <c r="D273" t="s">
        <v>4031</v>
      </c>
      <c r="E273" t="s">
        <v>4203</v>
      </c>
      <c r="F273" s="571">
        <v>892.86</v>
      </c>
    </row>
    <row r="274" spans="1:6">
      <c r="A274" t="s">
        <v>4029</v>
      </c>
      <c r="B274" t="s">
        <v>2676</v>
      </c>
      <c r="C274" t="s">
        <v>4030</v>
      </c>
      <c r="D274" t="s">
        <v>4031</v>
      </c>
      <c r="E274" t="s">
        <v>4204</v>
      </c>
      <c r="F274" s="571">
        <v>357.14</v>
      </c>
    </row>
    <row r="275" spans="1:6">
      <c r="A275" t="s">
        <v>4033</v>
      </c>
      <c r="B275" t="s">
        <v>2676</v>
      </c>
      <c r="C275" t="s">
        <v>4034</v>
      </c>
      <c r="D275" t="s">
        <v>4035</v>
      </c>
      <c r="E275" t="s">
        <v>4203</v>
      </c>
      <c r="F275" s="571">
        <v>3392.86</v>
      </c>
    </row>
    <row r="276" spans="1:6">
      <c r="A276" t="s">
        <v>4033</v>
      </c>
      <c r="B276" t="s">
        <v>2676</v>
      </c>
      <c r="C276" t="s">
        <v>4034</v>
      </c>
      <c r="D276" t="s">
        <v>4035</v>
      </c>
      <c r="E276" t="s">
        <v>4204</v>
      </c>
      <c r="F276" s="571">
        <v>678.57</v>
      </c>
    </row>
    <row r="277" spans="1:6">
      <c r="A277" t="s">
        <v>4047</v>
      </c>
      <c r="B277" t="s">
        <v>2676</v>
      </c>
      <c r="C277" t="s">
        <v>4048</v>
      </c>
      <c r="D277" t="s">
        <v>2775</v>
      </c>
      <c r="E277" t="s">
        <v>4203</v>
      </c>
      <c r="F277" s="571">
        <v>120</v>
      </c>
    </row>
    <row r="278" spans="1:6">
      <c r="A278" t="s">
        <v>4047</v>
      </c>
      <c r="B278" t="s">
        <v>2676</v>
      </c>
      <c r="C278" t="s">
        <v>4048</v>
      </c>
      <c r="D278" t="s">
        <v>2775</v>
      </c>
      <c r="E278" t="s">
        <v>4204</v>
      </c>
      <c r="F278" s="571">
        <v>24</v>
      </c>
    </row>
    <row r="279" spans="1:6">
      <c r="A279" t="s">
        <v>4050</v>
      </c>
      <c r="B279" t="s">
        <v>2676</v>
      </c>
      <c r="C279" t="s">
        <v>4051</v>
      </c>
      <c r="D279" t="s">
        <v>3598</v>
      </c>
      <c r="E279" t="s">
        <v>4203</v>
      </c>
      <c r="F279" s="571">
        <v>111.61</v>
      </c>
    </row>
    <row r="280" spans="1:6">
      <c r="A280" t="s">
        <v>4050</v>
      </c>
      <c r="B280" t="s">
        <v>2676</v>
      </c>
      <c r="C280" t="s">
        <v>4051</v>
      </c>
      <c r="D280" t="s">
        <v>3598</v>
      </c>
      <c r="E280" t="s">
        <v>4204</v>
      </c>
      <c r="F280" s="571">
        <v>22.32</v>
      </c>
    </row>
    <row r="281" spans="1:6">
      <c r="A281" t="s">
        <v>4053</v>
      </c>
      <c r="B281" t="s">
        <v>2676</v>
      </c>
      <c r="C281" t="s">
        <v>4054</v>
      </c>
      <c r="D281" t="s">
        <v>2720</v>
      </c>
      <c r="E281" t="s">
        <v>4203</v>
      </c>
      <c r="F281" s="571">
        <v>28.57</v>
      </c>
    </row>
    <row r="282" spans="1:6">
      <c r="A282" t="s">
        <v>4053</v>
      </c>
      <c r="B282" t="s">
        <v>2676</v>
      </c>
      <c r="C282" t="s">
        <v>4054</v>
      </c>
      <c r="D282" t="s">
        <v>2720</v>
      </c>
      <c r="E282" t="s">
        <v>4204</v>
      </c>
      <c r="F282" s="571">
        <v>11.29</v>
      </c>
    </row>
    <row r="283" spans="1:6">
      <c r="A283" t="s">
        <v>4056</v>
      </c>
      <c r="B283" t="s">
        <v>2676</v>
      </c>
      <c r="C283" t="s">
        <v>4057</v>
      </c>
      <c r="D283" t="s">
        <v>4058</v>
      </c>
      <c r="E283" t="s">
        <v>4203</v>
      </c>
      <c r="F283" s="571">
        <v>995.4</v>
      </c>
    </row>
    <row r="284" spans="1:6">
      <c r="A284" t="s">
        <v>4056</v>
      </c>
      <c r="B284" t="s">
        <v>2676</v>
      </c>
      <c r="C284" t="s">
        <v>4057</v>
      </c>
      <c r="D284" t="s">
        <v>4058</v>
      </c>
      <c r="E284" t="s">
        <v>4204</v>
      </c>
      <c r="F284" s="571">
        <v>663.6</v>
      </c>
    </row>
    <row r="285" spans="1:6">
      <c r="A285" t="s">
        <v>4060</v>
      </c>
      <c r="B285" t="s">
        <v>2676</v>
      </c>
      <c r="C285" t="s">
        <v>2666</v>
      </c>
      <c r="D285" t="s">
        <v>2751</v>
      </c>
      <c r="E285" t="s">
        <v>4203</v>
      </c>
      <c r="F285" s="571">
        <v>523.19999999999993</v>
      </c>
    </row>
    <row r="286" spans="1:6">
      <c r="A286" t="s">
        <v>4060</v>
      </c>
      <c r="B286" t="s">
        <v>2676</v>
      </c>
      <c r="C286" t="s">
        <v>2666</v>
      </c>
      <c r="D286" t="s">
        <v>2751</v>
      </c>
      <c r="E286" t="s">
        <v>4204</v>
      </c>
      <c r="F286" s="571">
        <v>174.4</v>
      </c>
    </row>
    <row r="287" spans="1:6">
      <c r="A287" t="s">
        <v>4093</v>
      </c>
      <c r="B287" t="s">
        <v>2676</v>
      </c>
      <c r="C287" t="s">
        <v>4094</v>
      </c>
      <c r="D287" t="s">
        <v>4095</v>
      </c>
      <c r="E287" t="s">
        <v>4203</v>
      </c>
      <c r="F287" s="571">
        <v>305.8</v>
      </c>
    </row>
    <row r="288" spans="1:6">
      <c r="A288" t="s">
        <v>4093</v>
      </c>
      <c r="B288" t="s">
        <v>2676</v>
      </c>
      <c r="C288" t="s">
        <v>4094</v>
      </c>
      <c r="D288" t="s">
        <v>4095</v>
      </c>
      <c r="E288" t="s">
        <v>4204</v>
      </c>
      <c r="F288" s="571">
        <v>61.16</v>
      </c>
    </row>
    <row r="289" spans="1:6">
      <c r="A289" t="s">
        <v>4110</v>
      </c>
      <c r="B289" t="s">
        <v>2676</v>
      </c>
      <c r="C289" t="s">
        <v>4111</v>
      </c>
      <c r="D289" t="s">
        <v>2731</v>
      </c>
      <c r="E289" t="s">
        <v>4203</v>
      </c>
      <c r="F289" s="571">
        <v>111.61</v>
      </c>
    </row>
    <row r="290" spans="1:6">
      <c r="A290" t="s">
        <v>4110</v>
      </c>
      <c r="B290" t="s">
        <v>2676</v>
      </c>
      <c r="C290" t="s">
        <v>4111</v>
      </c>
      <c r="D290" t="s">
        <v>2731</v>
      </c>
      <c r="E290" t="s">
        <v>4204</v>
      </c>
      <c r="F290" s="571">
        <v>44.64</v>
      </c>
    </row>
    <row r="291" spans="1:6">
      <c r="A291" t="s">
        <v>4118</v>
      </c>
      <c r="B291" t="s">
        <v>2676</v>
      </c>
      <c r="C291" t="s">
        <v>4119</v>
      </c>
      <c r="D291" t="s">
        <v>2844</v>
      </c>
      <c r="E291" t="s">
        <v>4203</v>
      </c>
      <c r="F291" s="571">
        <v>7611.67</v>
      </c>
    </row>
    <row r="292" spans="1:6">
      <c r="A292" t="s">
        <v>4118</v>
      </c>
      <c r="B292" t="s">
        <v>2676</v>
      </c>
      <c r="C292" t="s">
        <v>4119</v>
      </c>
      <c r="D292" t="s">
        <v>2844</v>
      </c>
      <c r="E292" t="s">
        <v>4204</v>
      </c>
      <c r="F292" s="571">
        <v>7611.67</v>
      </c>
    </row>
    <row r="293" spans="1:6">
      <c r="A293" t="s">
        <v>4130</v>
      </c>
      <c r="B293" t="s">
        <v>2676</v>
      </c>
      <c r="C293" t="s">
        <v>4131</v>
      </c>
      <c r="D293" t="s">
        <v>2720</v>
      </c>
      <c r="E293" t="s">
        <v>4203</v>
      </c>
      <c r="F293" s="571">
        <v>169.64</v>
      </c>
    </row>
    <row r="294" spans="1:6">
      <c r="A294" t="s">
        <v>4130</v>
      </c>
      <c r="B294" t="s">
        <v>2676</v>
      </c>
      <c r="C294" t="s">
        <v>4131</v>
      </c>
      <c r="D294" t="s">
        <v>2720</v>
      </c>
      <c r="E294" t="s">
        <v>4204</v>
      </c>
      <c r="F294" s="571">
        <v>67.86</v>
      </c>
    </row>
    <row r="295" spans="1:6">
      <c r="A295" t="s">
        <v>4136</v>
      </c>
      <c r="B295" t="s">
        <v>2676</v>
      </c>
      <c r="C295" t="s">
        <v>2666</v>
      </c>
      <c r="D295" t="s">
        <v>4137</v>
      </c>
      <c r="E295" t="s">
        <v>4203</v>
      </c>
      <c r="F295" s="571">
        <v>12480</v>
      </c>
    </row>
    <row r="296" spans="1:6">
      <c r="A296" t="s">
        <v>4136</v>
      </c>
      <c r="B296" t="s">
        <v>2676</v>
      </c>
      <c r="C296" t="s">
        <v>2666</v>
      </c>
      <c r="D296" t="s">
        <v>4137</v>
      </c>
      <c r="E296" t="s">
        <v>4204</v>
      </c>
      <c r="F296" s="571">
        <v>4160</v>
      </c>
    </row>
    <row r="297" spans="1:6">
      <c r="A297" t="s">
        <v>4139</v>
      </c>
      <c r="B297" t="s">
        <v>2676</v>
      </c>
      <c r="C297" t="s">
        <v>2666</v>
      </c>
      <c r="D297" t="s">
        <v>4140</v>
      </c>
      <c r="E297" t="s">
        <v>4203</v>
      </c>
      <c r="F297" s="571">
        <v>25000</v>
      </c>
    </row>
    <row r="298" spans="1:6">
      <c r="A298" t="s">
        <v>4139</v>
      </c>
      <c r="B298" t="s">
        <v>2676</v>
      </c>
      <c r="C298" t="s">
        <v>2666</v>
      </c>
      <c r="D298" t="s">
        <v>4140</v>
      </c>
      <c r="E298" t="s">
        <v>4204</v>
      </c>
      <c r="F298" s="571">
        <v>5000</v>
      </c>
    </row>
    <row r="299" spans="1:6">
      <c r="A299" t="s">
        <v>4188</v>
      </c>
      <c r="B299" t="s">
        <v>2676</v>
      </c>
      <c r="C299" t="s">
        <v>2666</v>
      </c>
      <c r="D299" t="s">
        <v>4189</v>
      </c>
      <c r="E299" t="s">
        <v>4203</v>
      </c>
      <c r="F299" s="571">
        <v>11964.29</v>
      </c>
    </row>
    <row r="300" spans="1:6">
      <c r="A300" t="s">
        <v>4188</v>
      </c>
      <c r="B300" t="s">
        <v>2676</v>
      </c>
      <c r="C300" t="s">
        <v>2666</v>
      </c>
      <c r="D300" t="s">
        <v>4189</v>
      </c>
      <c r="E300" t="s">
        <v>4204</v>
      </c>
      <c r="F300" s="571">
        <v>2392.86</v>
      </c>
    </row>
    <row r="301" spans="1:6">
      <c r="A301" t="s">
        <v>4194</v>
      </c>
      <c r="B301" t="s">
        <v>2676</v>
      </c>
      <c r="C301" t="s">
        <v>4195</v>
      </c>
      <c r="D301" t="s">
        <v>2731</v>
      </c>
      <c r="E301" t="s">
        <v>4203</v>
      </c>
      <c r="F301" s="571">
        <v>156.25</v>
      </c>
    </row>
    <row r="302" spans="1:6">
      <c r="A302" t="s">
        <v>4194</v>
      </c>
      <c r="B302" t="s">
        <v>2676</v>
      </c>
      <c r="C302" t="s">
        <v>4195</v>
      </c>
      <c r="D302" t="s">
        <v>2731</v>
      </c>
      <c r="E302" t="s">
        <v>4204</v>
      </c>
      <c r="F302" s="571">
        <v>62.5</v>
      </c>
    </row>
  </sheetData>
  <autoFilter ref="A2:I302" xr:uid="{00000000-0009-0000-0000-000003000000}"/>
  <mergeCells count="2">
    <mergeCell ref="A1:F1"/>
    <mergeCell ref="G1:H1"/>
  </mergeCells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B0E45-603B-451A-924D-7689DF22E26C}">
  <sheetPr>
    <tabColor rgb="FFFF0000"/>
  </sheetPr>
  <dimension ref="A1:P44"/>
  <sheetViews>
    <sheetView zoomScale="70" zoomScaleNormal="70" workbookViewId="0">
      <pane ySplit="3" topLeftCell="A12" activePane="bottomLeft" state="frozen"/>
      <selection pane="bottomLeft" activeCell="N4" sqref="N4"/>
    </sheetView>
  </sheetViews>
  <sheetFormatPr defaultRowHeight="14.4"/>
  <cols>
    <col min="1" max="1" width="26.88671875" bestFit="1" customWidth="1"/>
    <col min="2" max="2" width="4.109375" style="281" bestFit="1" customWidth="1"/>
    <col min="3" max="3" width="10.44140625" customWidth="1"/>
    <col min="4" max="4" width="15.5546875" bestFit="1" customWidth="1"/>
    <col min="5" max="5" width="16.44140625" bestFit="1" customWidth="1"/>
    <col min="6" max="6" width="11.109375" bestFit="1" customWidth="1"/>
    <col min="7" max="7" width="39.33203125" bestFit="1" customWidth="1"/>
    <col min="8" max="8" width="12.109375" bestFit="1" customWidth="1"/>
    <col min="9" max="9" width="12" customWidth="1"/>
    <col min="10" max="10" width="13.33203125" customWidth="1"/>
    <col min="11" max="11" width="14" customWidth="1"/>
    <col min="12" max="12" width="10.88671875" style="281" customWidth="1"/>
    <col min="13" max="13" width="9.6640625" customWidth="1"/>
    <col min="14" max="14" width="15.109375" style="281" customWidth="1"/>
    <col min="15" max="15" width="40.88671875" bestFit="1" customWidth="1"/>
    <col min="16" max="16" width="14.33203125" style="501" bestFit="1" customWidth="1"/>
  </cols>
  <sheetData>
    <row r="1" spans="1:16">
      <c r="B1" s="520" t="s">
        <v>1641</v>
      </c>
    </row>
    <row r="2" spans="1:16">
      <c r="B2" s="540">
        <v>1</v>
      </c>
      <c r="C2" s="536">
        <v>2</v>
      </c>
      <c r="D2" s="536">
        <v>3</v>
      </c>
      <c r="E2" s="536">
        <v>14</v>
      </c>
      <c r="H2" s="536"/>
      <c r="I2" s="536"/>
      <c r="J2" s="536"/>
      <c r="K2" s="536"/>
      <c r="L2" s="541">
        <v>5</v>
      </c>
      <c r="M2" s="536">
        <v>6</v>
      </c>
      <c r="N2" s="536">
        <v>8</v>
      </c>
      <c r="O2" s="536">
        <v>9</v>
      </c>
      <c r="P2" s="536">
        <v>10</v>
      </c>
    </row>
    <row r="3" spans="1:16" ht="41.25" customHeight="1">
      <c r="B3" s="294" t="s">
        <v>882</v>
      </c>
      <c r="C3" s="294" t="s">
        <v>873</v>
      </c>
      <c r="D3" s="294" t="s">
        <v>882</v>
      </c>
      <c r="E3" s="294" t="s">
        <v>885</v>
      </c>
      <c r="F3" s="294" t="s">
        <v>886</v>
      </c>
      <c r="G3" s="294" t="s">
        <v>930</v>
      </c>
      <c r="H3" s="294" t="s">
        <v>1637</v>
      </c>
      <c r="I3" s="294" t="s">
        <v>1638</v>
      </c>
      <c r="J3" s="294" t="s">
        <v>1639</v>
      </c>
      <c r="K3" s="294" t="s">
        <v>1640</v>
      </c>
      <c r="L3" s="294" t="s">
        <v>874</v>
      </c>
      <c r="M3" s="294" t="s">
        <v>875</v>
      </c>
      <c r="N3" s="294" t="s">
        <v>879</v>
      </c>
      <c r="O3" s="294" t="s">
        <v>880</v>
      </c>
      <c r="P3" s="299" t="s">
        <v>876</v>
      </c>
    </row>
    <row r="4" spans="1:16">
      <c r="A4" t="s">
        <v>960</v>
      </c>
      <c r="B4" s="281">
        <v>1</v>
      </c>
      <c r="C4" t="s">
        <v>1635</v>
      </c>
      <c r="D4" t="s">
        <v>883</v>
      </c>
      <c r="E4" t="s">
        <v>884</v>
      </c>
      <c r="F4" t="s">
        <v>956</v>
      </c>
      <c r="G4" t="s">
        <v>931</v>
      </c>
      <c r="H4" s="539" t="s">
        <v>2</v>
      </c>
      <c r="I4" s="281">
        <v>1</v>
      </c>
      <c r="J4" s="539" t="s">
        <v>2</v>
      </c>
      <c r="K4" s="281">
        <v>101</v>
      </c>
      <c r="L4" s="539" t="s">
        <v>887</v>
      </c>
      <c r="M4" t="s">
        <v>888</v>
      </c>
      <c r="N4" s="281">
        <v>5010000000</v>
      </c>
      <c r="O4" t="s">
        <v>890</v>
      </c>
      <c r="P4" s="501">
        <v>20425000</v>
      </c>
    </row>
    <row r="5" spans="1:16">
      <c r="A5" t="s">
        <v>961</v>
      </c>
      <c r="B5" s="281">
        <v>1</v>
      </c>
      <c r="C5" t="s">
        <v>1635</v>
      </c>
      <c r="D5" t="s">
        <v>883</v>
      </c>
      <c r="E5" t="s">
        <v>884</v>
      </c>
      <c r="F5" t="s">
        <v>956</v>
      </c>
      <c r="G5" t="s">
        <v>931</v>
      </c>
      <c r="H5" s="539" t="s">
        <v>2</v>
      </c>
      <c r="I5" s="281">
        <v>1</v>
      </c>
      <c r="J5" s="539" t="s">
        <v>2</v>
      </c>
      <c r="K5" s="281">
        <v>101</v>
      </c>
      <c r="L5" s="539" t="s">
        <v>887</v>
      </c>
      <c r="M5" t="s">
        <v>888</v>
      </c>
      <c r="N5" s="281">
        <v>5020000000</v>
      </c>
      <c r="O5" t="s">
        <v>891</v>
      </c>
      <c r="P5" s="501">
        <v>11251000</v>
      </c>
    </row>
    <row r="6" spans="1:16">
      <c r="A6" t="s">
        <v>962</v>
      </c>
      <c r="B6" s="281">
        <v>1</v>
      </c>
      <c r="C6" t="s">
        <v>1635</v>
      </c>
      <c r="D6" t="s">
        <v>883</v>
      </c>
      <c r="E6" t="s">
        <v>884</v>
      </c>
      <c r="F6" t="s">
        <v>956</v>
      </c>
      <c r="G6" t="s">
        <v>931</v>
      </c>
      <c r="H6" s="539" t="s">
        <v>2</v>
      </c>
      <c r="I6" s="281">
        <v>1</v>
      </c>
      <c r="J6" s="539" t="s">
        <v>2</v>
      </c>
      <c r="K6" s="281">
        <v>101</v>
      </c>
      <c r="L6" s="539" t="s">
        <v>887</v>
      </c>
      <c r="M6" t="s">
        <v>888</v>
      </c>
      <c r="N6" s="281">
        <v>5010301000</v>
      </c>
      <c r="O6" t="s">
        <v>528</v>
      </c>
      <c r="P6" s="501">
        <v>1872000</v>
      </c>
    </row>
    <row r="7" spans="1:16">
      <c r="A7" t="s">
        <v>963</v>
      </c>
      <c r="B7" s="281">
        <v>1</v>
      </c>
      <c r="C7" t="s">
        <v>1635</v>
      </c>
      <c r="D7" t="s">
        <v>883</v>
      </c>
      <c r="E7" t="s">
        <v>884</v>
      </c>
      <c r="F7" t="s">
        <v>956</v>
      </c>
      <c r="G7" t="s">
        <v>932</v>
      </c>
      <c r="H7" s="539" t="s">
        <v>2</v>
      </c>
      <c r="I7" s="281">
        <v>1</v>
      </c>
      <c r="J7" s="539" t="s">
        <v>2</v>
      </c>
      <c r="K7" s="281">
        <v>101</v>
      </c>
      <c r="L7" s="539" t="s">
        <v>887</v>
      </c>
      <c r="M7" t="s">
        <v>888</v>
      </c>
      <c r="N7" s="281">
        <v>5010403001</v>
      </c>
      <c r="O7" t="s">
        <v>547</v>
      </c>
      <c r="P7" s="501">
        <v>2043000</v>
      </c>
    </row>
    <row r="8" spans="1:16">
      <c r="A8" t="s">
        <v>964</v>
      </c>
      <c r="B8" s="281">
        <v>2</v>
      </c>
      <c r="C8" t="s">
        <v>1635</v>
      </c>
      <c r="D8" t="s">
        <v>883</v>
      </c>
      <c r="E8" t="s">
        <v>895</v>
      </c>
      <c r="F8" t="s">
        <v>894</v>
      </c>
      <c r="G8" t="s">
        <v>896</v>
      </c>
      <c r="H8" s="539" t="s">
        <v>2</v>
      </c>
      <c r="I8" s="281">
        <v>1</v>
      </c>
      <c r="J8" s="539" t="s">
        <v>2</v>
      </c>
      <c r="K8" s="281">
        <v>101</v>
      </c>
      <c r="L8" s="539" t="s">
        <v>887</v>
      </c>
      <c r="M8" t="s">
        <v>888</v>
      </c>
      <c r="N8" s="281">
        <v>5010000000</v>
      </c>
      <c r="O8" t="s">
        <v>890</v>
      </c>
      <c r="P8" s="501">
        <v>6704000</v>
      </c>
    </row>
    <row r="9" spans="1:16">
      <c r="A9" t="s">
        <v>965</v>
      </c>
      <c r="B9" s="281">
        <v>2</v>
      </c>
      <c r="C9" t="s">
        <v>1635</v>
      </c>
      <c r="D9" t="s">
        <v>883</v>
      </c>
      <c r="E9" t="s">
        <v>895</v>
      </c>
      <c r="F9" t="s">
        <v>894</v>
      </c>
      <c r="G9" t="s">
        <v>896</v>
      </c>
      <c r="H9" s="539" t="s">
        <v>2</v>
      </c>
      <c r="I9" s="281">
        <v>1</v>
      </c>
      <c r="J9" s="539" t="s">
        <v>2</v>
      </c>
      <c r="K9" s="281">
        <v>101</v>
      </c>
      <c r="L9" s="539" t="s">
        <v>887</v>
      </c>
      <c r="M9" t="s">
        <v>888</v>
      </c>
      <c r="N9" s="281">
        <v>5020000000</v>
      </c>
      <c r="O9" t="s">
        <v>891</v>
      </c>
      <c r="P9" s="501">
        <v>3219000</v>
      </c>
    </row>
    <row r="10" spans="1:16">
      <c r="A10" t="s">
        <v>966</v>
      </c>
      <c r="B10" s="281">
        <v>2</v>
      </c>
      <c r="C10" t="s">
        <v>1635</v>
      </c>
      <c r="D10" t="s">
        <v>883</v>
      </c>
      <c r="E10" t="s">
        <v>895</v>
      </c>
      <c r="F10" t="s">
        <v>894</v>
      </c>
      <c r="G10" t="s">
        <v>896</v>
      </c>
      <c r="H10" s="539" t="s">
        <v>2</v>
      </c>
      <c r="I10" s="281">
        <v>1</v>
      </c>
      <c r="J10" s="539" t="s">
        <v>2</v>
      </c>
      <c r="K10" s="281">
        <v>101</v>
      </c>
      <c r="L10" s="539" t="s">
        <v>887</v>
      </c>
      <c r="M10" t="s">
        <v>888</v>
      </c>
      <c r="N10" s="281">
        <v>5010301000</v>
      </c>
      <c r="O10" t="s">
        <v>528</v>
      </c>
      <c r="P10" s="501">
        <v>638000</v>
      </c>
    </row>
    <row r="11" spans="1:16">
      <c r="A11" t="s">
        <v>967</v>
      </c>
      <c r="B11" s="281">
        <v>3</v>
      </c>
      <c r="C11" t="s">
        <v>1635</v>
      </c>
      <c r="D11" t="s">
        <v>883</v>
      </c>
      <c r="E11" t="s">
        <v>899</v>
      </c>
      <c r="F11" t="s">
        <v>897</v>
      </c>
      <c r="G11" t="s">
        <v>900</v>
      </c>
      <c r="H11" s="539" t="s">
        <v>2</v>
      </c>
      <c r="I11" s="281">
        <v>1</v>
      </c>
      <c r="J11" s="539" t="s">
        <v>2</v>
      </c>
      <c r="K11" s="281">
        <v>101</v>
      </c>
      <c r="L11" s="539" t="s">
        <v>887</v>
      </c>
      <c r="M11" t="s">
        <v>888</v>
      </c>
      <c r="N11" s="281">
        <v>5010000000</v>
      </c>
      <c r="O11" t="s">
        <v>890</v>
      </c>
      <c r="P11" s="501">
        <v>8859000</v>
      </c>
    </row>
    <row r="12" spans="1:16">
      <c r="A12" t="s">
        <v>968</v>
      </c>
      <c r="B12" s="281">
        <v>3</v>
      </c>
      <c r="C12" t="s">
        <v>1635</v>
      </c>
      <c r="D12" t="s">
        <v>883</v>
      </c>
      <c r="E12" t="s">
        <v>899</v>
      </c>
      <c r="F12" t="s">
        <v>897</v>
      </c>
      <c r="G12" t="s">
        <v>900</v>
      </c>
      <c r="H12" s="539" t="s">
        <v>2</v>
      </c>
      <c r="I12" s="281">
        <v>1</v>
      </c>
      <c r="J12" s="539" t="s">
        <v>2</v>
      </c>
      <c r="K12" s="281">
        <v>101</v>
      </c>
      <c r="L12" s="539" t="s">
        <v>887</v>
      </c>
      <c r="M12" t="s">
        <v>888</v>
      </c>
      <c r="N12" s="281">
        <v>5020000000</v>
      </c>
      <c r="O12" t="s">
        <v>891</v>
      </c>
      <c r="P12" s="501">
        <v>4712000</v>
      </c>
    </row>
    <row r="13" spans="1:16">
      <c r="A13" t="s">
        <v>969</v>
      </c>
      <c r="B13" s="281">
        <v>3</v>
      </c>
      <c r="C13" t="s">
        <v>1635</v>
      </c>
      <c r="D13" t="s">
        <v>883</v>
      </c>
      <c r="E13" t="s">
        <v>899</v>
      </c>
      <c r="F13" t="s">
        <v>897</v>
      </c>
      <c r="G13" t="s">
        <v>900</v>
      </c>
      <c r="H13" s="539" t="s">
        <v>2</v>
      </c>
      <c r="I13" s="281">
        <v>1</v>
      </c>
      <c r="J13" s="539" t="s">
        <v>2</v>
      </c>
      <c r="K13" s="281">
        <v>101</v>
      </c>
      <c r="L13" s="539" t="s">
        <v>887</v>
      </c>
      <c r="M13" t="s">
        <v>888</v>
      </c>
      <c r="N13" s="281">
        <v>5010301000</v>
      </c>
      <c r="O13" t="s">
        <v>528</v>
      </c>
      <c r="P13" s="501">
        <v>818000</v>
      </c>
    </row>
    <row r="14" spans="1:16">
      <c r="A14" t="s">
        <v>970</v>
      </c>
      <c r="B14" s="281">
        <v>4</v>
      </c>
      <c r="C14" t="s">
        <v>1635</v>
      </c>
      <c r="D14" t="s">
        <v>883</v>
      </c>
      <c r="E14" t="s">
        <v>901</v>
      </c>
      <c r="F14" t="s">
        <v>844</v>
      </c>
      <c r="G14" t="s">
        <v>902</v>
      </c>
      <c r="H14" s="539" t="s">
        <v>2</v>
      </c>
      <c r="I14" s="281">
        <v>1</v>
      </c>
      <c r="J14" s="539" t="s">
        <v>2</v>
      </c>
      <c r="K14" s="281">
        <v>101</v>
      </c>
      <c r="L14" s="539" t="s">
        <v>887</v>
      </c>
      <c r="M14" t="s">
        <v>888</v>
      </c>
      <c r="N14" s="281">
        <v>5010000000</v>
      </c>
      <c r="O14" t="s">
        <v>890</v>
      </c>
      <c r="P14" s="501">
        <v>9805000</v>
      </c>
    </row>
    <row r="15" spans="1:16">
      <c r="A15" t="s">
        <v>971</v>
      </c>
      <c r="B15" s="281">
        <v>4</v>
      </c>
      <c r="C15" t="s">
        <v>1635</v>
      </c>
      <c r="D15" t="s">
        <v>883</v>
      </c>
      <c r="E15" t="s">
        <v>901</v>
      </c>
      <c r="F15" t="s">
        <v>844</v>
      </c>
      <c r="G15" t="s">
        <v>902</v>
      </c>
      <c r="H15" s="539" t="s">
        <v>2</v>
      </c>
      <c r="I15" s="281">
        <v>1</v>
      </c>
      <c r="J15" s="539" t="s">
        <v>2</v>
      </c>
      <c r="K15" s="281">
        <v>101</v>
      </c>
      <c r="L15" s="539" t="s">
        <v>887</v>
      </c>
      <c r="M15" t="s">
        <v>888</v>
      </c>
      <c r="N15" s="281">
        <v>5020000000</v>
      </c>
      <c r="O15" t="s">
        <v>891</v>
      </c>
      <c r="P15" s="501">
        <v>8135000</v>
      </c>
    </row>
    <row r="16" spans="1:16">
      <c r="A16" t="s">
        <v>972</v>
      </c>
      <c r="B16" s="281">
        <v>4</v>
      </c>
      <c r="C16" t="s">
        <v>1635</v>
      </c>
      <c r="D16" t="s">
        <v>883</v>
      </c>
      <c r="E16" t="s">
        <v>901</v>
      </c>
      <c r="F16" t="s">
        <v>844</v>
      </c>
      <c r="G16" t="s">
        <v>902</v>
      </c>
      <c r="H16" s="539" t="s">
        <v>2</v>
      </c>
      <c r="I16" s="281">
        <v>1</v>
      </c>
      <c r="J16" s="539" t="s">
        <v>2</v>
      </c>
      <c r="K16" s="281">
        <v>101</v>
      </c>
      <c r="L16" s="539" t="s">
        <v>887</v>
      </c>
      <c r="M16" t="s">
        <v>888</v>
      </c>
      <c r="N16" s="281">
        <v>5010301000</v>
      </c>
      <c r="O16" t="s">
        <v>528</v>
      </c>
      <c r="P16" s="501">
        <v>918000</v>
      </c>
    </row>
    <row r="17" spans="1:16">
      <c r="A17" t="s">
        <v>973</v>
      </c>
      <c r="B17" s="281">
        <v>5</v>
      </c>
      <c r="C17" t="s">
        <v>1635</v>
      </c>
      <c r="D17" t="s">
        <v>883</v>
      </c>
      <c r="E17" t="s">
        <v>915</v>
      </c>
      <c r="F17" t="s">
        <v>913</v>
      </c>
      <c r="G17" t="s">
        <v>916</v>
      </c>
      <c r="H17" s="539" t="s">
        <v>2</v>
      </c>
      <c r="I17" s="281">
        <v>1</v>
      </c>
      <c r="J17" s="539" t="s">
        <v>2</v>
      </c>
      <c r="K17" s="281">
        <v>101</v>
      </c>
      <c r="L17" s="539" t="s">
        <v>887</v>
      </c>
      <c r="M17" t="s">
        <v>888</v>
      </c>
      <c r="N17" s="281">
        <v>5010000000</v>
      </c>
      <c r="O17" t="s">
        <v>890</v>
      </c>
      <c r="P17" s="501">
        <v>7768000</v>
      </c>
    </row>
    <row r="18" spans="1:16">
      <c r="A18" t="s">
        <v>974</v>
      </c>
      <c r="B18" s="281">
        <v>5</v>
      </c>
      <c r="C18" t="s">
        <v>1635</v>
      </c>
      <c r="D18" t="s">
        <v>883</v>
      </c>
      <c r="E18" t="s">
        <v>915</v>
      </c>
      <c r="F18" t="s">
        <v>913</v>
      </c>
      <c r="G18" t="s">
        <v>916</v>
      </c>
      <c r="H18" s="539" t="s">
        <v>2</v>
      </c>
      <c r="I18" s="281">
        <v>1</v>
      </c>
      <c r="J18" s="539" t="s">
        <v>2</v>
      </c>
      <c r="K18" s="281">
        <v>101</v>
      </c>
      <c r="L18" s="539" t="s">
        <v>887</v>
      </c>
      <c r="M18" t="s">
        <v>888</v>
      </c>
      <c r="N18" s="281">
        <v>5020000000</v>
      </c>
      <c r="O18" t="s">
        <v>891</v>
      </c>
      <c r="P18" s="501">
        <v>1412000</v>
      </c>
    </row>
    <row r="19" spans="1:16">
      <c r="A19" t="s">
        <v>975</v>
      </c>
      <c r="B19" s="281">
        <v>5</v>
      </c>
      <c r="C19" t="s">
        <v>1635</v>
      </c>
      <c r="D19" t="s">
        <v>883</v>
      </c>
      <c r="E19" t="s">
        <v>915</v>
      </c>
      <c r="F19" t="s">
        <v>913</v>
      </c>
      <c r="G19" t="s">
        <v>916</v>
      </c>
      <c r="H19" s="539" t="s">
        <v>2</v>
      </c>
      <c r="I19" s="281">
        <v>1</v>
      </c>
      <c r="J19" s="539" t="s">
        <v>2</v>
      </c>
      <c r="K19" s="281">
        <v>101</v>
      </c>
      <c r="L19" s="539" t="s">
        <v>887</v>
      </c>
      <c r="M19" t="s">
        <v>888</v>
      </c>
      <c r="N19" s="281">
        <v>5010301000</v>
      </c>
      <c r="O19" t="s">
        <v>528</v>
      </c>
      <c r="P19" s="501">
        <v>730000</v>
      </c>
    </row>
    <row r="20" spans="1:16">
      <c r="A20" t="s">
        <v>976</v>
      </c>
      <c r="B20" s="281">
        <v>6</v>
      </c>
      <c r="C20" t="s">
        <v>1635</v>
      </c>
      <c r="D20" t="s">
        <v>883</v>
      </c>
      <c r="E20" t="s">
        <v>917</v>
      </c>
      <c r="F20" t="s">
        <v>914</v>
      </c>
      <c r="G20" t="s">
        <v>918</v>
      </c>
      <c r="H20" s="539" t="s">
        <v>2</v>
      </c>
      <c r="I20" s="281">
        <v>1</v>
      </c>
      <c r="J20" s="539" t="s">
        <v>2</v>
      </c>
      <c r="K20" s="281">
        <v>101</v>
      </c>
      <c r="L20" s="539" t="s">
        <v>887</v>
      </c>
      <c r="M20" t="s">
        <v>888</v>
      </c>
      <c r="N20" s="281">
        <v>5010000000</v>
      </c>
      <c r="O20" t="s">
        <v>890</v>
      </c>
      <c r="P20" s="501">
        <v>2643000</v>
      </c>
    </row>
    <row r="21" spans="1:16">
      <c r="A21" t="s">
        <v>977</v>
      </c>
      <c r="B21" s="281">
        <v>6</v>
      </c>
      <c r="C21" t="s">
        <v>1635</v>
      </c>
      <c r="D21" t="s">
        <v>883</v>
      </c>
      <c r="E21" t="s">
        <v>917</v>
      </c>
      <c r="F21" t="s">
        <v>914</v>
      </c>
      <c r="G21" t="s">
        <v>918</v>
      </c>
      <c r="H21" s="539" t="s">
        <v>2</v>
      </c>
      <c r="I21" s="281">
        <v>1</v>
      </c>
      <c r="J21" s="539" t="s">
        <v>2</v>
      </c>
      <c r="K21" s="281">
        <v>101</v>
      </c>
      <c r="L21" s="539" t="s">
        <v>887</v>
      </c>
      <c r="M21" t="s">
        <v>888</v>
      </c>
      <c r="N21" s="281">
        <v>5020000000</v>
      </c>
      <c r="O21" t="s">
        <v>891</v>
      </c>
      <c r="P21" s="501">
        <v>1679000</v>
      </c>
    </row>
    <row r="22" spans="1:16">
      <c r="A22" t="s">
        <v>978</v>
      </c>
      <c r="B22" s="281">
        <v>6</v>
      </c>
      <c r="C22" t="s">
        <v>1635</v>
      </c>
      <c r="D22" t="s">
        <v>883</v>
      </c>
      <c r="E22" t="s">
        <v>917</v>
      </c>
      <c r="F22" t="s">
        <v>914</v>
      </c>
      <c r="G22" t="s">
        <v>918</v>
      </c>
      <c r="H22" s="539" t="s">
        <v>2</v>
      </c>
      <c r="I22" s="281">
        <v>1</v>
      </c>
      <c r="J22" s="539" t="s">
        <v>2</v>
      </c>
      <c r="K22" s="281">
        <v>101</v>
      </c>
      <c r="L22" s="539" t="s">
        <v>887</v>
      </c>
      <c r="M22" t="s">
        <v>888</v>
      </c>
      <c r="N22" s="281">
        <v>5010301000</v>
      </c>
      <c r="O22" t="s">
        <v>528</v>
      </c>
      <c r="P22" s="501">
        <v>247000</v>
      </c>
    </row>
    <row r="23" spans="1:16">
      <c r="A23" t="s">
        <v>979</v>
      </c>
      <c r="B23" s="281">
        <v>7</v>
      </c>
      <c r="C23" t="s">
        <v>1635</v>
      </c>
      <c r="D23" t="s">
        <v>883</v>
      </c>
      <c r="E23" t="s">
        <v>919</v>
      </c>
      <c r="F23" t="s">
        <v>921</v>
      </c>
      <c r="G23" t="s">
        <v>920</v>
      </c>
      <c r="H23" s="539" t="s">
        <v>2</v>
      </c>
      <c r="I23" s="281">
        <v>1</v>
      </c>
      <c r="J23" s="539" t="s">
        <v>2</v>
      </c>
      <c r="K23" s="281">
        <v>101</v>
      </c>
      <c r="L23" s="539" t="s">
        <v>887</v>
      </c>
      <c r="M23" t="s">
        <v>888</v>
      </c>
      <c r="N23" s="281">
        <v>5020000000</v>
      </c>
      <c r="O23" t="s">
        <v>891</v>
      </c>
      <c r="P23" s="501">
        <v>998000</v>
      </c>
    </row>
    <row r="24" spans="1:16">
      <c r="A24" t="s">
        <v>980</v>
      </c>
      <c r="B24" s="281">
        <v>8</v>
      </c>
      <c r="C24" t="s">
        <v>1635</v>
      </c>
      <c r="D24" t="s">
        <v>883</v>
      </c>
      <c r="E24" t="s">
        <v>903</v>
      </c>
      <c r="F24" t="s">
        <v>845</v>
      </c>
      <c r="G24" t="s">
        <v>904</v>
      </c>
      <c r="H24" s="539" t="s">
        <v>2</v>
      </c>
      <c r="I24" s="281">
        <v>1</v>
      </c>
      <c r="J24" s="539" t="s">
        <v>2</v>
      </c>
      <c r="K24" s="281">
        <v>101</v>
      </c>
      <c r="L24" s="539" t="s">
        <v>887</v>
      </c>
      <c r="M24" t="s">
        <v>888</v>
      </c>
      <c r="N24" s="281">
        <v>5020000000</v>
      </c>
      <c r="O24" t="s">
        <v>891</v>
      </c>
      <c r="P24" s="501">
        <v>28602000</v>
      </c>
    </row>
    <row r="25" spans="1:16">
      <c r="A25" t="s">
        <v>981</v>
      </c>
      <c r="B25" s="281">
        <v>8</v>
      </c>
      <c r="C25" t="s">
        <v>1635</v>
      </c>
      <c r="D25" t="s">
        <v>883</v>
      </c>
      <c r="E25" t="s">
        <v>903</v>
      </c>
      <c r="F25" t="s">
        <v>845</v>
      </c>
      <c r="G25" t="s">
        <v>904</v>
      </c>
      <c r="H25" s="539" t="s">
        <v>2</v>
      </c>
      <c r="I25" s="281">
        <v>1</v>
      </c>
      <c r="J25" s="539" t="s">
        <v>2</v>
      </c>
      <c r="K25" s="281">
        <v>101</v>
      </c>
      <c r="L25" s="539" t="s">
        <v>887</v>
      </c>
      <c r="M25" t="s">
        <v>888</v>
      </c>
      <c r="N25" s="281">
        <v>5060000000</v>
      </c>
      <c r="O25" t="s">
        <v>898</v>
      </c>
      <c r="P25" s="501">
        <v>5150000</v>
      </c>
    </row>
    <row r="26" spans="1:16">
      <c r="A26" t="s">
        <v>982</v>
      </c>
      <c r="B26" s="281">
        <v>9</v>
      </c>
      <c r="C26" t="s">
        <v>1635</v>
      </c>
      <c r="D26" t="s">
        <v>883</v>
      </c>
      <c r="E26" t="s">
        <v>908</v>
      </c>
      <c r="F26" t="s">
        <v>905</v>
      </c>
      <c r="G26" t="s">
        <v>909</v>
      </c>
      <c r="H26" s="539" t="s">
        <v>2</v>
      </c>
      <c r="I26" s="281">
        <v>1</v>
      </c>
      <c r="J26" s="539" t="s">
        <v>2</v>
      </c>
      <c r="K26" s="281">
        <v>101</v>
      </c>
      <c r="L26" s="539" t="s">
        <v>887</v>
      </c>
      <c r="M26" t="s">
        <v>888</v>
      </c>
      <c r="N26" s="281">
        <v>5020000000</v>
      </c>
      <c r="O26" t="s">
        <v>891</v>
      </c>
      <c r="P26" s="501">
        <v>6894000</v>
      </c>
    </row>
    <row r="27" spans="1:16">
      <c r="A27" t="s">
        <v>983</v>
      </c>
      <c r="B27" s="281">
        <v>10</v>
      </c>
      <c r="C27" t="s">
        <v>1635</v>
      </c>
      <c r="D27" t="s">
        <v>883</v>
      </c>
      <c r="E27" t="s">
        <v>906</v>
      </c>
      <c r="F27" t="s">
        <v>5</v>
      </c>
      <c r="G27" t="s">
        <v>907</v>
      </c>
      <c r="H27" s="539" t="s">
        <v>2</v>
      </c>
      <c r="I27" s="281">
        <v>1</v>
      </c>
      <c r="J27" s="539" t="s">
        <v>2</v>
      </c>
      <c r="K27" s="281">
        <v>101</v>
      </c>
      <c r="L27" s="539" t="s">
        <v>887</v>
      </c>
      <c r="M27" t="s">
        <v>888</v>
      </c>
      <c r="N27" s="281">
        <v>5020000000</v>
      </c>
      <c r="O27" t="s">
        <v>891</v>
      </c>
      <c r="P27" s="501">
        <v>4416000</v>
      </c>
    </row>
    <row r="28" spans="1:16">
      <c r="A28" t="s">
        <v>984</v>
      </c>
      <c r="B28" s="281">
        <v>10</v>
      </c>
      <c r="C28" t="s">
        <v>1635</v>
      </c>
      <c r="D28" t="s">
        <v>883</v>
      </c>
      <c r="E28" t="s">
        <v>906</v>
      </c>
      <c r="F28" t="s">
        <v>5</v>
      </c>
      <c r="G28" t="s">
        <v>907</v>
      </c>
      <c r="H28" s="539" t="s">
        <v>2</v>
      </c>
      <c r="I28" s="281">
        <v>1</v>
      </c>
      <c r="J28" s="539" t="s">
        <v>2</v>
      </c>
      <c r="K28" s="281">
        <v>101</v>
      </c>
      <c r="L28" s="539" t="s">
        <v>887</v>
      </c>
      <c r="M28" t="s">
        <v>888</v>
      </c>
      <c r="N28" s="281">
        <v>5060000000</v>
      </c>
      <c r="O28" t="s">
        <v>898</v>
      </c>
      <c r="P28" s="501">
        <v>97350000</v>
      </c>
    </row>
    <row r="29" spans="1:16" ht="15" thickBot="1">
      <c r="A29" t="s">
        <v>985</v>
      </c>
      <c r="B29" s="281">
        <v>11</v>
      </c>
      <c r="C29" t="s">
        <v>1635</v>
      </c>
      <c r="D29" t="s">
        <v>883</v>
      </c>
      <c r="E29" t="s">
        <v>911</v>
      </c>
      <c r="F29" t="s">
        <v>910</v>
      </c>
      <c r="G29" t="s">
        <v>912</v>
      </c>
      <c r="H29" s="539" t="s">
        <v>2</v>
      </c>
      <c r="I29" s="281">
        <v>1</v>
      </c>
      <c r="J29" s="539" t="s">
        <v>2</v>
      </c>
      <c r="K29" s="281">
        <v>101</v>
      </c>
      <c r="L29" s="539" t="s">
        <v>887</v>
      </c>
      <c r="M29" t="s">
        <v>888</v>
      </c>
      <c r="N29" s="281">
        <v>5020000000</v>
      </c>
      <c r="O29" t="s">
        <v>891</v>
      </c>
      <c r="P29" s="501">
        <v>8628000</v>
      </c>
    </row>
    <row r="30" spans="1:16" ht="15" thickBot="1">
      <c r="A30" t="s">
        <v>986</v>
      </c>
      <c r="B30" s="281">
        <v>12</v>
      </c>
      <c r="C30" s="538" t="s">
        <v>1636</v>
      </c>
      <c r="D30" t="s">
        <v>924</v>
      </c>
      <c r="E30" t="s">
        <v>926</v>
      </c>
      <c r="F30" t="s">
        <v>923</v>
      </c>
      <c r="G30" t="s">
        <v>927</v>
      </c>
      <c r="H30" s="539" t="s">
        <v>2</v>
      </c>
      <c r="I30" s="281">
        <v>1</v>
      </c>
      <c r="J30" s="539" t="s">
        <v>2</v>
      </c>
      <c r="K30" s="281">
        <v>101</v>
      </c>
      <c r="L30" s="539" t="s">
        <v>887</v>
      </c>
      <c r="M30" t="s">
        <v>888</v>
      </c>
      <c r="N30" s="281">
        <v>5020101000</v>
      </c>
      <c r="O30" t="s">
        <v>555</v>
      </c>
      <c r="P30" s="501">
        <v>213400</v>
      </c>
    </row>
    <row r="31" spans="1:16" ht="15" thickBot="1">
      <c r="A31" t="s">
        <v>987</v>
      </c>
      <c r="B31" s="281">
        <v>12</v>
      </c>
      <c r="C31" s="538" t="s">
        <v>1636</v>
      </c>
      <c r="D31" t="s">
        <v>924</v>
      </c>
      <c r="E31" t="s">
        <v>926</v>
      </c>
      <c r="F31" t="s">
        <v>923</v>
      </c>
      <c r="G31" t="s">
        <v>927</v>
      </c>
      <c r="H31" s="539" t="s">
        <v>2</v>
      </c>
      <c r="I31" s="281">
        <v>1</v>
      </c>
      <c r="J31" s="539" t="s">
        <v>2</v>
      </c>
      <c r="K31" s="281">
        <v>101</v>
      </c>
      <c r="L31" s="539" t="s">
        <v>887</v>
      </c>
      <c r="M31" t="s">
        <v>888</v>
      </c>
      <c r="N31" s="281">
        <v>5020201000</v>
      </c>
      <c r="O31" t="s">
        <v>560</v>
      </c>
      <c r="P31" s="501">
        <v>450261.72</v>
      </c>
    </row>
    <row r="32" spans="1:16" ht="15" thickBot="1">
      <c r="A32" t="s">
        <v>988</v>
      </c>
      <c r="B32" s="281">
        <v>12</v>
      </c>
      <c r="C32" s="538" t="s">
        <v>1636</v>
      </c>
      <c r="D32" t="s">
        <v>924</v>
      </c>
      <c r="E32" t="s">
        <v>926</v>
      </c>
      <c r="F32" t="s">
        <v>923</v>
      </c>
      <c r="G32" t="s">
        <v>927</v>
      </c>
      <c r="H32" s="539" t="s">
        <v>2</v>
      </c>
      <c r="I32" s="281">
        <v>1</v>
      </c>
      <c r="J32" s="539" t="s">
        <v>2</v>
      </c>
      <c r="K32" s="281">
        <v>101</v>
      </c>
      <c r="L32" s="539" t="s">
        <v>887</v>
      </c>
      <c r="M32" t="s">
        <v>888</v>
      </c>
      <c r="N32" s="281">
        <v>5020301000</v>
      </c>
      <c r="O32" t="s">
        <v>565</v>
      </c>
      <c r="P32" s="501">
        <v>20004</v>
      </c>
    </row>
    <row r="33" spans="1:16" ht="15" thickBot="1">
      <c r="A33" t="s">
        <v>989</v>
      </c>
      <c r="B33" s="281">
        <v>12</v>
      </c>
      <c r="C33" s="538" t="s">
        <v>1636</v>
      </c>
      <c r="D33" t="s">
        <v>924</v>
      </c>
      <c r="E33" t="s">
        <v>926</v>
      </c>
      <c r="F33" t="s">
        <v>923</v>
      </c>
      <c r="G33" t="s">
        <v>927</v>
      </c>
      <c r="H33" s="539" t="s">
        <v>2</v>
      </c>
      <c r="I33" s="281">
        <v>1</v>
      </c>
      <c r="J33" s="539" t="s">
        <v>2</v>
      </c>
      <c r="K33" s="281">
        <v>101</v>
      </c>
      <c r="L33" s="539" t="s">
        <v>887</v>
      </c>
      <c r="M33" t="s">
        <v>888</v>
      </c>
      <c r="N33" s="281">
        <v>5020309000</v>
      </c>
      <c r="O33" t="s">
        <v>581</v>
      </c>
      <c r="P33" s="501">
        <v>1000</v>
      </c>
    </row>
    <row r="34" spans="1:16" ht="15" thickBot="1">
      <c r="A34" t="s">
        <v>990</v>
      </c>
      <c r="B34" s="281">
        <v>12</v>
      </c>
      <c r="C34" s="538" t="s">
        <v>1636</v>
      </c>
      <c r="D34" t="s">
        <v>924</v>
      </c>
      <c r="E34" t="s">
        <v>926</v>
      </c>
      <c r="F34" t="s">
        <v>923</v>
      </c>
      <c r="G34" t="s">
        <v>927</v>
      </c>
      <c r="H34" s="539" t="s">
        <v>2</v>
      </c>
      <c r="I34" s="281">
        <v>1</v>
      </c>
      <c r="J34" s="539" t="s">
        <v>2</v>
      </c>
      <c r="K34" s="281">
        <v>101</v>
      </c>
      <c r="L34" s="539" t="s">
        <v>887</v>
      </c>
      <c r="M34" t="s">
        <v>888</v>
      </c>
      <c r="N34" s="281">
        <v>5020501000</v>
      </c>
      <c r="O34" t="s">
        <v>601</v>
      </c>
      <c r="P34" s="501">
        <v>533.28</v>
      </c>
    </row>
    <row r="35" spans="1:16" ht="15" thickBot="1">
      <c r="A35" t="s">
        <v>991</v>
      </c>
      <c r="B35" s="281">
        <v>12</v>
      </c>
      <c r="C35" s="538" t="s">
        <v>1636</v>
      </c>
      <c r="D35" t="s">
        <v>924</v>
      </c>
      <c r="E35" t="s">
        <v>926</v>
      </c>
      <c r="F35" t="s">
        <v>923</v>
      </c>
      <c r="G35" t="s">
        <v>927</v>
      </c>
      <c r="H35" s="539" t="s">
        <v>2</v>
      </c>
      <c r="I35" s="281">
        <v>1</v>
      </c>
      <c r="J35" s="539" t="s">
        <v>2</v>
      </c>
      <c r="K35" s="281">
        <v>101</v>
      </c>
      <c r="L35" s="539" t="s">
        <v>887</v>
      </c>
      <c r="M35" t="s">
        <v>888</v>
      </c>
      <c r="N35" s="281">
        <v>5020502001</v>
      </c>
      <c r="O35" t="s">
        <v>603</v>
      </c>
      <c r="P35" s="501">
        <v>7900</v>
      </c>
    </row>
    <row r="36" spans="1:16" ht="15" thickBot="1">
      <c r="A36" t="s">
        <v>992</v>
      </c>
      <c r="B36" s="281">
        <v>12</v>
      </c>
      <c r="C36" s="538" t="s">
        <v>1636</v>
      </c>
      <c r="D36" t="s">
        <v>924</v>
      </c>
      <c r="E36" t="s">
        <v>926</v>
      </c>
      <c r="F36" t="s">
        <v>923</v>
      </c>
      <c r="G36" t="s">
        <v>927</v>
      </c>
      <c r="H36" s="539" t="s">
        <v>2</v>
      </c>
      <c r="I36" s="281">
        <v>1</v>
      </c>
      <c r="J36" s="539" t="s">
        <v>2</v>
      </c>
      <c r="K36" s="281">
        <v>101</v>
      </c>
      <c r="L36" s="539" t="s">
        <v>887</v>
      </c>
      <c r="M36" t="s">
        <v>888</v>
      </c>
      <c r="N36" s="281">
        <v>5021103000</v>
      </c>
      <c r="O36" t="s">
        <v>631</v>
      </c>
      <c r="P36" s="501">
        <v>1600</v>
      </c>
    </row>
    <row r="37" spans="1:16" ht="15" thickBot="1">
      <c r="A37" t="s">
        <v>993</v>
      </c>
      <c r="B37" s="281">
        <v>12</v>
      </c>
      <c r="C37" s="538" t="s">
        <v>1636</v>
      </c>
      <c r="D37" t="s">
        <v>924</v>
      </c>
      <c r="E37" t="s">
        <v>926</v>
      </c>
      <c r="F37" t="s">
        <v>923</v>
      </c>
      <c r="G37" t="s">
        <v>927</v>
      </c>
      <c r="H37" s="539" t="s">
        <v>2</v>
      </c>
      <c r="I37" s="281">
        <v>1</v>
      </c>
      <c r="J37" s="539" t="s">
        <v>2</v>
      </c>
      <c r="K37" s="281">
        <v>101</v>
      </c>
      <c r="L37" s="539" t="s">
        <v>887</v>
      </c>
      <c r="M37" t="s">
        <v>888</v>
      </c>
      <c r="N37" s="281">
        <v>5021199000</v>
      </c>
      <c r="O37" t="s">
        <v>633</v>
      </c>
      <c r="P37" s="501">
        <v>384982.5</v>
      </c>
    </row>
    <row r="38" spans="1:16" ht="15" thickBot="1">
      <c r="A38" t="s">
        <v>994</v>
      </c>
      <c r="B38" s="281">
        <v>12</v>
      </c>
      <c r="C38" s="538" t="s">
        <v>1636</v>
      </c>
      <c r="D38" t="s">
        <v>924</v>
      </c>
      <c r="E38" t="s">
        <v>926</v>
      </c>
      <c r="F38" t="s">
        <v>923</v>
      </c>
      <c r="G38" t="s">
        <v>927</v>
      </c>
      <c r="H38" s="539" t="s">
        <v>2</v>
      </c>
      <c r="I38" s="281">
        <v>1</v>
      </c>
      <c r="J38" s="539" t="s">
        <v>2</v>
      </c>
      <c r="K38" s="281">
        <v>101</v>
      </c>
      <c r="L38" s="539" t="s">
        <v>887</v>
      </c>
      <c r="M38" t="s">
        <v>888</v>
      </c>
      <c r="N38" s="281">
        <v>5021299000</v>
      </c>
      <c r="O38" t="s">
        <v>642</v>
      </c>
      <c r="P38" s="501">
        <v>6000</v>
      </c>
    </row>
    <row r="39" spans="1:16" ht="15" thickBot="1">
      <c r="A39" t="s">
        <v>995</v>
      </c>
      <c r="B39" s="281">
        <v>12</v>
      </c>
      <c r="C39" s="538" t="s">
        <v>1636</v>
      </c>
      <c r="D39" t="s">
        <v>924</v>
      </c>
      <c r="E39" t="s">
        <v>926</v>
      </c>
      <c r="F39" t="s">
        <v>923</v>
      </c>
      <c r="G39" t="s">
        <v>927</v>
      </c>
      <c r="H39" s="539" t="s">
        <v>2</v>
      </c>
      <c r="I39" s="281">
        <v>1</v>
      </c>
      <c r="J39" s="539" t="s">
        <v>2</v>
      </c>
      <c r="K39" s="281">
        <v>101</v>
      </c>
      <c r="L39" s="539" t="s">
        <v>887</v>
      </c>
      <c r="M39" t="s">
        <v>888</v>
      </c>
      <c r="N39" s="281">
        <v>5029902000</v>
      </c>
      <c r="O39" t="s">
        <v>676</v>
      </c>
      <c r="P39" s="501">
        <v>937.5</v>
      </c>
    </row>
    <row r="40" spans="1:16" ht="15" thickBot="1">
      <c r="A40" t="s">
        <v>996</v>
      </c>
      <c r="B40" s="281">
        <v>12</v>
      </c>
      <c r="C40" s="538" t="s">
        <v>1636</v>
      </c>
      <c r="D40" t="s">
        <v>924</v>
      </c>
      <c r="E40" t="s">
        <v>926</v>
      </c>
      <c r="F40" t="s">
        <v>923</v>
      </c>
      <c r="G40" t="s">
        <v>927</v>
      </c>
      <c r="H40" s="539" t="s">
        <v>2</v>
      </c>
      <c r="I40" s="281">
        <v>1</v>
      </c>
      <c r="J40" s="539" t="s">
        <v>2</v>
      </c>
      <c r="K40" s="281">
        <v>101</v>
      </c>
      <c r="L40" s="539" t="s">
        <v>887</v>
      </c>
      <c r="M40" t="s">
        <v>888</v>
      </c>
      <c r="N40" s="281">
        <v>5029903000</v>
      </c>
      <c r="O40" t="s">
        <v>678</v>
      </c>
      <c r="P40" s="501">
        <v>2500</v>
      </c>
    </row>
    <row r="41" spans="1:16" ht="15" thickBot="1">
      <c r="A41" t="s">
        <v>997</v>
      </c>
      <c r="B41" s="281">
        <v>12</v>
      </c>
      <c r="C41" s="538" t="s">
        <v>1636</v>
      </c>
      <c r="D41" t="s">
        <v>924</v>
      </c>
      <c r="E41" t="s">
        <v>926</v>
      </c>
      <c r="F41" t="s">
        <v>923</v>
      </c>
      <c r="G41" t="s">
        <v>927</v>
      </c>
      <c r="H41" s="539" t="s">
        <v>2</v>
      </c>
      <c r="I41" s="281">
        <v>1</v>
      </c>
      <c r="J41" s="539" t="s">
        <v>2</v>
      </c>
      <c r="K41" s="281">
        <v>101</v>
      </c>
      <c r="L41" s="539" t="s">
        <v>887</v>
      </c>
      <c r="M41" t="s">
        <v>888</v>
      </c>
      <c r="N41" s="281">
        <v>5029904000</v>
      </c>
      <c r="O41" t="s">
        <v>680</v>
      </c>
      <c r="P41" s="501">
        <v>500</v>
      </c>
    </row>
    <row r="42" spans="1:16" ht="15" thickBot="1">
      <c r="A42" t="s">
        <v>998</v>
      </c>
      <c r="B42" s="281">
        <v>12</v>
      </c>
      <c r="C42" s="538" t="s">
        <v>1636</v>
      </c>
      <c r="D42" t="s">
        <v>924</v>
      </c>
      <c r="E42" t="s">
        <v>926</v>
      </c>
      <c r="F42" t="s">
        <v>923</v>
      </c>
      <c r="G42" t="s">
        <v>927</v>
      </c>
      <c r="H42" s="539" t="s">
        <v>2</v>
      </c>
      <c r="I42" s="281">
        <v>1</v>
      </c>
      <c r="J42" s="539" t="s">
        <v>2</v>
      </c>
      <c r="K42" s="281">
        <v>101</v>
      </c>
      <c r="L42" s="539" t="s">
        <v>887</v>
      </c>
      <c r="M42" t="s">
        <v>888</v>
      </c>
      <c r="N42" s="281">
        <v>5029999099</v>
      </c>
      <c r="O42" t="s">
        <v>672</v>
      </c>
      <c r="P42" s="501">
        <v>2000</v>
      </c>
    </row>
    <row r="43" spans="1:16" ht="15" thickBot="1">
      <c r="A43" t="s">
        <v>999</v>
      </c>
      <c r="B43" s="281">
        <v>13</v>
      </c>
      <c r="C43" s="538" t="s">
        <v>1636</v>
      </c>
      <c r="D43" t="s">
        <v>925</v>
      </c>
      <c r="E43" t="s">
        <v>926</v>
      </c>
      <c r="F43" t="s">
        <v>923</v>
      </c>
      <c r="G43" t="s">
        <v>927</v>
      </c>
      <c r="H43" s="539" t="s">
        <v>2</v>
      </c>
      <c r="I43" s="281">
        <v>1</v>
      </c>
      <c r="J43" s="539" t="s">
        <v>2</v>
      </c>
      <c r="K43" s="281">
        <v>101</v>
      </c>
      <c r="L43" s="539" t="s">
        <v>887</v>
      </c>
      <c r="M43" t="s">
        <v>888</v>
      </c>
      <c r="N43" s="281">
        <v>5010102000</v>
      </c>
      <c r="O43" t="s">
        <v>501</v>
      </c>
      <c r="P43" s="501">
        <v>5017266.7</v>
      </c>
    </row>
    <row r="44" spans="1:16" ht="15" thickBot="1">
      <c r="A44" t="s">
        <v>1221</v>
      </c>
      <c r="B44" s="281">
        <v>14</v>
      </c>
      <c r="C44" s="538" t="s">
        <v>1636</v>
      </c>
      <c r="D44" t="s">
        <v>1217</v>
      </c>
      <c r="E44" s="296" t="s">
        <v>1219</v>
      </c>
      <c r="F44" t="s">
        <v>1218</v>
      </c>
      <c r="G44" t="s">
        <v>1220</v>
      </c>
      <c r="H44" s="539" t="s">
        <v>2</v>
      </c>
      <c r="I44" s="281">
        <v>1</v>
      </c>
      <c r="J44" s="539" t="s">
        <v>2</v>
      </c>
      <c r="K44" s="281">
        <v>101</v>
      </c>
      <c r="L44" s="539" t="s">
        <v>887</v>
      </c>
      <c r="M44" t="s">
        <v>888</v>
      </c>
      <c r="N44" s="281">
        <v>5021199000</v>
      </c>
      <c r="O44" t="s">
        <v>633</v>
      </c>
      <c r="P44" s="501">
        <v>3562690.92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DC909-AB72-49FE-8630-DA5FF5E98826}">
  <sheetPr>
    <tabColor rgb="FFFF0000"/>
  </sheetPr>
  <dimension ref="A2:J357"/>
  <sheetViews>
    <sheetView workbookViewId="0">
      <pane ySplit="2" topLeftCell="A346" activePane="bottomLeft" state="frozen"/>
      <selection pane="bottomLeft" activeCell="A356" sqref="A356"/>
    </sheetView>
  </sheetViews>
  <sheetFormatPr defaultRowHeight="14.4"/>
  <cols>
    <col min="1" max="1" width="15.6640625" customWidth="1"/>
    <col min="2" max="2" width="23.33203125" customWidth="1"/>
    <col min="3" max="3" width="32.6640625" customWidth="1"/>
    <col min="4" max="4" width="14.6640625" customWidth="1"/>
    <col min="5" max="5" width="14.6640625" style="281" customWidth="1"/>
    <col min="6" max="6" width="11.33203125" customWidth="1"/>
    <col min="16" max="16" width="29.6640625" customWidth="1"/>
    <col min="17" max="17" width="34.109375" customWidth="1"/>
  </cols>
  <sheetData>
    <row r="2" spans="1:6" ht="27.6">
      <c r="A2" s="559" t="s">
        <v>2045</v>
      </c>
      <c r="B2" s="333" t="s">
        <v>155</v>
      </c>
      <c r="C2" s="333" t="s">
        <v>156</v>
      </c>
      <c r="D2" s="549" t="s">
        <v>1993</v>
      </c>
      <c r="E2" s="549" t="s">
        <v>1992</v>
      </c>
      <c r="F2" s="549" t="s">
        <v>2047</v>
      </c>
    </row>
    <row r="3" spans="1:6">
      <c r="A3" s="352" t="s">
        <v>4247</v>
      </c>
      <c r="B3" s="463" t="s">
        <v>1643</v>
      </c>
      <c r="C3" s="463" t="s">
        <v>760</v>
      </c>
      <c r="D3" s="550">
        <v>150000</v>
      </c>
      <c r="E3" s="570" t="s">
        <v>816</v>
      </c>
      <c r="F3" s="550"/>
    </row>
    <row r="4" spans="1:6" ht="27.6">
      <c r="A4" s="352" t="s">
        <v>4248</v>
      </c>
      <c r="B4" s="463" t="s">
        <v>6</v>
      </c>
      <c r="C4" s="463" t="s">
        <v>761</v>
      </c>
      <c r="D4" s="550">
        <v>10000</v>
      </c>
      <c r="E4" s="570" t="s">
        <v>4602</v>
      </c>
      <c r="F4" s="550"/>
    </row>
    <row r="5" spans="1:6" ht="41.4">
      <c r="A5" s="352" t="s">
        <v>4249</v>
      </c>
      <c r="B5" s="463" t="s">
        <v>10</v>
      </c>
      <c r="C5" s="463" t="s">
        <v>762</v>
      </c>
      <c r="D5" s="550">
        <v>1935301.23</v>
      </c>
      <c r="E5" s="570" t="s">
        <v>816</v>
      </c>
      <c r="F5" s="550"/>
    </row>
    <row r="6" spans="1:6" ht="41.4">
      <c r="A6" s="352" t="s">
        <v>4250</v>
      </c>
      <c r="B6" s="427" t="s">
        <v>764</v>
      </c>
      <c r="C6" s="463" t="s">
        <v>762</v>
      </c>
      <c r="D6" s="550">
        <v>452644.64</v>
      </c>
      <c r="E6" s="570" t="s">
        <v>816</v>
      </c>
      <c r="F6" s="550"/>
    </row>
    <row r="7" spans="1:6" ht="41.4">
      <c r="A7" s="352" t="s">
        <v>4251</v>
      </c>
      <c r="B7" s="463" t="s">
        <v>765</v>
      </c>
      <c r="C7" s="463" t="s">
        <v>762</v>
      </c>
      <c r="D7" s="550">
        <v>325034.35000000003</v>
      </c>
      <c r="E7" s="570" t="s">
        <v>816</v>
      </c>
      <c r="F7" s="550"/>
    </row>
    <row r="8" spans="1:6" ht="41.4">
      <c r="A8" s="352" t="s">
        <v>4252</v>
      </c>
      <c r="B8" s="463" t="s">
        <v>768</v>
      </c>
      <c r="C8" s="463" t="s">
        <v>762</v>
      </c>
      <c r="D8" s="550">
        <v>666774.09000000008</v>
      </c>
      <c r="E8" s="570" t="s">
        <v>816</v>
      </c>
      <c r="F8" s="550"/>
    </row>
    <row r="9" spans="1:6">
      <c r="A9" s="352" t="s">
        <v>4253</v>
      </c>
      <c r="B9" s="463" t="s">
        <v>773</v>
      </c>
      <c r="C9" s="463" t="s">
        <v>774</v>
      </c>
      <c r="D9" s="550">
        <v>5000</v>
      </c>
      <c r="E9" s="570" t="s">
        <v>816</v>
      </c>
      <c r="F9" s="550"/>
    </row>
    <row r="10" spans="1:6" ht="41.4">
      <c r="A10" s="352" t="s">
        <v>4254</v>
      </c>
      <c r="B10" s="463" t="s">
        <v>777</v>
      </c>
      <c r="C10" s="463" t="s">
        <v>762</v>
      </c>
      <c r="D10" s="550">
        <v>452126.62</v>
      </c>
      <c r="E10" s="570" t="s">
        <v>816</v>
      </c>
      <c r="F10" s="550"/>
    </row>
    <row r="11" spans="1:6" ht="27.6">
      <c r="A11" s="352" t="s">
        <v>4255</v>
      </c>
      <c r="B11" s="427" t="s">
        <v>779</v>
      </c>
      <c r="C11" s="427" t="s">
        <v>850</v>
      </c>
      <c r="D11" s="550">
        <v>160190.04</v>
      </c>
      <c r="E11" s="570" t="s">
        <v>816</v>
      </c>
      <c r="F11" s="550"/>
    </row>
    <row r="12" spans="1:6" ht="27.6">
      <c r="A12" s="352" t="s">
        <v>4256</v>
      </c>
      <c r="B12" s="463" t="s">
        <v>779</v>
      </c>
      <c r="C12" s="463" t="s">
        <v>780</v>
      </c>
      <c r="D12" s="550">
        <v>10311.43</v>
      </c>
      <c r="E12" s="570" t="s">
        <v>816</v>
      </c>
      <c r="F12" s="550"/>
    </row>
    <row r="13" spans="1:6" ht="41.4">
      <c r="A13" s="352" t="s">
        <v>4257</v>
      </c>
      <c r="B13" s="463" t="s">
        <v>782</v>
      </c>
      <c r="C13" s="463" t="s">
        <v>783</v>
      </c>
      <c r="D13" s="550">
        <v>11250</v>
      </c>
      <c r="E13" s="570" t="s">
        <v>816</v>
      </c>
      <c r="F13" s="550"/>
    </row>
    <row r="14" spans="1:6" ht="41.4">
      <c r="A14" s="352" t="s">
        <v>4258</v>
      </c>
      <c r="B14" s="463" t="s">
        <v>789</v>
      </c>
      <c r="C14" s="463" t="s">
        <v>762</v>
      </c>
      <c r="D14" s="550">
        <v>574114.94999999995</v>
      </c>
      <c r="E14" s="570" t="s">
        <v>816</v>
      </c>
      <c r="F14" s="550"/>
    </row>
    <row r="15" spans="1:6" ht="41.4">
      <c r="A15" s="352" t="s">
        <v>4259</v>
      </c>
      <c r="B15" s="463" t="s">
        <v>791</v>
      </c>
      <c r="C15" s="463" t="s">
        <v>792</v>
      </c>
      <c r="D15" s="550">
        <v>2500</v>
      </c>
      <c r="E15" s="570" t="s">
        <v>816</v>
      </c>
      <c r="F15" s="550"/>
    </row>
    <row r="16" spans="1:6" ht="27.6">
      <c r="A16" s="352" t="s">
        <v>4260</v>
      </c>
      <c r="B16" s="463" t="s">
        <v>794</v>
      </c>
      <c r="C16" s="463" t="s">
        <v>795</v>
      </c>
      <c r="D16" s="550">
        <v>0</v>
      </c>
      <c r="E16" s="570" t="s">
        <v>816</v>
      </c>
      <c r="F16" s="550"/>
    </row>
    <row r="17" spans="1:10">
      <c r="A17" s="352" t="s">
        <v>4261</v>
      </c>
      <c r="B17" s="463" t="s">
        <v>773</v>
      </c>
      <c r="C17" s="463" t="s">
        <v>808</v>
      </c>
      <c r="D17" s="550">
        <v>4313.25</v>
      </c>
      <c r="E17" s="570" t="s">
        <v>816</v>
      </c>
      <c r="F17" s="550"/>
    </row>
    <row r="18" spans="1:10" ht="27.6">
      <c r="A18" s="352" t="s">
        <v>4262</v>
      </c>
      <c r="B18" s="463" t="s">
        <v>810</v>
      </c>
      <c r="C18" s="463" t="s">
        <v>811</v>
      </c>
      <c r="D18" s="550">
        <v>22550.49</v>
      </c>
      <c r="E18" s="570" t="s">
        <v>816</v>
      </c>
      <c r="F18" s="550"/>
    </row>
    <row r="19" spans="1:10" ht="27.6">
      <c r="A19" s="352" t="s">
        <v>4263</v>
      </c>
      <c r="B19" s="463" t="s">
        <v>818</v>
      </c>
      <c r="C19" s="463" t="s">
        <v>819</v>
      </c>
      <c r="D19" s="550">
        <v>7800</v>
      </c>
      <c r="E19" s="570" t="s">
        <v>816</v>
      </c>
      <c r="F19" s="550"/>
    </row>
    <row r="20" spans="1:10" ht="27.6">
      <c r="A20" s="352" t="s">
        <v>4264</v>
      </c>
      <c r="B20" s="463" t="s">
        <v>820</v>
      </c>
      <c r="C20" s="463" t="s">
        <v>819</v>
      </c>
      <c r="D20" s="550">
        <v>7800</v>
      </c>
      <c r="E20" s="570" t="s">
        <v>816</v>
      </c>
      <c r="F20" s="550"/>
    </row>
    <row r="21" spans="1:10" ht="27.6">
      <c r="A21" s="352" t="s">
        <v>4265</v>
      </c>
      <c r="B21" s="463" t="s">
        <v>821</v>
      </c>
      <c r="C21" s="463" t="s">
        <v>819</v>
      </c>
      <c r="D21" s="550">
        <v>7800</v>
      </c>
      <c r="E21" s="570" t="s">
        <v>816</v>
      </c>
      <c r="F21" s="550"/>
    </row>
    <row r="22" spans="1:10" ht="27.6">
      <c r="A22" s="352" t="s">
        <v>4266</v>
      </c>
      <c r="B22" s="463" t="s">
        <v>822</v>
      </c>
      <c r="C22" s="463" t="s">
        <v>819</v>
      </c>
      <c r="D22" s="550">
        <v>7800</v>
      </c>
      <c r="E22" s="570" t="s">
        <v>816</v>
      </c>
      <c r="F22" s="550"/>
    </row>
    <row r="23" spans="1:10" ht="27.6">
      <c r="A23" s="352" t="s">
        <v>4267</v>
      </c>
      <c r="B23" s="463" t="s">
        <v>823</v>
      </c>
      <c r="C23" s="463" t="s">
        <v>819</v>
      </c>
      <c r="D23" s="550">
        <v>7800</v>
      </c>
      <c r="E23" s="570" t="s">
        <v>816</v>
      </c>
      <c r="F23" s="550"/>
    </row>
    <row r="24" spans="1:10" ht="27.6">
      <c r="A24" s="352" t="s">
        <v>4268</v>
      </c>
      <c r="B24" s="463" t="s">
        <v>830</v>
      </c>
      <c r="C24" s="463" t="s">
        <v>831</v>
      </c>
      <c r="D24" s="550">
        <v>59500</v>
      </c>
      <c r="E24" s="570" t="s">
        <v>814</v>
      </c>
      <c r="F24" s="550"/>
    </row>
    <row r="25" spans="1:10" ht="27.6">
      <c r="A25" s="352" t="s">
        <v>4269</v>
      </c>
      <c r="B25" s="463" t="s">
        <v>833</v>
      </c>
      <c r="C25" s="463" t="s">
        <v>834</v>
      </c>
      <c r="D25" s="550">
        <v>18046.37</v>
      </c>
      <c r="E25" s="570" t="s">
        <v>816</v>
      </c>
      <c r="F25" s="550"/>
    </row>
    <row r="26" spans="1:10" ht="27.6">
      <c r="A26" s="352" t="s">
        <v>4270</v>
      </c>
      <c r="B26" s="463" t="s">
        <v>836</v>
      </c>
      <c r="C26" s="463" t="s">
        <v>837</v>
      </c>
      <c r="D26" s="550">
        <v>3675</v>
      </c>
      <c r="E26" s="570" t="s">
        <v>816</v>
      </c>
      <c r="F26" s="550"/>
    </row>
    <row r="27" spans="1:10" ht="41.4">
      <c r="A27" s="352" t="s">
        <v>4271</v>
      </c>
      <c r="B27" s="463" t="s">
        <v>839</v>
      </c>
      <c r="C27" s="463" t="s">
        <v>840</v>
      </c>
      <c r="D27" s="550">
        <v>10895.41</v>
      </c>
      <c r="E27" s="570" t="s">
        <v>816</v>
      </c>
      <c r="F27" s="550"/>
    </row>
    <row r="28" spans="1:10" ht="27.6">
      <c r="A28" s="352" t="s">
        <v>4272</v>
      </c>
      <c r="B28" s="463" t="s">
        <v>843</v>
      </c>
      <c r="C28" s="463" t="s">
        <v>855</v>
      </c>
      <c r="D28" s="550">
        <v>14080</v>
      </c>
      <c r="E28" s="570" t="s">
        <v>816</v>
      </c>
      <c r="F28" s="550"/>
    </row>
    <row r="29" spans="1:10" ht="55.2">
      <c r="A29" s="352" t="s">
        <v>4273</v>
      </c>
      <c r="B29" s="463" t="s">
        <v>847</v>
      </c>
      <c r="C29" s="463" t="s">
        <v>848</v>
      </c>
      <c r="D29" s="550">
        <v>1880</v>
      </c>
      <c r="E29" s="570" t="s">
        <v>816</v>
      </c>
      <c r="F29" s="550"/>
    </row>
    <row r="30" spans="1:10" ht="27.6">
      <c r="A30" s="352" t="s">
        <v>4274</v>
      </c>
      <c r="B30" s="409" t="s">
        <v>852</v>
      </c>
      <c r="C30" s="409" t="s">
        <v>853</v>
      </c>
      <c r="D30" s="550">
        <v>0</v>
      </c>
      <c r="E30" s="570" t="s">
        <v>816</v>
      </c>
      <c r="F30" s="550"/>
    </row>
    <row r="31" spans="1:10" ht="27.6">
      <c r="A31" s="352" t="s">
        <v>4275</v>
      </c>
      <c r="B31" s="463" t="s">
        <v>843</v>
      </c>
      <c r="C31" s="463" t="s">
        <v>855</v>
      </c>
      <c r="D31" s="550">
        <v>20061.82</v>
      </c>
      <c r="E31" s="570" t="s">
        <v>816</v>
      </c>
      <c r="F31" s="550"/>
    </row>
    <row r="32" spans="1:10" ht="27.6">
      <c r="A32" s="352" t="s">
        <v>4276</v>
      </c>
      <c r="B32" s="463" t="s">
        <v>843</v>
      </c>
      <c r="C32" s="463" t="s">
        <v>855</v>
      </c>
      <c r="D32" s="550">
        <v>33474</v>
      </c>
      <c r="E32" s="570" t="s">
        <v>816</v>
      </c>
      <c r="F32" s="550"/>
      <c r="J32" s="548"/>
    </row>
    <row r="33" spans="1:10" ht="27.6">
      <c r="A33" s="352" t="s">
        <v>4277</v>
      </c>
      <c r="B33" s="409" t="s">
        <v>859</v>
      </c>
      <c r="C33" s="409" t="s">
        <v>860</v>
      </c>
      <c r="D33" s="550">
        <v>0</v>
      </c>
      <c r="E33" s="570" t="s">
        <v>4602</v>
      </c>
      <c r="F33" s="550"/>
      <c r="J33" s="548"/>
    </row>
    <row r="34" spans="1:10" ht="41.4">
      <c r="A34" s="352" t="s">
        <v>4278</v>
      </c>
      <c r="B34" s="463" t="s">
        <v>863</v>
      </c>
      <c r="C34" s="463" t="s">
        <v>864</v>
      </c>
      <c r="D34" s="550">
        <v>51777.94</v>
      </c>
      <c r="E34" s="570" t="s">
        <v>816</v>
      </c>
      <c r="F34" s="550"/>
    </row>
    <row r="35" spans="1:10" ht="41.4">
      <c r="A35" s="352" t="s">
        <v>4279</v>
      </c>
      <c r="B35" s="463" t="s">
        <v>789</v>
      </c>
      <c r="C35" s="463" t="s">
        <v>864</v>
      </c>
      <c r="D35" s="550">
        <v>92085.57</v>
      </c>
      <c r="E35" s="570" t="s">
        <v>816</v>
      </c>
      <c r="F35" s="550"/>
    </row>
    <row r="36" spans="1:10" ht="41.4">
      <c r="A36" s="352" t="s">
        <v>4280</v>
      </c>
      <c r="B36" s="463" t="s">
        <v>867</v>
      </c>
      <c r="C36" s="463" t="s">
        <v>864</v>
      </c>
      <c r="D36" s="550">
        <v>40307.629999999997</v>
      </c>
      <c r="E36" s="570" t="s">
        <v>816</v>
      </c>
      <c r="F36" s="550"/>
      <c r="J36" s="548"/>
    </row>
    <row r="37" spans="1:10" ht="41.4">
      <c r="A37" s="352" t="s">
        <v>4281</v>
      </c>
      <c r="B37" s="463" t="s">
        <v>869</v>
      </c>
      <c r="C37" s="463" t="s">
        <v>864</v>
      </c>
      <c r="D37" s="550">
        <v>40307.629999999997</v>
      </c>
      <c r="E37" s="570" t="s">
        <v>816</v>
      </c>
      <c r="F37" s="550"/>
      <c r="J37" s="548"/>
    </row>
    <row r="38" spans="1:10" ht="41.4">
      <c r="A38" s="352" t="s">
        <v>4282</v>
      </c>
      <c r="B38" s="463" t="s">
        <v>768</v>
      </c>
      <c r="C38" s="463" t="s">
        <v>864</v>
      </c>
      <c r="D38" s="550">
        <v>92085.57</v>
      </c>
      <c r="E38" s="570" t="s">
        <v>816</v>
      </c>
      <c r="F38" s="550"/>
    </row>
    <row r="39" spans="1:10" ht="41.4">
      <c r="A39" s="352" t="s">
        <v>4283</v>
      </c>
      <c r="B39" s="463" t="s">
        <v>872</v>
      </c>
      <c r="C39" s="463" t="s">
        <v>864</v>
      </c>
      <c r="D39" s="550">
        <v>40307.629999999997</v>
      </c>
      <c r="E39" s="570" t="s">
        <v>816</v>
      </c>
      <c r="F39" s="550"/>
    </row>
    <row r="40" spans="1:10" ht="27.6">
      <c r="A40" s="352" t="s">
        <v>4284</v>
      </c>
      <c r="B40" s="463" t="s">
        <v>1030</v>
      </c>
      <c r="C40" s="463" t="s">
        <v>1031</v>
      </c>
      <c r="D40" s="550">
        <v>150000</v>
      </c>
      <c r="E40" s="570" t="s">
        <v>816</v>
      </c>
      <c r="F40" s="550"/>
    </row>
    <row r="41" spans="1:10" ht="27.6">
      <c r="A41" s="352" t="s">
        <v>4285</v>
      </c>
      <c r="B41" s="463" t="s">
        <v>6</v>
      </c>
      <c r="C41" s="463" t="s">
        <v>1033</v>
      </c>
      <c r="D41" s="550">
        <v>10000</v>
      </c>
      <c r="E41" s="570" t="s">
        <v>4602</v>
      </c>
      <c r="F41" s="550"/>
    </row>
    <row r="42" spans="1:10" ht="27.6">
      <c r="A42" s="352" t="s">
        <v>4286</v>
      </c>
      <c r="B42" s="463" t="s">
        <v>1030</v>
      </c>
      <c r="C42" s="463" t="s">
        <v>1035</v>
      </c>
      <c r="D42" s="550">
        <v>28636.36</v>
      </c>
      <c r="E42" s="570" t="s">
        <v>816</v>
      </c>
      <c r="F42" s="550"/>
    </row>
    <row r="43" spans="1:10" ht="27.6">
      <c r="A43" s="352" t="s">
        <v>4287</v>
      </c>
      <c r="B43" s="463" t="s">
        <v>1036</v>
      </c>
      <c r="C43" s="463" t="s">
        <v>1037</v>
      </c>
      <c r="D43" s="550">
        <v>2073.09</v>
      </c>
      <c r="E43" s="570" t="s">
        <v>814</v>
      </c>
      <c r="F43" s="550"/>
    </row>
    <row r="44" spans="1:10" ht="27.6">
      <c r="A44" s="352" t="s">
        <v>4288</v>
      </c>
      <c r="B44" s="409" t="s">
        <v>1038</v>
      </c>
      <c r="C44" s="409" t="s">
        <v>1039</v>
      </c>
      <c r="D44" s="550">
        <v>0</v>
      </c>
      <c r="E44" s="570" t="s">
        <v>814</v>
      </c>
      <c r="F44" s="550"/>
    </row>
    <row r="45" spans="1:10" ht="27.6">
      <c r="A45" s="352" t="s">
        <v>4289</v>
      </c>
      <c r="B45" s="439" t="s">
        <v>852</v>
      </c>
      <c r="C45" s="439" t="s">
        <v>853</v>
      </c>
      <c r="D45" s="550">
        <v>17600</v>
      </c>
      <c r="E45" s="570" t="s">
        <v>816</v>
      </c>
      <c r="F45" s="550"/>
    </row>
    <row r="46" spans="1:10" ht="41.4">
      <c r="A46" s="352" t="s">
        <v>4290</v>
      </c>
      <c r="B46" s="463" t="s">
        <v>818</v>
      </c>
      <c r="C46" s="463" t="s">
        <v>1040</v>
      </c>
      <c r="D46" s="550">
        <v>80000</v>
      </c>
      <c r="E46" s="570" t="s">
        <v>816</v>
      </c>
      <c r="F46" s="550"/>
    </row>
    <row r="47" spans="1:10" ht="55.2">
      <c r="A47" s="352" t="s">
        <v>4291</v>
      </c>
      <c r="B47" s="463" t="s">
        <v>1062</v>
      </c>
      <c r="C47" s="463" t="s">
        <v>1041</v>
      </c>
      <c r="D47" s="550">
        <v>750</v>
      </c>
      <c r="E47" s="570" t="s">
        <v>816</v>
      </c>
      <c r="F47" s="550"/>
    </row>
    <row r="48" spans="1:10" ht="55.2">
      <c r="A48" s="352" t="s">
        <v>4292</v>
      </c>
      <c r="B48" s="463" t="s">
        <v>1042</v>
      </c>
      <c r="C48" s="463" t="s">
        <v>1041</v>
      </c>
      <c r="D48" s="550">
        <v>750</v>
      </c>
      <c r="E48" s="570" t="s">
        <v>816</v>
      </c>
      <c r="F48" s="550"/>
    </row>
    <row r="49" spans="1:6" ht="55.2">
      <c r="A49" s="352" t="s">
        <v>4293</v>
      </c>
      <c r="B49" s="463" t="s">
        <v>1043</v>
      </c>
      <c r="C49" s="463" t="s">
        <v>1041</v>
      </c>
      <c r="D49" s="550">
        <v>750</v>
      </c>
      <c r="E49" s="570" t="s">
        <v>816</v>
      </c>
      <c r="F49" s="550"/>
    </row>
    <row r="50" spans="1:6" ht="27.6">
      <c r="A50" s="352" t="s">
        <v>4294</v>
      </c>
      <c r="B50" s="463" t="s">
        <v>818</v>
      </c>
      <c r="C50" s="463" t="s">
        <v>1044</v>
      </c>
      <c r="D50" s="550">
        <v>97200</v>
      </c>
      <c r="E50" s="570" t="s">
        <v>814</v>
      </c>
      <c r="F50" s="550"/>
    </row>
    <row r="51" spans="1:6" ht="27.6">
      <c r="A51" s="352" t="s">
        <v>4295</v>
      </c>
      <c r="B51" s="463" t="s">
        <v>820</v>
      </c>
      <c r="C51" s="463" t="s">
        <v>1044</v>
      </c>
      <c r="D51" s="550">
        <v>97200</v>
      </c>
      <c r="E51" s="570" t="s">
        <v>814</v>
      </c>
      <c r="F51" s="550"/>
    </row>
    <row r="52" spans="1:6" ht="27.6">
      <c r="A52" s="352" t="s">
        <v>4296</v>
      </c>
      <c r="B52" s="463" t="s">
        <v>821</v>
      </c>
      <c r="C52" s="463" t="s">
        <v>1044</v>
      </c>
      <c r="D52" s="550">
        <v>97200</v>
      </c>
      <c r="E52" s="570" t="s">
        <v>814</v>
      </c>
      <c r="F52" s="550"/>
    </row>
    <row r="53" spans="1:6" ht="27.6">
      <c r="A53" s="352" t="s">
        <v>4297</v>
      </c>
      <c r="B53" s="463" t="s">
        <v>822</v>
      </c>
      <c r="C53" s="463" t="s">
        <v>1044</v>
      </c>
      <c r="D53" s="550">
        <v>97200</v>
      </c>
      <c r="E53" s="570" t="s">
        <v>814</v>
      </c>
      <c r="F53" s="550"/>
    </row>
    <row r="54" spans="1:6" ht="27.6">
      <c r="A54" s="352" t="s">
        <v>4298</v>
      </c>
      <c r="B54" s="463" t="s">
        <v>823</v>
      </c>
      <c r="C54" s="463" t="s">
        <v>1044</v>
      </c>
      <c r="D54" s="550">
        <v>97200</v>
      </c>
      <c r="E54" s="570" t="s">
        <v>814</v>
      </c>
      <c r="F54" s="550"/>
    </row>
    <row r="55" spans="1:6" ht="27.6">
      <c r="A55" s="352" t="s">
        <v>4299</v>
      </c>
      <c r="B55" s="463" t="s">
        <v>818</v>
      </c>
      <c r="C55" s="463" t="s">
        <v>1045</v>
      </c>
      <c r="D55" s="550">
        <v>62500</v>
      </c>
      <c r="E55" s="570" t="s">
        <v>814</v>
      </c>
      <c r="F55" s="550"/>
    </row>
    <row r="56" spans="1:6" ht="27.6">
      <c r="A56" s="352" t="s">
        <v>4300</v>
      </c>
      <c r="B56" s="463" t="s">
        <v>820</v>
      </c>
      <c r="C56" s="463" t="s">
        <v>1045</v>
      </c>
      <c r="D56" s="550">
        <v>50000</v>
      </c>
      <c r="E56" s="570" t="s">
        <v>814</v>
      </c>
      <c r="F56" s="550"/>
    </row>
    <row r="57" spans="1:6" ht="27.6">
      <c r="A57" s="352" t="s">
        <v>4301</v>
      </c>
      <c r="B57" s="463" t="s">
        <v>821</v>
      </c>
      <c r="C57" s="463" t="s">
        <v>1045</v>
      </c>
      <c r="D57" s="550">
        <v>50000</v>
      </c>
      <c r="E57" s="570" t="s">
        <v>814</v>
      </c>
      <c r="F57" s="550"/>
    </row>
    <row r="58" spans="1:6" ht="27.6">
      <c r="A58" s="352" t="s">
        <v>4302</v>
      </c>
      <c r="B58" s="463" t="s">
        <v>822</v>
      </c>
      <c r="C58" s="463" t="s">
        <v>1045</v>
      </c>
      <c r="D58" s="550">
        <v>50000</v>
      </c>
      <c r="E58" s="570" t="s">
        <v>814</v>
      </c>
      <c r="F58" s="550"/>
    </row>
    <row r="59" spans="1:6" ht="27.6">
      <c r="A59" s="352" t="s">
        <v>4303</v>
      </c>
      <c r="B59" s="463" t="s">
        <v>823</v>
      </c>
      <c r="C59" s="463" t="s">
        <v>1045</v>
      </c>
      <c r="D59" s="550">
        <v>50000</v>
      </c>
      <c r="E59" s="570" t="s">
        <v>814</v>
      </c>
      <c r="F59" s="550"/>
    </row>
    <row r="60" spans="1:6" ht="27.6">
      <c r="A60" s="352" t="s">
        <v>4304</v>
      </c>
      <c r="B60" s="463" t="s">
        <v>773</v>
      </c>
      <c r="C60" s="463" t="s">
        <v>1064</v>
      </c>
      <c r="D60" s="550">
        <v>4734.25</v>
      </c>
      <c r="E60" s="570" t="s">
        <v>816</v>
      </c>
      <c r="F60" s="550"/>
    </row>
    <row r="61" spans="1:6" ht="27.6">
      <c r="A61" s="352" t="s">
        <v>4305</v>
      </c>
      <c r="B61" s="463" t="s">
        <v>1072</v>
      </c>
      <c r="C61" s="463" t="s">
        <v>1073</v>
      </c>
      <c r="D61" s="550">
        <v>1350</v>
      </c>
      <c r="E61" s="570" t="s">
        <v>816</v>
      </c>
      <c r="F61" s="550"/>
    </row>
    <row r="62" spans="1:6" ht="27.6">
      <c r="A62" s="352" t="s">
        <v>4306</v>
      </c>
      <c r="B62" s="460" t="s">
        <v>818</v>
      </c>
      <c r="C62" s="460" t="s">
        <v>1074</v>
      </c>
      <c r="D62" s="550">
        <v>528841.48</v>
      </c>
      <c r="E62" s="570" t="s">
        <v>816</v>
      </c>
      <c r="F62" s="550"/>
    </row>
    <row r="63" spans="1:6" ht="27.6">
      <c r="A63" s="352" t="s">
        <v>4307</v>
      </c>
      <c r="B63" s="460" t="s">
        <v>820</v>
      </c>
      <c r="C63" s="460" t="s">
        <v>1074</v>
      </c>
      <c r="D63" s="550">
        <v>241528.69</v>
      </c>
      <c r="E63" s="570" t="s">
        <v>816</v>
      </c>
      <c r="F63" s="550"/>
    </row>
    <row r="64" spans="1:6" ht="27.6">
      <c r="A64" s="352" t="s">
        <v>4308</v>
      </c>
      <c r="B64" s="460" t="s">
        <v>821</v>
      </c>
      <c r="C64" s="460" t="s">
        <v>1074</v>
      </c>
      <c r="D64" s="550">
        <v>337586.4</v>
      </c>
      <c r="E64" s="570" t="s">
        <v>816</v>
      </c>
      <c r="F64" s="550"/>
    </row>
    <row r="65" spans="1:6" ht="27.6">
      <c r="A65" s="352" t="s">
        <v>4309</v>
      </c>
      <c r="B65" s="460" t="s">
        <v>822</v>
      </c>
      <c r="C65" s="460" t="s">
        <v>1074</v>
      </c>
      <c r="D65" s="550">
        <v>355426.3600000001</v>
      </c>
      <c r="E65" s="570" t="s">
        <v>816</v>
      </c>
      <c r="F65" s="550"/>
    </row>
    <row r="66" spans="1:6" ht="27.6">
      <c r="A66" s="352" t="s">
        <v>4310</v>
      </c>
      <c r="B66" s="460" t="s">
        <v>823</v>
      </c>
      <c r="C66" s="460" t="s">
        <v>1074</v>
      </c>
      <c r="D66" s="550">
        <v>230967.52</v>
      </c>
      <c r="E66" s="570" t="s">
        <v>816</v>
      </c>
      <c r="F66" s="550"/>
    </row>
    <row r="67" spans="1:6" ht="27.6">
      <c r="A67" s="352" t="s">
        <v>4311</v>
      </c>
      <c r="B67" s="463" t="s">
        <v>1075</v>
      </c>
      <c r="C67" s="463" t="s">
        <v>1076</v>
      </c>
      <c r="D67" s="550">
        <v>65016.91</v>
      </c>
      <c r="E67" s="570" t="s">
        <v>816</v>
      </c>
      <c r="F67" s="550"/>
    </row>
    <row r="68" spans="1:6" ht="27.6">
      <c r="A68" s="352" t="s">
        <v>4312</v>
      </c>
      <c r="B68" s="463" t="s">
        <v>1075</v>
      </c>
      <c r="C68" s="463" t="s">
        <v>1076</v>
      </c>
      <c r="D68" s="550">
        <v>16881.330000000002</v>
      </c>
      <c r="E68" s="570" t="s">
        <v>816</v>
      </c>
      <c r="F68" s="550"/>
    </row>
    <row r="69" spans="1:6" ht="41.4">
      <c r="A69" s="352" t="s">
        <v>4313</v>
      </c>
      <c r="B69" s="463" t="s">
        <v>796</v>
      </c>
      <c r="C69" s="463" t="s">
        <v>1086</v>
      </c>
      <c r="D69" s="550">
        <v>4194.7300000000005</v>
      </c>
      <c r="E69" s="570" t="s">
        <v>816</v>
      </c>
      <c r="F69" s="550"/>
    </row>
    <row r="70" spans="1:6" ht="27.6">
      <c r="A70" s="352" t="s">
        <v>4314</v>
      </c>
      <c r="B70" s="463" t="s">
        <v>843</v>
      </c>
      <c r="C70" s="463" t="s">
        <v>1076</v>
      </c>
      <c r="D70" s="550">
        <v>36158</v>
      </c>
      <c r="E70" s="570" t="s">
        <v>816</v>
      </c>
      <c r="F70" s="550"/>
    </row>
    <row r="71" spans="1:6" ht="27.6">
      <c r="A71" s="352" t="s">
        <v>4315</v>
      </c>
      <c r="B71" s="463" t="s">
        <v>818</v>
      </c>
      <c r="C71" s="463" t="s">
        <v>1089</v>
      </c>
      <c r="D71" s="550">
        <v>1046300</v>
      </c>
      <c r="E71" s="570" t="s">
        <v>816</v>
      </c>
      <c r="F71" s="550"/>
    </row>
    <row r="72" spans="1:6" ht="27.6">
      <c r="A72" s="352" t="s">
        <v>4316</v>
      </c>
      <c r="B72" s="463" t="s">
        <v>820</v>
      </c>
      <c r="C72" s="463" t="s">
        <v>1089</v>
      </c>
      <c r="D72" s="550">
        <v>535050</v>
      </c>
      <c r="E72" s="570" t="s">
        <v>816</v>
      </c>
      <c r="F72" s="550"/>
    </row>
    <row r="73" spans="1:6" ht="27.6">
      <c r="A73" s="352" t="s">
        <v>4317</v>
      </c>
      <c r="B73" s="463" t="s">
        <v>821</v>
      </c>
      <c r="C73" s="463" t="s">
        <v>1089</v>
      </c>
      <c r="D73" s="550">
        <v>963500</v>
      </c>
      <c r="E73" s="570" t="s">
        <v>816</v>
      </c>
      <c r="F73" s="550"/>
    </row>
    <row r="74" spans="1:6" ht="27.6">
      <c r="A74" s="352" t="s">
        <v>4318</v>
      </c>
      <c r="B74" s="463" t="s">
        <v>822</v>
      </c>
      <c r="C74" s="463" t="s">
        <v>1089</v>
      </c>
      <c r="D74" s="550">
        <v>870350</v>
      </c>
      <c r="E74" s="570" t="s">
        <v>816</v>
      </c>
      <c r="F74" s="550"/>
    </row>
    <row r="75" spans="1:6" ht="27.6">
      <c r="A75" s="352" t="s">
        <v>4319</v>
      </c>
      <c r="B75" s="463" t="s">
        <v>823</v>
      </c>
      <c r="C75" s="463" t="s">
        <v>1089</v>
      </c>
      <c r="D75" s="550">
        <v>815900</v>
      </c>
      <c r="E75" s="570" t="s">
        <v>816</v>
      </c>
      <c r="F75" s="550"/>
    </row>
    <row r="76" spans="1:6" ht="27.6">
      <c r="A76" s="352" t="s">
        <v>4320</v>
      </c>
      <c r="B76" s="463" t="s">
        <v>10</v>
      </c>
      <c r="C76" s="463" t="s">
        <v>1095</v>
      </c>
      <c r="D76" s="550">
        <v>62014.22</v>
      </c>
      <c r="E76" s="570" t="s">
        <v>816</v>
      </c>
      <c r="F76" s="550"/>
    </row>
    <row r="77" spans="1:6" ht="27.6">
      <c r="A77" s="352" t="s">
        <v>4321</v>
      </c>
      <c r="B77" s="463" t="s">
        <v>789</v>
      </c>
      <c r="C77" s="463" t="s">
        <v>1095</v>
      </c>
      <c r="D77" s="550">
        <v>17167.73</v>
      </c>
      <c r="E77" s="570" t="s">
        <v>816</v>
      </c>
      <c r="F77" s="550"/>
    </row>
    <row r="78" spans="1:6" ht="27.6">
      <c r="A78" s="352" t="s">
        <v>4322</v>
      </c>
      <c r="B78" s="463" t="s">
        <v>777</v>
      </c>
      <c r="C78" s="463" t="s">
        <v>1095</v>
      </c>
      <c r="D78" s="550">
        <v>17698.68</v>
      </c>
      <c r="E78" s="570" t="s">
        <v>816</v>
      </c>
      <c r="F78" s="550"/>
    </row>
    <row r="79" spans="1:6" ht="27.6">
      <c r="A79" s="352" t="s">
        <v>4323</v>
      </c>
      <c r="B79" s="463" t="s">
        <v>764</v>
      </c>
      <c r="C79" s="463" t="s">
        <v>1095</v>
      </c>
      <c r="D79" s="550">
        <v>18167.440000000002</v>
      </c>
      <c r="E79" s="570" t="s">
        <v>816</v>
      </c>
      <c r="F79" s="550"/>
    </row>
    <row r="80" spans="1:6" ht="27.6">
      <c r="A80" s="352" t="s">
        <v>4324</v>
      </c>
      <c r="B80" s="463" t="s">
        <v>768</v>
      </c>
      <c r="C80" s="463" t="s">
        <v>1095</v>
      </c>
      <c r="D80" s="550">
        <v>21594.01</v>
      </c>
      <c r="E80" s="570" t="s">
        <v>816</v>
      </c>
      <c r="F80" s="550"/>
    </row>
    <row r="81" spans="1:6" ht="27.6">
      <c r="A81" s="352" t="s">
        <v>4325</v>
      </c>
      <c r="B81" s="463" t="s">
        <v>765</v>
      </c>
      <c r="C81" s="463" t="s">
        <v>1095</v>
      </c>
      <c r="D81" s="550">
        <v>12904.51</v>
      </c>
      <c r="E81" s="570" t="s">
        <v>816</v>
      </c>
      <c r="F81" s="550"/>
    </row>
    <row r="82" spans="1:6" ht="41.4">
      <c r="A82" s="352" t="s">
        <v>4326</v>
      </c>
      <c r="B82" s="463" t="s">
        <v>1102</v>
      </c>
      <c r="C82" s="463" t="s">
        <v>1103</v>
      </c>
      <c r="D82" s="550">
        <v>1200</v>
      </c>
      <c r="E82" s="570" t="s">
        <v>816</v>
      </c>
      <c r="F82" s="550"/>
    </row>
    <row r="83" spans="1:6" ht="41.4">
      <c r="A83" s="352" t="s">
        <v>4327</v>
      </c>
      <c r="B83" s="463" t="s">
        <v>1105</v>
      </c>
      <c r="C83" s="463" t="s">
        <v>1106</v>
      </c>
      <c r="D83" s="550">
        <v>8885.08</v>
      </c>
      <c r="E83" s="570" t="s">
        <v>816</v>
      </c>
      <c r="F83" s="550"/>
    </row>
    <row r="84" spans="1:6" ht="27.6">
      <c r="A84" s="352" t="s">
        <v>4328</v>
      </c>
      <c r="B84" s="463" t="s">
        <v>1108</v>
      </c>
      <c r="C84" s="463" t="s">
        <v>1109</v>
      </c>
      <c r="D84" s="550">
        <v>10600</v>
      </c>
      <c r="E84" s="570" t="s">
        <v>816</v>
      </c>
      <c r="F84" s="550"/>
    </row>
    <row r="85" spans="1:6" ht="55.2">
      <c r="A85" s="352" t="s">
        <v>4329</v>
      </c>
      <c r="B85" s="463" t="s">
        <v>1102</v>
      </c>
      <c r="C85" s="463" t="s">
        <v>1111</v>
      </c>
      <c r="D85" s="550">
        <v>2400</v>
      </c>
      <c r="E85" s="570" t="s">
        <v>816</v>
      </c>
      <c r="F85" s="550"/>
    </row>
    <row r="86" spans="1:6" ht="41.4">
      <c r="A86" s="352" t="s">
        <v>4330</v>
      </c>
      <c r="B86" s="463" t="s">
        <v>10</v>
      </c>
      <c r="C86" s="463" t="s">
        <v>1113</v>
      </c>
      <c r="D86" s="550">
        <v>2049964.0999999999</v>
      </c>
      <c r="E86" s="570" t="s">
        <v>816</v>
      </c>
      <c r="F86" s="550"/>
    </row>
    <row r="87" spans="1:6" ht="41.4">
      <c r="A87" s="352" t="s">
        <v>4331</v>
      </c>
      <c r="B87" s="463" t="s">
        <v>777</v>
      </c>
      <c r="C87" s="463" t="s">
        <v>1113</v>
      </c>
      <c r="D87" s="550">
        <v>429402.37</v>
      </c>
      <c r="E87" s="570" t="s">
        <v>816</v>
      </c>
      <c r="F87" s="550"/>
    </row>
    <row r="88" spans="1:6" ht="41.4">
      <c r="A88" s="352" t="s">
        <v>4332</v>
      </c>
      <c r="B88" s="463" t="s">
        <v>765</v>
      </c>
      <c r="C88" s="463" t="s">
        <v>1113</v>
      </c>
      <c r="D88" s="550">
        <v>389716.8</v>
      </c>
      <c r="E88" s="570" t="s">
        <v>816</v>
      </c>
      <c r="F88" s="550"/>
    </row>
    <row r="89" spans="1:6" ht="27.6">
      <c r="A89" s="352" t="s">
        <v>4333</v>
      </c>
      <c r="B89" s="463" t="s">
        <v>847</v>
      </c>
      <c r="C89" s="463" t="s">
        <v>1117</v>
      </c>
      <c r="D89" s="550">
        <v>457.27</v>
      </c>
      <c r="E89" s="570" t="s">
        <v>816</v>
      </c>
      <c r="F89" s="550"/>
    </row>
    <row r="90" spans="1:6" ht="27.6">
      <c r="A90" s="352" t="s">
        <v>4334</v>
      </c>
      <c r="B90" s="463" t="s">
        <v>1119</v>
      </c>
      <c r="C90" s="463" t="s">
        <v>1117</v>
      </c>
      <c r="D90" s="550">
        <v>258.18</v>
      </c>
      <c r="E90" s="570" t="s">
        <v>816</v>
      </c>
      <c r="F90" s="550"/>
    </row>
    <row r="91" spans="1:6" ht="27.6">
      <c r="A91" s="352" t="s">
        <v>4335</v>
      </c>
      <c r="B91" s="463" t="s">
        <v>833</v>
      </c>
      <c r="C91" s="463" t="s">
        <v>1121</v>
      </c>
      <c r="D91" s="550">
        <v>614.54999999999995</v>
      </c>
      <c r="E91" s="570" t="s">
        <v>816</v>
      </c>
      <c r="F91" s="550"/>
    </row>
    <row r="92" spans="1:6" ht="27.6">
      <c r="A92" s="352" t="s">
        <v>4336</v>
      </c>
      <c r="B92" s="463" t="s">
        <v>1030</v>
      </c>
      <c r="C92" s="463" t="s">
        <v>1123</v>
      </c>
      <c r="D92" s="550">
        <v>105049.54</v>
      </c>
      <c r="E92" s="570" t="s">
        <v>816</v>
      </c>
      <c r="F92" s="550"/>
    </row>
    <row r="93" spans="1:6" ht="27.6">
      <c r="A93" s="352" t="s">
        <v>4337</v>
      </c>
      <c r="B93" s="463" t="s">
        <v>872</v>
      </c>
      <c r="C93" s="463" t="s">
        <v>1125</v>
      </c>
      <c r="D93" s="550">
        <v>40307.629999999997</v>
      </c>
      <c r="E93" s="570" t="s">
        <v>816</v>
      </c>
      <c r="F93" s="550"/>
    </row>
    <row r="94" spans="1:6" ht="27.6">
      <c r="A94" s="352" t="s">
        <v>4338</v>
      </c>
      <c r="B94" s="463" t="s">
        <v>863</v>
      </c>
      <c r="C94" s="463" t="s">
        <v>1125</v>
      </c>
      <c r="D94" s="550">
        <v>51777.93</v>
      </c>
      <c r="E94" s="570" t="s">
        <v>816</v>
      </c>
      <c r="F94" s="550"/>
    </row>
    <row r="95" spans="1:6" ht="27.6">
      <c r="A95" s="352" t="s">
        <v>4339</v>
      </c>
      <c r="B95" s="409" t="s">
        <v>1128</v>
      </c>
      <c r="C95" s="409" t="s">
        <v>1129</v>
      </c>
      <c r="D95" s="550">
        <v>0</v>
      </c>
      <c r="E95" s="570" t="s">
        <v>816</v>
      </c>
      <c r="F95" s="550"/>
    </row>
    <row r="96" spans="1:6" ht="27.6">
      <c r="A96" s="352" t="s">
        <v>4340</v>
      </c>
      <c r="B96" s="463" t="s">
        <v>1131</v>
      </c>
      <c r="C96" s="463" t="s">
        <v>1132</v>
      </c>
      <c r="D96" s="550">
        <v>25000</v>
      </c>
      <c r="E96" s="570" t="s">
        <v>816</v>
      </c>
      <c r="F96" s="550"/>
    </row>
    <row r="97" spans="1:10" ht="27.6">
      <c r="A97" s="352" t="s">
        <v>4341</v>
      </c>
      <c r="B97" s="463" t="s">
        <v>1134</v>
      </c>
      <c r="C97" s="463" t="s">
        <v>1135</v>
      </c>
      <c r="D97" s="550">
        <v>1990</v>
      </c>
      <c r="E97" s="570" t="s">
        <v>816</v>
      </c>
      <c r="F97" s="550"/>
    </row>
    <row r="98" spans="1:10" ht="27.6">
      <c r="A98" s="352" t="s">
        <v>4342</v>
      </c>
      <c r="B98" s="463" t="s">
        <v>779</v>
      </c>
      <c r="C98" s="463" t="s">
        <v>1137</v>
      </c>
      <c r="D98" s="550">
        <v>170501.47</v>
      </c>
      <c r="E98" s="570" t="s">
        <v>816</v>
      </c>
      <c r="F98" s="550"/>
    </row>
    <row r="99" spans="1:10" ht="27.6">
      <c r="A99" s="352" t="s">
        <v>4343</v>
      </c>
      <c r="B99" s="409" t="s">
        <v>818</v>
      </c>
      <c r="C99" s="409" t="s">
        <v>1139</v>
      </c>
      <c r="D99" s="550">
        <v>0</v>
      </c>
      <c r="E99" s="570" t="s">
        <v>816</v>
      </c>
      <c r="F99" s="550"/>
    </row>
    <row r="100" spans="1:10" ht="27.6">
      <c r="A100" s="352" t="s">
        <v>4344</v>
      </c>
      <c r="B100" s="463" t="s">
        <v>820</v>
      </c>
      <c r="C100" s="463" t="s">
        <v>1139</v>
      </c>
      <c r="D100" s="550">
        <v>640000</v>
      </c>
      <c r="E100" s="570" t="s">
        <v>816</v>
      </c>
      <c r="F100" s="550"/>
    </row>
    <row r="101" spans="1:10" ht="27.6">
      <c r="A101" s="352" t="s">
        <v>4345</v>
      </c>
      <c r="B101" s="409" t="s">
        <v>821</v>
      </c>
      <c r="C101" s="409" t="s">
        <v>1139</v>
      </c>
      <c r="D101" s="550">
        <v>0</v>
      </c>
      <c r="E101" s="570" t="s">
        <v>816</v>
      </c>
      <c r="F101" s="550"/>
    </row>
    <row r="102" spans="1:10" ht="27.6">
      <c r="A102" s="352" t="s">
        <v>4346</v>
      </c>
      <c r="B102" s="409" t="s">
        <v>822</v>
      </c>
      <c r="C102" s="409" t="s">
        <v>1139</v>
      </c>
      <c r="D102" s="550">
        <v>0</v>
      </c>
      <c r="E102" s="570" t="s">
        <v>816</v>
      </c>
      <c r="F102" s="550"/>
      <c r="J102" s="548"/>
    </row>
    <row r="103" spans="1:10" ht="27.6">
      <c r="A103" s="352" t="s">
        <v>4347</v>
      </c>
      <c r="B103" s="409" t="s">
        <v>823</v>
      </c>
      <c r="C103" s="409" t="s">
        <v>1139</v>
      </c>
      <c r="D103" s="550">
        <v>0</v>
      </c>
      <c r="E103" s="570" t="s">
        <v>816</v>
      </c>
      <c r="F103" s="550"/>
      <c r="J103" s="548"/>
    </row>
    <row r="104" spans="1:10">
      <c r="A104" s="352" t="s">
        <v>4348</v>
      </c>
      <c r="B104" s="409" t="s">
        <v>818</v>
      </c>
      <c r="C104" s="409" t="s">
        <v>1145</v>
      </c>
      <c r="D104" s="550">
        <v>0</v>
      </c>
      <c r="E104" s="570" t="s">
        <v>816</v>
      </c>
      <c r="F104" s="550"/>
    </row>
    <row r="105" spans="1:10">
      <c r="A105" s="352" t="s">
        <v>4349</v>
      </c>
      <c r="B105" s="409" t="s">
        <v>820</v>
      </c>
      <c r="C105" s="409" t="s">
        <v>1145</v>
      </c>
      <c r="D105" s="550">
        <v>0</v>
      </c>
      <c r="E105" s="570" t="s">
        <v>816</v>
      </c>
      <c r="F105" s="550"/>
    </row>
    <row r="106" spans="1:10">
      <c r="A106" s="352" t="s">
        <v>4350</v>
      </c>
      <c r="B106" s="463" t="s">
        <v>821</v>
      </c>
      <c r="C106" s="463" t="s">
        <v>1145</v>
      </c>
      <c r="D106" s="550">
        <v>80335.709999999992</v>
      </c>
      <c r="E106" s="570" t="s">
        <v>816</v>
      </c>
      <c r="F106" s="550"/>
    </row>
    <row r="107" spans="1:10">
      <c r="A107" s="352" t="s">
        <v>4351</v>
      </c>
      <c r="B107" s="409" t="s">
        <v>822</v>
      </c>
      <c r="C107" s="409" t="s">
        <v>1145</v>
      </c>
      <c r="D107" s="550">
        <v>0</v>
      </c>
      <c r="E107" s="570" t="s">
        <v>816</v>
      </c>
      <c r="F107" s="550"/>
    </row>
    <row r="108" spans="1:10">
      <c r="A108" s="352" t="s">
        <v>4352</v>
      </c>
      <c r="B108" s="409" t="s">
        <v>823</v>
      </c>
      <c r="C108" s="409" t="s">
        <v>1145</v>
      </c>
      <c r="D108" s="550">
        <v>0</v>
      </c>
      <c r="E108" s="570" t="s">
        <v>816</v>
      </c>
      <c r="F108" s="550"/>
    </row>
    <row r="109" spans="1:10" ht="27.6">
      <c r="A109" s="352" t="s">
        <v>4353</v>
      </c>
      <c r="B109" s="409" t="s">
        <v>818</v>
      </c>
      <c r="C109" s="409" t="s">
        <v>1150</v>
      </c>
      <c r="D109" s="550">
        <v>0</v>
      </c>
      <c r="E109" s="570" t="s">
        <v>816</v>
      </c>
      <c r="F109" s="550"/>
    </row>
    <row r="110" spans="1:10" ht="27.6">
      <c r="A110" s="352" t="s">
        <v>4354</v>
      </c>
      <c r="B110" s="463" t="s">
        <v>820</v>
      </c>
      <c r="C110" s="463" t="s">
        <v>1150</v>
      </c>
      <c r="D110" s="550">
        <v>31356</v>
      </c>
      <c r="E110" s="570" t="s">
        <v>816</v>
      </c>
      <c r="F110" s="550"/>
    </row>
    <row r="111" spans="1:10" ht="27.6">
      <c r="A111" s="352" t="s">
        <v>4355</v>
      </c>
      <c r="B111" s="409" t="s">
        <v>823</v>
      </c>
      <c r="C111" s="409" t="s">
        <v>1150</v>
      </c>
      <c r="D111" s="550">
        <v>0</v>
      </c>
      <c r="E111" s="570" t="s">
        <v>816</v>
      </c>
      <c r="F111" s="550"/>
    </row>
    <row r="112" spans="1:10" ht="27.6">
      <c r="A112" s="352" t="s">
        <v>4356</v>
      </c>
      <c r="B112" s="409" t="s">
        <v>821</v>
      </c>
      <c r="C112" s="409" t="s">
        <v>1150</v>
      </c>
      <c r="D112" s="550">
        <v>0</v>
      </c>
      <c r="E112" s="570" t="s">
        <v>816</v>
      </c>
      <c r="F112" s="550"/>
    </row>
    <row r="113" spans="1:6" ht="27.6">
      <c r="A113" s="352" t="s">
        <v>4357</v>
      </c>
      <c r="B113" s="409" t="s">
        <v>822</v>
      </c>
      <c r="C113" s="409" t="s">
        <v>1150</v>
      </c>
      <c r="D113" s="550">
        <v>0</v>
      </c>
      <c r="E113" s="570" t="s">
        <v>816</v>
      </c>
      <c r="F113" s="550"/>
    </row>
    <row r="114" spans="1:6" ht="41.4">
      <c r="A114" s="352" t="s">
        <v>4358</v>
      </c>
      <c r="B114" s="463" t="s">
        <v>1157</v>
      </c>
      <c r="C114" s="463" t="s">
        <v>1158</v>
      </c>
      <c r="D114" s="550">
        <v>11500</v>
      </c>
      <c r="E114" s="570" t="s">
        <v>816</v>
      </c>
      <c r="F114" s="550"/>
    </row>
    <row r="115" spans="1:6" ht="41.4">
      <c r="A115" s="352" t="s">
        <v>4359</v>
      </c>
      <c r="B115" s="463" t="s">
        <v>789</v>
      </c>
      <c r="C115" s="463" t="s">
        <v>1113</v>
      </c>
      <c r="D115" s="550">
        <v>666486.65999999992</v>
      </c>
      <c r="E115" s="570" t="s">
        <v>816</v>
      </c>
      <c r="F115" s="550"/>
    </row>
    <row r="116" spans="1:6" ht="27.6">
      <c r="A116" s="352" t="s">
        <v>4360</v>
      </c>
      <c r="B116" s="463" t="s">
        <v>789</v>
      </c>
      <c r="C116" s="463" t="s">
        <v>1125</v>
      </c>
      <c r="D116" s="550">
        <v>92085.57</v>
      </c>
      <c r="E116" s="570" t="s">
        <v>816</v>
      </c>
      <c r="F116" s="550"/>
    </row>
    <row r="117" spans="1:6" ht="41.4">
      <c r="A117" s="352" t="s">
        <v>4361</v>
      </c>
      <c r="B117" s="463" t="s">
        <v>768</v>
      </c>
      <c r="C117" s="463" t="s">
        <v>1113</v>
      </c>
      <c r="D117" s="550">
        <v>688368.09</v>
      </c>
      <c r="E117" s="570" t="s">
        <v>816</v>
      </c>
      <c r="F117" s="550"/>
    </row>
    <row r="118" spans="1:6" ht="27.6">
      <c r="A118" s="352" t="s">
        <v>4362</v>
      </c>
      <c r="B118" s="463" t="s">
        <v>768</v>
      </c>
      <c r="C118" s="463" t="s">
        <v>1125</v>
      </c>
      <c r="D118" s="550">
        <v>92085.57</v>
      </c>
      <c r="E118" s="570" t="s">
        <v>816</v>
      </c>
      <c r="F118" s="550"/>
    </row>
    <row r="119" spans="1:6" ht="27.6">
      <c r="A119" s="352" t="s">
        <v>4363</v>
      </c>
      <c r="B119" s="463" t="s">
        <v>867</v>
      </c>
      <c r="C119" s="463" t="s">
        <v>1125</v>
      </c>
      <c r="D119" s="550">
        <v>40307.629999999997</v>
      </c>
      <c r="E119" s="570" t="s">
        <v>816</v>
      </c>
      <c r="F119" s="550"/>
    </row>
    <row r="120" spans="1:6" ht="41.4">
      <c r="A120" s="352" t="s">
        <v>4364</v>
      </c>
      <c r="B120" s="463" t="s">
        <v>764</v>
      </c>
      <c r="C120" s="463" t="s">
        <v>1113</v>
      </c>
      <c r="D120" s="550">
        <v>470812.07</v>
      </c>
      <c r="E120" s="570" t="s">
        <v>816</v>
      </c>
      <c r="F120" s="550"/>
    </row>
    <row r="121" spans="1:6" ht="27.6">
      <c r="A121" s="352" t="s">
        <v>4365</v>
      </c>
      <c r="B121" s="463" t="s">
        <v>869</v>
      </c>
      <c r="C121" s="463" t="s">
        <v>1125</v>
      </c>
      <c r="D121" s="550">
        <v>40307.629999999997</v>
      </c>
      <c r="E121" s="570" t="s">
        <v>816</v>
      </c>
      <c r="F121" s="550"/>
    </row>
    <row r="122" spans="1:6" ht="27.6">
      <c r="A122" s="352" t="s">
        <v>4366</v>
      </c>
      <c r="B122" s="463" t="s">
        <v>1165</v>
      </c>
      <c r="C122" s="463" t="s">
        <v>1166</v>
      </c>
      <c r="D122" s="550">
        <v>13614.41</v>
      </c>
      <c r="E122" s="570" t="s">
        <v>816</v>
      </c>
      <c r="F122" s="550"/>
    </row>
    <row r="123" spans="1:6" ht="27.6">
      <c r="A123" s="352" t="s">
        <v>4367</v>
      </c>
      <c r="B123" s="463" t="s">
        <v>1170</v>
      </c>
      <c r="C123" s="463" t="s">
        <v>1166</v>
      </c>
      <c r="D123" s="550">
        <v>13614.41</v>
      </c>
      <c r="E123" s="570" t="s">
        <v>816</v>
      </c>
      <c r="F123" s="550"/>
    </row>
    <row r="124" spans="1:6" ht="27.6">
      <c r="A124" s="352" t="s">
        <v>4368</v>
      </c>
      <c r="B124" s="463" t="s">
        <v>1172</v>
      </c>
      <c r="C124" s="463" t="s">
        <v>1166</v>
      </c>
      <c r="D124" s="550">
        <v>13614.41</v>
      </c>
      <c r="E124" s="570" t="s">
        <v>816</v>
      </c>
      <c r="F124" s="550"/>
    </row>
    <row r="125" spans="1:6" ht="27.6">
      <c r="A125" s="352" t="s">
        <v>4369</v>
      </c>
      <c r="B125" s="463" t="s">
        <v>1174</v>
      </c>
      <c r="C125" s="463" t="s">
        <v>1166</v>
      </c>
      <c r="D125" s="550">
        <v>13614.41</v>
      </c>
      <c r="E125" s="570" t="s">
        <v>816</v>
      </c>
      <c r="F125" s="550"/>
    </row>
    <row r="126" spans="1:6" ht="27.6">
      <c r="A126" s="352" t="s">
        <v>4370</v>
      </c>
      <c r="B126" s="463" t="s">
        <v>1176</v>
      </c>
      <c r="C126" s="463" t="s">
        <v>1166</v>
      </c>
      <c r="D126" s="550">
        <v>13614.41</v>
      </c>
      <c r="E126" s="570" t="s">
        <v>816</v>
      </c>
      <c r="F126" s="550"/>
    </row>
    <row r="127" spans="1:6" ht="27.6">
      <c r="A127" s="352" t="s">
        <v>4371</v>
      </c>
      <c r="B127" s="463" t="s">
        <v>1165</v>
      </c>
      <c r="C127" s="463" t="s">
        <v>1178</v>
      </c>
      <c r="D127" s="550">
        <v>29300.399999999998</v>
      </c>
      <c r="E127" s="570" t="s">
        <v>816</v>
      </c>
      <c r="F127" s="550"/>
    </row>
    <row r="128" spans="1:6" ht="41.4">
      <c r="A128" s="352" t="s">
        <v>4372</v>
      </c>
      <c r="B128" s="463" t="s">
        <v>1180</v>
      </c>
      <c r="C128" s="463" t="s">
        <v>1181</v>
      </c>
      <c r="D128" s="550">
        <v>28839.81</v>
      </c>
      <c r="E128" s="570" t="s">
        <v>816</v>
      </c>
      <c r="F128" s="550"/>
    </row>
    <row r="129" spans="1:6" ht="41.4">
      <c r="A129" s="352" t="s">
        <v>4373</v>
      </c>
      <c r="B129" s="463" t="s">
        <v>1180</v>
      </c>
      <c r="C129" s="463" t="s">
        <v>1183</v>
      </c>
      <c r="D129" s="550">
        <v>18000</v>
      </c>
      <c r="E129" s="570" t="s">
        <v>816</v>
      </c>
      <c r="F129" s="550"/>
    </row>
    <row r="130" spans="1:6" ht="41.4">
      <c r="A130" s="352" t="s">
        <v>4374</v>
      </c>
      <c r="B130" s="463" t="s">
        <v>1180</v>
      </c>
      <c r="C130" s="463" t="s">
        <v>1185</v>
      </c>
      <c r="D130" s="550">
        <v>560</v>
      </c>
      <c r="E130" s="570" t="s">
        <v>816</v>
      </c>
      <c r="F130" s="550"/>
    </row>
    <row r="131" spans="1:6" ht="41.4">
      <c r="A131" s="352" t="s">
        <v>4375</v>
      </c>
      <c r="B131" s="463" t="s">
        <v>1180</v>
      </c>
      <c r="C131" s="463" t="s">
        <v>1187</v>
      </c>
      <c r="D131" s="550">
        <v>918.4</v>
      </c>
      <c r="E131" s="570" t="s">
        <v>816</v>
      </c>
      <c r="F131" s="550"/>
    </row>
    <row r="132" spans="1:6" ht="55.2">
      <c r="A132" s="352" t="s">
        <v>4376</v>
      </c>
      <c r="B132" s="463" t="s">
        <v>1189</v>
      </c>
      <c r="C132" s="463" t="s">
        <v>1190</v>
      </c>
      <c r="D132" s="550">
        <v>14000</v>
      </c>
      <c r="E132" s="570" t="s">
        <v>816</v>
      </c>
      <c r="F132" s="550"/>
    </row>
    <row r="133" spans="1:6" ht="27.6">
      <c r="A133" s="352" t="s">
        <v>4377</v>
      </c>
      <c r="B133" s="463" t="s">
        <v>1192</v>
      </c>
      <c r="C133" s="463" t="s">
        <v>1193</v>
      </c>
      <c r="D133" s="550">
        <v>8774</v>
      </c>
      <c r="E133" s="570" t="s">
        <v>816</v>
      </c>
      <c r="F133" s="550"/>
    </row>
    <row r="134" spans="1:6" ht="55.2">
      <c r="A134" s="352" t="s">
        <v>4378</v>
      </c>
      <c r="B134" s="463" t="s">
        <v>1195</v>
      </c>
      <c r="C134" s="463" t="s">
        <v>1196</v>
      </c>
      <c r="D134" s="550">
        <v>2850</v>
      </c>
      <c r="E134" s="570" t="s">
        <v>816</v>
      </c>
      <c r="F134" s="550"/>
    </row>
    <row r="135" spans="1:6" ht="55.2">
      <c r="A135" s="352" t="s">
        <v>4379</v>
      </c>
      <c r="B135" s="463" t="s">
        <v>1195</v>
      </c>
      <c r="C135" s="463" t="s">
        <v>1205</v>
      </c>
      <c r="D135" s="550">
        <v>500</v>
      </c>
      <c r="E135" s="570" t="s">
        <v>816</v>
      </c>
      <c r="F135" s="550"/>
    </row>
    <row r="136" spans="1:6" ht="27.6">
      <c r="A136" s="352" t="s">
        <v>4380</v>
      </c>
      <c r="B136" s="463" t="s">
        <v>823</v>
      </c>
      <c r="C136" s="463" t="s">
        <v>1206</v>
      </c>
      <c r="D136" s="550">
        <v>100000</v>
      </c>
      <c r="E136" s="570" t="s">
        <v>815</v>
      </c>
      <c r="F136" s="550"/>
    </row>
    <row r="137" spans="1:6" ht="27.6">
      <c r="A137" s="352" t="s">
        <v>4381</v>
      </c>
      <c r="B137" s="409" t="s">
        <v>822</v>
      </c>
      <c r="C137" s="409" t="s">
        <v>1206</v>
      </c>
      <c r="D137" s="550">
        <v>0</v>
      </c>
      <c r="E137" s="570" t="s">
        <v>815</v>
      </c>
      <c r="F137" s="550"/>
    </row>
    <row r="138" spans="1:6" ht="27.6">
      <c r="A138" s="352" t="s">
        <v>4382</v>
      </c>
      <c r="B138" s="409" t="s">
        <v>821</v>
      </c>
      <c r="C138" s="409" t="s">
        <v>1206</v>
      </c>
      <c r="D138" s="550">
        <v>0</v>
      </c>
      <c r="E138" s="570" t="s">
        <v>815</v>
      </c>
      <c r="F138" s="550"/>
    </row>
    <row r="139" spans="1:6" ht="27.6">
      <c r="A139" s="352" t="s">
        <v>4383</v>
      </c>
      <c r="B139" s="463" t="s">
        <v>820</v>
      </c>
      <c r="C139" s="463" t="s">
        <v>1206</v>
      </c>
      <c r="D139" s="550">
        <v>135125</v>
      </c>
      <c r="E139" s="570" t="s">
        <v>815</v>
      </c>
      <c r="F139" s="550"/>
    </row>
    <row r="140" spans="1:6" ht="27.6">
      <c r="A140" s="352" t="s">
        <v>4384</v>
      </c>
      <c r="B140" s="409" t="s">
        <v>818</v>
      </c>
      <c r="C140" s="409" t="s">
        <v>1206</v>
      </c>
      <c r="D140" s="550">
        <v>0</v>
      </c>
      <c r="E140" s="570" t="s">
        <v>815</v>
      </c>
      <c r="F140" s="550"/>
    </row>
    <row r="141" spans="1:6" ht="27.6">
      <c r="A141" s="352" t="s">
        <v>4385</v>
      </c>
      <c r="B141" s="409" t="s">
        <v>1036</v>
      </c>
      <c r="C141" s="409" t="s">
        <v>1207</v>
      </c>
      <c r="D141" s="550">
        <v>0</v>
      </c>
      <c r="E141" s="570" t="s">
        <v>816</v>
      </c>
      <c r="F141" s="550"/>
    </row>
    <row r="142" spans="1:6" ht="27.6">
      <c r="A142" s="352" t="s">
        <v>4386</v>
      </c>
      <c r="B142" s="409" t="s">
        <v>823</v>
      </c>
      <c r="C142" s="409" t="s">
        <v>1213</v>
      </c>
      <c r="D142" s="550">
        <v>0</v>
      </c>
      <c r="E142" s="570" t="s">
        <v>813</v>
      </c>
      <c r="F142" s="550"/>
    </row>
    <row r="143" spans="1:6" ht="27.6">
      <c r="A143" s="352" t="s">
        <v>4387</v>
      </c>
      <c r="B143" s="409" t="s">
        <v>822</v>
      </c>
      <c r="C143" s="409" t="s">
        <v>1213</v>
      </c>
      <c r="D143" s="550">
        <v>0</v>
      </c>
      <c r="E143" s="570" t="s">
        <v>813</v>
      </c>
      <c r="F143" s="550"/>
    </row>
    <row r="144" spans="1:6" ht="27.6">
      <c r="A144" s="352" t="s">
        <v>4388</v>
      </c>
      <c r="B144" s="409" t="s">
        <v>821</v>
      </c>
      <c r="C144" s="409" t="s">
        <v>1213</v>
      </c>
      <c r="D144" s="550">
        <v>0</v>
      </c>
      <c r="E144" s="570" t="s">
        <v>813</v>
      </c>
      <c r="F144" s="550"/>
    </row>
    <row r="145" spans="1:6" ht="27.6">
      <c r="A145" s="352" t="s">
        <v>4389</v>
      </c>
      <c r="B145" s="409" t="s">
        <v>820</v>
      </c>
      <c r="C145" s="409" t="s">
        <v>1213</v>
      </c>
      <c r="D145" s="550">
        <v>0</v>
      </c>
      <c r="E145" s="570" t="s">
        <v>813</v>
      </c>
      <c r="F145" s="550"/>
    </row>
    <row r="146" spans="1:6" ht="27.6">
      <c r="A146" s="352" t="s">
        <v>4390</v>
      </c>
      <c r="B146" s="409" t="s">
        <v>818</v>
      </c>
      <c r="C146" s="409" t="s">
        <v>1213</v>
      </c>
      <c r="D146" s="550">
        <v>0</v>
      </c>
      <c r="E146" s="570" t="s">
        <v>813</v>
      </c>
      <c r="F146" s="550"/>
    </row>
    <row r="147" spans="1:6" ht="27.6">
      <c r="A147" s="352" t="s">
        <v>4391</v>
      </c>
      <c r="B147" s="463" t="s">
        <v>1214</v>
      </c>
      <c r="C147" s="463" t="s">
        <v>1215</v>
      </c>
      <c r="D147" s="550">
        <v>22320</v>
      </c>
      <c r="E147" s="570" t="s">
        <v>814</v>
      </c>
      <c r="F147" s="550"/>
    </row>
    <row r="148" spans="1:6" ht="27.6">
      <c r="A148" s="352" t="s">
        <v>4392</v>
      </c>
      <c r="B148" s="463" t="s">
        <v>1030</v>
      </c>
      <c r="C148" s="463" t="s">
        <v>1223</v>
      </c>
      <c r="D148" s="550">
        <v>144603.29</v>
      </c>
      <c r="E148" s="570" t="s">
        <v>816</v>
      </c>
      <c r="F148" s="550"/>
    </row>
    <row r="149" spans="1:6" ht="27.6">
      <c r="A149" s="352" t="s">
        <v>4393</v>
      </c>
      <c r="B149" s="463" t="s">
        <v>1030</v>
      </c>
      <c r="C149" s="463" t="s">
        <v>1225</v>
      </c>
      <c r="D149" s="550">
        <v>119889.07</v>
      </c>
      <c r="E149" s="570" t="s">
        <v>816</v>
      </c>
      <c r="F149" s="550"/>
    </row>
    <row r="150" spans="1:6" ht="27.6">
      <c r="A150" s="352" t="s">
        <v>4394</v>
      </c>
      <c r="B150" s="463" t="s">
        <v>1030</v>
      </c>
      <c r="C150" s="463" t="s">
        <v>1227</v>
      </c>
      <c r="D150" s="550">
        <v>83142.720000000001</v>
      </c>
      <c r="E150" s="570" t="s">
        <v>816</v>
      </c>
      <c r="F150" s="550"/>
    </row>
    <row r="151" spans="1:6" ht="27.6">
      <c r="A151" s="352" t="s">
        <v>4395</v>
      </c>
      <c r="B151" s="463" t="s">
        <v>1030</v>
      </c>
      <c r="C151" s="463" t="s">
        <v>1227</v>
      </c>
      <c r="D151" s="550">
        <v>106531.33</v>
      </c>
      <c r="E151" s="570" t="s">
        <v>816</v>
      </c>
      <c r="F151" s="550"/>
    </row>
    <row r="152" spans="1:6" ht="27.6">
      <c r="A152" s="352" t="s">
        <v>4396</v>
      </c>
      <c r="B152" s="409" t="s">
        <v>1230</v>
      </c>
      <c r="C152" s="409" t="s">
        <v>1231</v>
      </c>
      <c r="D152" s="550">
        <v>0</v>
      </c>
      <c r="E152" s="570" t="s">
        <v>814</v>
      </c>
      <c r="F152" s="550"/>
    </row>
    <row r="153" spans="1:6" ht="27.6">
      <c r="A153" s="352" t="s">
        <v>4397</v>
      </c>
      <c r="B153" s="409" t="s">
        <v>1102</v>
      </c>
      <c r="C153" s="409" t="s">
        <v>1233</v>
      </c>
      <c r="D153" s="550">
        <v>0</v>
      </c>
      <c r="E153" s="570" t="s">
        <v>816</v>
      </c>
      <c r="F153" s="550"/>
    </row>
    <row r="154" spans="1:6" ht="27.6">
      <c r="A154" s="352" t="s">
        <v>4398</v>
      </c>
      <c r="B154" s="463" t="s">
        <v>1235</v>
      </c>
      <c r="C154" s="463" t="s">
        <v>1236</v>
      </c>
      <c r="D154" s="550">
        <v>10000</v>
      </c>
      <c r="E154" s="570" t="s">
        <v>816</v>
      </c>
      <c r="F154" s="550"/>
    </row>
    <row r="155" spans="1:6" ht="27.6">
      <c r="A155" s="352" t="s">
        <v>4399</v>
      </c>
      <c r="B155" s="463" t="s">
        <v>1075</v>
      </c>
      <c r="C155" s="463" t="s">
        <v>1236</v>
      </c>
      <c r="D155" s="550">
        <v>10790</v>
      </c>
      <c r="E155" s="570" t="s">
        <v>816</v>
      </c>
      <c r="F155" s="550"/>
    </row>
    <row r="156" spans="1:6" ht="27.6">
      <c r="A156" s="352" t="s">
        <v>4400</v>
      </c>
      <c r="B156" s="463" t="s">
        <v>1075</v>
      </c>
      <c r="C156" s="463" t="s">
        <v>1236</v>
      </c>
      <c r="D156" s="550">
        <v>12352.18</v>
      </c>
      <c r="E156" s="570" t="s">
        <v>816</v>
      </c>
      <c r="F156" s="550"/>
    </row>
    <row r="157" spans="1:6" ht="27.6">
      <c r="A157" s="352" t="s">
        <v>4401</v>
      </c>
      <c r="B157" s="463" t="s">
        <v>1075</v>
      </c>
      <c r="C157" s="463" t="s">
        <v>1236</v>
      </c>
      <c r="D157" s="550">
        <v>23474</v>
      </c>
      <c r="E157" s="570" t="s">
        <v>816</v>
      </c>
      <c r="F157" s="550"/>
    </row>
    <row r="158" spans="1:6" ht="27.6">
      <c r="A158" s="352" t="s">
        <v>4402</v>
      </c>
      <c r="B158" s="463" t="s">
        <v>1075</v>
      </c>
      <c r="C158" s="463" t="s">
        <v>1236</v>
      </c>
      <c r="D158" s="550">
        <v>27256.91</v>
      </c>
      <c r="E158" s="570" t="s">
        <v>816</v>
      </c>
      <c r="F158" s="550"/>
    </row>
    <row r="159" spans="1:6" ht="27.6">
      <c r="A159" s="352" t="s">
        <v>4403</v>
      </c>
      <c r="B159" s="463" t="s">
        <v>1242</v>
      </c>
      <c r="C159" s="463" t="s">
        <v>1243</v>
      </c>
      <c r="D159" s="550">
        <v>7321.62</v>
      </c>
      <c r="E159" s="570" t="s">
        <v>816</v>
      </c>
      <c r="F159" s="550"/>
    </row>
    <row r="160" spans="1:6" ht="27.6">
      <c r="A160" s="352" t="s">
        <v>4404</v>
      </c>
      <c r="B160" s="409" t="s">
        <v>1245</v>
      </c>
      <c r="C160" s="409" t="s">
        <v>1246</v>
      </c>
      <c r="D160" s="550">
        <v>0</v>
      </c>
      <c r="E160" s="570" t="s">
        <v>816</v>
      </c>
      <c r="F160" s="550"/>
    </row>
    <row r="161" spans="1:6" ht="27.6">
      <c r="A161" s="352" t="s">
        <v>4405</v>
      </c>
      <c r="B161" s="409" t="s">
        <v>1245</v>
      </c>
      <c r="C161" s="409" t="s">
        <v>1248</v>
      </c>
      <c r="D161" s="550">
        <v>0</v>
      </c>
      <c r="E161" s="570" t="s">
        <v>4602</v>
      </c>
      <c r="F161" s="550"/>
    </row>
    <row r="162" spans="1:6" ht="27.6">
      <c r="A162" s="352" t="s">
        <v>4406</v>
      </c>
      <c r="B162" s="463" t="s">
        <v>863</v>
      </c>
      <c r="C162" s="463" t="s">
        <v>1250</v>
      </c>
      <c r="D162" s="550">
        <v>0.01</v>
      </c>
      <c r="E162" s="570" t="s">
        <v>816</v>
      </c>
      <c r="F162" s="550"/>
    </row>
    <row r="163" spans="1:6" ht="41.4">
      <c r="A163" s="352" t="s">
        <v>4407</v>
      </c>
      <c r="B163" s="409" t="s">
        <v>818</v>
      </c>
      <c r="C163" s="409" t="s">
        <v>1252</v>
      </c>
      <c r="D163" s="550">
        <v>0</v>
      </c>
      <c r="E163" s="570" t="s">
        <v>816</v>
      </c>
      <c r="F163" s="550"/>
    </row>
    <row r="164" spans="1:6" ht="41.4">
      <c r="A164" s="352" t="s">
        <v>4408</v>
      </c>
      <c r="B164" s="409" t="s">
        <v>820</v>
      </c>
      <c r="C164" s="409" t="s">
        <v>1252</v>
      </c>
      <c r="D164" s="550">
        <v>0</v>
      </c>
      <c r="E164" s="570" t="s">
        <v>816</v>
      </c>
      <c r="F164" s="550"/>
    </row>
    <row r="165" spans="1:6" ht="41.4">
      <c r="A165" s="352" t="s">
        <v>4409</v>
      </c>
      <c r="B165" s="409" t="s">
        <v>822</v>
      </c>
      <c r="C165" s="409" t="s">
        <v>1252</v>
      </c>
      <c r="D165" s="550">
        <v>0</v>
      </c>
      <c r="E165" s="570" t="s">
        <v>816</v>
      </c>
      <c r="F165" s="550"/>
    </row>
    <row r="166" spans="1:6" ht="69">
      <c r="A166" s="352" t="s">
        <v>4410</v>
      </c>
      <c r="B166" s="409" t="s">
        <v>1257</v>
      </c>
      <c r="C166" s="409" t="s">
        <v>1258</v>
      </c>
      <c r="D166" s="550">
        <v>0</v>
      </c>
      <c r="E166" s="570" t="s">
        <v>816</v>
      </c>
      <c r="F166" s="550"/>
    </row>
    <row r="167" spans="1:6" ht="27.6">
      <c r="A167" s="352" t="s">
        <v>4411</v>
      </c>
      <c r="B167" s="409" t="s">
        <v>1172</v>
      </c>
      <c r="C167" s="409" t="s">
        <v>1260</v>
      </c>
      <c r="D167" s="550">
        <v>0</v>
      </c>
      <c r="E167" s="570" t="s">
        <v>816</v>
      </c>
      <c r="F167" s="550"/>
    </row>
    <row r="168" spans="1:6" ht="27.6">
      <c r="A168" s="352" t="s">
        <v>4412</v>
      </c>
      <c r="B168" s="409" t="s">
        <v>1174</v>
      </c>
      <c r="C168" s="409" t="s">
        <v>1260</v>
      </c>
      <c r="D168" s="550">
        <v>0</v>
      </c>
      <c r="E168" s="570" t="s">
        <v>816</v>
      </c>
      <c r="F168" s="550"/>
    </row>
    <row r="169" spans="1:6" ht="27.6">
      <c r="A169" s="352" t="s">
        <v>4413</v>
      </c>
      <c r="B169" s="409" t="s">
        <v>1030</v>
      </c>
      <c r="C169" s="409" t="s">
        <v>1263</v>
      </c>
      <c r="D169" s="550">
        <v>0</v>
      </c>
      <c r="E169" s="570" t="s">
        <v>816</v>
      </c>
      <c r="F169" s="550"/>
    </row>
    <row r="170" spans="1:6" ht="27.6">
      <c r="A170" s="352" t="s">
        <v>4414</v>
      </c>
      <c r="B170" s="439" t="s">
        <v>1030</v>
      </c>
      <c r="C170" s="439" t="s">
        <v>1263</v>
      </c>
      <c r="D170" s="550">
        <v>83842.210000000006</v>
      </c>
      <c r="E170" s="570" t="s">
        <v>816</v>
      </c>
      <c r="F170" s="550"/>
    </row>
    <row r="171" spans="1:6" ht="27.6">
      <c r="A171" s="352" t="s">
        <v>4415</v>
      </c>
      <c r="B171" s="439" t="s">
        <v>1030</v>
      </c>
      <c r="C171" s="439" t="s">
        <v>1263</v>
      </c>
      <c r="D171" s="550">
        <v>83842.210000000006</v>
      </c>
      <c r="E171" s="570" t="s">
        <v>816</v>
      </c>
      <c r="F171" s="550"/>
    </row>
    <row r="172" spans="1:6" ht="27.6">
      <c r="A172" s="352" t="s">
        <v>4416</v>
      </c>
      <c r="B172" s="463" t="s">
        <v>1176</v>
      </c>
      <c r="C172" s="463" t="s">
        <v>1260</v>
      </c>
      <c r="D172" s="550">
        <v>29300.399999999998</v>
      </c>
      <c r="E172" s="570" t="s">
        <v>816</v>
      </c>
      <c r="F172" s="550"/>
    </row>
    <row r="173" spans="1:6" ht="27.6">
      <c r="A173" s="352" t="s">
        <v>4417</v>
      </c>
      <c r="B173" s="463" t="s">
        <v>1272</v>
      </c>
      <c r="C173" s="463" t="s">
        <v>1273</v>
      </c>
      <c r="D173" s="550">
        <v>9170</v>
      </c>
      <c r="E173" s="570" t="s">
        <v>816</v>
      </c>
      <c r="F173" s="550"/>
    </row>
    <row r="174" spans="1:6" ht="41.4">
      <c r="A174" s="352" t="s">
        <v>4418</v>
      </c>
      <c r="B174" s="463" t="s">
        <v>1275</v>
      </c>
      <c r="C174" s="463" t="s">
        <v>1276</v>
      </c>
      <c r="D174" s="550">
        <v>1200</v>
      </c>
      <c r="E174" s="570" t="s">
        <v>816</v>
      </c>
      <c r="F174" s="550"/>
    </row>
    <row r="175" spans="1:6" ht="27.6">
      <c r="A175" s="352" t="s">
        <v>4419</v>
      </c>
      <c r="B175" s="463" t="s">
        <v>1036</v>
      </c>
      <c r="C175" s="463" t="s">
        <v>1207</v>
      </c>
      <c r="D175" s="550">
        <v>2404.7800000000002</v>
      </c>
      <c r="E175" s="570" t="s">
        <v>816</v>
      </c>
      <c r="F175" s="550"/>
    </row>
    <row r="176" spans="1:6" ht="69">
      <c r="A176" s="352" t="s">
        <v>4420</v>
      </c>
      <c r="B176" s="439" t="s">
        <v>1257</v>
      </c>
      <c r="C176" s="439" t="s">
        <v>1258</v>
      </c>
      <c r="D176" s="550">
        <v>2800</v>
      </c>
      <c r="E176" s="570" t="s">
        <v>816</v>
      </c>
      <c r="F176" s="550"/>
    </row>
    <row r="177" spans="1:6" ht="27.6">
      <c r="A177" s="352" t="s">
        <v>4421</v>
      </c>
      <c r="B177" s="439" t="s">
        <v>1172</v>
      </c>
      <c r="C177" s="439" t="s">
        <v>1260</v>
      </c>
      <c r="D177" s="550">
        <v>29300.399999999998</v>
      </c>
      <c r="E177" s="570" t="s">
        <v>816</v>
      </c>
      <c r="F177" s="550"/>
    </row>
    <row r="178" spans="1:6" ht="27.6">
      <c r="A178" s="352" t="s">
        <v>4422</v>
      </c>
      <c r="B178" s="439" t="s">
        <v>1174</v>
      </c>
      <c r="C178" s="439" t="s">
        <v>1260</v>
      </c>
      <c r="D178" s="550">
        <v>29300.399999999998</v>
      </c>
      <c r="E178" s="570" t="s">
        <v>816</v>
      </c>
      <c r="F178" s="550"/>
    </row>
    <row r="179" spans="1:6" ht="27.6">
      <c r="A179" s="352" t="s">
        <v>4423</v>
      </c>
      <c r="B179" s="439" t="s">
        <v>1230</v>
      </c>
      <c r="C179" s="439" t="s">
        <v>1231</v>
      </c>
      <c r="D179" s="550">
        <v>11000</v>
      </c>
      <c r="E179" s="570" t="s">
        <v>814</v>
      </c>
      <c r="F179" s="550"/>
    </row>
    <row r="180" spans="1:6" ht="41.4">
      <c r="A180" s="352" t="s">
        <v>4424</v>
      </c>
      <c r="B180" s="439" t="s">
        <v>1102</v>
      </c>
      <c r="C180" s="439" t="s">
        <v>1283</v>
      </c>
      <c r="D180" s="550">
        <v>2500</v>
      </c>
      <c r="E180" s="570" t="s">
        <v>816</v>
      </c>
      <c r="F180" s="550"/>
    </row>
    <row r="181" spans="1:6" ht="27.6">
      <c r="A181" s="352" t="s">
        <v>4425</v>
      </c>
      <c r="B181" s="463" t="s">
        <v>773</v>
      </c>
      <c r="C181" s="463" t="s">
        <v>1285</v>
      </c>
      <c r="D181" s="550">
        <v>4223.5</v>
      </c>
      <c r="E181" s="570" t="s">
        <v>816</v>
      </c>
      <c r="F181" s="550"/>
    </row>
    <row r="182" spans="1:6" ht="27.6">
      <c r="A182" s="352" t="s">
        <v>4426</v>
      </c>
      <c r="B182" s="463" t="s">
        <v>1235</v>
      </c>
      <c r="C182" s="463" t="s">
        <v>1288</v>
      </c>
      <c r="D182" s="550">
        <v>10000</v>
      </c>
      <c r="E182" s="570" t="s">
        <v>816</v>
      </c>
      <c r="F182" s="550"/>
    </row>
    <row r="183" spans="1:6" ht="27.6">
      <c r="A183" s="352" t="s">
        <v>4427</v>
      </c>
      <c r="B183" s="463" t="s">
        <v>1075</v>
      </c>
      <c r="C183" s="463" t="s">
        <v>1288</v>
      </c>
      <c r="D183" s="550">
        <v>27760</v>
      </c>
      <c r="E183" s="570" t="s">
        <v>816</v>
      </c>
      <c r="F183" s="550"/>
    </row>
    <row r="184" spans="1:6" ht="27.6">
      <c r="A184" s="352" t="s">
        <v>4428</v>
      </c>
      <c r="B184" s="463" t="s">
        <v>1290</v>
      </c>
      <c r="C184" s="463" t="s">
        <v>1291</v>
      </c>
      <c r="D184" s="550">
        <v>16332.5</v>
      </c>
      <c r="E184" s="570" t="s">
        <v>816</v>
      </c>
      <c r="F184" s="550"/>
    </row>
    <row r="185" spans="1:6" ht="27.6">
      <c r="A185" s="352" t="s">
        <v>4429</v>
      </c>
      <c r="B185" s="463" t="s">
        <v>1075</v>
      </c>
      <c r="C185" s="463" t="s">
        <v>1288</v>
      </c>
      <c r="D185" s="550">
        <v>22316</v>
      </c>
      <c r="E185" s="570" t="s">
        <v>816</v>
      </c>
      <c r="F185" s="550"/>
    </row>
    <row r="186" spans="1:6" ht="27.6">
      <c r="A186" s="352" t="s">
        <v>4430</v>
      </c>
      <c r="B186" s="463" t="s">
        <v>1075</v>
      </c>
      <c r="C186" s="463" t="s">
        <v>1288</v>
      </c>
      <c r="D186" s="550">
        <v>13034</v>
      </c>
      <c r="E186" s="570" t="s">
        <v>816</v>
      </c>
      <c r="F186" s="550"/>
    </row>
    <row r="187" spans="1:6">
      <c r="A187" s="352" t="s">
        <v>4431</v>
      </c>
      <c r="B187" s="463" t="s">
        <v>1643</v>
      </c>
      <c r="C187" s="463" t="s">
        <v>1295</v>
      </c>
      <c r="D187" s="550">
        <v>150000</v>
      </c>
      <c r="E187" s="570" t="s">
        <v>816</v>
      </c>
      <c r="F187" s="550"/>
    </row>
    <row r="188" spans="1:6" ht="27.6">
      <c r="A188" s="352" t="s">
        <v>4432</v>
      </c>
      <c r="B188" s="463" t="s">
        <v>1297</v>
      </c>
      <c r="C188" s="463" t="s">
        <v>1298</v>
      </c>
      <c r="D188" s="550">
        <v>64106</v>
      </c>
      <c r="E188" s="570" t="s">
        <v>816</v>
      </c>
      <c r="F188" s="550"/>
    </row>
    <row r="189" spans="1:6" ht="27.6">
      <c r="A189" s="352" t="s">
        <v>4433</v>
      </c>
      <c r="B189" s="463" t="s">
        <v>1300</v>
      </c>
      <c r="C189" s="463" t="s">
        <v>1301</v>
      </c>
      <c r="D189" s="550">
        <v>16332.5</v>
      </c>
      <c r="E189" s="570" t="s">
        <v>816</v>
      </c>
      <c r="F189" s="550"/>
    </row>
    <row r="190" spans="1:6" ht="41.4">
      <c r="A190" s="352" t="s">
        <v>4434</v>
      </c>
      <c r="B190" s="463" t="s">
        <v>1303</v>
      </c>
      <c r="C190" s="463" t="s">
        <v>1304</v>
      </c>
      <c r="D190" s="550">
        <v>9900</v>
      </c>
      <c r="E190" s="570" t="s">
        <v>815</v>
      </c>
      <c r="F190" s="550"/>
    </row>
    <row r="191" spans="1:6" ht="27.6">
      <c r="A191" s="352" t="s">
        <v>4435</v>
      </c>
      <c r="B191" s="463" t="s">
        <v>1105</v>
      </c>
      <c r="C191" s="463" t="s">
        <v>1309</v>
      </c>
      <c r="D191" s="550">
        <v>6617.76</v>
      </c>
      <c r="E191" s="570" t="s">
        <v>816</v>
      </c>
      <c r="F191" s="550"/>
    </row>
    <row r="192" spans="1:6" ht="27.6">
      <c r="A192" s="352" t="s">
        <v>4436</v>
      </c>
      <c r="B192" s="463" t="s">
        <v>1307</v>
      </c>
      <c r="C192" s="463" t="s">
        <v>1308</v>
      </c>
      <c r="D192" s="550">
        <v>2179.06</v>
      </c>
      <c r="E192" s="570" t="s">
        <v>816</v>
      </c>
      <c r="F192" s="550"/>
    </row>
    <row r="193" spans="1:6" ht="27.6">
      <c r="A193" s="352" t="s">
        <v>4437</v>
      </c>
      <c r="B193" s="463" t="s">
        <v>1038</v>
      </c>
      <c r="C193" s="463" t="s">
        <v>1311</v>
      </c>
      <c r="D193" s="550">
        <v>3075</v>
      </c>
      <c r="E193" s="570" t="s">
        <v>814</v>
      </c>
      <c r="F193" s="550"/>
    </row>
    <row r="194" spans="1:6" ht="27.6">
      <c r="A194" s="352" t="s">
        <v>4438</v>
      </c>
      <c r="B194" s="463" t="s">
        <v>1245</v>
      </c>
      <c r="C194" s="463" t="s">
        <v>1313</v>
      </c>
      <c r="D194" s="550">
        <v>3048</v>
      </c>
      <c r="E194" s="570" t="s">
        <v>814</v>
      </c>
      <c r="F194" s="550"/>
    </row>
    <row r="195" spans="1:6" ht="27.6">
      <c r="A195" s="352" t="s">
        <v>4439</v>
      </c>
      <c r="B195" s="409" t="s">
        <v>1315</v>
      </c>
      <c r="C195" s="409" t="s">
        <v>1316</v>
      </c>
      <c r="D195" s="550">
        <v>0</v>
      </c>
      <c r="E195" s="570" t="s">
        <v>816</v>
      </c>
      <c r="F195" s="550"/>
    </row>
    <row r="196" spans="1:6" ht="27.6">
      <c r="A196" s="352" t="s">
        <v>4440</v>
      </c>
      <c r="B196" s="463" t="s">
        <v>794</v>
      </c>
      <c r="C196" s="463" t="s">
        <v>1318</v>
      </c>
      <c r="D196" s="550">
        <v>1080</v>
      </c>
      <c r="E196" s="570" t="s">
        <v>816</v>
      </c>
      <c r="F196" s="550"/>
    </row>
    <row r="197" spans="1:6" ht="27.6">
      <c r="A197" s="352" t="s">
        <v>4441</v>
      </c>
      <c r="B197" s="463" t="s">
        <v>852</v>
      </c>
      <c r="C197" s="463" t="s">
        <v>1320</v>
      </c>
      <c r="D197" s="550">
        <v>8800</v>
      </c>
      <c r="E197" s="570" t="s">
        <v>816</v>
      </c>
      <c r="F197" s="550"/>
    </row>
    <row r="198" spans="1:6" ht="27.6">
      <c r="A198" s="352" t="s">
        <v>4442</v>
      </c>
      <c r="B198" s="463" t="s">
        <v>1030</v>
      </c>
      <c r="C198" s="463" t="s">
        <v>1031</v>
      </c>
      <c r="D198" s="550">
        <v>29318.18</v>
      </c>
      <c r="E198" s="570" t="s">
        <v>816</v>
      </c>
      <c r="F198" s="550"/>
    </row>
    <row r="199" spans="1:6" ht="27.6">
      <c r="A199" s="352" t="s">
        <v>4443</v>
      </c>
      <c r="B199" s="463" t="s">
        <v>1323</v>
      </c>
      <c r="C199" s="463" t="s">
        <v>1207</v>
      </c>
      <c r="D199" s="550">
        <v>9565</v>
      </c>
      <c r="E199" s="570" t="s">
        <v>816</v>
      </c>
      <c r="F199" s="550"/>
    </row>
    <row r="200" spans="1:6" ht="27.6">
      <c r="A200" s="352" t="s">
        <v>4444</v>
      </c>
      <c r="B200" s="463" t="s">
        <v>1325</v>
      </c>
      <c r="C200" s="463" t="s">
        <v>1207</v>
      </c>
      <c r="D200" s="550">
        <v>1560</v>
      </c>
      <c r="E200" s="570" t="s">
        <v>816</v>
      </c>
      <c r="F200" s="550"/>
    </row>
    <row r="201" spans="1:6" ht="27.6">
      <c r="A201" s="352" t="s">
        <v>4445</v>
      </c>
      <c r="B201" s="463" t="s">
        <v>1327</v>
      </c>
      <c r="C201" s="463" t="s">
        <v>1207</v>
      </c>
      <c r="D201" s="550">
        <v>17820</v>
      </c>
      <c r="E201" s="570" t="s">
        <v>816</v>
      </c>
      <c r="F201" s="550"/>
    </row>
    <row r="202" spans="1:6" ht="27.6">
      <c r="A202" s="352" t="s">
        <v>4446</v>
      </c>
      <c r="B202" s="463" t="s">
        <v>1329</v>
      </c>
      <c r="C202" s="463" t="s">
        <v>1330</v>
      </c>
      <c r="D202" s="550">
        <v>11547.23</v>
      </c>
      <c r="E202" s="570" t="s">
        <v>816</v>
      </c>
      <c r="F202" s="550"/>
    </row>
    <row r="203" spans="1:6" ht="27.6">
      <c r="A203" s="352" t="s">
        <v>4447</v>
      </c>
      <c r="B203" s="463" t="s">
        <v>859</v>
      </c>
      <c r="C203" s="463" t="s">
        <v>1332</v>
      </c>
      <c r="D203" s="550">
        <v>1840</v>
      </c>
      <c r="E203" s="570" t="s">
        <v>816</v>
      </c>
      <c r="F203" s="550"/>
    </row>
    <row r="204" spans="1:6" ht="27.6">
      <c r="A204" s="352" t="s">
        <v>4448</v>
      </c>
      <c r="B204" s="463" t="s">
        <v>1334</v>
      </c>
      <c r="C204" s="463" t="s">
        <v>1335</v>
      </c>
      <c r="D204" s="550">
        <v>17500</v>
      </c>
      <c r="E204" s="570" t="s">
        <v>816</v>
      </c>
      <c r="F204" s="550"/>
    </row>
    <row r="205" spans="1:6" ht="41.4">
      <c r="A205" s="352" t="s">
        <v>4449</v>
      </c>
      <c r="B205" s="463" t="s">
        <v>1337</v>
      </c>
      <c r="C205" s="463" t="s">
        <v>1276</v>
      </c>
      <c r="D205" s="550">
        <v>1800</v>
      </c>
      <c r="E205" s="570" t="s">
        <v>816</v>
      </c>
      <c r="F205" s="550"/>
    </row>
    <row r="206" spans="1:6" ht="27.6">
      <c r="A206" s="352" t="s">
        <v>4450</v>
      </c>
      <c r="B206" s="463" t="s">
        <v>1339</v>
      </c>
      <c r="C206" s="463" t="s">
        <v>1340</v>
      </c>
      <c r="D206" s="550">
        <v>20626.73</v>
      </c>
      <c r="E206" s="570" t="s">
        <v>816</v>
      </c>
      <c r="F206" s="550"/>
    </row>
    <row r="207" spans="1:6" ht="27.6">
      <c r="A207" s="352" t="s">
        <v>4451</v>
      </c>
      <c r="B207" s="463" t="s">
        <v>1342</v>
      </c>
      <c r="C207" s="463" t="s">
        <v>1301</v>
      </c>
      <c r="D207" s="550">
        <v>16308.47</v>
      </c>
      <c r="E207" s="570" t="s">
        <v>816</v>
      </c>
      <c r="F207" s="550"/>
    </row>
    <row r="208" spans="1:6" ht="55.2">
      <c r="A208" s="352" t="s">
        <v>4452</v>
      </c>
      <c r="B208" s="463" t="s">
        <v>1344</v>
      </c>
      <c r="C208" s="463" t="s">
        <v>1345</v>
      </c>
      <c r="D208" s="550">
        <v>7200</v>
      </c>
      <c r="E208" s="570" t="s">
        <v>816</v>
      </c>
      <c r="F208" s="550"/>
    </row>
    <row r="209" spans="1:6" ht="27.6">
      <c r="A209" s="352" t="s">
        <v>4453</v>
      </c>
      <c r="B209" s="463" t="s">
        <v>1108</v>
      </c>
      <c r="C209" s="463" t="s">
        <v>1346</v>
      </c>
      <c r="D209" s="550">
        <v>12900</v>
      </c>
      <c r="E209" s="570" t="s">
        <v>815</v>
      </c>
      <c r="F209" s="550"/>
    </row>
    <row r="210" spans="1:6" ht="41.4">
      <c r="A210" s="352" t="s">
        <v>4454</v>
      </c>
      <c r="B210" s="463" t="s">
        <v>1108</v>
      </c>
      <c r="C210" s="463" t="s">
        <v>1347</v>
      </c>
      <c r="D210" s="550">
        <v>4950</v>
      </c>
      <c r="E210" s="570" t="s">
        <v>816</v>
      </c>
      <c r="F210" s="550"/>
    </row>
    <row r="211" spans="1:6" ht="27.6">
      <c r="A211" s="352" t="s">
        <v>4455</v>
      </c>
      <c r="B211" s="463" t="s">
        <v>1327</v>
      </c>
      <c r="C211" s="463" t="s">
        <v>1037</v>
      </c>
      <c r="D211" s="550">
        <v>7830</v>
      </c>
      <c r="E211" s="570" t="s">
        <v>814</v>
      </c>
      <c r="F211" s="550"/>
    </row>
    <row r="212" spans="1:6" ht="27.6">
      <c r="A212" s="352" t="s">
        <v>4456</v>
      </c>
      <c r="B212" s="463" t="s">
        <v>1214</v>
      </c>
      <c r="C212" s="463" t="s">
        <v>1348</v>
      </c>
      <c r="D212" s="550">
        <v>27000</v>
      </c>
      <c r="E212" s="570" t="s">
        <v>816</v>
      </c>
      <c r="F212" s="550"/>
    </row>
    <row r="213" spans="1:6" ht="27.6">
      <c r="A213" s="352" t="s">
        <v>4457</v>
      </c>
      <c r="B213" s="463" t="s">
        <v>1349</v>
      </c>
      <c r="C213" s="463" t="s">
        <v>1350</v>
      </c>
      <c r="D213" s="550">
        <v>3400</v>
      </c>
      <c r="E213" s="570" t="s">
        <v>814</v>
      </c>
      <c r="F213" s="550"/>
    </row>
    <row r="214" spans="1:6" ht="55.2">
      <c r="A214" s="352" t="s">
        <v>4458</v>
      </c>
      <c r="B214" s="463" t="s">
        <v>1038</v>
      </c>
      <c r="C214" s="463" t="s">
        <v>1351</v>
      </c>
      <c r="D214" s="550">
        <v>1800</v>
      </c>
      <c r="E214" s="570" t="s">
        <v>814</v>
      </c>
      <c r="F214" s="550"/>
    </row>
    <row r="215" spans="1:6" ht="27.6">
      <c r="A215" s="352" t="s">
        <v>4459</v>
      </c>
      <c r="B215" s="463" t="s">
        <v>1352</v>
      </c>
      <c r="C215" s="463" t="s">
        <v>1353</v>
      </c>
      <c r="D215" s="550">
        <v>39600</v>
      </c>
      <c r="E215" s="570" t="s">
        <v>816</v>
      </c>
      <c r="F215" s="550"/>
    </row>
    <row r="216" spans="1:6" ht="41.4">
      <c r="A216" s="352" t="s">
        <v>4460</v>
      </c>
      <c r="B216" s="463" t="s">
        <v>1354</v>
      </c>
      <c r="C216" s="463" t="s">
        <v>1355</v>
      </c>
      <c r="D216" s="550">
        <v>5600</v>
      </c>
      <c r="E216" s="570" t="s">
        <v>816</v>
      </c>
      <c r="F216" s="550"/>
    </row>
    <row r="217" spans="1:6" ht="27.6">
      <c r="A217" s="352" t="s">
        <v>4461</v>
      </c>
      <c r="B217" s="463" t="s">
        <v>1245</v>
      </c>
      <c r="C217" s="463" t="s">
        <v>1356</v>
      </c>
      <c r="D217" s="550">
        <v>4032</v>
      </c>
      <c r="E217" s="570" t="s">
        <v>816</v>
      </c>
      <c r="F217" s="550"/>
    </row>
    <row r="218" spans="1:6" ht="27.6">
      <c r="A218" s="352" t="s">
        <v>4462</v>
      </c>
      <c r="B218" s="463" t="s">
        <v>810</v>
      </c>
      <c r="C218" s="463" t="s">
        <v>1357</v>
      </c>
      <c r="D218" s="550">
        <v>22882.230000000003</v>
      </c>
      <c r="E218" s="570" t="s">
        <v>816</v>
      </c>
      <c r="F218" s="550"/>
    </row>
    <row r="219" spans="1:6" ht="27.6">
      <c r="A219" s="352" t="s">
        <v>4463</v>
      </c>
      <c r="B219" s="463" t="s">
        <v>836</v>
      </c>
      <c r="C219" s="463" t="s">
        <v>1358</v>
      </c>
      <c r="D219" s="550">
        <v>2275</v>
      </c>
      <c r="E219" s="570" t="s">
        <v>816</v>
      </c>
      <c r="F219" s="550"/>
    </row>
    <row r="220" spans="1:6" ht="27.6">
      <c r="A220" s="352" t="s">
        <v>4464</v>
      </c>
      <c r="B220" s="463" t="s">
        <v>1359</v>
      </c>
      <c r="C220" s="463" t="s">
        <v>1360</v>
      </c>
      <c r="D220" s="550">
        <v>6323</v>
      </c>
      <c r="E220" s="570" t="s">
        <v>816</v>
      </c>
      <c r="F220" s="550"/>
    </row>
    <row r="221" spans="1:6" ht="27.6">
      <c r="A221" s="352" t="s">
        <v>4465</v>
      </c>
      <c r="B221" s="463" t="s">
        <v>1072</v>
      </c>
      <c r="C221" s="463" t="s">
        <v>1361</v>
      </c>
      <c r="D221" s="550">
        <v>1242</v>
      </c>
      <c r="E221" s="570" t="s">
        <v>816</v>
      </c>
      <c r="F221" s="550"/>
    </row>
    <row r="222" spans="1:6" ht="27.6">
      <c r="A222" s="352" t="s">
        <v>4466</v>
      </c>
      <c r="B222" s="463" t="s">
        <v>1362</v>
      </c>
      <c r="C222" s="463" t="s">
        <v>1363</v>
      </c>
      <c r="D222" s="550">
        <v>170501.47</v>
      </c>
      <c r="E222" s="570" t="s">
        <v>816</v>
      </c>
      <c r="F222" s="550"/>
    </row>
    <row r="223" spans="1:6" ht="41.4">
      <c r="A223" s="352" t="s">
        <v>4467</v>
      </c>
      <c r="B223" s="463" t="s">
        <v>1380</v>
      </c>
      <c r="C223" s="463" t="s">
        <v>1381</v>
      </c>
      <c r="D223" s="550">
        <v>7635</v>
      </c>
      <c r="E223" s="570" t="s">
        <v>816</v>
      </c>
      <c r="F223" s="550"/>
    </row>
    <row r="224" spans="1:6" ht="41.4">
      <c r="A224" s="352" t="s">
        <v>4468</v>
      </c>
      <c r="B224" s="463" t="s">
        <v>777</v>
      </c>
      <c r="C224" s="463" t="s">
        <v>1384</v>
      </c>
      <c r="D224" s="550">
        <v>429402.37</v>
      </c>
      <c r="E224" s="570" t="s">
        <v>816</v>
      </c>
      <c r="F224" s="550"/>
    </row>
    <row r="225" spans="1:6" ht="41.4">
      <c r="A225" s="352" t="s">
        <v>4469</v>
      </c>
      <c r="B225" s="463" t="s">
        <v>768</v>
      </c>
      <c r="C225" s="463" t="s">
        <v>1384</v>
      </c>
      <c r="D225" s="550">
        <v>688368.09</v>
      </c>
      <c r="E225" s="570" t="s">
        <v>816</v>
      </c>
      <c r="F225" s="550"/>
    </row>
    <row r="226" spans="1:6" ht="41.4">
      <c r="A226" s="352" t="s">
        <v>4470</v>
      </c>
      <c r="B226" s="463" t="s">
        <v>765</v>
      </c>
      <c r="C226" s="463" t="s">
        <v>1384</v>
      </c>
      <c r="D226" s="550">
        <v>389716.8</v>
      </c>
      <c r="E226" s="570" t="s">
        <v>816</v>
      </c>
      <c r="F226" s="550"/>
    </row>
    <row r="227" spans="1:6" ht="27.6">
      <c r="A227" s="352" t="s">
        <v>4471</v>
      </c>
      <c r="B227" s="463" t="s">
        <v>872</v>
      </c>
      <c r="C227" s="463" t="s">
        <v>1390</v>
      </c>
      <c r="D227" s="550">
        <v>40307.629999999997</v>
      </c>
      <c r="E227" s="570" t="s">
        <v>816</v>
      </c>
      <c r="F227" s="550"/>
    </row>
    <row r="228" spans="1:6" ht="27.6">
      <c r="A228" s="352" t="s">
        <v>4472</v>
      </c>
      <c r="B228" s="463" t="s">
        <v>863</v>
      </c>
      <c r="C228" s="463" t="s">
        <v>1390</v>
      </c>
      <c r="D228" s="550">
        <v>51777.94</v>
      </c>
      <c r="E228" s="570" t="s">
        <v>816</v>
      </c>
      <c r="F228" s="550"/>
    </row>
    <row r="229" spans="1:6" ht="27.6">
      <c r="A229" s="352" t="s">
        <v>4473</v>
      </c>
      <c r="B229" s="463" t="s">
        <v>768</v>
      </c>
      <c r="C229" s="463" t="s">
        <v>1390</v>
      </c>
      <c r="D229" s="550">
        <v>92085.57</v>
      </c>
      <c r="E229" s="570" t="s">
        <v>816</v>
      </c>
      <c r="F229" s="550"/>
    </row>
    <row r="230" spans="1:6" ht="27.6">
      <c r="A230" s="352" t="s">
        <v>4474</v>
      </c>
      <c r="B230" s="463" t="s">
        <v>867</v>
      </c>
      <c r="C230" s="463" t="s">
        <v>1390</v>
      </c>
      <c r="D230" s="550">
        <v>40307.629999999997</v>
      </c>
      <c r="E230" s="570" t="s">
        <v>816</v>
      </c>
      <c r="F230" s="550"/>
    </row>
    <row r="231" spans="1:6" ht="41.4">
      <c r="A231" s="352" t="s">
        <v>4475</v>
      </c>
      <c r="B231" s="463" t="s">
        <v>1165</v>
      </c>
      <c r="C231" s="463" t="s">
        <v>1394</v>
      </c>
      <c r="D231" s="550">
        <v>29300.399999999998</v>
      </c>
      <c r="E231" s="570" t="s">
        <v>816</v>
      </c>
      <c r="F231" s="550"/>
    </row>
    <row r="232" spans="1:6" ht="41.4">
      <c r="A232" s="352" t="s">
        <v>4476</v>
      </c>
      <c r="B232" s="463" t="s">
        <v>1170</v>
      </c>
      <c r="C232" s="463" t="s">
        <v>1394</v>
      </c>
      <c r="D232" s="550">
        <v>29300.399999999998</v>
      </c>
      <c r="E232" s="570" t="s">
        <v>816</v>
      </c>
      <c r="F232" s="550"/>
    </row>
    <row r="233" spans="1:6" ht="41.4">
      <c r="A233" s="352" t="s">
        <v>4477</v>
      </c>
      <c r="B233" s="463" t="s">
        <v>1174</v>
      </c>
      <c r="C233" s="463" t="s">
        <v>1394</v>
      </c>
      <c r="D233" s="550">
        <v>29300.399999999998</v>
      </c>
      <c r="E233" s="570" t="s">
        <v>816</v>
      </c>
      <c r="F233" s="550"/>
    </row>
    <row r="234" spans="1:6" ht="41.4">
      <c r="A234" s="352" t="s">
        <v>4478</v>
      </c>
      <c r="B234" s="463" t="s">
        <v>1176</v>
      </c>
      <c r="C234" s="463" t="s">
        <v>1394</v>
      </c>
      <c r="D234" s="550">
        <v>29300.399999999998</v>
      </c>
      <c r="E234" s="570" t="s">
        <v>816</v>
      </c>
      <c r="F234" s="550"/>
    </row>
    <row r="235" spans="1:6" ht="41.4">
      <c r="A235" s="352" t="s">
        <v>4479</v>
      </c>
      <c r="B235" s="463" t="s">
        <v>1382</v>
      </c>
      <c r="C235" s="463" t="s">
        <v>1399</v>
      </c>
      <c r="D235" s="550">
        <v>29300.399999999998</v>
      </c>
      <c r="E235" s="570" t="s">
        <v>816</v>
      </c>
      <c r="F235" s="550"/>
    </row>
    <row r="236" spans="1:6" ht="41.4">
      <c r="A236" s="352" t="s">
        <v>4480</v>
      </c>
      <c r="B236" s="463" t="s">
        <v>1382</v>
      </c>
      <c r="C236" s="463" t="s">
        <v>1394</v>
      </c>
      <c r="D236" s="550">
        <v>29300.399999999998</v>
      </c>
      <c r="E236" s="570" t="s">
        <v>816</v>
      </c>
      <c r="F236" s="550"/>
    </row>
    <row r="237" spans="1:6" ht="41.4">
      <c r="A237" s="352" t="s">
        <v>4481</v>
      </c>
      <c r="B237" s="463" t="s">
        <v>10</v>
      </c>
      <c r="C237" s="463" t="s">
        <v>1384</v>
      </c>
      <c r="D237" s="550">
        <v>2049964.0999999999</v>
      </c>
      <c r="E237" s="570" t="s">
        <v>816</v>
      </c>
      <c r="F237" s="550"/>
    </row>
    <row r="238" spans="1:6" ht="41.4">
      <c r="A238" s="352" t="s">
        <v>4482</v>
      </c>
      <c r="B238" s="463" t="s">
        <v>764</v>
      </c>
      <c r="C238" s="463" t="s">
        <v>1384</v>
      </c>
      <c r="D238" s="550">
        <v>470812.07</v>
      </c>
      <c r="E238" s="570" t="s">
        <v>816</v>
      </c>
      <c r="F238" s="550"/>
    </row>
    <row r="239" spans="1:6" ht="27.6">
      <c r="A239" s="352" t="s">
        <v>4483</v>
      </c>
      <c r="B239" s="463" t="s">
        <v>869</v>
      </c>
      <c r="C239" s="463" t="s">
        <v>1390</v>
      </c>
      <c r="D239" s="550">
        <v>40307.629999999997</v>
      </c>
      <c r="E239" s="570" t="s">
        <v>816</v>
      </c>
      <c r="F239" s="550"/>
    </row>
    <row r="240" spans="1:6" ht="41.4">
      <c r="A240" s="352" t="s">
        <v>4484</v>
      </c>
      <c r="B240" s="463" t="s">
        <v>1170</v>
      </c>
      <c r="C240" s="463" t="s">
        <v>1406</v>
      </c>
      <c r="D240" s="550">
        <v>29300.399999999998</v>
      </c>
      <c r="E240" s="570" t="s">
        <v>816</v>
      </c>
      <c r="F240" s="550"/>
    </row>
    <row r="241" spans="1:6" ht="27.6">
      <c r="A241" s="352" t="s">
        <v>4485</v>
      </c>
      <c r="B241" s="463" t="s">
        <v>1245</v>
      </c>
      <c r="C241" s="463" t="s">
        <v>1408</v>
      </c>
      <c r="D241" s="550">
        <v>2016</v>
      </c>
      <c r="E241" s="570" t="s">
        <v>815</v>
      </c>
      <c r="F241" s="550"/>
    </row>
    <row r="242" spans="1:6" ht="27.6">
      <c r="A242" s="352" t="s">
        <v>4486</v>
      </c>
      <c r="B242" s="463" t="s">
        <v>1245</v>
      </c>
      <c r="C242" s="463" t="s">
        <v>1248</v>
      </c>
      <c r="D242" s="550">
        <v>1344</v>
      </c>
      <c r="E242" s="570" t="s">
        <v>816</v>
      </c>
      <c r="F242" s="550"/>
    </row>
    <row r="243" spans="1:6" ht="27.6">
      <c r="A243" s="352" t="s">
        <v>4487</v>
      </c>
      <c r="B243" s="463" t="s">
        <v>1036</v>
      </c>
      <c r="C243" s="463" t="s">
        <v>1411</v>
      </c>
      <c r="D243" s="550">
        <v>1651.12</v>
      </c>
      <c r="E243" s="570" t="s">
        <v>815</v>
      </c>
      <c r="F243" s="550"/>
    </row>
    <row r="244" spans="1:6" ht="41.4">
      <c r="A244" s="352" t="s">
        <v>4488</v>
      </c>
      <c r="B244" s="463" t="s">
        <v>1172</v>
      </c>
      <c r="C244" s="463" t="s">
        <v>1394</v>
      </c>
      <c r="D244" s="550">
        <v>29300.399999999998</v>
      </c>
      <c r="E244" s="570" t="s">
        <v>816</v>
      </c>
      <c r="F244" s="550"/>
    </row>
    <row r="245" spans="1:6" ht="27.6">
      <c r="A245" s="352" t="s">
        <v>4489</v>
      </c>
      <c r="B245" s="463" t="s">
        <v>789</v>
      </c>
      <c r="C245" s="463" t="s">
        <v>1390</v>
      </c>
      <c r="D245" s="550">
        <v>92085.57</v>
      </c>
      <c r="E245" s="570" t="s">
        <v>816</v>
      </c>
      <c r="F245" s="550"/>
    </row>
    <row r="246" spans="1:6" ht="41.4">
      <c r="A246" s="352" t="s">
        <v>4490</v>
      </c>
      <c r="B246" s="463" t="s">
        <v>789</v>
      </c>
      <c r="C246" s="463" t="s">
        <v>1384</v>
      </c>
      <c r="D246" s="550">
        <v>666486.65999999992</v>
      </c>
      <c r="E246" s="570" t="s">
        <v>816</v>
      </c>
      <c r="F246" s="550"/>
    </row>
    <row r="247" spans="1:6" ht="27.6">
      <c r="A247" s="352" t="s">
        <v>4491</v>
      </c>
      <c r="B247" s="409" t="s">
        <v>822</v>
      </c>
      <c r="C247" s="409" t="s">
        <v>1416</v>
      </c>
      <c r="D247" s="550">
        <v>0</v>
      </c>
      <c r="E247" s="570" t="s">
        <v>816</v>
      </c>
      <c r="F247" s="550"/>
    </row>
    <row r="248" spans="1:6" ht="27.6">
      <c r="A248" s="352" t="s">
        <v>4492</v>
      </c>
      <c r="B248" s="463" t="s">
        <v>1418</v>
      </c>
      <c r="C248" s="463" t="s">
        <v>1419</v>
      </c>
      <c r="D248" s="550">
        <v>22000</v>
      </c>
      <c r="E248" s="570" t="s">
        <v>816</v>
      </c>
      <c r="F248" s="550"/>
    </row>
    <row r="249" spans="1:6" ht="41.4">
      <c r="A249" s="352" t="s">
        <v>4493</v>
      </c>
      <c r="B249" s="463" t="s">
        <v>1344</v>
      </c>
      <c r="C249" s="463" t="s">
        <v>1421</v>
      </c>
      <c r="D249" s="550">
        <v>14000</v>
      </c>
      <c r="E249" s="570" t="s">
        <v>816</v>
      </c>
      <c r="F249" s="550"/>
    </row>
    <row r="250" spans="1:6" ht="27.6">
      <c r="A250" s="352" t="s">
        <v>4494</v>
      </c>
      <c r="B250" s="463" t="s">
        <v>1359</v>
      </c>
      <c r="C250" s="463" t="s">
        <v>1423</v>
      </c>
      <c r="D250" s="550">
        <v>7873</v>
      </c>
      <c r="E250" s="570" t="s">
        <v>816</v>
      </c>
      <c r="F250" s="550"/>
    </row>
    <row r="251" spans="1:6" ht="27.6">
      <c r="A251" s="352" t="s">
        <v>4495</v>
      </c>
      <c r="B251" s="439" t="s">
        <v>823</v>
      </c>
      <c r="C251" s="439" t="s">
        <v>1139</v>
      </c>
      <c r="D251" s="550">
        <v>640000</v>
      </c>
      <c r="E251" s="570" t="s">
        <v>816</v>
      </c>
      <c r="F251" s="550"/>
    </row>
    <row r="252" spans="1:6" ht="27.6">
      <c r="A252" s="352" t="s">
        <v>4496</v>
      </c>
      <c r="B252" s="439" t="s">
        <v>818</v>
      </c>
      <c r="C252" s="439" t="s">
        <v>1206</v>
      </c>
      <c r="D252" s="550">
        <v>160000</v>
      </c>
      <c r="E252" s="570" t="s">
        <v>815</v>
      </c>
      <c r="F252" s="550"/>
    </row>
    <row r="253" spans="1:6" ht="27.6">
      <c r="A253" s="352" t="s">
        <v>4497</v>
      </c>
      <c r="B253" s="439" t="s">
        <v>818</v>
      </c>
      <c r="C253" s="439" t="s">
        <v>1150</v>
      </c>
      <c r="D253" s="550">
        <v>119634</v>
      </c>
      <c r="E253" s="570" t="s">
        <v>816</v>
      </c>
      <c r="F253" s="550"/>
    </row>
    <row r="254" spans="1:6">
      <c r="A254" s="352" t="s">
        <v>4498</v>
      </c>
      <c r="B254" s="439" t="s">
        <v>820</v>
      </c>
      <c r="C254" s="439" t="s">
        <v>1145</v>
      </c>
      <c r="D254" s="550">
        <v>94707.14</v>
      </c>
      <c r="E254" s="570" t="s">
        <v>816</v>
      </c>
      <c r="F254" s="550"/>
    </row>
    <row r="255" spans="1:6" ht="27.6">
      <c r="A255" s="352" t="s">
        <v>4499</v>
      </c>
      <c r="B255" s="439" t="s">
        <v>1189</v>
      </c>
      <c r="C255" s="439" t="s">
        <v>1429</v>
      </c>
      <c r="D255" s="550">
        <v>11000</v>
      </c>
      <c r="E255" s="570" t="s">
        <v>816</v>
      </c>
      <c r="F255" s="550"/>
    </row>
    <row r="256" spans="1:6" ht="41.4">
      <c r="A256" s="352" t="s">
        <v>4500</v>
      </c>
      <c r="B256" s="439" t="s">
        <v>1325</v>
      </c>
      <c r="C256" s="439" t="s">
        <v>1431</v>
      </c>
      <c r="D256" s="550">
        <v>3760</v>
      </c>
      <c r="E256" s="570" t="s">
        <v>816</v>
      </c>
      <c r="F256" s="550"/>
    </row>
    <row r="257" spans="1:6" ht="27.6">
      <c r="A257" s="352" t="s">
        <v>4501</v>
      </c>
      <c r="B257" s="439" t="s">
        <v>1433</v>
      </c>
      <c r="C257" s="439" t="s">
        <v>1434</v>
      </c>
      <c r="D257" s="550">
        <v>800</v>
      </c>
      <c r="E257" s="570" t="s">
        <v>816</v>
      </c>
      <c r="F257" s="550"/>
    </row>
    <row r="258" spans="1:6" ht="27.6">
      <c r="A258" s="352" t="s">
        <v>4502</v>
      </c>
      <c r="B258" s="463" t="s">
        <v>1436</v>
      </c>
      <c r="C258" s="439" t="s">
        <v>1437</v>
      </c>
      <c r="D258" s="550">
        <v>30000</v>
      </c>
      <c r="E258" s="570" t="s">
        <v>816</v>
      </c>
      <c r="F258" s="550"/>
    </row>
    <row r="259" spans="1:6">
      <c r="A259" s="352" t="s">
        <v>4503</v>
      </c>
      <c r="B259" s="463" t="s">
        <v>10</v>
      </c>
      <c r="C259" s="463" t="s">
        <v>1439</v>
      </c>
      <c r="D259" s="550">
        <v>216000</v>
      </c>
      <c r="E259" s="570" t="s">
        <v>816</v>
      </c>
      <c r="F259" s="550"/>
    </row>
    <row r="260" spans="1:6">
      <c r="A260" s="352" t="s">
        <v>4504</v>
      </c>
      <c r="B260" s="463" t="s">
        <v>789</v>
      </c>
      <c r="C260" s="463" t="s">
        <v>1439</v>
      </c>
      <c r="D260" s="550">
        <v>60000</v>
      </c>
      <c r="E260" s="570" t="s">
        <v>816</v>
      </c>
      <c r="F260" s="550"/>
    </row>
    <row r="261" spans="1:6">
      <c r="A261" s="352" t="s">
        <v>4505</v>
      </c>
      <c r="B261" s="463" t="s">
        <v>777</v>
      </c>
      <c r="C261" s="463" t="s">
        <v>1439</v>
      </c>
      <c r="D261" s="550">
        <v>60000</v>
      </c>
      <c r="E261" s="570" t="s">
        <v>816</v>
      </c>
      <c r="F261" s="550"/>
    </row>
    <row r="262" spans="1:6">
      <c r="A262" s="352" t="s">
        <v>4506</v>
      </c>
      <c r="B262" s="463" t="s">
        <v>764</v>
      </c>
      <c r="C262" s="463" t="s">
        <v>1439</v>
      </c>
      <c r="D262" s="550">
        <v>66000</v>
      </c>
      <c r="E262" s="570" t="s">
        <v>816</v>
      </c>
      <c r="F262" s="550"/>
    </row>
    <row r="263" spans="1:6">
      <c r="A263" s="352" t="s">
        <v>4507</v>
      </c>
      <c r="B263" s="463" t="s">
        <v>768</v>
      </c>
      <c r="C263" s="463" t="s">
        <v>1439</v>
      </c>
      <c r="D263" s="550">
        <v>72000</v>
      </c>
      <c r="E263" s="570" t="s">
        <v>816</v>
      </c>
      <c r="F263" s="550"/>
    </row>
    <row r="264" spans="1:6">
      <c r="A264" s="352" t="s">
        <v>4508</v>
      </c>
      <c r="B264" s="463" t="s">
        <v>765</v>
      </c>
      <c r="C264" s="463" t="s">
        <v>1439</v>
      </c>
      <c r="D264" s="550">
        <v>48000</v>
      </c>
      <c r="E264" s="570" t="s">
        <v>816</v>
      </c>
      <c r="F264" s="550"/>
    </row>
    <row r="265" spans="1:6" ht="27.6">
      <c r="A265" s="352" t="s">
        <v>4509</v>
      </c>
      <c r="B265" s="463" t="s">
        <v>1102</v>
      </c>
      <c r="C265" s="463" t="s">
        <v>1446</v>
      </c>
      <c r="D265" s="550">
        <v>3500</v>
      </c>
      <c r="E265" s="570" t="s">
        <v>816</v>
      </c>
      <c r="F265" s="550"/>
    </row>
    <row r="266" spans="1:6" ht="27.6">
      <c r="A266" s="352" t="s">
        <v>4510</v>
      </c>
      <c r="B266" s="463" t="s">
        <v>1449</v>
      </c>
      <c r="C266" s="463" t="s">
        <v>1450</v>
      </c>
      <c r="D266" s="550">
        <v>976560</v>
      </c>
      <c r="E266" s="570" t="s">
        <v>816</v>
      </c>
      <c r="F266" s="550"/>
    </row>
    <row r="267" spans="1:6" ht="27.6">
      <c r="A267" s="352" t="s">
        <v>4511</v>
      </c>
      <c r="B267" s="463" t="s">
        <v>859</v>
      </c>
      <c r="C267" s="463" t="s">
        <v>1452</v>
      </c>
      <c r="D267" s="550">
        <v>2000</v>
      </c>
      <c r="E267" s="570" t="s">
        <v>816</v>
      </c>
      <c r="F267" s="550"/>
    </row>
    <row r="268" spans="1:6" ht="27.6">
      <c r="A268" s="352" t="s">
        <v>4512</v>
      </c>
      <c r="B268" s="463" t="s">
        <v>1030</v>
      </c>
      <c r="C268" s="463" t="s">
        <v>1454</v>
      </c>
      <c r="D268" s="550">
        <v>70905.22</v>
      </c>
      <c r="E268" s="570" t="s">
        <v>816</v>
      </c>
      <c r="F268" s="550"/>
    </row>
    <row r="269" spans="1:6" ht="27.6">
      <c r="A269" s="352" t="s">
        <v>4513</v>
      </c>
      <c r="B269" s="463" t="s">
        <v>1030</v>
      </c>
      <c r="C269" s="463" t="s">
        <v>1456</v>
      </c>
      <c r="D269" s="550">
        <v>82098.38</v>
      </c>
      <c r="E269" s="570" t="s">
        <v>816</v>
      </c>
      <c r="F269" s="550"/>
    </row>
    <row r="270" spans="1:6" ht="41.4">
      <c r="A270" s="352" t="s">
        <v>4514</v>
      </c>
      <c r="B270" s="463" t="s">
        <v>1344</v>
      </c>
      <c r="C270" s="463" t="s">
        <v>1458</v>
      </c>
      <c r="D270" s="550">
        <v>9600</v>
      </c>
      <c r="E270" s="570" t="s">
        <v>816</v>
      </c>
      <c r="F270" s="550"/>
    </row>
    <row r="271" spans="1:6" ht="27.6">
      <c r="A271" s="352" t="s">
        <v>4515</v>
      </c>
      <c r="B271" s="463" t="s">
        <v>6</v>
      </c>
      <c r="C271" s="463" t="s">
        <v>1460</v>
      </c>
      <c r="D271" s="550">
        <v>10000</v>
      </c>
      <c r="E271" s="570" t="s">
        <v>4602</v>
      </c>
      <c r="F271" s="550"/>
    </row>
    <row r="272" spans="1:6">
      <c r="A272" s="352" t="s">
        <v>4516</v>
      </c>
      <c r="B272" s="463" t="s">
        <v>1462</v>
      </c>
      <c r="C272" s="472" t="s">
        <v>1463</v>
      </c>
      <c r="D272" s="550">
        <v>10000</v>
      </c>
      <c r="E272" s="570" t="s">
        <v>816</v>
      </c>
      <c r="F272" s="550"/>
    </row>
    <row r="273" spans="1:6" ht="27.6">
      <c r="A273" s="352" t="s">
        <v>4517</v>
      </c>
      <c r="B273" s="463" t="s">
        <v>1245</v>
      </c>
      <c r="C273" s="463" t="s">
        <v>1465</v>
      </c>
      <c r="D273" s="550">
        <v>6320</v>
      </c>
      <c r="E273" s="570" t="s">
        <v>814</v>
      </c>
      <c r="F273" s="550"/>
    </row>
    <row r="274" spans="1:6" ht="27.6">
      <c r="A274" s="352" t="s">
        <v>4518</v>
      </c>
      <c r="B274" s="463" t="s">
        <v>1467</v>
      </c>
      <c r="C274" s="463" t="s">
        <v>1465</v>
      </c>
      <c r="D274" s="550">
        <v>2800</v>
      </c>
      <c r="E274" s="570" t="s">
        <v>814</v>
      </c>
      <c r="F274" s="550"/>
    </row>
    <row r="275" spans="1:6" ht="41.4">
      <c r="A275" s="352" t="s">
        <v>4519</v>
      </c>
      <c r="B275" s="463" t="s">
        <v>1102</v>
      </c>
      <c r="C275" s="463" t="s">
        <v>1474</v>
      </c>
      <c r="D275" s="550">
        <v>5390.81</v>
      </c>
      <c r="E275" s="570" t="s">
        <v>816</v>
      </c>
      <c r="F275" s="550"/>
    </row>
    <row r="276" spans="1:6" ht="27.6">
      <c r="A276" s="352" t="s">
        <v>4520</v>
      </c>
      <c r="B276" s="463" t="s">
        <v>1325</v>
      </c>
      <c r="C276" s="463" t="s">
        <v>1475</v>
      </c>
      <c r="D276" s="550">
        <v>13600</v>
      </c>
      <c r="E276" s="570" t="s">
        <v>814</v>
      </c>
      <c r="F276" s="550"/>
    </row>
    <row r="277" spans="1:6" ht="27.6">
      <c r="A277" s="352" t="s">
        <v>4521</v>
      </c>
      <c r="B277" s="463" t="s">
        <v>1075</v>
      </c>
      <c r="C277" s="463" t="s">
        <v>1476</v>
      </c>
      <c r="D277" s="550">
        <v>40369.5</v>
      </c>
      <c r="E277" s="570" t="s">
        <v>816</v>
      </c>
      <c r="F277" s="550"/>
    </row>
    <row r="278" spans="1:6" ht="27.6">
      <c r="A278" s="352" t="s">
        <v>4522</v>
      </c>
      <c r="B278" s="463" t="s">
        <v>1075</v>
      </c>
      <c r="C278" s="463" t="s">
        <v>1476</v>
      </c>
      <c r="D278" s="550">
        <v>12300</v>
      </c>
      <c r="E278" s="570" t="s">
        <v>816</v>
      </c>
      <c r="F278" s="550"/>
    </row>
    <row r="279" spans="1:6">
      <c r="A279" s="352" t="s">
        <v>4523</v>
      </c>
      <c r="B279" s="463" t="s">
        <v>810</v>
      </c>
      <c r="C279" s="463" t="s">
        <v>1477</v>
      </c>
      <c r="D279" s="550">
        <v>18421.13</v>
      </c>
      <c r="E279" s="570" t="s">
        <v>816</v>
      </c>
      <c r="F279" s="550"/>
    </row>
    <row r="280" spans="1:6" ht="27.6">
      <c r="A280" s="352" t="s">
        <v>4524</v>
      </c>
      <c r="B280" s="463" t="s">
        <v>1433</v>
      </c>
      <c r="C280" s="463" t="s">
        <v>1478</v>
      </c>
      <c r="D280" s="550">
        <v>920</v>
      </c>
      <c r="E280" s="570" t="s">
        <v>816</v>
      </c>
      <c r="F280" s="550"/>
    </row>
    <row r="281" spans="1:6" ht="27.6">
      <c r="A281" s="352" t="s">
        <v>4525</v>
      </c>
      <c r="B281" s="463" t="s">
        <v>1480</v>
      </c>
      <c r="C281" s="463" t="s">
        <v>1481</v>
      </c>
      <c r="D281" s="550">
        <v>2486</v>
      </c>
      <c r="E281" s="570" t="s">
        <v>816</v>
      </c>
      <c r="F281" s="550"/>
    </row>
    <row r="282" spans="1:6" ht="41.4">
      <c r="A282" s="352" t="s">
        <v>4526</v>
      </c>
      <c r="B282" s="463" t="s">
        <v>1102</v>
      </c>
      <c r="C282" s="463" t="s">
        <v>1483</v>
      </c>
      <c r="D282" s="550">
        <v>1200</v>
      </c>
      <c r="E282" s="570" t="s">
        <v>816</v>
      </c>
      <c r="F282" s="550"/>
    </row>
    <row r="283" spans="1:6" ht="27.6">
      <c r="A283" s="352" t="s">
        <v>4527</v>
      </c>
      <c r="B283" s="463" t="s">
        <v>1075</v>
      </c>
      <c r="C283" s="463" t="s">
        <v>1476</v>
      </c>
      <c r="D283" s="550">
        <v>13034</v>
      </c>
      <c r="E283" s="570" t="s">
        <v>816</v>
      </c>
      <c r="F283" s="550"/>
    </row>
    <row r="284" spans="1:6" ht="27.6">
      <c r="A284" s="352" t="s">
        <v>4528</v>
      </c>
      <c r="B284" s="463" t="s">
        <v>1075</v>
      </c>
      <c r="C284" s="463" t="s">
        <v>1476</v>
      </c>
      <c r="D284" s="550">
        <v>21301.64</v>
      </c>
      <c r="E284" s="570" t="s">
        <v>816</v>
      </c>
      <c r="F284" s="550"/>
    </row>
    <row r="285" spans="1:6" ht="41.4">
      <c r="A285" s="352" t="s">
        <v>4529</v>
      </c>
      <c r="B285" s="463" t="s">
        <v>1102</v>
      </c>
      <c r="C285" s="463" t="s">
        <v>1487</v>
      </c>
      <c r="D285" s="550">
        <v>1200</v>
      </c>
      <c r="E285" s="570" t="s">
        <v>815</v>
      </c>
      <c r="F285" s="550"/>
    </row>
    <row r="286" spans="1:6" ht="27.6">
      <c r="A286" s="352" t="s">
        <v>4530</v>
      </c>
      <c r="B286" s="463" t="s">
        <v>800</v>
      </c>
      <c r="C286" s="463" t="s">
        <v>1489</v>
      </c>
      <c r="D286" s="550">
        <v>1500</v>
      </c>
      <c r="E286" s="570" t="s">
        <v>816</v>
      </c>
      <c r="F286" s="550"/>
    </row>
    <row r="287" spans="1:6" ht="27.6">
      <c r="A287" s="352" t="s">
        <v>4531</v>
      </c>
      <c r="B287" s="463" t="s">
        <v>798</v>
      </c>
      <c r="C287" s="463" t="s">
        <v>1491</v>
      </c>
      <c r="D287" s="550">
        <v>350</v>
      </c>
      <c r="E287" s="570" t="s">
        <v>816</v>
      </c>
      <c r="F287" s="550"/>
    </row>
    <row r="288" spans="1:6" ht="27.6">
      <c r="A288" s="352" t="s">
        <v>4532</v>
      </c>
      <c r="B288" s="463" t="s">
        <v>1433</v>
      </c>
      <c r="C288" s="463" t="s">
        <v>1493</v>
      </c>
      <c r="D288" s="550">
        <v>3800</v>
      </c>
      <c r="E288" s="570" t="s">
        <v>816</v>
      </c>
      <c r="F288" s="550"/>
    </row>
    <row r="289" spans="1:6" ht="27.6">
      <c r="A289" s="352" t="s">
        <v>4533</v>
      </c>
      <c r="B289" s="463" t="s">
        <v>1108</v>
      </c>
      <c r="C289" s="463" t="s">
        <v>1495</v>
      </c>
      <c r="D289" s="550">
        <v>31800</v>
      </c>
      <c r="E289" s="570" t="s">
        <v>816</v>
      </c>
      <c r="F289" s="550"/>
    </row>
    <row r="290" spans="1:6" ht="27.6">
      <c r="A290" s="352" t="s">
        <v>4534</v>
      </c>
      <c r="B290" s="463" t="s">
        <v>1433</v>
      </c>
      <c r="C290" s="463" t="s">
        <v>1497</v>
      </c>
      <c r="D290" s="550">
        <v>480</v>
      </c>
      <c r="E290" s="570" t="s">
        <v>816</v>
      </c>
      <c r="F290" s="550"/>
    </row>
    <row r="291" spans="1:6">
      <c r="A291" s="352" t="s">
        <v>4535</v>
      </c>
      <c r="B291" s="463" t="s">
        <v>1499</v>
      </c>
      <c r="C291" s="463" t="s">
        <v>1500</v>
      </c>
      <c r="D291" s="550">
        <v>48000</v>
      </c>
      <c r="E291" s="570" t="s">
        <v>816</v>
      </c>
      <c r="F291" s="550"/>
    </row>
    <row r="292" spans="1:6" ht="27.6">
      <c r="A292" s="352" t="s">
        <v>4536</v>
      </c>
      <c r="B292" s="463" t="s">
        <v>1030</v>
      </c>
      <c r="C292" s="463" t="s">
        <v>1502</v>
      </c>
      <c r="D292" s="550">
        <v>45808.9</v>
      </c>
      <c r="E292" s="570" t="s">
        <v>816</v>
      </c>
      <c r="F292" s="550"/>
    </row>
    <row r="293" spans="1:6" ht="27.6">
      <c r="A293" s="352" t="s">
        <v>4537</v>
      </c>
      <c r="B293" s="463" t="s">
        <v>1030</v>
      </c>
      <c r="C293" s="463" t="s">
        <v>1504</v>
      </c>
      <c r="D293" s="550">
        <v>41497.269999999997</v>
      </c>
      <c r="E293" s="570" t="s">
        <v>816</v>
      </c>
      <c r="F293" s="550"/>
    </row>
    <row r="294" spans="1:6" ht="27.6">
      <c r="A294" s="352" t="s">
        <v>4538</v>
      </c>
      <c r="B294" s="463" t="s">
        <v>1506</v>
      </c>
      <c r="C294" s="463" t="s">
        <v>1507</v>
      </c>
      <c r="D294" s="550">
        <v>76000</v>
      </c>
      <c r="E294" s="570" t="s">
        <v>4602</v>
      </c>
      <c r="F294" s="550"/>
    </row>
    <row r="295" spans="1:6">
      <c r="A295" s="352" t="s">
        <v>4539</v>
      </c>
      <c r="B295" s="463" t="s">
        <v>859</v>
      </c>
      <c r="C295" s="463" t="s">
        <v>1509</v>
      </c>
      <c r="D295" s="550">
        <v>2130</v>
      </c>
      <c r="E295" s="570" t="s">
        <v>816</v>
      </c>
      <c r="F295" s="550"/>
    </row>
    <row r="296" spans="1:6" ht="41.4">
      <c r="A296" s="352" t="s">
        <v>4540</v>
      </c>
      <c r="B296" s="463" t="s">
        <v>1511</v>
      </c>
      <c r="C296" s="463" t="s">
        <v>1512</v>
      </c>
      <c r="D296" s="550">
        <v>5175</v>
      </c>
      <c r="E296" s="570" t="s">
        <v>816</v>
      </c>
      <c r="F296" s="550"/>
    </row>
    <row r="297" spans="1:6" ht="41.4">
      <c r="A297" s="352" t="s">
        <v>4541</v>
      </c>
      <c r="B297" s="463" t="s">
        <v>799</v>
      </c>
      <c r="C297" s="463" t="s">
        <v>1515</v>
      </c>
      <c r="D297" s="550">
        <v>4200</v>
      </c>
      <c r="E297" s="570" t="s">
        <v>816</v>
      </c>
      <c r="F297" s="550"/>
    </row>
    <row r="298" spans="1:6" ht="27.6">
      <c r="A298" s="352" t="s">
        <v>4542</v>
      </c>
      <c r="B298" s="463" t="s">
        <v>1245</v>
      </c>
      <c r="C298" s="463" t="s">
        <v>1517</v>
      </c>
      <c r="D298" s="550">
        <v>2688</v>
      </c>
      <c r="E298" s="570" t="s">
        <v>816</v>
      </c>
      <c r="F298" s="550"/>
    </row>
    <row r="299" spans="1:6" ht="27.6">
      <c r="A299" s="352" t="s">
        <v>4543</v>
      </c>
      <c r="B299" s="463" t="s">
        <v>1354</v>
      </c>
      <c r="C299" s="463" t="s">
        <v>1519</v>
      </c>
      <c r="D299" s="550">
        <v>2500</v>
      </c>
      <c r="E299" s="570" t="s">
        <v>814</v>
      </c>
      <c r="F299" s="550"/>
    </row>
    <row r="300" spans="1:6" ht="27.6">
      <c r="A300" s="352" t="s">
        <v>4544</v>
      </c>
      <c r="B300" s="463" t="s">
        <v>1433</v>
      </c>
      <c r="C300" s="463" t="s">
        <v>1521</v>
      </c>
      <c r="D300" s="550">
        <v>640</v>
      </c>
      <c r="E300" s="570" t="s">
        <v>816</v>
      </c>
      <c r="F300" s="550"/>
    </row>
    <row r="301" spans="1:6" ht="27.6">
      <c r="A301" s="352" t="s">
        <v>4545</v>
      </c>
      <c r="B301" s="463" t="s">
        <v>1523</v>
      </c>
      <c r="C301" s="463" t="s">
        <v>1524</v>
      </c>
      <c r="D301" s="550">
        <v>33180</v>
      </c>
      <c r="E301" s="570" t="s">
        <v>816</v>
      </c>
      <c r="F301" s="550"/>
    </row>
    <row r="302" spans="1:6" ht="27.6">
      <c r="A302" s="352" t="s">
        <v>4546</v>
      </c>
      <c r="B302" s="463" t="s">
        <v>773</v>
      </c>
      <c r="C302" s="463" t="s">
        <v>1526</v>
      </c>
      <c r="D302" s="550">
        <v>4355.8500000000004</v>
      </c>
      <c r="E302" s="570" t="s">
        <v>816</v>
      </c>
      <c r="F302" s="550"/>
    </row>
    <row r="303" spans="1:6" ht="27.6">
      <c r="A303" s="352" t="s">
        <v>4547</v>
      </c>
      <c r="B303" s="460" t="s">
        <v>818</v>
      </c>
      <c r="C303" s="460" t="s">
        <v>1532</v>
      </c>
      <c r="D303" s="550">
        <v>792144.86</v>
      </c>
      <c r="E303" s="570" t="s">
        <v>816</v>
      </c>
      <c r="F303" s="550"/>
    </row>
    <row r="304" spans="1:6" ht="27.6">
      <c r="A304" s="352" t="s">
        <v>4548</v>
      </c>
      <c r="B304" s="460" t="s">
        <v>820</v>
      </c>
      <c r="C304" s="460" t="s">
        <v>1532</v>
      </c>
      <c r="D304" s="550">
        <v>361782.69999999995</v>
      </c>
      <c r="E304" s="570" t="s">
        <v>816</v>
      </c>
      <c r="F304" s="550"/>
    </row>
    <row r="305" spans="1:6" ht="27.6">
      <c r="A305" s="352" t="s">
        <v>4549</v>
      </c>
      <c r="B305" s="460" t="s">
        <v>821</v>
      </c>
      <c r="C305" s="460" t="s">
        <v>1532</v>
      </c>
      <c r="D305" s="550">
        <v>505666.32</v>
      </c>
      <c r="E305" s="570" t="s">
        <v>816</v>
      </c>
      <c r="F305" s="550"/>
    </row>
    <row r="306" spans="1:6" ht="27.6">
      <c r="A306" s="352" t="s">
        <v>4550</v>
      </c>
      <c r="B306" s="460" t="s">
        <v>822</v>
      </c>
      <c r="C306" s="460" t="s">
        <v>1532</v>
      </c>
      <c r="D306" s="550">
        <v>532388.56000000006</v>
      </c>
      <c r="E306" s="570" t="s">
        <v>816</v>
      </c>
      <c r="F306" s="550"/>
    </row>
    <row r="307" spans="1:6" ht="27.6">
      <c r="A307" s="352" t="s">
        <v>4551</v>
      </c>
      <c r="B307" s="460" t="s">
        <v>823</v>
      </c>
      <c r="C307" s="460" t="s">
        <v>1532</v>
      </c>
      <c r="D307" s="550">
        <v>345963.3</v>
      </c>
      <c r="E307" s="570" t="s">
        <v>816</v>
      </c>
      <c r="F307" s="550"/>
    </row>
    <row r="308" spans="1:6" ht="27.6">
      <c r="A308" s="352" t="s">
        <v>4552</v>
      </c>
      <c r="B308" s="439" t="s">
        <v>821</v>
      </c>
      <c r="C308" s="439" t="s">
        <v>1535</v>
      </c>
      <c r="D308" s="550">
        <v>900000</v>
      </c>
      <c r="E308" s="570" t="s">
        <v>816</v>
      </c>
      <c r="F308" s="550"/>
    </row>
    <row r="309" spans="1:6" ht="27.6">
      <c r="A309" s="352" t="s">
        <v>4553</v>
      </c>
      <c r="B309" s="463" t="s">
        <v>818</v>
      </c>
      <c r="C309" s="463" t="s">
        <v>1538</v>
      </c>
      <c r="D309" s="550">
        <v>345500</v>
      </c>
      <c r="E309" s="570" t="s">
        <v>815</v>
      </c>
      <c r="F309" s="550"/>
    </row>
    <row r="310" spans="1:6" ht="27.6">
      <c r="A310" s="352" t="s">
        <v>4554</v>
      </c>
      <c r="B310" s="463" t="s">
        <v>1539</v>
      </c>
      <c r="C310" s="463" t="s">
        <v>1543</v>
      </c>
      <c r="D310" s="550">
        <v>466200</v>
      </c>
      <c r="E310" s="570" t="s">
        <v>815</v>
      </c>
      <c r="F310" s="550"/>
    </row>
    <row r="311" spans="1:6" ht="27.6">
      <c r="A311" s="352" t="s">
        <v>4555</v>
      </c>
      <c r="B311" s="463" t="s">
        <v>1540</v>
      </c>
      <c r="C311" s="463" t="s">
        <v>1543</v>
      </c>
      <c r="D311" s="550">
        <v>205000</v>
      </c>
      <c r="E311" s="570" t="s">
        <v>815</v>
      </c>
      <c r="F311" s="550"/>
    </row>
    <row r="312" spans="1:6" ht="27.6">
      <c r="A312" s="352" t="s">
        <v>4556</v>
      </c>
      <c r="B312" s="463" t="s">
        <v>818</v>
      </c>
      <c r="C312" s="463" t="s">
        <v>1545</v>
      </c>
      <c r="D312" s="550">
        <v>455476.19</v>
      </c>
      <c r="E312" s="570" t="s">
        <v>816</v>
      </c>
      <c r="F312" s="550"/>
    </row>
    <row r="313" spans="1:6" ht="27.6">
      <c r="A313" s="352" t="s">
        <v>4557</v>
      </c>
      <c r="B313" s="463" t="s">
        <v>820</v>
      </c>
      <c r="C313" s="463" t="s">
        <v>1545</v>
      </c>
      <c r="D313" s="550">
        <v>284121.43</v>
      </c>
      <c r="E313" s="570" t="s">
        <v>816</v>
      </c>
      <c r="F313" s="550"/>
    </row>
    <row r="314" spans="1:6" ht="27.6">
      <c r="A314" s="352" t="s">
        <v>4558</v>
      </c>
      <c r="B314" s="463" t="s">
        <v>1539</v>
      </c>
      <c r="C314" s="463" t="s">
        <v>1545</v>
      </c>
      <c r="D314" s="550">
        <v>241007.14</v>
      </c>
      <c r="E314" s="570" t="s">
        <v>816</v>
      </c>
      <c r="F314" s="550"/>
    </row>
    <row r="315" spans="1:6" ht="27.6">
      <c r="A315" s="352" t="s">
        <v>4559</v>
      </c>
      <c r="B315" s="463" t="s">
        <v>1540</v>
      </c>
      <c r="C315" s="463" t="s">
        <v>1545</v>
      </c>
      <c r="D315" s="550">
        <v>321342.84999999998</v>
      </c>
      <c r="E315" s="570" t="s">
        <v>816</v>
      </c>
      <c r="F315" s="550"/>
    </row>
    <row r="316" spans="1:6" ht="27.6">
      <c r="A316" s="352" t="s">
        <v>4560</v>
      </c>
      <c r="B316" s="463" t="s">
        <v>1075</v>
      </c>
      <c r="C316" s="463" t="s">
        <v>1551</v>
      </c>
      <c r="D316" s="550">
        <v>14120</v>
      </c>
      <c r="E316" s="570" t="s">
        <v>816</v>
      </c>
      <c r="F316" s="550"/>
    </row>
    <row r="317" spans="1:6" ht="27.6">
      <c r="A317" s="352" t="s">
        <v>4561</v>
      </c>
      <c r="B317" s="463" t="s">
        <v>1075</v>
      </c>
      <c r="C317" s="463" t="s">
        <v>1551</v>
      </c>
      <c r="D317" s="550">
        <v>43786.5</v>
      </c>
      <c r="E317" s="570" t="s">
        <v>816</v>
      </c>
      <c r="F317" s="550"/>
    </row>
    <row r="318" spans="1:6">
      <c r="A318" s="352" t="s">
        <v>4562</v>
      </c>
      <c r="B318" s="463" t="s">
        <v>1102</v>
      </c>
      <c r="C318" s="463" t="s">
        <v>1553</v>
      </c>
      <c r="D318" s="550">
        <v>1200</v>
      </c>
      <c r="E318" s="570" t="s">
        <v>816</v>
      </c>
      <c r="F318" s="550"/>
    </row>
    <row r="319" spans="1:6" ht="27.6">
      <c r="A319" s="352" t="s">
        <v>4563</v>
      </c>
      <c r="B319" s="463" t="s">
        <v>818</v>
      </c>
      <c r="C319" s="463" t="s">
        <v>1556</v>
      </c>
      <c r="D319" s="550">
        <v>550000</v>
      </c>
      <c r="E319" s="570" t="s">
        <v>816</v>
      </c>
      <c r="F319" s="550"/>
    </row>
    <row r="320" spans="1:6" ht="27.6">
      <c r="A320" s="352" t="s">
        <v>4564</v>
      </c>
      <c r="B320" s="463" t="s">
        <v>820</v>
      </c>
      <c r="C320" s="463" t="s">
        <v>1556</v>
      </c>
      <c r="D320" s="550">
        <v>550000</v>
      </c>
      <c r="E320" s="570" t="s">
        <v>816</v>
      </c>
      <c r="F320" s="550"/>
    </row>
    <row r="321" spans="1:6" ht="27.6">
      <c r="A321" s="352" t="s">
        <v>4565</v>
      </c>
      <c r="B321" s="463" t="s">
        <v>1539</v>
      </c>
      <c r="C321" s="463" t="s">
        <v>1556</v>
      </c>
      <c r="D321" s="550">
        <v>600000</v>
      </c>
      <c r="E321" s="570" t="s">
        <v>816</v>
      </c>
      <c r="F321" s="550"/>
    </row>
    <row r="322" spans="1:6" ht="27.6">
      <c r="A322" s="352" t="s">
        <v>4566</v>
      </c>
      <c r="B322" s="463" t="s">
        <v>822</v>
      </c>
      <c r="C322" s="463" t="s">
        <v>1556</v>
      </c>
      <c r="D322" s="550">
        <v>550000</v>
      </c>
      <c r="E322" s="570" t="s">
        <v>816</v>
      </c>
      <c r="F322" s="550"/>
    </row>
    <row r="323" spans="1:6" ht="27.6">
      <c r="A323" s="352" t="s">
        <v>4567</v>
      </c>
      <c r="B323" s="463" t="s">
        <v>1540</v>
      </c>
      <c r="C323" s="463" t="s">
        <v>1556</v>
      </c>
      <c r="D323" s="550">
        <v>550000</v>
      </c>
      <c r="E323" s="570" t="s">
        <v>816</v>
      </c>
      <c r="F323" s="550"/>
    </row>
    <row r="324" spans="1:6" ht="55.2">
      <c r="A324" s="352" t="s">
        <v>4568</v>
      </c>
      <c r="B324" s="463" t="s">
        <v>1562</v>
      </c>
      <c r="C324" s="463" t="s">
        <v>1563</v>
      </c>
      <c r="D324" s="550">
        <v>20000</v>
      </c>
      <c r="E324" s="570" t="s">
        <v>816</v>
      </c>
      <c r="F324" s="550"/>
    </row>
    <row r="325" spans="1:6" ht="41.4">
      <c r="A325" s="352" t="s">
        <v>4569</v>
      </c>
      <c r="B325" s="409" t="s">
        <v>1565</v>
      </c>
      <c r="C325" s="409" t="s">
        <v>1566</v>
      </c>
      <c r="D325" s="550">
        <v>0</v>
      </c>
      <c r="E325" s="570" t="s">
        <v>816</v>
      </c>
      <c r="F325" s="550"/>
    </row>
    <row r="326" spans="1:6">
      <c r="A326" s="352" t="s">
        <v>4570</v>
      </c>
      <c r="B326" s="463" t="s">
        <v>1315</v>
      </c>
      <c r="C326" s="463" t="s">
        <v>1568</v>
      </c>
      <c r="D326" s="550">
        <v>101505.45</v>
      </c>
      <c r="E326" s="570" t="s">
        <v>816</v>
      </c>
      <c r="F326" s="550"/>
    </row>
    <row r="327" spans="1:6">
      <c r="A327" s="352" t="s">
        <v>4571</v>
      </c>
      <c r="B327" s="463" t="s">
        <v>1075</v>
      </c>
      <c r="C327" s="463" t="s">
        <v>1570</v>
      </c>
      <c r="D327" s="550">
        <v>13034</v>
      </c>
      <c r="E327" s="570" t="s">
        <v>816</v>
      </c>
      <c r="F327" s="550"/>
    </row>
    <row r="328" spans="1:6">
      <c r="A328" s="352" t="s">
        <v>4572</v>
      </c>
      <c r="B328" s="463" t="s">
        <v>1572</v>
      </c>
      <c r="C328" s="463" t="s">
        <v>1573</v>
      </c>
      <c r="D328" s="550">
        <v>6850</v>
      </c>
      <c r="E328" s="570" t="s">
        <v>4602</v>
      </c>
      <c r="F328" s="550"/>
    </row>
    <row r="329" spans="1:6" ht="27.6">
      <c r="A329" s="352" t="s">
        <v>4573</v>
      </c>
      <c r="B329" s="463" t="s">
        <v>1102</v>
      </c>
      <c r="C329" s="463" t="s">
        <v>1575</v>
      </c>
      <c r="D329" s="550">
        <v>2500</v>
      </c>
      <c r="E329" s="570" t="s">
        <v>816</v>
      </c>
      <c r="F329" s="550"/>
    </row>
    <row r="330" spans="1:6" ht="27.6">
      <c r="A330" s="352" t="s">
        <v>4574</v>
      </c>
      <c r="B330" s="463" t="s">
        <v>1577</v>
      </c>
      <c r="C330" s="463" t="s">
        <v>1578</v>
      </c>
      <c r="D330" s="550">
        <v>2511.36</v>
      </c>
      <c r="E330" s="570" t="s">
        <v>816</v>
      </c>
      <c r="F330" s="550"/>
    </row>
    <row r="331" spans="1:6">
      <c r="A331" s="352" t="s">
        <v>4575</v>
      </c>
      <c r="B331" s="463" t="s">
        <v>1235</v>
      </c>
      <c r="C331" s="463" t="s">
        <v>1570</v>
      </c>
      <c r="D331" s="550">
        <v>10000</v>
      </c>
      <c r="E331" s="570" t="s">
        <v>816</v>
      </c>
      <c r="F331" s="550"/>
    </row>
    <row r="332" spans="1:6" ht="27.6">
      <c r="A332" s="352" t="s">
        <v>4576</v>
      </c>
      <c r="B332" s="463" t="s">
        <v>779</v>
      </c>
      <c r="C332" s="463" t="s">
        <v>1581</v>
      </c>
      <c r="D332" s="550">
        <v>170501.47</v>
      </c>
      <c r="E332" s="570" t="s">
        <v>816</v>
      </c>
      <c r="F332" s="550"/>
    </row>
    <row r="333" spans="1:6" ht="27.6">
      <c r="A333" s="352" t="s">
        <v>4577</v>
      </c>
      <c r="B333" s="463" t="s">
        <v>839</v>
      </c>
      <c r="C333" s="463" t="s">
        <v>1583</v>
      </c>
      <c r="D333" s="550">
        <v>7712.46</v>
      </c>
      <c r="E333" s="570" t="s">
        <v>816</v>
      </c>
      <c r="F333" s="550"/>
    </row>
    <row r="334" spans="1:6" ht="27.6">
      <c r="A334" s="352" t="s">
        <v>4578</v>
      </c>
      <c r="B334" s="463" t="s">
        <v>1315</v>
      </c>
      <c r="C334" s="463" t="s">
        <v>1585</v>
      </c>
      <c r="D334" s="550">
        <v>9559.2900000000009</v>
      </c>
      <c r="E334" s="570" t="s">
        <v>816</v>
      </c>
      <c r="F334" s="550"/>
    </row>
    <row r="335" spans="1:6">
      <c r="A335" s="352" t="s">
        <v>4579</v>
      </c>
      <c r="B335" s="463" t="s">
        <v>818</v>
      </c>
      <c r="C335" s="463" t="s">
        <v>1587</v>
      </c>
      <c r="D335" s="550">
        <v>51050</v>
      </c>
      <c r="E335" s="570" t="s">
        <v>816</v>
      </c>
      <c r="F335" s="550"/>
    </row>
    <row r="336" spans="1:6">
      <c r="A336" s="352" t="s">
        <v>4580</v>
      </c>
      <c r="B336" s="463" t="s">
        <v>820</v>
      </c>
      <c r="C336" s="463" t="s">
        <v>1587</v>
      </c>
      <c r="D336" s="550">
        <v>100000</v>
      </c>
      <c r="E336" s="570" t="s">
        <v>816</v>
      </c>
      <c r="F336" s="550"/>
    </row>
    <row r="337" spans="1:6">
      <c r="A337" s="352" t="s">
        <v>4581</v>
      </c>
      <c r="B337" s="463" t="s">
        <v>1539</v>
      </c>
      <c r="C337" s="463" t="s">
        <v>1587</v>
      </c>
      <c r="D337" s="550">
        <v>99030</v>
      </c>
      <c r="E337" s="570" t="s">
        <v>816</v>
      </c>
      <c r="F337" s="550"/>
    </row>
    <row r="338" spans="1:6">
      <c r="A338" s="352" t="s">
        <v>4582</v>
      </c>
      <c r="B338" s="463" t="s">
        <v>1540</v>
      </c>
      <c r="C338" s="463" t="s">
        <v>1590</v>
      </c>
      <c r="D338" s="550">
        <v>10250</v>
      </c>
      <c r="E338" s="570" t="s">
        <v>816</v>
      </c>
      <c r="F338" s="550"/>
    </row>
    <row r="339" spans="1:6" ht="41.4">
      <c r="A339" s="352" t="s">
        <v>4583</v>
      </c>
      <c r="B339" s="463" t="s">
        <v>1030</v>
      </c>
      <c r="C339" s="463" t="s">
        <v>1593</v>
      </c>
      <c r="D339" s="550">
        <v>11455.25</v>
      </c>
      <c r="E339" s="570" t="s">
        <v>816</v>
      </c>
      <c r="F339" s="550"/>
    </row>
    <row r="340" spans="1:6" ht="41.4">
      <c r="A340" s="352" t="s">
        <v>4584</v>
      </c>
      <c r="B340" s="463" t="s">
        <v>1342</v>
      </c>
      <c r="C340" s="463" t="s">
        <v>1595</v>
      </c>
      <c r="D340" s="550">
        <v>8164.75</v>
      </c>
      <c r="E340" s="570" t="s">
        <v>816</v>
      </c>
      <c r="F340" s="550"/>
    </row>
    <row r="341" spans="1:6" ht="27.6">
      <c r="A341" s="352" t="s">
        <v>4585</v>
      </c>
      <c r="B341" s="463" t="s">
        <v>1075</v>
      </c>
      <c r="C341" s="463" t="s">
        <v>1597</v>
      </c>
      <c r="D341" s="550">
        <v>22316</v>
      </c>
      <c r="E341" s="570" t="s">
        <v>816</v>
      </c>
      <c r="F341" s="550"/>
    </row>
    <row r="342" spans="1:6" ht="27.6">
      <c r="A342" s="352" t="s">
        <v>4586</v>
      </c>
      <c r="B342" s="439" t="s">
        <v>823</v>
      </c>
      <c r="C342" s="439" t="s">
        <v>1600</v>
      </c>
      <c r="D342" s="550">
        <v>256101</v>
      </c>
      <c r="E342" s="570" t="s">
        <v>816</v>
      </c>
      <c r="F342" s="550"/>
    </row>
    <row r="343" spans="1:6" ht="27.6">
      <c r="A343" s="352" t="s">
        <v>4587</v>
      </c>
      <c r="B343" s="439" t="s">
        <v>821</v>
      </c>
      <c r="C343" s="439" t="s">
        <v>1600</v>
      </c>
      <c r="D343" s="550">
        <v>184464</v>
      </c>
      <c r="E343" s="570" t="s">
        <v>816</v>
      </c>
      <c r="F343" s="550"/>
    </row>
    <row r="344" spans="1:6" ht="27.6">
      <c r="A344" s="352" t="s">
        <v>4588</v>
      </c>
      <c r="B344" s="463" t="s">
        <v>820</v>
      </c>
      <c r="C344" s="439" t="s">
        <v>1602</v>
      </c>
      <c r="D344" s="550">
        <v>1464950</v>
      </c>
      <c r="E344" s="570" t="s">
        <v>816</v>
      </c>
      <c r="F344" s="550"/>
    </row>
    <row r="345" spans="1:6" ht="27.6">
      <c r="A345" s="352" t="s">
        <v>4589</v>
      </c>
      <c r="B345" s="463" t="s">
        <v>1539</v>
      </c>
      <c r="C345" s="463" t="s">
        <v>1602</v>
      </c>
      <c r="D345" s="550">
        <v>1266031.21</v>
      </c>
      <c r="E345" s="570" t="s">
        <v>816</v>
      </c>
      <c r="F345" s="550"/>
    </row>
    <row r="346" spans="1:6">
      <c r="A346" s="352" t="s">
        <v>4590</v>
      </c>
      <c r="B346" s="463" t="s">
        <v>818</v>
      </c>
      <c r="C346" s="463" t="s">
        <v>1605</v>
      </c>
      <c r="D346" s="550">
        <v>348243.76</v>
      </c>
      <c r="E346" s="570" t="s">
        <v>813</v>
      </c>
      <c r="F346" s="550"/>
    </row>
    <row r="347" spans="1:6">
      <c r="A347" s="352" t="s">
        <v>4591</v>
      </c>
      <c r="B347" s="463" t="s">
        <v>1539</v>
      </c>
      <c r="C347" s="463" t="s">
        <v>1605</v>
      </c>
      <c r="D347" s="550">
        <v>333817.76</v>
      </c>
      <c r="E347" s="570" t="s">
        <v>813</v>
      </c>
      <c r="F347" s="550"/>
    </row>
    <row r="348" spans="1:6">
      <c r="A348" s="352" t="s">
        <v>4592</v>
      </c>
      <c r="B348" s="463" t="s">
        <v>1540</v>
      </c>
      <c r="C348" s="463" t="s">
        <v>1605</v>
      </c>
      <c r="D348" s="550">
        <v>348243.76</v>
      </c>
      <c r="E348" s="570" t="s">
        <v>813</v>
      </c>
      <c r="F348" s="550"/>
    </row>
    <row r="349" spans="1:6" ht="27.6">
      <c r="A349" s="352" t="s">
        <v>4593</v>
      </c>
      <c r="B349" s="463" t="s">
        <v>822</v>
      </c>
      <c r="C349" s="463" t="s">
        <v>1602</v>
      </c>
      <c r="D349" s="550">
        <v>760350</v>
      </c>
      <c r="E349" s="570" t="s">
        <v>816</v>
      </c>
      <c r="F349" s="550"/>
    </row>
    <row r="350" spans="1:6" ht="27.6">
      <c r="A350" s="352" t="s">
        <v>4594</v>
      </c>
      <c r="B350" s="463" t="s">
        <v>818</v>
      </c>
      <c r="C350" s="463" t="s">
        <v>1610</v>
      </c>
      <c r="D350" s="550">
        <v>194400</v>
      </c>
      <c r="E350" s="570" t="s">
        <v>814</v>
      </c>
      <c r="F350" s="550"/>
    </row>
    <row r="351" spans="1:6" ht="27.6">
      <c r="A351" s="352" t="s">
        <v>4595</v>
      </c>
      <c r="B351" s="463" t="s">
        <v>1539</v>
      </c>
      <c r="C351" s="463" t="s">
        <v>1610</v>
      </c>
      <c r="D351" s="550">
        <v>194400</v>
      </c>
      <c r="E351" s="570" t="s">
        <v>814</v>
      </c>
      <c r="F351" s="550"/>
    </row>
    <row r="352" spans="1:6" ht="27.6">
      <c r="A352" s="352" t="s">
        <v>4596</v>
      </c>
      <c r="B352" s="463" t="s">
        <v>1540</v>
      </c>
      <c r="C352" s="463" t="s">
        <v>1610</v>
      </c>
      <c r="D352" s="550">
        <v>194400</v>
      </c>
      <c r="E352" s="570" t="s">
        <v>814</v>
      </c>
      <c r="F352" s="550"/>
    </row>
    <row r="353" spans="1:6" ht="27.6">
      <c r="A353" s="352" t="s">
        <v>4597</v>
      </c>
      <c r="B353" s="463" t="s">
        <v>822</v>
      </c>
      <c r="C353" s="463" t="s">
        <v>1615</v>
      </c>
      <c r="D353" s="550">
        <v>640000</v>
      </c>
      <c r="E353" s="570" t="s">
        <v>816</v>
      </c>
      <c r="F353" s="550"/>
    </row>
    <row r="354" spans="1:6">
      <c r="A354" s="352" t="s">
        <v>4598</v>
      </c>
      <c r="B354" s="463" t="s">
        <v>822</v>
      </c>
      <c r="C354" s="463" t="s">
        <v>1145</v>
      </c>
      <c r="D354" s="550">
        <v>287809.53000000003</v>
      </c>
      <c r="E354" s="570" t="s">
        <v>816</v>
      </c>
      <c r="F354" s="550"/>
    </row>
    <row r="355" spans="1:6" ht="41.4">
      <c r="A355" s="352" t="s">
        <v>4599</v>
      </c>
      <c r="B355" s="463" t="s">
        <v>1102</v>
      </c>
      <c r="C355" s="463" t="s">
        <v>1617</v>
      </c>
      <c r="D355" s="550">
        <v>3500</v>
      </c>
      <c r="E355" s="570" t="s">
        <v>816</v>
      </c>
      <c r="F355" s="550"/>
    </row>
    <row r="356" spans="1:6" ht="41.4">
      <c r="A356" s="352" t="s">
        <v>4600</v>
      </c>
      <c r="B356" s="463" t="s">
        <v>6</v>
      </c>
      <c r="C356" s="463" t="s">
        <v>1620</v>
      </c>
      <c r="D356" s="550">
        <v>12000</v>
      </c>
      <c r="E356" s="570" t="s">
        <v>4602</v>
      </c>
      <c r="F356" s="550"/>
    </row>
    <row r="357" spans="1:6" ht="27.6">
      <c r="A357" s="352" t="s">
        <v>4601</v>
      </c>
      <c r="B357" s="463" t="s">
        <v>797</v>
      </c>
      <c r="C357" s="463" t="s">
        <v>1621</v>
      </c>
      <c r="D357" s="550">
        <v>4800</v>
      </c>
      <c r="E357" s="570" t="s">
        <v>816</v>
      </c>
      <c r="F357" s="550"/>
    </row>
  </sheetData>
  <autoFilter ref="A2:G357" xr:uid="{00000000-0009-0000-0000-000005000000}"/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E1E79-3162-49A2-B356-B0D91EE5150E}">
  <sheetPr filterMode="1">
    <tabColor rgb="FFFF0000"/>
  </sheetPr>
  <dimension ref="A1:O1602"/>
  <sheetViews>
    <sheetView workbookViewId="0">
      <pane ySplit="3" topLeftCell="A4" activePane="bottomLeft" state="frozen"/>
      <selection pane="bottomLeft" activeCell="L4" sqref="L4:L1474"/>
    </sheetView>
  </sheetViews>
  <sheetFormatPr defaultRowHeight="14.4"/>
  <cols>
    <col min="3" max="3" width="16.44140625" style="553" bestFit="1" customWidth="1"/>
    <col min="4" max="5" width="21.5546875" style="281" customWidth="1"/>
    <col min="6" max="6" width="12.44140625" style="281" customWidth="1"/>
    <col min="7" max="7" width="15" style="281" customWidth="1"/>
    <col min="8" max="8" width="11.44140625" bestFit="1" customWidth="1"/>
    <col min="9" max="9" width="15.109375" customWidth="1"/>
    <col min="10" max="10" width="30.88671875" customWidth="1"/>
    <col min="11" max="11" width="29" customWidth="1"/>
    <col min="12" max="12" width="15.6640625" style="552" bestFit="1" customWidth="1"/>
    <col min="15" max="15" width="31.33203125" hidden="1" customWidth="1"/>
  </cols>
  <sheetData>
    <row r="1" spans="1:15">
      <c r="A1" s="520" t="s">
        <v>1641</v>
      </c>
      <c r="L1" s="552">
        <f>SUBTOTAL(9,L4:L1602)</f>
        <v>1486619.9299999997</v>
      </c>
    </row>
    <row r="2" spans="1:15">
      <c r="A2" s="555"/>
      <c r="B2" s="548"/>
      <c r="C2" s="556"/>
      <c r="D2" s="556"/>
      <c r="E2" s="557"/>
      <c r="F2" s="557"/>
      <c r="G2" s="557"/>
      <c r="H2" s="548"/>
      <c r="I2" t="s">
        <v>2043</v>
      </c>
      <c r="J2" t="s">
        <v>2046</v>
      </c>
      <c r="K2" t="s">
        <v>2046</v>
      </c>
      <c r="L2" s="558"/>
    </row>
    <row r="3" spans="1:15" ht="27.6">
      <c r="A3" s="326" t="s">
        <v>941</v>
      </c>
      <c r="B3" s="327" t="s">
        <v>940</v>
      </c>
      <c r="C3" s="554" t="s">
        <v>146</v>
      </c>
      <c r="D3" s="559" t="s">
        <v>2045</v>
      </c>
      <c r="E3" s="559" t="s">
        <v>2667</v>
      </c>
      <c r="F3" s="559" t="s">
        <v>2044</v>
      </c>
      <c r="G3" s="336" t="s">
        <v>4244</v>
      </c>
      <c r="H3" s="327" t="s">
        <v>4245</v>
      </c>
      <c r="I3" s="327" t="s">
        <v>4246</v>
      </c>
      <c r="J3" s="333" t="s">
        <v>155</v>
      </c>
      <c r="K3" s="333" t="s">
        <v>156</v>
      </c>
      <c r="L3" s="551" t="s">
        <v>936</v>
      </c>
      <c r="O3" s="326" t="s">
        <v>875</v>
      </c>
    </row>
    <row r="4" spans="1:15">
      <c r="A4" t="s">
        <v>942</v>
      </c>
      <c r="B4" t="s">
        <v>943</v>
      </c>
      <c r="C4" s="553">
        <v>44209</v>
      </c>
      <c r="D4" s="281" t="s">
        <v>4247</v>
      </c>
      <c r="E4" s="281" t="s">
        <v>2689</v>
      </c>
      <c r="F4" s="281">
        <v>1</v>
      </c>
      <c r="G4" s="281">
        <v>5010000000</v>
      </c>
      <c r="H4" t="s">
        <v>2024</v>
      </c>
      <c r="I4" t="s">
        <v>505</v>
      </c>
      <c r="J4" t="s">
        <v>1030</v>
      </c>
      <c r="K4" t="s">
        <v>760</v>
      </c>
      <c r="L4" s="552">
        <v>45000</v>
      </c>
      <c r="O4" t="s">
        <v>960</v>
      </c>
    </row>
    <row r="5" spans="1:15">
      <c r="A5" t="s">
        <v>942</v>
      </c>
      <c r="B5" t="s">
        <v>943</v>
      </c>
      <c r="C5" s="553">
        <v>44209</v>
      </c>
      <c r="D5" s="281" t="s">
        <v>4247</v>
      </c>
      <c r="E5" s="281" t="s">
        <v>2689</v>
      </c>
      <c r="F5" s="281">
        <v>1</v>
      </c>
      <c r="G5" s="281">
        <v>5010000000</v>
      </c>
      <c r="H5" t="s">
        <v>2025</v>
      </c>
      <c r="I5" t="s">
        <v>506</v>
      </c>
      <c r="J5" t="s">
        <v>1030</v>
      </c>
      <c r="K5" t="s">
        <v>760</v>
      </c>
      <c r="L5" s="552">
        <v>45000</v>
      </c>
      <c r="O5" t="s">
        <v>960</v>
      </c>
    </row>
    <row r="6" spans="1:15">
      <c r="A6" t="s">
        <v>942</v>
      </c>
      <c r="B6" t="s">
        <v>943</v>
      </c>
      <c r="C6" s="553">
        <v>44209</v>
      </c>
      <c r="D6" s="281" t="s">
        <v>4247</v>
      </c>
      <c r="E6" s="281" t="s">
        <v>2689</v>
      </c>
      <c r="F6" s="281">
        <v>4</v>
      </c>
      <c r="G6" s="281">
        <v>5010000000</v>
      </c>
      <c r="H6" t="s">
        <v>2024</v>
      </c>
      <c r="I6" t="s">
        <v>505</v>
      </c>
      <c r="J6" t="s">
        <v>1030</v>
      </c>
      <c r="K6" t="s">
        <v>760</v>
      </c>
      <c r="L6" s="552">
        <v>15000</v>
      </c>
      <c r="O6" t="s">
        <v>970</v>
      </c>
    </row>
    <row r="7" spans="1:15">
      <c r="A7" t="s">
        <v>942</v>
      </c>
      <c r="B7" t="s">
        <v>943</v>
      </c>
      <c r="C7" s="553">
        <v>44209</v>
      </c>
      <c r="D7" s="281" t="s">
        <v>4247</v>
      </c>
      <c r="E7" s="281" t="s">
        <v>2689</v>
      </c>
      <c r="F7" s="281">
        <v>4</v>
      </c>
      <c r="G7" s="281">
        <v>5010000000</v>
      </c>
      <c r="H7" t="s">
        <v>2025</v>
      </c>
      <c r="I7" t="s">
        <v>506</v>
      </c>
      <c r="J7" t="s">
        <v>1030</v>
      </c>
      <c r="K7" t="s">
        <v>760</v>
      </c>
      <c r="L7" s="552">
        <v>15000</v>
      </c>
      <c r="O7" t="s">
        <v>970</v>
      </c>
    </row>
    <row r="8" spans="1:15">
      <c r="A8" t="s">
        <v>942</v>
      </c>
      <c r="B8" t="s">
        <v>943</v>
      </c>
      <c r="C8" s="553">
        <v>44209</v>
      </c>
      <c r="D8" s="281" t="s">
        <v>4247</v>
      </c>
      <c r="E8" s="281" t="s">
        <v>2689</v>
      </c>
      <c r="F8" s="281">
        <v>5</v>
      </c>
      <c r="G8" s="281">
        <v>5010000000</v>
      </c>
      <c r="H8" t="s">
        <v>2024</v>
      </c>
      <c r="I8" t="s">
        <v>505</v>
      </c>
      <c r="J8" t="s">
        <v>1030</v>
      </c>
      <c r="K8" t="s">
        <v>760</v>
      </c>
      <c r="L8" s="552">
        <v>5000</v>
      </c>
      <c r="O8" t="s">
        <v>973</v>
      </c>
    </row>
    <row r="9" spans="1:15">
      <c r="A9" t="s">
        <v>942</v>
      </c>
      <c r="B9" t="s">
        <v>943</v>
      </c>
      <c r="C9" s="553">
        <v>44209</v>
      </c>
      <c r="D9" s="281" t="s">
        <v>4247</v>
      </c>
      <c r="E9" s="281" t="s">
        <v>2689</v>
      </c>
      <c r="F9" s="281">
        <v>5</v>
      </c>
      <c r="G9" s="281">
        <v>5010000000</v>
      </c>
      <c r="H9" t="s">
        <v>2025</v>
      </c>
      <c r="I9" t="s">
        <v>506</v>
      </c>
      <c r="J9" t="s">
        <v>1030</v>
      </c>
      <c r="K9" t="s">
        <v>760</v>
      </c>
      <c r="L9" s="552">
        <v>5000</v>
      </c>
      <c r="O9" t="s">
        <v>973</v>
      </c>
    </row>
    <row r="10" spans="1:15">
      <c r="A10" t="s">
        <v>942</v>
      </c>
      <c r="B10" t="s">
        <v>943</v>
      </c>
      <c r="C10" s="553">
        <v>44209</v>
      </c>
      <c r="D10" s="281" t="s">
        <v>4247</v>
      </c>
      <c r="E10" s="281" t="s">
        <v>2689</v>
      </c>
      <c r="F10" s="281">
        <v>3</v>
      </c>
      <c r="G10" s="281">
        <v>5010000000</v>
      </c>
      <c r="H10" t="s">
        <v>2024</v>
      </c>
      <c r="I10" t="s">
        <v>505</v>
      </c>
      <c r="J10" t="s">
        <v>1030</v>
      </c>
      <c r="K10" t="s">
        <v>760</v>
      </c>
      <c r="L10" s="552">
        <v>10000</v>
      </c>
      <c r="O10" t="s">
        <v>967</v>
      </c>
    </row>
    <row r="11" spans="1:15">
      <c r="A11" t="s">
        <v>942</v>
      </c>
      <c r="B11" t="s">
        <v>943</v>
      </c>
      <c r="C11" s="553">
        <v>44209</v>
      </c>
      <c r="D11" s="281" t="s">
        <v>4247</v>
      </c>
      <c r="E11" s="281" t="s">
        <v>2689</v>
      </c>
      <c r="F11" s="281">
        <v>3</v>
      </c>
      <c r="G11" s="281">
        <v>5010000000</v>
      </c>
      <c r="H11" t="s">
        <v>2025</v>
      </c>
      <c r="I11" t="s">
        <v>506</v>
      </c>
      <c r="J11" t="s">
        <v>1030</v>
      </c>
      <c r="K11" t="s">
        <v>760</v>
      </c>
      <c r="L11" s="552">
        <v>10000</v>
      </c>
      <c r="O11" t="s">
        <v>967</v>
      </c>
    </row>
    <row r="12" spans="1:15" hidden="1">
      <c r="A12" t="s">
        <v>942</v>
      </c>
      <c r="B12" t="s">
        <v>943</v>
      </c>
      <c r="C12" s="553">
        <v>44209</v>
      </c>
      <c r="D12" s="281" t="s">
        <v>4248</v>
      </c>
      <c r="E12" s="281" t="s">
        <v>2692</v>
      </c>
      <c r="F12" s="281">
        <v>1</v>
      </c>
      <c r="G12" s="281">
        <v>5020000000</v>
      </c>
      <c r="H12" t="s">
        <v>1995</v>
      </c>
      <c r="I12" t="s">
        <v>624</v>
      </c>
      <c r="J12" t="s">
        <v>6</v>
      </c>
      <c r="K12" t="s">
        <v>761</v>
      </c>
      <c r="L12" s="552">
        <v>10000</v>
      </c>
      <c r="O12" t="s">
        <v>961</v>
      </c>
    </row>
    <row r="13" spans="1:15" hidden="1">
      <c r="A13" t="s">
        <v>942</v>
      </c>
      <c r="B13" t="s">
        <v>943</v>
      </c>
      <c r="C13" s="553">
        <v>44210</v>
      </c>
      <c r="D13" s="281" t="s">
        <v>4249</v>
      </c>
      <c r="E13" s="281" t="s">
        <v>2700</v>
      </c>
      <c r="F13" s="281">
        <v>1</v>
      </c>
      <c r="G13" s="281">
        <v>5010000000</v>
      </c>
      <c r="H13" t="s">
        <v>2026</v>
      </c>
      <c r="I13" t="s">
        <v>499</v>
      </c>
      <c r="J13" t="s">
        <v>10</v>
      </c>
      <c r="K13" t="s">
        <v>762</v>
      </c>
      <c r="L13" s="552">
        <v>1634515</v>
      </c>
      <c r="O13" t="s">
        <v>960</v>
      </c>
    </row>
    <row r="14" spans="1:15" hidden="1">
      <c r="A14" t="s">
        <v>942</v>
      </c>
      <c r="B14" t="s">
        <v>943</v>
      </c>
      <c r="C14" s="553">
        <v>44210</v>
      </c>
      <c r="D14" s="281" t="s">
        <v>4249</v>
      </c>
      <c r="E14" s="281" t="s">
        <v>2700</v>
      </c>
      <c r="F14" s="281">
        <v>1</v>
      </c>
      <c r="G14" s="281">
        <v>5010000000</v>
      </c>
      <c r="H14" t="s">
        <v>2027</v>
      </c>
      <c r="I14" t="s">
        <v>504</v>
      </c>
      <c r="J14" t="s">
        <v>10</v>
      </c>
      <c r="K14" t="s">
        <v>762</v>
      </c>
      <c r="L14" s="552">
        <v>76000</v>
      </c>
      <c r="O14" t="s">
        <v>960</v>
      </c>
    </row>
    <row r="15" spans="1:15" hidden="1">
      <c r="A15" t="s">
        <v>942</v>
      </c>
      <c r="B15" t="s">
        <v>943</v>
      </c>
      <c r="C15" s="553">
        <v>44210</v>
      </c>
      <c r="D15" s="281" t="s">
        <v>4249</v>
      </c>
      <c r="E15" s="281" t="s">
        <v>2700</v>
      </c>
      <c r="F15" s="281">
        <v>1</v>
      </c>
      <c r="G15" s="281">
        <v>5010301000</v>
      </c>
      <c r="H15" t="s">
        <v>2028</v>
      </c>
      <c r="I15" t="s">
        <v>528</v>
      </c>
      <c r="J15" t="s">
        <v>10</v>
      </c>
      <c r="K15" t="s">
        <v>762</v>
      </c>
      <c r="L15" s="552">
        <v>196141.8</v>
      </c>
      <c r="O15" t="s">
        <v>962</v>
      </c>
    </row>
    <row r="16" spans="1:15" hidden="1">
      <c r="A16" t="s">
        <v>942</v>
      </c>
      <c r="B16" t="s">
        <v>943</v>
      </c>
      <c r="C16" s="553">
        <v>44210</v>
      </c>
      <c r="D16" s="281" t="s">
        <v>4249</v>
      </c>
      <c r="E16" s="281" t="s">
        <v>2700</v>
      </c>
      <c r="F16" s="281">
        <v>1</v>
      </c>
      <c r="G16" s="281">
        <v>5010000000</v>
      </c>
      <c r="H16" t="s">
        <v>2029</v>
      </c>
      <c r="I16" t="s">
        <v>530</v>
      </c>
      <c r="J16" t="s">
        <v>10</v>
      </c>
      <c r="K16" t="s">
        <v>762</v>
      </c>
      <c r="L16" s="552">
        <v>3800</v>
      </c>
      <c r="O16" t="s">
        <v>960</v>
      </c>
    </row>
    <row r="17" spans="1:15" hidden="1">
      <c r="A17" t="s">
        <v>942</v>
      </c>
      <c r="B17" t="s">
        <v>943</v>
      </c>
      <c r="C17" s="553">
        <v>44210</v>
      </c>
      <c r="D17" s="281" t="s">
        <v>4249</v>
      </c>
      <c r="E17" s="281" t="s">
        <v>2700</v>
      </c>
      <c r="F17" s="281">
        <v>1</v>
      </c>
      <c r="G17" s="281">
        <v>5010000000</v>
      </c>
      <c r="H17" t="s">
        <v>2030</v>
      </c>
      <c r="I17" t="s">
        <v>532</v>
      </c>
      <c r="J17" t="s">
        <v>10</v>
      </c>
      <c r="K17" t="s">
        <v>762</v>
      </c>
      <c r="L17" s="552">
        <v>21044.43</v>
      </c>
      <c r="O17" t="s">
        <v>960</v>
      </c>
    </row>
    <row r="18" spans="1:15" hidden="1">
      <c r="A18" t="s">
        <v>942</v>
      </c>
      <c r="B18" t="s">
        <v>943</v>
      </c>
      <c r="C18" s="553">
        <v>44210</v>
      </c>
      <c r="D18" s="281" t="s">
        <v>4249</v>
      </c>
      <c r="E18" s="281" t="s">
        <v>2700</v>
      </c>
      <c r="F18" s="281">
        <v>1</v>
      </c>
      <c r="G18" s="281">
        <v>5010000000</v>
      </c>
      <c r="H18" t="s">
        <v>2031</v>
      </c>
      <c r="I18" t="s">
        <v>534</v>
      </c>
      <c r="J18" t="s">
        <v>10</v>
      </c>
      <c r="K18" t="s">
        <v>762</v>
      </c>
      <c r="L18" s="552">
        <v>3800</v>
      </c>
      <c r="O18" t="s">
        <v>960</v>
      </c>
    </row>
    <row r="19" spans="1:15" hidden="1">
      <c r="A19" t="s">
        <v>942</v>
      </c>
      <c r="B19" t="s">
        <v>943</v>
      </c>
      <c r="C19" s="553">
        <v>44211</v>
      </c>
      <c r="D19" s="281" t="s">
        <v>4250</v>
      </c>
      <c r="E19" s="281" t="s">
        <v>2706</v>
      </c>
      <c r="F19" s="281">
        <v>2</v>
      </c>
      <c r="G19" s="281">
        <v>5010000000</v>
      </c>
      <c r="H19" t="s">
        <v>2026</v>
      </c>
      <c r="I19" t="s">
        <v>499</v>
      </c>
      <c r="J19" t="s">
        <v>764</v>
      </c>
      <c r="K19" t="s">
        <v>762</v>
      </c>
      <c r="L19" s="552">
        <v>377575</v>
      </c>
      <c r="O19" t="s">
        <v>964</v>
      </c>
    </row>
    <row r="20" spans="1:15" hidden="1">
      <c r="A20" t="s">
        <v>942</v>
      </c>
      <c r="B20" t="s">
        <v>943</v>
      </c>
      <c r="C20" s="553">
        <v>44211</v>
      </c>
      <c r="D20" s="281" t="s">
        <v>4250</v>
      </c>
      <c r="E20" s="281" t="s">
        <v>2706</v>
      </c>
      <c r="F20" s="281">
        <v>2</v>
      </c>
      <c r="G20" s="281">
        <v>5010000000</v>
      </c>
      <c r="H20" t="s">
        <v>2027</v>
      </c>
      <c r="I20" t="s">
        <v>504</v>
      </c>
      <c r="J20" t="s">
        <v>764</v>
      </c>
      <c r="K20" t="s">
        <v>762</v>
      </c>
      <c r="L20" s="552">
        <v>22000</v>
      </c>
      <c r="O20" t="s">
        <v>964</v>
      </c>
    </row>
    <row r="21" spans="1:15" hidden="1">
      <c r="A21" t="s">
        <v>942</v>
      </c>
      <c r="B21" t="s">
        <v>943</v>
      </c>
      <c r="C21" s="553">
        <v>44211</v>
      </c>
      <c r="D21" s="281" t="s">
        <v>4250</v>
      </c>
      <c r="E21" s="281" t="s">
        <v>2706</v>
      </c>
      <c r="F21" s="281">
        <v>2</v>
      </c>
      <c r="G21" s="281">
        <v>5010301000</v>
      </c>
      <c r="H21" t="s">
        <v>2028</v>
      </c>
      <c r="I21" t="s">
        <v>528</v>
      </c>
      <c r="J21" t="s">
        <v>764</v>
      </c>
      <c r="K21" t="s">
        <v>762</v>
      </c>
      <c r="L21" s="552">
        <v>45309</v>
      </c>
      <c r="O21" t="s">
        <v>966</v>
      </c>
    </row>
    <row r="22" spans="1:15" hidden="1">
      <c r="A22" t="s">
        <v>942</v>
      </c>
      <c r="B22" t="s">
        <v>943</v>
      </c>
      <c r="C22" s="553">
        <v>44211</v>
      </c>
      <c r="D22" s="281" t="s">
        <v>4250</v>
      </c>
      <c r="E22" s="281" t="s">
        <v>2706</v>
      </c>
      <c r="F22" s="281">
        <v>2</v>
      </c>
      <c r="G22" s="281">
        <v>5010000000</v>
      </c>
      <c r="H22" t="s">
        <v>2029</v>
      </c>
      <c r="I22" t="s">
        <v>530</v>
      </c>
      <c r="J22" t="s">
        <v>764</v>
      </c>
      <c r="K22" t="s">
        <v>762</v>
      </c>
      <c r="L22" s="552">
        <v>1100</v>
      </c>
      <c r="O22" t="s">
        <v>964</v>
      </c>
    </row>
    <row r="23" spans="1:15" hidden="1">
      <c r="A23" t="s">
        <v>942</v>
      </c>
      <c r="B23" t="s">
        <v>943</v>
      </c>
      <c r="C23" s="553">
        <v>44211</v>
      </c>
      <c r="D23" s="281" t="s">
        <v>4250</v>
      </c>
      <c r="E23" s="281" t="s">
        <v>2706</v>
      </c>
      <c r="F23" s="281">
        <v>2</v>
      </c>
      <c r="G23" s="281">
        <v>5010000000</v>
      </c>
      <c r="H23" t="s">
        <v>2030</v>
      </c>
      <c r="I23" t="s">
        <v>532</v>
      </c>
      <c r="J23" t="s">
        <v>764</v>
      </c>
      <c r="K23" t="s">
        <v>762</v>
      </c>
      <c r="L23" s="552">
        <v>5560.64</v>
      </c>
      <c r="O23" t="s">
        <v>964</v>
      </c>
    </row>
    <row r="24" spans="1:15" hidden="1">
      <c r="A24" t="s">
        <v>942</v>
      </c>
      <c r="B24" t="s">
        <v>943</v>
      </c>
      <c r="C24" s="553">
        <v>44211</v>
      </c>
      <c r="D24" s="281" t="s">
        <v>4250</v>
      </c>
      <c r="E24" s="281" t="s">
        <v>2706</v>
      </c>
      <c r="F24" s="281">
        <v>2</v>
      </c>
      <c r="G24" s="281">
        <v>5010000000</v>
      </c>
      <c r="H24" t="s">
        <v>2031</v>
      </c>
      <c r="I24" t="s">
        <v>534</v>
      </c>
      <c r="J24" t="s">
        <v>764</v>
      </c>
      <c r="K24" t="s">
        <v>762</v>
      </c>
      <c r="L24" s="552">
        <v>1100</v>
      </c>
      <c r="O24" t="s">
        <v>964</v>
      </c>
    </row>
    <row r="25" spans="1:15" hidden="1">
      <c r="A25" t="s">
        <v>942</v>
      </c>
      <c r="B25" t="s">
        <v>943</v>
      </c>
      <c r="C25" s="553">
        <v>44211</v>
      </c>
      <c r="D25" s="281" t="s">
        <v>4251</v>
      </c>
      <c r="E25" s="281" t="s">
        <v>2714</v>
      </c>
      <c r="F25" s="281">
        <v>2</v>
      </c>
      <c r="G25" s="281">
        <v>5010000000</v>
      </c>
      <c r="H25" t="s">
        <v>2026</v>
      </c>
      <c r="I25" t="s">
        <v>499</v>
      </c>
      <c r="J25" t="s">
        <v>765</v>
      </c>
      <c r="K25" t="s">
        <v>762</v>
      </c>
      <c r="L25" s="552">
        <v>273461</v>
      </c>
      <c r="O25" t="s">
        <v>964</v>
      </c>
    </row>
    <row r="26" spans="1:15" hidden="1">
      <c r="A26" t="s">
        <v>942</v>
      </c>
      <c r="B26" t="s">
        <v>943</v>
      </c>
      <c r="C26" s="553">
        <v>44211</v>
      </c>
      <c r="D26" s="281" t="s">
        <v>4251</v>
      </c>
      <c r="E26" s="281" t="s">
        <v>2714</v>
      </c>
      <c r="F26" s="281">
        <v>2</v>
      </c>
      <c r="G26" s="281">
        <v>5010000000</v>
      </c>
      <c r="H26" t="s">
        <v>2027</v>
      </c>
      <c r="I26" t="s">
        <v>504</v>
      </c>
      <c r="J26" t="s">
        <v>765</v>
      </c>
      <c r="K26" t="s">
        <v>762</v>
      </c>
      <c r="L26" s="552">
        <v>14000</v>
      </c>
      <c r="O26" t="s">
        <v>964</v>
      </c>
    </row>
    <row r="27" spans="1:15" hidden="1">
      <c r="A27" t="s">
        <v>942</v>
      </c>
      <c r="B27" t="s">
        <v>943</v>
      </c>
      <c r="C27" s="553">
        <v>44211</v>
      </c>
      <c r="D27" s="281" t="s">
        <v>4251</v>
      </c>
      <c r="E27" s="281" t="s">
        <v>2714</v>
      </c>
      <c r="F27" s="281">
        <v>2</v>
      </c>
      <c r="G27" s="281">
        <v>5010301000</v>
      </c>
      <c r="H27" t="s">
        <v>2028</v>
      </c>
      <c r="I27" t="s">
        <v>528</v>
      </c>
      <c r="J27" t="s">
        <v>765</v>
      </c>
      <c r="K27" t="s">
        <v>762</v>
      </c>
      <c r="L27" s="552">
        <v>32815.32</v>
      </c>
      <c r="O27" t="s">
        <v>966</v>
      </c>
    </row>
    <row r="28" spans="1:15" hidden="1">
      <c r="A28" t="s">
        <v>942</v>
      </c>
      <c r="B28" t="s">
        <v>943</v>
      </c>
      <c r="C28" s="553">
        <v>44211</v>
      </c>
      <c r="D28" s="281" t="s">
        <v>4251</v>
      </c>
      <c r="E28" s="281" t="s">
        <v>2714</v>
      </c>
      <c r="F28" s="281">
        <v>2</v>
      </c>
      <c r="G28" s="281">
        <v>5010000000</v>
      </c>
      <c r="H28" t="s">
        <v>2029</v>
      </c>
      <c r="I28" t="s">
        <v>530</v>
      </c>
      <c r="J28" t="s">
        <v>765</v>
      </c>
      <c r="K28" t="s">
        <v>762</v>
      </c>
      <c r="L28" s="552">
        <v>700</v>
      </c>
      <c r="O28" t="s">
        <v>964</v>
      </c>
    </row>
    <row r="29" spans="1:15" hidden="1">
      <c r="A29" t="s">
        <v>942</v>
      </c>
      <c r="B29" t="s">
        <v>943</v>
      </c>
      <c r="C29" s="553">
        <v>44211</v>
      </c>
      <c r="D29" s="281" t="s">
        <v>4251</v>
      </c>
      <c r="E29" s="281" t="s">
        <v>2714</v>
      </c>
      <c r="F29" s="281">
        <v>2</v>
      </c>
      <c r="G29" s="281">
        <v>5010000000</v>
      </c>
      <c r="H29" t="s">
        <v>2030</v>
      </c>
      <c r="I29" t="s">
        <v>532</v>
      </c>
      <c r="J29" t="s">
        <v>765</v>
      </c>
      <c r="K29" t="s">
        <v>762</v>
      </c>
      <c r="L29" s="552">
        <v>3358.03</v>
      </c>
      <c r="O29" t="s">
        <v>964</v>
      </c>
    </row>
    <row r="30" spans="1:15" hidden="1">
      <c r="A30" t="s">
        <v>942</v>
      </c>
      <c r="B30" t="s">
        <v>943</v>
      </c>
      <c r="C30" s="553">
        <v>44211</v>
      </c>
      <c r="D30" s="281" t="s">
        <v>4251</v>
      </c>
      <c r="E30" s="281" t="s">
        <v>2714</v>
      </c>
      <c r="F30" s="281">
        <v>2</v>
      </c>
      <c r="G30" s="281">
        <v>5010000000</v>
      </c>
      <c r="H30" t="s">
        <v>2031</v>
      </c>
      <c r="I30" t="s">
        <v>534</v>
      </c>
      <c r="J30" t="s">
        <v>765</v>
      </c>
      <c r="K30" t="s">
        <v>762</v>
      </c>
      <c r="L30" s="552">
        <v>700</v>
      </c>
      <c r="O30" t="s">
        <v>964</v>
      </c>
    </row>
    <row r="31" spans="1:15" hidden="1">
      <c r="A31" t="s">
        <v>942</v>
      </c>
      <c r="B31" t="s">
        <v>943</v>
      </c>
      <c r="C31" s="553">
        <v>44211</v>
      </c>
      <c r="D31" s="281" t="s">
        <v>4252</v>
      </c>
      <c r="E31" s="281" t="s">
        <v>2712</v>
      </c>
      <c r="F31" s="281">
        <v>2</v>
      </c>
      <c r="G31" s="281">
        <v>5010000000</v>
      </c>
      <c r="H31" t="s">
        <v>2026</v>
      </c>
      <c r="I31" t="s">
        <v>499</v>
      </c>
      <c r="J31" t="s">
        <v>768</v>
      </c>
      <c r="K31" t="s">
        <v>762</v>
      </c>
      <c r="L31" s="552">
        <v>565193</v>
      </c>
      <c r="O31" t="s">
        <v>964</v>
      </c>
    </row>
    <row r="32" spans="1:15" hidden="1">
      <c r="A32" t="s">
        <v>942</v>
      </c>
      <c r="B32" t="s">
        <v>943</v>
      </c>
      <c r="C32" s="553">
        <v>44211</v>
      </c>
      <c r="D32" s="281" t="s">
        <v>4252</v>
      </c>
      <c r="E32" s="281" t="s">
        <v>2712</v>
      </c>
      <c r="F32" s="281">
        <v>2</v>
      </c>
      <c r="G32" s="281">
        <v>5010000000</v>
      </c>
      <c r="H32" t="s">
        <v>2027</v>
      </c>
      <c r="I32" t="s">
        <v>504</v>
      </c>
      <c r="J32" t="s">
        <v>768</v>
      </c>
      <c r="K32" t="s">
        <v>762</v>
      </c>
      <c r="L32" s="552">
        <v>24000</v>
      </c>
      <c r="O32" t="s">
        <v>964</v>
      </c>
    </row>
    <row r="33" spans="1:15" hidden="1">
      <c r="A33" t="s">
        <v>942</v>
      </c>
      <c r="B33" t="s">
        <v>943</v>
      </c>
      <c r="C33" s="553">
        <v>44211</v>
      </c>
      <c r="D33" s="281" t="s">
        <v>4252</v>
      </c>
      <c r="E33" s="281" t="s">
        <v>2712</v>
      </c>
      <c r="F33" s="281">
        <v>2</v>
      </c>
      <c r="G33" s="281">
        <v>5010301000</v>
      </c>
      <c r="H33" t="s">
        <v>2028</v>
      </c>
      <c r="I33" t="s">
        <v>528</v>
      </c>
      <c r="J33" t="s">
        <v>768</v>
      </c>
      <c r="K33" t="s">
        <v>762</v>
      </c>
      <c r="L33" s="552">
        <v>67823.16</v>
      </c>
      <c r="O33" t="s">
        <v>966</v>
      </c>
    </row>
    <row r="34" spans="1:15" hidden="1">
      <c r="A34" t="s">
        <v>942</v>
      </c>
      <c r="B34" t="s">
        <v>943</v>
      </c>
      <c r="C34" s="553">
        <v>44211</v>
      </c>
      <c r="D34" s="281" t="s">
        <v>4252</v>
      </c>
      <c r="E34" s="281" t="s">
        <v>2712</v>
      </c>
      <c r="F34" s="281">
        <v>2</v>
      </c>
      <c r="G34" s="281">
        <v>5010000000</v>
      </c>
      <c r="H34" t="s">
        <v>2029</v>
      </c>
      <c r="I34" t="s">
        <v>530</v>
      </c>
      <c r="J34" t="s">
        <v>768</v>
      </c>
      <c r="K34" t="s">
        <v>762</v>
      </c>
      <c r="L34" s="552">
        <v>1200</v>
      </c>
      <c r="O34" t="s">
        <v>964</v>
      </c>
    </row>
    <row r="35" spans="1:15" hidden="1">
      <c r="A35" t="s">
        <v>942</v>
      </c>
      <c r="B35" t="s">
        <v>943</v>
      </c>
      <c r="C35" s="553">
        <v>44211</v>
      </c>
      <c r="D35" s="281" t="s">
        <v>4252</v>
      </c>
      <c r="E35" s="281" t="s">
        <v>2712</v>
      </c>
      <c r="F35" s="281">
        <v>2</v>
      </c>
      <c r="G35" s="281">
        <v>5010000000</v>
      </c>
      <c r="H35" t="s">
        <v>2030</v>
      </c>
      <c r="I35" t="s">
        <v>532</v>
      </c>
      <c r="J35" t="s">
        <v>768</v>
      </c>
      <c r="K35" t="s">
        <v>762</v>
      </c>
      <c r="L35" s="552">
        <v>7357.93</v>
      </c>
      <c r="O35" t="s">
        <v>964</v>
      </c>
    </row>
    <row r="36" spans="1:15" hidden="1">
      <c r="A36" t="s">
        <v>942</v>
      </c>
      <c r="B36" t="s">
        <v>943</v>
      </c>
      <c r="C36" s="553">
        <v>44211</v>
      </c>
      <c r="D36" s="281" t="s">
        <v>4252</v>
      </c>
      <c r="E36" s="281" t="s">
        <v>2712</v>
      </c>
      <c r="F36" s="281">
        <v>2</v>
      </c>
      <c r="G36" s="281">
        <v>5010000000</v>
      </c>
      <c r="H36" t="s">
        <v>2031</v>
      </c>
      <c r="I36" t="s">
        <v>534</v>
      </c>
      <c r="J36" t="s">
        <v>768</v>
      </c>
      <c r="K36" t="s">
        <v>762</v>
      </c>
      <c r="L36" s="552">
        <v>1200</v>
      </c>
      <c r="O36" t="s">
        <v>964</v>
      </c>
    </row>
    <row r="37" spans="1:15" hidden="1">
      <c r="A37" t="s">
        <v>942</v>
      </c>
      <c r="B37" t="s">
        <v>943</v>
      </c>
      <c r="C37" s="553">
        <v>44214</v>
      </c>
      <c r="D37" s="281" t="s">
        <v>4253</v>
      </c>
      <c r="E37" s="281" t="s">
        <v>2708</v>
      </c>
      <c r="F37" s="281">
        <v>1</v>
      </c>
      <c r="G37" s="281">
        <v>5020000000</v>
      </c>
      <c r="H37" t="s">
        <v>2032</v>
      </c>
      <c r="I37" t="s">
        <v>565</v>
      </c>
      <c r="J37" t="s">
        <v>773</v>
      </c>
      <c r="K37" t="s">
        <v>774</v>
      </c>
      <c r="L37" s="552">
        <v>1000</v>
      </c>
      <c r="O37" t="s">
        <v>961</v>
      </c>
    </row>
    <row r="38" spans="1:15" hidden="1">
      <c r="A38" t="s">
        <v>942</v>
      </c>
      <c r="B38" t="s">
        <v>943</v>
      </c>
      <c r="C38" s="553">
        <v>44214</v>
      </c>
      <c r="D38" s="281" t="s">
        <v>4253</v>
      </c>
      <c r="E38" s="281" t="s">
        <v>2708</v>
      </c>
      <c r="F38" s="281">
        <v>1</v>
      </c>
      <c r="G38" s="281">
        <v>5020000000</v>
      </c>
      <c r="H38" t="s">
        <v>2033</v>
      </c>
      <c r="I38" t="s">
        <v>593</v>
      </c>
      <c r="J38" t="s">
        <v>773</v>
      </c>
      <c r="K38" t="s">
        <v>774</v>
      </c>
      <c r="L38" s="552">
        <v>600</v>
      </c>
      <c r="O38" t="s">
        <v>961</v>
      </c>
    </row>
    <row r="39" spans="1:15" hidden="1">
      <c r="A39" t="s">
        <v>942</v>
      </c>
      <c r="B39" t="s">
        <v>943</v>
      </c>
      <c r="C39" s="553">
        <v>44214</v>
      </c>
      <c r="D39" s="281" t="s">
        <v>4253</v>
      </c>
      <c r="E39" s="281" t="s">
        <v>2708</v>
      </c>
      <c r="F39" s="281">
        <v>1</v>
      </c>
      <c r="G39" s="281">
        <v>5020000000</v>
      </c>
      <c r="H39" t="s">
        <v>1996</v>
      </c>
      <c r="I39" t="s">
        <v>676</v>
      </c>
      <c r="J39" t="s">
        <v>773</v>
      </c>
      <c r="K39" t="s">
        <v>774</v>
      </c>
      <c r="L39" s="552">
        <v>300</v>
      </c>
      <c r="O39" t="s">
        <v>961</v>
      </c>
    </row>
    <row r="40" spans="1:15" hidden="1">
      <c r="A40" t="s">
        <v>942</v>
      </c>
      <c r="B40" t="s">
        <v>943</v>
      </c>
      <c r="C40" s="553">
        <v>44214</v>
      </c>
      <c r="D40" s="281" t="s">
        <v>4253</v>
      </c>
      <c r="E40" s="281" t="s">
        <v>2708</v>
      </c>
      <c r="F40" s="281">
        <v>1</v>
      </c>
      <c r="G40" s="281">
        <v>5020000000</v>
      </c>
      <c r="H40" t="s">
        <v>1997</v>
      </c>
      <c r="I40" t="s">
        <v>642</v>
      </c>
      <c r="J40" t="s">
        <v>773</v>
      </c>
      <c r="K40" t="s">
        <v>774</v>
      </c>
      <c r="L40" s="552">
        <v>1500</v>
      </c>
      <c r="O40" t="s">
        <v>961</v>
      </c>
    </row>
    <row r="41" spans="1:15" hidden="1">
      <c r="A41" t="s">
        <v>942</v>
      </c>
      <c r="B41" t="s">
        <v>943</v>
      </c>
      <c r="C41" s="553">
        <v>44214</v>
      </c>
      <c r="D41" s="281" t="s">
        <v>4253</v>
      </c>
      <c r="E41" s="281" t="s">
        <v>2708</v>
      </c>
      <c r="F41" s="281">
        <v>1</v>
      </c>
      <c r="G41" s="281">
        <v>5020000000</v>
      </c>
      <c r="H41" t="s">
        <v>1998</v>
      </c>
      <c r="I41" t="s">
        <v>633</v>
      </c>
      <c r="J41" t="s">
        <v>773</v>
      </c>
      <c r="K41" t="s">
        <v>774</v>
      </c>
      <c r="L41" s="552">
        <v>1000</v>
      </c>
      <c r="O41" t="s">
        <v>961</v>
      </c>
    </row>
    <row r="42" spans="1:15" hidden="1">
      <c r="A42" t="s">
        <v>942</v>
      </c>
      <c r="B42" t="s">
        <v>943</v>
      </c>
      <c r="C42" s="553">
        <v>44214</v>
      </c>
      <c r="D42" s="281" t="s">
        <v>4253</v>
      </c>
      <c r="E42" s="281" t="s">
        <v>2708</v>
      </c>
      <c r="F42" s="281">
        <v>1</v>
      </c>
      <c r="G42" s="281">
        <v>5020000000</v>
      </c>
      <c r="H42" t="s">
        <v>1999</v>
      </c>
      <c r="I42" t="s">
        <v>672</v>
      </c>
      <c r="J42" t="s">
        <v>773</v>
      </c>
      <c r="K42" t="s">
        <v>774</v>
      </c>
      <c r="L42" s="552">
        <v>600</v>
      </c>
      <c r="O42" t="s">
        <v>961</v>
      </c>
    </row>
    <row r="43" spans="1:15" hidden="1">
      <c r="A43" t="s">
        <v>942</v>
      </c>
      <c r="B43" t="s">
        <v>943</v>
      </c>
      <c r="C43" s="553">
        <v>44214</v>
      </c>
      <c r="D43" s="281" t="s">
        <v>4254</v>
      </c>
      <c r="E43" s="281" t="s">
        <v>2718</v>
      </c>
      <c r="F43" s="281">
        <v>3</v>
      </c>
      <c r="G43" s="281">
        <v>5010000000</v>
      </c>
      <c r="H43" t="s">
        <v>2026</v>
      </c>
      <c r="I43" t="s">
        <v>499</v>
      </c>
      <c r="J43" t="s">
        <v>777</v>
      </c>
      <c r="K43" t="s">
        <v>762</v>
      </c>
      <c r="L43" s="552">
        <v>377147</v>
      </c>
      <c r="O43" t="s">
        <v>967</v>
      </c>
    </row>
    <row r="44" spans="1:15" hidden="1">
      <c r="A44" t="s">
        <v>942</v>
      </c>
      <c r="B44" t="s">
        <v>943</v>
      </c>
      <c r="C44" s="553">
        <v>44214</v>
      </c>
      <c r="D44" s="281" t="s">
        <v>4254</v>
      </c>
      <c r="E44" s="281" t="s">
        <v>2718</v>
      </c>
      <c r="F44" s="281">
        <v>3</v>
      </c>
      <c r="G44" s="281">
        <v>5010000000</v>
      </c>
      <c r="H44" t="s">
        <v>2027</v>
      </c>
      <c r="I44" t="s">
        <v>504</v>
      </c>
      <c r="J44" t="s">
        <v>777</v>
      </c>
      <c r="K44" t="s">
        <v>762</v>
      </c>
      <c r="L44" s="552">
        <v>22000</v>
      </c>
      <c r="O44" t="s">
        <v>967</v>
      </c>
    </row>
    <row r="45" spans="1:15" hidden="1">
      <c r="A45" t="s">
        <v>942</v>
      </c>
      <c r="B45" t="s">
        <v>943</v>
      </c>
      <c r="C45" s="553">
        <v>44214</v>
      </c>
      <c r="D45" s="281" t="s">
        <v>4254</v>
      </c>
      <c r="E45" s="281" t="s">
        <v>2718</v>
      </c>
      <c r="F45" s="281">
        <v>3</v>
      </c>
      <c r="G45" s="281">
        <v>5010301000</v>
      </c>
      <c r="H45" t="s">
        <v>2028</v>
      </c>
      <c r="I45" t="s">
        <v>528</v>
      </c>
      <c r="J45" t="s">
        <v>777</v>
      </c>
      <c r="K45" t="s">
        <v>762</v>
      </c>
      <c r="L45" s="552">
        <v>45257.64</v>
      </c>
      <c r="O45" t="s">
        <v>969</v>
      </c>
    </row>
    <row r="46" spans="1:15" hidden="1">
      <c r="A46" t="s">
        <v>942</v>
      </c>
      <c r="B46" t="s">
        <v>943</v>
      </c>
      <c r="C46" s="553">
        <v>44214</v>
      </c>
      <c r="D46" s="281" t="s">
        <v>4254</v>
      </c>
      <c r="E46" s="281" t="s">
        <v>2718</v>
      </c>
      <c r="F46" s="281">
        <v>3</v>
      </c>
      <c r="G46" s="281">
        <v>5010000000</v>
      </c>
      <c r="H46" t="s">
        <v>2029</v>
      </c>
      <c r="I46" t="s">
        <v>530</v>
      </c>
      <c r="J46" t="s">
        <v>777</v>
      </c>
      <c r="K46" t="s">
        <v>762</v>
      </c>
      <c r="L46" s="552">
        <v>1100</v>
      </c>
      <c r="O46" t="s">
        <v>967</v>
      </c>
    </row>
    <row r="47" spans="1:15" hidden="1">
      <c r="A47" t="s">
        <v>942</v>
      </c>
      <c r="B47" t="s">
        <v>943</v>
      </c>
      <c r="C47" s="553">
        <v>44214</v>
      </c>
      <c r="D47" s="281" t="s">
        <v>4254</v>
      </c>
      <c r="E47" s="281" t="s">
        <v>2718</v>
      </c>
      <c r="F47" s="281">
        <v>3</v>
      </c>
      <c r="G47" s="281">
        <v>5010000000</v>
      </c>
      <c r="H47" t="s">
        <v>2030</v>
      </c>
      <c r="I47" t="s">
        <v>532</v>
      </c>
      <c r="J47" t="s">
        <v>777</v>
      </c>
      <c r="K47" t="s">
        <v>762</v>
      </c>
      <c r="L47" s="552">
        <v>5521.98</v>
      </c>
      <c r="O47" t="s">
        <v>967</v>
      </c>
    </row>
    <row r="48" spans="1:15" hidden="1">
      <c r="A48" t="s">
        <v>942</v>
      </c>
      <c r="B48" t="s">
        <v>943</v>
      </c>
      <c r="C48" s="553">
        <v>44214</v>
      </c>
      <c r="D48" s="281" t="s">
        <v>4254</v>
      </c>
      <c r="E48" s="281" t="s">
        <v>2718</v>
      </c>
      <c r="F48" s="281">
        <v>3</v>
      </c>
      <c r="G48" s="281">
        <v>5010000000</v>
      </c>
      <c r="H48" t="s">
        <v>2031</v>
      </c>
      <c r="I48" t="s">
        <v>534</v>
      </c>
      <c r="J48" t="s">
        <v>777</v>
      </c>
      <c r="K48" t="s">
        <v>762</v>
      </c>
      <c r="L48" s="552">
        <v>1100</v>
      </c>
      <c r="O48" t="s">
        <v>967</v>
      </c>
    </row>
    <row r="49" spans="1:15" hidden="1">
      <c r="A49" t="s">
        <v>942</v>
      </c>
      <c r="B49" t="s">
        <v>943</v>
      </c>
      <c r="C49" s="553">
        <v>44214</v>
      </c>
      <c r="D49" s="281" t="s">
        <v>4255</v>
      </c>
      <c r="E49" s="281" t="s">
        <v>2668</v>
      </c>
      <c r="F49" s="281">
        <v>1</v>
      </c>
      <c r="G49" s="281">
        <v>5020000000</v>
      </c>
      <c r="H49" t="s">
        <v>2000</v>
      </c>
      <c r="I49" t="s">
        <v>683</v>
      </c>
      <c r="J49" t="s">
        <v>779</v>
      </c>
      <c r="K49" t="s">
        <v>850</v>
      </c>
      <c r="L49" s="552">
        <v>160190.04</v>
      </c>
      <c r="O49" t="s">
        <v>961</v>
      </c>
    </row>
    <row r="50" spans="1:15" hidden="1">
      <c r="A50" t="s">
        <v>942</v>
      </c>
      <c r="B50" t="s">
        <v>943</v>
      </c>
      <c r="C50" s="553">
        <v>44214</v>
      </c>
      <c r="D50" s="281" t="s">
        <v>4256</v>
      </c>
      <c r="E50" s="281" t="s">
        <v>2669</v>
      </c>
      <c r="F50" s="281">
        <v>1</v>
      </c>
      <c r="G50" s="281">
        <v>5020000000</v>
      </c>
      <c r="H50" t="s">
        <v>2000</v>
      </c>
      <c r="I50" t="s">
        <v>683</v>
      </c>
      <c r="J50" t="s">
        <v>779</v>
      </c>
      <c r="K50" t="s">
        <v>780</v>
      </c>
      <c r="L50" s="552">
        <v>10311.43</v>
      </c>
      <c r="O50" t="s">
        <v>961</v>
      </c>
    </row>
    <row r="51" spans="1:15" hidden="1">
      <c r="A51" t="s">
        <v>942</v>
      </c>
      <c r="B51" t="s">
        <v>943</v>
      </c>
      <c r="C51" s="553">
        <v>44215</v>
      </c>
      <c r="D51" s="281" t="s">
        <v>4257</v>
      </c>
      <c r="E51" s="281" t="s">
        <v>2754</v>
      </c>
      <c r="F51" s="281">
        <v>1</v>
      </c>
      <c r="G51" s="281">
        <v>5020000000</v>
      </c>
      <c r="H51" t="s">
        <v>2001</v>
      </c>
      <c r="I51" t="s">
        <v>669</v>
      </c>
      <c r="J51" t="s">
        <v>782</v>
      </c>
      <c r="K51" t="s">
        <v>783</v>
      </c>
      <c r="L51" s="552">
        <v>11250</v>
      </c>
      <c r="O51" t="s">
        <v>961</v>
      </c>
    </row>
    <row r="52" spans="1:15" hidden="1">
      <c r="A52" t="s">
        <v>942</v>
      </c>
      <c r="B52" t="s">
        <v>943</v>
      </c>
      <c r="C52" s="553">
        <v>44215</v>
      </c>
      <c r="D52" s="281" t="s">
        <v>4258</v>
      </c>
      <c r="E52" s="281" t="s">
        <v>2757</v>
      </c>
      <c r="F52" s="281">
        <v>4</v>
      </c>
      <c r="G52" s="281">
        <v>5010000000</v>
      </c>
      <c r="H52" t="s">
        <v>2026</v>
      </c>
      <c r="I52" t="s">
        <v>499</v>
      </c>
      <c r="J52" t="s">
        <v>789</v>
      </c>
      <c r="K52" t="s">
        <v>762</v>
      </c>
      <c r="L52" s="552">
        <v>487450</v>
      </c>
      <c r="O52" t="s">
        <v>970</v>
      </c>
    </row>
    <row r="53" spans="1:15" hidden="1">
      <c r="A53" t="s">
        <v>942</v>
      </c>
      <c r="B53" t="s">
        <v>943</v>
      </c>
      <c r="C53" s="553">
        <v>44215</v>
      </c>
      <c r="D53" s="281" t="s">
        <v>4258</v>
      </c>
      <c r="E53" s="281" t="s">
        <v>2757</v>
      </c>
      <c r="F53" s="281">
        <v>4</v>
      </c>
      <c r="G53" s="281">
        <v>5010000000</v>
      </c>
      <c r="H53" t="s">
        <v>2027</v>
      </c>
      <c r="I53" t="s">
        <v>504</v>
      </c>
      <c r="J53" t="s">
        <v>789</v>
      </c>
      <c r="K53" t="s">
        <v>762</v>
      </c>
      <c r="L53" s="552">
        <v>20000</v>
      </c>
      <c r="O53" t="s">
        <v>970</v>
      </c>
    </row>
    <row r="54" spans="1:15" hidden="1">
      <c r="A54" t="s">
        <v>942</v>
      </c>
      <c r="B54" t="s">
        <v>943</v>
      </c>
      <c r="C54" s="553">
        <v>44215</v>
      </c>
      <c r="D54" s="281" t="s">
        <v>4258</v>
      </c>
      <c r="E54" s="281" t="s">
        <v>2757</v>
      </c>
      <c r="F54" s="281">
        <v>4</v>
      </c>
      <c r="G54" s="281">
        <v>5010301000</v>
      </c>
      <c r="H54" t="s">
        <v>2028</v>
      </c>
      <c r="I54" t="s">
        <v>528</v>
      </c>
      <c r="J54" t="s">
        <v>789</v>
      </c>
      <c r="K54" t="s">
        <v>762</v>
      </c>
      <c r="L54" s="552">
        <v>58494</v>
      </c>
      <c r="O54" t="s">
        <v>972</v>
      </c>
    </row>
    <row r="55" spans="1:15" hidden="1">
      <c r="A55" t="s">
        <v>942</v>
      </c>
      <c r="B55" t="s">
        <v>943</v>
      </c>
      <c r="C55" s="553">
        <v>44215</v>
      </c>
      <c r="D55" s="281" t="s">
        <v>4258</v>
      </c>
      <c r="E55" s="281" t="s">
        <v>2757</v>
      </c>
      <c r="F55" s="281">
        <v>4</v>
      </c>
      <c r="G55" s="281">
        <v>5010000000</v>
      </c>
      <c r="H55" t="s">
        <v>2029</v>
      </c>
      <c r="I55" t="s">
        <v>530</v>
      </c>
      <c r="J55" t="s">
        <v>789</v>
      </c>
      <c r="K55" t="s">
        <v>762</v>
      </c>
      <c r="L55" s="552">
        <v>1000</v>
      </c>
      <c r="O55" t="s">
        <v>970</v>
      </c>
    </row>
    <row r="56" spans="1:15" hidden="1">
      <c r="A56" t="s">
        <v>942</v>
      </c>
      <c r="B56" t="s">
        <v>943</v>
      </c>
      <c r="C56" s="553">
        <v>44215</v>
      </c>
      <c r="D56" s="281" t="s">
        <v>4258</v>
      </c>
      <c r="E56" s="281" t="s">
        <v>2757</v>
      </c>
      <c r="F56" s="281">
        <v>4</v>
      </c>
      <c r="G56" s="281">
        <v>5010000000</v>
      </c>
      <c r="H56" t="s">
        <v>2030</v>
      </c>
      <c r="I56" t="s">
        <v>532</v>
      </c>
      <c r="J56" t="s">
        <v>789</v>
      </c>
      <c r="K56" t="s">
        <v>762</v>
      </c>
      <c r="L56" s="552">
        <v>6170.95</v>
      </c>
      <c r="O56" t="s">
        <v>970</v>
      </c>
    </row>
    <row r="57" spans="1:15" hidden="1">
      <c r="A57" t="s">
        <v>942</v>
      </c>
      <c r="B57" t="s">
        <v>943</v>
      </c>
      <c r="C57" s="553">
        <v>44215</v>
      </c>
      <c r="D57" s="281" t="s">
        <v>4258</v>
      </c>
      <c r="E57" s="281" t="s">
        <v>2757</v>
      </c>
      <c r="F57" s="281">
        <v>4</v>
      </c>
      <c r="G57" s="281">
        <v>5010000000</v>
      </c>
      <c r="H57" t="s">
        <v>2031</v>
      </c>
      <c r="I57" t="s">
        <v>534</v>
      </c>
      <c r="J57" t="s">
        <v>789</v>
      </c>
      <c r="K57" t="s">
        <v>762</v>
      </c>
      <c r="L57" s="552">
        <v>1000</v>
      </c>
      <c r="O57" t="s">
        <v>970</v>
      </c>
    </row>
    <row r="58" spans="1:15" hidden="1">
      <c r="A58" t="s">
        <v>942</v>
      </c>
      <c r="B58" t="s">
        <v>943</v>
      </c>
      <c r="C58" s="553">
        <v>44215</v>
      </c>
      <c r="D58" s="281" t="s">
        <v>4259</v>
      </c>
      <c r="E58" s="281" t="s">
        <v>2760</v>
      </c>
      <c r="F58" s="281">
        <v>1</v>
      </c>
      <c r="G58" s="281">
        <v>5020000000</v>
      </c>
      <c r="H58" t="s">
        <v>2002</v>
      </c>
      <c r="I58" t="s">
        <v>603</v>
      </c>
      <c r="J58" t="s">
        <v>791</v>
      </c>
      <c r="K58" t="s">
        <v>792</v>
      </c>
      <c r="L58" s="552">
        <v>2500</v>
      </c>
      <c r="O58" t="s">
        <v>961</v>
      </c>
    </row>
    <row r="59" spans="1:15" hidden="1">
      <c r="A59" t="s">
        <v>942</v>
      </c>
      <c r="B59" t="s">
        <v>943</v>
      </c>
      <c r="C59" s="553">
        <v>44215</v>
      </c>
      <c r="D59" s="281" t="s">
        <v>4260</v>
      </c>
      <c r="E59" s="281" t="s">
        <v>2764</v>
      </c>
      <c r="F59" s="281">
        <v>1</v>
      </c>
      <c r="G59" s="281">
        <v>5020000000</v>
      </c>
      <c r="H59" t="s">
        <v>2003</v>
      </c>
      <c r="I59" t="s">
        <v>609</v>
      </c>
      <c r="J59" t="s">
        <v>794</v>
      </c>
      <c r="K59" t="s">
        <v>795</v>
      </c>
      <c r="L59" s="552">
        <v>0</v>
      </c>
      <c r="O59" t="s">
        <v>961</v>
      </c>
    </row>
    <row r="60" spans="1:15" hidden="1">
      <c r="A60" t="s">
        <v>942</v>
      </c>
      <c r="B60" t="s">
        <v>943</v>
      </c>
      <c r="C60" s="553">
        <v>44217</v>
      </c>
      <c r="D60" s="281" t="s">
        <v>4261</v>
      </c>
      <c r="E60" s="281" t="s">
        <v>2836</v>
      </c>
      <c r="F60" s="281">
        <v>1</v>
      </c>
      <c r="G60" s="281">
        <v>5020000000</v>
      </c>
      <c r="H60" t="s">
        <v>2032</v>
      </c>
      <c r="I60" t="s">
        <v>565</v>
      </c>
      <c r="J60" t="s">
        <v>773</v>
      </c>
      <c r="K60" t="s">
        <v>808</v>
      </c>
      <c r="L60" s="552">
        <v>1834.25</v>
      </c>
      <c r="O60" t="s">
        <v>961</v>
      </c>
    </row>
    <row r="61" spans="1:15" hidden="1">
      <c r="A61" t="s">
        <v>942</v>
      </c>
      <c r="B61" t="s">
        <v>943</v>
      </c>
      <c r="C61" s="553">
        <v>44217</v>
      </c>
      <c r="D61" s="281" t="s">
        <v>4261</v>
      </c>
      <c r="E61" s="281" t="s">
        <v>2836</v>
      </c>
      <c r="F61" s="281">
        <v>1</v>
      </c>
      <c r="G61" s="281">
        <v>5020000000</v>
      </c>
      <c r="H61" t="s">
        <v>2004</v>
      </c>
      <c r="I61" t="s">
        <v>629</v>
      </c>
      <c r="J61" t="s">
        <v>773</v>
      </c>
      <c r="K61" t="s">
        <v>808</v>
      </c>
      <c r="L61" s="552">
        <v>219</v>
      </c>
      <c r="O61" t="s">
        <v>961</v>
      </c>
    </row>
    <row r="62" spans="1:15" hidden="1">
      <c r="A62" t="s">
        <v>942</v>
      </c>
      <c r="B62" t="s">
        <v>943</v>
      </c>
      <c r="C62" s="553">
        <v>44217</v>
      </c>
      <c r="D62" s="281" t="s">
        <v>4261</v>
      </c>
      <c r="E62" s="281" t="s">
        <v>2836</v>
      </c>
      <c r="F62" s="281">
        <v>1</v>
      </c>
      <c r="G62" s="281">
        <v>5020000000</v>
      </c>
      <c r="H62" t="s">
        <v>1997</v>
      </c>
      <c r="I62" t="s">
        <v>642</v>
      </c>
      <c r="J62" t="s">
        <v>773</v>
      </c>
      <c r="K62" t="s">
        <v>808</v>
      </c>
      <c r="L62" s="552">
        <v>1960</v>
      </c>
      <c r="O62" t="s">
        <v>961</v>
      </c>
    </row>
    <row r="63" spans="1:15" hidden="1">
      <c r="A63" t="s">
        <v>942</v>
      </c>
      <c r="B63" t="s">
        <v>943</v>
      </c>
      <c r="C63" s="553">
        <v>44217</v>
      </c>
      <c r="D63" s="281" t="s">
        <v>4261</v>
      </c>
      <c r="E63" s="281" t="s">
        <v>2836</v>
      </c>
      <c r="F63" s="281">
        <v>1</v>
      </c>
      <c r="G63" s="281">
        <v>5020000000</v>
      </c>
      <c r="H63" t="s">
        <v>1998</v>
      </c>
      <c r="I63" t="s">
        <v>633</v>
      </c>
      <c r="J63" t="s">
        <v>773</v>
      </c>
      <c r="K63" t="s">
        <v>808</v>
      </c>
      <c r="L63" s="552">
        <v>300</v>
      </c>
      <c r="O63" t="s">
        <v>961</v>
      </c>
    </row>
    <row r="64" spans="1:15" hidden="1">
      <c r="A64" t="s">
        <v>942</v>
      </c>
      <c r="B64" t="s">
        <v>943</v>
      </c>
      <c r="C64" s="553">
        <v>44218</v>
      </c>
      <c r="D64" s="281" t="s">
        <v>4262</v>
      </c>
      <c r="E64" s="281" t="s">
        <v>2810</v>
      </c>
      <c r="F64" s="281">
        <v>4</v>
      </c>
      <c r="G64" s="281">
        <v>5020000000</v>
      </c>
      <c r="H64" t="s">
        <v>2034</v>
      </c>
      <c r="I64" t="s">
        <v>581</v>
      </c>
      <c r="J64" t="s">
        <v>810</v>
      </c>
      <c r="K64" t="s">
        <v>811</v>
      </c>
      <c r="L64" s="552">
        <v>22550.49</v>
      </c>
      <c r="O64" t="s">
        <v>971</v>
      </c>
    </row>
    <row r="65" spans="1:15" hidden="1">
      <c r="A65" t="s">
        <v>942</v>
      </c>
      <c r="B65" t="s">
        <v>943</v>
      </c>
      <c r="C65" s="553">
        <v>44221</v>
      </c>
      <c r="D65" s="281" t="s">
        <v>4263</v>
      </c>
      <c r="E65" s="281" t="s">
        <v>2825</v>
      </c>
      <c r="F65" s="281">
        <v>1</v>
      </c>
      <c r="G65" s="281">
        <v>5020000000</v>
      </c>
      <c r="H65" t="s">
        <v>2005</v>
      </c>
      <c r="I65" t="s">
        <v>678</v>
      </c>
      <c r="J65" t="s">
        <v>818</v>
      </c>
      <c r="K65" t="s">
        <v>819</v>
      </c>
      <c r="L65" s="552">
        <v>7800</v>
      </c>
      <c r="O65" t="s">
        <v>961</v>
      </c>
    </row>
    <row r="66" spans="1:15" hidden="1">
      <c r="A66" t="s">
        <v>942</v>
      </c>
      <c r="B66" t="s">
        <v>943</v>
      </c>
      <c r="C66" s="553">
        <v>44221</v>
      </c>
      <c r="D66" s="281" t="s">
        <v>4264</v>
      </c>
      <c r="E66" s="281" t="s">
        <v>2814</v>
      </c>
      <c r="F66" s="281">
        <v>1</v>
      </c>
      <c r="G66" s="281">
        <v>5020000000</v>
      </c>
      <c r="H66" t="s">
        <v>2005</v>
      </c>
      <c r="I66" t="s">
        <v>678</v>
      </c>
      <c r="J66" t="s">
        <v>820</v>
      </c>
      <c r="K66" t="s">
        <v>819</v>
      </c>
      <c r="L66" s="552">
        <v>7800</v>
      </c>
      <c r="O66" t="s">
        <v>961</v>
      </c>
    </row>
    <row r="67" spans="1:15" hidden="1">
      <c r="A67" t="s">
        <v>942</v>
      </c>
      <c r="B67" t="s">
        <v>943</v>
      </c>
      <c r="C67" s="553">
        <v>44221</v>
      </c>
      <c r="D67" s="281" t="s">
        <v>4265</v>
      </c>
      <c r="E67" s="281" t="s">
        <v>2817</v>
      </c>
      <c r="F67" s="281">
        <v>1</v>
      </c>
      <c r="G67" s="281">
        <v>5020000000</v>
      </c>
      <c r="H67" t="s">
        <v>2005</v>
      </c>
      <c r="I67" t="s">
        <v>678</v>
      </c>
      <c r="J67" t="s">
        <v>821</v>
      </c>
      <c r="K67" t="s">
        <v>819</v>
      </c>
      <c r="L67" s="552">
        <v>7800</v>
      </c>
      <c r="O67" t="s">
        <v>961</v>
      </c>
    </row>
    <row r="68" spans="1:15" hidden="1">
      <c r="A68" t="s">
        <v>942</v>
      </c>
      <c r="B68" t="s">
        <v>943</v>
      </c>
      <c r="C68" s="553">
        <v>44221</v>
      </c>
      <c r="D68" s="281" t="s">
        <v>4266</v>
      </c>
      <c r="E68" s="281" t="s">
        <v>2819</v>
      </c>
      <c r="F68" s="281">
        <v>1</v>
      </c>
      <c r="G68" s="281">
        <v>5020000000</v>
      </c>
      <c r="H68" t="s">
        <v>2005</v>
      </c>
      <c r="I68" t="s">
        <v>678</v>
      </c>
      <c r="J68" t="s">
        <v>822</v>
      </c>
      <c r="K68" t="s">
        <v>819</v>
      </c>
      <c r="L68" s="552">
        <v>7800</v>
      </c>
      <c r="O68" t="s">
        <v>961</v>
      </c>
    </row>
    <row r="69" spans="1:15" hidden="1">
      <c r="A69" t="s">
        <v>942</v>
      </c>
      <c r="B69" t="s">
        <v>943</v>
      </c>
      <c r="C69" s="553">
        <v>44221</v>
      </c>
      <c r="D69" s="281" t="s">
        <v>4267</v>
      </c>
      <c r="E69" s="281" t="s">
        <v>2822</v>
      </c>
      <c r="F69" s="281">
        <v>1</v>
      </c>
      <c r="G69" s="281">
        <v>5020000000</v>
      </c>
      <c r="H69" t="s">
        <v>2005</v>
      </c>
      <c r="I69" t="s">
        <v>678</v>
      </c>
      <c r="J69" t="s">
        <v>823</v>
      </c>
      <c r="K69" t="s">
        <v>819</v>
      </c>
      <c r="L69" s="552">
        <v>7800</v>
      </c>
      <c r="O69" t="s">
        <v>961</v>
      </c>
    </row>
    <row r="70" spans="1:15" hidden="1">
      <c r="A70" t="s">
        <v>942</v>
      </c>
      <c r="B70" t="s">
        <v>943</v>
      </c>
      <c r="C70" s="553">
        <v>44222</v>
      </c>
      <c r="D70" s="281" t="s">
        <v>4268</v>
      </c>
      <c r="E70" s="281" t="s">
        <v>2670</v>
      </c>
      <c r="F70" s="281">
        <v>10</v>
      </c>
      <c r="G70" s="281">
        <v>5060000000</v>
      </c>
      <c r="H70" t="s">
        <v>2006</v>
      </c>
      <c r="I70" t="s">
        <v>651</v>
      </c>
      <c r="J70" t="s">
        <v>830</v>
      </c>
      <c r="K70" t="s">
        <v>831</v>
      </c>
      <c r="L70" s="552">
        <v>59500</v>
      </c>
      <c r="O70" t="s">
        <v>984</v>
      </c>
    </row>
    <row r="71" spans="1:15" hidden="1">
      <c r="A71" t="s">
        <v>942</v>
      </c>
      <c r="B71" t="s">
        <v>943</v>
      </c>
      <c r="C71" s="553">
        <v>44222</v>
      </c>
      <c r="D71" s="281" t="s">
        <v>4269</v>
      </c>
      <c r="E71" s="281" t="s">
        <v>2858</v>
      </c>
      <c r="F71" s="281">
        <v>1</v>
      </c>
      <c r="G71" s="281">
        <v>5010000000</v>
      </c>
      <c r="H71" t="s">
        <v>2026</v>
      </c>
      <c r="I71" t="s">
        <v>499</v>
      </c>
      <c r="J71" t="s">
        <v>833</v>
      </c>
      <c r="K71" t="s">
        <v>834</v>
      </c>
      <c r="L71" s="552">
        <v>14112.73</v>
      </c>
      <c r="O71" t="s">
        <v>960</v>
      </c>
    </row>
    <row r="72" spans="1:15" hidden="1">
      <c r="A72" t="s">
        <v>942</v>
      </c>
      <c r="B72" t="s">
        <v>943</v>
      </c>
      <c r="C72" s="553">
        <v>44222</v>
      </c>
      <c r="D72" s="281" t="s">
        <v>4269</v>
      </c>
      <c r="E72" s="281" t="s">
        <v>2858</v>
      </c>
      <c r="F72" s="281">
        <v>1</v>
      </c>
      <c r="G72" s="281">
        <v>5010000000</v>
      </c>
      <c r="H72" t="s">
        <v>2027</v>
      </c>
      <c r="I72" t="s">
        <v>504</v>
      </c>
      <c r="J72" t="s">
        <v>833</v>
      </c>
      <c r="K72" t="s">
        <v>834</v>
      </c>
      <c r="L72" s="552">
        <v>1818.18</v>
      </c>
      <c r="O72" t="s">
        <v>960</v>
      </c>
    </row>
    <row r="73" spans="1:15" hidden="1">
      <c r="A73" t="s">
        <v>942</v>
      </c>
      <c r="B73" t="s">
        <v>943</v>
      </c>
      <c r="C73" s="553">
        <v>44222</v>
      </c>
      <c r="D73" s="281" t="s">
        <v>4269</v>
      </c>
      <c r="E73" s="281" t="s">
        <v>2858</v>
      </c>
      <c r="F73" s="281">
        <v>1</v>
      </c>
      <c r="G73" s="281">
        <v>5010301000</v>
      </c>
      <c r="H73" t="s">
        <v>2028</v>
      </c>
      <c r="I73" t="s">
        <v>528</v>
      </c>
      <c r="J73" t="s">
        <v>833</v>
      </c>
      <c r="K73" t="s">
        <v>834</v>
      </c>
      <c r="L73" s="552">
        <v>1682.6</v>
      </c>
      <c r="O73" t="s">
        <v>962</v>
      </c>
    </row>
    <row r="74" spans="1:15" hidden="1">
      <c r="A74" t="s">
        <v>942</v>
      </c>
      <c r="B74" t="s">
        <v>943</v>
      </c>
      <c r="C74" s="553">
        <v>44222</v>
      </c>
      <c r="D74" s="281" t="s">
        <v>4269</v>
      </c>
      <c r="E74" s="281" t="s">
        <v>2858</v>
      </c>
      <c r="F74" s="281">
        <v>1</v>
      </c>
      <c r="G74" s="281">
        <v>5010000000</v>
      </c>
      <c r="H74" t="s">
        <v>2029</v>
      </c>
      <c r="I74" t="s">
        <v>530</v>
      </c>
      <c r="J74" t="s">
        <v>833</v>
      </c>
      <c r="K74" t="s">
        <v>834</v>
      </c>
      <c r="L74" s="552">
        <v>100</v>
      </c>
      <c r="O74" t="s">
        <v>960</v>
      </c>
    </row>
    <row r="75" spans="1:15" hidden="1">
      <c r="A75" t="s">
        <v>942</v>
      </c>
      <c r="B75" t="s">
        <v>943</v>
      </c>
      <c r="C75" s="553">
        <v>44222</v>
      </c>
      <c r="D75" s="281" t="s">
        <v>4269</v>
      </c>
      <c r="E75" s="281" t="s">
        <v>2858</v>
      </c>
      <c r="F75" s="281">
        <v>1</v>
      </c>
      <c r="G75" s="281">
        <v>5010000000</v>
      </c>
      <c r="H75" t="s">
        <v>2030</v>
      </c>
      <c r="I75" t="s">
        <v>532</v>
      </c>
      <c r="J75" t="s">
        <v>833</v>
      </c>
      <c r="K75" t="s">
        <v>834</v>
      </c>
      <c r="L75" s="552">
        <v>232.86</v>
      </c>
      <c r="O75" t="s">
        <v>960</v>
      </c>
    </row>
    <row r="76" spans="1:15" hidden="1">
      <c r="A76" t="s">
        <v>942</v>
      </c>
      <c r="B76" t="s">
        <v>943</v>
      </c>
      <c r="C76" s="553">
        <v>44222</v>
      </c>
      <c r="D76" s="281" t="s">
        <v>4269</v>
      </c>
      <c r="E76" s="281" t="s">
        <v>2858</v>
      </c>
      <c r="F76" s="281">
        <v>1</v>
      </c>
      <c r="G76" s="281">
        <v>5010000000</v>
      </c>
      <c r="H76" t="s">
        <v>2031</v>
      </c>
      <c r="I76" t="s">
        <v>534</v>
      </c>
      <c r="J76" t="s">
        <v>833</v>
      </c>
      <c r="K76" t="s">
        <v>834</v>
      </c>
      <c r="L76" s="552">
        <v>100</v>
      </c>
      <c r="O76" t="s">
        <v>960</v>
      </c>
    </row>
    <row r="77" spans="1:15" hidden="1">
      <c r="A77" t="s">
        <v>942</v>
      </c>
      <c r="B77" t="s">
        <v>943</v>
      </c>
      <c r="C77" s="553">
        <v>44223</v>
      </c>
      <c r="D77" s="281" t="s">
        <v>4270</v>
      </c>
      <c r="E77" s="281" t="s">
        <v>2919</v>
      </c>
      <c r="F77" s="281">
        <v>1</v>
      </c>
      <c r="G77" s="281">
        <v>5020000000</v>
      </c>
      <c r="H77" t="s">
        <v>2035</v>
      </c>
      <c r="I77" t="s">
        <v>596</v>
      </c>
      <c r="J77" t="s">
        <v>836</v>
      </c>
      <c r="K77" t="s">
        <v>837</v>
      </c>
      <c r="L77" s="552">
        <v>3675</v>
      </c>
      <c r="O77" t="s">
        <v>961</v>
      </c>
    </row>
    <row r="78" spans="1:15" hidden="1">
      <c r="A78" t="s">
        <v>942</v>
      </c>
      <c r="B78" t="s">
        <v>943</v>
      </c>
      <c r="C78" s="553">
        <v>44223</v>
      </c>
      <c r="D78" s="281" t="s">
        <v>4271</v>
      </c>
      <c r="E78" s="281" t="s">
        <v>2915</v>
      </c>
      <c r="F78" s="281">
        <v>1</v>
      </c>
      <c r="G78" s="281">
        <v>5020000000</v>
      </c>
      <c r="H78" t="s">
        <v>2035</v>
      </c>
      <c r="I78" t="s">
        <v>596</v>
      </c>
      <c r="J78" t="s">
        <v>839</v>
      </c>
      <c r="K78" t="s">
        <v>840</v>
      </c>
      <c r="L78" s="552">
        <v>10895.41</v>
      </c>
      <c r="O78" t="s">
        <v>961</v>
      </c>
    </row>
    <row r="79" spans="1:15" hidden="1">
      <c r="A79" t="s">
        <v>942</v>
      </c>
      <c r="B79" t="s">
        <v>943</v>
      </c>
      <c r="C79" s="553">
        <v>44223</v>
      </c>
      <c r="D79" s="281" t="s">
        <v>4272</v>
      </c>
      <c r="E79" s="281" t="s">
        <v>2672</v>
      </c>
      <c r="F79" s="281">
        <v>1</v>
      </c>
      <c r="G79" s="281">
        <v>5020000000</v>
      </c>
      <c r="H79" t="s">
        <v>1997</v>
      </c>
      <c r="I79" t="s">
        <v>642</v>
      </c>
      <c r="J79" t="s">
        <v>843</v>
      </c>
      <c r="K79" t="s">
        <v>855</v>
      </c>
      <c r="L79" s="552">
        <v>2480</v>
      </c>
      <c r="O79" t="s">
        <v>961</v>
      </c>
    </row>
    <row r="80" spans="1:15" hidden="1">
      <c r="A80" t="s">
        <v>942</v>
      </c>
      <c r="B80" t="s">
        <v>943</v>
      </c>
      <c r="C80" s="553">
        <v>44223</v>
      </c>
      <c r="D80" s="281" t="s">
        <v>4272</v>
      </c>
      <c r="E80" s="281" t="s">
        <v>2672</v>
      </c>
      <c r="F80" s="281">
        <v>1</v>
      </c>
      <c r="G80" s="281">
        <v>5020000000</v>
      </c>
      <c r="H80" t="s">
        <v>2007</v>
      </c>
      <c r="I80" t="s">
        <v>638</v>
      </c>
      <c r="J80" t="s">
        <v>843</v>
      </c>
      <c r="K80" t="s">
        <v>855</v>
      </c>
      <c r="L80" s="552">
        <v>7600</v>
      </c>
      <c r="O80" t="s">
        <v>961</v>
      </c>
    </row>
    <row r="81" spans="1:15" hidden="1">
      <c r="A81" t="s">
        <v>942</v>
      </c>
      <c r="B81" t="s">
        <v>943</v>
      </c>
      <c r="C81" s="553">
        <v>44223</v>
      </c>
      <c r="D81" s="281" t="s">
        <v>4272</v>
      </c>
      <c r="E81" s="281" t="s">
        <v>2672</v>
      </c>
      <c r="F81" s="281">
        <v>1</v>
      </c>
      <c r="G81" s="281">
        <v>5020000000</v>
      </c>
      <c r="H81" t="s">
        <v>1998</v>
      </c>
      <c r="I81" t="s">
        <v>633</v>
      </c>
      <c r="J81" t="s">
        <v>843</v>
      </c>
      <c r="K81" t="s">
        <v>855</v>
      </c>
      <c r="L81" s="552">
        <v>4000</v>
      </c>
      <c r="O81" t="s">
        <v>961</v>
      </c>
    </row>
    <row r="82" spans="1:15" hidden="1">
      <c r="A82" t="s">
        <v>942</v>
      </c>
      <c r="B82" t="s">
        <v>943</v>
      </c>
      <c r="C82" s="553">
        <v>44223</v>
      </c>
      <c r="D82" s="281" t="s">
        <v>4273</v>
      </c>
      <c r="E82" s="281" t="s">
        <v>2922</v>
      </c>
      <c r="F82" s="281">
        <v>1</v>
      </c>
      <c r="G82" s="281">
        <v>5020000000</v>
      </c>
      <c r="H82" t="s">
        <v>1999</v>
      </c>
      <c r="I82" t="s">
        <v>672</v>
      </c>
      <c r="J82" t="s">
        <v>847</v>
      </c>
      <c r="K82" t="s">
        <v>848</v>
      </c>
      <c r="L82" s="552">
        <v>1880</v>
      </c>
      <c r="O82" t="s">
        <v>961</v>
      </c>
    </row>
    <row r="83" spans="1:15" hidden="1">
      <c r="A83" t="s">
        <v>942</v>
      </c>
      <c r="B83" t="s">
        <v>943</v>
      </c>
      <c r="C83" s="553">
        <v>44224</v>
      </c>
      <c r="D83" s="281" t="s">
        <v>4274</v>
      </c>
      <c r="E83" s="281" t="s">
        <v>2911</v>
      </c>
      <c r="F83" s="281">
        <v>1</v>
      </c>
      <c r="G83" s="281">
        <v>5020000000</v>
      </c>
      <c r="H83" t="s">
        <v>2000</v>
      </c>
      <c r="I83" t="s">
        <v>683</v>
      </c>
      <c r="J83" t="s">
        <v>852</v>
      </c>
      <c r="K83" t="s">
        <v>853</v>
      </c>
      <c r="L83" s="552">
        <v>0</v>
      </c>
      <c r="O83" t="s">
        <v>961</v>
      </c>
    </row>
    <row r="84" spans="1:15" hidden="1">
      <c r="A84" t="s">
        <v>942</v>
      </c>
      <c r="B84" t="s">
        <v>943</v>
      </c>
      <c r="C84" s="553">
        <v>44224</v>
      </c>
      <c r="D84" s="281" t="s">
        <v>4275</v>
      </c>
      <c r="E84" s="281" t="s">
        <v>2671</v>
      </c>
      <c r="F84" s="281">
        <v>1</v>
      </c>
      <c r="G84" s="281">
        <v>5020000000</v>
      </c>
      <c r="H84" t="s">
        <v>2004</v>
      </c>
      <c r="I84" t="s">
        <v>629</v>
      </c>
      <c r="J84" t="s">
        <v>843</v>
      </c>
      <c r="K84" t="s">
        <v>855</v>
      </c>
      <c r="L84" s="552">
        <v>5534</v>
      </c>
      <c r="O84" t="s">
        <v>961</v>
      </c>
    </row>
    <row r="85" spans="1:15" hidden="1">
      <c r="A85" t="s">
        <v>942</v>
      </c>
      <c r="B85" t="s">
        <v>943</v>
      </c>
      <c r="C85" s="553">
        <v>44224</v>
      </c>
      <c r="D85" s="281" t="s">
        <v>4275</v>
      </c>
      <c r="E85" s="281" t="s">
        <v>2671</v>
      </c>
      <c r="F85" s="281">
        <v>1</v>
      </c>
      <c r="G85" s="281">
        <v>5020000000</v>
      </c>
      <c r="H85" t="s">
        <v>1997</v>
      </c>
      <c r="I85" t="s">
        <v>642</v>
      </c>
      <c r="J85" t="s">
        <v>843</v>
      </c>
      <c r="K85" t="s">
        <v>855</v>
      </c>
      <c r="L85" s="552">
        <v>4527.82</v>
      </c>
      <c r="O85" t="s">
        <v>961</v>
      </c>
    </row>
    <row r="86" spans="1:15" hidden="1">
      <c r="A86" t="s">
        <v>942</v>
      </c>
      <c r="B86" t="s">
        <v>943</v>
      </c>
      <c r="C86" s="553">
        <v>44224</v>
      </c>
      <c r="D86" s="281" t="s">
        <v>4275</v>
      </c>
      <c r="E86" s="281" t="s">
        <v>2671</v>
      </c>
      <c r="F86" s="281">
        <v>10</v>
      </c>
      <c r="G86" s="281">
        <v>5020000000</v>
      </c>
      <c r="H86" t="s">
        <v>1998</v>
      </c>
      <c r="I86" t="s">
        <v>633</v>
      </c>
      <c r="J86" t="s">
        <v>843</v>
      </c>
      <c r="K86" t="s">
        <v>855</v>
      </c>
      <c r="L86" s="552">
        <v>10000</v>
      </c>
      <c r="O86" t="s">
        <v>983</v>
      </c>
    </row>
    <row r="87" spans="1:15" hidden="1">
      <c r="A87" t="s">
        <v>942</v>
      </c>
      <c r="B87" t="s">
        <v>943</v>
      </c>
      <c r="C87" s="553">
        <v>44224</v>
      </c>
      <c r="D87" s="281" t="s">
        <v>4276</v>
      </c>
      <c r="E87" s="281" t="s">
        <v>2905</v>
      </c>
      <c r="F87" s="281">
        <v>9</v>
      </c>
      <c r="G87" s="281">
        <v>5020000000</v>
      </c>
      <c r="H87" t="s">
        <v>1998</v>
      </c>
      <c r="I87" t="s">
        <v>633</v>
      </c>
      <c r="J87" t="s">
        <v>843</v>
      </c>
      <c r="K87" t="s">
        <v>855</v>
      </c>
      <c r="L87" s="552">
        <v>11158</v>
      </c>
      <c r="O87" t="s">
        <v>982</v>
      </c>
    </row>
    <row r="88" spans="1:15" hidden="1">
      <c r="A88" t="s">
        <v>942</v>
      </c>
      <c r="B88" t="s">
        <v>943</v>
      </c>
      <c r="C88" s="553">
        <v>44224</v>
      </c>
      <c r="D88" s="281" t="s">
        <v>4276</v>
      </c>
      <c r="E88" s="281" t="s">
        <v>2905</v>
      </c>
      <c r="F88" s="281">
        <v>11</v>
      </c>
      <c r="G88" s="281">
        <v>5020000000</v>
      </c>
      <c r="H88" t="s">
        <v>1998</v>
      </c>
      <c r="I88" t="s">
        <v>633</v>
      </c>
      <c r="J88" t="s">
        <v>843</v>
      </c>
      <c r="K88" t="s">
        <v>855</v>
      </c>
      <c r="L88" s="552">
        <v>11158</v>
      </c>
      <c r="O88" t="s">
        <v>985</v>
      </c>
    </row>
    <row r="89" spans="1:15" hidden="1">
      <c r="A89" t="s">
        <v>942</v>
      </c>
      <c r="B89" t="s">
        <v>943</v>
      </c>
      <c r="C89" s="553">
        <v>44224</v>
      </c>
      <c r="D89" s="281" t="s">
        <v>4276</v>
      </c>
      <c r="E89" s="281" t="s">
        <v>2905</v>
      </c>
      <c r="F89" s="281">
        <v>8</v>
      </c>
      <c r="G89" s="281">
        <v>5020000000</v>
      </c>
      <c r="H89" t="s">
        <v>1998</v>
      </c>
      <c r="I89" t="s">
        <v>633</v>
      </c>
      <c r="J89" t="s">
        <v>843</v>
      </c>
      <c r="K89" t="s">
        <v>855</v>
      </c>
      <c r="L89" s="552">
        <v>11158</v>
      </c>
      <c r="O89" t="s">
        <v>980</v>
      </c>
    </row>
    <row r="90" spans="1:15" hidden="1">
      <c r="A90" t="s">
        <v>942</v>
      </c>
      <c r="B90" t="s">
        <v>943</v>
      </c>
      <c r="C90" s="553">
        <v>44224</v>
      </c>
      <c r="D90" s="281" t="s">
        <v>4277</v>
      </c>
      <c r="E90" s="281" t="s">
        <v>4214</v>
      </c>
      <c r="F90" s="281">
        <v>1</v>
      </c>
      <c r="G90" s="281">
        <v>5020000000</v>
      </c>
      <c r="H90" t="s">
        <v>2032</v>
      </c>
      <c r="I90" t="s">
        <v>565</v>
      </c>
      <c r="J90" t="s">
        <v>859</v>
      </c>
      <c r="K90" t="s">
        <v>860</v>
      </c>
      <c r="L90" s="552">
        <v>0</v>
      </c>
      <c r="O90" t="s">
        <v>961</v>
      </c>
    </row>
    <row r="91" spans="1:15" hidden="1">
      <c r="A91" t="s">
        <v>942</v>
      </c>
      <c r="B91" t="s">
        <v>943</v>
      </c>
      <c r="C91" s="553">
        <v>44224</v>
      </c>
      <c r="D91" s="281" t="s">
        <v>4278</v>
      </c>
      <c r="E91" s="281" t="s">
        <v>2954</v>
      </c>
      <c r="F91" s="281">
        <v>13</v>
      </c>
      <c r="G91" s="281" t="s">
        <v>2036</v>
      </c>
      <c r="H91" t="s">
        <v>2036</v>
      </c>
      <c r="I91" t="s">
        <v>501</v>
      </c>
      <c r="J91" t="s">
        <v>863</v>
      </c>
      <c r="K91" t="s">
        <v>864</v>
      </c>
      <c r="L91" s="552">
        <v>43681</v>
      </c>
      <c r="O91" t="s">
        <v>999</v>
      </c>
    </row>
    <row r="92" spans="1:15" hidden="1">
      <c r="A92" t="s">
        <v>942</v>
      </c>
      <c r="B92" t="s">
        <v>943</v>
      </c>
      <c r="C92" s="553">
        <v>44224</v>
      </c>
      <c r="D92" s="281" t="s">
        <v>4278</v>
      </c>
      <c r="E92" s="281" t="s">
        <v>2954</v>
      </c>
      <c r="F92" s="281">
        <v>13</v>
      </c>
      <c r="G92" s="281" t="s">
        <v>2036</v>
      </c>
      <c r="H92" t="s">
        <v>2027</v>
      </c>
      <c r="I92" t="s">
        <v>504</v>
      </c>
      <c r="J92" t="s">
        <v>863</v>
      </c>
      <c r="K92" t="s">
        <v>864</v>
      </c>
      <c r="L92" s="552">
        <v>2000</v>
      </c>
      <c r="O92" t="s">
        <v>999</v>
      </c>
    </row>
    <row r="93" spans="1:15" hidden="1">
      <c r="A93" t="s">
        <v>942</v>
      </c>
      <c r="B93" t="s">
        <v>943</v>
      </c>
      <c r="C93" s="553">
        <v>44224</v>
      </c>
      <c r="D93" s="281" t="s">
        <v>4278</v>
      </c>
      <c r="E93" s="281" t="s">
        <v>2954</v>
      </c>
      <c r="F93" s="281">
        <v>13</v>
      </c>
      <c r="G93" s="281" t="s">
        <v>2036</v>
      </c>
      <c r="H93" t="s">
        <v>2028</v>
      </c>
      <c r="I93" t="s">
        <v>528</v>
      </c>
      <c r="J93" t="s">
        <v>863</v>
      </c>
      <c r="K93" t="s">
        <v>864</v>
      </c>
      <c r="L93" s="552">
        <v>5241.72</v>
      </c>
      <c r="O93" t="s">
        <v>999</v>
      </c>
    </row>
    <row r="94" spans="1:15" hidden="1">
      <c r="A94" t="s">
        <v>942</v>
      </c>
      <c r="B94" t="s">
        <v>943</v>
      </c>
      <c r="C94" s="553">
        <v>44224</v>
      </c>
      <c r="D94" s="281" t="s">
        <v>4278</v>
      </c>
      <c r="E94" s="281" t="s">
        <v>2954</v>
      </c>
      <c r="F94" s="281">
        <v>13</v>
      </c>
      <c r="G94" s="281" t="s">
        <v>2036</v>
      </c>
      <c r="H94" t="s">
        <v>2029</v>
      </c>
      <c r="I94" t="s">
        <v>530</v>
      </c>
      <c r="J94" t="s">
        <v>863</v>
      </c>
      <c r="K94" t="s">
        <v>864</v>
      </c>
      <c r="L94" s="552">
        <v>100</v>
      </c>
      <c r="O94" t="s">
        <v>999</v>
      </c>
    </row>
    <row r="95" spans="1:15" hidden="1">
      <c r="A95" t="s">
        <v>942</v>
      </c>
      <c r="B95" t="s">
        <v>943</v>
      </c>
      <c r="C95" s="553">
        <v>44224</v>
      </c>
      <c r="D95" s="281" t="s">
        <v>4278</v>
      </c>
      <c r="E95" s="281" t="s">
        <v>2954</v>
      </c>
      <c r="F95" s="281">
        <v>13</v>
      </c>
      <c r="G95" s="281" t="s">
        <v>2036</v>
      </c>
      <c r="H95" t="s">
        <v>2030</v>
      </c>
      <c r="I95" t="s">
        <v>532</v>
      </c>
      <c r="J95" t="s">
        <v>863</v>
      </c>
      <c r="K95" t="s">
        <v>864</v>
      </c>
      <c r="L95" s="552">
        <v>655.22</v>
      </c>
      <c r="O95" t="s">
        <v>999</v>
      </c>
    </row>
    <row r="96" spans="1:15" hidden="1">
      <c r="A96" t="s">
        <v>942</v>
      </c>
      <c r="B96" t="s">
        <v>943</v>
      </c>
      <c r="C96" s="553">
        <v>44224</v>
      </c>
      <c r="D96" s="281" t="s">
        <v>4278</v>
      </c>
      <c r="E96" s="281" t="s">
        <v>2954</v>
      </c>
      <c r="F96" s="281">
        <v>13</v>
      </c>
      <c r="G96" s="281" t="s">
        <v>2036</v>
      </c>
      <c r="H96" t="s">
        <v>2031</v>
      </c>
      <c r="I96" t="s">
        <v>534</v>
      </c>
      <c r="J96" t="s">
        <v>863</v>
      </c>
      <c r="K96" t="s">
        <v>864</v>
      </c>
      <c r="L96" s="552">
        <v>100</v>
      </c>
      <c r="O96" t="s">
        <v>999</v>
      </c>
    </row>
    <row r="97" spans="1:15" hidden="1">
      <c r="A97" t="s">
        <v>942</v>
      </c>
      <c r="B97" t="s">
        <v>943</v>
      </c>
      <c r="C97" s="553">
        <v>44224</v>
      </c>
      <c r="D97" s="281" t="s">
        <v>4279</v>
      </c>
      <c r="E97" s="281" t="s">
        <v>2958</v>
      </c>
      <c r="F97" s="281">
        <v>13</v>
      </c>
      <c r="G97" s="281" t="s">
        <v>2036</v>
      </c>
      <c r="H97" t="s">
        <v>2036</v>
      </c>
      <c r="I97" t="s">
        <v>501</v>
      </c>
      <c r="J97" t="s">
        <v>789</v>
      </c>
      <c r="K97" t="s">
        <v>864</v>
      </c>
      <c r="L97" s="552">
        <v>77256</v>
      </c>
      <c r="O97" t="s">
        <v>999</v>
      </c>
    </row>
    <row r="98" spans="1:15" hidden="1">
      <c r="A98" t="s">
        <v>942</v>
      </c>
      <c r="B98" t="s">
        <v>943</v>
      </c>
      <c r="C98" s="553">
        <v>44224</v>
      </c>
      <c r="D98" s="281" t="s">
        <v>4279</v>
      </c>
      <c r="E98" s="281" t="s">
        <v>2958</v>
      </c>
      <c r="F98" s="281">
        <v>13</v>
      </c>
      <c r="G98" s="281" t="s">
        <v>2036</v>
      </c>
      <c r="H98" t="s">
        <v>2027</v>
      </c>
      <c r="I98" t="s">
        <v>504</v>
      </c>
      <c r="J98" t="s">
        <v>789</v>
      </c>
      <c r="K98" t="s">
        <v>864</v>
      </c>
      <c r="L98" s="552">
        <v>4000</v>
      </c>
      <c r="O98" t="s">
        <v>999</v>
      </c>
    </row>
    <row r="99" spans="1:15" hidden="1">
      <c r="A99" t="s">
        <v>942</v>
      </c>
      <c r="B99" t="s">
        <v>943</v>
      </c>
      <c r="C99" s="553">
        <v>44224</v>
      </c>
      <c r="D99" s="281" t="s">
        <v>4279</v>
      </c>
      <c r="E99" s="281" t="s">
        <v>2958</v>
      </c>
      <c r="F99" s="281">
        <v>13</v>
      </c>
      <c r="G99" s="281" t="s">
        <v>2036</v>
      </c>
      <c r="H99" t="s">
        <v>2028</v>
      </c>
      <c r="I99" t="s">
        <v>528</v>
      </c>
      <c r="J99" t="s">
        <v>789</v>
      </c>
      <c r="K99" t="s">
        <v>864</v>
      </c>
      <c r="L99" s="552">
        <v>9270.7199999999993</v>
      </c>
      <c r="O99" t="s">
        <v>999</v>
      </c>
    </row>
    <row r="100" spans="1:15" hidden="1">
      <c r="A100" t="s">
        <v>942</v>
      </c>
      <c r="B100" t="s">
        <v>943</v>
      </c>
      <c r="C100" s="553">
        <v>44224</v>
      </c>
      <c r="D100" s="281" t="s">
        <v>4279</v>
      </c>
      <c r="E100" s="281" t="s">
        <v>2958</v>
      </c>
      <c r="F100" s="281">
        <v>13</v>
      </c>
      <c r="G100" s="281" t="s">
        <v>2036</v>
      </c>
      <c r="H100" t="s">
        <v>2029</v>
      </c>
      <c r="I100" t="s">
        <v>530</v>
      </c>
      <c r="J100" t="s">
        <v>789</v>
      </c>
      <c r="K100" t="s">
        <v>864</v>
      </c>
      <c r="L100" s="552">
        <v>200</v>
      </c>
      <c r="O100" t="s">
        <v>999</v>
      </c>
    </row>
    <row r="101" spans="1:15" hidden="1">
      <c r="A101" t="s">
        <v>942</v>
      </c>
      <c r="B101" t="s">
        <v>943</v>
      </c>
      <c r="C101" s="553">
        <v>44224</v>
      </c>
      <c r="D101" s="281" t="s">
        <v>4279</v>
      </c>
      <c r="E101" s="281" t="s">
        <v>2958</v>
      </c>
      <c r="F101" s="281">
        <v>13</v>
      </c>
      <c r="G101" s="281" t="s">
        <v>2036</v>
      </c>
      <c r="H101" t="s">
        <v>2030</v>
      </c>
      <c r="I101" t="s">
        <v>532</v>
      </c>
      <c r="J101" t="s">
        <v>789</v>
      </c>
      <c r="K101" t="s">
        <v>864</v>
      </c>
      <c r="L101" s="552">
        <v>1158.8499999999999</v>
      </c>
      <c r="O101" t="s">
        <v>999</v>
      </c>
    </row>
    <row r="102" spans="1:15" hidden="1">
      <c r="A102" t="s">
        <v>942</v>
      </c>
      <c r="B102" t="s">
        <v>943</v>
      </c>
      <c r="C102" s="553">
        <v>44224</v>
      </c>
      <c r="D102" s="281" t="s">
        <v>4279</v>
      </c>
      <c r="E102" s="281" t="s">
        <v>2958</v>
      </c>
      <c r="F102" s="281">
        <v>13</v>
      </c>
      <c r="G102" s="281" t="s">
        <v>2036</v>
      </c>
      <c r="H102" t="s">
        <v>2031</v>
      </c>
      <c r="I102" t="s">
        <v>534</v>
      </c>
      <c r="J102" t="s">
        <v>789</v>
      </c>
      <c r="K102" t="s">
        <v>864</v>
      </c>
      <c r="L102" s="552">
        <v>200</v>
      </c>
      <c r="O102" t="s">
        <v>999</v>
      </c>
    </row>
    <row r="103" spans="1:15" hidden="1">
      <c r="A103" t="s">
        <v>942</v>
      </c>
      <c r="B103" t="s">
        <v>943</v>
      </c>
      <c r="C103" s="553">
        <v>44224</v>
      </c>
      <c r="D103" s="281" t="s">
        <v>4280</v>
      </c>
      <c r="E103" s="281" t="s">
        <v>2961</v>
      </c>
      <c r="F103" s="281">
        <v>13</v>
      </c>
      <c r="G103" s="281" t="s">
        <v>2036</v>
      </c>
      <c r="H103" t="s">
        <v>2036</v>
      </c>
      <c r="I103" t="s">
        <v>501</v>
      </c>
      <c r="J103" t="s">
        <v>867</v>
      </c>
      <c r="K103" t="s">
        <v>864</v>
      </c>
      <c r="L103" s="552">
        <v>33575</v>
      </c>
      <c r="O103" t="s">
        <v>999</v>
      </c>
    </row>
    <row r="104" spans="1:15" hidden="1">
      <c r="A104" t="s">
        <v>942</v>
      </c>
      <c r="B104" t="s">
        <v>943</v>
      </c>
      <c r="C104" s="553">
        <v>44224</v>
      </c>
      <c r="D104" s="281" t="s">
        <v>4280</v>
      </c>
      <c r="E104" s="281" t="s">
        <v>2961</v>
      </c>
      <c r="F104" s="281">
        <v>13</v>
      </c>
      <c r="G104" s="281" t="s">
        <v>2036</v>
      </c>
      <c r="H104" t="s">
        <v>2027</v>
      </c>
      <c r="I104" t="s">
        <v>504</v>
      </c>
      <c r="J104" t="s">
        <v>867</v>
      </c>
      <c r="K104" t="s">
        <v>864</v>
      </c>
      <c r="L104" s="552">
        <v>2000</v>
      </c>
      <c r="O104" t="s">
        <v>999</v>
      </c>
    </row>
    <row r="105" spans="1:15" hidden="1">
      <c r="A105" t="s">
        <v>942</v>
      </c>
      <c r="B105" t="s">
        <v>943</v>
      </c>
      <c r="C105" s="553">
        <v>44224</v>
      </c>
      <c r="D105" s="281" t="s">
        <v>4280</v>
      </c>
      <c r="E105" s="281" t="s">
        <v>2961</v>
      </c>
      <c r="F105" s="281">
        <v>13</v>
      </c>
      <c r="G105" s="281" t="s">
        <v>2036</v>
      </c>
      <c r="H105" t="s">
        <v>2028</v>
      </c>
      <c r="I105" t="s">
        <v>528</v>
      </c>
      <c r="J105" t="s">
        <v>867</v>
      </c>
      <c r="K105" t="s">
        <v>864</v>
      </c>
      <c r="L105" s="552">
        <v>4029</v>
      </c>
      <c r="O105" t="s">
        <v>999</v>
      </c>
    </row>
    <row r="106" spans="1:15" hidden="1">
      <c r="A106" t="s">
        <v>942</v>
      </c>
      <c r="B106" t="s">
        <v>943</v>
      </c>
      <c r="C106" s="553">
        <v>44224</v>
      </c>
      <c r="D106" s="281" t="s">
        <v>4280</v>
      </c>
      <c r="E106" s="281" t="s">
        <v>2961</v>
      </c>
      <c r="F106" s="281">
        <v>13</v>
      </c>
      <c r="G106" s="281" t="s">
        <v>2036</v>
      </c>
      <c r="H106" t="s">
        <v>2029</v>
      </c>
      <c r="I106" t="s">
        <v>530</v>
      </c>
      <c r="J106" t="s">
        <v>867</v>
      </c>
      <c r="K106" t="s">
        <v>864</v>
      </c>
      <c r="L106" s="552">
        <v>100</v>
      </c>
      <c r="O106" t="s">
        <v>999</v>
      </c>
    </row>
    <row r="107" spans="1:15" hidden="1">
      <c r="A107" t="s">
        <v>942</v>
      </c>
      <c r="B107" t="s">
        <v>943</v>
      </c>
      <c r="C107" s="553">
        <v>44224</v>
      </c>
      <c r="D107" s="281" t="s">
        <v>4280</v>
      </c>
      <c r="E107" s="281" t="s">
        <v>2961</v>
      </c>
      <c r="F107" s="281">
        <v>13</v>
      </c>
      <c r="G107" s="281" t="s">
        <v>2036</v>
      </c>
      <c r="H107" t="s">
        <v>2030</v>
      </c>
      <c r="I107" t="s">
        <v>532</v>
      </c>
      <c r="J107" t="s">
        <v>867</v>
      </c>
      <c r="K107" t="s">
        <v>864</v>
      </c>
      <c r="L107" s="552">
        <v>503.63</v>
      </c>
      <c r="O107" t="s">
        <v>999</v>
      </c>
    </row>
    <row r="108" spans="1:15" hidden="1">
      <c r="A108" t="s">
        <v>942</v>
      </c>
      <c r="B108" t="s">
        <v>943</v>
      </c>
      <c r="C108" s="553">
        <v>44224</v>
      </c>
      <c r="D108" s="281" t="s">
        <v>4280</v>
      </c>
      <c r="E108" s="281" t="s">
        <v>2961</v>
      </c>
      <c r="F108" s="281">
        <v>13</v>
      </c>
      <c r="G108" s="281" t="s">
        <v>2036</v>
      </c>
      <c r="H108" t="s">
        <v>2031</v>
      </c>
      <c r="I108" t="s">
        <v>534</v>
      </c>
      <c r="J108" t="s">
        <v>867</v>
      </c>
      <c r="K108" t="s">
        <v>864</v>
      </c>
      <c r="L108" s="552">
        <v>100</v>
      </c>
      <c r="O108" t="s">
        <v>999</v>
      </c>
    </row>
    <row r="109" spans="1:15" hidden="1">
      <c r="A109" t="s">
        <v>942</v>
      </c>
      <c r="B109" t="s">
        <v>943</v>
      </c>
      <c r="C109" s="553">
        <v>44224</v>
      </c>
      <c r="D109" s="281" t="s">
        <v>4281</v>
      </c>
      <c r="E109" s="281" t="s">
        <v>2964</v>
      </c>
      <c r="F109" s="281">
        <v>13</v>
      </c>
      <c r="G109" s="281" t="s">
        <v>2036</v>
      </c>
      <c r="H109" t="s">
        <v>2036</v>
      </c>
      <c r="I109" t="s">
        <v>501</v>
      </c>
      <c r="J109" t="s">
        <v>869</v>
      </c>
      <c r="K109" t="s">
        <v>864</v>
      </c>
      <c r="L109" s="552">
        <v>33575</v>
      </c>
      <c r="O109" t="s">
        <v>999</v>
      </c>
    </row>
    <row r="110" spans="1:15" hidden="1">
      <c r="A110" t="s">
        <v>942</v>
      </c>
      <c r="B110" t="s">
        <v>943</v>
      </c>
      <c r="C110" s="553">
        <v>44224</v>
      </c>
      <c r="D110" s="281" t="s">
        <v>4281</v>
      </c>
      <c r="E110" s="281" t="s">
        <v>2964</v>
      </c>
      <c r="F110" s="281">
        <v>13</v>
      </c>
      <c r="G110" s="281" t="s">
        <v>2036</v>
      </c>
      <c r="H110" t="s">
        <v>2027</v>
      </c>
      <c r="I110" t="s">
        <v>504</v>
      </c>
      <c r="J110" t="s">
        <v>869</v>
      </c>
      <c r="K110" t="s">
        <v>864</v>
      </c>
      <c r="L110" s="552">
        <v>2000</v>
      </c>
      <c r="O110" t="s">
        <v>999</v>
      </c>
    </row>
    <row r="111" spans="1:15" hidden="1">
      <c r="A111" t="s">
        <v>942</v>
      </c>
      <c r="B111" t="s">
        <v>943</v>
      </c>
      <c r="C111" s="553">
        <v>44224</v>
      </c>
      <c r="D111" s="281" t="s">
        <v>4281</v>
      </c>
      <c r="E111" s="281" t="s">
        <v>2964</v>
      </c>
      <c r="F111" s="281">
        <v>13</v>
      </c>
      <c r="G111" s="281" t="s">
        <v>2036</v>
      </c>
      <c r="H111" t="s">
        <v>2028</v>
      </c>
      <c r="I111" t="s">
        <v>528</v>
      </c>
      <c r="J111" t="s">
        <v>869</v>
      </c>
      <c r="K111" t="s">
        <v>864</v>
      </c>
      <c r="L111" s="552">
        <v>4029</v>
      </c>
      <c r="O111" t="s">
        <v>999</v>
      </c>
    </row>
    <row r="112" spans="1:15" hidden="1">
      <c r="A112" t="s">
        <v>942</v>
      </c>
      <c r="B112" t="s">
        <v>943</v>
      </c>
      <c r="C112" s="553">
        <v>44224</v>
      </c>
      <c r="D112" s="281" t="s">
        <v>4281</v>
      </c>
      <c r="E112" s="281" t="s">
        <v>2964</v>
      </c>
      <c r="F112" s="281">
        <v>13</v>
      </c>
      <c r="G112" s="281" t="s">
        <v>2036</v>
      </c>
      <c r="H112" t="s">
        <v>2029</v>
      </c>
      <c r="I112" t="s">
        <v>530</v>
      </c>
      <c r="J112" t="s">
        <v>869</v>
      </c>
      <c r="K112" t="s">
        <v>864</v>
      </c>
      <c r="L112" s="552">
        <v>100</v>
      </c>
      <c r="O112" t="s">
        <v>999</v>
      </c>
    </row>
    <row r="113" spans="1:15" hidden="1">
      <c r="A113" t="s">
        <v>942</v>
      </c>
      <c r="B113" t="s">
        <v>943</v>
      </c>
      <c r="C113" s="553">
        <v>44224</v>
      </c>
      <c r="D113" s="281" t="s">
        <v>4281</v>
      </c>
      <c r="E113" s="281" t="s">
        <v>2964</v>
      </c>
      <c r="F113" s="281">
        <v>13</v>
      </c>
      <c r="G113" s="281" t="s">
        <v>2036</v>
      </c>
      <c r="H113" t="s">
        <v>2030</v>
      </c>
      <c r="I113" t="s">
        <v>532</v>
      </c>
      <c r="J113" t="s">
        <v>869</v>
      </c>
      <c r="K113" t="s">
        <v>864</v>
      </c>
      <c r="L113" s="552">
        <v>503.63</v>
      </c>
      <c r="O113" t="s">
        <v>999</v>
      </c>
    </row>
    <row r="114" spans="1:15" hidden="1">
      <c r="A114" t="s">
        <v>942</v>
      </c>
      <c r="B114" t="s">
        <v>943</v>
      </c>
      <c r="C114" s="553">
        <v>44224</v>
      </c>
      <c r="D114" s="281" t="s">
        <v>4281</v>
      </c>
      <c r="E114" s="281" t="s">
        <v>2964</v>
      </c>
      <c r="F114" s="281">
        <v>13</v>
      </c>
      <c r="G114" s="281" t="s">
        <v>2036</v>
      </c>
      <c r="H114" t="s">
        <v>2031</v>
      </c>
      <c r="I114" t="s">
        <v>534</v>
      </c>
      <c r="J114" t="s">
        <v>869</v>
      </c>
      <c r="K114" t="s">
        <v>864</v>
      </c>
      <c r="L114" s="552">
        <v>100</v>
      </c>
      <c r="O114" t="s">
        <v>999</v>
      </c>
    </row>
    <row r="115" spans="1:15" hidden="1">
      <c r="A115" t="s">
        <v>942</v>
      </c>
      <c r="B115" t="s">
        <v>943</v>
      </c>
      <c r="C115" s="553">
        <v>44224</v>
      </c>
      <c r="D115" s="281" t="s">
        <v>4282</v>
      </c>
      <c r="E115" s="281" t="s">
        <v>2966</v>
      </c>
      <c r="F115" s="281">
        <v>13</v>
      </c>
      <c r="G115" s="281" t="s">
        <v>2036</v>
      </c>
      <c r="H115" t="s">
        <v>2036</v>
      </c>
      <c r="I115" t="s">
        <v>501</v>
      </c>
      <c r="J115" t="s">
        <v>768</v>
      </c>
      <c r="K115" t="s">
        <v>864</v>
      </c>
      <c r="L115" s="552">
        <v>77256</v>
      </c>
      <c r="O115" t="s">
        <v>999</v>
      </c>
    </row>
    <row r="116" spans="1:15" hidden="1">
      <c r="A116" t="s">
        <v>942</v>
      </c>
      <c r="B116" t="s">
        <v>943</v>
      </c>
      <c r="C116" s="553">
        <v>44224</v>
      </c>
      <c r="D116" s="281" t="s">
        <v>4282</v>
      </c>
      <c r="E116" s="281" t="s">
        <v>2966</v>
      </c>
      <c r="F116" s="281">
        <v>13</v>
      </c>
      <c r="G116" s="281" t="s">
        <v>2036</v>
      </c>
      <c r="H116" t="s">
        <v>2027</v>
      </c>
      <c r="I116" t="s">
        <v>504</v>
      </c>
      <c r="J116" t="s">
        <v>768</v>
      </c>
      <c r="K116" t="s">
        <v>864</v>
      </c>
      <c r="L116" s="552">
        <v>4000</v>
      </c>
      <c r="O116" t="s">
        <v>999</v>
      </c>
    </row>
    <row r="117" spans="1:15" hidden="1">
      <c r="A117" t="s">
        <v>942</v>
      </c>
      <c r="B117" t="s">
        <v>943</v>
      </c>
      <c r="C117" s="553">
        <v>44224</v>
      </c>
      <c r="D117" s="281" t="s">
        <v>4282</v>
      </c>
      <c r="E117" s="281" t="s">
        <v>2966</v>
      </c>
      <c r="F117" s="281">
        <v>13</v>
      </c>
      <c r="G117" s="281" t="s">
        <v>2036</v>
      </c>
      <c r="H117" t="s">
        <v>2028</v>
      </c>
      <c r="I117" t="s">
        <v>528</v>
      </c>
      <c r="J117" t="s">
        <v>768</v>
      </c>
      <c r="K117" t="s">
        <v>864</v>
      </c>
      <c r="L117" s="552">
        <v>9270.7199999999993</v>
      </c>
      <c r="O117" t="s">
        <v>999</v>
      </c>
    </row>
    <row r="118" spans="1:15" hidden="1">
      <c r="A118" t="s">
        <v>942</v>
      </c>
      <c r="B118" t="s">
        <v>943</v>
      </c>
      <c r="C118" s="553">
        <v>44224</v>
      </c>
      <c r="D118" s="281" t="s">
        <v>4282</v>
      </c>
      <c r="E118" s="281" t="s">
        <v>2966</v>
      </c>
      <c r="F118" s="281">
        <v>13</v>
      </c>
      <c r="G118" s="281" t="s">
        <v>2036</v>
      </c>
      <c r="H118" t="s">
        <v>2029</v>
      </c>
      <c r="I118" t="s">
        <v>530</v>
      </c>
      <c r="J118" t="s">
        <v>768</v>
      </c>
      <c r="K118" t="s">
        <v>864</v>
      </c>
      <c r="L118" s="552">
        <v>200</v>
      </c>
      <c r="O118" t="s">
        <v>999</v>
      </c>
    </row>
    <row r="119" spans="1:15" hidden="1">
      <c r="A119" t="s">
        <v>942</v>
      </c>
      <c r="B119" t="s">
        <v>943</v>
      </c>
      <c r="C119" s="553">
        <v>44224</v>
      </c>
      <c r="D119" s="281" t="s">
        <v>4282</v>
      </c>
      <c r="E119" s="281" t="s">
        <v>2966</v>
      </c>
      <c r="F119" s="281">
        <v>13</v>
      </c>
      <c r="G119" s="281" t="s">
        <v>2036</v>
      </c>
      <c r="H119" t="s">
        <v>2030</v>
      </c>
      <c r="I119" t="s">
        <v>532</v>
      </c>
      <c r="J119" t="s">
        <v>768</v>
      </c>
      <c r="K119" t="s">
        <v>864</v>
      </c>
      <c r="L119" s="552">
        <v>1158.8499999999999</v>
      </c>
      <c r="O119" t="s">
        <v>999</v>
      </c>
    </row>
    <row r="120" spans="1:15" hidden="1">
      <c r="A120" t="s">
        <v>942</v>
      </c>
      <c r="B120" t="s">
        <v>943</v>
      </c>
      <c r="C120" s="553">
        <v>44224</v>
      </c>
      <c r="D120" s="281" t="s">
        <v>4282</v>
      </c>
      <c r="E120" s="281" t="s">
        <v>2966</v>
      </c>
      <c r="F120" s="281">
        <v>13</v>
      </c>
      <c r="G120" s="281" t="s">
        <v>2036</v>
      </c>
      <c r="H120" t="s">
        <v>2031</v>
      </c>
      <c r="I120" t="s">
        <v>534</v>
      </c>
      <c r="J120" t="s">
        <v>768</v>
      </c>
      <c r="K120" t="s">
        <v>864</v>
      </c>
      <c r="L120" s="552">
        <v>200</v>
      </c>
      <c r="O120" t="s">
        <v>999</v>
      </c>
    </row>
    <row r="121" spans="1:15" hidden="1">
      <c r="A121" t="s">
        <v>942</v>
      </c>
      <c r="B121" t="s">
        <v>943</v>
      </c>
      <c r="C121" s="553">
        <v>44224</v>
      </c>
      <c r="D121" s="281" t="s">
        <v>4283</v>
      </c>
      <c r="E121" s="281" t="s">
        <v>2969</v>
      </c>
      <c r="F121" s="281">
        <v>13</v>
      </c>
      <c r="G121" s="281" t="s">
        <v>2036</v>
      </c>
      <c r="H121" t="s">
        <v>2036</v>
      </c>
      <c r="I121" t="s">
        <v>501</v>
      </c>
      <c r="J121" t="s">
        <v>872</v>
      </c>
      <c r="K121" t="s">
        <v>864</v>
      </c>
      <c r="L121" s="552">
        <v>33575</v>
      </c>
      <c r="O121" t="s">
        <v>999</v>
      </c>
    </row>
    <row r="122" spans="1:15" hidden="1">
      <c r="A122" t="s">
        <v>942</v>
      </c>
      <c r="B122" t="s">
        <v>943</v>
      </c>
      <c r="C122" s="553">
        <v>44224</v>
      </c>
      <c r="D122" s="281" t="s">
        <v>4283</v>
      </c>
      <c r="E122" s="281" t="s">
        <v>2969</v>
      </c>
      <c r="F122" s="281">
        <v>13</v>
      </c>
      <c r="G122" s="281" t="s">
        <v>2036</v>
      </c>
      <c r="H122" t="s">
        <v>2027</v>
      </c>
      <c r="I122" t="s">
        <v>504</v>
      </c>
      <c r="J122" t="s">
        <v>872</v>
      </c>
      <c r="K122" t="s">
        <v>864</v>
      </c>
      <c r="L122" s="552">
        <v>2000</v>
      </c>
      <c r="O122" t="s">
        <v>999</v>
      </c>
    </row>
    <row r="123" spans="1:15" hidden="1">
      <c r="A123" t="s">
        <v>942</v>
      </c>
      <c r="B123" t="s">
        <v>943</v>
      </c>
      <c r="C123" s="553">
        <v>44224</v>
      </c>
      <c r="D123" s="281" t="s">
        <v>4283</v>
      </c>
      <c r="E123" s="281" t="s">
        <v>2969</v>
      </c>
      <c r="F123" s="281">
        <v>13</v>
      </c>
      <c r="G123" s="281" t="s">
        <v>2036</v>
      </c>
      <c r="H123" t="s">
        <v>2028</v>
      </c>
      <c r="I123" t="s">
        <v>528</v>
      </c>
      <c r="J123" t="s">
        <v>872</v>
      </c>
      <c r="K123" t="s">
        <v>864</v>
      </c>
      <c r="L123" s="552">
        <v>4029</v>
      </c>
      <c r="O123" t="s">
        <v>999</v>
      </c>
    </row>
    <row r="124" spans="1:15" hidden="1">
      <c r="A124" t="s">
        <v>942</v>
      </c>
      <c r="B124" t="s">
        <v>943</v>
      </c>
      <c r="C124" s="553">
        <v>44224</v>
      </c>
      <c r="D124" s="281" t="s">
        <v>4283</v>
      </c>
      <c r="E124" s="281" t="s">
        <v>2969</v>
      </c>
      <c r="F124" s="281">
        <v>13</v>
      </c>
      <c r="G124" s="281" t="s">
        <v>2036</v>
      </c>
      <c r="H124" t="s">
        <v>2029</v>
      </c>
      <c r="I124" t="s">
        <v>530</v>
      </c>
      <c r="J124" t="s">
        <v>872</v>
      </c>
      <c r="K124" t="s">
        <v>864</v>
      </c>
      <c r="L124" s="552">
        <v>100</v>
      </c>
      <c r="O124" t="s">
        <v>999</v>
      </c>
    </row>
    <row r="125" spans="1:15" hidden="1">
      <c r="A125" t="s">
        <v>942</v>
      </c>
      <c r="B125" t="s">
        <v>943</v>
      </c>
      <c r="C125" s="553">
        <v>44224</v>
      </c>
      <c r="D125" s="281" t="s">
        <v>4283</v>
      </c>
      <c r="E125" s="281" t="s">
        <v>2969</v>
      </c>
      <c r="F125" s="281">
        <v>13</v>
      </c>
      <c r="G125" s="281" t="s">
        <v>2036</v>
      </c>
      <c r="H125" t="s">
        <v>2030</v>
      </c>
      <c r="I125" t="s">
        <v>532</v>
      </c>
      <c r="J125" t="s">
        <v>872</v>
      </c>
      <c r="K125" t="s">
        <v>864</v>
      </c>
      <c r="L125" s="552">
        <v>503.63</v>
      </c>
      <c r="O125" t="s">
        <v>999</v>
      </c>
    </row>
    <row r="126" spans="1:15" hidden="1">
      <c r="A126" t="s">
        <v>942</v>
      </c>
      <c r="B126" t="s">
        <v>943</v>
      </c>
      <c r="C126" s="553">
        <v>44224</v>
      </c>
      <c r="D126" s="281" t="s">
        <v>4283</v>
      </c>
      <c r="E126" s="281" t="s">
        <v>2969</v>
      </c>
      <c r="F126" s="281">
        <v>13</v>
      </c>
      <c r="G126" s="281" t="s">
        <v>2036</v>
      </c>
      <c r="H126" t="s">
        <v>2031</v>
      </c>
      <c r="I126" t="s">
        <v>534</v>
      </c>
      <c r="J126" t="s">
        <v>872</v>
      </c>
      <c r="K126" t="s">
        <v>864</v>
      </c>
      <c r="L126" s="552">
        <v>100</v>
      </c>
      <c r="O126" t="s">
        <v>999</v>
      </c>
    </row>
    <row r="127" spans="1:15">
      <c r="A127" t="s">
        <v>942</v>
      </c>
      <c r="B127" t="s">
        <v>945</v>
      </c>
      <c r="C127" s="553">
        <v>44229</v>
      </c>
      <c r="D127" s="281" t="s">
        <v>4284</v>
      </c>
      <c r="E127" s="281" t="s">
        <v>3026</v>
      </c>
      <c r="F127" s="281">
        <v>1</v>
      </c>
      <c r="G127" s="281">
        <v>5010000000</v>
      </c>
      <c r="H127" t="s">
        <v>2024</v>
      </c>
      <c r="I127" t="s">
        <v>505</v>
      </c>
      <c r="J127" t="s">
        <v>1030</v>
      </c>
      <c r="K127" t="s">
        <v>1031</v>
      </c>
      <c r="L127" s="552">
        <v>45000</v>
      </c>
      <c r="O127" t="s">
        <v>960</v>
      </c>
    </row>
    <row r="128" spans="1:15">
      <c r="A128" t="s">
        <v>942</v>
      </c>
      <c r="B128" t="s">
        <v>945</v>
      </c>
      <c r="C128" s="553">
        <v>44229</v>
      </c>
      <c r="D128" s="281" t="s">
        <v>4284</v>
      </c>
      <c r="E128" s="281" t="s">
        <v>3026</v>
      </c>
      <c r="F128" s="281">
        <v>1</v>
      </c>
      <c r="G128" s="281">
        <v>5010000000</v>
      </c>
      <c r="H128" t="s">
        <v>2025</v>
      </c>
      <c r="I128" t="s">
        <v>506</v>
      </c>
      <c r="J128" t="s">
        <v>1030</v>
      </c>
      <c r="K128" t="s">
        <v>1031</v>
      </c>
      <c r="L128" s="552">
        <v>45000</v>
      </c>
      <c r="O128" t="s">
        <v>960</v>
      </c>
    </row>
    <row r="129" spans="1:15">
      <c r="A129" t="s">
        <v>942</v>
      </c>
      <c r="B129" t="s">
        <v>945</v>
      </c>
      <c r="C129" s="553">
        <v>44229</v>
      </c>
      <c r="D129" s="281" t="s">
        <v>4284</v>
      </c>
      <c r="E129" s="281" t="s">
        <v>3026</v>
      </c>
      <c r="F129" s="281">
        <v>2</v>
      </c>
      <c r="G129" s="281">
        <v>5010000000</v>
      </c>
      <c r="H129" t="s">
        <v>2024</v>
      </c>
      <c r="I129" t="s">
        <v>505</v>
      </c>
      <c r="J129" t="s">
        <v>1030</v>
      </c>
      <c r="K129" t="s">
        <v>1031</v>
      </c>
      <c r="L129" s="552">
        <v>5000</v>
      </c>
      <c r="O129" t="s">
        <v>964</v>
      </c>
    </row>
    <row r="130" spans="1:15">
      <c r="A130" t="s">
        <v>942</v>
      </c>
      <c r="B130" t="s">
        <v>945</v>
      </c>
      <c r="C130" s="553">
        <v>44229</v>
      </c>
      <c r="D130" s="281" t="s">
        <v>4284</v>
      </c>
      <c r="E130" s="281" t="s">
        <v>3026</v>
      </c>
      <c r="F130" s="281">
        <v>2</v>
      </c>
      <c r="G130" s="281">
        <v>5010000000</v>
      </c>
      <c r="H130" t="s">
        <v>2025</v>
      </c>
      <c r="I130" t="s">
        <v>506</v>
      </c>
      <c r="J130" t="s">
        <v>1030</v>
      </c>
      <c r="K130" t="s">
        <v>1031</v>
      </c>
      <c r="L130" s="552">
        <v>5000</v>
      </c>
      <c r="O130" t="s">
        <v>964</v>
      </c>
    </row>
    <row r="131" spans="1:15">
      <c r="A131" t="s">
        <v>942</v>
      </c>
      <c r="B131" t="s">
        <v>945</v>
      </c>
      <c r="C131" s="553">
        <v>44229</v>
      </c>
      <c r="D131" s="281" t="s">
        <v>4284</v>
      </c>
      <c r="E131" s="281" t="s">
        <v>3026</v>
      </c>
      <c r="F131" s="281">
        <v>3</v>
      </c>
      <c r="G131" s="281">
        <v>5010000000</v>
      </c>
      <c r="H131" t="s">
        <v>2024</v>
      </c>
      <c r="I131" t="s">
        <v>505</v>
      </c>
      <c r="J131" t="s">
        <v>1030</v>
      </c>
      <c r="K131" t="s">
        <v>1031</v>
      </c>
      <c r="L131" s="552">
        <v>10000</v>
      </c>
      <c r="O131" t="s">
        <v>967</v>
      </c>
    </row>
    <row r="132" spans="1:15">
      <c r="A132" t="s">
        <v>942</v>
      </c>
      <c r="B132" t="s">
        <v>945</v>
      </c>
      <c r="C132" s="553">
        <v>44229</v>
      </c>
      <c r="D132" s="281" t="s">
        <v>4284</v>
      </c>
      <c r="E132" s="281" t="s">
        <v>3026</v>
      </c>
      <c r="F132" s="281">
        <v>3</v>
      </c>
      <c r="G132" s="281">
        <v>5010000000</v>
      </c>
      <c r="H132" t="s">
        <v>2025</v>
      </c>
      <c r="I132" t="s">
        <v>506</v>
      </c>
      <c r="J132" t="s">
        <v>1030</v>
      </c>
      <c r="K132" t="s">
        <v>1031</v>
      </c>
      <c r="L132" s="552">
        <v>10000</v>
      </c>
      <c r="O132" t="s">
        <v>967</v>
      </c>
    </row>
    <row r="133" spans="1:15">
      <c r="A133" t="s">
        <v>942</v>
      </c>
      <c r="B133" t="s">
        <v>945</v>
      </c>
      <c r="C133" s="553">
        <v>44229</v>
      </c>
      <c r="D133" s="281" t="s">
        <v>4284</v>
      </c>
      <c r="E133" s="281" t="s">
        <v>3026</v>
      </c>
      <c r="F133" s="281">
        <v>4</v>
      </c>
      <c r="G133" s="281">
        <v>5010000000</v>
      </c>
      <c r="H133" t="s">
        <v>2024</v>
      </c>
      <c r="I133" t="s">
        <v>505</v>
      </c>
      <c r="J133" t="s">
        <v>1030</v>
      </c>
      <c r="K133" t="s">
        <v>1031</v>
      </c>
      <c r="L133" s="552">
        <v>10000</v>
      </c>
      <c r="O133" t="s">
        <v>970</v>
      </c>
    </row>
    <row r="134" spans="1:15">
      <c r="A134" t="s">
        <v>942</v>
      </c>
      <c r="B134" t="s">
        <v>945</v>
      </c>
      <c r="C134" s="553">
        <v>44229</v>
      </c>
      <c r="D134" s="281" t="s">
        <v>4284</v>
      </c>
      <c r="E134" s="281" t="s">
        <v>3026</v>
      </c>
      <c r="F134" s="281">
        <v>4</v>
      </c>
      <c r="G134" s="281">
        <v>5010000000</v>
      </c>
      <c r="H134" t="s">
        <v>2025</v>
      </c>
      <c r="I134" t="s">
        <v>506</v>
      </c>
      <c r="J134" t="s">
        <v>1030</v>
      </c>
      <c r="K134" t="s">
        <v>1031</v>
      </c>
      <c r="L134" s="552">
        <v>10000</v>
      </c>
      <c r="O134" t="s">
        <v>970</v>
      </c>
    </row>
    <row r="135" spans="1:15">
      <c r="A135" t="s">
        <v>942</v>
      </c>
      <c r="B135" t="s">
        <v>945</v>
      </c>
      <c r="C135" s="553">
        <v>44229</v>
      </c>
      <c r="D135" s="281" t="s">
        <v>4284</v>
      </c>
      <c r="E135" s="281" t="s">
        <v>3026</v>
      </c>
      <c r="F135" s="281">
        <v>5</v>
      </c>
      <c r="G135" s="281">
        <v>5010000000</v>
      </c>
      <c r="H135" t="s">
        <v>2024</v>
      </c>
      <c r="I135" t="s">
        <v>505</v>
      </c>
      <c r="J135" t="s">
        <v>1030</v>
      </c>
      <c r="K135" t="s">
        <v>1031</v>
      </c>
      <c r="L135" s="552">
        <v>5000</v>
      </c>
      <c r="O135" t="s">
        <v>973</v>
      </c>
    </row>
    <row r="136" spans="1:15">
      <c r="A136" t="s">
        <v>942</v>
      </c>
      <c r="B136" t="s">
        <v>945</v>
      </c>
      <c r="C136" s="553">
        <v>44229</v>
      </c>
      <c r="D136" s="281" t="s">
        <v>4284</v>
      </c>
      <c r="E136" s="281" t="s">
        <v>3026</v>
      </c>
      <c r="F136" s="281">
        <v>5</v>
      </c>
      <c r="G136" s="281">
        <v>5010000000</v>
      </c>
      <c r="H136" t="s">
        <v>2025</v>
      </c>
      <c r="I136" t="s">
        <v>506</v>
      </c>
      <c r="J136" t="s">
        <v>1030</v>
      </c>
      <c r="K136" t="s">
        <v>1031</v>
      </c>
      <c r="L136" s="552">
        <v>5000</v>
      </c>
      <c r="O136" t="s">
        <v>973</v>
      </c>
    </row>
    <row r="137" spans="1:15" hidden="1">
      <c r="A137" t="s">
        <v>942</v>
      </c>
      <c r="B137" t="s">
        <v>945</v>
      </c>
      <c r="C137" s="553">
        <v>44229</v>
      </c>
      <c r="D137" s="281" t="s">
        <v>4285</v>
      </c>
      <c r="E137" s="281" t="s">
        <v>3078</v>
      </c>
      <c r="F137" s="281">
        <v>1</v>
      </c>
      <c r="G137" s="281">
        <v>5020000000</v>
      </c>
      <c r="H137" t="s">
        <v>1995</v>
      </c>
      <c r="I137" t="s">
        <v>624</v>
      </c>
      <c r="J137" t="s">
        <v>6</v>
      </c>
      <c r="K137" t="s">
        <v>1033</v>
      </c>
      <c r="L137" s="552">
        <v>10000</v>
      </c>
      <c r="O137" t="s">
        <v>961</v>
      </c>
    </row>
    <row r="138" spans="1:15">
      <c r="A138" t="s">
        <v>942</v>
      </c>
      <c r="B138" t="s">
        <v>945</v>
      </c>
      <c r="C138" s="553">
        <v>44229</v>
      </c>
      <c r="D138" s="281" t="s">
        <v>4286</v>
      </c>
      <c r="E138" s="281" t="s">
        <v>3081</v>
      </c>
      <c r="F138" s="281">
        <v>1</v>
      </c>
      <c r="G138" s="281">
        <v>5010000000</v>
      </c>
      <c r="H138" t="s">
        <v>2024</v>
      </c>
      <c r="I138" t="s">
        <v>505</v>
      </c>
      <c r="J138" t="s">
        <v>1030</v>
      </c>
      <c r="K138" t="s">
        <v>1035</v>
      </c>
      <c r="L138" s="552">
        <v>15000</v>
      </c>
      <c r="O138" t="s">
        <v>960</v>
      </c>
    </row>
    <row r="139" spans="1:15">
      <c r="A139" t="s">
        <v>942</v>
      </c>
      <c r="B139" t="s">
        <v>945</v>
      </c>
      <c r="C139" s="553">
        <v>44229</v>
      </c>
      <c r="D139" s="281" t="s">
        <v>4286</v>
      </c>
      <c r="E139" s="281" t="s">
        <v>3081</v>
      </c>
      <c r="F139" s="281">
        <v>1</v>
      </c>
      <c r="G139" s="281">
        <v>5010000000</v>
      </c>
      <c r="H139" t="s">
        <v>2025</v>
      </c>
      <c r="I139" t="s">
        <v>506</v>
      </c>
      <c r="J139" t="s">
        <v>1030</v>
      </c>
      <c r="K139" t="s">
        <v>1035</v>
      </c>
      <c r="L139" s="552">
        <v>13636.36</v>
      </c>
      <c r="O139" t="s">
        <v>960</v>
      </c>
    </row>
    <row r="140" spans="1:15" hidden="1">
      <c r="A140" t="s">
        <v>942</v>
      </c>
      <c r="B140" t="s">
        <v>945</v>
      </c>
      <c r="C140" s="553">
        <v>44230</v>
      </c>
      <c r="D140" s="281" t="s">
        <v>4287</v>
      </c>
      <c r="E140" s="281" t="s">
        <v>3111</v>
      </c>
      <c r="F140" s="281">
        <v>3</v>
      </c>
      <c r="G140" s="281">
        <v>5020000000</v>
      </c>
      <c r="H140" t="s">
        <v>2032</v>
      </c>
      <c r="I140" t="s">
        <v>565</v>
      </c>
      <c r="J140" t="s">
        <v>1036</v>
      </c>
      <c r="K140" t="s">
        <v>1037</v>
      </c>
      <c r="L140" s="552">
        <v>2073.09</v>
      </c>
      <c r="O140" t="s">
        <v>968</v>
      </c>
    </row>
    <row r="141" spans="1:15" hidden="1">
      <c r="A141" t="s">
        <v>942</v>
      </c>
      <c r="B141" t="s">
        <v>945</v>
      </c>
      <c r="C141" s="553">
        <v>44230</v>
      </c>
      <c r="D141" s="281" t="s">
        <v>4288</v>
      </c>
      <c r="E141" s="281" t="s">
        <v>3115</v>
      </c>
      <c r="F141" s="281">
        <v>3</v>
      </c>
      <c r="G141" s="281">
        <v>5020000000</v>
      </c>
      <c r="H141" t="s">
        <v>2032</v>
      </c>
      <c r="I141" t="s">
        <v>565</v>
      </c>
      <c r="J141" t="s">
        <v>1038</v>
      </c>
      <c r="K141" t="s">
        <v>1039</v>
      </c>
      <c r="L141" s="552">
        <v>0</v>
      </c>
      <c r="O141" t="s">
        <v>968</v>
      </c>
    </row>
    <row r="142" spans="1:15" hidden="1">
      <c r="A142" t="s">
        <v>942</v>
      </c>
      <c r="B142" t="s">
        <v>945</v>
      </c>
      <c r="C142" s="553">
        <v>44230</v>
      </c>
      <c r="D142" s="281" t="s">
        <v>4289</v>
      </c>
      <c r="E142" s="281" t="s">
        <v>2982</v>
      </c>
      <c r="F142" s="281">
        <v>1</v>
      </c>
      <c r="G142" s="281">
        <v>5020000000</v>
      </c>
      <c r="H142" t="s">
        <v>2000</v>
      </c>
      <c r="I142" t="s">
        <v>683</v>
      </c>
      <c r="J142" t="s">
        <v>852</v>
      </c>
      <c r="K142" t="s">
        <v>853</v>
      </c>
      <c r="L142" s="552">
        <v>17600</v>
      </c>
      <c r="O142" t="s">
        <v>961</v>
      </c>
    </row>
    <row r="143" spans="1:15" hidden="1">
      <c r="A143" t="s">
        <v>942</v>
      </c>
      <c r="B143" t="s">
        <v>945</v>
      </c>
      <c r="C143" s="553">
        <v>44230</v>
      </c>
      <c r="D143" s="281" t="s">
        <v>4290</v>
      </c>
      <c r="E143" s="281" t="s">
        <v>3031</v>
      </c>
      <c r="F143" s="281">
        <v>10</v>
      </c>
      <c r="G143" s="281">
        <v>5020000000</v>
      </c>
      <c r="H143" t="s">
        <v>2008</v>
      </c>
      <c r="I143" t="s">
        <v>653</v>
      </c>
      <c r="J143" t="s">
        <v>818</v>
      </c>
      <c r="K143" t="s">
        <v>1040</v>
      </c>
      <c r="L143" s="552">
        <v>50000</v>
      </c>
      <c r="O143" t="s">
        <v>983</v>
      </c>
    </row>
    <row r="144" spans="1:15" hidden="1">
      <c r="A144" t="s">
        <v>942</v>
      </c>
      <c r="B144" t="s">
        <v>945</v>
      </c>
      <c r="C144" s="553">
        <v>44230</v>
      </c>
      <c r="D144" s="281" t="s">
        <v>4290</v>
      </c>
      <c r="E144" s="281" t="s">
        <v>3031</v>
      </c>
      <c r="F144" s="281">
        <v>10</v>
      </c>
      <c r="G144" s="281">
        <v>5020000000</v>
      </c>
      <c r="H144" t="s">
        <v>2009</v>
      </c>
      <c r="I144" t="s">
        <v>680</v>
      </c>
      <c r="J144" t="s">
        <v>818</v>
      </c>
      <c r="K144" t="s">
        <v>1040</v>
      </c>
      <c r="L144" s="552">
        <v>30000</v>
      </c>
      <c r="O144" t="s">
        <v>983</v>
      </c>
    </row>
    <row r="145" spans="1:15" hidden="1">
      <c r="A145" t="s">
        <v>942</v>
      </c>
      <c r="B145" t="s">
        <v>945</v>
      </c>
      <c r="C145" s="553">
        <v>44230</v>
      </c>
      <c r="D145" s="281" t="s">
        <v>4291</v>
      </c>
      <c r="E145" s="281" t="s">
        <v>3092</v>
      </c>
      <c r="F145" s="281">
        <v>10</v>
      </c>
      <c r="G145" s="281">
        <v>5020000000</v>
      </c>
      <c r="H145" t="s">
        <v>2037</v>
      </c>
      <c r="I145" t="s">
        <v>555</v>
      </c>
      <c r="J145" t="s">
        <v>1062</v>
      </c>
      <c r="K145" t="s">
        <v>1041</v>
      </c>
      <c r="L145" s="552">
        <v>750</v>
      </c>
      <c r="O145" t="s">
        <v>983</v>
      </c>
    </row>
    <row r="146" spans="1:15" hidden="1">
      <c r="A146" t="s">
        <v>942</v>
      </c>
      <c r="B146" t="s">
        <v>945</v>
      </c>
      <c r="C146" s="553">
        <v>44230</v>
      </c>
      <c r="D146" s="281" t="s">
        <v>4292</v>
      </c>
      <c r="E146" s="281" t="s">
        <v>3096</v>
      </c>
      <c r="F146" s="281">
        <v>10</v>
      </c>
      <c r="G146" s="281">
        <v>5020000000</v>
      </c>
      <c r="H146" t="s">
        <v>2037</v>
      </c>
      <c r="I146" t="s">
        <v>555</v>
      </c>
      <c r="J146" t="s">
        <v>1042</v>
      </c>
      <c r="K146" t="s">
        <v>1041</v>
      </c>
      <c r="L146" s="552">
        <v>750</v>
      </c>
      <c r="O146" t="s">
        <v>983</v>
      </c>
    </row>
    <row r="147" spans="1:15" hidden="1">
      <c r="A147" t="s">
        <v>942</v>
      </c>
      <c r="B147" t="s">
        <v>945</v>
      </c>
      <c r="C147" s="553">
        <v>44230</v>
      </c>
      <c r="D147" s="281" t="s">
        <v>4293</v>
      </c>
      <c r="E147" s="281" t="s">
        <v>3099</v>
      </c>
      <c r="F147" s="281">
        <v>10</v>
      </c>
      <c r="G147" s="281">
        <v>5020000000</v>
      </c>
      <c r="H147" t="s">
        <v>2037</v>
      </c>
      <c r="I147" t="s">
        <v>555</v>
      </c>
      <c r="J147" t="s">
        <v>1043</v>
      </c>
      <c r="K147" t="s">
        <v>1041</v>
      </c>
      <c r="L147" s="552">
        <v>750</v>
      </c>
      <c r="O147" t="s">
        <v>983</v>
      </c>
    </row>
    <row r="148" spans="1:15" hidden="1">
      <c r="A148" t="s">
        <v>942</v>
      </c>
      <c r="B148" t="s">
        <v>945</v>
      </c>
      <c r="C148" s="553">
        <v>44230</v>
      </c>
      <c r="D148" s="281" t="s">
        <v>4294</v>
      </c>
      <c r="E148" s="281" t="s">
        <v>3034</v>
      </c>
      <c r="F148" s="281">
        <v>3</v>
      </c>
      <c r="G148" s="281">
        <v>5020000000</v>
      </c>
      <c r="H148" t="s">
        <v>2037</v>
      </c>
      <c r="I148" t="s">
        <v>555</v>
      </c>
      <c r="J148" t="s">
        <v>818</v>
      </c>
      <c r="K148" t="s">
        <v>1044</v>
      </c>
      <c r="L148" s="552">
        <v>15000</v>
      </c>
      <c r="O148" t="s">
        <v>968</v>
      </c>
    </row>
    <row r="149" spans="1:15" hidden="1">
      <c r="A149" t="s">
        <v>942</v>
      </c>
      <c r="B149" t="s">
        <v>945</v>
      </c>
      <c r="C149" s="553">
        <v>44230</v>
      </c>
      <c r="D149" s="281" t="s">
        <v>4294</v>
      </c>
      <c r="E149" s="281" t="s">
        <v>3034</v>
      </c>
      <c r="F149" s="281">
        <v>3</v>
      </c>
      <c r="G149" s="281">
        <v>5020000000</v>
      </c>
      <c r="H149" t="s">
        <v>2032</v>
      </c>
      <c r="I149" t="s">
        <v>565</v>
      </c>
      <c r="J149" t="s">
        <v>818</v>
      </c>
      <c r="K149" t="s">
        <v>1044</v>
      </c>
      <c r="L149" s="552">
        <v>13000</v>
      </c>
      <c r="O149" t="s">
        <v>968</v>
      </c>
    </row>
    <row r="150" spans="1:15" hidden="1">
      <c r="A150" t="s">
        <v>942</v>
      </c>
      <c r="B150" t="s">
        <v>945</v>
      </c>
      <c r="C150" s="553">
        <v>44230</v>
      </c>
      <c r="D150" s="281" t="s">
        <v>4294</v>
      </c>
      <c r="E150" s="281" t="s">
        <v>3034</v>
      </c>
      <c r="F150" s="281">
        <v>3</v>
      </c>
      <c r="G150" s="281">
        <v>5020000000</v>
      </c>
      <c r="H150" t="s">
        <v>2005</v>
      </c>
      <c r="I150" t="s">
        <v>678</v>
      </c>
      <c r="J150" t="s">
        <v>818</v>
      </c>
      <c r="K150" t="s">
        <v>1044</v>
      </c>
      <c r="L150" s="552">
        <v>69200</v>
      </c>
      <c r="O150" t="s">
        <v>968</v>
      </c>
    </row>
    <row r="151" spans="1:15" hidden="1">
      <c r="A151" t="s">
        <v>942</v>
      </c>
      <c r="B151" t="s">
        <v>945</v>
      </c>
      <c r="C151" s="553">
        <v>44230</v>
      </c>
      <c r="D151" s="281" t="s">
        <v>4295</v>
      </c>
      <c r="E151" s="281" t="s">
        <v>3037</v>
      </c>
      <c r="F151" s="281">
        <v>3</v>
      </c>
      <c r="G151" s="281">
        <v>5020000000</v>
      </c>
      <c r="H151" t="s">
        <v>2037</v>
      </c>
      <c r="I151" t="s">
        <v>555</v>
      </c>
      <c r="J151" t="s">
        <v>820</v>
      </c>
      <c r="K151" t="s">
        <v>1044</v>
      </c>
      <c r="L151" s="552">
        <v>15000</v>
      </c>
      <c r="O151" t="s">
        <v>968</v>
      </c>
    </row>
    <row r="152" spans="1:15" hidden="1">
      <c r="A152" t="s">
        <v>942</v>
      </c>
      <c r="B152" t="s">
        <v>945</v>
      </c>
      <c r="C152" s="553">
        <v>44230</v>
      </c>
      <c r="D152" s="281" t="s">
        <v>4295</v>
      </c>
      <c r="E152" s="281" t="s">
        <v>3037</v>
      </c>
      <c r="F152" s="281">
        <v>3</v>
      </c>
      <c r="G152" s="281">
        <v>5020000000</v>
      </c>
      <c r="H152" t="s">
        <v>2032</v>
      </c>
      <c r="I152" t="s">
        <v>565</v>
      </c>
      <c r="J152" t="s">
        <v>820</v>
      </c>
      <c r="K152" t="s">
        <v>1044</v>
      </c>
      <c r="L152" s="552">
        <v>13000</v>
      </c>
      <c r="O152" t="s">
        <v>968</v>
      </c>
    </row>
    <row r="153" spans="1:15" hidden="1">
      <c r="A153" t="s">
        <v>942</v>
      </c>
      <c r="B153" t="s">
        <v>945</v>
      </c>
      <c r="C153" s="553">
        <v>44230</v>
      </c>
      <c r="D153" s="281" t="s">
        <v>4295</v>
      </c>
      <c r="E153" s="281" t="s">
        <v>3037</v>
      </c>
      <c r="F153" s="281">
        <v>3</v>
      </c>
      <c r="G153" s="281">
        <v>5020000000</v>
      </c>
      <c r="H153" t="s">
        <v>2005</v>
      </c>
      <c r="I153" t="s">
        <v>678</v>
      </c>
      <c r="J153" t="s">
        <v>820</v>
      </c>
      <c r="K153" t="s">
        <v>1044</v>
      </c>
      <c r="L153" s="552">
        <v>69200</v>
      </c>
      <c r="O153" t="s">
        <v>968</v>
      </c>
    </row>
    <row r="154" spans="1:15" hidden="1">
      <c r="A154" t="s">
        <v>942</v>
      </c>
      <c r="B154" t="s">
        <v>945</v>
      </c>
      <c r="C154" s="553">
        <v>44230</v>
      </c>
      <c r="D154" s="281" t="s">
        <v>4296</v>
      </c>
      <c r="E154" s="281" t="s">
        <v>3039</v>
      </c>
      <c r="F154" s="281">
        <v>3</v>
      </c>
      <c r="G154" s="281">
        <v>5020000000</v>
      </c>
      <c r="H154" t="s">
        <v>2037</v>
      </c>
      <c r="I154" t="s">
        <v>555</v>
      </c>
      <c r="J154" t="s">
        <v>821</v>
      </c>
      <c r="K154" t="s">
        <v>1044</v>
      </c>
      <c r="L154" s="552">
        <v>15000</v>
      </c>
      <c r="O154" t="s">
        <v>968</v>
      </c>
    </row>
    <row r="155" spans="1:15" hidden="1">
      <c r="A155" t="s">
        <v>942</v>
      </c>
      <c r="B155" t="s">
        <v>945</v>
      </c>
      <c r="C155" s="553">
        <v>44230</v>
      </c>
      <c r="D155" s="281" t="s">
        <v>4296</v>
      </c>
      <c r="E155" s="281" t="s">
        <v>3039</v>
      </c>
      <c r="F155" s="281">
        <v>3</v>
      </c>
      <c r="G155" s="281">
        <v>5020000000</v>
      </c>
      <c r="H155" t="s">
        <v>2032</v>
      </c>
      <c r="I155" t="s">
        <v>565</v>
      </c>
      <c r="J155" t="s">
        <v>821</v>
      </c>
      <c r="K155" t="s">
        <v>1044</v>
      </c>
      <c r="L155" s="552">
        <v>13000</v>
      </c>
      <c r="O155" t="s">
        <v>968</v>
      </c>
    </row>
    <row r="156" spans="1:15" hidden="1">
      <c r="A156" t="s">
        <v>942</v>
      </c>
      <c r="B156" t="s">
        <v>945</v>
      </c>
      <c r="C156" s="553">
        <v>44230</v>
      </c>
      <c r="D156" s="281" t="s">
        <v>4296</v>
      </c>
      <c r="E156" s="281" t="s">
        <v>3039</v>
      </c>
      <c r="F156" s="281">
        <v>3</v>
      </c>
      <c r="G156" s="281">
        <v>5020000000</v>
      </c>
      <c r="H156" t="s">
        <v>2005</v>
      </c>
      <c r="I156" t="s">
        <v>678</v>
      </c>
      <c r="J156" t="s">
        <v>821</v>
      </c>
      <c r="K156" t="s">
        <v>1044</v>
      </c>
      <c r="L156" s="552">
        <v>69200</v>
      </c>
      <c r="O156" t="s">
        <v>968</v>
      </c>
    </row>
    <row r="157" spans="1:15" hidden="1">
      <c r="A157" t="s">
        <v>942</v>
      </c>
      <c r="B157" t="s">
        <v>945</v>
      </c>
      <c r="C157" s="553">
        <v>44230</v>
      </c>
      <c r="D157" s="281" t="s">
        <v>4297</v>
      </c>
      <c r="E157" s="281" t="s">
        <v>3041</v>
      </c>
      <c r="F157" s="281">
        <v>3</v>
      </c>
      <c r="G157" s="281">
        <v>5020000000</v>
      </c>
      <c r="H157" t="s">
        <v>2037</v>
      </c>
      <c r="I157" t="s">
        <v>555</v>
      </c>
      <c r="J157" t="s">
        <v>822</v>
      </c>
      <c r="K157" t="s">
        <v>1044</v>
      </c>
      <c r="L157" s="552">
        <v>15000</v>
      </c>
      <c r="O157" t="s">
        <v>968</v>
      </c>
    </row>
    <row r="158" spans="1:15" hidden="1">
      <c r="A158" t="s">
        <v>942</v>
      </c>
      <c r="B158" t="s">
        <v>945</v>
      </c>
      <c r="C158" s="553">
        <v>44230</v>
      </c>
      <c r="D158" s="281" t="s">
        <v>4297</v>
      </c>
      <c r="E158" s="281" t="s">
        <v>3041</v>
      </c>
      <c r="F158" s="281">
        <v>3</v>
      </c>
      <c r="G158" s="281">
        <v>5020000000</v>
      </c>
      <c r="H158" t="s">
        <v>2032</v>
      </c>
      <c r="I158" t="s">
        <v>565</v>
      </c>
      <c r="J158" t="s">
        <v>822</v>
      </c>
      <c r="K158" t="s">
        <v>1044</v>
      </c>
      <c r="L158" s="552">
        <v>13000</v>
      </c>
      <c r="O158" t="s">
        <v>968</v>
      </c>
    </row>
    <row r="159" spans="1:15" hidden="1">
      <c r="A159" t="s">
        <v>942</v>
      </c>
      <c r="B159" t="s">
        <v>945</v>
      </c>
      <c r="C159" s="553">
        <v>44230</v>
      </c>
      <c r="D159" s="281" t="s">
        <v>4297</v>
      </c>
      <c r="E159" s="281" t="s">
        <v>3041</v>
      </c>
      <c r="F159" s="281">
        <v>3</v>
      </c>
      <c r="G159" s="281">
        <v>5020000000</v>
      </c>
      <c r="H159" t="s">
        <v>2005</v>
      </c>
      <c r="I159" t="s">
        <v>678</v>
      </c>
      <c r="J159" t="s">
        <v>822</v>
      </c>
      <c r="K159" t="s">
        <v>1044</v>
      </c>
      <c r="L159" s="552">
        <v>69200</v>
      </c>
      <c r="O159" t="s">
        <v>968</v>
      </c>
    </row>
    <row r="160" spans="1:15" hidden="1">
      <c r="A160" t="s">
        <v>942</v>
      </c>
      <c r="B160" t="s">
        <v>945</v>
      </c>
      <c r="C160" s="553">
        <v>44230</v>
      </c>
      <c r="D160" s="281" t="s">
        <v>4298</v>
      </c>
      <c r="E160" s="281" t="s">
        <v>3043</v>
      </c>
      <c r="F160" s="281">
        <v>3</v>
      </c>
      <c r="G160" s="281">
        <v>5020000000</v>
      </c>
      <c r="H160" t="s">
        <v>2037</v>
      </c>
      <c r="I160" t="s">
        <v>555</v>
      </c>
      <c r="J160" t="s">
        <v>823</v>
      </c>
      <c r="K160" t="s">
        <v>1044</v>
      </c>
      <c r="L160" s="552">
        <v>15000</v>
      </c>
      <c r="O160" t="s">
        <v>968</v>
      </c>
    </row>
    <row r="161" spans="1:15" hidden="1">
      <c r="A161" t="s">
        <v>942</v>
      </c>
      <c r="B161" t="s">
        <v>945</v>
      </c>
      <c r="C161" s="553">
        <v>44230</v>
      </c>
      <c r="D161" s="281" t="s">
        <v>4298</v>
      </c>
      <c r="E161" s="281" t="s">
        <v>3043</v>
      </c>
      <c r="F161" s="281">
        <v>3</v>
      </c>
      <c r="G161" s="281">
        <v>5020000000</v>
      </c>
      <c r="H161" t="s">
        <v>2032</v>
      </c>
      <c r="I161" t="s">
        <v>565</v>
      </c>
      <c r="J161" t="s">
        <v>823</v>
      </c>
      <c r="K161" t="s">
        <v>1044</v>
      </c>
      <c r="L161" s="552">
        <v>13000</v>
      </c>
      <c r="O161" t="s">
        <v>968</v>
      </c>
    </row>
    <row r="162" spans="1:15" hidden="1">
      <c r="A162" t="s">
        <v>942</v>
      </c>
      <c r="B162" t="s">
        <v>945</v>
      </c>
      <c r="C162" s="553">
        <v>44230</v>
      </c>
      <c r="D162" s="281" t="s">
        <v>4298</v>
      </c>
      <c r="E162" s="281" t="s">
        <v>3043</v>
      </c>
      <c r="F162" s="281">
        <v>3</v>
      </c>
      <c r="G162" s="281">
        <v>5020000000</v>
      </c>
      <c r="H162" t="s">
        <v>2005</v>
      </c>
      <c r="I162" t="s">
        <v>678</v>
      </c>
      <c r="J162" t="s">
        <v>823</v>
      </c>
      <c r="K162" t="s">
        <v>1044</v>
      </c>
      <c r="L162" s="552">
        <v>69200</v>
      </c>
      <c r="O162" t="s">
        <v>968</v>
      </c>
    </row>
    <row r="163" spans="1:15" hidden="1">
      <c r="A163" t="s">
        <v>942</v>
      </c>
      <c r="B163" t="s">
        <v>945</v>
      </c>
      <c r="C163" s="553">
        <v>44230</v>
      </c>
      <c r="D163" s="281" t="s">
        <v>4299</v>
      </c>
      <c r="E163" s="281" t="s">
        <v>3045</v>
      </c>
      <c r="F163" s="281">
        <v>2</v>
      </c>
      <c r="G163" s="281">
        <v>5020000000</v>
      </c>
      <c r="H163" t="s">
        <v>2037</v>
      </c>
      <c r="I163" t="s">
        <v>555</v>
      </c>
      <c r="J163" t="s">
        <v>818</v>
      </c>
      <c r="K163" t="s">
        <v>1045</v>
      </c>
      <c r="L163" s="552">
        <v>20000</v>
      </c>
      <c r="O163" t="s">
        <v>965</v>
      </c>
    </row>
    <row r="164" spans="1:15" hidden="1">
      <c r="A164" t="s">
        <v>942</v>
      </c>
      <c r="B164" t="s">
        <v>945</v>
      </c>
      <c r="C164" s="553">
        <v>44230</v>
      </c>
      <c r="D164" s="281" t="s">
        <v>4299</v>
      </c>
      <c r="E164" s="281" t="s">
        <v>3045</v>
      </c>
      <c r="F164" s="281">
        <v>2</v>
      </c>
      <c r="G164" s="281">
        <v>5020000000</v>
      </c>
      <c r="H164" t="s">
        <v>1998</v>
      </c>
      <c r="I164" t="s">
        <v>633</v>
      </c>
      <c r="J164" t="s">
        <v>818</v>
      </c>
      <c r="K164" t="s">
        <v>1045</v>
      </c>
      <c r="L164" s="552">
        <v>5000</v>
      </c>
      <c r="O164" t="s">
        <v>965</v>
      </c>
    </row>
    <row r="165" spans="1:15" hidden="1">
      <c r="A165" t="s">
        <v>942</v>
      </c>
      <c r="B165" t="s">
        <v>945</v>
      </c>
      <c r="C165" s="553">
        <v>44230</v>
      </c>
      <c r="D165" s="281" t="s">
        <v>4299</v>
      </c>
      <c r="E165" s="281" t="s">
        <v>3045</v>
      </c>
      <c r="F165" s="281">
        <v>2</v>
      </c>
      <c r="G165" s="281">
        <v>5020000000</v>
      </c>
      <c r="H165" t="s">
        <v>2005</v>
      </c>
      <c r="I165" t="s">
        <v>678</v>
      </c>
      <c r="J165" t="s">
        <v>818</v>
      </c>
      <c r="K165" t="s">
        <v>1045</v>
      </c>
      <c r="L165" s="552">
        <v>32500</v>
      </c>
      <c r="O165" t="s">
        <v>965</v>
      </c>
    </row>
    <row r="166" spans="1:15" hidden="1">
      <c r="A166" t="s">
        <v>942</v>
      </c>
      <c r="B166" t="s">
        <v>945</v>
      </c>
      <c r="C166" s="553">
        <v>44230</v>
      </c>
      <c r="D166" s="281" t="s">
        <v>4299</v>
      </c>
      <c r="E166" s="281" t="s">
        <v>3045</v>
      </c>
      <c r="F166" s="281">
        <v>2</v>
      </c>
      <c r="G166" s="281">
        <v>5020000000</v>
      </c>
      <c r="H166" t="s">
        <v>1999</v>
      </c>
      <c r="I166" t="s">
        <v>672</v>
      </c>
      <c r="J166" t="s">
        <v>818</v>
      </c>
      <c r="K166" t="s">
        <v>1045</v>
      </c>
      <c r="L166" s="552">
        <v>5000</v>
      </c>
      <c r="O166" t="s">
        <v>965</v>
      </c>
    </row>
    <row r="167" spans="1:15" hidden="1">
      <c r="A167" t="s">
        <v>942</v>
      </c>
      <c r="B167" t="s">
        <v>945</v>
      </c>
      <c r="C167" s="553">
        <v>44230</v>
      </c>
      <c r="D167" s="281" t="s">
        <v>4300</v>
      </c>
      <c r="E167" s="281" t="s">
        <v>3048</v>
      </c>
      <c r="F167" s="281">
        <v>2</v>
      </c>
      <c r="G167" s="281">
        <v>5020000000</v>
      </c>
      <c r="H167" t="s">
        <v>2037</v>
      </c>
      <c r="I167" t="s">
        <v>555</v>
      </c>
      <c r="J167" t="s">
        <v>820</v>
      </c>
      <c r="K167" t="s">
        <v>1045</v>
      </c>
      <c r="L167" s="552">
        <v>20000</v>
      </c>
      <c r="O167" t="s">
        <v>965</v>
      </c>
    </row>
    <row r="168" spans="1:15" hidden="1">
      <c r="A168" t="s">
        <v>942</v>
      </c>
      <c r="B168" t="s">
        <v>945</v>
      </c>
      <c r="C168" s="553">
        <v>44230</v>
      </c>
      <c r="D168" s="281" t="s">
        <v>4300</v>
      </c>
      <c r="E168" s="281" t="s">
        <v>3048</v>
      </c>
      <c r="F168" s="281">
        <v>2</v>
      </c>
      <c r="G168" s="281">
        <v>5020000000</v>
      </c>
      <c r="H168" t="s">
        <v>1998</v>
      </c>
      <c r="I168" t="s">
        <v>633</v>
      </c>
      <c r="J168" t="s">
        <v>820</v>
      </c>
      <c r="K168" t="s">
        <v>1045</v>
      </c>
      <c r="L168" s="552">
        <v>5000</v>
      </c>
      <c r="O168" t="s">
        <v>965</v>
      </c>
    </row>
    <row r="169" spans="1:15" hidden="1">
      <c r="A169" t="s">
        <v>942</v>
      </c>
      <c r="B169" t="s">
        <v>945</v>
      </c>
      <c r="C169" s="553">
        <v>44230</v>
      </c>
      <c r="D169" s="281" t="s">
        <v>4300</v>
      </c>
      <c r="E169" s="281" t="s">
        <v>3048</v>
      </c>
      <c r="F169" s="281">
        <v>2</v>
      </c>
      <c r="G169" s="281">
        <v>5020000000</v>
      </c>
      <c r="H169" t="s">
        <v>2005</v>
      </c>
      <c r="I169" t="s">
        <v>678</v>
      </c>
      <c r="J169" t="s">
        <v>820</v>
      </c>
      <c r="K169" t="s">
        <v>1045</v>
      </c>
      <c r="L169" s="552">
        <v>20000</v>
      </c>
      <c r="O169" t="s">
        <v>965</v>
      </c>
    </row>
    <row r="170" spans="1:15" hidden="1">
      <c r="A170" t="s">
        <v>942</v>
      </c>
      <c r="B170" t="s">
        <v>945</v>
      </c>
      <c r="C170" s="553">
        <v>44230</v>
      </c>
      <c r="D170" s="281" t="s">
        <v>4300</v>
      </c>
      <c r="E170" s="281" t="s">
        <v>3048</v>
      </c>
      <c r="F170" s="281">
        <v>2</v>
      </c>
      <c r="G170" s="281">
        <v>5020000000</v>
      </c>
      <c r="H170" t="s">
        <v>1999</v>
      </c>
      <c r="I170" t="s">
        <v>672</v>
      </c>
      <c r="J170" t="s">
        <v>820</v>
      </c>
      <c r="K170" t="s">
        <v>1045</v>
      </c>
      <c r="L170" s="552">
        <v>5000</v>
      </c>
      <c r="O170" t="s">
        <v>965</v>
      </c>
    </row>
    <row r="171" spans="1:15" hidden="1">
      <c r="A171" t="s">
        <v>942</v>
      </c>
      <c r="B171" t="s">
        <v>945</v>
      </c>
      <c r="C171" s="553">
        <v>44230</v>
      </c>
      <c r="D171" s="281" t="s">
        <v>4301</v>
      </c>
      <c r="E171" s="281" t="s">
        <v>3050</v>
      </c>
      <c r="F171" s="281">
        <v>2</v>
      </c>
      <c r="G171" s="281">
        <v>5020000000</v>
      </c>
      <c r="H171" t="s">
        <v>2037</v>
      </c>
      <c r="I171" t="s">
        <v>555</v>
      </c>
      <c r="J171" t="s">
        <v>821</v>
      </c>
      <c r="K171" t="s">
        <v>1045</v>
      </c>
      <c r="L171" s="552">
        <v>20000</v>
      </c>
      <c r="O171" t="s">
        <v>965</v>
      </c>
    </row>
    <row r="172" spans="1:15" hidden="1">
      <c r="A172" t="s">
        <v>942</v>
      </c>
      <c r="B172" t="s">
        <v>945</v>
      </c>
      <c r="C172" s="553">
        <v>44230</v>
      </c>
      <c r="D172" s="281" t="s">
        <v>4301</v>
      </c>
      <c r="E172" s="281" t="s">
        <v>3050</v>
      </c>
      <c r="F172" s="281">
        <v>2</v>
      </c>
      <c r="G172" s="281">
        <v>5020000000</v>
      </c>
      <c r="H172" t="s">
        <v>1998</v>
      </c>
      <c r="I172" t="s">
        <v>633</v>
      </c>
      <c r="J172" t="s">
        <v>821</v>
      </c>
      <c r="K172" t="s">
        <v>1045</v>
      </c>
      <c r="L172" s="552">
        <v>5000</v>
      </c>
      <c r="O172" t="s">
        <v>965</v>
      </c>
    </row>
    <row r="173" spans="1:15" hidden="1">
      <c r="A173" t="s">
        <v>942</v>
      </c>
      <c r="B173" t="s">
        <v>945</v>
      </c>
      <c r="C173" s="553">
        <v>44230</v>
      </c>
      <c r="D173" s="281" t="s">
        <v>4301</v>
      </c>
      <c r="E173" s="281" t="s">
        <v>3050</v>
      </c>
      <c r="F173" s="281">
        <v>2</v>
      </c>
      <c r="G173" s="281">
        <v>5020000000</v>
      </c>
      <c r="H173" t="s">
        <v>2005</v>
      </c>
      <c r="I173" t="s">
        <v>678</v>
      </c>
      <c r="J173" t="s">
        <v>821</v>
      </c>
      <c r="K173" t="s">
        <v>1045</v>
      </c>
      <c r="L173" s="552">
        <v>20000</v>
      </c>
      <c r="O173" t="s">
        <v>965</v>
      </c>
    </row>
    <row r="174" spans="1:15" hidden="1">
      <c r="A174" t="s">
        <v>942</v>
      </c>
      <c r="B174" t="s">
        <v>945</v>
      </c>
      <c r="C174" s="553">
        <v>44230</v>
      </c>
      <c r="D174" s="281" t="s">
        <v>4301</v>
      </c>
      <c r="E174" s="281" t="s">
        <v>3050</v>
      </c>
      <c r="F174" s="281">
        <v>2</v>
      </c>
      <c r="G174" s="281">
        <v>5020000000</v>
      </c>
      <c r="H174" t="s">
        <v>1999</v>
      </c>
      <c r="I174" t="s">
        <v>672</v>
      </c>
      <c r="J174" t="s">
        <v>821</v>
      </c>
      <c r="K174" t="s">
        <v>1045</v>
      </c>
      <c r="L174" s="552">
        <v>5000</v>
      </c>
      <c r="O174" t="s">
        <v>965</v>
      </c>
    </row>
    <row r="175" spans="1:15" hidden="1">
      <c r="A175" t="s">
        <v>942</v>
      </c>
      <c r="B175" t="s">
        <v>945</v>
      </c>
      <c r="C175" s="553">
        <v>44230</v>
      </c>
      <c r="D175" s="281" t="s">
        <v>4302</v>
      </c>
      <c r="E175" s="281" t="s">
        <v>3052</v>
      </c>
      <c r="F175" s="281">
        <v>2</v>
      </c>
      <c r="G175" s="281">
        <v>5020000000</v>
      </c>
      <c r="H175" t="s">
        <v>2037</v>
      </c>
      <c r="I175" t="s">
        <v>555</v>
      </c>
      <c r="J175" t="s">
        <v>822</v>
      </c>
      <c r="K175" t="s">
        <v>1045</v>
      </c>
      <c r="L175" s="552">
        <v>20000</v>
      </c>
      <c r="O175" t="s">
        <v>965</v>
      </c>
    </row>
    <row r="176" spans="1:15" hidden="1">
      <c r="A176" t="s">
        <v>942</v>
      </c>
      <c r="B176" t="s">
        <v>945</v>
      </c>
      <c r="C176" s="553">
        <v>44230</v>
      </c>
      <c r="D176" s="281" t="s">
        <v>4302</v>
      </c>
      <c r="E176" s="281" t="s">
        <v>3052</v>
      </c>
      <c r="F176" s="281">
        <v>2</v>
      </c>
      <c r="G176" s="281">
        <v>5020000000</v>
      </c>
      <c r="H176" t="s">
        <v>1998</v>
      </c>
      <c r="I176" t="s">
        <v>633</v>
      </c>
      <c r="J176" t="s">
        <v>822</v>
      </c>
      <c r="K176" t="s">
        <v>1045</v>
      </c>
      <c r="L176" s="552">
        <v>5000</v>
      </c>
      <c r="O176" t="s">
        <v>965</v>
      </c>
    </row>
    <row r="177" spans="1:15" hidden="1">
      <c r="A177" t="s">
        <v>942</v>
      </c>
      <c r="B177" t="s">
        <v>945</v>
      </c>
      <c r="C177" s="553">
        <v>44230</v>
      </c>
      <c r="D177" s="281" t="s">
        <v>4302</v>
      </c>
      <c r="E177" s="281" t="s">
        <v>3052</v>
      </c>
      <c r="F177" s="281">
        <v>2</v>
      </c>
      <c r="G177" s="281">
        <v>5020000000</v>
      </c>
      <c r="H177" t="s">
        <v>2005</v>
      </c>
      <c r="I177" t="s">
        <v>678</v>
      </c>
      <c r="J177" t="s">
        <v>822</v>
      </c>
      <c r="K177" t="s">
        <v>1045</v>
      </c>
      <c r="L177" s="552">
        <v>20000</v>
      </c>
      <c r="O177" t="s">
        <v>965</v>
      </c>
    </row>
    <row r="178" spans="1:15" hidden="1">
      <c r="A178" t="s">
        <v>942</v>
      </c>
      <c r="B178" t="s">
        <v>945</v>
      </c>
      <c r="C178" s="553">
        <v>44230</v>
      </c>
      <c r="D178" s="281" t="s">
        <v>4302</v>
      </c>
      <c r="E178" s="281" t="s">
        <v>3052</v>
      </c>
      <c r="F178" s="281">
        <v>2</v>
      </c>
      <c r="G178" s="281">
        <v>5020000000</v>
      </c>
      <c r="H178" t="s">
        <v>1999</v>
      </c>
      <c r="I178" t="s">
        <v>672</v>
      </c>
      <c r="J178" t="s">
        <v>822</v>
      </c>
      <c r="K178" t="s">
        <v>1045</v>
      </c>
      <c r="L178" s="552">
        <v>5000</v>
      </c>
      <c r="O178" t="s">
        <v>965</v>
      </c>
    </row>
    <row r="179" spans="1:15" hidden="1">
      <c r="A179" t="s">
        <v>942</v>
      </c>
      <c r="B179" t="s">
        <v>945</v>
      </c>
      <c r="C179" s="553">
        <v>44230</v>
      </c>
      <c r="D179" s="281" t="s">
        <v>4303</v>
      </c>
      <c r="E179" s="281" t="s">
        <v>3054</v>
      </c>
      <c r="F179" s="281">
        <v>2</v>
      </c>
      <c r="G179" s="281">
        <v>5020000000</v>
      </c>
      <c r="H179" t="s">
        <v>2037</v>
      </c>
      <c r="I179" t="s">
        <v>555</v>
      </c>
      <c r="J179" t="s">
        <v>823</v>
      </c>
      <c r="K179" t="s">
        <v>1045</v>
      </c>
      <c r="L179" s="552">
        <v>20000</v>
      </c>
      <c r="O179" t="s">
        <v>965</v>
      </c>
    </row>
    <row r="180" spans="1:15" hidden="1">
      <c r="A180" t="s">
        <v>942</v>
      </c>
      <c r="B180" t="s">
        <v>945</v>
      </c>
      <c r="C180" s="553">
        <v>44230</v>
      </c>
      <c r="D180" s="281" t="s">
        <v>4303</v>
      </c>
      <c r="E180" s="281" t="s">
        <v>3054</v>
      </c>
      <c r="F180" s="281">
        <v>2</v>
      </c>
      <c r="G180" s="281">
        <v>5020000000</v>
      </c>
      <c r="H180" t="s">
        <v>1998</v>
      </c>
      <c r="I180" t="s">
        <v>633</v>
      </c>
      <c r="J180" t="s">
        <v>823</v>
      </c>
      <c r="K180" t="s">
        <v>1045</v>
      </c>
      <c r="L180" s="552">
        <v>5000</v>
      </c>
      <c r="O180" t="s">
        <v>965</v>
      </c>
    </row>
    <row r="181" spans="1:15" hidden="1">
      <c r="A181" t="s">
        <v>942</v>
      </c>
      <c r="B181" t="s">
        <v>945</v>
      </c>
      <c r="C181" s="553">
        <v>44230</v>
      </c>
      <c r="D181" s="281" t="s">
        <v>4303</v>
      </c>
      <c r="E181" s="281" t="s">
        <v>3054</v>
      </c>
      <c r="F181" s="281">
        <v>2</v>
      </c>
      <c r="G181" s="281">
        <v>5020000000</v>
      </c>
      <c r="H181" t="s">
        <v>2005</v>
      </c>
      <c r="I181" t="s">
        <v>678</v>
      </c>
      <c r="J181" t="s">
        <v>823</v>
      </c>
      <c r="K181" t="s">
        <v>1045</v>
      </c>
      <c r="L181" s="552">
        <v>20000</v>
      </c>
      <c r="O181" t="s">
        <v>965</v>
      </c>
    </row>
    <row r="182" spans="1:15" hidden="1">
      <c r="A182" t="s">
        <v>942</v>
      </c>
      <c r="B182" t="s">
        <v>945</v>
      </c>
      <c r="C182" s="553">
        <v>44230</v>
      </c>
      <c r="D182" s="281" t="s">
        <v>4303</v>
      </c>
      <c r="E182" s="281" t="s">
        <v>3054</v>
      </c>
      <c r="F182" s="281">
        <v>2</v>
      </c>
      <c r="G182" s="281">
        <v>5020000000</v>
      </c>
      <c r="H182" t="s">
        <v>1999</v>
      </c>
      <c r="I182" t="s">
        <v>672</v>
      </c>
      <c r="J182" t="s">
        <v>823</v>
      </c>
      <c r="K182" t="s">
        <v>1045</v>
      </c>
      <c r="L182" s="552">
        <v>5000</v>
      </c>
      <c r="O182" t="s">
        <v>965</v>
      </c>
    </row>
    <row r="183" spans="1:15" hidden="1">
      <c r="A183" t="s">
        <v>942</v>
      </c>
      <c r="B183" t="s">
        <v>945</v>
      </c>
      <c r="C183" s="553">
        <v>44230</v>
      </c>
      <c r="D183" s="281" t="s">
        <v>4304</v>
      </c>
      <c r="E183" s="281" t="s">
        <v>3086</v>
      </c>
      <c r="F183" s="281">
        <v>1</v>
      </c>
      <c r="G183" s="281">
        <v>5020000000</v>
      </c>
      <c r="H183" t="s">
        <v>2032</v>
      </c>
      <c r="I183" t="s">
        <v>565</v>
      </c>
      <c r="J183" t="s">
        <v>773</v>
      </c>
      <c r="K183" t="s">
        <v>1064</v>
      </c>
      <c r="L183" s="552">
        <v>1074.25</v>
      </c>
      <c r="O183" t="s">
        <v>961</v>
      </c>
    </row>
    <row r="184" spans="1:15" hidden="1">
      <c r="A184" t="s">
        <v>942</v>
      </c>
      <c r="B184" t="s">
        <v>945</v>
      </c>
      <c r="C184" s="553">
        <v>44230</v>
      </c>
      <c r="D184" s="281" t="s">
        <v>4304</v>
      </c>
      <c r="E184" s="281" t="s">
        <v>3086</v>
      </c>
      <c r="F184" s="281">
        <v>1</v>
      </c>
      <c r="G184" s="281">
        <v>5020000000</v>
      </c>
      <c r="H184" t="s">
        <v>1997</v>
      </c>
      <c r="I184" t="s">
        <v>642</v>
      </c>
      <c r="J184" t="s">
        <v>773</v>
      </c>
      <c r="K184" t="s">
        <v>1064</v>
      </c>
      <c r="L184" s="552">
        <v>960</v>
      </c>
      <c r="O184" t="s">
        <v>961</v>
      </c>
    </row>
    <row r="185" spans="1:15" hidden="1">
      <c r="A185" t="s">
        <v>942</v>
      </c>
      <c r="B185" t="s">
        <v>945</v>
      </c>
      <c r="C185" s="553">
        <v>44230</v>
      </c>
      <c r="D185" s="281" t="s">
        <v>4304</v>
      </c>
      <c r="E185" s="281" t="s">
        <v>3086</v>
      </c>
      <c r="F185" s="281">
        <v>1</v>
      </c>
      <c r="G185" s="281">
        <v>5020000000</v>
      </c>
      <c r="H185" t="s">
        <v>1998</v>
      </c>
      <c r="I185" t="s">
        <v>633</v>
      </c>
      <c r="J185" t="s">
        <v>773</v>
      </c>
      <c r="K185" t="s">
        <v>1064</v>
      </c>
      <c r="L185" s="552">
        <v>2700</v>
      </c>
      <c r="O185" t="s">
        <v>961</v>
      </c>
    </row>
    <row r="186" spans="1:15" hidden="1">
      <c r="A186" t="s">
        <v>942</v>
      </c>
      <c r="B186" t="s">
        <v>945</v>
      </c>
      <c r="C186" s="553">
        <v>44230</v>
      </c>
      <c r="D186" s="281" t="s">
        <v>4305</v>
      </c>
      <c r="E186" s="281" t="s">
        <v>3089</v>
      </c>
      <c r="F186" s="281">
        <v>2</v>
      </c>
      <c r="G186" s="281">
        <v>5020000000</v>
      </c>
      <c r="H186" t="s">
        <v>2010</v>
      </c>
      <c r="I186" t="s">
        <v>693</v>
      </c>
      <c r="J186" t="s">
        <v>1072</v>
      </c>
      <c r="K186" t="s">
        <v>1073</v>
      </c>
      <c r="L186" s="552">
        <v>1350</v>
      </c>
      <c r="O186" t="s">
        <v>965</v>
      </c>
    </row>
    <row r="187" spans="1:15" hidden="1">
      <c r="A187" t="s">
        <v>942</v>
      </c>
      <c r="B187" t="s">
        <v>945</v>
      </c>
      <c r="C187" s="553">
        <v>44230</v>
      </c>
      <c r="D187" s="281" t="s">
        <v>4306</v>
      </c>
      <c r="E187" s="281" t="s">
        <v>3056</v>
      </c>
      <c r="F187" s="281">
        <v>1</v>
      </c>
      <c r="G187" s="281">
        <v>5020000000</v>
      </c>
      <c r="H187" t="s">
        <v>2038</v>
      </c>
      <c r="I187" t="s">
        <v>567</v>
      </c>
      <c r="J187" t="s">
        <v>818</v>
      </c>
      <c r="K187" t="s">
        <v>1074</v>
      </c>
      <c r="L187" s="552">
        <v>1660</v>
      </c>
      <c r="O187" t="s">
        <v>961</v>
      </c>
    </row>
    <row r="188" spans="1:15" hidden="1">
      <c r="A188" t="s">
        <v>942</v>
      </c>
      <c r="B188" t="s">
        <v>945</v>
      </c>
      <c r="C188" s="553">
        <v>44230</v>
      </c>
      <c r="D188" s="281" t="s">
        <v>4306</v>
      </c>
      <c r="E188" s="281" t="s">
        <v>3056</v>
      </c>
      <c r="F188" s="281">
        <v>1</v>
      </c>
      <c r="G188" s="281">
        <v>5020000000</v>
      </c>
      <c r="H188" t="s">
        <v>2039</v>
      </c>
      <c r="I188" t="s">
        <v>560</v>
      </c>
      <c r="J188" t="s">
        <v>818</v>
      </c>
      <c r="K188" t="s">
        <v>1074</v>
      </c>
      <c r="L188" s="552">
        <v>10790</v>
      </c>
      <c r="O188" t="s">
        <v>961</v>
      </c>
    </row>
    <row r="189" spans="1:15" hidden="1">
      <c r="A189" t="s">
        <v>942</v>
      </c>
      <c r="B189" t="s">
        <v>945</v>
      </c>
      <c r="C189" s="553">
        <v>44230</v>
      </c>
      <c r="D189" s="281" t="s">
        <v>4306</v>
      </c>
      <c r="E189" s="281" t="s">
        <v>3056</v>
      </c>
      <c r="F189" s="281">
        <v>1</v>
      </c>
      <c r="G189" s="281">
        <v>5020000000</v>
      </c>
      <c r="H189" t="s">
        <v>2034</v>
      </c>
      <c r="I189" t="s">
        <v>581</v>
      </c>
      <c r="J189" t="s">
        <v>818</v>
      </c>
      <c r="K189" t="s">
        <v>1074</v>
      </c>
      <c r="L189" s="552">
        <v>8509.99</v>
      </c>
      <c r="O189" t="s">
        <v>961</v>
      </c>
    </row>
    <row r="190" spans="1:15" hidden="1">
      <c r="A190" t="s">
        <v>942</v>
      </c>
      <c r="B190" t="s">
        <v>945</v>
      </c>
      <c r="C190" s="553">
        <v>44230</v>
      </c>
      <c r="D190" s="281" t="s">
        <v>4306</v>
      </c>
      <c r="E190" s="281" t="s">
        <v>3056</v>
      </c>
      <c r="F190" s="281">
        <v>1</v>
      </c>
      <c r="G190" s="281">
        <v>5020000000</v>
      </c>
      <c r="H190" t="s">
        <v>2035</v>
      </c>
      <c r="I190" t="s">
        <v>596</v>
      </c>
      <c r="J190" t="s">
        <v>818</v>
      </c>
      <c r="K190" t="s">
        <v>1074</v>
      </c>
      <c r="L190" s="552">
        <v>4731</v>
      </c>
      <c r="O190" t="s">
        <v>961</v>
      </c>
    </row>
    <row r="191" spans="1:15" hidden="1">
      <c r="A191" t="s">
        <v>942</v>
      </c>
      <c r="B191" t="s">
        <v>945</v>
      </c>
      <c r="C191" s="553">
        <v>44230</v>
      </c>
      <c r="D191" s="281" t="s">
        <v>4306</v>
      </c>
      <c r="E191" s="281" t="s">
        <v>3056</v>
      </c>
      <c r="F191" s="281">
        <v>1</v>
      </c>
      <c r="G191" s="281">
        <v>5020000000</v>
      </c>
      <c r="H191" t="s">
        <v>2040</v>
      </c>
      <c r="I191" t="s">
        <v>598</v>
      </c>
      <c r="J191" t="s">
        <v>818</v>
      </c>
      <c r="K191" t="s">
        <v>1074</v>
      </c>
      <c r="L191" s="552">
        <v>42745</v>
      </c>
      <c r="O191" t="s">
        <v>961</v>
      </c>
    </row>
    <row r="192" spans="1:15" hidden="1">
      <c r="A192" t="s">
        <v>942</v>
      </c>
      <c r="B192" t="s">
        <v>945</v>
      </c>
      <c r="C192" s="553">
        <v>44230</v>
      </c>
      <c r="D192" s="281" t="s">
        <v>4306</v>
      </c>
      <c r="E192" s="281" t="s">
        <v>3056</v>
      </c>
      <c r="F192" s="281">
        <v>1</v>
      </c>
      <c r="G192" s="281">
        <v>5020000000</v>
      </c>
      <c r="H192" t="s">
        <v>2041</v>
      </c>
      <c r="I192" t="s">
        <v>601</v>
      </c>
      <c r="J192" t="s">
        <v>818</v>
      </c>
      <c r="K192" t="s">
        <v>1074</v>
      </c>
      <c r="L192" s="552">
        <v>2075</v>
      </c>
      <c r="O192" t="s">
        <v>961</v>
      </c>
    </row>
    <row r="193" spans="1:15" hidden="1">
      <c r="A193" t="s">
        <v>942</v>
      </c>
      <c r="B193" t="s">
        <v>945</v>
      </c>
      <c r="C193" s="553">
        <v>44230</v>
      </c>
      <c r="D193" s="281" t="s">
        <v>4306</v>
      </c>
      <c r="E193" s="281" t="s">
        <v>3056</v>
      </c>
      <c r="F193" s="281">
        <v>1</v>
      </c>
      <c r="G193" s="281">
        <v>5020000000</v>
      </c>
      <c r="H193" t="s">
        <v>2011</v>
      </c>
      <c r="I193" t="s">
        <v>605</v>
      </c>
      <c r="J193" t="s">
        <v>818</v>
      </c>
      <c r="K193" t="s">
        <v>1074</v>
      </c>
      <c r="L193" s="552">
        <v>762.27</v>
      </c>
      <c r="O193" t="s">
        <v>961</v>
      </c>
    </row>
    <row r="194" spans="1:15" hidden="1">
      <c r="A194" t="s">
        <v>942</v>
      </c>
      <c r="B194" t="s">
        <v>945</v>
      </c>
      <c r="C194" s="553">
        <v>44230</v>
      </c>
      <c r="D194" s="281" t="s">
        <v>4306</v>
      </c>
      <c r="E194" s="281" t="s">
        <v>3056</v>
      </c>
      <c r="F194" s="281">
        <v>1</v>
      </c>
      <c r="G194" s="281">
        <v>5020000000</v>
      </c>
      <c r="H194" t="s">
        <v>2002</v>
      </c>
      <c r="I194" t="s">
        <v>603</v>
      </c>
      <c r="J194" t="s">
        <v>818</v>
      </c>
      <c r="K194" t="s">
        <v>1074</v>
      </c>
      <c r="L194" s="552">
        <v>6972</v>
      </c>
      <c r="O194" t="s">
        <v>961</v>
      </c>
    </row>
    <row r="195" spans="1:15" hidden="1">
      <c r="A195" t="s">
        <v>942</v>
      </c>
      <c r="B195" t="s">
        <v>945</v>
      </c>
      <c r="C195" s="553">
        <v>44230</v>
      </c>
      <c r="D195" s="281" t="s">
        <v>4306</v>
      </c>
      <c r="E195" s="281" t="s">
        <v>3056</v>
      </c>
      <c r="F195" s="281">
        <v>1</v>
      </c>
      <c r="G195" s="281">
        <v>5020000000</v>
      </c>
      <c r="H195" t="s">
        <v>2003</v>
      </c>
      <c r="I195" t="s">
        <v>609</v>
      </c>
      <c r="J195" t="s">
        <v>818</v>
      </c>
      <c r="K195" t="s">
        <v>1074</v>
      </c>
      <c r="L195" s="552">
        <v>539.5</v>
      </c>
      <c r="O195" t="s">
        <v>961</v>
      </c>
    </row>
    <row r="196" spans="1:15" hidden="1">
      <c r="A196" t="s">
        <v>942</v>
      </c>
      <c r="B196" t="s">
        <v>945</v>
      </c>
      <c r="C196" s="553">
        <v>44230</v>
      </c>
      <c r="D196" s="281" t="s">
        <v>4306</v>
      </c>
      <c r="E196" s="281" t="s">
        <v>3056</v>
      </c>
      <c r="F196" s="281">
        <v>1</v>
      </c>
      <c r="G196" s="281">
        <v>5020000000</v>
      </c>
      <c r="H196" t="s">
        <v>2012</v>
      </c>
      <c r="I196" t="s">
        <v>627</v>
      </c>
      <c r="J196" t="s">
        <v>818</v>
      </c>
      <c r="K196" t="s">
        <v>1074</v>
      </c>
      <c r="L196" s="552">
        <v>498</v>
      </c>
      <c r="O196" t="s">
        <v>961</v>
      </c>
    </row>
    <row r="197" spans="1:15" hidden="1">
      <c r="A197" t="s">
        <v>942</v>
      </c>
      <c r="B197" t="s">
        <v>945</v>
      </c>
      <c r="C197" s="553">
        <v>44230</v>
      </c>
      <c r="D197" s="281" t="s">
        <v>4306</v>
      </c>
      <c r="E197" s="281" t="s">
        <v>3056</v>
      </c>
      <c r="F197" s="281">
        <v>1</v>
      </c>
      <c r="G197" s="281">
        <v>5020000000</v>
      </c>
      <c r="H197" t="s">
        <v>1997</v>
      </c>
      <c r="I197" t="s">
        <v>642</v>
      </c>
      <c r="J197" t="s">
        <v>818</v>
      </c>
      <c r="K197" t="s">
        <v>1074</v>
      </c>
      <c r="L197" s="552">
        <v>169498.73</v>
      </c>
      <c r="O197" t="s">
        <v>961</v>
      </c>
    </row>
    <row r="198" spans="1:15" hidden="1">
      <c r="A198" t="s">
        <v>942</v>
      </c>
      <c r="B198" t="s">
        <v>945</v>
      </c>
      <c r="C198" s="553">
        <v>44230</v>
      </c>
      <c r="D198" s="281" t="s">
        <v>4306</v>
      </c>
      <c r="E198" s="281" t="s">
        <v>3056</v>
      </c>
      <c r="F198" s="281">
        <v>4</v>
      </c>
      <c r="G198" s="281">
        <v>5020000000</v>
      </c>
      <c r="H198" t="s">
        <v>2013</v>
      </c>
      <c r="I198" t="s">
        <v>311</v>
      </c>
      <c r="J198" t="s">
        <v>818</v>
      </c>
      <c r="K198" t="s">
        <v>1074</v>
      </c>
      <c r="L198" s="552">
        <v>2766.67</v>
      </c>
      <c r="O198" t="s">
        <v>971</v>
      </c>
    </row>
    <row r="199" spans="1:15" hidden="1">
      <c r="A199" t="s">
        <v>942</v>
      </c>
      <c r="B199" t="s">
        <v>945</v>
      </c>
      <c r="C199" s="553">
        <v>44230</v>
      </c>
      <c r="D199" s="281" t="s">
        <v>4306</v>
      </c>
      <c r="E199" s="281" t="s">
        <v>3056</v>
      </c>
      <c r="F199" s="281">
        <v>3</v>
      </c>
      <c r="G199" s="281">
        <v>5020000000</v>
      </c>
      <c r="H199" t="s">
        <v>2014</v>
      </c>
      <c r="I199" t="s">
        <v>651</v>
      </c>
      <c r="J199" t="s">
        <v>818</v>
      </c>
      <c r="K199" t="s">
        <v>1074</v>
      </c>
      <c r="L199" s="552">
        <v>2766.67</v>
      </c>
      <c r="O199" t="s">
        <v>968</v>
      </c>
    </row>
    <row r="200" spans="1:15" hidden="1">
      <c r="A200" t="s">
        <v>942</v>
      </c>
      <c r="B200" t="s">
        <v>945</v>
      </c>
      <c r="C200" s="553">
        <v>44230</v>
      </c>
      <c r="D200" s="281" t="s">
        <v>4306</v>
      </c>
      <c r="E200" s="281" t="s">
        <v>3056</v>
      </c>
      <c r="F200" s="281">
        <v>3</v>
      </c>
      <c r="G200" s="281">
        <v>5020000000</v>
      </c>
      <c r="H200" t="s">
        <v>2015</v>
      </c>
      <c r="I200" t="s">
        <v>662</v>
      </c>
      <c r="J200" t="s">
        <v>818</v>
      </c>
      <c r="K200" t="s">
        <v>1074</v>
      </c>
      <c r="L200" s="552">
        <v>1383.33</v>
      </c>
      <c r="O200" t="s">
        <v>968</v>
      </c>
    </row>
    <row r="201" spans="1:15" hidden="1">
      <c r="A201" t="s">
        <v>942</v>
      </c>
      <c r="B201" t="s">
        <v>945</v>
      </c>
      <c r="C201" s="553">
        <v>44230</v>
      </c>
      <c r="D201" s="281" t="s">
        <v>4306</v>
      </c>
      <c r="E201" s="281" t="s">
        <v>3056</v>
      </c>
      <c r="F201" s="281">
        <v>1</v>
      </c>
      <c r="G201" s="281">
        <v>5020000000</v>
      </c>
      <c r="H201" t="s">
        <v>2016</v>
      </c>
      <c r="I201" t="s">
        <v>319</v>
      </c>
      <c r="J201" t="s">
        <v>818</v>
      </c>
      <c r="K201" t="s">
        <v>1074</v>
      </c>
      <c r="L201" s="552">
        <v>13833.33</v>
      </c>
      <c r="O201" t="s">
        <v>961</v>
      </c>
    </row>
    <row r="202" spans="1:15" hidden="1">
      <c r="A202" t="s">
        <v>942</v>
      </c>
      <c r="B202" t="s">
        <v>945</v>
      </c>
      <c r="C202" s="553">
        <v>44230</v>
      </c>
      <c r="D202" s="281" t="s">
        <v>4306</v>
      </c>
      <c r="E202" s="281" t="s">
        <v>3056</v>
      </c>
      <c r="F202" s="281">
        <v>1</v>
      </c>
      <c r="G202" s="281">
        <v>5020000000</v>
      </c>
      <c r="H202" t="s">
        <v>2017</v>
      </c>
      <c r="I202" t="s">
        <v>665</v>
      </c>
      <c r="J202" t="s">
        <v>818</v>
      </c>
      <c r="K202" t="s">
        <v>1074</v>
      </c>
      <c r="L202" s="552">
        <v>691.67</v>
      </c>
      <c r="O202" t="s">
        <v>961</v>
      </c>
    </row>
    <row r="203" spans="1:15" hidden="1">
      <c r="A203" t="s">
        <v>942</v>
      </c>
      <c r="B203" t="s">
        <v>945</v>
      </c>
      <c r="C203" s="553">
        <v>44230</v>
      </c>
      <c r="D203" s="281" t="s">
        <v>4306</v>
      </c>
      <c r="E203" s="281" t="s">
        <v>3056</v>
      </c>
      <c r="F203" s="281">
        <v>1</v>
      </c>
      <c r="G203" s="281">
        <v>5020000000</v>
      </c>
      <c r="H203" t="s">
        <v>2001</v>
      </c>
      <c r="I203" t="s">
        <v>669</v>
      </c>
      <c r="J203" t="s">
        <v>818</v>
      </c>
      <c r="K203" t="s">
        <v>1074</v>
      </c>
      <c r="L203" s="552">
        <v>1909.52</v>
      </c>
      <c r="O203" t="s">
        <v>961</v>
      </c>
    </row>
    <row r="204" spans="1:15" hidden="1">
      <c r="A204" t="s">
        <v>942</v>
      </c>
      <c r="B204" t="s">
        <v>945</v>
      </c>
      <c r="C204" s="553">
        <v>44230</v>
      </c>
      <c r="D204" s="281" t="s">
        <v>4306</v>
      </c>
      <c r="E204" s="281" t="s">
        <v>3056</v>
      </c>
      <c r="F204" s="281">
        <v>1</v>
      </c>
      <c r="G204" s="281">
        <v>5020000000</v>
      </c>
      <c r="H204" t="s">
        <v>2018</v>
      </c>
      <c r="I204" t="s">
        <v>671</v>
      </c>
      <c r="J204" t="s">
        <v>818</v>
      </c>
      <c r="K204" t="s">
        <v>1074</v>
      </c>
      <c r="L204" s="552">
        <v>4810.3100000000004</v>
      </c>
      <c r="O204" t="s">
        <v>961</v>
      </c>
    </row>
    <row r="205" spans="1:15" hidden="1">
      <c r="A205" t="s">
        <v>942</v>
      </c>
      <c r="B205" t="s">
        <v>945</v>
      </c>
      <c r="C205" s="553">
        <v>44230</v>
      </c>
      <c r="D205" s="281" t="s">
        <v>4306</v>
      </c>
      <c r="E205" s="281" t="s">
        <v>3056</v>
      </c>
      <c r="F205" s="281">
        <v>1</v>
      </c>
      <c r="G205" s="281">
        <v>5020000000</v>
      </c>
      <c r="H205" t="s">
        <v>2000</v>
      </c>
      <c r="I205" t="s">
        <v>683</v>
      </c>
      <c r="J205" t="s">
        <v>818</v>
      </c>
      <c r="K205" t="s">
        <v>1074</v>
      </c>
      <c r="L205" s="552">
        <v>220858.58</v>
      </c>
      <c r="O205" t="s">
        <v>961</v>
      </c>
    </row>
    <row r="206" spans="1:15" hidden="1">
      <c r="A206" t="s">
        <v>942</v>
      </c>
      <c r="B206" t="s">
        <v>945</v>
      </c>
      <c r="C206" s="553">
        <v>44230</v>
      </c>
      <c r="D206" s="281" t="s">
        <v>4306</v>
      </c>
      <c r="E206" s="281" t="s">
        <v>3056</v>
      </c>
      <c r="F206" s="281">
        <v>1</v>
      </c>
      <c r="G206" s="281">
        <v>5020000000</v>
      </c>
      <c r="H206" t="s">
        <v>2010</v>
      </c>
      <c r="I206" t="s">
        <v>693</v>
      </c>
      <c r="J206" t="s">
        <v>818</v>
      </c>
      <c r="K206" t="s">
        <v>1074</v>
      </c>
      <c r="L206" s="552">
        <v>1521.67</v>
      </c>
      <c r="O206" t="s">
        <v>961</v>
      </c>
    </row>
    <row r="207" spans="1:15" hidden="1">
      <c r="A207" t="s">
        <v>942</v>
      </c>
      <c r="B207" t="s">
        <v>945</v>
      </c>
      <c r="C207" s="553">
        <v>44230</v>
      </c>
      <c r="D207" s="281" t="s">
        <v>4306</v>
      </c>
      <c r="E207" s="281" t="s">
        <v>3056</v>
      </c>
      <c r="F207" s="281">
        <v>1</v>
      </c>
      <c r="G207" s="281">
        <v>5020000000</v>
      </c>
      <c r="H207" t="s">
        <v>2037</v>
      </c>
      <c r="I207" t="s">
        <v>555</v>
      </c>
      <c r="J207" t="s">
        <v>818</v>
      </c>
      <c r="K207" t="s">
        <v>1074</v>
      </c>
      <c r="L207" s="552">
        <v>1383.33</v>
      </c>
      <c r="O207" t="s">
        <v>961</v>
      </c>
    </row>
    <row r="208" spans="1:15" hidden="1">
      <c r="A208" t="s">
        <v>942</v>
      </c>
      <c r="B208" t="s">
        <v>945</v>
      </c>
      <c r="C208" s="553">
        <v>44230</v>
      </c>
      <c r="D208" s="281" t="s">
        <v>4306</v>
      </c>
      <c r="E208" s="281" t="s">
        <v>3056</v>
      </c>
      <c r="F208" s="281">
        <v>1</v>
      </c>
      <c r="G208" s="281">
        <v>5020000000</v>
      </c>
      <c r="H208" t="s">
        <v>2032</v>
      </c>
      <c r="I208" t="s">
        <v>565</v>
      </c>
      <c r="J208" t="s">
        <v>818</v>
      </c>
      <c r="K208" t="s">
        <v>1074</v>
      </c>
      <c r="L208" s="552">
        <v>6916.67</v>
      </c>
      <c r="O208" t="s">
        <v>961</v>
      </c>
    </row>
    <row r="209" spans="1:15" hidden="1">
      <c r="A209" t="s">
        <v>942</v>
      </c>
      <c r="B209" t="s">
        <v>945</v>
      </c>
      <c r="C209" s="553">
        <v>44230</v>
      </c>
      <c r="D209" s="281" t="s">
        <v>4306</v>
      </c>
      <c r="E209" s="281" t="s">
        <v>3056</v>
      </c>
      <c r="F209" s="281">
        <v>1</v>
      </c>
      <c r="G209" s="281">
        <v>5020000000</v>
      </c>
      <c r="H209" t="s">
        <v>1996</v>
      </c>
      <c r="I209" t="s">
        <v>676</v>
      </c>
      <c r="J209" t="s">
        <v>818</v>
      </c>
      <c r="K209" t="s">
        <v>1074</v>
      </c>
      <c r="L209" s="552">
        <v>4980</v>
      </c>
      <c r="O209" t="s">
        <v>961</v>
      </c>
    </row>
    <row r="210" spans="1:15" hidden="1">
      <c r="A210" t="s">
        <v>942</v>
      </c>
      <c r="B210" t="s">
        <v>945</v>
      </c>
      <c r="C210" s="553">
        <v>44230</v>
      </c>
      <c r="D210" s="281" t="s">
        <v>4306</v>
      </c>
      <c r="E210" s="281" t="s">
        <v>3056</v>
      </c>
      <c r="F210" s="281">
        <v>1</v>
      </c>
      <c r="G210" s="281">
        <v>5020000000</v>
      </c>
      <c r="H210" t="s">
        <v>2005</v>
      </c>
      <c r="I210" t="s">
        <v>678</v>
      </c>
      <c r="J210" t="s">
        <v>818</v>
      </c>
      <c r="K210" t="s">
        <v>1074</v>
      </c>
      <c r="L210" s="552">
        <v>3541.33</v>
      </c>
      <c r="O210" t="s">
        <v>961</v>
      </c>
    </row>
    <row r="211" spans="1:15" hidden="1">
      <c r="A211" t="s">
        <v>942</v>
      </c>
      <c r="B211" t="s">
        <v>945</v>
      </c>
      <c r="C211" s="553">
        <v>44230</v>
      </c>
      <c r="D211" s="281" t="s">
        <v>4306</v>
      </c>
      <c r="E211" s="281" t="s">
        <v>3056</v>
      </c>
      <c r="F211" s="281">
        <v>3</v>
      </c>
      <c r="G211" s="281">
        <v>5020000000</v>
      </c>
      <c r="H211" t="s">
        <v>2009</v>
      </c>
      <c r="I211" t="s">
        <v>680</v>
      </c>
      <c r="J211" t="s">
        <v>818</v>
      </c>
      <c r="K211" t="s">
        <v>1074</v>
      </c>
      <c r="L211" s="552">
        <v>3320</v>
      </c>
      <c r="O211" t="s">
        <v>968</v>
      </c>
    </row>
    <row r="212" spans="1:15" hidden="1">
      <c r="A212" t="s">
        <v>942</v>
      </c>
      <c r="B212" t="s">
        <v>945</v>
      </c>
      <c r="C212" s="553">
        <v>44230</v>
      </c>
      <c r="D212" s="281" t="s">
        <v>4306</v>
      </c>
      <c r="E212" s="281" t="s">
        <v>3056</v>
      </c>
      <c r="F212" s="281">
        <v>1</v>
      </c>
      <c r="G212" s="281">
        <v>5020000000</v>
      </c>
      <c r="H212" t="s">
        <v>1999</v>
      </c>
      <c r="I212" t="s">
        <v>672</v>
      </c>
      <c r="J212" t="s">
        <v>818</v>
      </c>
      <c r="K212" t="s">
        <v>1074</v>
      </c>
      <c r="L212" s="552">
        <v>9376.91</v>
      </c>
      <c r="O212" t="s">
        <v>961</v>
      </c>
    </row>
    <row r="213" spans="1:15" hidden="1">
      <c r="A213" t="s">
        <v>942</v>
      </c>
      <c r="B213" t="s">
        <v>945</v>
      </c>
      <c r="C213" s="553">
        <v>44230</v>
      </c>
      <c r="D213" s="281" t="s">
        <v>4307</v>
      </c>
      <c r="E213" s="281" t="s">
        <v>3059</v>
      </c>
      <c r="F213" s="281">
        <v>1</v>
      </c>
      <c r="G213" s="281">
        <v>5020000000</v>
      </c>
      <c r="H213" t="s">
        <v>2038</v>
      </c>
      <c r="I213" t="s">
        <v>567</v>
      </c>
      <c r="J213" t="s">
        <v>820</v>
      </c>
      <c r="K213" t="s">
        <v>1074</v>
      </c>
      <c r="L213" s="552">
        <v>1660</v>
      </c>
      <c r="O213" t="s">
        <v>961</v>
      </c>
    </row>
    <row r="214" spans="1:15" hidden="1">
      <c r="A214" t="s">
        <v>942</v>
      </c>
      <c r="B214" t="s">
        <v>945</v>
      </c>
      <c r="C214" s="553">
        <v>44230</v>
      </c>
      <c r="D214" s="281" t="s">
        <v>4307</v>
      </c>
      <c r="E214" s="281" t="s">
        <v>3059</v>
      </c>
      <c r="F214" s="281">
        <v>1</v>
      </c>
      <c r="G214" s="281">
        <v>5020000000</v>
      </c>
      <c r="H214" t="s">
        <v>2039</v>
      </c>
      <c r="I214" t="s">
        <v>560</v>
      </c>
      <c r="J214" t="s">
        <v>820</v>
      </c>
      <c r="K214" t="s">
        <v>1074</v>
      </c>
      <c r="L214" s="552">
        <v>9960</v>
      </c>
      <c r="O214" t="s">
        <v>961</v>
      </c>
    </row>
    <row r="215" spans="1:15" hidden="1">
      <c r="A215" t="s">
        <v>942</v>
      </c>
      <c r="B215" t="s">
        <v>945</v>
      </c>
      <c r="C215" s="553">
        <v>44230</v>
      </c>
      <c r="D215" s="281" t="s">
        <v>4307</v>
      </c>
      <c r="E215" s="281" t="s">
        <v>3059</v>
      </c>
      <c r="F215" s="281">
        <v>1</v>
      </c>
      <c r="G215" s="281">
        <v>5020000000</v>
      </c>
      <c r="H215" t="s">
        <v>2034</v>
      </c>
      <c r="I215" t="s">
        <v>581</v>
      </c>
      <c r="J215" t="s">
        <v>820</v>
      </c>
      <c r="K215" t="s">
        <v>1074</v>
      </c>
      <c r="L215" s="552">
        <v>11066.67</v>
      </c>
      <c r="O215" t="s">
        <v>961</v>
      </c>
    </row>
    <row r="216" spans="1:15" hidden="1">
      <c r="A216" t="s">
        <v>942</v>
      </c>
      <c r="B216" t="s">
        <v>945</v>
      </c>
      <c r="C216" s="553">
        <v>44230</v>
      </c>
      <c r="D216" s="281" t="s">
        <v>4307</v>
      </c>
      <c r="E216" s="281" t="s">
        <v>3059</v>
      </c>
      <c r="F216" s="281">
        <v>1</v>
      </c>
      <c r="G216" s="281">
        <v>5020000000</v>
      </c>
      <c r="H216" t="s">
        <v>2035</v>
      </c>
      <c r="I216" t="s">
        <v>596</v>
      </c>
      <c r="J216" t="s">
        <v>820</v>
      </c>
      <c r="K216" t="s">
        <v>1074</v>
      </c>
      <c r="L216" s="552">
        <v>2158</v>
      </c>
      <c r="O216" t="s">
        <v>961</v>
      </c>
    </row>
    <row r="217" spans="1:15" hidden="1">
      <c r="A217" t="s">
        <v>942</v>
      </c>
      <c r="B217" t="s">
        <v>945</v>
      </c>
      <c r="C217" s="553">
        <v>44230</v>
      </c>
      <c r="D217" s="281" t="s">
        <v>4307</v>
      </c>
      <c r="E217" s="281" t="s">
        <v>3059</v>
      </c>
      <c r="F217" s="281">
        <v>1</v>
      </c>
      <c r="G217" s="281">
        <v>5020000000</v>
      </c>
      <c r="H217" t="s">
        <v>2040</v>
      </c>
      <c r="I217" t="s">
        <v>598</v>
      </c>
      <c r="J217" t="s">
        <v>820</v>
      </c>
      <c r="K217" t="s">
        <v>1074</v>
      </c>
      <c r="L217" s="552">
        <v>38180</v>
      </c>
      <c r="O217" t="s">
        <v>961</v>
      </c>
    </row>
    <row r="218" spans="1:15" hidden="1">
      <c r="A218" t="s">
        <v>942</v>
      </c>
      <c r="B218" t="s">
        <v>945</v>
      </c>
      <c r="C218" s="553">
        <v>44230</v>
      </c>
      <c r="D218" s="281" t="s">
        <v>4307</v>
      </c>
      <c r="E218" s="281" t="s">
        <v>3059</v>
      </c>
      <c r="F218" s="281">
        <v>1</v>
      </c>
      <c r="G218" s="281">
        <v>5020000000</v>
      </c>
      <c r="H218" t="s">
        <v>2041</v>
      </c>
      <c r="I218" t="s">
        <v>601</v>
      </c>
      <c r="J218" t="s">
        <v>820</v>
      </c>
      <c r="K218" t="s">
        <v>1074</v>
      </c>
      <c r="L218" s="552">
        <v>4150</v>
      </c>
      <c r="O218" t="s">
        <v>961</v>
      </c>
    </row>
    <row r="219" spans="1:15" hidden="1">
      <c r="A219" t="s">
        <v>942</v>
      </c>
      <c r="B219" t="s">
        <v>945</v>
      </c>
      <c r="C219" s="553">
        <v>44230</v>
      </c>
      <c r="D219" s="281" t="s">
        <v>4307</v>
      </c>
      <c r="E219" s="281" t="s">
        <v>3059</v>
      </c>
      <c r="F219" s="281">
        <v>1</v>
      </c>
      <c r="G219" s="281">
        <v>5020000000</v>
      </c>
      <c r="H219" t="s">
        <v>2002</v>
      </c>
      <c r="I219" t="s">
        <v>603</v>
      </c>
      <c r="J219" t="s">
        <v>820</v>
      </c>
      <c r="K219" t="s">
        <v>1074</v>
      </c>
      <c r="L219" s="552">
        <v>2988</v>
      </c>
      <c r="O219" t="s">
        <v>961</v>
      </c>
    </row>
    <row r="220" spans="1:15" hidden="1">
      <c r="A220" t="s">
        <v>942</v>
      </c>
      <c r="B220" t="s">
        <v>945</v>
      </c>
      <c r="C220" s="553">
        <v>44230</v>
      </c>
      <c r="D220" s="281" t="s">
        <v>4307</v>
      </c>
      <c r="E220" s="281" t="s">
        <v>3059</v>
      </c>
      <c r="F220" s="281">
        <v>1</v>
      </c>
      <c r="G220" s="281">
        <v>5020000000</v>
      </c>
      <c r="H220" t="s">
        <v>2003</v>
      </c>
      <c r="I220" t="s">
        <v>609</v>
      </c>
      <c r="J220" t="s">
        <v>820</v>
      </c>
      <c r="K220" t="s">
        <v>1074</v>
      </c>
      <c r="L220" s="552">
        <v>830</v>
      </c>
      <c r="O220" t="s">
        <v>961</v>
      </c>
    </row>
    <row r="221" spans="1:15" hidden="1">
      <c r="A221" t="s">
        <v>942</v>
      </c>
      <c r="B221" t="s">
        <v>945</v>
      </c>
      <c r="C221" s="553">
        <v>44230</v>
      </c>
      <c r="D221" s="281" t="s">
        <v>4307</v>
      </c>
      <c r="E221" s="281" t="s">
        <v>3059</v>
      </c>
      <c r="F221" s="281">
        <v>1</v>
      </c>
      <c r="G221" s="281">
        <v>5020000000</v>
      </c>
      <c r="H221" t="s">
        <v>2012</v>
      </c>
      <c r="I221" t="s">
        <v>627</v>
      </c>
      <c r="J221" t="s">
        <v>820</v>
      </c>
      <c r="K221" t="s">
        <v>1074</v>
      </c>
      <c r="L221" s="552">
        <v>498</v>
      </c>
      <c r="O221" t="s">
        <v>961</v>
      </c>
    </row>
    <row r="222" spans="1:15" hidden="1">
      <c r="A222" t="s">
        <v>942</v>
      </c>
      <c r="B222" t="s">
        <v>945</v>
      </c>
      <c r="C222" s="553">
        <v>44230</v>
      </c>
      <c r="D222" s="281" t="s">
        <v>4307</v>
      </c>
      <c r="E222" s="281" t="s">
        <v>3059</v>
      </c>
      <c r="F222" s="281">
        <v>1</v>
      </c>
      <c r="G222" s="281">
        <v>5020000000</v>
      </c>
      <c r="H222" t="s">
        <v>2007</v>
      </c>
      <c r="I222" t="s">
        <v>638</v>
      </c>
      <c r="J222" t="s">
        <v>820</v>
      </c>
      <c r="K222" t="s">
        <v>1074</v>
      </c>
      <c r="L222" s="552">
        <v>13847.17</v>
      </c>
      <c r="O222" t="s">
        <v>961</v>
      </c>
    </row>
    <row r="223" spans="1:15" hidden="1">
      <c r="A223" t="s">
        <v>942</v>
      </c>
      <c r="B223" t="s">
        <v>945</v>
      </c>
      <c r="C223" s="553">
        <v>44230</v>
      </c>
      <c r="D223" s="281" t="s">
        <v>4307</v>
      </c>
      <c r="E223" s="281" t="s">
        <v>3059</v>
      </c>
      <c r="F223" s="281">
        <v>1</v>
      </c>
      <c r="G223" s="281">
        <v>5020000000</v>
      </c>
      <c r="H223" t="s">
        <v>1997</v>
      </c>
      <c r="I223" t="s">
        <v>642</v>
      </c>
      <c r="J223" t="s">
        <v>820</v>
      </c>
      <c r="K223" t="s">
        <v>1074</v>
      </c>
      <c r="L223" s="552">
        <v>66782.91</v>
      </c>
      <c r="O223" t="s">
        <v>961</v>
      </c>
    </row>
    <row r="224" spans="1:15" hidden="1">
      <c r="A224" t="s">
        <v>942</v>
      </c>
      <c r="B224" t="s">
        <v>945</v>
      </c>
      <c r="C224" s="553">
        <v>44230</v>
      </c>
      <c r="D224" s="281" t="s">
        <v>4307</v>
      </c>
      <c r="E224" s="281" t="s">
        <v>3059</v>
      </c>
      <c r="F224" s="281">
        <v>3</v>
      </c>
      <c r="G224" s="281">
        <v>5020000000</v>
      </c>
      <c r="H224" t="s">
        <v>2019</v>
      </c>
      <c r="I224" t="s">
        <v>646</v>
      </c>
      <c r="J224" t="s">
        <v>820</v>
      </c>
      <c r="K224" t="s">
        <v>1074</v>
      </c>
      <c r="L224" s="552">
        <v>39807.910000000003</v>
      </c>
      <c r="O224" t="s">
        <v>968</v>
      </c>
    </row>
    <row r="225" spans="1:15" hidden="1">
      <c r="A225" t="s">
        <v>942</v>
      </c>
      <c r="B225" t="s">
        <v>945</v>
      </c>
      <c r="C225" s="553">
        <v>44230</v>
      </c>
      <c r="D225" s="281" t="s">
        <v>4307</v>
      </c>
      <c r="E225" s="281" t="s">
        <v>3059</v>
      </c>
      <c r="F225" s="281">
        <v>4</v>
      </c>
      <c r="G225" s="281">
        <v>5020000000</v>
      </c>
      <c r="H225" t="s">
        <v>2013</v>
      </c>
      <c r="I225" t="s">
        <v>311</v>
      </c>
      <c r="J225" t="s">
        <v>820</v>
      </c>
      <c r="K225" t="s">
        <v>1074</v>
      </c>
      <c r="L225" s="552">
        <v>2766.67</v>
      </c>
      <c r="O225" t="s">
        <v>971</v>
      </c>
    </row>
    <row r="226" spans="1:15" hidden="1">
      <c r="A226" t="s">
        <v>942</v>
      </c>
      <c r="B226" t="s">
        <v>945</v>
      </c>
      <c r="C226" s="553">
        <v>44230</v>
      </c>
      <c r="D226" s="281" t="s">
        <v>4307</v>
      </c>
      <c r="E226" s="281" t="s">
        <v>3059</v>
      </c>
      <c r="F226" s="281">
        <v>3</v>
      </c>
      <c r="G226" s="281">
        <v>5020000000</v>
      </c>
      <c r="H226" t="s">
        <v>2014</v>
      </c>
      <c r="I226" t="s">
        <v>651</v>
      </c>
      <c r="J226" t="s">
        <v>820</v>
      </c>
      <c r="K226" t="s">
        <v>1074</v>
      </c>
      <c r="L226" s="552">
        <v>2766.67</v>
      </c>
      <c r="O226" t="s">
        <v>968</v>
      </c>
    </row>
    <row r="227" spans="1:15" hidden="1">
      <c r="A227" t="s">
        <v>942</v>
      </c>
      <c r="B227" t="s">
        <v>945</v>
      </c>
      <c r="C227" s="553">
        <v>44230</v>
      </c>
      <c r="D227" s="281" t="s">
        <v>4307</v>
      </c>
      <c r="E227" s="281" t="s">
        <v>3059</v>
      </c>
      <c r="F227" s="281">
        <v>3</v>
      </c>
      <c r="G227" s="281">
        <v>5020000000</v>
      </c>
      <c r="H227" t="s">
        <v>2015</v>
      </c>
      <c r="I227" t="s">
        <v>662</v>
      </c>
      <c r="J227" t="s">
        <v>820</v>
      </c>
      <c r="K227" t="s">
        <v>1074</v>
      </c>
      <c r="L227" s="552">
        <v>1383.33</v>
      </c>
      <c r="O227" t="s">
        <v>968</v>
      </c>
    </row>
    <row r="228" spans="1:15" hidden="1">
      <c r="A228" t="s">
        <v>942</v>
      </c>
      <c r="B228" t="s">
        <v>945</v>
      </c>
      <c r="C228" s="553">
        <v>44230</v>
      </c>
      <c r="D228" s="281" t="s">
        <v>4307</v>
      </c>
      <c r="E228" s="281" t="s">
        <v>3059</v>
      </c>
      <c r="F228" s="281">
        <v>1</v>
      </c>
      <c r="G228" s="281">
        <v>5020000000</v>
      </c>
      <c r="H228" t="s">
        <v>2016</v>
      </c>
      <c r="I228" t="s">
        <v>319</v>
      </c>
      <c r="J228" t="s">
        <v>820</v>
      </c>
      <c r="K228" t="s">
        <v>1074</v>
      </c>
      <c r="L228" s="552">
        <v>13833.33</v>
      </c>
      <c r="O228" t="s">
        <v>961</v>
      </c>
    </row>
    <row r="229" spans="1:15" hidden="1">
      <c r="A229" t="s">
        <v>942</v>
      </c>
      <c r="B229" t="s">
        <v>945</v>
      </c>
      <c r="C229" s="553">
        <v>44230</v>
      </c>
      <c r="D229" s="281" t="s">
        <v>4307</v>
      </c>
      <c r="E229" s="281" t="s">
        <v>3059</v>
      </c>
      <c r="F229" s="281">
        <v>1</v>
      </c>
      <c r="G229" s="281">
        <v>5020000000</v>
      </c>
      <c r="H229" t="s">
        <v>2017</v>
      </c>
      <c r="I229" t="s">
        <v>665</v>
      </c>
      <c r="J229" t="s">
        <v>820</v>
      </c>
      <c r="K229" t="s">
        <v>1074</v>
      </c>
      <c r="L229" s="552">
        <v>691.67</v>
      </c>
      <c r="O229" t="s">
        <v>961</v>
      </c>
    </row>
    <row r="230" spans="1:15" hidden="1">
      <c r="A230" t="s">
        <v>942</v>
      </c>
      <c r="B230" t="s">
        <v>945</v>
      </c>
      <c r="C230" s="553">
        <v>44230</v>
      </c>
      <c r="D230" s="281" t="s">
        <v>4307</v>
      </c>
      <c r="E230" s="281" t="s">
        <v>3059</v>
      </c>
      <c r="F230" s="281">
        <v>1</v>
      </c>
      <c r="G230" s="281">
        <v>5020000000</v>
      </c>
      <c r="H230" t="s">
        <v>2001</v>
      </c>
      <c r="I230" t="s">
        <v>669</v>
      </c>
      <c r="J230" t="s">
        <v>820</v>
      </c>
      <c r="K230" t="s">
        <v>1074</v>
      </c>
      <c r="L230" s="552">
        <v>1798.33</v>
      </c>
      <c r="O230" t="s">
        <v>961</v>
      </c>
    </row>
    <row r="231" spans="1:15" hidden="1">
      <c r="A231" t="s">
        <v>942</v>
      </c>
      <c r="B231" t="s">
        <v>945</v>
      </c>
      <c r="C231" s="553">
        <v>44230</v>
      </c>
      <c r="D231" s="281" t="s">
        <v>4307</v>
      </c>
      <c r="E231" s="281" t="s">
        <v>3059</v>
      </c>
      <c r="F231" s="281">
        <v>1</v>
      </c>
      <c r="G231" s="281">
        <v>5020000000</v>
      </c>
      <c r="H231" t="s">
        <v>2018</v>
      </c>
      <c r="I231" t="s">
        <v>671</v>
      </c>
      <c r="J231" t="s">
        <v>820</v>
      </c>
      <c r="K231" t="s">
        <v>1074</v>
      </c>
      <c r="L231" s="552">
        <v>3609.82</v>
      </c>
      <c r="O231" t="s">
        <v>961</v>
      </c>
    </row>
    <row r="232" spans="1:15" hidden="1">
      <c r="A232" t="s">
        <v>942</v>
      </c>
      <c r="B232" t="s">
        <v>945</v>
      </c>
      <c r="C232" s="553">
        <v>44230</v>
      </c>
      <c r="D232" s="281" t="s">
        <v>4307</v>
      </c>
      <c r="E232" s="281" t="s">
        <v>3059</v>
      </c>
      <c r="F232" s="281">
        <v>1</v>
      </c>
      <c r="G232" s="281">
        <v>5020000000</v>
      </c>
      <c r="H232" t="s">
        <v>2037</v>
      </c>
      <c r="I232" t="s">
        <v>555</v>
      </c>
      <c r="J232" t="s">
        <v>820</v>
      </c>
      <c r="K232" t="s">
        <v>1074</v>
      </c>
      <c r="L232" s="552">
        <v>1383.33</v>
      </c>
      <c r="O232" t="s">
        <v>961</v>
      </c>
    </row>
    <row r="233" spans="1:15" hidden="1">
      <c r="A233" t="s">
        <v>942</v>
      </c>
      <c r="B233" t="s">
        <v>945</v>
      </c>
      <c r="C233" s="553">
        <v>44230</v>
      </c>
      <c r="D233" s="281" t="s">
        <v>4307</v>
      </c>
      <c r="E233" s="281" t="s">
        <v>3059</v>
      </c>
      <c r="F233" s="281">
        <v>1</v>
      </c>
      <c r="G233" s="281">
        <v>5020000000</v>
      </c>
      <c r="H233" t="s">
        <v>2032</v>
      </c>
      <c r="I233" t="s">
        <v>565</v>
      </c>
      <c r="J233" t="s">
        <v>820</v>
      </c>
      <c r="K233" t="s">
        <v>1074</v>
      </c>
      <c r="L233" s="552">
        <v>6916.67</v>
      </c>
      <c r="O233" t="s">
        <v>961</v>
      </c>
    </row>
    <row r="234" spans="1:15" hidden="1">
      <c r="A234" t="s">
        <v>942</v>
      </c>
      <c r="B234" t="s">
        <v>945</v>
      </c>
      <c r="C234" s="553">
        <v>44230</v>
      </c>
      <c r="D234" s="281" t="s">
        <v>4307</v>
      </c>
      <c r="E234" s="281" t="s">
        <v>3059</v>
      </c>
      <c r="F234" s="281">
        <v>1</v>
      </c>
      <c r="G234" s="281">
        <v>5020000000</v>
      </c>
      <c r="H234" t="s">
        <v>1996</v>
      </c>
      <c r="I234" t="s">
        <v>676</v>
      </c>
      <c r="J234" t="s">
        <v>820</v>
      </c>
      <c r="K234" t="s">
        <v>1074</v>
      </c>
      <c r="L234" s="552">
        <v>2075</v>
      </c>
      <c r="O234" t="s">
        <v>961</v>
      </c>
    </row>
    <row r="235" spans="1:15" hidden="1">
      <c r="A235" t="s">
        <v>942</v>
      </c>
      <c r="B235" t="s">
        <v>945</v>
      </c>
      <c r="C235" s="553">
        <v>44230</v>
      </c>
      <c r="D235" s="281" t="s">
        <v>4307</v>
      </c>
      <c r="E235" s="281" t="s">
        <v>3059</v>
      </c>
      <c r="F235" s="281">
        <v>1</v>
      </c>
      <c r="G235" s="281">
        <v>5020000000</v>
      </c>
      <c r="H235" t="s">
        <v>2005</v>
      </c>
      <c r="I235" t="s">
        <v>678</v>
      </c>
      <c r="J235" t="s">
        <v>820</v>
      </c>
      <c r="K235" t="s">
        <v>1074</v>
      </c>
      <c r="L235" s="552">
        <v>3375.33</v>
      </c>
      <c r="O235" t="s">
        <v>961</v>
      </c>
    </row>
    <row r="236" spans="1:15" hidden="1">
      <c r="A236" t="s">
        <v>942</v>
      </c>
      <c r="B236" t="s">
        <v>945</v>
      </c>
      <c r="C236" s="553">
        <v>44230</v>
      </c>
      <c r="D236" s="281" t="s">
        <v>4307</v>
      </c>
      <c r="E236" s="281" t="s">
        <v>3059</v>
      </c>
      <c r="F236" s="281">
        <v>3</v>
      </c>
      <c r="G236" s="281">
        <v>5020000000</v>
      </c>
      <c r="H236" t="s">
        <v>2009</v>
      </c>
      <c r="I236" t="s">
        <v>680</v>
      </c>
      <c r="J236" t="s">
        <v>820</v>
      </c>
      <c r="K236" t="s">
        <v>1074</v>
      </c>
      <c r="L236" s="552">
        <v>691.67</v>
      </c>
      <c r="O236" t="s">
        <v>968</v>
      </c>
    </row>
    <row r="237" spans="1:15" hidden="1">
      <c r="A237" t="s">
        <v>942</v>
      </c>
      <c r="B237" t="s">
        <v>945</v>
      </c>
      <c r="C237" s="553">
        <v>44230</v>
      </c>
      <c r="D237" s="281" t="s">
        <v>4307</v>
      </c>
      <c r="E237" s="281" t="s">
        <v>3059</v>
      </c>
      <c r="F237" s="281">
        <v>1</v>
      </c>
      <c r="G237" s="281">
        <v>5020000000</v>
      </c>
      <c r="H237" t="s">
        <v>1999</v>
      </c>
      <c r="I237" t="s">
        <v>672</v>
      </c>
      <c r="J237" t="s">
        <v>820</v>
      </c>
      <c r="K237" t="s">
        <v>1074</v>
      </c>
      <c r="L237" s="552">
        <v>8308.2099999999991</v>
      </c>
      <c r="O237" t="s">
        <v>961</v>
      </c>
    </row>
    <row r="238" spans="1:15" hidden="1">
      <c r="A238" t="s">
        <v>942</v>
      </c>
      <c r="B238" t="s">
        <v>945</v>
      </c>
      <c r="C238" s="553">
        <v>44230</v>
      </c>
      <c r="D238" s="281" t="s">
        <v>4308</v>
      </c>
      <c r="E238" s="281" t="s">
        <v>3061</v>
      </c>
      <c r="F238" s="281">
        <v>1</v>
      </c>
      <c r="G238" s="281">
        <v>5020000000</v>
      </c>
      <c r="H238" t="s">
        <v>2038</v>
      </c>
      <c r="I238" t="s">
        <v>567</v>
      </c>
      <c r="J238" t="s">
        <v>821</v>
      </c>
      <c r="K238" t="s">
        <v>1074</v>
      </c>
      <c r="L238" s="552">
        <v>1245</v>
      </c>
      <c r="O238" t="s">
        <v>961</v>
      </c>
    </row>
    <row r="239" spans="1:15" hidden="1">
      <c r="A239" t="s">
        <v>942</v>
      </c>
      <c r="B239" t="s">
        <v>945</v>
      </c>
      <c r="C239" s="553">
        <v>44230</v>
      </c>
      <c r="D239" s="281" t="s">
        <v>4308</v>
      </c>
      <c r="E239" s="281" t="s">
        <v>3061</v>
      </c>
      <c r="F239" s="281">
        <v>1</v>
      </c>
      <c r="G239" s="281">
        <v>5020000000</v>
      </c>
      <c r="H239" t="s">
        <v>2039</v>
      </c>
      <c r="I239" t="s">
        <v>560</v>
      </c>
      <c r="J239" t="s">
        <v>821</v>
      </c>
      <c r="K239" t="s">
        <v>1074</v>
      </c>
      <c r="L239" s="552">
        <v>9960</v>
      </c>
      <c r="O239" t="s">
        <v>961</v>
      </c>
    </row>
    <row r="240" spans="1:15" hidden="1">
      <c r="A240" t="s">
        <v>942</v>
      </c>
      <c r="B240" t="s">
        <v>945</v>
      </c>
      <c r="C240" s="553">
        <v>44230</v>
      </c>
      <c r="D240" s="281" t="s">
        <v>4308</v>
      </c>
      <c r="E240" s="281" t="s">
        <v>3061</v>
      </c>
      <c r="F240" s="281">
        <v>1</v>
      </c>
      <c r="G240" s="281">
        <v>5020000000</v>
      </c>
      <c r="H240" t="s">
        <v>2034</v>
      </c>
      <c r="I240" t="s">
        <v>581</v>
      </c>
      <c r="J240" t="s">
        <v>821</v>
      </c>
      <c r="K240" t="s">
        <v>1074</v>
      </c>
      <c r="L240" s="552">
        <v>7211.11</v>
      </c>
      <c r="O240" t="s">
        <v>961</v>
      </c>
    </row>
    <row r="241" spans="1:15" hidden="1">
      <c r="A241" t="s">
        <v>942</v>
      </c>
      <c r="B241" t="s">
        <v>945</v>
      </c>
      <c r="C241" s="553">
        <v>44230</v>
      </c>
      <c r="D241" s="281" t="s">
        <v>4308</v>
      </c>
      <c r="E241" s="281" t="s">
        <v>3061</v>
      </c>
      <c r="F241" s="281">
        <v>1</v>
      </c>
      <c r="G241" s="281">
        <v>5020000000</v>
      </c>
      <c r="H241" t="s">
        <v>2035</v>
      </c>
      <c r="I241" t="s">
        <v>596</v>
      </c>
      <c r="J241" t="s">
        <v>821</v>
      </c>
      <c r="K241" t="s">
        <v>1074</v>
      </c>
      <c r="L241" s="552">
        <v>1412.1</v>
      </c>
      <c r="O241" t="s">
        <v>961</v>
      </c>
    </row>
    <row r="242" spans="1:15" hidden="1">
      <c r="A242" t="s">
        <v>942</v>
      </c>
      <c r="B242" t="s">
        <v>945</v>
      </c>
      <c r="C242" s="553">
        <v>44230</v>
      </c>
      <c r="D242" s="281" t="s">
        <v>4308</v>
      </c>
      <c r="E242" s="281" t="s">
        <v>3061</v>
      </c>
      <c r="F242" s="281">
        <v>1</v>
      </c>
      <c r="G242" s="281">
        <v>5020000000</v>
      </c>
      <c r="H242" t="s">
        <v>2040</v>
      </c>
      <c r="I242" t="s">
        <v>598</v>
      </c>
      <c r="J242" t="s">
        <v>821</v>
      </c>
      <c r="K242" t="s">
        <v>1074</v>
      </c>
      <c r="L242" s="552">
        <v>31391.81</v>
      </c>
      <c r="O242" t="s">
        <v>961</v>
      </c>
    </row>
    <row r="243" spans="1:15" hidden="1">
      <c r="A243" t="s">
        <v>942</v>
      </c>
      <c r="B243" t="s">
        <v>945</v>
      </c>
      <c r="C243" s="553">
        <v>44230</v>
      </c>
      <c r="D243" s="281" t="s">
        <v>4308</v>
      </c>
      <c r="E243" s="281" t="s">
        <v>3061</v>
      </c>
      <c r="F243" s="281">
        <v>1</v>
      </c>
      <c r="G243" s="281">
        <v>5020000000</v>
      </c>
      <c r="H243" t="s">
        <v>2041</v>
      </c>
      <c r="I243" t="s">
        <v>601</v>
      </c>
      <c r="J243" t="s">
        <v>821</v>
      </c>
      <c r="K243" t="s">
        <v>1074</v>
      </c>
      <c r="L243" s="552">
        <v>830</v>
      </c>
      <c r="O243" t="s">
        <v>961</v>
      </c>
    </row>
    <row r="244" spans="1:15" hidden="1">
      <c r="A244" t="s">
        <v>942</v>
      </c>
      <c r="B244" t="s">
        <v>945</v>
      </c>
      <c r="C244" s="553">
        <v>44230</v>
      </c>
      <c r="D244" s="281" t="s">
        <v>4308</v>
      </c>
      <c r="E244" s="281" t="s">
        <v>3061</v>
      </c>
      <c r="F244" s="281">
        <v>1</v>
      </c>
      <c r="G244" s="281">
        <v>5020000000</v>
      </c>
      <c r="H244" t="s">
        <v>2011</v>
      </c>
      <c r="I244" t="s">
        <v>605</v>
      </c>
      <c r="J244" t="s">
        <v>821</v>
      </c>
      <c r="K244" t="s">
        <v>1074</v>
      </c>
      <c r="L244" s="552">
        <v>5057.87</v>
      </c>
      <c r="O244" t="s">
        <v>961</v>
      </c>
    </row>
    <row r="245" spans="1:15" hidden="1">
      <c r="A245" t="s">
        <v>942</v>
      </c>
      <c r="B245" t="s">
        <v>945</v>
      </c>
      <c r="C245" s="553">
        <v>44230</v>
      </c>
      <c r="D245" s="281" t="s">
        <v>4308</v>
      </c>
      <c r="E245" s="281" t="s">
        <v>3061</v>
      </c>
      <c r="F245" s="281">
        <v>1</v>
      </c>
      <c r="G245" s="281">
        <v>5020000000</v>
      </c>
      <c r="H245" t="s">
        <v>2002</v>
      </c>
      <c r="I245" t="s">
        <v>603</v>
      </c>
      <c r="J245" t="s">
        <v>821</v>
      </c>
      <c r="K245" t="s">
        <v>1074</v>
      </c>
      <c r="L245" s="552">
        <v>2988</v>
      </c>
      <c r="O245" t="s">
        <v>961</v>
      </c>
    </row>
    <row r="246" spans="1:15" hidden="1">
      <c r="A246" t="s">
        <v>942</v>
      </c>
      <c r="B246" t="s">
        <v>945</v>
      </c>
      <c r="C246" s="553">
        <v>44230</v>
      </c>
      <c r="D246" s="281" t="s">
        <v>4308</v>
      </c>
      <c r="E246" s="281" t="s">
        <v>3061</v>
      </c>
      <c r="F246" s="281">
        <v>1</v>
      </c>
      <c r="G246" s="281">
        <v>5020000000</v>
      </c>
      <c r="H246" t="s">
        <v>2003</v>
      </c>
      <c r="I246" t="s">
        <v>609</v>
      </c>
      <c r="J246" t="s">
        <v>821</v>
      </c>
      <c r="K246" t="s">
        <v>1074</v>
      </c>
      <c r="L246" s="552">
        <v>581</v>
      </c>
      <c r="O246" t="s">
        <v>961</v>
      </c>
    </row>
    <row r="247" spans="1:15" hidden="1">
      <c r="A247" t="s">
        <v>942</v>
      </c>
      <c r="B247" t="s">
        <v>945</v>
      </c>
      <c r="C247" s="553">
        <v>44230</v>
      </c>
      <c r="D247" s="281" t="s">
        <v>4308</v>
      </c>
      <c r="E247" s="281" t="s">
        <v>3061</v>
      </c>
      <c r="F247" s="281">
        <v>1</v>
      </c>
      <c r="G247" s="281">
        <v>5020000000</v>
      </c>
      <c r="H247" t="s">
        <v>2012</v>
      </c>
      <c r="I247" t="s">
        <v>627</v>
      </c>
      <c r="J247" t="s">
        <v>821</v>
      </c>
      <c r="K247" t="s">
        <v>1074</v>
      </c>
      <c r="L247" s="552">
        <v>498</v>
      </c>
      <c r="O247" t="s">
        <v>961</v>
      </c>
    </row>
    <row r="248" spans="1:15" hidden="1">
      <c r="A248" t="s">
        <v>942</v>
      </c>
      <c r="B248" t="s">
        <v>945</v>
      </c>
      <c r="C248" s="553">
        <v>44230</v>
      </c>
      <c r="D248" s="281" t="s">
        <v>4308</v>
      </c>
      <c r="E248" s="281" t="s">
        <v>3061</v>
      </c>
      <c r="F248" s="281">
        <v>1</v>
      </c>
      <c r="G248" s="281">
        <v>5020000000</v>
      </c>
      <c r="H248" t="s">
        <v>2007</v>
      </c>
      <c r="I248" t="s">
        <v>638</v>
      </c>
      <c r="J248" t="s">
        <v>821</v>
      </c>
      <c r="K248" t="s">
        <v>1074</v>
      </c>
      <c r="L248" s="552">
        <v>14386.67</v>
      </c>
      <c r="O248" t="s">
        <v>961</v>
      </c>
    </row>
    <row r="249" spans="1:15" hidden="1">
      <c r="A249" t="s">
        <v>942</v>
      </c>
      <c r="B249" t="s">
        <v>945</v>
      </c>
      <c r="C249" s="553">
        <v>44230</v>
      </c>
      <c r="D249" s="281" t="s">
        <v>4308</v>
      </c>
      <c r="E249" s="281" t="s">
        <v>3061</v>
      </c>
      <c r="F249" s="281">
        <v>1</v>
      </c>
      <c r="G249" s="281">
        <v>5020000000</v>
      </c>
      <c r="H249" t="s">
        <v>1997</v>
      </c>
      <c r="I249" t="s">
        <v>642</v>
      </c>
      <c r="J249" t="s">
        <v>821</v>
      </c>
      <c r="K249" t="s">
        <v>1074</v>
      </c>
      <c r="L249" s="552">
        <v>109583.24</v>
      </c>
      <c r="O249" t="s">
        <v>961</v>
      </c>
    </row>
    <row r="250" spans="1:15" hidden="1">
      <c r="A250" t="s">
        <v>942</v>
      </c>
      <c r="B250" t="s">
        <v>945</v>
      </c>
      <c r="C250" s="553">
        <v>44230</v>
      </c>
      <c r="D250" s="281" t="s">
        <v>4308</v>
      </c>
      <c r="E250" s="281" t="s">
        <v>3061</v>
      </c>
      <c r="F250" s="281">
        <v>3</v>
      </c>
      <c r="G250" s="281">
        <v>5020000000</v>
      </c>
      <c r="H250" t="s">
        <v>2019</v>
      </c>
      <c r="I250" t="s">
        <v>646</v>
      </c>
      <c r="J250" t="s">
        <v>821</v>
      </c>
      <c r="K250" t="s">
        <v>1074</v>
      </c>
      <c r="L250" s="552">
        <v>16600</v>
      </c>
      <c r="O250" t="s">
        <v>968</v>
      </c>
    </row>
    <row r="251" spans="1:15" hidden="1">
      <c r="A251" t="s">
        <v>942</v>
      </c>
      <c r="B251" t="s">
        <v>945</v>
      </c>
      <c r="C251" s="553">
        <v>44230</v>
      </c>
      <c r="D251" s="281" t="s">
        <v>4308</v>
      </c>
      <c r="E251" s="281" t="s">
        <v>3061</v>
      </c>
      <c r="F251" s="281">
        <v>4</v>
      </c>
      <c r="G251" s="281">
        <v>5020000000</v>
      </c>
      <c r="H251" t="s">
        <v>2013</v>
      </c>
      <c r="I251" t="s">
        <v>311</v>
      </c>
      <c r="J251" t="s">
        <v>821</v>
      </c>
      <c r="K251" t="s">
        <v>1074</v>
      </c>
      <c r="L251" s="552">
        <v>2766.67</v>
      </c>
      <c r="O251" t="s">
        <v>971</v>
      </c>
    </row>
    <row r="252" spans="1:15" hidden="1">
      <c r="A252" t="s">
        <v>942</v>
      </c>
      <c r="B252" t="s">
        <v>945</v>
      </c>
      <c r="C252" s="553">
        <v>44230</v>
      </c>
      <c r="D252" s="281" t="s">
        <v>4308</v>
      </c>
      <c r="E252" s="281" t="s">
        <v>3061</v>
      </c>
      <c r="F252" s="281">
        <v>3</v>
      </c>
      <c r="G252" s="281">
        <v>5020000000</v>
      </c>
      <c r="H252" t="s">
        <v>2014</v>
      </c>
      <c r="I252" t="s">
        <v>651</v>
      </c>
      <c r="J252" t="s">
        <v>821</v>
      </c>
      <c r="K252" t="s">
        <v>1074</v>
      </c>
      <c r="L252" s="552">
        <v>2766.67</v>
      </c>
      <c r="O252" t="s">
        <v>968</v>
      </c>
    </row>
    <row r="253" spans="1:15" hidden="1">
      <c r="A253" t="s">
        <v>942</v>
      </c>
      <c r="B253" t="s">
        <v>945</v>
      </c>
      <c r="C253" s="553">
        <v>44230</v>
      </c>
      <c r="D253" s="281" t="s">
        <v>4308</v>
      </c>
      <c r="E253" s="281" t="s">
        <v>3061</v>
      </c>
      <c r="F253" s="281">
        <v>3</v>
      </c>
      <c r="G253" s="281">
        <v>5020000000</v>
      </c>
      <c r="H253" t="s">
        <v>2015</v>
      </c>
      <c r="I253" t="s">
        <v>662</v>
      </c>
      <c r="J253" t="s">
        <v>821</v>
      </c>
      <c r="K253" t="s">
        <v>1074</v>
      </c>
      <c r="L253" s="552">
        <v>1383.33</v>
      </c>
      <c r="O253" t="s">
        <v>968</v>
      </c>
    </row>
    <row r="254" spans="1:15" hidden="1">
      <c r="A254" t="s">
        <v>942</v>
      </c>
      <c r="B254" t="s">
        <v>945</v>
      </c>
      <c r="C254" s="553">
        <v>44230</v>
      </c>
      <c r="D254" s="281" t="s">
        <v>4308</v>
      </c>
      <c r="E254" s="281" t="s">
        <v>3061</v>
      </c>
      <c r="F254" s="281">
        <v>1</v>
      </c>
      <c r="G254" s="281">
        <v>5020000000</v>
      </c>
      <c r="H254" t="s">
        <v>2016</v>
      </c>
      <c r="I254" t="s">
        <v>319</v>
      </c>
      <c r="J254" t="s">
        <v>821</v>
      </c>
      <c r="K254" t="s">
        <v>1074</v>
      </c>
      <c r="L254" s="552">
        <v>13833.33</v>
      </c>
      <c r="O254" t="s">
        <v>961</v>
      </c>
    </row>
    <row r="255" spans="1:15" hidden="1">
      <c r="A255" t="s">
        <v>942</v>
      </c>
      <c r="B255" t="s">
        <v>945</v>
      </c>
      <c r="C255" s="553">
        <v>44230</v>
      </c>
      <c r="D255" s="281" t="s">
        <v>4308</v>
      </c>
      <c r="E255" s="281" t="s">
        <v>3061</v>
      </c>
      <c r="F255" s="281">
        <v>1</v>
      </c>
      <c r="G255" s="281">
        <v>5020000000</v>
      </c>
      <c r="H255" t="s">
        <v>2017</v>
      </c>
      <c r="I255" t="s">
        <v>665</v>
      </c>
      <c r="J255" t="s">
        <v>821</v>
      </c>
      <c r="K255" t="s">
        <v>1074</v>
      </c>
      <c r="L255" s="552">
        <v>1037.5</v>
      </c>
      <c r="O255" t="s">
        <v>961</v>
      </c>
    </row>
    <row r="256" spans="1:15" hidden="1">
      <c r="A256" t="s">
        <v>942</v>
      </c>
      <c r="B256" t="s">
        <v>945</v>
      </c>
      <c r="C256" s="553">
        <v>44230</v>
      </c>
      <c r="D256" s="281" t="s">
        <v>4308</v>
      </c>
      <c r="E256" s="281" t="s">
        <v>3061</v>
      </c>
      <c r="F256" s="281">
        <v>1</v>
      </c>
      <c r="G256" s="281">
        <v>5020000000</v>
      </c>
      <c r="H256" t="s">
        <v>2001</v>
      </c>
      <c r="I256" t="s">
        <v>669</v>
      </c>
      <c r="J256" t="s">
        <v>821</v>
      </c>
      <c r="K256" t="s">
        <v>1074</v>
      </c>
      <c r="L256" s="552">
        <v>1390.25</v>
      </c>
      <c r="O256" t="s">
        <v>961</v>
      </c>
    </row>
    <row r="257" spans="1:15" hidden="1">
      <c r="A257" t="s">
        <v>942</v>
      </c>
      <c r="B257" t="s">
        <v>945</v>
      </c>
      <c r="C257" s="553">
        <v>44230</v>
      </c>
      <c r="D257" s="281" t="s">
        <v>4308</v>
      </c>
      <c r="E257" s="281" t="s">
        <v>3061</v>
      </c>
      <c r="F257" s="281">
        <v>1</v>
      </c>
      <c r="G257" s="281">
        <v>5020000000</v>
      </c>
      <c r="H257" t="s">
        <v>2018</v>
      </c>
      <c r="I257" t="s">
        <v>671</v>
      </c>
      <c r="J257" t="s">
        <v>821</v>
      </c>
      <c r="K257" t="s">
        <v>1074</v>
      </c>
      <c r="L257" s="552">
        <v>3043.33</v>
      </c>
      <c r="O257" t="s">
        <v>961</v>
      </c>
    </row>
    <row r="258" spans="1:15" hidden="1">
      <c r="A258" t="s">
        <v>942</v>
      </c>
      <c r="B258" t="s">
        <v>945</v>
      </c>
      <c r="C258" s="553">
        <v>44230</v>
      </c>
      <c r="D258" s="281" t="s">
        <v>4308</v>
      </c>
      <c r="E258" s="281" t="s">
        <v>3061</v>
      </c>
      <c r="F258" s="281">
        <v>1</v>
      </c>
      <c r="G258" s="281">
        <v>5020000000</v>
      </c>
      <c r="H258" t="s">
        <v>2000</v>
      </c>
      <c r="I258" t="s">
        <v>683</v>
      </c>
      <c r="J258" t="s">
        <v>821</v>
      </c>
      <c r="K258" t="s">
        <v>1074</v>
      </c>
      <c r="L258" s="552">
        <v>85490</v>
      </c>
      <c r="O258" t="s">
        <v>961</v>
      </c>
    </row>
    <row r="259" spans="1:15" hidden="1">
      <c r="A259" t="s">
        <v>942</v>
      </c>
      <c r="B259" t="s">
        <v>945</v>
      </c>
      <c r="C259" s="553">
        <v>44230</v>
      </c>
      <c r="D259" s="281" t="s">
        <v>4308</v>
      </c>
      <c r="E259" s="281" t="s">
        <v>3061</v>
      </c>
      <c r="F259" s="281">
        <v>1</v>
      </c>
      <c r="G259" s="281">
        <v>5020000000</v>
      </c>
      <c r="H259" t="s">
        <v>2037</v>
      </c>
      <c r="I259" t="s">
        <v>555</v>
      </c>
      <c r="J259" t="s">
        <v>821</v>
      </c>
      <c r="K259" t="s">
        <v>1074</v>
      </c>
      <c r="L259" s="552">
        <v>1383.33</v>
      </c>
      <c r="O259" t="s">
        <v>961</v>
      </c>
    </row>
    <row r="260" spans="1:15" hidden="1">
      <c r="A260" t="s">
        <v>942</v>
      </c>
      <c r="B260" t="s">
        <v>945</v>
      </c>
      <c r="C260" s="553">
        <v>44230</v>
      </c>
      <c r="D260" s="281" t="s">
        <v>4308</v>
      </c>
      <c r="E260" s="281" t="s">
        <v>3061</v>
      </c>
      <c r="F260" s="281">
        <v>1</v>
      </c>
      <c r="G260" s="281">
        <v>5020000000</v>
      </c>
      <c r="H260" t="s">
        <v>2032</v>
      </c>
      <c r="I260" t="s">
        <v>565</v>
      </c>
      <c r="J260" t="s">
        <v>821</v>
      </c>
      <c r="K260" t="s">
        <v>1074</v>
      </c>
      <c r="L260" s="552">
        <v>6916.67</v>
      </c>
      <c r="O260" t="s">
        <v>961</v>
      </c>
    </row>
    <row r="261" spans="1:15" hidden="1">
      <c r="A261" t="s">
        <v>942</v>
      </c>
      <c r="B261" t="s">
        <v>945</v>
      </c>
      <c r="C261" s="553">
        <v>44230</v>
      </c>
      <c r="D261" s="281" t="s">
        <v>4308</v>
      </c>
      <c r="E261" s="281" t="s">
        <v>3061</v>
      </c>
      <c r="F261" s="281">
        <v>1</v>
      </c>
      <c r="G261" s="281">
        <v>5020000000</v>
      </c>
      <c r="H261" t="s">
        <v>1996</v>
      </c>
      <c r="I261" t="s">
        <v>676</v>
      </c>
      <c r="J261" t="s">
        <v>821</v>
      </c>
      <c r="K261" t="s">
        <v>1074</v>
      </c>
      <c r="L261" s="552">
        <v>691.67</v>
      </c>
      <c r="O261" t="s">
        <v>961</v>
      </c>
    </row>
    <row r="262" spans="1:15" hidden="1">
      <c r="A262" t="s">
        <v>942</v>
      </c>
      <c r="B262" t="s">
        <v>945</v>
      </c>
      <c r="C262" s="553">
        <v>44230</v>
      </c>
      <c r="D262" s="281" t="s">
        <v>4308</v>
      </c>
      <c r="E262" s="281" t="s">
        <v>3061</v>
      </c>
      <c r="F262" s="281">
        <v>1</v>
      </c>
      <c r="G262" s="281">
        <v>5020000000</v>
      </c>
      <c r="H262" t="s">
        <v>2005</v>
      </c>
      <c r="I262" t="s">
        <v>678</v>
      </c>
      <c r="J262" t="s">
        <v>821</v>
      </c>
      <c r="K262" t="s">
        <v>1074</v>
      </c>
      <c r="L262" s="552">
        <v>3375.33</v>
      </c>
      <c r="O262" t="s">
        <v>961</v>
      </c>
    </row>
    <row r="263" spans="1:15" hidden="1">
      <c r="A263" t="s">
        <v>942</v>
      </c>
      <c r="B263" t="s">
        <v>945</v>
      </c>
      <c r="C263" s="553">
        <v>44230</v>
      </c>
      <c r="D263" s="281" t="s">
        <v>4308</v>
      </c>
      <c r="E263" s="281" t="s">
        <v>3061</v>
      </c>
      <c r="F263" s="281">
        <v>3</v>
      </c>
      <c r="G263" s="281">
        <v>5020000000</v>
      </c>
      <c r="H263" t="s">
        <v>2009</v>
      </c>
      <c r="I263" t="s">
        <v>680</v>
      </c>
      <c r="J263" t="s">
        <v>821</v>
      </c>
      <c r="K263" t="s">
        <v>1074</v>
      </c>
      <c r="L263" s="552">
        <v>3320</v>
      </c>
      <c r="O263" t="s">
        <v>968</v>
      </c>
    </row>
    <row r="264" spans="1:15" hidden="1">
      <c r="A264" t="s">
        <v>942</v>
      </c>
      <c r="B264" t="s">
        <v>945</v>
      </c>
      <c r="C264" s="553">
        <v>44230</v>
      </c>
      <c r="D264" s="281" t="s">
        <v>4308</v>
      </c>
      <c r="E264" s="281" t="s">
        <v>3061</v>
      </c>
      <c r="F264" s="281">
        <v>1</v>
      </c>
      <c r="G264" s="281">
        <v>5020000000</v>
      </c>
      <c r="H264" t="s">
        <v>1999</v>
      </c>
      <c r="I264" t="s">
        <v>672</v>
      </c>
      <c r="J264" t="s">
        <v>821</v>
      </c>
      <c r="K264" t="s">
        <v>1074</v>
      </c>
      <c r="L264" s="552">
        <v>8443.52</v>
      </c>
      <c r="O264" t="s">
        <v>961</v>
      </c>
    </row>
    <row r="265" spans="1:15" hidden="1">
      <c r="A265" t="s">
        <v>942</v>
      </c>
      <c r="B265" t="s">
        <v>945</v>
      </c>
      <c r="C265" s="553">
        <v>44230</v>
      </c>
      <c r="D265" s="281" t="s">
        <v>4309</v>
      </c>
      <c r="E265" s="281" t="s">
        <v>3063</v>
      </c>
      <c r="F265" s="281">
        <v>1</v>
      </c>
      <c r="G265" s="281">
        <v>5020000000</v>
      </c>
      <c r="H265" t="s">
        <v>2038</v>
      </c>
      <c r="I265" t="s">
        <v>567</v>
      </c>
      <c r="J265" t="s">
        <v>822</v>
      </c>
      <c r="K265" t="s">
        <v>1074</v>
      </c>
      <c r="L265" s="552">
        <v>1660</v>
      </c>
      <c r="O265" t="s">
        <v>961</v>
      </c>
    </row>
    <row r="266" spans="1:15" hidden="1">
      <c r="A266" t="s">
        <v>942</v>
      </c>
      <c r="B266" t="s">
        <v>945</v>
      </c>
      <c r="C266" s="553">
        <v>44230</v>
      </c>
      <c r="D266" s="281" t="s">
        <v>4309</v>
      </c>
      <c r="E266" s="281" t="s">
        <v>3063</v>
      </c>
      <c r="F266" s="281">
        <v>1</v>
      </c>
      <c r="G266" s="281">
        <v>5020000000</v>
      </c>
      <c r="H266" t="s">
        <v>2039</v>
      </c>
      <c r="I266" t="s">
        <v>560</v>
      </c>
      <c r="J266" t="s">
        <v>822</v>
      </c>
      <c r="K266" t="s">
        <v>1074</v>
      </c>
      <c r="L266" s="552">
        <v>9960</v>
      </c>
      <c r="O266" t="s">
        <v>961</v>
      </c>
    </row>
    <row r="267" spans="1:15" hidden="1">
      <c r="A267" t="s">
        <v>942</v>
      </c>
      <c r="B267" t="s">
        <v>945</v>
      </c>
      <c r="C267" s="553">
        <v>44230</v>
      </c>
      <c r="D267" s="281" t="s">
        <v>4309</v>
      </c>
      <c r="E267" s="281" t="s">
        <v>3063</v>
      </c>
      <c r="F267" s="281">
        <v>1</v>
      </c>
      <c r="G267" s="281">
        <v>5020000000</v>
      </c>
      <c r="H267" t="s">
        <v>2034</v>
      </c>
      <c r="I267" t="s">
        <v>581</v>
      </c>
      <c r="J267" t="s">
        <v>822</v>
      </c>
      <c r="K267" t="s">
        <v>1074</v>
      </c>
      <c r="L267" s="552">
        <v>4980</v>
      </c>
      <c r="O267" t="s">
        <v>961</v>
      </c>
    </row>
    <row r="268" spans="1:15" hidden="1">
      <c r="A268" t="s">
        <v>942</v>
      </c>
      <c r="B268" t="s">
        <v>945</v>
      </c>
      <c r="C268" s="553">
        <v>44230</v>
      </c>
      <c r="D268" s="281" t="s">
        <v>4309</v>
      </c>
      <c r="E268" s="281" t="s">
        <v>3063</v>
      </c>
      <c r="F268" s="281">
        <v>1</v>
      </c>
      <c r="G268" s="281">
        <v>5020000000</v>
      </c>
      <c r="H268" t="s">
        <v>2035</v>
      </c>
      <c r="I268" t="s">
        <v>596</v>
      </c>
      <c r="J268" t="s">
        <v>822</v>
      </c>
      <c r="K268" t="s">
        <v>1074</v>
      </c>
      <c r="L268" s="552">
        <v>1328</v>
      </c>
      <c r="O268" t="s">
        <v>961</v>
      </c>
    </row>
    <row r="269" spans="1:15" hidden="1">
      <c r="A269" t="s">
        <v>942</v>
      </c>
      <c r="B269" t="s">
        <v>945</v>
      </c>
      <c r="C269" s="553">
        <v>44230</v>
      </c>
      <c r="D269" s="281" t="s">
        <v>4309</v>
      </c>
      <c r="E269" s="281" t="s">
        <v>3063</v>
      </c>
      <c r="F269" s="281">
        <v>1</v>
      </c>
      <c r="G269" s="281">
        <v>5020000000</v>
      </c>
      <c r="H269" t="s">
        <v>2040</v>
      </c>
      <c r="I269" t="s">
        <v>598</v>
      </c>
      <c r="J269" t="s">
        <v>822</v>
      </c>
      <c r="K269" t="s">
        <v>1074</v>
      </c>
      <c r="L269" s="552">
        <v>48416.67</v>
      </c>
      <c r="O269" t="s">
        <v>961</v>
      </c>
    </row>
    <row r="270" spans="1:15" hidden="1">
      <c r="A270" t="s">
        <v>942</v>
      </c>
      <c r="B270" t="s">
        <v>945</v>
      </c>
      <c r="C270" s="553">
        <v>44230</v>
      </c>
      <c r="D270" s="281" t="s">
        <v>4309</v>
      </c>
      <c r="E270" s="281" t="s">
        <v>3063</v>
      </c>
      <c r="F270" s="281">
        <v>1</v>
      </c>
      <c r="G270" s="281">
        <v>5020000000</v>
      </c>
      <c r="H270" t="s">
        <v>2041</v>
      </c>
      <c r="I270" t="s">
        <v>601</v>
      </c>
      <c r="J270" t="s">
        <v>822</v>
      </c>
      <c r="K270" t="s">
        <v>1074</v>
      </c>
      <c r="L270" s="552">
        <v>8300</v>
      </c>
      <c r="O270" t="s">
        <v>961</v>
      </c>
    </row>
    <row r="271" spans="1:15" hidden="1">
      <c r="A271" t="s">
        <v>942</v>
      </c>
      <c r="B271" t="s">
        <v>945</v>
      </c>
      <c r="C271" s="553">
        <v>44230</v>
      </c>
      <c r="D271" s="281" t="s">
        <v>4309</v>
      </c>
      <c r="E271" s="281" t="s">
        <v>3063</v>
      </c>
      <c r="F271" s="281">
        <v>1</v>
      </c>
      <c r="G271" s="281">
        <v>5020000000</v>
      </c>
      <c r="H271" t="s">
        <v>2011</v>
      </c>
      <c r="I271" t="s">
        <v>605</v>
      </c>
      <c r="J271" t="s">
        <v>822</v>
      </c>
      <c r="K271" t="s">
        <v>1074</v>
      </c>
      <c r="L271" s="552">
        <v>2490</v>
      </c>
      <c r="O271" t="s">
        <v>961</v>
      </c>
    </row>
    <row r="272" spans="1:15" hidden="1">
      <c r="A272" t="s">
        <v>942</v>
      </c>
      <c r="B272" t="s">
        <v>945</v>
      </c>
      <c r="C272" s="553">
        <v>44230</v>
      </c>
      <c r="D272" s="281" t="s">
        <v>4309</v>
      </c>
      <c r="E272" s="281" t="s">
        <v>3063</v>
      </c>
      <c r="F272" s="281">
        <v>1</v>
      </c>
      <c r="G272" s="281">
        <v>5020000000</v>
      </c>
      <c r="H272" t="s">
        <v>2002</v>
      </c>
      <c r="I272" t="s">
        <v>603</v>
      </c>
      <c r="J272" t="s">
        <v>822</v>
      </c>
      <c r="K272" t="s">
        <v>1074</v>
      </c>
      <c r="L272" s="552">
        <v>4980</v>
      </c>
      <c r="O272" t="s">
        <v>961</v>
      </c>
    </row>
    <row r="273" spans="1:15" hidden="1">
      <c r="A273" t="s">
        <v>942</v>
      </c>
      <c r="B273" t="s">
        <v>945</v>
      </c>
      <c r="C273" s="553">
        <v>44230</v>
      </c>
      <c r="D273" s="281" t="s">
        <v>4309</v>
      </c>
      <c r="E273" s="281" t="s">
        <v>3063</v>
      </c>
      <c r="F273" s="281">
        <v>1</v>
      </c>
      <c r="G273" s="281">
        <v>5020000000</v>
      </c>
      <c r="H273" t="s">
        <v>2003</v>
      </c>
      <c r="I273" t="s">
        <v>609</v>
      </c>
      <c r="J273" t="s">
        <v>822</v>
      </c>
      <c r="K273" t="s">
        <v>1074</v>
      </c>
      <c r="L273" s="552">
        <v>1668.3</v>
      </c>
      <c r="O273" t="s">
        <v>961</v>
      </c>
    </row>
    <row r="274" spans="1:15" hidden="1">
      <c r="A274" t="s">
        <v>942</v>
      </c>
      <c r="B274" t="s">
        <v>945</v>
      </c>
      <c r="C274" s="553">
        <v>44230</v>
      </c>
      <c r="D274" s="281" t="s">
        <v>4309</v>
      </c>
      <c r="E274" s="281" t="s">
        <v>3063</v>
      </c>
      <c r="F274" s="281">
        <v>1</v>
      </c>
      <c r="G274" s="281">
        <v>5020000000</v>
      </c>
      <c r="H274" t="s">
        <v>2012</v>
      </c>
      <c r="I274" t="s">
        <v>627</v>
      </c>
      <c r="J274" t="s">
        <v>822</v>
      </c>
      <c r="K274" t="s">
        <v>1074</v>
      </c>
      <c r="L274" s="552">
        <v>332</v>
      </c>
      <c r="O274" t="s">
        <v>961</v>
      </c>
    </row>
    <row r="275" spans="1:15" hidden="1">
      <c r="A275" t="s">
        <v>942</v>
      </c>
      <c r="B275" t="s">
        <v>945</v>
      </c>
      <c r="C275" s="553">
        <v>44230</v>
      </c>
      <c r="D275" s="281" t="s">
        <v>4309</v>
      </c>
      <c r="E275" s="281" t="s">
        <v>3063</v>
      </c>
      <c r="F275" s="281">
        <v>1</v>
      </c>
      <c r="G275" s="281">
        <v>5020000000</v>
      </c>
      <c r="H275" t="s">
        <v>2007</v>
      </c>
      <c r="I275" t="s">
        <v>638</v>
      </c>
      <c r="J275" t="s">
        <v>822</v>
      </c>
      <c r="K275" t="s">
        <v>1074</v>
      </c>
      <c r="L275" s="552">
        <v>27694.33</v>
      </c>
      <c r="O275" t="s">
        <v>961</v>
      </c>
    </row>
    <row r="276" spans="1:15" hidden="1">
      <c r="A276" t="s">
        <v>942</v>
      </c>
      <c r="B276" t="s">
        <v>945</v>
      </c>
      <c r="C276" s="553">
        <v>44230</v>
      </c>
      <c r="D276" s="281" t="s">
        <v>4309</v>
      </c>
      <c r="E276" s="281" t="s">
        <v>3063</v>
      </c>
      <c r="F276" s="281">
        <v>2</v>
      </c>
      <c r="G276" s="281">
        <v>5020000000</v>
      </c>
      <c r="H276" t="s">
        <v>1997</v>
      </c>
      <c r="I276" t="s">
        <v>642</v>
      </c>
      <c r="J276" t="s">
        <v>822</v>
      </c>
      <c r="K276" t="s">
        <v>1074</v>
      </c>
      <c r="L276" s="552">
        <v>111561.41</v>
      </c>
      <c r="O276" t="s">
        <v>965</v>
      </c>
    </row>
    <row r="277" spans="1:15" hidden="1">
      <c r="A277" t="s">
        <v>942</v>
      </c>
      <c r="B277" t="s">
        <v>945</v>
      </c>
      <c r="C277" s="553">
        <v>44230</v>
      </c>
      <c r="D277" s="281" t="s">
        <v>4309</v>
      </c>
      <c r="E277" s="281" t="s">
        <v>3063</v>
      </c>
      <c r="F277" s="281">
        <v>4</v>
      </c>
      <c r="G277" s="281">
        <v>5020000000</v>
      </c>
      <c r="H277" t="s">
        <v>2013</v>
      </c>
      <c r="I277" t="s">
        <v>311</v>
      </c>
      <c r="J277" t="s">
        <v>822</v>
      </c>
      <c r="K277" t="s">
        <v>1074</v>
      </c>
      <c r="L277" s="552">
        <v>2766.67</v>
      </c>
      <c r="O277" t="s">
        <v>971</v>
      </c>
    </row>
    <row r="278" spans="1:15" hidden="1">
      <c r="A278" t="s">
        <v>942</v>
      </c>
      <c r="B278" t="s">
        <v>945</v>
      </c>
      <c r="C278" s="553">
        <v>44230</v>
      </c>
      <c r="D278" s="281" t="s">
        <v>4309</v>
      </c>
      <c r="E278" s="281" t="s">
        <v>3063</v>
      </c>
      <c r="F278" s="281">
        <v>3</v>
      </c>
      <c r="G278" s="281">
        <v>5020000000</v>
      </c>
      <c r="H278" t="s">
        <v>2014</v>
      </c>
      <c r="I278" t="s">
        <v>651</v>
      </c>
      <c r="J278" t="s">
        <v>822</v>
      </c>
      <c r="K278" t="s">
        <v>1074</v>
      </c>
      <c r="L278" s="552">
        <v>2766.67</v>
      </c>
      <c r="O278" t="s">
        <v>968</v>
      </c>
    </row>
    <row r="279" spans="1:15" hidden="1">
      <c r="A279" t="s">
        <v>942</v>
      </c>
      <c r="B279" t="s">
        <v>945</v>
      </c>
      <c r="C279" s="553">
        <v>44230</v>
      </c>
      <c r="D279" s="281" t="s">
        <v>4309</v>
      </c>
      <c r="E279" s="281" t="s">
        <v>3063</v>
      </c>
      <c r="F279" s="281">
        <v>3</v>
      </c>
      <c r="G279" s="281">
        <v>5020000000</v>
      </c>
      <c r="H279" t="s">
        <v>2015</v>
      </c>
      <c r="I279" t="s">
        <v>662</v>
      </c>
      <c r="J279" t="s">
        <v>822</v>
      </c>
      <c r="K279" t="s">
        <v>1074</v>
      </c>
      <c r="L279" s="552">
        <v>1383.33</v>
      </c>
      <c r="O279" t="s">
        <v>968</v>
      </c>
    </row>
    <row r="280" spans="1:15" hidden="1">
      <c r="A280" t="s">
        <v>942</v>
      </c>
      <c r="B280" t="s">
        <v>945</v>
      </c>
      <c r="C280" s="553">
        <v>44230</v>
      </c>
      <c r="D280" s="281" t="s">
        <v>4309</v>
      </c>
      <c r="E280" s="281" t="s">
        <v>3063</v>
      </c>
      <c r="F280" s="281">
        <v>1</v>
      </c>
      <c r="G280" s="281">
        <v>5020000000</v>
      </c>
      <c r="H280" t="s">
        <v>2016</v>
      </c>
      <c r="I280" t="s">
        <v>319</v>
      </c>
      <c r="J280" t="s">
        <v>822</v>
      </c>
      <c r="K280" t="s">
        <v>1074</v>
      </c>
      <c r="L280" s="552">
        <v>11066.67</v>
      </c>
      <c r="O280" t="s">
        <v>961</v>
      </c>
    </row>
    <row r="281" spans="1:15" hidden="1">
      <c r="A281" t="s">
        <v>942</v>
      </c>
      <c r="B281" t="s">
        <v>945</v>
      </c>
      <c r="C281" s="553">
        <v>44230</v>
      </c>
      <c r="D281" s="281" t="s">
        <v>4309</v>
      </c>
      <c r="E281" s="281" t="s">
        <v>3063</v>
      </c>
      <c r="F281" s="281">
        <v>1</v>
      </c>
      <c r="G281" s="281">
        <v>5020000000</v>
      </c>
      <c r="H281" t="s">
        <v>2017</v>
      </c>
      <c r="I281" t="s">
        <v>665</v>
      </c>
      <c r="J281" t="s">
        <v>822</v>
      </c>
      <c r="K281" t="s">
        <v>1074</v>
      </c>
      <c r="L281" s="552">
        <v>691.67</v>
      </c>
      <c r="O281" t="s">
        <v>961</v>
      </c>
    </row>
    <row r="282" spans="1:15" hidden="1">
      <c r="A282" t="s">
        <v>942</v>
      </c>
      <c r="B282" t="s">
        <v>945</v>
      </c>
      <c r="C282" s="553">
        <v>44230</v>
      </c>
      <c r="D282" s="281" t="s">
        <v>4309</v>
      </c>
      <c r="E282" s="281" t="s">
        <v>3063</v>
      </c>
      <c r="F282" s="281">
        <v>1</v>
      </c>
      <c r="G282" s="281">
        <v>5020000000</v>
      </c>
      <c r="H282" t="s">
        <v>2001</v>
      </c>
      <c r="I282" t="s">
        <v>669</v>
      </c>
      <c r="J282" t="s">
        <v>822</v>
      </c>
      <c r="K282" t="s">
        <v>1074</v>
      </c>
      <c r="L282" s="552">
        <v>1383.33</v>
      </c>
      <c r="O282" t="s">
        <v>961</v>
      </c>
    </row>
    <row r="283" spans="1:15" hidden="1">
      <c r="A283" t="s">
        <v>942</v>
      </c>
      <c r="B283" t="s">
        <v>945</v>
      </c>
      <c r="C283" s="553">
        <v>44230</v>
      </c>
      <c r="D283" s="281" t="s">
        <v>4309</v>
      </c>
      <c r="E283" s="281" t="s">
        <v>3063</v>
      </c>
      <c r="F283" s="281">
        <v>1</v>
      </c>
      <c r="G283" s="281">
        <v>5020000000</v>
      </c>
      <c r="H283" t="s">
        <v>2018</v>
      </c>
      <c r="I283" t="s">
        <v>671</v>
      </c>
      <c r="J283" t="s">
        <v>822</v>
      </c>
      <c r="K283" t="s">
        <v>1074</v>
      </c>
      <c r="L283" s="552">
        <v>3043.33</v>
      </c>
      <c r="O283" t="s">
        <v>961</v>
      </c>
    </row>
    <row r="284" spans="1:15" hidden="1">
      <c r="A284" t="s">
        <v>942</v>
      </c>
      <c r="B284" t="s">
        <v>945</v>
      </c>
      <c r="C284" s="553">
        <v>44230</v>
      </c>
      <c r="D284" s="281" t="s">
        <v>4309</v>
      </c>
      <c r="E284" s="281" t="s">
        <v>3063</v>
      </c>
      <c r="F284" s="281">
        <v>1</v>
      </c>
      <c r="G284" s="281">
        <v>5020000000</v>
      </c>
      <c r="H284" t="s">
        <v>2000</v>
      </c>
      <c r="I284" t="s">
        <v>683</v>
      </c>
      <c r="J284" t="s">
        <v>822</v>
      </c>
      <c r="K284" t="s">
        <v>1074</v>
      </c>
      <c r="L284" s="552">
        <v>82446.67</v>
      </c>
      <c r="O284" t="s">
        <v>961</v>
      </c>
    </row>
    <row r="285" spans="1:15" hidden="1">
      <c r="A285" t="s">
        <v>942</v>
      </c>
      <c r="B285" t="s">
        <v>945</v>
      </c>
      <c r="C285" s="553">
        <v>44230</v>
      </c>
      <c r="D285" s="281" t="s">
        <v>4309</v>
      </c>
      <c r="E285" s="281" t="s">
        <v>3063</v>
      </c>
      <c r="F285" s="281">
        <v>1</v>
      </c>
      <c r="G285" s="281">
        <v>5020000000</v>
      </c>
      <c r="H285" t="s">
        <v>2010</v>
      </c>
      <c r="I285" t="s">
        <v>693</v>
      </c>
      <c r="J285" t="s">
        <v>822</v>
      </c>
      <c r="K285" t="s">
        <v>1074</v>
      </c>
      <c r="L285" s="552">
        <v>1660</v>
      </c>
      <c r="O285" t="s">
        <v>961</v>
      </c>
    </row>
    <row r="286" spans="1:15" hidden="1">
      <c r="A286" t="s">
        <v>942</v>
      </c>
      <c r="B286" t="s">
        <v>945</v>
      </c>
      <c r="C286" s="553">
        <v>44230</v>
      </c>
      <c r="D286" s="281" t="s">
        <v>4309</v>
      </c>
      <c r="E286" s="281" t="s">
        <v>3063</v>
      </c>
      <c r="F286" s="281">
        <v>1</v>
      </c>
      <c r="G286" s="281">
        <v>5020000000</v>
      </c>
      <c r="H286" t="s">
        <v>2037</v>
      </c>
      <c r="I286" t="s">
        <v>555</v>
      </c>
      <c r="J286" t="s">
        <v>822</v>
      </c>
      <c r="K286" t="s">
        <v>1074</v>
      </c>
      <c r="L286" s="552">
        <v>1383.33</v>
      </c>
      <c r="O286" t="s">
        <v>961</v>
      </c>
    </row>
    <row r="287" spans="1:15" hidden="1">
      <c r="A287" t="s">
        <v>942</v>
      </c>
      <c r="B287" t="s">
        <v>945</v>
      </c>
      <c r="C287" s="553">
        <v>44230</v>
      </c>
      <c r="D287" s="281" t="s">
        <v>4309</v>
      </c>
      <c r="E287" s="281" t="s">
        <v>3063</v>
      </c>
      <c r="F287" s="281">
        <v>1</v>
      </c>
      <c r="G287" s="281">
        <v>5020000000</v>
      </c>
      <c r="H287" t="s">
        <v>2032</v>
      </c>
      <c r="I287" t="s">
        <v>565</v>
      </c>
      <c r="J287" t="s">
        <v>822</v>
      </c>
      <c r="K287" t="s">
        <v>1074</v>
      </c>
      <c r="L287" s="552">
        <v>6916.67</v>
      </c>
      <c r="O287" t="s">
        <v>961</v>
      </c>
    </row>
    <row r="288" spans="1:15" hidden="1">
      <c r="A288" t="s">
        <v>942</v>
      </c>
      <c r="B288" t="s">
        <v>945</v>
      </c>
      <c r="C288" s="553">
        <v>44230</v>
      </c>
      <c r="D288" s="281" t="s">
        <v>4309</v>
      </c>
      <c r="E288" s="281" t="s">
        <v>3063</v>
      </c>
      <c r="F288" s="281">
        <v>1</v>
      </c>
      <c r="G288" s="281">
        <v>5020000000</v>
      </c>
      <c r="H288" t="s">
        <v>1996</v>
      </c>
      <c r="I288" t="s">
        <v>676</v>
      </c>
      <c r="J288" t="s">
        <v>822</v>
      </c>
      <c r="K288" t="s">
        <v>1074</v>
      </c>
      <c r="L288" s="552">
        <v>1383.33</v>
      </c>
      <c r="O288" t="s">
        <v>961</v>
      </c>
    </row>
    <row r="289" spans="1:15" hidden="1">
      <c r="A289" t="s">
        <v>942</v>
      </c>
      <c r="B289" t="s">
        <v>945</v>
      </c>
      <c r="C289" s="553">
        <v>44230</v>
      </c>
      <c r="D289" s="281" t="s">
        <v>4309</v>
      </c>
      <c r="E289" s="281" t="s">
        <v>3063</v>
      </c>
      <c r="F289" s="281">
        <v>1</v>
      </c>
      <c r="G289" s="281">
        <v>5020000000</v>
      </c>
      <c r="H289" t="s">
        <v>2005</v>
      </c>
      <c r="I289" t="s">
        <v>678</v>
      </c>
      <c r="J289" t="s">
        <v>822</v>
      </c>
      <c r="K289" t="s">
        <v>1074</v>
      </c>
      <c r="L289" s="552">
        <v>3375.33</v>
      </c>
      <c r="O289" t="s">
        <v>961</v>
      </c>
    </row>
    <row r="290" spans="1:15" hidden="1">
      <c r="A290" t="s">
        <v>942</v>
      </c>
      <c r="B290" t="s">
        <v>945</v>
      </c>
      <c r="C290" s="553">
        <v>44230</v>
      </c>
      <c r="D290" s="281" t="s">
        <v>4309</v>
      </c>
      <c r="E290" s="281" t="s">
        <v>3063</v>
      </c>
      <c r="F290" s="281">
        <v>3</v>
      </c>
      <c r="G290" s="281">
        <v>5020000000</v>
      </c>
      <c r="H290" t="s">
        <v>2009</v>
      </c>
      <c r="I290" t="s">
        <v>680</v>
      </c>
      <c r="J290" t="s">
        <v>822</v>
      </c>
      <c r="K290" t="s">
        <v>1074</v>
      </c>
      <c r="L290" s="552">
        <v>3320</v>
      </c>
      <c r="O290" t="s">
        <v>968</v>
      </c>
    </row>
    <row r="291" spans="1:15" hidden="1">
      <c r="A291" t="s">
        <v>942</v>
      </c>
      <c r="B291" t="s">
        <v>945</v>
      </c>
      <c r="C291" s="553">
        <v>44230</v>
      </c>
      <c r="D291" s="281" t="s">
        <v>4309</v>
      </c>
      <c r="E291" s="281" t="s">
        <v>3063</v>
      </c>
      <c r="F291" s="281">
        <v>1</v>
      </c>
      <c r="G291" s="281">
        <v>5020000000</v>
      </c>
      <c r="H291" t="s">
        <v>1999</v>
      </c>
      <c r="I291" t="s">
        <v>672</v>
      </c>
      <c r="J291" t="s">
        <v>822</v>
      </c>
      <c r="K291" t="s">
        <v>1074</v>
      </c>
      <c r="L291" s="552">
        <v>8468.65</v>
      </c>
      <c r="O291" t="s">
        <v>961</v>
      </c>
    </row>
    <row r="292" spans="1:15" hidden="1">
      <c r="A292" t="s">
        <v>942</v>
      </c>
      <c r="B292" t="s">
        <v>945</v>
      </c>
      <c r="C292" s="553">
        <v>44230</v>
      </c>
      <c r="D292" s="281" t="s">
        <v>4310</v>
      </c>
      <c r="E292" s="281" t="s">
        <v>3065</v>
      </c>
      <c r="F292" s="281">
        <v>1</v>
      </c>
      <c r="G292" s="281">
        <v>5020000000</v>
      </c>
      <c r="H292" t="s">
        <v>2038</v>
      </c>
      <c r="I292" t="s">
        <v>567</v>
      </c>
      <c r="J292" t="s">
        <v>823</v>
      </c>
      <c r="K292" t="s">
        <v>1074</v>
      </c>
      <c r="L292" s="552">
        <v>996</v>
      </c>
      <c r="O292" t="s">
        <v>961</v>
      </c>
    </row>
    <row r="293" spans="1:15" hidden="1">
      <c r="A293" t="s">
        <v>942</v>
      </c>
      <c r="B293" t="s">
        <v>945</v>
      </c>
      <c r="C293" s="553">
        <v>44230</v>
      </c>
      <c r="D293" s="281" t="s">
        <v>4310</v>
      </c>
      <c r="E293" s="281" t="s">
        <v>3065</v>
      </c>
      <c r="F293" s="281">
        <v>1</v>
      </c>
      <c r="G293" s="281">
        <v>5020000000</v>
      </c>
      <c r="H293" t="s">
        <v>2039</v>
      </c>
      <c r="I293" t="s">
        <v>560</v>
      </c>
      <c r="J293" t="s">
        <v>823</v>
      </c>
      <c r="K293" t="s">
        <v>1074</v>
      </c>
      <c r="L293" s="552">
        <v>7470</v>
      </c>
      <c r="O293" t="s">
        <v>961</v>
      </c>
    </row>
    <row r="294" spans="1:15" hidden="1">
      <c r="A294" t="s">
        <v>942</v>
      </c>
      <c r="B294" t="s">
        <v>945</v>
      </c>
      <c r="C294" s="553">
        <v>44230</v>
      </c>
      <c r="D294" s="281" t="s">
        <v>4310</v>
      </c>
      <c r="E294" s="281" t="s">
        <v>3065</v>
      </c>
      <c r="F294" s="281">
        <v>1</v>
      </c>
      <c r="G294" s="281">
        <v>5020000000</v>
      </c>
      <c r="H294" t="s">
        <v>2034</v>
      </c>
      <c r="I294" t="s">
        <v>581</v>
      </c>
      <c r="J294" t="s">
        <v>823</v>
      </c>
      <c r="K294" t="s">
        <v>1074</v>
      </c>
      <c r="L294" s="552">
        <v>4150</v>
      </c>
      <c r="O294" t="s">
        <v>961</v>
      </c>
    </row>
    <row r="295" spans="1:15" hidden="1">
      <c r="A295" t="s">
        <v>942</v>
      </c>
      <c r="B295" t="s">
        <v>945</v>
      </c>
      <c r="C295" s="553">
        <v>44230</v>
      </c>
      <c r="D295" s="281" t="s">
        <v>4310</v>
      </c>
      <c r="E295" s="281" t="s">
        <v>3065</v>
      </c>
      <c r="F295" s="281">
        <v>1</v>
      </c>
      <c r="G295" s="281">
        <v>5020000000</v>
      </c>
      <c r="H295" t="s">
        <v>2035</v>
      </c>
      <c r="I295" t="s">
        <v>596</v>
      </c>
      <c r="J295" t="s">
        <v>823</v>
      </c>
      <c r="K295" t="s">
        <v>1074</v>
      </c>
      <c r="L295" s="552">
        <v>1660</v>
      </c>
      <c r="O295" t="s">
        <v>961</v>
      </c>
    </row>
    <row r="296" spans="1:15" hidden="1">
      <c r="A296" t="s">
        <v>942</v>
      </c>
      <c r="B296" t="s">
        <v>945</v>
      </c>
      <c r="C296" s="553">
        <v>44230</v>
      </c>
      <c r="D296" s="281" t="s">
        <v>4310</v>
      </c>
      <c r="E296" s="281" t="s">
        <v>3065</v>
      </c>
      <c r="F296" s="281">
        <v>1</v>
      </c>
      <c r="G296" s="281">
        <v>5020000000</v>
      </c>
      <c r="H296" t="s">
        <v>2040</v>
      </c>
      <c r="I296" t="s">
        <v>598</v>
      </c>
      <c r="J296" t="s">
        <v>823</v>
      </c>
      <c r="K296" t="s">
        <v>1074</v>
      </c>
      <c r="L296" s="552">
        <v>6640</v>
      </c>
      <c r="O296" t="s">
        <v>961</v>
      </c>
    </row>
    <row r="297" spans="1:15" hidden="1">
      <c r="A297" t="s">
        <v>942</v>
      </c>
      <c r="B297" t="s">
        <v>945</v>
      </c>
      <c r="C297" s="553">
        <v>44230</v>
      </c>
      <c r="D297" s="281" t="s">
        <v>4310</v>
      </c>
      <c r="E297" s="281" t="s">
        <v>3065</v>
      </c>
      <c r="F297" s="281">
        <v>1</v>
      </c>
      <c r="G297" s="281">
        <v>5020000000</v>
      </c>
      <c r="H297" t="s">
        <v>2041</v>
      </c>
      <c r="I297" t="s">
        <v>601</v>
      </c>
      <c r="J297" t="s">
        <v>823</v>
      </c>
      <c r="K297" t="s">
        <v>1074</v>
      </c>
      <c r="L297" s="552">
        <v>3320</v>
      </c>
      <c r="O297" t="s">
        <v>961</v>
      </c>
    </row>
    <row r="298" spans="1:15" hidden="1">
      <c r="A298" t="s">
        <v>942</v>
      </c>
      <c r="B298" t="s">
        <v>945</v>
      </c>
      <c r="C298" s="553">
        <v>44230</v>
      </c>
      <c r="D298" s="281" t="s">
        <v>4310</v>
      </c>
      <c r="E298" s="281" t="s">
        <v>3065</v>
      </c>
      <c r="F298" s="281">
        <v>1</v>
      </c>
      <c r="G298" s="281">
        <v>5020000000</v>
      </c>
      <c r="H298" t="s">
        <v>2011</v>
      </c>
      <c r="I298" t="s">
        <v>605</v>
      </c>
      <c r="J298" t="s">
        <v>823</v>
      </c>
      <c r="K298" t="s">
        <v>1074</v>
      </c>
      <c r="L298" s="552">
        <v>1660</v>
      </c>
      <c r="O298" t="s">
        <v>961</v>
      </c>
    </row>
    <row r="299" spans="1:15" hidden="1">
      <c r="A299" t="s">
        <v>942</v>
      </c>
      <c r="B299" t="s">
        <v>945</v>
      </c>
      <c r="C299" s="553">
        <v>44230</v>
      </c>
      <c r="D299" s="281" t="s">
        <v>4310</v>
      </c>
      <c r="E299" s="281" t="s">
        <v>3065</v>
      </c>
      <c r="F299" s="281">
        <v>1</v>
      </c>
      <c r="G299" s="281">
        <v>5020000000</v>
      </c>
      <c r="H299" t="s">
        <v>2002</v>
      </c>
      <c r="I299" t="s">
        <v>603</v>
      </c>
      <c r="J299" t="s">
        <v>823</v>
      </c>
      <c r="K299" t="s">
        <v>1074</v>
      </c>
      <c r="L299" s="552">
        <v>2988</v>
      </c>
      <c r="O299" t="s">
        <v>961</v>
      </c>
    </row>
    <row r="300" spans="1:15" hidden="1">
      <c r="A300" t="s">
        <v>942</v>
      </c>
      <c r="B300" t="s">
        <v>945</v>
      </c>
      <c r="C300" s="553">
        <v>44230</v>
      </c>
      <c r="D300" s="281" t="s">
        <v>4310</v>
      </c>
      <c r="E300" s="281" t="s">
        <v>3065</v>
      </c>
      <c r="F300" s="281">
        <v>1</v>
      </c>
      <c r="G300" s="281">
        <v>5020000000</v>
      </c>
      <c r="H300" t="s">
        <v>2003</v>
      </c>
      <c r="I300" t="s">
        <v>609</v>
      </c>
      <c r="J300" t="s">
        <v>823</v>
      </c>
      <c r="K300" t="s">
        <v>1074</v>
      </c>
      <c r="L300" s="552">
        <v>581</v>
      </c>
      <c r="O300" t="s">
        <v>961</v>
      </c>
    </row>
    <row r="301" spans="1:15" hidden="1">
      <c r="A301" t="s">
        <v>942</v>
      </c>
      <c r="B301" t="s">
        <v>945</v>
      </c>
      <c r="C301" s="553">
        <v>44230</v>
      </c>
      <c r="D301" s="281" t="s">
        <v>4310</v>
      </c>
      <c r="E301" s="281" t="s">
        <v>3065</v>
      </c>
      <c r="F301" s="281">
        <v>1</v>
      </c>
      <c r="G301" s="281">
        <v>5020000000</v>
      </c>
      <c r="H301" t="s">
        <v>2012</v>
      </c>
      <c r="I301" t="s">
        <v>627</v>
      </c>
      <c r="J301" t="s">
        <v>823</v>
      </c>
      <c r="K301" t="s">
        <v>1074</v>
      </c>
      <c r="L301" s="552">
        <v>1590.83</v>
      </c>
      <c r="O301" t="s">
        <v>961</v>
      </c>
    </row>
    <row r="302" spans="1:15" hidden="1">
      <c r="A302" t="s">
        <v>942</v>
      </c>
      <c r="B302" t="s">
        <v>945</v>
      </c>
      <c r="C302" s="553">
        <v>44230</v>
      </c>
      <c r="D302" s="281" t="s">
        <v>4310</v>
      </c>
      <c r="E302" s="281" t="s">
        <v>3065</v>
      </c>
      <c r="F302" s="281">
        <v>1</v>
      </c>
      <c r="G302" s="281">
        <v>5020000000</v>
      </c>
      <c r="H302" t="s">
        <v>2007</v>
      </c>
      <c r="I302" t="s">
        <v>638</v>
      </c>
      <c r="J302" t="s">
        <v>823</v>
      </c>
      <c r="K302" t="s">
        <v>1074</v>
      </c>
      <c r="L302" s="552">
        <v>15825.33</v>
      </c>
      <c r="O302" t="s">
        <v>961</v>
      </c>
    </row>
    <row r="303" spans="1:15" hidden="1">
      <c r="A303" t="s">
        <v>942</v>
      </c>
      <c r="B303" t="s">
        <v>945</v>
      </c>
      <c r="C303" s="553">
        <v>44230</v>
      </c>
      <c r="D303" s="281" t="s">
        <v>4310</v>
      </c>
      <c r="E303" s="281" t="s">
        <v>3065</v>
      </c>
      <c r="F303" s="281">
        <v>2</v>
      </c>
      <c r="G303" s="281">
        <v>5020000000</v>
      </c>
      <c r="H303" t="s">
        <v>1997</v>
      </c>
      <c r="I303" t="s">
        <v>642</v>
      </c>
      <c r="J303" t="s">
        <v>823</v>
      </c>
      <c r="K303" t="s">
        <v>1074</v>
      </c>
      <c r="L303" s="552">
        <v>86564.57</v>
      </c>
      <c r="O303" t="s">
        <v>965</v>
      </c>
    </row>
    <row r="304" spans="1:15" hidden="1">
      <c r="A304" t="s">
        <v>942</v>
      </c>
      <c r="B304" t="s">
        <v>945</v>
      </c>
      <c r="C304" s="553">
        <v>44230</v>
      </c>
      <c r="D304" s="281" t="s">
        <v>4310</v>
      </c>
      <c r="E304" s="281" t="s">
        <v>3065</v>
      </c>
      <c r="F304" s="281">
        <v>4</v>
      </c>
      <c r="G304" s="281">
        <v>5020000000</v>
      </c>
      <c r="H304" t="s">
        <v>2013</v>
      </c>
      <c r="I304" t="s">
        <v>311</v>
      </c>
      <c r="J304" t="s">
        <v>823</v>
      </c>
      <c r="K304" t="s">
        <v>1074</v>
      </c>
      <c r="L304" s="552">
        <v>6916.67</v>
      </c>
      <c r="O304" t="s">
        <v>971</v>
      </c>
    </row>
    <row r="305" spans="1:15" hidden="1">
      <c r="A305" t="s">
        <v>942</v>
      </c>
      <c r="B305" t="s">
        <v>945</v>
      </c>
      <c r="C305" s="553">
        <v>44230</v>
      </c>
      <c r="D305" s="281" t="s">
        <v>4310</v>
      </c>
      <c r="E305" s="281" t="s">
        <v>3065</v>
      </c>
      <c r="F305" s="281">
        <v>3</v>
      </c>
      <c r="G305" s="281">
        <v>5020000000</v>
      </c>
      <c r="H305" t="s">
        <v>2014</v>
      </c>
      <c r="I305" t="s">
        <v>651</v>
      </c>
      <c r="J305" t="s">
        <v>823</v>
      </c>
      <c r="K305" t="s">
        <v>1074</v>
      </c>
      <c r="L305" s="552">
        <v>2766.67</v>
      </c>
      <c r="O305" t="s">
        <v>968</v>
      </c>
    </row>
    <row r="306" spans="1:15" hidden="1">
      <c r="A306" t="s">
        <v>942</v>
      </c>
      <c r="B306" t="s">
        <v>945</v>
      </c>
      <c r="C306" s="553">
        <v>44230</v>
      </c>
      <c r="D306" s="281" t="s">
        <v>4310</v>
      </c>
      <c r="E306" s="281" t="s">
        <v>3065</v>
      </c>
      <c r="F306" s="281">
        <v>3</v>
      </c>
      <c r="G306" s="281">
        <v>5020000000</v>
      </c>
      <c r="H306" t="s">
        <v>2015</v>
      </c>
      <c r="I306" t="s">
        <v>662</v>
      </c>
      <c r="J306" t="s">
        <v>823</v>
      </c>
      <c r="K306" t="s">
        <v>1074</v>
      </c>
      <c r="L306" s="552">
        <v>1383.33</v>
      </c>
      <c r="O306" t="s">
        <v>968</v>
      </c>
    </row>
    <row r="307" spans="1:15" hidden="1">
      <c r="A307" t="s">
        <v>942</v>
      </c>
      <c r="B307" t="s">
        <v>945</v>
      </c>
      <c r="C307" s="553">
        <v>44230</v>
      </c>
      <c r="D307" s="281" t="s">
        <v>4310</v>
      </c>
      <c r="E307" s="281" t="s">
        <v>3065</v>
      </c>
      <c r="F307" s="281">
        <v>1</v>
      </c>
      <c r="G307" s="281">
        <v>5020000000</v>
      </c>
      <c r="H307" t="s">
        <v>2016</v>
      </c>
      <c r="I307" t="s">
        <v>319</v>
      </c>
      <c r="J307" t="s">
        <v>823</v>
      </c>
      <c r="K307" t="s">
        <v>1074</v>
      </c>
      <c r="L307" s="552">
        <v>20750</v>
      </c>
      <c r="O307" t="s">
        <v>961</v>
      </c>
    </row>
    <row r="308" spans="1:15" hidden="1">
      <c r="A308" t="s">
        <v>942</v>
      </c>
      <c r="B308" t="s">
        <v>945</v>
      </c>
      <c r="C308" s="553">
        <v>44230</v>
      </c>
      <c r="D308" s="281" t="s">
        <v>4310</v>
      </c>
      <c r="E308" s="281" t="s">
        <v>3065</v>
      </c>
      <c r="F308" s="281">
        <v>1</v>
      </c>
      <c r="G308" s="281">
        <v>5020000000</v>
      </c>
      <c r="H308" t="s">
        <v>2017</v>
      </c>
      <c r="I308" t="s">
        <v>665</v>
      </c>
      <c r="J308" t="s">
        <v>823</v>
      </c>
      <c r="K308" t="s">
        <v>1074</v>
      </c>
      <c r="L308" s="552">
        <v>691.67</v>
      </c>
      <c r="O308" t="s">
        <v>961</v>
      </c>
    </row>
    <row r="309" spans="1:15" hidden="1">
      <c r="A309" t="s">
        <v>942</v>
      </c>
      <c r="B309" t="s">
        <v>945</v>
      </c>
      <c r="C309" s="553">
        <v>44230</v>
      </c>
      <c r="D309" s="281" t="s">
        <v>4310</v>
      </c>
      <c r="E309" s="281" t="s">
        <v>3065</v>
      </c>
      <c r="F309" s="281">
        <v>1</v>
      </c>
      <c r="G309" s="281">
        <v>5020000000</v>
      </c>
      <c r="H309" t="s">
        <v>2001</v>
      </c>
      <c r="I309" t="s">
        <v>669</v>
      </c>
      <c r="J309" t="s">
        <v>823</v>
      </c>
      <c r="K309" t="s">
        <v>1074</v>
      </c>
      <c r="L309" s="552">
        <v>1746.46</v>
      </c>
      <c r="O309" t="s">
        <v>961</v>
      </c>
    </row>
    <row r="310" spans="1:15" hidden="1">
      <c r="A310" t="s">
        <v>942</v>
      </c>
      <c r="B310" t="s">
        <v>945</v>
      </c>
      <c r="C310" s="553">
        <v>44230</v>
      </c>
      <c r="D310" s="281" t="s">
        <v>4310</v>
      </c>
      <c r="E310" s="281" t="s">
        <v>3065</v>
      </c>
      <c r="F310" s="281">
        <v>1</v>
      </c>
      <c r="G310" s="281">
        <v>5020000000</v>
      </c>
      <c r="H310" t="s">
        <v>2018</v>
      </c>
      <c r="I310" t="s">
        <v>671</v>
      </c>
      <c r="J310" t="s">
        <v>823</v>
      </c>
      <c r="K310" t="s">
        <v>1074</v>
      </c>
      <c r="L310" s="552">
        <v>3043.33</v>
      </c>
      <c r="O310" t="s">
        <v>961</v>
      </c>
    </row>
    <row r="311" spans="1:15" hidden="1">
      <c r="A311" t="s">
        <v>942</v>
      </c>
      <c r="B311" t="s">
        <v>945</v>
      </c>
      <c r="C311" s="553">
        <v>44230</v>
      </c>
      <c r="D311" s="281" t="s">
        <v>4310</v>
      </c>
      <c r="E311" s="281" t="s">
        <v>3065</v>
      </c>
      <c r="F311" s="281">
        <v>1</v>
      </c>
      <c r="G311" s="281">
        <v>5020000000</v>
      </c>
      <c r="H311" t="s">
        <v>2000</v>
      </c>
      <c r="I311" t="s">
        <v>683</v>
      </c>
      <c r="J311" t="s">
        <v>823</v>
      </c>
      <c r="K311" t="s">
        <v>1074</v>
      </c>
      <c r="L311" s="552">
        <v>36520</v>
      </c>
      <c r="O311" t="s">
        <v>961</v>
      </c>
    </row>
    <row r="312" spans="1:15" hidden="1">
      <c r="A312" t="s">
        <v>942</v>
      </c>
      <c r="B312" t="s">
        <v>945</v>
      </c>
      <c r="C312" s="553">
        <v>44230</v>
      </c>
      <c r="D312" s="281" t="s">
        <v>4310</v>
      </c>
      <c r="E312" s="281" t="s">
        <v>3065</v>
      </c>
      <c r="F312" s="281">
        <v>1</v>
      </c>
      <c r="G312" s="281">
        <v>5020000000</v>
      </c>
      <c r="H312" t="s">
        <v>2037</v>
      </c>
      <c r="I312" t="s">
        <v>555</v>
      </c>
      <c r="J312" t="s">
        <v>823</v>
      </c>
      <c r="K312" t="s">
        <v>1074</v>
      </c>
      <c r="L312" s="552">
        <v>1383.33</v>
      </c>
      <c r="O312" t="s">
        <v>961</v>
      </c>
    </row>
    <row r="313" spans="1:15" hidden="1">
      <c r="A313" t="s">
        <v>942</v>
      </c>
      <c r="B313" t="s">
        <v>945</v>
      </c>
      <c r="C313" s="553">
        <v>44230</v>
      </c>
      <c r="D313" s="281" t="s">
        <v>4310</v>
      </c>
      <c r="E313" s="281" t="s">
        <v>3065</v>
      </c>
      <c r="F313" s="281">
        <v>1</v>
      </c>
      <c r="G313" s="281">
        <v>5020000000</v>
      </c>
      <c r="H313" t="s">
        <v>2032</v>
      </c>
      <c r="I313" t="s">
        <v>565</v>
      </c>
      <c r="J313" t="s">
        <v>823</v>
      </c>
      <c r="K313" t="s">
        <v>1074</v>
      </c>
      <c r="L313" s="552">
        <v>6916.67</v>
      </c>
      <c r="O313" t="s">
        <v>961</v>
      </c>
    </row>
    <row r="314" spans="1:15" hidden="1">
      <c r="A314" t="s">
        <v>942</v>
      </c>
      <c r="B314" t="s">
        <v>945</v>
      </c>
      <c r="C314" s="553">
        <v>44230</v>
      </c>
      <c r="D314" s="281" t="s">
        <v>4310</v>
      </c>
      <c r="E314" s="281" t="s">
        <v>3065</v>
      </c>
      <c r="F314" s="281">
        <v>1</v>
      </c>
      <c r="G314" s="281">
        <v>5020000000</v>
      </c>
      <c r="H314" t="s">
        <v>1996</v>
      </c>
      <c r="I314" t="s">
        <v>676</v>
      </c>
      <c r="J314" t="s">
        <v>823</v>
      </c>
      <c r="K314" t="s">
        <v>1074</v>
      </c>
      <c r="L314" s="552">
        <v>691.67</v>
      </c>
      <c r="O314" t="s">
        <v>961</v>
      </c>
    </row>
    <row r="315" spans="1:15" hidden="1">
      <c r="A315" t="s">
        <v>942</v>
      </c>
      <c r="B315" t="s">
        <v>945</v>
      </c>
      <c r="C315" s="553">
        <v>44230</v>
      </c>
      <c r="D315" s="281" t="s">
        <v>4310</v>
      </c>
      <c r="E315" s="281" t="s">
        <v>3065</v>
      </c>
      <c r="F315" s="281">
        <v>1</v>
      </c>
      <c r="G315" s="281">
        <v>5020000000</v>
      </c>
      <c r="H315" t="s">
        <v>2005</v>
      </c>
      <c r="I315" t="s">
        <v>678</v>
      </c>
      <c r="J315" t="s">
        <v>823</v>
      </c>
      <c r="K315" t="s">
        <v>1074</v>
      </c>
      <c r="L315" s="552">
        <v>2877.33</v>
      </c>
      <c r="O315" t="s">
        <v>961</v>
      </c>
    </row>
    <row r="316" spans="1:15" hidden="1">
      <c r="A316" t="s">
        <v>942</v>
      </c>
      <c r="B316" t="s">
        <v>945</v>
      </c>
      <c r="C316" s="553">
        <v>44230</v>
      </c>
      <c r="D316" s="281" t="s">
        <v>4310</v>
      </c>
      <c r="E316" s="281" t="s">
        <v>3065</v>
      </c>
      <c r="F316" s="281">
        <v>3</v>
      </c>
      <c r="G316" s="281">
        <v>5020000000</v>
      </c>
      <c r="H316" t="s">
        <v>2009</v>
      </c>
      <c r="I316" t="s">
        <v>680</v>
      </c>
      <c r="J316" t="s">
        <v>823</v>
      </c>
      <c r="K316" t="s">
        <v>1074</v>
      </c>
      <c r="L316" s="552">
        <v>5533.33</v>
      </c>
      <c r="O316" t="s">
        <v>968</v>
      </c>
    </row>
    <row r="317" spans="1:15" hidden="1">
      <c r="A317" t="s">
        <v>942</v>
      </c>
      <c r="B317" t="s">
        <v>945</v>
      </c>
      <c r="C317" s="553">
        <v>44230</v>
      </c>
      <c r="D317" s="281" t="s">
        <v>4310</v>
      </c>
      <c r="E317" s="281" t="s">
        <v>3065</v>
      </c>
      <c r="F317" s="281">
        <v>1</v>
      </c>
      <c r="G317" s="281">
        <v>5020000000</v>
      </c>
      <c r="H317" t="s">
        <v>1999</v>
      </c>
      <c r="I317" t="s">
        <v>672</v>
      </c>
      <c r="J317" t="s">
        <v>823</v>
      </c>
      <c r="K317" t="s">
        <v>1074</v>
      </c>
      <c r="L317" s="552">
        <v>6301.33</v>
      </c>
      <c r="O317" t="s">
        <v>961</v>
      </c>
    </row>
    <row r="318" spans="1:15" hidden="1">
      <c r="A318" t="s">
        <v>942</v>
      </c>
      <c r="B318" t="s">
        <v>945</v>
      </c>
      <c r="C318" s="553">
        <v>44230</v>
      </c>
      <c r="D318" s="281" t="s">
        <v>4311</v>
      </c>
      <c r="E318" s="281" t="s">
        <v>3067</v>
      </c>
      <c r="F318" s="281">
        <v>4</v>
      </c>
      <c r="G318" s="281">
        <v>5020000000</v>
      </c>
      <c r="H318" t="s">
        <v>1997</v>
      </c>
      <c r="I318" t="s">
        <v>642</v>
      </c>
      <c r="J318" t="s">
        <v>1075</v>
      </c>
      <c r="K318" t="s">
        <v>1076</v>
      </c>
      <c r="L318" s="552">
        <v>33384</v>
      </c>
      <c r="O318" t="s">
        <v>971</v>
      </c>
    </row>
    <row r="319" spans="1:15" hidden="1">
      <c r="A319" t="s">
        <v>942</v>
      </c>
      <c r="B319" t="s">
        <v>945</v>
      </c>
      <c r="C319" s="553">
        <v>44230</v>
      </c>
      <c r="D319" s="281" t="s">
        <v>4311</v>
      </c>
      <c r="E319" s="281" t="s">
        <v>3067</v>
      </c>
      <c r="F319" s="281">
        <v>10</v>
      </c>
      <c r="G319" s="281">
        <v>5020000000</v>
      </c>
      <c r="H319" t="s">
        <v>1998</v>
      </c>
      <c r="I319" t="s">
        <v>633</v>
      </c>
      <c r="J319" t="s">
        <v>1075</v>
      </c>
      <c r="K319" t="s">
        <v>1076</v>
      </c>
      <c r="L319" s="552">
        <v>20564.91</v>
      </c>
      <c r="O319" t="s">
        <v>983</v>
      </c>
    </row>
    <row r="320" spans="1:15" hidden="1">
      <c r="A320" t="s">
        <v>942</v>
      </c>
      <c r="B320" t="s">
        <v>945</v>
      </c>
      <c r="C320" s="553">
        <v>44230</v>
      </c>
      <c r="D320" s="281" t="s">
        <v>4311</v>
      </c>
      <c r="E320" s="281" t="s">
        <v>3067</v>
      </c>
      <c r="F320" s="281">
        <v>1</v>
      </c>
      <c r="G320" s="281">
        <v>5020000000</v>
      </c>
      <c r="H320" t="s">
        <v>2004</v>
      </c>
      <c r="I320" t="s">
        <v>629</v>
      </c>
      <c r="J320" t="s">
        <v>1075</v>
      </c>
      <c r="K320" t="s">
        <v>1076</v>
      </c>
      <c r="L320" s="552">
        <v>5534</v>
      </c>
      <c r="O320" t="s">
        <v>961</v>
      </c>
    </row>
    <row r="321" spans="1:15" hidden="1">
      <c r="A321" t="s">
        <v>942</v>
      </c>
      <c r="B321" t="s">
        <v>945</v>
      </c>
      <c r="C321" s="553">
        <v>44230</v>
      </c>
      <c r="D321" s="281" t="s">
        <v>4311</v>
      </c>
      <c r="E321" s="281" t="s">
        <v>3067</v>
      </c>
      <c r="F321" s="281">
        <v>1</v>
      </c>
      <c r="G321" s="281">
        <v>5020000000</v>
      </c>
      <c r="H321" t="s">
        <v>1997</v>
      </c>
      <c r="I321" t="s">
        <v>642</v>
      </c>
      <c r="J321" t="s">
        <v>1075</v>
      </c>
      <c r="K321" t="s">
        <v>1076</v>
      </c>
      <c r="L321" s="552">
        <v>5534</v>
      </c>
      <c r="O321" t="s">
        <v>961</v>
      </c>
    </row>
    <row r="322" spans="1:15" hidden="1">
      <c r="A322" t="s">
        <v>942</v>
      </c>
      <c r="B322" t="s">
        <v>945</v>
      </c>
      <c r="C322" s="553">
        <v>44230</v>
      </c>
      <c r="D322" s="281" t="s">
        <v>4312</v>
      </c>
      <c r="E322" s="281" t="s">
        <v>3070</v>
      </c>
      <c r="F322" s="281">
        <v>4</v>
      </c>
      <c r="G322" s="281">
        <v>5020000000</v>
      </c>
      <c r="H322" t="s">
        <v>1998</v>
      </c>
      <c r="I322" t="s">
        <v>633</v>
      </c>
      <c r="J322" t="s">
        <v>1075</v>
      </c>
      <c r="K322" t="s">
        <v>1076</v>
      </c>
      <c r="L322" s="552">
        <v>5000</v>
      </c>
      <c r="O322" t="s">
        <v>971</v>
      </c>
    </row>
    <row r="323" spans="1:15" hidden="1">
      <c r="A323" t="s">
        <v>942</v>
      </c>
      <c r="B323" t="s">
        <v>945</v>
      </c>
      <c r="C323" s="553">
        <v>44230</v>
      </c>
      <c r="D323" s="281" t="s">
        <v>4312</v>
      </c>
      <c r="E323" s="281" t="s">
        <v>3070</v>
      </c>
      <c r="F323" s="281">
        <v>1</v>
      </c>
      <c r="G323" s="281">
        <v>5020000000</v>
      </c>
      <c r="H323" t="s">
        <v>2007</v>
      </c>
      <c r="I323" t="s">
        <v>638</v>
      </c>
      <c r="J323" t="s">
        <v>1075</v>
      </c>
      <c r="K323" t="s">
        <v>1076</v>
      </c>
      <c r="L323" s="552">
        <v>6281.33</v>
      </c>
      <c r="O323" t="s">
        <v>961</v>
      </c>
    </row>
    <row r="324" spans="1:15" hidden="1">
      <c r="A324" t="s">
        <v>942</v>
      </c>
      <c r="B324" t="s">
        <v>945</v>
      </c>
      <c r="C324" s="553">
        <v>44230</v>
      </c>
      <c r="D324" s="281" t="s">
        <v>4312</v>
      </c>
      <c r="E324" s="281" t="s">
        <v>3070</v>
      </c>
      <c r="F324" s="281">
        <v>1</v>
      </c>
      <c r="G324" s="281">
        <v>5020000000</v>
      </c>
      <c r="H324" t="s">
        <v>1997</v>
      </c>
      <c r="I324" t="s">
        <v>642</v>
      </c>
      <c r="J324" t="s">
        <v>1075</v>
      </c>
      <c r="K324" t="s">
        <v>1076</v>
      </c>
      <c r="L324" s="552">
        <v>5600</v>
      </c>
      <c r="O324" t="s">
        <v>961</v>
      </c>
    </row>
    <row r="325" spans="1:15" hidden="1">
      <c r="A325" t="s">
        <v>942</v>
      </c>
      <c r="B325" t="s">
        <v>945</v>
      </c>
      <c r="C325" s="553">
        <v>44231</v>
      </c>
      <c r="D325" s="281" t="s">
        <v>4313</v>
      </c>
      <c r="E325" s="281" t="s">
        <v>3119</v>
      </c>
      <c r="F325" s="281">
        <v>1</v>
      </c>
      <c r="G325" s="281">
        <v>5010000000</v>
      </c>
      <c r="H325" t="s">
        <v>2026</v>
      </c>
      <c r="I325" t="s">
        <v>499</v>
      </c>
      <c r="J325" t="s">
        <v>796</v>
      </c>
      <c r="K325" t="s">
        <v>1086</v>
      </c>
      <c r="L325" s="552">
        <v>3952.09</v>
      </c>
      <c r="O325" t="s">
        <v>960</v>
      </c>
    </row>
    <row r="326" spans="1:15" hidden="1">
      <c r="A326" t="s">
        <v>942</v>
      </c>
      <c r="B326" t="s">
        <v>945</v>
      </c>
      <c r="C326" s="553">
        <v>44231</v>
      </c>
      <c r="D326" s="281" t="s">
        <v>4313</v>
      </c>
      <c r="E326" s="281" t="s">
        <v>3119</v>
      </c>
      <c r="F326" s="281">
        <v>1</v>
      </c>
      <c r="G326" s="281">
        <v>5010301000</v>
      </c>
      <c r="H326" t="s">
        <v>2028</v>
      </c>
      <c r="I326" t="s">
        <v>528</v>
      </c>
      <c r="J326" t="s">
        <v>796</v>
      </c>
      <c r="K326" t="s">
        <v>1086</v>
      </c>
      <c r="L326" s="552">
        <v>242.64</v>
      </c>
      <c r="O326" t="s">
        <v>962</v>
      </c>
    </row>
    <row r="327" spans="1:15" hidden="1">
      <c r="A327" t="s">
        <v>942</v>
      </c>
      <c r="B327" t="s">
        <v>945</v>
      </c>
      <c r="C327" s="553">
        <v>44231</v>
      </c>
      <c r="D327" s="281" t="s">
        <v>4314</v>
      </c>
      <c r="E327" s="281" t="s">
        <v>3128</v>
      </c>
      <c r="F327" s="281">
        <v>9</v>
      </c>
      <c r="G327" s="281">
        <v>5020000000</v>
      </c>
      <c r="H327" t="s">
        <v>1998</v>
      </c>
      <c r="I327" t="s">
        <v>633</v>
      </c>
      <c r="J327" t="s">
        <v>843</v>
      </c>
      <c r="K327" t="s">
        <v>1076</v>
      </c>
      <c r="L327" s="552">
        <v>11158</v>
      </c>
      <c r="O327" t="s">
        <v>982</v>
      </c>
    </row>
    <row r="328" spans="1:15" hidden="1">
      <c r="A328" t="s">
        <v>942</v>
      </c>
      <c r="B328" t="s">
        <v>945</v>
      </c>
      <c r="C328" s="553">
        <v>44231</v>
      </c>
      <c r="D328" s="281" t="s">
        <v>4314</v>
      </c>
      <c r="E328" s="281" t="s">
        <v>3128</v>
      </c>
      <c r="F328" s="281">
        <v>11</v>
      </c>
      <c r="G328" s="281">
        <v>5020000000</v>
      </c>
      <c r="H328" t="s">
        <v>1998</v>
      </c>
      <c r="I328" t="s">
        <v>633</v>
      </c>
      <c r="J328" t="s">
        <v>843</v>
      </c>
      <c r="K328" t="s">
        <v>1076</v>
      </c>
      <c r="L328" s="552">
        <v>10000</v>
      </c>
      <c r="O328" t="s">
        <v>985</v>
      </c>
    </row>
    <row r="329" spans="1:15" hidden="1">
      <c r="A329" t="s">
        <v>942</v>
      </c>
      <c r="B329" t="s">
        <v>945</v>
      </c>
      <c r="C329" s="553">
        <v>44231</v>
      </c>
      <c r="D329" s="281" t="s">
        <v>4314</v>
      </c>
      <c r="E329" s="281" t="s">
        <v>3128</v>
      </c>
      <c r="F329" s="281">
        <v>4</v>
      </c>
      <c r="G329" s="281">
        <v>5020000000</v>
      </c>
      <c r="H329" t="s">
        <v>1997</v>
      </c>
      <c r="I329" t="s">
        <v>642</v>
      </c>
      <c r="J329" t="s">
        <v>843</v>
      </c>
      <c r="K329" t="s">
        <v>1076</v>
      </c>
      <c r="L329" s="552">
        <v>15000</v>
      </c>
      <c r="O329" t="s">
        <v>971</v>
      </c>
    </row>
    <row r="330" spans="1:15" hidden="1">
      <c r="A330" t="s">
        <v>942</v>
      </c>
      <c r="B330" t="s">
        <v>945</v>
      </c>
      <c r="C330" s="553">
        <v>44231</v>
      </c>
      <c r="D330" s="281" t="s">
        <v>4315</v>
      </c>
      <c r="E330" s="281" t="s">
        <v>3131</v>
      </c>
      <c r="F330" s="281">
        <v>8</v>
      </c>
      <c r="G330" s="281">
        <v>5020000000</v>
      </c>
      <c r="H330" t="s">
        <v>1998</v>
      </c>
      <c r="I330" t="s">
        <v>633</v>
      </c>
      <c r="J330" t="s">
        <v>818</v>
      </c>
      <c r="K330" t="s">
        <v>1089</v>
      </c>
      <c r="L330" s="552">
        <v>546300</v>
      </c>
      <c r="O330" t="s">
        <v>980</v>
      </c>
    </row>
    <row r="331" spans="1:15" hidden="1">
      <c r="A331" t="s">
        <v>942</v>
      </c>
      <c r="B331" t="s">
        <v>945</v>
      </c>
      <c r="C331" s="553">
        <v>44231</v>
      </c>
      <c r="D331" s="281" t="s">
        <v>4315</v>
      </c>
      <c r="E331" s="281" t="s">
        <v>3131</v>
      </c>
      <c r="F331" s="281">
        <v>8</v>
      </c>
      <c r="G331" s="281">
        <v>5060000000</v>
      </c>
      <c r="H331">
        <v>5060405002</v>
      </c>
      <c r="I331" t="s">
        <v>1994</v>
      </c>
      <c r="J331" t="s">
        <v>818</v>
      </c>
      <c r="K331" t="s">
        <v>1089</v>
      </c>
      <c r="L331" s="552">
        <v>500000</v>
      </c>
      <c r="O331" t="s">
        <v>981</v>
      </c>
    </row>
    <row r="332" spans="1:15" hidden="1">
      <c r="A332" t="s">
        <v>942</v>
      </c>
      <c r="B332" t="s">
        <v>945</v>
      </c>
      <c r="C332" s="553">
        <v>44231</v>
      </c>
      <c r="D332" s="281" t="s">
        <v>4316</v>
      </c>
      <c r="E332" s="281" t="s">
        <v>3134</v>
      </c>
      <c r="F332" s="281">
        <v>8</v>
      </c>
      <c r="G332" s="281">
        <v>5020000000</v>
      </c>
      <c r="H332" t="s">
        <v>1998</v>
      </c>
      <c r="I332" t="s">
        <v>633</v>
      </c>
      <c r="J332" t="s">
        <v>820</v>
      </c>
      <c r="K332" t="s">
        <v>1089</v>
      </c>
      <c r="L332" s="552">
        <v>535050</v>
      </c>
      <c r="O332" t="s">
        <v>980</v>
      </c>
    </row>
    <row r="333" spans="1:15" hidden="1">
      <c r="A333" t="s">
        <v>942</v>
      </c>
      <c r="B333" t="s">
        <v>945</v>
      </c>
      <c r="C333" s="553">
        <v>44231</v>
      </c>
      <c r="D333" s="281" t="s">
        <v>4317</v>
      </c>
      <c r="E333" s="281" t="s">
        <v>3136</v>
      </c>
      <c r="F333" s="281">
        <v>8</v>
      </c>
      <c r="G333" s="281">
        <v>5020000000</v>
      </c>
      <c r="H333" t="s">
        <v>1998</v>
      </c>
      <c r="I333" t="s">
        <v>633</v>
      </c>
      <c r="J333" t="s">
        <v>821</v>
      </c>
      <c r="K333" t="s">
        <v>1089</v>
      </c>
      <c r="L333" s="552">
        <v>463500</v>
      </c>
      <c r="O333" t="s">
        <v>980</v>
      </c>
    </row>
    <row r="334" spans="1:15" hidden="1">
      <c r="A334" t="s">
        <v>942</v>
      </c>
      <c r="B334" t="s">
        <v>945</v>
      </c>
      <c r="C334" s="553">
        <v>44231</v>
      </c>
      <c r="D334" s="281" t="s">
        <v>4317</v>
      </c>
      <c r="E334" s="281" t="s">
        <v>3136</v>
      </c>
      <c r="F334" s="281">
        <v>8</v>
      </c>
      <c r="G334" s="281">
        <v>5060000000</v>
      </c>
      <c r="H334">
        <v>5060405002</v>
      </c>
      <c r="I334" t="s">
        <v>1994</v>
      </c>
      <c r="J334" t="s">
        <v>821</v>
      </c>
      <c r="K334" t="s">
        <v>1089</v>
      </c>
      <c r="L334" s="552">
        <v>500000</v>
      </c>
      <c r="O334" t="s">
        <v>981</v>
      </c>
    </row>
    <row r="335" spans="1:15" hidden="1">
      <c r="A335" t="s">
        <v>942</v>
      </c>
      <c r="B335" t="s">
        <v>945</v>
      </c>
      <c r="C335" s="553">
        <v>44231</v>
      </c>
      <c r="D335" s="281" t="s">
        <v>4318</v>
      </c>
      <c r="E335" s="281" t="s">
        <v>3138</v>
      </c>
      <c r="F335" s="281">
        <v>8</v>
      </c>
      <c r="G335" s="281">
        <v>5020000000</v>
      </c>
      <c r="H335" t="s">
        <v>1998</v>
      </c>
      <c r="I335" t="s">
        <v>633</v>
      </c>
      <c r="J335" t="s">
        <v>822</v>
      </c>
      <c r="K335" t="s">
        <v>1089</v>
      </c>
      <c r="L335" s="552">
        <v>370350</v>
      </c>
      <c r="O335" t="s">
        <v>980</v>
      </c>
    </row>
    <row r="336" spans="1:15" hidden="1">
      <c r="A336" t="s">
        <v>942</v>
      </c>
      <c r="B336" t="s">
        <v>945</v>
      </c>
      <c r="C336" s="553">
        <v>44231</v>
      </c>
      <c r="D336" s="281" t="s">
        <v>4318</v>
      </c>
      <c r="E336" s="281" t="s">
        <v>3138</v>
      </c>
      <c r="F336" s="281">
        <v>8</v>
      </c>
      <c r="G336" s="281">
        <v>5060000000</v>
      </c>
      <c r="H336">
        <v>5060405002</v>
      </c>
      <c r="I336" t="s">
        <v>1994</v>
      </c>
      <c r="J336" t="s">
        <v>822</v>
      </c>
      <c r="K336" t="s">
        <v>1089</v>
      </c>
      <c r="L336" s="552">
        <v>500000</v>
      </c>
      <c r="O336" t="s">
        <v>981</v>
      </c>
    </row>
    <row r="337" spans="1:15" hidden="1">
      <c r="A337" t="s">
        <v>942</v>
      </c>
      <c r="B337" t="s">
        <v>945</v>
      </c>
      <c r="C337" s="553">
        <v>44231</v>
      </c>
      <c r="D337" s="281" t="s">
        <v>4319</v>
      </c>
      <c r="E337" s="281" t="s">
        <v>3140</v>
      </c>
      <c r="F337" s="281">
        <v>8</v>
      </c>
      <c r="G337" s="281">
        <v>5020000000</v>
      </c>
      <c r="H337" t="s">
        <v>1998</v>
      </c>
      <c r="I337" t="s">
        <v>633</v>
      </c>
      <c r="J337" t="s">
        <v>823</v>
      </c>
      <c r="K337" t="s">
        <v>1089</v>
      </c>
      <c r="L337" s="552">
        <v>315900</v>
      </c>
      <c r="O337" t="s">
        <v>980</v>
      </c>
    </row>
    <row r="338" spans="1:15" hidden="1">
      <c r="A338" t="s">
        <v>942</v>
      </c>
      <c r="B338" t="s">
        <v>945</v>
      </c>
      <c r="C338" s="553">
        <v>44231</v>
      </c>
      <c r="D338" s="281" t="s">
        <v>4319</v>
      </c>
      <c r="E338" s="281" t="s">
        <v>3140</v>
      </c>
      <c r="F338" s="281">
        <v>8</v>
      </c>
      <c r="G338" s="281">
        <v>5060000000</v>
      </c>
      <c r="H338">
        <v>5060405002</v>
      </c>
      <c r="I338" t="s">
        <v>1994</v>
      </c>
      <c r="J338" t="s">
        <v>823</v>
      </c>
      <c r="K338" t="s">
        <v>1089</v>
      </c>
      <c r="L338" s="552">
        <v>500000</v>
      </c>
      <c r="O338" t="s">
        <v>981</v>
      </c>
    </row>
    <row r="339" spans="1:15" hidden="1">
      <c r="A339" t="s">
        <v>942</v>
      </c>
      <c r="B339" t="s">
        <v>945</v>
      </c>
      <c r="C339" s="553">
        <v>44235</v>
      </c>
      <c r="D339" s="281" t="s">
        <v>4320</v>
      </c>
      <c r="E339" s="281" t="s">
        <v>3147</v>
      </c>
      <c r="F339" s="281">
        <v>1</v>
      </c>
      <c r="G339" s="281">
        <v>5010000000</v>
      </c>
      <c r="H339" t="s">
        <v>2026</v>
      </c>
      <c r="I339" t="s">
        <v>499</v>
      </c>
      <c r="J339" t="s">
        <v>10</v>
      </c>
      <c r="K339" t="s">
        <v>1095</v>
      </c>
      <c r="L339" s="552">
        <v>54795</v>
      </c>
      <c r="O339" t="s">
        <v>960</v>
      </c>
    </row>
    <row r="340" spans="1:15" hidden="1">
      <c r="A340" t="s">
        <v>942</v>
      </c>
      <c r="B340" t="s">
        <v>945</v>
      </c>
      <c r="C340" s="553">
        <v>44235</v>
      </c>
      <c r="D340" s="281" t="s">
        <v>4320</v>
      </c>
      <c r="E340" s="281" t="s">
        <v>3147</v>
      </c>
      <c r="F340" s="281">
        <v>1</v>
      </c>
      <c r="G340" s="281">
        <v>5010301000</v>
      </c>
      <c r="H340" t="s">
        <v>2028</v>
      </c>
      <c r="I340" t="s">
        <v>528</v>
      </c>
      <c r="J340" t="s">
        <v>10</v>
      </c>
      <c r="K340" t="s">
        <v>1095</v>
      </c>
      <c r="L340" s="552">
        <v>6575.4</v>
      </c>
      <c r="O340" t="s">
        <v>962</v>
      </c>
    </row>
    <row r="341" spans="1:15" hidden="1">
      <c r="A341" t="s">
        <v>942</v>
      </c>
      <c r="B341" t="s">
        <v>945</v>
      </c>
      <c r="C341" s="553">
        <v>44235</v>
      </c>
      <c r="D341" s="281" t="s">
        <v>4320</v>
      </c>
      <c r="E341" s="281" t="s">
        <v>3147</v>
      </c>
      <c r="F341" s="281">
        <v>1</v>
      </c>
      <c r="G341" s="281">
        <v>5010000000</v>
      </c>
      <c r="H341" t="s">
        <v>2030</v>
      </c>
      <c r="I341" t="s">
        <v>532</v>
      </c>
      <c r="J341" t="s">
        <v>10</v>
      </c>
      <c r="K341" t="s">
        <v>1095</v>
      </c>
      <c r="L341" s="552">
        <v>643.82000000000005</v>
      </c>
      <c r="O341" t="s">
        <v>960</v>
      </c>
    </row>
    <row r="342" spans="1:15" hidden="1">
      <c r="A342" t="s">
        <v>942</v>
      </c>
      <c r="B342" t="s">
        <v>945</v>
      </c>
      <c r="C342" s="553">
        <v>44235</v>
      </c>
      <c r="D342" s="281" t="s">
        <v>4321</v>
      </c>
      <c r="E342" s="281" t="s">
        <v>3150</v>
      </c>
      <c r="F342" s="281">
        <v>1</v>
      </c>
      <c r="G342" s="281">
        <v>5010000000</v>
      </c>
      <c r="H342" t="s">
        <v>2026</v>
      </c>
      <c r="I342" t="s">
        <v>499</v>
      </c>
      <c r="J342" t="s">
        <v>789</v>
      </c>
      <c r="K342" t="s">
        <v>1095</v>
      </c>
      <c r="L342" s="552">
        <v>15120</v>
      </c>
      <c r="O342" t="s">
        <v>960</v>
      </c>
    </row>
    <row r="343" spans="1:15" hidden="1">
      <c r="A343" t="s">
        <v>942</v>
      </c>
      <c r="B343" t="s">
        <v>945</v>
      </c>
      <c r="C343" s="553">
        <v>44235</v>
      </c>
      <c r="D343" s="281" t="s">
        <v>4321</v>
      </c>
      <c r="E343" s="281" t="s">
        <v>3150</v>
      </c>
      <c r="F343" s="281">
        <v>1</v>
      </c>
      <c r="G343" s="281">
        <v>5010301000</v>
      </c>
      <c r="H343" t="s">
        <v>2028</v>
      </c>
      <c r="I343" t="s">
        <v>528</v>
      </c>
      <c r="J343" t="s">
        <v>789</v>
      </c>
      <c r="K343" t="s">
        <v>1095</v>
      </c>
      <c r="L343" s="552">
        <v>1878.6</v>
      </c>
      <c r="O343" t="s">
        <v>962</v>
      </c>
    </row>
    <row r="344" spans="1:15" hidden="1">
      <c r="A344" t="s">
        <v>942</v>
      </c>
      <c r="B344" t="s">
        <v>945</v>
      </c>
      <c r="C344" s="553">
        <v>44235</v>
      </c>
      <c r="D344" s="281" t="s">
        <v>4321</v>
      </c>
      <c r="E344" s="281" t="s">
        <v>3150</v>
      </c>
      <c r="F344" s="281">
        <v>1</v>
      </c>
      <c r="G344" s="281">
        <v>5010000000</v>
      </c>
      <c r="H344" t="s">
        <v>2030</v>
      </c>
      <c r="I344" t="s">
        <v>532</v>
      </c>
      <c r="J344" t="s">
        <v>789</v>
      </c>
      <c r="K344" t="s">
        <v>1095</v>
      </c>
      <c r="L344" s="552">
        <v>169.13</v>
      </c>
      <c r="O344" t="s">
        <v>960</v>
      </c>
    </row>
    <row r="345" spans="1:15" hidden="1">
      <c r="A345" t="s">
        <v>942</v>
      </c>
      <c r="B345" t="s">
        <v>945</v>
      </c>
      <c r="C345" s="553">
        <v>44235</v>
      </c>
      <c r="D345" s="281" t="s">
        <v>4322</v>
      </c>
      <c r="E345" s="281" t="s">
        <v>3153</v>
      </c>
      <c r="F345" s="281">
        <v>1</v>
      </c>
      <c r="G345" s="281">
        <v>5010000000</v>
      </c>
      <c r="H345" t="s">
        <v>2026</v>
      </c>
      <c r="I345" t="s">
        <v>499</v>
      </c>
      <c r="J345" t="s">
        <v>777</v>
      </c>
      <c r="K345" t="s">
        <v>1095</v>
      </c>
      <c r="L345" s="552">
        <v>15614</v>
      </c>
      <c r="O345" t="s">
        <v>960</v>
      </c>
    </row>
    <row r="346" spans="1:15" hidden="1">
      <c r="A346" t="s">
        <v>942</v>
      </c>
      <c r="B346" t="s">
        <v>945</v>
      </c>
      <c r="C346" s="553">
        <v>44235</v>
      </c>
      <c r="D346" s="281" t="s">
        <v>4322</v>
      </c>
      <c r="E346" s="281" t="s">
        <v>3153</v>
      </c>
      <c r="F346" s="281">
        <v>1</v>
      </c>
      <c r="G346" s="281">
        <v>5010301000</v>
      </c>
      <c r="H346" t="s">
        <v>2028</v>
      </c>
      <c r="I346" t="s">
        <v>528</v>
      </c>
      <c r="J346" t="s">
        <v>777</v>
      </c>
      <c r="K346" t="s">
        <v>1095</v>
      </c>
      <c r="L346" s="552">
        <v>1873.68</v>
      </c>
      <c r="O346" t="s">
        <v>962</v>
      </c>
    </row>
    <row r="347" spans="1:15" hidden="1">
      <c r="A347" t="s">
        <v>942</v>
      </c>
      <c r="B347" t="s">
        <v>945</v>
      </c>
      <c r="C347" s="553">
        <v>44235</v>
      </c>
      <c r="D347" s="281" t="s">
        <v>4322</v>
      </c>
      <c r="E347" s="281" t="s">
        <v>3153</v>
      </c>
      <c r="F347" s="281">
        <v>1</v>
      </c>
      <c r="G347" s="281">
        <v>5010000000</v>
      </c>
      <c r="H347" t="s">
        <v>2030</v>
      </c>
      <c r="I347" t="s">
        <v>532</v>
      </c>
      <c r="J347" t="s">
        <v>777</v>
      </c>
      <c r="K347" t="s">
        <v>1095</v>
      </c>
      <c r="L347" s="552">
        <v>211</v>
      </c>
      <c r="O347" t="s">
        <v>960</v>
      </c>
    </row>
    <row r="348" spans="1:15" hidden="1">
      <c r="A348" t="s">
        <v>942</v>
      </c>
      <c r="B348" t="s">
        <v>945</v>
      </c>
      <c r="C348" s="553">
        <v>44235</v>
      </c>
      <c r="D348" s="281" t="s">
        <v>4323</v>
      </c>
      <c r="E348" s="281" t="s">
        <v>3155</v>
      </c>
      <c r="F348" s="281">
        <v>1</v>
      </c>
      <c r="G348" s="281">
        <v>5010000000</v>
      </c>
      <c r="H348" t="s">
        <v>2026</v>
      </c>
      <c r="I348" t="s">
        <v>499</v>
      </c>
      <c r="J348" t="s">
        <v>764</v>
      </c>
      <c r="K348" t="s">
        <v>1095</v>
      </c>
      <c r="L348" s="552">
        <v>16027</v>
      </c>
      <c r="O348" t="s">
        <v>960</v>
      </c>
    </row>
    <row r="349" spans="1:15" hidden="1">
      <c r="A349" t="s">
        <v>942</v>
      </c>
      <c r="B349" t="s">
        <v>945</v>
      </c>
      <c r="C349" s="553">
        <v>44235</v>
      </c>
      <c r="D349" s="281" t="s">
        <v>4323</v>
      </c>
      <c r="E349" s="281" t="s">
        <v>3155</v>
      </c>
      <c r="F349" s="281">
        <v>1</v>
      </c>
      <c r="G349" s="281">
        <v>5010301000</v>
      </c>
      <c r="H349" t="s">
        <v>2028</v>
      </c>
      <c r="I349" t="s">
        <v>528</v>
      </c>
      <c r="J349" t="s">
        <v>764</v>
      </c>
      <c r="K349" t="s">
        <v>1095</v>
      </c>
      <c r="L349" s="552">
        <v>1923.24</v>
      </c>
      <c r="O349" t="s">
        <v>962</v>
      </c>
    </row>
    <row r="350" spans="1:15" hidden="1">
      <c r="A350" t="s">
        <v>942</v>
      </c>
      <c r="B350" t="s">
        <v>945</v>
      </c>
      <c r="C350" s="553">
        <v>44235</v>
      </c>
      <c r="D350" s="281" t="s">
        <v>4323</v>
      </c>
      <c r="E350" s="281" t="s">
        <v>3155</v>
      </c>
      <c r="F350" s="281">
        <v>1</v>
      </c>
      <c r="G350" s="281">
        <v>5010000000</v>
      </c>
      <c r="H350" t="s">
        <v>2030</v>
      </c>
      <c r="I350" t="s">
        <v>532</v>
      </c>
      <c r="J350" t="s">
        <v>764</v>
      </c>
      <c r="K350" t="s">
        <v>1095</v>
      </c>
      <c r="L350" s="552">
        <v>217.2</v>
      </c>
      <c r="O350" t="s">
        <v>960</v>
      </c>
    </row>
    <row r="351" spans="1:15" hidden="1">
      <c r="A351" t="s">
        <v>942</v>
      </c>
      <c r="B351" t="s">
        <v>945</v>
      </c>
      <c r="C351" s="553">
        <v>44235</v>
      </c>
      <c r="D351" s="281" t="s">
        <v>4324</v>
      </c>
      <c r="E351" s="281" t="s">
        <v>3157</v>
      </c>
      <c r="F351" s="281">
        <v>1</v>
      </c>
      <c r="G351" s="281">
        <v>5010000000</v>
      </c>
      <c r="H351" t="s">
        <v>2026</v>
      </c>
      <c r="I351" t="s">
        <v>499</v>
      </c>
      <c r="J351" t="s">
        <v>768</v>
      </c>
      <c r="K351" t="s">
        <v>1095</v>
      </c>
      <c r="L351" s="552">
        <v>19076</v>
      </c>
      <c r="O351" t="s">
        <v>960</v>
      </c>
    </row>
    <row r="352" spans="1:15" hidden="1">
      <c r="A352" t="s">
        <v>942</v>
      </c>
      <c r="B352" t="s">
        <v>945</v>
      </c>
      <c r="C352" s="553">
        <v>44235</v>
      </c>
      <c r="D352" s="281" t="s">
        <v>4324</v>
      </c>
      <c r="E352" s="281" t="s">
        <v>3157</v>
      </c>
      <c r="F352" s="281">
        <v>1</v>
      </c>
      <c r="G352" s="281">
        <v>5010301000</v>
      </c>
      <c r="H352" t="s">
        <v>2028</v>
      </c>
      <c r="I352" t="s">
        <v>528</v>
      </c>
      <c r="J352" t="s">
        <v>768</v>
      </c>
      <c r="K352" t="s">
        <v>1095</v>
      </c>
      <c r="L352" s="552">
        <v>2289.12</v>
      </c>
      <c r="O352" t="s">
        <v>962</v>
      </c>
    </row>
    <row r="353" spans="1:15" hidden="1">
      <c r="A353" t="s">
        <v>942</v>
      </c>
      <c r="B353" t="s">
        <v>945</v>
      </c>
      <c r="C353" s="553">
        <v>44235</v>
      </c>
      <c r="D353" s="281" t="s">
        <v>4324</v>
      </c>
      <c r="E353" s="281" t="s">
        <v>3157</v>
      </c>
      <c r="F353" s="281">
        <v>1</v>
      </c>
      <c r="G353" s="281">
        <v>5010000000</v>
      </c>
      <c r="H353" t="s">
        <v>2030</v>
      </c>
      <c r="I353" t="s">
        <v>532</v>
      </c>
      <c r="J353" t="s">
        <v>768</v>
      </c>
      <c r="K353" t="s">
        <v>1095</v>
      </c>
      <c r="L353" s="552">
        <v>228.89</v>
      </c>
      <c r="O353" t="s">
        <v>960</v>
      </c>
    </row>
    <row r="354" spans="1:15" hidden="1">
      <c r="A354" t="s">
        <v>942</v>
      </c>
      <c r="B354" t="s">
        <v>945</v>
      </c>
      <c r="C354" s="553">
        <v>44235</v>
      </c>
      <c r="D354" s="281" t="s">
        <v>4325</v>
      </c>
      <c r="E354" s="281" t="s">
        <v>3159</v>
      </c>
      <c r="F354" s="281">
        <v>1</v>
      </c>
      <c r="G354" s="281">
        <v>5010000000</v>
      </c>
      <c r="H354" t="s">
        <v>2026</v>
      </c>
      <c r="I354" t="s">
        <v>499</v>
      </c>
      <c r="J354" t="s">
        <v>765</v>
      </c>
      <c r="K354" t="s">
        <v>1095</v>
      </c>
      <c r="L354" s="552">
        <v>11398</v>
      </c>
      <c r="O354" t="s">
        <v>960</v>
      </c>
    </row>
    <row r="355" spans="1:15" hidden="1">
      <c r="A355" t="s">
        <v>942</v>
      </c>
      <c r="B355" t="s">
        <v>945</v>
      </c>
      <c r="C355" s="553">
        <v>44235</v>
      </c>
      <c r="D355" s="281" t="s">
        <v>4325</v>
      </c>
      <c r="E355" s="281" t="s">
        <v>3159</v>
      </c>
      <c r="F355" s="281">
        <v>1</v>
      </c>
      <c r="G355" s="281">
        <v>5010301000</v>
      </c>
      <c r="H355" t="s">
        <v>2028</v>
      </c>
      <c r="I355" t="s">
        <v>528</v>
      </c>
      <c r="J355" t="s">
        <v>765</v>
      </c>
      <c r="K355" t="s">
        <v>1095</v>
      </c>
      <c r="L355" s="552">
        <v>1367.76</v>
      </c>
      <c r="O355" t="s">
        <v>962</v>
      </c>
    </row>
    <row r="356" spans="1:15" hidden="1">
      <c r="A356" t="s">
        <v>942</v>
      </c>
      <c r="B356" t="s">
        <v>945</v>
      </c>
      <c r="C356" s="553">
        <v>44235</v>
      </c>
      <c r="D356" s="281" t="s">
        <v>4325</v>
      </c>
      <c r="E356" s="281" t="s">
        <v>3159</v>
      </c>
      <c r="F356" s="281">
        <v>1</v>
      </c>
      <c r="G356" s="281">
        <v>5010000000</v>
      </c>
      <c r="H356" t="s">
        <v>2030</v>
      </c>
      <c r="I356" t="s">
        <v>532</v>
      </c>
      <c r="J356" t="s">
        <v>765</v>
      </c>
      <c r="K356" t="s">
        <v>1095</v>
      </c>
      <c r="L356" s="552">
        <v>138.75</v>
      </c>
      <c r="O356" t="s">
        <v>960</v>
      </c>
    </row>
    <row r="357" spans="1:15" hidden="1">
      <c r="A357" t="s">
        <v>942</v>
      </c>
      <c r="B357" t="s">
        <v>945</v>
      </c>
      <c r="C357" s="553">
        <v>44235</v>
      </c>
      <c r="D357" s="281" t="s">
        <v>4326</v>
      </c>
      <c r="E357" s="281" t="s">
        <v>3161</v>
      </c>
      <c r="F357" s="281">
        <v>5</v>
      </c>
      <c r="G357" s="281">
        <v>5020000000</v>
      </c>
      <c r="H357" t="s">
        <v>2002</v>
      </c>
      <c r="I357" t="s">
        <v>603</v>
      </c>
      <c r="J357" t="s">
        <v>1102</v>
      </c>
      <c r="K357" t="s">
        <v>1103</v>
      </c>
      <c r="L357" s="552">
        <v>1200</v>
      </c>
      <c r="O357" t="s">
        <v>974</v>
      </c>
    </row>
    <row r="358" spans="1:15" hidden="1">
      <c r="A358" t="s">
        <v>942</v>
      </c>
      <c r="B358" t="s">
        <v>945</v>
      </c>
      <c r="C358" s="553">
        <v>44235</v>
      </c>
      <c r="D358" s="281" t="s">
        <v>4327</v>
      </c>
      <c r="E358" s="281" t="s">
        <v>3165</v>
      </c>
      <c r="F358" s="281">
        <v>1</v>
      </c>
      <c r="G358" s="281">
        <v>5020000000</v>
      </c>
      <c r="H358" t="s">
        <v>2018</v>
      </c>
      <c r="I358" t="s">
        <v>671</v>
      </c>
      <c r="J358" t="s">
        <v>1105</v>
      </c>
      <c r="K358" t="s">
        <v>1106</v>
      </c>
      <c r="L358" s="552">
        <v>8885.08</v>
      </c>
      <c r="O358" t="s">
        <v>961</v>
      </c>
    </row>
    <row r="359" spans="1:15" hidden="1">
      <c r="A359" t="s">
        <v>942</v>
      </c>
      <c r="B359" t="s">
        <v>945</v>
      </c>
      <c r="C359" s="553">
        <v>44235</v>
      </c>
      <c r="D359" s="281" t="s">
        <v>4328</v>
      </c>
      <c r="E359" s="281" t="s">
        <v>3171</v>
      </c>
      <c r="F359" s="281">
        <v>4</v>
      </c>
      <c r="G359" s="281">
        <v>5020000000</v>
      </c>
      <c r="H359" t="s">
        <v>2005</v>
      </c>
      <c r="I359" t="s">
        <v>678</v>
      </c>
      <c r="J359" t="s">
        <v>1108</v>
      </c>
      <c r="K359" t="s">
        <v>1109</v>
      </c>
      <c r="L359" s="552">
        <v>10600</v>
      </c>
      <c r="O359" t="s">
        <v>971</v>
      </c>
    </row>
    <row r="360" spans="1:15" hidden="1">
      <c r="A360" t="s">
        <v>942</v>
      </c>
      <c r="B360" t="s">
        <v>945</v>
      </c>
      <c r="C360" s="553">
        <v>44235</v>
      </c>
      <c r="D360" s="281" t="s">
        <v>4329</v>
      </c>
      <c r="E360" s="281" t="s">
        <v>3168</v>
      </c>
      <c r="F360" s="281">
        <v>4</v>
      </c>
      <c r="G360" s="281">
        <v>5020000000</v>
      </c>
      <c r="H360" t="s">
        <v>2002</v>
      </c>
      <c r="I360" t="s">
        <v>603</v>
      </c>
      <c r="J360" t="s">
        <v>1102</v>
      </c>
      <c r="K360" t="s">
        <v>1111</v>
      </c>
      <c r="L360" s="552">
        <v>2400</v>
      </c>
      <c r="O360" t="s">
        <v>971</v>
      </c>
    </row>
    <row r="361" spans="1:15" hidden="1">
      <c r="A361" t="s">
        <v>942</v>
      </c>
      <c r="B361" t="s">
        <v>945</v>
      </c>
      <c r="C361" s="553">
        <v>44237</v>
      </c>
      <c r="D361" s="281" t="s">
        <v>4330</v>
      </c>
      <c r="E361" s="281" t="s">
        <v>3174</v>
      </c>
      <c r="F361" s="281">
        <v>1</v>
      </c>
      <c r="G361" s="281">
        <v>5010000000</v>
      </c>
      <c r="H361" t="s">
        <v>2026</v>
      </c>
      <c r="I361" t="s">
        <v>499</v>
      </c>
      <c r="J361" t="s">
        <v>10</v>
      </c>
      <c r="K361" t="s">
        <v>1113</v>
      </c>
      <c r="L361" s="552">
        <v>1057756</v>
      </c>
      <c r="O361" t="s">
        <v>960</v>
      </c>
    </row>
    <row r="362" spans="1:15" hidden="1">
      <c r="A362" t="s">
        <v>942</v>
      </c>
      <c r="B362" t="s">
        <v>945</v>
      </c>
      <c r="C362" s="553">
        <v>44237</v>
      </c>
      <c r="D362" s="281" t="s">
        <v>4330</v>
      </c>
      <c r="E362" s="281" t="s">
        <v>3174</v>
      </c>
      <c r="F362" s="281">
        <v>1</v>
      </c>
      <c r="G362" s="281">
        <v>5010000000</v>
      </c>
      <c r="H362" t="s">
        <v>2027</v>
      </c>
      <c r="I362" t="s">
        <v>504</v>
      </c>
      <c r="J362" t="s">
        <v>10</v>
      </c>
      <c r="K362" t="s">
        <v>1113</v>
      </c>
      <c r="L362" s="552">
        <v>44000</v>
      </c>
      <c r="O362" t="s">
        <v>960</v>
      </c>
    </row>
    <row r="363" spans="1:15" hidden="1">
      <c r="A363" t="s">
        <v>942</v>
      </c>
      <c r="B363" t="s">
        <v>945</v>
      </c>
      <c r="C363" s="553">
        <v>44237</v>
      </c>
      <c r="D363" s="281" t="s">
        <v>4330</v>
      </c>
      <c r="E363" s="281" t="s">
        <v>3174</v>
      </c>
      <c r="F363" s="281">
        <v>1</v>
      </c>
      <c r="G363" s="281">
        <v>5010301000</v>
      </c>
      <c r="H363" t="s">
        <v>2028</v>
      </c>
      <c r="I363" t="s">
        <v>528</v>
      </c>
      <c r="J363" t="s">
        <v>10</v>
      </c>
      <c r="K363" t="s">
        <v>1113</v>
      </c>
      <c r="L363" s="552">
        <v>126930.72</v>
      </c>
      <c r="O363" t="s">
        <v>962</v>
      </c>
    </row>
    <row r="364" spans="1:15" hidden="1">
      <c r="A364" t="s">
        <v>942</v>
      </c>
      <c r="B364" t="s">
        <v>945</v>
      </c>
      <c r="C364" s="553">
        <v>44237</v>
      </c>
      <c r="D364" s="281" t="s">
        <v>4330</v>
      </c>
      <c r="E364" s="281" t="s">
        <v>3174</v>
      </c>
      <c r="F364" s="281">
        <v>1</v>
      </c>
      <c r="G364" s="281">
        <v>5010000000</v>
      </c>
      <c r="H364" t="s">
        <v>2029</v>
      </c>
      <c r="I364" t="s">
        <v>530</v>
      </c>
      <c r="J364" t="s">
        <v>10</v>
      </c>
      <c r="K364" t="s">
        <v>1113</v>
      </c>
      <c r="L364" s="552">
        <v>2200</v>
      </c>
      <c r="O364" t="s">
        <v>960</v>
      </c>
    </row>
    <row r="365" spans="1:15" hidden="1">
      <c r="A365" t="s">
        <v>942</v>
      </c>
      <c r="B365" t="s">
        <v>945</v>
      </c>
      <c r="C365" s="553">
        <v>44237</v>
      </c>
      <c r="D365" s="281" t="s">
        <v>4330</v>
      </c>
      <c r="E365" s="281" t="s">
        <v>3174</v>
      </c>
      <c r="F365" s="281">
        <v>1</v>
      </c>
      <c r="G365" s="281">
        <v>5010000000</v>
      </c>
      <c r="H365" t="s">
        <v>2030</v>
      </c>
      <c r="I365" t="s">
        <v>532</v>
      </c>
      <c r="J365" t="s">
        <v>10</v>
      </c>
      <c r="K365" t="s">
        <v>1113</v>
      </c>
      <c r="L365" s="552">
        <v>12310.77</v>
      </c>
      <c r="O365" t="s">
        <v>960</v>
      </c>
    </row>
    <row r="366" spans="1:15" hidden="1">
      <c r="A366" t="s">
        <v>942</v>
      </c>
      <c r="B366" t="s">
        <v>945</v>
      </c>
      <c r="C366" s="553">
        <v>44237</v>
      </c>
      <c r="D366" s="281" t="s">
        <v>4330</v>
      </c>
      <c r="E366" s="281" t="s">
        <v>3174</v>
      </c>
      <c r="F366" s="281">
        <v>1</v>
      </c>
      <c r="G366" s="281">
        <v>5010000000</v>
      </c>
      <c r="H366" t="s">
        <v>2031</v>
      </c>
      <c r="I366" t="s">
        <v>534</v>
      </c>
      <c r="J366" t="s">
        <v>10</v>
      </c>
      <c r="K366" t="s">
        <v>1113</v>
      </c>
      <c r="L366" s="552">
        <v>2200</v>
      </c>
      <c r="O366" t="s">
        <v>960</v>
      </c>
    </row>
    <row r="367" spans="1:15" hidden="1">
      <c r="A367" t="s">
        <v>942</v>
      </c>
      <c r="B367" t="s">
        <v>945</v>
      </c>
      <c r="C367" s="553">
        <v>44237</v>
      </c>
      <c r="D367" s="281" t="s">
        <v>4330</v>
      </c>
      <c r="E367" s="281" t="s">
        <v>3174</v>
      </c>
      <c r="F367" s="281">
        <v>2</v>
      </c>
      <c r="G367" s="281">
        <v>5010000000</v>
      </c>
      <c r="H367" t="s">
        <v>2026</v>
      </c>
      <c r="I367" t="s">
        <v>499</v>
      </c>
      <c r="J367" t="s">
        <v>10</v>
      </c>
      <c r="K367" t="s">
        <v>1113</v>
      </c>
      <c r="L367" s="552">
        <v>80214</v>
      </c>
      <c r="O367" t="s">
        <v>964</v>
      </c>
    </row>
    <row r="368" spans="1:15" hidden="1">
      <c r="A368" t="s">
        <v>942</v>
      </c>
      <c r="B368" t="s">
        <v>945</v>
      </c>
      <c r="C368" s="553">
        <v>44237</v>
      </c>
      <c r="D368" s="281" t="s">
        <v>4330</v>
      </c>
      <c r="E368" s="281" t="s">
        <v>3174</v>
      </c>
      <c r="F368" s="281">
        <v>2</v>
      </c>
      <c r="G368" s="281">
        <v>5010000000</v>
      </c>
      <c r="H368" t="s">
        <v>2027</v>
      </c>
      <c r="I368" t="s">
        <v>504</v>
      </c>
      <c r="J368" t="s">
        <v>10</v>
      </c>
      <c r="K368" t="s">
        <v>1113</v>
      </c>
      <c r="L368" s="552">
        <v>4000</v>
      </c>
      <c r="O368" t="s">
        <v>964</v>
      </c>
    </row>
    <row r="369" spans="1:15" hidden="1">
      <c r="A369" t="s">
        <v>942</v>
      </c>
      <c r="B369" t="s">
        <v>945</v>
      </c>
      <c r="C369" s="553">
        <v>44237</v>
      </c>
      <c r="D369" s="281" t="s">
        <v>4330</v>
      </c>
      <c r="E369" s="281" t="s">
        <v>3174</v>
      </c>
      <c r="F369" s="281">
        <v>2</v>
      </c>
      <c r="G369" s="281">
        <v>5010301000</v>
      </c>
      <c r="H369" t="s">
        <v>2028</v>
      </c>
      <c r="I369" t="s">
        <v>528</v>
      </c>
      <c r="J369" t="s">
        <v>10</v>
      </c>
      <c r="K369" t="s">
        <v>1113</v>
      </c>
      <c r="L369" s="552">
        <v>9625.68</v>
      </c>
      <c r="O369" t="s">
        <v>966</v>
      </c>
    </row>
    <row r="370" spans="1:15" hidden="1">
      <c r="A370" t="s">
        <v>942</v>
      </c>
      <c r="B370" t="s">
        <v>945</v>
      </c>
      <c r="C370" s="553">
        <v>44237</v>
      </c>
      <c r="D370" s="281" t="s">
        <v>4330</v>
      </c>
      <c r="E370" s="281" t="s">
        <v>3174</v>
      </c>
      <c r="F370" s="281">
        <v>2</v>
      </c>
      <c r="G370" s="281">
        <v>5010000000</v>
      </c>
      <c r="H370" t="s">
        <v>2029</v>
      </c>
      <c r="I370" t="s">
        <v>530</v>
      </c>
      <c r="J370" t="s">
        <v>10</v>
      </c>
      <c r="K370" t="s">
        <v>1113</v>
      </c>
      <c r="L370" s="552">
        <v>200</v>
      </c>
      <c r="O370" t="s">
        <v>964</v>
      </c>
    </row>
    <row r="371" spans="1:15" hidden="1">
      <c r="A371" t="s">
        <v>942</v>
      </c>
      <c r="B371" t="s">
        <v>945</v>
      </c>
      <c r="C371" s="553">
        <v>44237</v>
      </c>
      <c r="D371" s="281" t="s">
        <v>4330</v>
      </c>
      <c r="E371" s="281" t="s">
        <v>3174</v>
      </c>
      <c r="F371" s="281">
        <v>2</v>
      </c>
      <c r="G371" s="281">
        <v>5010000000</v>
      </c>
      <c r="H371" t="s">
        <v>2030</v>
      </c>
      <c r="I371" t="s">
        <v>532</v>
      </c>
      <c r="J371" t="s">
        <v>10</v>
      </c>
      <c r="K371" t="s">
        <v>1113</v>
      </c>
      <c r="L371" s="552">
        <v>1203.22</v>
      </c>
      <c r="O371" t="s">
        <v>964</v>
      </c>
    </row>
    <row r="372" spans="1:15" hidden="1">
      <c r="A372" t="s">
        <v>942</v>
      </c>
      <c r="B372" t="s">
        <v>945</v>
      </c>
      <c r="C372" s="553">
        <v>44237</v>
      </c>
      <c r="D372" s="281" t="s">
        <v>4330</v>
      </c>
      <c r="E372" s="281" t="s">
        <v>3174</v>
      </c>
      <c r="F372" s="281">
        <v>2</v>
      </c>
      <c r="G372" s="281">
        <v>5010000000</v>
      </c>
      <c r="H372" t="s">
        <v>2031</v>
      </c>
      <c r="I372" t="s">
        <v>534</v>
      </c>
      <c r="J372" t="s">
        <v>10</v>
      </c>
      <c r="K372" t="s">
        <v>1113</v>
      </c>
      <c r="L372" s="552">
        <v>200</v>
      </c>
      <c r="O372" t="s">
        <v>964</v>
      </c>
    </row>
    <row r="373" spans="1:15" hidden="1">
      <c r="A373" t="s">
        <v>942</v>
      </c>
      <c r="B373" t="s">
        <v>945</v>
      </c>
      <c r="C373" s="553">
        <v>44237</v>
      </c>
      <c r="D373" s="281" t="s">
        <v>4330</v>
      </c>
      <c r="E373" s="281" t="s">
        <v>3174</v>
      </c>
      <c r="F373" s="281">
        <v>3</v>
      </c>
      <c r="G373" s="281">
        <v>5010000000</v>
      </c>
      <c r="H373" t="s">
        <v>2026</v>
      </c>
      <c r="I373" t="s">
        <v>499</v>
      </c>
      <c r="J373" t="s">
        <v>10</v>
      </c>
      <c r="K373" t="s">
        <v>1113</v>
      </c>
      <c r="L373" s="552">
        <v>199631</v>
      </c>
      <c r="O373" t="s">
        <v>967</v>
      </c>
    </row>
    <row r="374" spans="1:15" hidden="1">
      <c r="A374" t="s">
        <v>942</v>
      </c>
      <c r="B374" t="s">
        <v>945</v>
      </c>
      <c r="C374" s="553">
        <v>44237</v>
      </c>
      <c r="D374" s="281" t="s">
        <v>4330</v>
      </c>
      <c r="E374" s="281" t="s">
        <v>3174</v>
      </c>
      <c r="F374" s="281">
        <v>3</v>
      </c>
      <c r="G374" s="281">
        <v>5010000000</v>
      </c>
      <c r="H374" t="s">
        <v>2027</v>
      </c>
      <c r="I374" t="s">
        <v>504</v>
      </c>
      <c r="J374" t="s">
        <v>10</v>
      </c>
      <c r="K374" t="s">
        <v>1113</v>
      </c>
      <c r="L374" s="552">
        <v>10000</v>
      </c>
      <c r="O374" t="s">
        <v>967</v>
      </c>
    </row>
    <row r="375" spans="1:15" hidden="1">
      <c r="A375" t="s">
        <v>942</v>
      </c>
      <c r="B375" t="s">
        <v>945</v>
      </c>
      <c r="C375" s="553">
        <v>44237</v>
      </c>
      <c r="D375" s="281" t="s">
        <v>4330</v>
      </c>
      <c r="E375" s="281" t="s">
        <v>3174</v>
      </c>
      <c r="F375" s="281">
        <v>3</v>
      </c>
      <c r="G375" s="281">
        <v>5010301000</v>
      </c>
      <c r="H375" t="s">
        <v>2028</v>
      </c>
      <c r="I375" t="s">
        <v>528</v>
      </c>
      <c r="J375" t="s">
        <v>10</v>
      </c>
      <c r="K375" t="s">
        <v>1113</v>
      </c>
      <c r="L375" s="552">
        <v>23955.72</v>
      </c>
      <c r="O375" t="s">
        <v>969</v>
      </c>
    </row>
    <row r="376" spans="1:15" hidden="1">
      <c r="A376" t="s">
        <v>942</v>
      </c>
      <c r="B376" t="s">
        <v>945</v>
      </c>
      <c r="C376" s="553">
        <v>44237</v>
      </c>
      <c r="D376" s="281" t="s">
        <v>4330</v>
      </c>
      <c r="E376" s="281" t="s">
        <v>3174</v>
      </c>
      <c r="F376" s="281">
        <v>3</v>
      </c>
      <c r="G376" s="281">
        <v>5010000000</v>
      </c>
      <c r="H376" t="s">
        <v>2029</v>
      </c>
      <c r="I376" t="s">
        <v>530</v>
      </c>
      <c r="J376" t="s">
        <v>10</v>
      </c>
      <c r="K376" t="s">
        <v>1113</v>
      </c>
      <c r="L376" s="552">
        <v>500</v>
      </c>
      <c r="O376" t="s">
        <v>967</v>
      </c>
    </row>
    <row r="377" spans="1:15" hidden="1">
      <c r="A377" t="s">
        <v>942</v>
      </c>
      <c r="B377" t="s">
        <v>945</v>
      </c>
      <c r="C377" s="553">
        <v>44237</v>
      </c>
      <c r="D377" s="281" t="s">
        <v>4330</v>
      </c>
      <c r="E377" s="281" t="s">
        <v>3174</v>
      </c>
      <c r="F377" s="281">
        <v>3</v>
      </c>
      <c r="G377" s="281">
        <v>5010000000</v>
      </c>
      <c r="H377" t="s">
        <v>2030</v>
      </c>
      <c r="I377" t="s">
        <v>532</v>
      </c>
      <c r="J377" t="s">
        <v>10</v>
      </c>
      <c r="K377" t="s">
        <v>1113</v>
      </c>
      <c r="L377" s="552">
        <v>2593.35</v>
      </c>
      <c r="O377" t="s">
        <v>967</v>
      </c>
    </row>
    <row r="378" spans="1:15" hidden="1">
      <c r="A378" t="s">
        <v>942</v>
      </c>
      <c r="B378" t="s">
        <v>945</v>
      </c>
      <c r="C378" s="553">
        <v>44237</v>
      </c>
      <c r="D378" s="281" t="s">
        <v>4330</v>
      </c>
      <c r="E378" s="281" t="s">
        <v>3174</v>
      </c>
      <c r="F378" s="281">
        <v>3</v>
      </c>
      <c r="G378" s="281">
        <v>5010000000</v>
      </c>
      <c r="H378" t="s">
        <v>2031</v>
      </c>
      <c r="I378" t="s">
        <v>534</v>
      </c>
      <c r="J378" t="s">
        <v>10</v>
      </c>
      <c r="K378" t="s">
        <v>1113</v>
      </c>
      <c r="L378" s="552">
        <v>500</v>
      </c>
      <c r="O378" t="s">
        <v>967</v>
      </c>
    </row>
    <row r="379" spans="1:15" hidden="1">
      <c r="A379" t="s">
        <v>942</v>
      </c>
      <c r="B379" t="s">
        <v>945</v>
      </c>
      <c r="C379" s="553">
        <v>44237</v>
      </c>
      <c r="D379" s="281" t="s">
        <v>4330</v>
      </c>
      <c r="E379" s="281" t="s">
        <v>3174</v>
      </c>
      <c r="F379" s="281">
        <v>4</v>
      </c>
      <c r="G379" s="281">
        <v>5010000000</v>
      </c>
      <c r="H379" t="s">
        <v>2026</v>
      </c>
      <c r="I379" t="s">
        <v>499</v>
      </c>
      <c r="J379" t="s">
        <v>10</v>
      </c>
      <c r="K379" t="s">
        <v>1113</v>
      </c>
      <c r="L379" s="552">
        <v>190370</v>
      </c>
      <c r="O379" t="s">
        <v>970</v>
      </c>
    </row>
    <row r="380" spans="1:15" hidden="1">
      <c r="A380" t="s">
        <v>942</v>
      </c>
      <c r="B380" t="s">
        <v>945</v>
      </c>
      <c r="C380" s="553">
        <v>44237</v>
      </c>
      <c r="D380" s="281" t="s">
        <v>4330</v>
      </c>
      <c r="E380" s="281" t="s">
        <v>3174</v>
      </c>
      <c r="F380" s="281">
        <v>4</v>
      </c>
      <c r="G380" s="281">
        <v>5010000000</v>
      </c>
      <c r="H380" t="s">
        <v>2027</v>
      </c>
      <c r="I380" t="s">
        <v>504</v>
      </c>
      <c r="J380" t="s">
        <v>10</v>
      </c>
      <c r="K380" t="s">
        <v>1113</v>
      </c>
      <c r="L380" s="552">
        <v>10000</v>
      </c>
      <c r="O380" t="s">
        <v>970</v>
      </c>
    </row>
    <row r="381" spans="1:15" hidden="1">
      <c r="A381" t="s">
        <v>942</v>
      </c>
      <c r="B381" t="s">
        <v>945</v>
      </c>
      <c r="C381" s="553">
        <v>44237</v>
      </c>
      <c r="D381" s="281" t="s">
        <v>4330</v>
      </c>
      <c r="E381" s="281" t="s">
        <v>3174</v>
      </c>
      <c r="F381" s="281">
        <v>4</v>
      </c>
      <c r="G381" s="281">
        <v>5010301000</v>
      </c>
      <c r="H381" t="s">
        <v>2028</v>
      </c>
      <c r="I381" t="s">
        <v>528</v>
      </c>
      <c r="J381" t="s">
        <v>10</v>
      </c>
      <c r="K381" t="s">
        <v>1113</v>
      </c>
      <c r="L381" s="552">
        <v>22844.400000000001</v>
      </c>
      <c r="O381" t="s">
        <v>972</v>
      </c>
    </row>
    <row r="382" spans="1:15" hidden="1">
      <c r="A382" t="s">
        <v>942</v>
      </c>
      <c r="B382" t="s">
        <v>945</v>
      </c>
      <c r="C382" s="553">
        <v>44237</v>
      </c>
      <c r="D382" s="281" t="s">
        <v>4330</v>
      </c>
      <c r="E382" s="281" t="s">
        <v>3174</v>
      </c>
      <c r="F382" s="281">
        <v>4</v>
      </c>
      <c r="G382" s="281">
        <v>5010000000</v>
      </c>
      <c r="H382" t="s">
        <v>2029</v>
      </c>
      <c r="I382" t="s">
        <v>530</v>
      </c>
      <c r="J382" t="s">
        <v>10</v>
      </c>
      <c r="K382" t="s">
        <v>1113</v>
      </c>
      <c r="L382" s="552">
        <v>500</v>
      </c>
      <c r="O382" t="s">
        <v>970</v>
      </c>
    </row>
    <row r="383" spans="1:15" hidden="1">
      <c r="A383" t="s">
        <v>942</v>
      </c>
      <c r="B383" t="s">
        <v>945</v>
      </c>
      <c r="C383" s="553">
        <v>44237</v>
      </c>
      <c r="D383" s="281" t="s">
        <v>4330</v>
      </c>
      <c r="E383" s="281" t="s">
        <v>3174</v>
      </c>
      <c r="F383" s="281">
        <v>4</v>
      </c>
      <c r="G383" s="281">
        <v>5010000000</v>
      </c>
      <c r="H383" t="s">
        <v>2030</v>
      </c>
      <c r="I383" t="s">
        <v>532</v>
      </c>
      <c r="J383" t="s">
        <v>10</v>
      </c>
      <c r="K383" t="s">
        <v>1113</v>
      </c>
      <c r="L383" s="552">
        <v>2855.56</v>
      </c>
      <c r="O383" t="s">
        <v>970</v>
      </c>
    </row>
    <row r="384" spans="1:15" hidden="1">
      <c r="A384" t="s">
        <v>942</v>
      </c>
      <c r="B384" t="s">
        <v>945</v>
      </c>
      <c r="C384" s="553">
        <v>44237</v>
      </c>
      <c r="D384" s="281" t="s">
        <v>4330</v>
      </c>
      <c r="E384" s="281" t="s">
        <v>3174</v>
      </c>
      <c r="F384" s="281">
        <v>4</v>
      </c>
      <c r="G384" s="281">
        <v>5010000000</v>
      </c>
      <c r="H384" t="s">
        <v>2031</v>
      </c>
      <c r="I384" t="s">
        <v>534</v>
      </c>
      <c r="J384" t="s">
        <v>10</v>
      </c>
      <c r="K384" t="s">
        <v>1113</v>
      </c>
      <c r="L384" s="552">
        <v>500</v>
      </c>
      <c r="O384" t="s">
        <v>970</v>
      </c>
    </row>
    <row r="385" spans="1:15" hidden="1">
      <c r="A385" t="s">
        <v>942</v>
      </c>
      <c r="B385" t="s">
        <v>945</v>
      </c>
      <c r="C385" s="553">
        <v>44237</v>
      </c>
      <c r="D385" s="281" t="s">
        <v>4330</v>
      </c>
      <c r="E385" s="281" t="s">
        <v>3174</v>
      </c>
      <c r="F385" s="281">
        <v>5</v>
      </c>
      <c r="G385" s="281">
        <v>5010000000</v>
      </c>
      <c r="H385" t="s">
        <v>2026</v>
      </c>
      <c r="I385" t="s">
        <v>499</v>
      </c>
      <c r="J385" t="s">
        <v>10</v>
      </c>
      <c r="K385" t="s">
        <v>1113</v>
      </c>
      <c r="L385" s="552">
        <v>206068</v>
      </c>
      <c r="O385" t="s">
        <v>973</v>
      </c>
    </row>
    <row r="386" spans="1:15" hidden="1">
      <c r="A386" t="s">
        <v>942</v>
      </c>
      <c r="B386" t="s">
        <v>945</v>
      </c>
      <c r="C386" s="553">
        <v>44237</v>
      </c>
      <c r="D386" s="281" t="s">
        <v>4330</v>
      </c>
      <c r="E386" s="281" t="s">
        <v>3174</v>
      </c>
      <c r="F386" s="281">
        <v>5</v>
      </c>
      <c r="G386" s="281">
        <v>5010000000</v>
      </c>
      <c r="H386" t="s">
        <v>2027</v>
      </c>
      <c r="I386" t="s">
        <v>504</v>
      </c>
      <c r="J386" t="s">
        <v>10</v>
      </c>
      <c r="K386" t="s">
        <v>1113</v>
      </c>
      <c r="L386" s="552">
        <v>10000</v>
      </c>
      <c r="O386" t="s">
        <v>973</v>
      </c>
    </row>
    <row r="387" spans="1:15" hidden="1">
      <c r="A387" t="s">
        <v>942</v>
      </c>
      <c r="B387" t="s">
        <v>945</v>
      </c>
      <c r="C387" s="553">
        <v>44237</v>
      </c>
      <c r="D387" s="281" t="s">
        <v>4330</v>
      </c>
      <c r="E387" s="281" t="s">
        <v>3174</v>
      </c>
      <c r="F387" s="281">
        <v>5</v>
      </c>
      <c r="G387" s="281">
        <v>5010301000</v>
      </c>
      <c r="H387" t="s">
        <v>2028</v>
      </c>
      <c r="I387" t="s">
        <v>528</v>
      </c>
      <c r="J387" t="s">
        <v>10</v>
      </c>
      <c r="K387" t="s">
        <v>1113</v>
      </c>
      <c r="L387" s="552">
        <v>24728.16</v>
      </c>
      <c r="O387" t="s">
        <v>975</v>
      </c>
    </row>
    <row r="388" spans="1:15" hidden="1">
      <c r="A388" t="s">
        <v>942</v>
      </c>
      <c r="B388" t="s">
        <v>945</v>
      </c>
      <c r="C388" s="553">
        <v>44237</v>
      </c>
      <c r="D388" s="281" t="s">
        <v>4330</v>
      </c>
      <c r="E388" s="281" t="s">
        <v>3174</v>
      </c>
      <c r="F388" s="281">
        <v>5</v>
      </c>
      <c r="G388" s="281">
        <v>5010000000</v>
      </c>
      <c r="H388" t="s">
        <v>2029</v>
      </c>
      <c r="I388" t="s">
        <v>530</v>
      </c>
      <c r="J388" t="s">
        <v>10</v>
      </c>
      <c r="K388" t="s">
        <v>1113</v>
      </c>
      <c r="L388" s="552">
        <v>500</v>
      </c>
      <c r="O388" t="s">
        <v>973</v>
      </c>
    </row>
    <row r="389" spans="1:15" hidden="1">
      <c r="A389" t="s">
        <v>942</v>
      </c>
      <c r="B389" t="s">
        <v>945</v>
      </c>
      <c r="C389" s="553">
        <v>44237</v>
      </c>
      <c r="D389" s="281" t="s">
        <v>4330</v>
      </c>
      <c r="E389" s="281" t="s">
        <v>3174</v>
      </c>
      <c r="F389" s="281">
        <v>5</v>
      </c>
      <c r="G389" s="281">
        <v>5010000000</v>
      </c>
      <c r="H389" t="s">
        <v>2030</v>
      </c>
      <c r="I389" t="s">
        <v>532</v>
      </c>
      <c r="J389" t="s">
        <v>10</v>
      </c>
      <c r="K389" t="s">
        <v>1113</v>
      </c>
      <c r="L389" s="552">
        <v>3077.52</v>
      </c>
      <c r="O389" t="s">
        <v>973</v>
      </c>
    </row>
    <row r="390" spans="1:15" hidden="1">
      <c r="A390" t="s">
        <v>942</v>
      </c>
      <c r="B390" t="s">
        <v>945</v>
      </c>
      <c r="C390" s="553">
        <v>44237</v>
      </c>
      <c r="D390" s="281" t="s">
        <v>4330</v>
      </c>
      <c r="E390" s="281" t="s">
        <v>3174</v>
      </c>
      <c r="F390" s="281">
        <v>5</v>
      </c>
      <c r="G390" s="281">
        <v>5010000000</v>
      </c>
      <c r="H390" t="s">
        <v>2031</v>
      </c>
      <c r="I390" t="s">
        <v>534</v>
      </c>
      <c r="J390" t="s">
        <v>10</v>
      </c>
      <c r="K390" t="s">
        <v>1113</v>
      </c>
      <c r="L390" s="552">
        <v>500</v>
      </c>
      <c r="O390" t="s">
        <v>973</v>
      </c>
    </row>
    <row r="391" spans="1:15" hidden="1">
      <c r="A391" t="s">
        <v>942</v>
      </c>
      <c r="B391" t="s">
        <v>945</v>
      </c>
      <c r="C391" s="553">
        <v>44237</v>
      </c>
      <c r="D391" s="281" t="s">
        <v>4331</v>
      </c>
      <c r="E391" s="281" t="s">
        <v>3177</v>
      </c>
      <c r="F391" s="281">
        <v>1</v>
      </c>
      <c r="G391" s="281">
        <v>5010000000</v>
      </c>
      <c r="H391" t="s">
        <v>2026</v>
      </c>
      <c r="I391" t="s">
        <v>499</v>
      </c>
      <c r="J391" t="s">
        <v>777</v>
      </c>
      <c r="K391" t="s">
        <v>1113</v>
      </c>
      <c r="L391" s="552">
        <v>97270</v>
      </c>
      <c r="O391" t="s">
        <v>960</v>
      </c>
    </row>
    <row r="392" spans="1:15" hidden="1">
      <c r="A392" t="s">
        <v>942</v>
      </c>
      <c r="B392" t="s">
        <v>945</v>
      </c>
      <c r="C392" s="553">
        <v>44237</v>
      </c>
      <c r="D392" s="281" t="s">
        <v>4331</v>
      </c>
      <c r="E392" s="281" t="s">
        <v>3177</v>
      </c>
      <c r="F392" s="281">
        <v>1</v>
      </c>
      <c r="G392" s="281">
        <v>5010000000</v>
      </c>
      <c r="H392" t="s">
        <v>2027</v>
      </c>
      <c r="I392" t="s">
        <v>504</v>
      </c>
      <c r="J392" t="s">
        <v>777</v>
      </c>
      <c r="K392" t="s">
        <v>1113</v>
      </c>
      <c r="L392" s="552">
        <v>8000</v>
      </c>
      <c r="O392" t="s">
        <v>960</v>
      </c>
    </row>
    <row r="393" spans="1:15" hidden="1">
      <c r="A393" t="s">
        <v>942</v>
      </c>
      <c r="B393" t="s">
        <v>945</v>
      </c>
      <c r="C393" s="553">
        <v>44237</v>
      </c>
      <c r="D393" s="281" t="s">
        <v>4331</v>
      </c>
      <c r="E393" s="281" t="s">
        <v>3177</v>
      </c>
      <c r="F393" s="281">
        <v>1</v>
      </c>
      <c r="G393" s="281">
        <v>5010301000</v>
      </c>
      <c r="H393" t="s">
        <v>2028</v>
      </c>
      <c r="I393" t="s">
        <v>528</v>
      </c>
      <c r="J393" t="s">
        <v>777</v>
      </c>
      <c r="K393" t="s">
        <v>1113</v>
      </c>
      <c r="L393" s="552">
        <v>11672.4</v>
      </c>
      <c r="O393" t="s">
        <v>962</v>
      </c>
    </row>
    <row r="394" spans="1:15" hidden="1">
      <c r="A394" t="s">
        <v>942</v>
      </c>
      <c r="B394" t="s">
        <v>945</v>
      </c>
      <c r="C394" s="553">
        <v>44237</v>
      </c>
      <c r="D394" s="281" t="s">
        <v>4331</v>
      </c>
      <c r="E394" s="281" t="s">
        <v>3177</v>
      </c>
      <c r="F394" s="281">
        <v>1</v>
      </c>
      <c r="G394" s="281">
        <v>5010000000</v>
      </c>
      <c r="H394" t="s">
        <v>2029</v>
      </c>
      <c r="I394" t="s">
        <v>530</v>
      </c>
      <c r="J394" t="s">
        <v>777</v>
      </c>
      <c r="K394" t="s">
        <v>1113</v>
      </c>
      <c r="L394" s="552">
        <v>400</v>
      </c>
      <c r="O394" t="s">
        <v>960</v>
      </c>
    </row>
    <row r="395" spans="1:15" hidden="1">
      <c r="A395" t="s">
        <v>942</v>
      </c>
      <c r="B395" t="s">
        <v>945</v>
      </c>
      <c r="C395" s="553">
        <v>44237</v>
      </c>
      <c r="D395" s="281" t="s">
        <v>4331</v>
      </c>
      <c r="E395" s="281" t="s">
        <v>3177</v>
      </c>
      <c r="F395" s="281">
        <v>1</v>
      </c>
      <c r="G395" s="281">
        <v>5010000000</v>
      </c>
      <c r="H395" t="s">
        <v>2030</v>
      </c>
      <c r="I395" t="s">
        <v>532</v>
      </c>
      <c r="J395" t="s">
        <v>777</v>
      </c>
      <c r="K395" t="s">
        <v>1113</v>
      </c>
      <c r="L395" s="552">
        <v>1450.46</v>
      </c>
      <c r="O395" t="s">
        <v>960</v>
      </c>
    </row>
    <row r="396" spans="1:15" hidden="1">
      <c r="A396" t="s">
        <v>942</v>
      </c>
      <c r="B396" t="s">
        <v>945</v>
      </c>
      <c r="C396" s="553">
        <v>44237</v>
      </c>
      <c r="D396" s="281" t="s">
        <v>4331</v>
      </c>
      <c r="E396" s="281" t="s">
        <v>3177</v>
      </c>
      <c r="F396" s="281">
        <v>1</v>
      </c>
      <c r="G396" s="281">
        <v>5010000000</v>
      </c>
      <c r="H396" t="s">
        <v>2031</v>
      </c>
      <c r="I396" t="s">
        <v>534</v>
      </c>
      <c r="J396" t="s">
        <v>777</v>
      </c>
      <c r="K396" t="s">
        <v>1113</v>
      </c>
      <c r="L396" s="552">
        <v>400</v>
      </c>
      <c r="O396" t="s">
        <v>960</v>
      </c>
    </row>
    <row r="397" spans="1:15" hidden="1">
      <c r="A397" t="s">
        <v>942</v>
      </c>
      <c r="B397" t="s">
        <v>945</v>
      </c>
      <c r="C397" s="553">
        <v>44237</v>
      </c>
      <c r="D397" s="281" t="s">
        <v>4331</v>
      </c>
      <c r="E397" s="281" t="s">
        <v>3177</v>
      </c>
      <c r="F397" s="281">
        <v>2</v>
      </c>
      <c r="G397" s="281">
        <v>5010000000</v>
      </c>
      <c r="H397" t="s">
        <v>2026</v>
      </c>
      <c r="I397" t="s">
        <v>499</v>
      </c>
      <c r="J397" t="s">
        <v>777</v>
      </c>
      <c r="K397" t="s">
        <v>1113</v>
      </c>
      <c r="L397" s="552">
        <v>44184</v>
      </c>
      <c r="O397" t="s">
        <v>964</v>
      </c>
    </row>
    <row r="398" spans="1:15" hidden="1">
      <c r="A398" t="s">
        <v>942</v>
      </c>
      <c r="B398" t="s">
        <v>945</v>
      </c>
      <c r="C398" s="553">
        <v>44237</v>
      </c>
      <c r="D398" s="281" t="s">
        <v>4331</v>
      </c>
      <c r="E398" s="281" t="s">
        <v>3177</v>
      </c>
      <c r="F398" s="281">
        <v>2</v>
      </c>
      <c r="G398" s="281">
        <v>5010000000</v>
      </c>
      <c r="H398" t="s">
        <v>2027</v>
      </c>
      <c r="I398" t="s">
        <v>504</v>
      </c>
      <c r="J398" t="s">
        <v>777</v>
      </c>
      <c r="K398" t="s">
        <v>1113</v>
      </c>
      <c r="L398" s="552">
        <v>2000</v>
      </c>
      <c r="O398" t="s">
        <v>964</v>
      </c>
    </row>
    <row r="399" spans="1:15" hidden="1">
      <c r="A399" t="s">
        <v>942</v>
      </c>
      <c r="B399" t="s">
        <v>945</v>
      </c>
      <c r="C399" s="553">
        <v>44237</v>
      </c>
      <c r="D399" s="281" t="s">
        <v>4331</v>
      </c>
      <c r="E399" s="281" t="s">
        <v>3177</v>
      </c>
      <c r="F399" s="281">
        <v>2</v>
      </c>
      <c r="G399" s="281">
        <v>5010301000</v>
      </c>
      <c r="H399" t="s">
        <v>2028</v>
      </c>
      <c r="I399" t="s">
        <v>528</v>
      </c>
      <c r="J399" t="s">
        <v>777</v>
      </c>
      <c r="K399" t="s">
        <v>1113</v>
      </c>
      <c r="L399" s="552">
        <v>5302.08</v>
      </c>
      <c r="O399" t="s">
        <v>966</v>
      </c>
    </row>
    <row r="400" spans="1:15" hidden="1">
      <c r="A400" t="s">
        <v>942</v>
      </c>
      <c r="B400" t="s">
        <v>945</v>
      </c>
      <c r="C400" s="553">
        <v>44237</v>
      </c>
      <c r="D400" s="281" t="s">
        <v>4331</v>
      </c>
      <c r="E400" s="281" t="s">
        <v>3177</v>
      </c>
      <c r="F400" s="281">
        <v>2</v>
      </c>
      <c r="G400" s="281">
        <v>5010000000</v>
      </c>
      <c r="H400" t="s">
        <v>2029</v>
      </c>
      <c r="I400" t="s">
        <v>530</v>
      </c>
      <c r="J400" t="s">
        <v>777</v>
      </c>
      <c r="K400" t="s">
        <v>1113</v>
      </c>
      <c r="L400" s="552">
        <v>100</v>
      </c>
      <c r="O400" t="s">
        <v>964</v>
      </c>
    </row>
    <row r="401" spans="1:15" hidden="1">
      <c r="A401" t="s">
        <v>942</v>
      </c>
      <c r="B401" t="s">
        <v>945</v>
      </c>
      <c r="C401" s="553">
        <v>44237</v>
      </c>
      <c r="D401" s="281" t="s">
        <v>4331</v>
      </c>
      <c r="E401" s="281" t="s">
        <v>3177</v>
      </c>
      <c r="F401" s="281">
        <v>2</v>
      </c>
      <c r="G401" s="281">
        <v>5010000000</v>
      </c>
      <c r="H401" t="s">
        <v>2030</v>
      </c>
      <c r="I401" t="s">
        <v>532</v>
      </c>
      <c r="J401" t="s">
        <v>777</v>
      </c>
      <c r="K401" t="s">
        <v>1113</v>
      </c>
      <c r="L401" s="552">
        <v>662.76</v>
      </c>
      <c r="O401" t="s">
        <v>964</v>
      </c>
    </row>
    <row r="402" spans="1:15" hidden="1">
      <c r="A402" t="s">
        <v>942</v>
      </c>
      <c r="B402" t="s">
        <v>945</v>
      </c>
      <c r="C402" s="553">
        <v>44237</v>
      </c>
      <c r="D402" s="281" t="s">
        <v>4331</v>
      </c>
      <c r="E402" s="281" t="s">
        <v>3177</v>
      </c>
      <c r="F402" s="281">
        <v>2</v>
      </c>
      <c r="G402" s="281">
        <v>5010000000</v>
      </c>
      <c r="H402" t="s">
        <v>2031</v>
      </c>
      <c r="I402" t="s">
        <v>534</v>
      </c>
      <c r="J402" t="s">
        <v>777</v>
      </c>
      <c r="K402" t="s">
        <v>1113</v>
      </c>
      <c r="L402" s="552">
        <v>100</v>
      </c>
      <c r="O402" t="s">
        <v>964</v>
      </c>
    </row>
    <row r="403" spans="1:15" hidden="1">
      <c r="A403" t="s">
        <v>942</v>
      </c>
      <c r="B403" t="s">
        <v>945</v>
      </c>
      <c r="C403" s="553">
        <v>44237</v>
      </c>
      <c r="D403" s="281" t="s">
        <v>4331</v>
      </c>
      <c r="E403" s="281" t="s">
        <v>3177</v>
      </c>
      <c r="F403" s="281">
        <v>4</v>
      </c>
      <c r="G403" s="281">
        <v>5010000000</v>
      </c>
      <c r="H403" t="s">
        <v>2026</v>
      </c>
      <c r="I403" t="s">
        <v>499</v>
      </c>
      <c r="J403" t="s">
        <v>777</v>
      </c>
      <c r="K403" t="s">
        <v>1113</v>
      </c>
      <c r="L403" s="552">
        <v>67911</v>
      </c>
      <c r="O403" t="s">
        <v>970</v>
      </c>
    </row>
    <row r="404" spans="1:15" hidden="1">
      <c r="A404" t="s">
        <v>942</v>
      </c>
      <c r="B404" t="s">
        <v>945</v>
      </c>
      <c r="C404" s="553">
        <v>44237</v>
      </c>
      <c r="D404" s="281" t="s">
        <v>4331</v>
      </c>
      <c r="E404" s="281" t="s">
        <v>3177</v>
      </c>
      <c r="F404" s="281">
        <v>4</v>
      </c>
      <c r="G404" s="281">
        <v>5010000000</v>
      </c>
      <c r="H404" t="s">
        <v>2027</v>
      </c>
      <c r="I404" t="s">
        <v>504</v>
      </c>
      <c r="J404" t="s">
        <v>777</v>
      </c>
      <c r="K404" t="s">
        <v>1113</v>
      </c>
      <c r="L404" s="552">
        <v>4000</v>
      </c>
      <c r="O404" t="s">
        <v>970</v>
      </c>
    </row>
    <row r="405" spans="1:15" hidden="1">
      <c r="A405" t="s">
        <v>942</v>
      </c>
      <c r="B405" t="s">
        <v>945</v>
      </c>
      <c r="C405" s="553">
        <v>44237</v>
      </c>
      <c r="D405" s="281" t="s">
        <v>4331</v>
      </c>
      <c r="E405" s="281" t="s">
        <v>3177</v>
      </c>
      <c r="F405" s="281">
        <v>4</v>
      </c>
      <c r="G405" s="281">
        <v>5010301000</v>
      </c>
      <c r="H405" t="s">
        <v>2028</v>
      </c>
      <c r="I405" t="s">
        <v>528</v>
      </c>
      <c r="J405" t="s">
        <v>777</v>
      </c>
      <c r="K405" t="s">
        <v>1113</v>
      </c>
      <c r="L405" s="552">
        <v>8149.32</v>
      </c>
      <c r="O405" t="s">
        <v>972</v>
      </c>
    </row>
    <row r="406" spans="1:15" hidden="1">
      <c r="A406" t="s">
        <v>942</v>
      </c>
      <c r="B406" t="s">
        <v>945</v>
      </c>
      <c r="C406" s="553">
        <v>44237</v>
      </c>
      <c r="D406" s="281" t="s">
        <v>4331</v>
      </c>
      <c r="E406" s="281" t="s">
        <v>3177</v>
      </c>
      <c r="F406" s="281">
        <v>4</v>
      </c>
      <c r="G406" s="281">
        <v>5010000000</v>
      </c>
      <c r="H406" t="s">
        <v>2029</v>
      </c>
      <c r="I406" t="s">
        <v>530</v>
      </c>
      <c r="J406" t="s">
        <v>777</v>
      </c>
      <c r="K406" t="s">
        <v>1113</v>
      </c>
      <c r="L406" s="552">
        <v>200</v>
      </c>
      <c r="O406" t="s">
        <v>970</v>
      </c>
    </row>
    <row r="407" spans="1:15" hidden="1">
      <c r="A407" t="s">
        <v>942</v>
      </c>
      <c r="B407" t="s">
        <v>945</v>
      </c>
      <c r="C407" s="553">
        <v>44237</v>
      </c>
      <c r="D407" s="281" t="s">
        <v>4331</v>
      </c>
      <c r="E407" s="281" t="s">
        <v>3177</v>
      </c>
      <c r="F407" s="281">
        <v>4</v>
      </c>
      <c r="G407" s="281">
        <v>5010000000</v>
      </c>
      <c r="H407" t="s">
        <v>2030</v>
      </c>
      <c r="I407" t="s">
        <v>532</v>
      </c>
      <c r="J407" t="s">
        <v>777</v>
      </c>
      <c r="K407" t="s">
        <v>1113</v>
      </c>
      <c r="L407" s="552">
        <v>1018.67</v>
      </c>
      <c r="O407" t="s">
        <v>970</v>
      </c>
    </row>
    <row r="408" spans="1:15" hidden="1">
      <c r="A408" t="s">
        <v>942</v>
      </c>
      <c r="B408" t="s">
        <v>945</v>
      </c>
      <c r="C408" s="553">
        <v>44237</v>
      </c>
      <c r="D408" s="281" t="s">
        <v>4331</v>
      </c>
      <c r="E408" s="281" t="s">
        <v>3177</v>
      </c>
      <c r="F408" s="281">
        <v>4</v>
      </c>
      <c r="G408" s="281">
        <v>5010000000</v>
      </c>
      <c r="H408" t="s">
        <v>2031</v>
      </c>
      <c r="I408" t="s">
        <v>534</v>
      </c>
      <c r="J408" t="s">
        <v>777</v>
      </c>
      <c r="K408" t="s">
        <v>1113</v>
      </c>
      <c r="L408" s="552">
        <v>200</v>
      </c>
      <c r="O408" t="s">
        <v>970</v>
      </c>
    </row>
    <row r="409" spans="1:15" hidden="1">
      <c r="A409" t="s">
        <v>942</v>
      </c>
      <c r="B409" t="s">
        <v>945</v>
      </c>
      <c r="C409" s="553">
        <v>44237</v>
      </c>
      <c r="D409" s="281" t="s">
        <v>4331</v>
      </c>
      <c r="E409" s="281" t="s">
        <v>3177</v>
      </c>
      <c r="F409" s="281">
        <v>5</v>
      </c>
      <c r="G409" s="281">
        <v>5010000000</v>
      </c>
      <c r="H409" t="s">
        <v>2026</v>
      </c>
      <c r="I409" t="s">
        <v>499</v>
      </c>
      <c r="J409" t="s">
        <v>777</v>
      </c>
      <c r="K409" t="s">
        <v>1113</v>
      </c>
      <c r="L409" s="552">
        <v>149727</v>
      </c>
      <c r="O409" t="s">
        <v>973</v>
      </c>
    </row>
    <row r="410" spans="1:15" hidden="1">
      <c r="A410" t="s">
        <v>942</v>
      </c>
      <c r="B410" t="s">
        <v>945</v>
      </c>
      <c r="C410" s="553">
        <v>44237</v>
      </c>
      <c r="D410" s="281" t="s">
        <v>4331</v>
      </c>
      <c r="E410" s="281" t="s">
        <v>3177</v>
      </c>
      <c r="F410" s="281">
        <v>5</v>
      </c>
      <c r="G410" s="281">
        <v>5010000000</v>
      </c>
      <c r="H410" t="s">
        <v>2027</v>
      </c>
      <c r="I410" t="s">
        <v>504</v>
      </c>
      <c r="J410" t="s">
        <v>777</v>
      </c>
      <c r="K410" t="s">
        <v>1113</v>
      </c>
      <c r="L410" s="552">
        <v>6000</v>
      </c>
      <c r="O410" t="s">
        <v>973</v>
      </c>
    </row>
    <row r="411" spans="1:15" hidden="1">
      <c r="A411" t="s">
        <v>942</v>
      </c>
      <c r="B411" t="s">
        <v>945</v>
      </c>
      <c r="C411" s="553">
        <v>44237</v>
      </c>
      <c r="D411" s="281" t="s">
        <v>4331</v>
      </c>
      <c r="E411" s="281" t="s">
        <v>3177</v>
      </c>
      <c r="F411" s="281">
        <v>5</v>
      </c>
      <c r="G411" s="281">
        <v>5010301000</v>
      </c>
      <c r="H411" t="s">
        <v>2028</v>
      </c>
      <c r="I411" t="s">
        <v>528</v>
      </c>
      <c r="J411" t="s">
        <v>777</v>
      </c>
      <c r="K411" t="s">
        <v>1113</v>
      </c>
      <c r="L411" s="552">
        <v>17967.240000000002</v>
      </c>
      <c r="O411" t="s">
        <v>975</v>
      </c>
    </row>
    <row r="412" spans="1:15" hidden="1">
      <c r="A412" t="s">
        <v>942</v>
      </c>
      <c r="B412" t="s">
        <v>945</v>
      </c>
      <c r="C412" s="553">
        <v>44237</v>
      </c>
      <c r="D412" s="281" t="s">
        <v>4331</v>
      </c>
      <c r="E412" s="281" t="s">
        <v>3177</v>
      </c>
      <c r="F412" s="281">
        <v>5</v>
      </c>
      <c r="G412" s="281">
        <v>5010000000</v>
      </c>
      <c r="H412" t="s">
        <v>2029</v>
      </c>
      <c r="I412" t="s">
        <v>530</v>
      </c>
      <c r="J412" t="s">
        <v>777</v>
      </c>
      <c r="K412" t="s">
        <v>1113</v>
      </c>
      <c r="L412" s="552">
        <v>300</v>
      </c>
      <c r="O412" t="s">
        <v>973</v>
      </c>
    </row>
    <row r="413" spans="1:15" hidden="1">
      <c r="A413" t="s">
        <v>942</v>
      </c>
      <c r="B413" t="s">
        <v>945</v>
      </c>
      <c r="C413" s="553">
        <v>44237</v>
      </c>
      <c r="D413" s="281" t="s">
        <v>4331</v>
      </c>
      <c r="E413" s="281" t="s">
        <v>3177</v>
      </c>
      <c r="F413" s="281">
        <v>5</v>
      </c>
      <c r="G413" s="281">
        <v>5010000000</v>
      </c>
      <c r="H413" t="s">
        <v>2030</v>
      </c>
      <c r="I413" t="s">
        <v>532</v>
      </c>
      <c r="J413" t="s">
        <v>777</v>
      </c>
      <c r="K413" t="s">
        <v>1113</v>
      </c>
      <c r="L413" s="552">
        <v>2087.44</v>
      </c>
      <c r="O413" t="s">
        <v>973</v>
      </c>
    </row>
    <row r="414" spans="1:15" hidden="1">
      <c r="A414" t="s">
        <v>942</v>
      </c>
      <c r="B414" t="s">
        <v>945</v>
      </c>
      <c r="C414" s="553">
        <v>44237</v>
      </c>
      <c r="D414" s="281" t="s">
        <v>4331</v>
      </c>
      <c r="E414" s="281" t="s">
        <v>3177</v>
      </c>
      <c r="F414" s="281">
        <v>5</v>
      </c>
      <c r="G414" s="281">
        <v>5010000000</v>
      </c>
      <c r="H414" t="s">
        <v>2031</v>
      </c>
      <c r="I414" t="s">
        <v>534</v>
      </c>
      <c r="J414" t="s">
        <v>777</v>
      </c>
      <c r="K414" t="s">
        <v>1113</v>
      </c>
      <c r="L414" s="552">
        <v>300</v>
      </c>
      <c r="O414" t="s">
        <v>973</v>
      </c>
    </row>
    <row r="415" spans="1:15" hidden="1">
      <c r="A415" t="s">
        <v>942</v>
      </c>
      <c r="B415" t="s">
        <v>945</v>
      </c>
      <c r="C415" s="553">
        <v>44237</v>
      </c>
      <c r="D415" s="281" t="s">
        <v>4332</v>
      </c>
      <c r="E415" s="281" t="s">
        <v>3179</v>
      </c>
      <c r="F415" s="281">
        <v>1</v>
      </c>
      <c r="G415" s="281">
        <v>5010000000</v>
      </c>
      <c r="H415" t="s">
        <v>2026</v>
      </c>
      <c r="I415" t="s">
        <v>499</v>
      </c>
      <c r="J415" t="s">
        <v>765</v>
      </c>
      <c r="K415" t="s">
        <v>1113</v>
      </c>
      <c r="L415" s="552">
        <v>57452</v>
      </c>
      <c r="O415" t="s">
        <v>960</v>
      </c>
    </row>
    <row r="416" spans="1:15" hidden="1">
      <c r="A416" t="s">
        <v>942</v>
      </c>
      <c r="B416" t="s">
        <v>945</v>
      </c>
      <c r="C416" s="553">
        <v>44237</v>
      </c>
      <c r="D416" s="281" t="s">
        <v>4332</v>
      </c>
      <c r="E416" s="281" t="s">
        <v>3179</v>
      </c>
      <c r="F416" s="281">
        <v>1</v>
      </c>
      <c r="G416" s="281">
        <v>5010000000</v>
      </c>
      <c r="H416" t="s">
        <v>2027</v>
      </c>
      <c r="I416" t="s">
        <v>504</v>
      </c>
      <c r="J416" t="s">
        <v>765</v>
      </c>
      <c r="K416" t="s">
        <v>1113</v>
      </c>
      <c r="L416" s="552">
        <v>4000</v>
      </c>
      <c r="O416" t="s">
        <v>960</v>
      </c>
    </row>
    <row r="417" spans="1:15" hidden="1">
      <c r="A417" t="s">
        <v>942</v>
      </c>
      <c r="B417" t="s">
        <v>945</v>
      </c>
      <c r="C417" s="553">
        <v>44237</v>
      </c>
      <c r="D417" s="281" t="s">
        <v>4332</v>
      </c>
      <c r="E417" s="281" t="s">
        <v>3179</v>
      </c>
      <c r="F417" s="281">
        <v>1</v>
      </c>
      <c r="G417" s="281">
        <v>5010301000</v>
      </c>
      <c r="H417" t="s">
        <v>2028</v>
      </c>
      <c r="I417" t="s">
        <v>528</v>
      </c>
      <c r="J417" t="s">
        <v>765</v>
      </c>
      <c r="K417" t="s">
        <v>1113</v>
      </c>
      <c r="L417" s="552">
        <v>6894.24</v>
      </c>
      <c r="O417" t="s">
        <v>962</v>
      </c>
    </row>
    <row r="418" spans="1:15" hidden="1">
      <c r="A418" t="s">
        <v>942</v>
      </c>
      <c r="B418" t="s">
        <v>945</v>
      </c>
      <c r="C418" s="553">
        <v>44237</v>
      </c>
      <c r="D418" s="281" t="s">
        <v>4332</v>
      </c>
      <c r="E418" s="281" t="s">
        <v>3179</v>
      </c>
      <c r="F418" s="281">
        <v>1</v>
      </c>
      <c r="G418" s="281">
        <v>5010000000</v>
      </c>
      <c r="H418" t="s">
        <v>2029</v>
      </c>
      <c r="I418" t="s">
        <v>530</v>
      </c>
      <c r="J418" t="s">
        <v>765</v>
      </c>
      <c r="K418" t="s">
        <v>1113</v>
      </c>
      <c r="L418" s="552">
        <v>200</v>
      </c>
      <c r="O418" t="s">
        <v>960</v>
      </c>
    </row>
    <row r="419" spans="1:15" hidden="1">
      <c r="A419" t="s">
        <v>942</v>
      </c>
      <c r="B419" t="s">
        <v>945</v>
      </c>
      <c r="C419" s="553">
        <v>44237</v>
      </c>
      <c r="D419" s="281" t="s">
        <v>4332</v>
      </c>
      <c r="E419" s="281" t="s">
        <v>3179</v>
      </c>
      <c r="F419" s="281">
        <v>1</v>
      </c>
      <c r="G419" s="281">
        <v>5010000000</v>
      </c>
      <c r="H419" t="s">
        <v>2030</v>
      </c>
      <c r="I419" t="s">
        <v>532</v>
      </c>
      <c r="J419" t="s">
        <v>765</v>
      </c>
      <c r="K419" t="s">
        <v>1113</v>
      </c>
      <c r="L419" s="552">
        <v>861.79</v>
      </c>
      <c r="O419" t="s">
        <v>960</v>
      </c>
    </row>
    <row r="420" spans="1:15" hidden="1">
      <c r="A420" t="s">
        <v>942</v>
      </c>
      <c r="B420" t="s">
        <v>945</v>
      </c>
      <c r="C420" s="553">
        <v>44237</v>
      </c>
      <c r="D420" s="281" t="s">
        <v>4332</v>
      </c>
      <c r="E420" s="281" t="s">
        <v>3179</v>
      </c>
      <c r="F420" s="281">
        <v>1</v>
      </c>
      <c r="G420" s="281">
        <v>5010000000</v>
      </c>
      <c r="H420" t="s">
        <v>2031</v>
      </c>
      <c r="I420" t="s">
        <v>534</v>
      </c>
      <c r="J420" t="s">
        <v>765</v>
      </c>
      <c r="K420" t="s">
        <v>1113</v>
      </c>
      <c r="L420" s="552">
        <v>200</v>
      </c>
      <c r="O420" t="s">
        <v>960</v>
      </c>
    </row>
    <row r="421" spans="1:15" hidden="1">
      <c r="A421" t="s">
        <v>942</v>
      </c>
      <c r="B421" t="s">
        <v>945</v>
      </c>
      <c r="C421" s="553">
        <v>44237</v>
      </c>
      <c r="D421" s="281" t="s">
        <v>4332</v>
      </c>
      <c r="E421" s="281" t="s">
        <v>3179</v>
      </c>
      <c r="F421" s="281">
        <v>2</v>
      </c>
      <c r="G421" s="281">
        <v>5010000000</v>
      </c>
      <c r="H421" t="s">
        <v>2026</v>
      </c>
      <c r="I421" t="s">
        <v>499</v>
      </c>
      <c r="J421" t="s">
        <v>765</v>
      </c>
      <c r="K421" t="s">
        <v>1113</v>
      </c>
      <c r="L421" s="552">
        <v>111742</v>
      </c>
      <c r="O421" t="s">
        <v>964</v>
      </c>
    </row>
    <row r="422" spans="1:15" hidden="1">
      <c r="A422" t="s">
        <v>942</v>
      </c>
      <c r="B422" t="s">
        <v>945</v>
      </c>
      <c r="C422" s="553">
        <v>44237</v>
      </c>
      <c r="D422" s="281" t="s">
        <v>4332</v>
      </c>
      <c r="E422" s="281" t="s">
        <v>3179</v>
      </c>
      <c r="F422" s="281">
        <v>2</v>
      </c>
      <c r="G422" s="281">
        <v>5010000000</v>
      </c>
      <c r="H422" t="s">
        <v>2027</v>
      </c>
      <c r="I422" t="s">
        <v>504</v>
      </c>
      <c r="J422" t="s">
        <v>765</v>
      </c>
      <c r="K422" t="s">
        <v>1113</v>
      </c>
      <c r="L422" s="552">
        <v>2000</v>
      </c>
      <c r="O422" t="s">
        <v>964</v>
      </c>
    </row>
    <row r="423" spans="1:15" hidden="1">
      <c r="A423" t="s">
        <v>942</v>
      </c>
      <c r="B423" t="s">
        <v>945</v>
      </c>
      <c r="C423" s="553">
        <v>44237</v>
      </c>
      <c r="D423" s="281" t="s">
        <v>4332</v>
      </c>
      <c r="E423" s="281" t="s">
        <v>3179</v>
      </c>
      <c r="F423" s="281">
        <v>2</v>
      </c>
      <c r="G423" s="281">
        <v>5010301000</v>
      </c>
      <c r="H423" t="s">
        <v>2028</v>
      </c>
      <c r="I423" t="s">
        <v>528</v>
      </c>
      <c r="J423" t="s">
        <v>765</v>
      </c>
      <c r="K423" t="s">
        <v>1113</v>
      </c>
      <c r="L423" s="552">
        <v>13409.04</v>
      </c>
      <c r="O423" t="s">
        <v>966</v>
      </c>
    </row>
    <row r="424" spans="1:15" hidden="1">
      <c r="A424" t="s">
        <v>942</v>
      </c>
      <c r="B424" t="s">
        <v>945</v>
      </c>
      <c r="C424" s="553">
        <v>44237</v>
      </c>
      <c r="D424" s="281" t="s">
        <v>4332</v>
      </c>
      <c r="E424" s="281" t="s">
        <v>3179</v>
      </c>
      <c r="F424" s="281">
        <v>2</v>
      </c>
      <c r="G424" s="281">
        <v>5010000000</v>
      </c>
      <c r="H424" t="s">
        <v>2029</v>
      </c>
      <c r="I424" t="s">
        <v>530</v>
      </c>
      <c r="J424" t="s">
        <v>765</v>
      </c>
      <c r="K424" t="s">
        <v>1113</v>
      </c>
      <c r="L424" s="552">
        <v>100</v>
      </c>
      <c r="O424" t="s">
        <v>964</v>
      </c>
    </row>
    <row r="425" spans="1:15" hidden="1">
      <c r="A425" t="s">
        <v>942</v>
      </c>
      <c r="B425" t="s">
        <v>945</v>
      </c>
      <c r="C425" s="553">
        <v>44237</v>
      </c>
      <c r="D425" s="281" t="s">
        <v>4332</v>
      </c>
      <c r="E425" s="281" t="s">
        <v>3179</v>
      </c>
      <c r="F425" s="281">
        <v>2</v>
      </c>
      <c r="G425" s="281">
        <v>5010000000</v>
      </c>
      <c r="H425" t="s">
        <v>2030</v>
      </c>
      <c r="I425" t="s">
        <v>532</v>
      </c>
      <c r="J425" t="s">
        <v>765</v>
      </c>
      <c r="K425" t="s">
        <v>1113</v>
      </c>
      <c r="L425" s="552">
        <v>900</v>
      </c>
      <c r="O425" t="s">
        <v>964</v>
      </c>
    </row>
    <row r="426" spans="1:15" hidden="1">
      <c r="A426" t="s">
        <v>942</v>
      </c>
      <c r="B426" t="s">
        <v>945</v>
      </c>
      <c r="C426" s="553">
        <v>44237</v>
      </c>
      <c r="D426" s="281" t="s">
        <v>4332</v>
      </c>
      <c r="E426" s="281" t="s">
        <v>3179</v>
      </c>
      <c r="F426" s="281">
        <v>2</v>
      </c>
      <c r="G426" s="281">
        <v>5010000000</v>
      </c>
      <c r="H426" t="s">
        <v>2031</v>
      </c>
      <c r="I426" t="s">
        <v>534</v>
      </c>
      <c r="J426" t="s">
        <v>765</v>
      </c>
      <c r="K426" t="s">
        <v>1113</v>
      </c>
      <c r="L426" s="552">
        <v>100</v>
      </c>
      <c r="O426" t="s">
        <v>964</v>
      </c>
    </row>
    <row r="427" spans="1:15" hidden="1">
      <c r="A427" t="s">
        <v>942</v>
      </c>
      <c r="B427" t="s">
        <v>945</v>
      </c>
      <c r="C427" s="553">
        <v>44237</v>
      </c>
      <c r="D427" s="281" t="s">
        <v>4332</v>
      </c>
      <c r="E427" s="281" t="s">
        <v>3179</v>
      </c>
      <c r="F427" s="281">
        <v>3</v>
      </c>
      <c r="G427" s="281">
        <v>5010000000</v>
      </c>
      <c r="H427" t="s">
        <v>2026</v>
      </c>
      <c r="I427" t="s">
        <v>499</v>
      </c>
      <c r="J427" t="s">
        <v>765</v>
      </c>
      <c r="K427" t="s">
        <v>1113</v>
      </c>
      <c r="L427" s="552">
        <v>81329</v>
      </c>
      <c r="O427" t="s">
        <v>967</v>
      </c>
    </row>
    <row r="428" spans="1:15" hidden="1">
      <c r="A428" t="s">
        <v>942</v>
      </c>
      <c r="B428" t="s">
        <v>945</v>
      </c>
      <c r="C428" s="553">
        <v>44237</v>
      </c>
      <c r="D428" s="281" t="s">
        <v>4332</v>
      </c>
      <c r="E428" s="281" t="s">
        <v>3179</v>
      </c>
      <c r="F428" s="281">
        <v>3</v>
      </c>
      <c r="G428" s="281">
        <v>5010000000</v>
      </c>
      <c r="H428" t="s">
        <v>2027</v>
      </c>
      <c r="I428" t="s">
        <v>504</v>
      </c>
      <c r="J428" t="s">
        <v>765</v>
      </c>
      <c r="K428" t="s">
        <v>1113</v>
      </c>
      <c r="L428" s="552">
        <v>6000</v>
      </c>
      <c r="O428" t="s">
        <v>967</v>
      </c>
    </row>
    <row r="429" spans="1:15" hidden="1">
      <c r="A429" t="s">
        <v>942</v>
      </c>
      <c r="B429" t="s">
        <v>945</v>
      </c>
      <c r="C429" s="553">
        <v>44237</v>
      </c>
      <c r="D429" s="281" t="s">
        <v>4332</v>
      </c>
      <c r="E429" s="281" t="s">
        <v>3179</v>
      </c>
      <c r="F429" s="281">
        <v>3</v>
      </c>
      <c r="G429" s="281">
        <v>5010301000</v>
      </c>
      <c r="H429" t="s">
        <v>2028</v>
      </c>
      <c r="I429" t="s">
        <v>528</v>
      </c>
      <c r="J429" t="s">
        <v>765</v>
      </c>
      <c r="K429" t="s">
        <v>1113</v>
      </c>
      <c r="L429" s="552">
        <v>9759.48</v>
      </c>
      <c r="O429" t="s">
        <v>969</v>
      </c>
    </row>
    <row r="430" spans="1:15" hidden="1">
      <c r="A430" t="s">
        <v>942</v>
      </c>
      <c r="B430" t="s">
        <v>945</v>
      </c>
      <c r="C430" s="553">
        <v>44237</v>
      </c>
      <c r="D430" s="281" t="s">
        <v>4332</v>
      </c>
      <c r="E430" s="281" t="s">
        <v>3179</v>
      </c>
      <c r="F430" s="281">
        <v>3</v>
      </c>
      <c r="G430" s="281">
        <v>5010000000</v>
      </c>
      <c r="H430" t="s">
        <v>2029</v>
      </c>
      <c r="I430" t="s">
        <v>530</v>
      </c>
      <c r="J430" t="s">
        <v>765</v>
      </c>
      <c r="K430" t="s">
        <v>1113</v>
      </c>
      <c r="L430" s="552">
        <v>300</v>
      </c>
      <c r="O430" t="s">
        <v>967</v>
      </c>
    </row>
    <row r="431" spans="1:15" hidden="1">
      <c r="A431" t="s">
        <v>942</v>
      </c>
      <c r="B431" t="s">
        <v>945</v>
      </c>
      <c r="C431" s="553">
        <v>44237</v>
      </c>
      <c r="D431" s="281" t="s">
        <v>4332</v>
      </c>
      <c r="E431" s="281" t="s">
        <v>3179</v>
      </c>
      <c r="F431" s="281">
        <v>3</v>
      </c>
      <c r="G431" s="281">
        <v>5010000000</v>
      </c>
      <c r="H431" t="s">
        <v>2030</v>
      </c>
      <c r="I431" t="s">
        <v>532</v>
      </c>
      <c r="J431" t="s">
        <v>765</v>
      </c>
      <c r="K431" t="s">
        <v>1113</v>
      </c>
      <c r="L431" s="552">
        <v>1219.95</v>
      </c>
      <c r="O431" t="s">
        <v>967</v>
      </c>
    </row>
    <row r="432" spans="1:15" hidden="1">
      <c r="A432" t="s">
        <v>942</v>
      </c>
      <c r="B432" t="s">
        <v>945</v>
      </c>
      <c r="C432" s="553">
        <v>44237</v>
      </c>
      <c r="D432" s="281" t="s">
        <v>4332</v>
      </c>
      <c r="E432" s="281" t="s">
        <v>3179</v>
      </c>
      <c r="F432" s="281">
        <v>3</v>
      </c>
      <c r="G432" s="281">
        <v>5010000000</v>
      </c>
      <c r="H432" t="s">
        <v>2031</v>
      </c>
      <c r="I432" t="s">
        <v>534</v>
      </c>
      <c r="J432" t="s">
        <v>765</v>
      </c>
      <c r="K432" t="s">
        <v>1113</v>
      </c>
      <c r="L432" s="552">
        <v>300</v>
      </c>
      <c r="O432" t="s">
        <v>967</v>
      </c>
    </row>
    <row r="433" spans="1:15" hidden="1">
      <c r="A433" t="s">
        <v>942</v>
      </c>
      <c r="B433" t="s">
        <v>945</v>
      </c>
      <c r="C433" s="553">
        <v>44237</v>
      </c>
      <c r="D433" s="281" t="s">
        <v>4332</v>
      </c>
      <c r="E433" s="281" t="s">
        <v>3179</v>
      </c>
      <c r="F433" s="281">
        <v>4</v>
      </c>
      <c r="G433" s="281">
        <v>5010000000</v>
      </c>
      <c r="H433" t="s">
        <v>2026</v>
      </c>
      <c r="I433" t="s">
        <v>499</v>
      </c>
      <c r="J433" t="s">
        <v>765</v>
      </c>
      <c r="K433" t="s">
        <v>1113</v>
      </c>
      <c r="L433" s="552">
        <v>78017</v>
      </c>
      <c r="O433" t="s">
        <v>970</v>
      </c>
    </row>
    <row r="434" spans="1:15" hidden="1">
      <c r="A434" t="s">
        <v>942</v>
      </c>
      <c r="B434" t="s">
        <v>945</v>
      </c>
      <c r="C434" s="553">
        <v>44237</v>
      </c>
      <c r="D434" s="281" t="s">
        <v>4332</v>
      </c>
      <c r="E434" s="281" t="s">
        <v>3179</v>
      </c>
      <c r="F434" s="281">
        <v>4</v>
      </c>
      <c r="G434" s="281">
        <v>5010000000</v>
      </c>
      <c r="H434" t="s">
        <v>2027</v>
      </c>
      <c r="I434" t="s">
        <v>504</v>
      </c>
      <c r="J434" t="s">
        <v>765</v>
      </c>
      <c r="K434" t="s">
        <v>1113</v>
      </c>
      <c r="L434" s="552">
        <v>4000</v>
      </c>
      <c r="O434" t="s">
        <v>970</v>
      </c>
    </row>
    <row r="435" spans="1:15" hidden="1">
      <c r="A435" t="s">
        <v>942</v>
      </c>
      <c r="B435" t="s">
        <v>945</v>
      </c>
      <c r="C435" s="553">
        <v>44237</v>
      </c>
      <c r="D435" s="281" t="s">
        <v>4332</v>
      </c>
      <c r="E435" s="281" t="s">
        <v>3179</v>
      </c>
      <c r="F435" s="281">
        <v>4</v>
      </c>
      <c r="G435" s="281">
        <v>5010301000</v>
      </c>
      <c r="H435" t="s">
        <v>2028</v>
      </c>
      <c r="I435" t="s">
        <v>528</v>
      </c>
      <c r="J435" t="s">
        <v>765</v>
      </c>
      <c r="K435" t="s">
        <v>1113</v>
      </c>
      <c r="L435" s="552">
        <v>9362.0400000000009</v>
      </c>
      <c r="O435" t="s">
        <v>972</v>
      </c>
    </row>
    <row r="436" spans="1:15" hidden="1">
      <c r="A436" t="s">
        <v>942</v>
      </c>
      <c r="B436" t="s">
        <v>945</v>
      </c>
      <c r="C436" s="553">
        <v>44237</v>
      </c>
      <c r="D436" s="281" t="s">
        <v>4332</v>
      </c>
      <c r="E436" s="281" t="s">
        <v>3179</v>
      </c>
      <c r="F436" s="281">
        <v>4</v>
      </c>
      <c r="G436" s="281">
        <v>5010000000</v>
      </c>
      <c r="H436" t="s">
        <v>2029</v>
      </c>
      <c r="I436" t="s">
        <v>530</v>
      </c>
      <c r="J436" t="s">
        <v>765</v>
      </c>
      <c r="K436" t="s">
        <v>1113</v>
      </c>
      <c r="L436" s="552">
        <v>200</v>
      </c>
      <c r="O436" t="s">
        <v>970</v>
      </c>
    </row>
    <row r="437" spans="1:15" hidden="1">
      <c r="A437" t="s">
        <v>942</v>
      </c>
      <c r="B437" t="s">
        <v>945</v>
      </c>
      <c r="C437" s="553">
        <v>44237</v>
      </c>
      <c r="D437" s="281" t="s">
        <v>4332</v>
      </c>
      <c r="E437" s="281" t="s">
        <v>3179</v>
      </c>
      <c r="F437" s="281">
        <v>4</v>
      </c>
      <c r="G437" s="281">
        <v>5010000000</v>
      </c>
      <c r="H437" t="s">
        <v>2030</v>
      </c>
      <c r="I437" t="s">
        <v>532</v>
      </c>
      <c r="J437" t="s">
        <v>765</v>
      </c>
      <c r="K437" t="s">
        <v>1113</v>
      </c>
      <c r="L437" s="552">
        <v>1170.26</v>
      </c>
      <c r="O437" t="s">
        <v>970</v>
      </c>
    </row>
    <row r="438" spans="1:15" hidden="1">
      <c r="A438" t="s">
        <v>942</v>
      </c>
      <c r="B438" t="s">
        <v>945</v>
      </c>
      <c r="C438" s="553">
        <v>44237</v>
      </c>
      <c r="D438" s="281" t="s">
        <v>4332</v>
      </c>
      <c r="E438" s="281" t="s">
        <v>3179</v>
      </c>
      <c r="F438" s="281">
        <v>4</v>
      </c>
      <c r="G438" s="281">
        <v>5010000000</v>
      </c>
      <c r="H438" t="s">
        <v>2031</v>
      </c>
      <c r="I438" t="s">
        <v>534</v>
      </c>
      <c r="J438" t="s">
        <v>765</v>
      </c>
      <c r="K438" t="s">
        <v>1113</v>
      </c>
      <c r="L438" s="552">
        <v>200</v>
      </c>
      <c r="O438" t="s">
        <v>970</v>
      </c>
    </row>
    <row r="439" spans="1:15" hidden="1">
      <c r="A439" t="s">
        <v>942</v>
      </c>
      <c r="B439" t="s">
        <v>945</v>
      </c>
      <c r="C439" s="553">
        <v>44237</v>
      </c>
      <c r="D439" s="281" t="s">
        <v>4333</v>
      </c>
      <c r="E439" s="281" t="s">
        <v>3181</v>
      </c>
      <c r="F439" s="281">
        <v>1</v>
      </c>
      <c r="G439" s="281">
        <v>5010000000</v>
      </c>
      <c r="H439" t="s">
        <v>2026</v>
      </c>
      <c r="I439" t="s">
        <v>499</v>
      </c>
      <c r="J439" t="s">
        <v>847</v>
      </c>
      <c r="K439" t="s">
        <v>1117</v>
      </c>
      <c r="L439" s="552">
        <v>457.27</v>
      </c>
      <c r="O439" t="s">
        <v>960</v>
      </c>
    </row>
    <row r="440" spans="1:15" hidden="1">
      <c r="A440" t="s">
        <v>942</v>
      </c>
      <c r="B440" t="s">
        <v>945</v>
      </c>
      <c r="C440" s="553">
        <v>44237</v>
      </c>
      <c r="D440" s="281" t="s">
        <v>4333</v>
      </c>
      <c r="E440" s="281" t="s">
        <v>3181</v>
      </c>
      <c r="F440" s="281">
        <v>1</v>
      </c>
      <c r="G440" s="281">
        <v>5010301000</v>
      </c>
      <c r="H440" t="s">
        <v>2028</v>
      </c>
      <c r="I440" t="s">
        <v>528</v>
      </c>
      <c r="J440" t="s">
        <v>847</v>
      </c>
      <c r="K440" t="s">
        <v>1117</v>
      </c>
      <c r="L440" s="552">
        <v>0</v>
      </c>
      <c r="O440" t="s">
        <v>962</v>
      </c>
    </row>
    <row r="441" spans="1:15" hidden="1">
      <c r="A441" t="s">
        <v>942</v>
      </c>
      <c r="B441" t="s">
        <v>945</v>
      </c>
      <c r="C441" s="553">
        <v>44237</v>
      </c>
      <c r="D441" s="281" t="s">
        <v>4334</v>
      </c>
      <c r="E441" s="281" t="s">
        <v>3184</v>
      </c>
      <c r="F441" s="281">
        <v>1</v>
      </c>
      <c r="G441" s="281">
        <v>5010000000</v>
      </c>
      <c r="H441" t="s">
        <v>2026</v>
      </c>
      <c r="I441" t="s">
        <v>499</v>
      </c>
      <c r="J441" t="s">
        <v>1119</v>
      </c>
      <c r="K441" t="s">
        <v>1117</v>
      </c>
      <c r="L441" s="552">
        <v>258.18</v>
      </c>
      <c r="O441" t="s">
        <v>960</v>
      </c>
    </row>
    <row r="442" spans="1:15" hidden="1">
      <c r="A442" t="s">
        <v>942</v>
      </c>
      <c r="B442" t="s">
        <v>945</v>
      </c>
      <c r="C442" s="553">
        <v>44237</v>
      </c>
      <c r="D442" s="281" t="s">
        <v>4334</v>
      </c>
      <c r="E442" s="281" t="s">
        <v>3184</v>
      </c>
      <c r="F442" s="281">
        <v>1</v>
      </c>
      <c r="G442" s="281">
        <v>5010301000</v>
      </c>
      <c r="H442" t="s">
        <v>2028</v>
      </c>
      <c r="I442" t="s">
        <v>528</v>
      </c>
      <c r="J442" t="s">
        <v>1119</v>
      </c>
      <c r="K442" t="s">
        <v>1117</v>
      </c>
      <c r="L442" s="552">
        <v>0</v>
      </c>
      <c r="O442" t="s">
        <v>962</v>
      </c>
    </row>
    <row r="443" spans="1:15" hidden="1">
      <c r="A443" t="s">
        <v>942</v>
      </c>
      <c r="B443" t="s">
        <v>945</v>
      </c>
      <c r="C443" s="553">
        <v>44237</v>
      </c>
      <c r="D443" s="281" t="s">
        <v>4335</v>
      </c>
      <c r="E443" s="281" t="s">
        <v>3187</v>
      </c>
      <c r="F443" s="281">
        <v>1</v>
      </c>
      <c r="G443" s="281">
        <v>5010000000</v>
      </c>
      <c r="H443" t="s">
        <v>2026</v>
      </c>
      <c r="I443" t="s">
        <v>499</v>
      </c>
      <c r="J443" t="s">
        <v>833</v>
      </c>
      <c r="K443" t="s">
        <v>1121</v>
      </c>
      <c r="L443" s="552">
        <v>614.54999999999995</v>
      </c>
      <c r="O443" t="s">
        <v>960</v>
      </c>
    </row>
    <row r="444" spans="1:15" hidden="1">
      <c r="A444" t="s">
        <v>942</v>
      </c>
      <c r="B444" t="s">
        <v>945</v>
      </c>
      <c r="C444" s="553">
        <v>44237</v>
      </c>
      <c r="D444" s="281" t="s">
        <v>4335</v>
      </c>
      <c r="E444" s="281" t="s">
        <v>3187</v>
      </c>
      <c r="F444" s="281">
        <v>1</v>
      </c>
      <c r="G444" s="281">
        <v>5010301000</v>
      </c>
      <c r="H444" t="s">
        <v>2028</v>
      </c>
      <c r="I444" t="s">
        <v>528</v>
      </c>
      <c r="J444" t="s">
        <v>833</v>
      </c>
      <c r="K444" t="s">
        <v>1121</v>
      </c>
      <c r="L444" s="552">
        <v>0</v>
      </c>
      <c r="O444" t="s">
        <v>962</v>
      </c>
    </row>
    <row r="445" spans="1:15">
      <c r="A445" t="s">
        <v>942</v>
      </c>
      <c r="B445" t="s">
        <v>945</v>
      </c>
      <c r="C445" s="553">
        <v>44237</v>
      </c>
      <c r="D445" s="281" t="s">
        <v>4336</v>
      </c>
      <c r="E445" s="281" t="s">
        <v>3189</v>
      </c>
      <c r="F445" s="281">
        <v>1</v>
      </c>
      <c r="G445" s="281">
        <v>5010000000</v>
      </c>
      <c r="H445" t="s">
        <v>2026</v>
      </c>
      <c r="I445" t="s">
        <v>499</v>
      </c>
      <c r="J445" t="s">
        <v>1030</v>
      </c>
      <c r="K445" t="s">
        <v>1123</v>
      </c>
      <c r="L445" s="552">
        <v>93091.81</v>
      </c>
      <c r="O445" t="s">
        <v>960</v>
      </c>
    </row>
    <row r="446" spans="1:15">
      <c r="A446" t="s">
        <v>942</v>
      </c>
      <c r="B446" t="s">
        <v>945</v>
      </c>
      <c r="C446" s="553">
        <v>44237</v>
      </c>
      <c r="D446" s="281" t="s">
        <v>4336</v>
      </c>
      <c r="E446" s="281" t="s">
        <v>3189</v>
      </c>
      <c r="F446" s="281">
        <v>1</v>
      </c>
      <c r="G446" s="281">
        <v>5010301000</v>
      </c>
      <c r="H446" t="s">
        <v>2028</v>
      </c>
      <c r="I446" t="s">
        <v>528</v>
      </c>
      <c r="J446" t="s">
        <v>1030</v>
      </c>
      <c r="K446" t="s">
        <v>1123</v>
      </c>
      <c r="L446" s="552">
        <v>11098.96</v>
      </c>
      <c r="O446" t="s">
        <v>962</v>
      </c>
    </row>
    <row r="447" spans="1:15">
      <c r="A447" t="s">
        <v>942</v>
      </c>
      <c r="B447" t="s">
        <v>945</v>
      </c>
      <c r="C447" s="553">
        <v>44237</v>
      </c>
      <c r="D447" s="281" t="s">
        <v>4336</v>
      </c>
      <c r="E447" s="281" t="s">
        <v>3189</v>
      </c>
      <c r="F447" s="281">
        <v>1</v>
      </c>
      <c r="G447" s="281">
        <v>5010000000</v>
      </c>
      <c r="H447" t="s">
        <v>2030</v>
      </c>
      <c r="I447" t="s">
        <v>532</v>
      </c>
      <c r="J447" t="s">
        <v>1030</v>
      </c>
      <c r="K447" t="s">
        <v>1123</v>
      </c>
      <c r="L447" s="552">
        <v>858.77</v>
      </c>
      <c r="O447" t="s">
        <v>960</v>
      </c>
    </row>
    <row r="448" spans="1:15" hidden="1">
      <c r="A448" t="s">
        <v>942</v>
      </c>
      <c r="B448" t="s">
        <v>945</v>
      </c>
      <c r="C448" s="553">
        <v>44237</v>
      </c>
      <c r="D448" s="281" t="s">
        <v>4337</v>
      </c>
      <c r="E448" s="281" t="s">
        <v>3192</v>
      </c>
      <c r="F448" s="281">
        <v>13</v>
      </c>
      <c r="G448" s="281" t="s">
        <v>2036</v>
      </c>
      <c r="H448" t="s">
        <v>2036</v>
      </c>
      <c r="I448" t="s">
        <v>501</v>
      </c>
      <c r="J448" t="s">
        <v>872</v>
      </c>
      <c r="K448" t="s">
        <v>1125</v>
      </c>
      <c r="L448" s="552">
        <v>33575</v>
      </c>
      <c r="O448" t="s">
        <v>999</v>
      </c>
    </row>
    <row r="449" spans="1:15" hidden="1">
      <c r="A449" t="s">
        <v>942</v>
      </c>
      <c r="B449" t="s">
        <v>945</v>
      </c>
      <c r="C449" s="553">
        <v>44237</v>
      </c>
      <c r="D449" s="281" t="s">
        <v>4337</v>
      </c>
      <c r="E449" s="281" t="s">
        <v>3192</v>
      </c>
      <c r="F449" s="281">
        <v>13</v>
      </c>
      <c r="G449" s="281" t="s">
        <v>2036</v>
      </c>
      <c r="H449" t="s">
        <v>2027</v>
      </c>
      <c r="I449" t="s">
        <v>504</v>
      </c>
      <c r="J449" t="s">
        <v>872</v>
      </c>
      <c r="K449" t="s">
        <v>1125</v>
      </c>
      <c r="L449" s="552">
        <v>2000</v>
      </c>
      <c r="O449" t="s">
        <v>999</v>
      </c>
    </row>
    <row r="450" spans="1:15" hidden="1">
      <c r="A450" t="s">
        <v>942</v>
      </c>
      <c r="B450" t="s">
        <v>945</v>
      </c>
      <c r="C450" s="553">
        <v>44237</v>
      </c>
      <c r="D450" s="281" t="s">
        <v>4337</v>
      </c>
      <c r="E450" s="281" t="s">
        <v>3192</v>
      </c>
      <c r="F450" s="281">
        <v>13</v>
      </c>
      <c r="G450" s="281" t="s">
        <v>2036</v>
      </c>
      <c r="H450" t="s">
        <v>2028</v>
      </c>
      <c r="I450" t="s">
        <v>528</v>
      </c>
      <c r="J450" t="s">
        <v>872</v>
      </c>
      <c r="K450" t="s">
        <v>1125</v>
      </c>
      <c r="L450" s="552">
        <v>4029</v>
      </c>
      <c r="O450" t="s">
        <v>999</v>
      </c>
    </row>
    <row r="451" spans="1:15" hidden="1">
      <c r="A451" t="s">
        <v>942</v>
      </c>
      <c r="B451" t="s">
        <v>945</v>
      </c>
      <c r="C451" s="553">
        <v>44237</v>
      </c>
      <c r="D451" s="281" t="s">
        <v>4337</v>
      </c>
      <c r="E451" s="281" t="s">
        <v>3192</v>
      </c>
      <c r="F451" s="281">
        <v>13</v>
      </c>
      <c r="G451" s="281" t="s">
        <v>2036</v>
      </c>
      <c r="H451" t="s">
        <v>2029</v>
      </c>
      <c r="I451" t="s">
        <v>530</v>
      </c>
      <c r="J451" t="s">
        <v>872</v>
      </c>
      <c r="K451" t="s">
        <v>1125</v>
      </c>
      <c r="L451" s="552">
        <v>100</v>
      </c>
      <c r="O451" t="s">
        <v>999</v>
      </c>
    </row>
    <row r="452" spans="1:15" hidden="1">
      <c r="A452" t="s">
        <v>942</v>
      </c>
      <c r="B452" t="s">
        <v>945</v>
      </c>
      <c r="C452" s="553">
        <v>44237</v>
      </c>
      <c r="D452" s="281" t="s">
        <v>4337</v>
      </c>
      <c r="E452" s="281" t="s">
        <v>3192</v>
      </c>
      <c r="F452" s="281">
        <v>13</v>
      </c>
      <c r="G452" s="281" t="s">
        <v>2036</v>
      </c>
      <c r="H452" t="s">
        <v>2030</v>
      </c>
      <c r="I452" t="s">
        <v>532</v>
      </c>
      <c r="J452" t="s">
        <v>872</v>
      </c>
      <c r="K452" t="s">
        <v>1125</v>
      </c>
      <c r="L452" s="552">
        <v>503.63</v>
      </c>
      <c r="O452" t="s">
        <v>999</v>
      </c>
    </row>
    <row r="453" spans="1:15" hidden="1">
      <c r="A453" t="s">
        <v>942</v>
      </c>
      <c r="B453" t="s">
        <v>945</v>
      </c>
      <c r="C453" s="553">
        <v>44237</v>
      </c>
      <c r="D453" s="281" t="s">
        <v>4337</v>
      </c>
      <c r="E453" s="281" t="s">
        <v>3192</v>
      </c>
      <c r="F453" s="281">
        <v>13</v>
      </c>
      <c r="G453" s="281" t="s">
        <v>2036</v>
      </c>
      <c r="H453" t="s">
        <v>2031</v>
      </c>
      <c r="I453" t="s">
        <v>534</v>
      </c>
      <c r="J453" t="s">
        <v>872</v>
      </c>
      <c r="K453" t="s">
        <v>1125</v>
      </c>
      <c r="L453" s="552">
        <v>100</v>
      </c>
      <c r="O453" t="s">
        <v>999</v>
      </c>
    </row>
    <row r="454" spans="1:15" hidden="1">
      <c r="A454" t="s">
        <v>942</v>
      </c>
      <c r="B454" t="s">
        <v>945</v>
      </c>
      <c r="C454" s="553">
        <v>44237</v>
      </c>
      <c r="D454" s="281" t="s">
        <v>4338</v>
      </c>
      <c r="E454" s="281" t="s">
        <v>3194</v>
      </c>
      <c r="F454" s="281">
        <v>13</v>
      </c>
      <c r="G454" s="281" t="s">
        <v>2036</v>
      </c>
      <c r="H454" t="s">
        <v>2036</v>
      </c>
      <c r="I454" t="s">
        <v>501</v>
      </c>
      <c r="J454" t="s">
        <v>863</v>
      </c>
      <c r="K454" t="s">
        <v>1125</v>
      </c>
      <c r="L454" s="552">
        <v>43681</v>
      </c>
      <c r="O454" t="s">
        <v>999</v>
      </c>
    </row>
    <row r="455" spans="1:15" hidden="1">
      <c r="A455" t="s">
        <v>942</v>
      </c>
      <c r="B455" t="s">
        <v>945</v>
      </c>
      <c r="C455" s="553">
        <v>44237</v>
      </c>
      <c r="D455" s="281" t="s">
        <v>4338</v>
      </c>
      <c r="E455" s="281" t="s">
        <v>3194</v>
      </c>
      <c r="F455" s="281">
        <v>13</v>
      </c>
      <c r="G455" s="281" t="s">
        <v>2036</v>
      </c>
      <c r="H455" t="s">
        <v>2027</v>
      </c>
      <c r="I455" t="s">
        <v>504</v>
      </c>
      <c r="J455" t="s">
        <v>863</v>
      </c>
      <c r="K455" t="s">
        <v>1125</v>
      </c>
      <c r="L455" s="552">
        <v>2000</v>
      </c>
      <c r="O455" t="s">
        <v>999</v>
      </c>
    </row>
    <row r="456" spans="1:15" hidden="1">
      <c r="A456" t="s">
        <v>942</v>
      </c>
      <c r="B456" t="s">
        <v>945</v>
      </c>
      <c r="C456" s="553">
        <v>44237</v>
      </c>
      <c r="D456" s="281" t="s">
        <v>4338</v>
      </c>
      <c r="E456" s="281" t="s">
        <v>3194</v>
      </c>
      <c r="F456" s="281">
        <v>13</v>
      </c>
      <c r="G456" s="281" t="s">
        <v>2036</v>
      </c>
      <c r="H456" t="s">
        <v>2028</v>
      </c>
      <c r="I456" t="s">
        <v>528</v>
      </c>
      <c r="J456" t="s">
        <v>863</v>
      </c>
      <c r="K456" t="s">
        <v>1125</v>
      </c>
      <c r="L456" s="552">
        <v>5241.72</v>
      </c>
      <c r="O456" t="s">
        <v>999</v>
      </c>
    </row>
    <row r="457" spans="1:15" hidden="1">
      <c r="A457" t="s">
        <v>942</v>
      </c>
      <c r="B457" t="s">
        <v>945</v>
      </c>
      <c r="C457" s="553">
        <v>44237</v>
      </c>
      <c r="D457" s="281" t="s">
        <v>4338</v>
      </c>
      <c r="E457" s="281" t="s">
        <v>3194</v>
      </c>
      <c r="F457" s="281">
        <v>13</v>
      </c>
      <c r="G457" s="281" t="s">
        <v>2036</v>
      </c>
      <c r="H457" t="s">
        <v>2029</v>
      </c>
      <c r="I457" t="s">
        <v>530</v>
      </c>
      <c r="J457" t="s">
        <v>863</v>
      </c>
      <c r="K457" t="s">
        <v>1125</v>
      </c>
      <c r="L457" s="552">
        <v>100</v>
      </c>
      <c r="O457" t="s">
        <v>999</v>
      </c>
    </row>
    <row r="458" spans="1:15" hidden="1">
      <c r="A458" t="s">
        <v>942</v>
      </c>
      <c r="B458" t="s">
        <v>945</v>
      </c>
      <c r="C458" s="553">
        <v>44237</v>
      </c>
      <c r="D458" s="281" t="s">
        <v>4338</v>
      </c>
      <c r="E458" s="281" t="s">
        <v>3194</v>
      </c>
      <c r="F458" s="281">
        <v>13</v>
      </c>
      <c r="G458" s="281" t="s">
        <v>2036</v>
      </c>
      <c r="H458" t="s">
        <v>2030</v>
      </c>
      <c r="I458" t="s">
        <v>532</v>
      </c>
      <c r="J458" t="s">
        <v>863</v>
      </c>
      <c r="K458" t="s">
        <v>1125</v>
      </c>
      <c r="L458" s="552">
        <v>655.21</v>
      </c>
      <c r="O458" t="s">
        <v>999</v>
      </c>
    </row>
    <row r="459" spans="1:15" hidden="1">
      <c r="A459" t="s">
        <v>942</v>
      </c>
      <c r="B459" t="s">
        <v>945</v>
      </c>
      <c r="C459" s="553">
        <v>44237</v>
      </c>
      <c r="D459" s="281" t="s">
        <v>4338</v>
      </c>
      <c r="E459" s="281" t="s">
        <v>3194</v>
      </c>
      <c r="F459" s="281">
        <v>13</v>
      </c>
      <c r="G459" s="281" t="s">
        <v>2036</v>
      </c>
      <c r="H459" t="s">
        <v>2031</v>
      </c>
      <c r="I459" t="s">
        <v>534</v>
      </c>
      <c r="J459" t="s">
        <v>863</v>
      </c>
      <c r="K459" t="s">
        <v>1125</v>
      </c>
      <c r="L459" s="552">
        <v>100</v>
      </c>
      <c r="O459" t="s">
        <v>999</v>
      </c>
    </row>
    <row r="460" spans="1:15" hidden="1">
      <c r="A460" t="s">
        <v>942</v>
      </c>
      <c r="B460" t="s">
        <v>945</v>
      </c>
      <c r="C460" s="553">
        <v>44237</v>
      </c>
      <c r="D460" s="281" t="s">
        <v>4339</v>
      </c>
      <c r="E460" s="281" t="s">
        <v>4215</v>
      </c>
      <c r="F460" s="281">
        <v>1</v>
      </c>
      <c r="G460" s="281">
        <v>5020000000</v>
      </c>
      <c r="H460" t="s">
        <v>2008</v>
      </c>
      <c r="I460" t="s">
        <v>653</v>
      </c>
      <c r="J460" t="s">
        <v>1128</v>
      </c>
      <c r="K460" t="s">
        <v>1129</v>
      </c>
      <c r="L460" s="552">
        <v>0</v>
      </c>
      <c r="O460" t="s">
        <v>961</v>
      </c>
    </row>
    <row r="461" spans="1:15" hidden="1">
      <c r="A461" t="s">
        <v>942</v>
      </c>
      <c r="B461" t="s">
        <v>945</v>
      </c>
      <c r="C461" s="553">
        <v>44237</v>
      </c>
      <c r="D461" s="281" t="s">
        <v>4340</v>
      </c>
      <c r="E461" s="281" t="s">
        <v>3291</v>
      </c>
      <c r="F461" s="281">
        <v>1</v>
      </c>
      <c r="G461" s="281">
        <v>5020000000</v>
      </c>
      <c r="H461" t="s">
        <v>2020</v>
      </c>
      <c r="I461" t="s">
        <v>607</v>
      </c>
      <c r="J461" t="s">
        <v>1131</v>
      </c>
      <c r="K461" t="s">
        <v>1132</v>
      </c>
      <c r="L461" s="552">
        <v>25000</v>
      </c>
      <c r="O461" t="s">
        <v>961</v>
      </c>
    </row>
    <row r="462" spans="1:15" hidden="1">
      <c r="A462" t="s">
        <v>942</v>
      </c>
      <c r="B462" t="s">
        <v>945</v>
      </c>
      <c r="C462" s="553">
        <v>44237</v>
      </c>
      <c r="D462" s="281" t="s">
        <v>4341</v>
      </c>
      <c r="E462" s="281" t="s">
        <v>3295</v>
      </c>
      <c r="F462" s="281">
        <v>2</v>
      </c>
      <c r="G462" s="281">
        <v>5020000000</v>
      </c>
      <c r="H462" t="s">
        <v>2035</v>
      </c>
      <c r="I462" t="s">
        <v>596</v>
      </c>
      <c r="J462" t="s">
        <v>1134</v>
      </c>
      <c r="K462" t="s">
        <v>1135</v>
      </c>
      <c r="L462" s="552">
        <v>1990</v>
      </c>
      <c r="O462" t="s">
        <v>965</v>
      </c>
    </row>
    <row r="463" spans="1:15" hidden="1">
      <c r="A463" t="s">
        <v>942</v>
      </c>
      <c r="B463" t="s">
        <v>945</v>
      </c>
      <c r="C463" s="553">
        <v>44237</v>
      </c>
      <c r="D463" s="281" t="s">
        <v>4342</v>
      </c>
      <c r="E463" s="281" t="s">
        <v>3248</v>
      </c>
      <c r="F463" s="281">
        <v>2</v>
      </c>
      <c r="G463" s="281">
        <v>5020000000</v>
      </c>
      <c r="H463" t="s">
        <v>2000</v>
      </c>
      <c r="I463" t="s">
        <v>683</v>
      </c>
      <c r="J463" t="s">
        <v>779</v>
      </c>
      <c r="K463" t="s">
        <v>1137</v>
      </c>
      <c r="L463" s="552">
        <v>170501.47</v>
      </c>
      <c r="O463" t="s">
        <v>965</v>
      </c>
    </row>
    <row r="464" spans="1:15" hidden="1">
      <c r="A464" t="s">
        <v>942</v>
      </c>
      <c r="B464" t="s">
        <v>945</v>
      </c>
      <c r="C464" s="553">
        <v>44237</v>
      </c>
      <c r="D464" s="281" t="s">
        <v>4343</v>
      </c>
      <c r="E464" s="281" t="s">
        <v>3233</v>
      </c>
      <c r="F464" s="281">
        <v>11</v>
      </c>
      <c r="G464" s="281">
        <v>5020000000</v>
      </c>
      <c r="H464" t="s">
        <v>2037</v>
      </c>
      <c r="I464" t="s">
        <v>555</v>
      </c>
      <c r="J464" t="s">
        <v>818</v>
      </c>
      <c r="K464" t="s">
        <v>1139</v>
      </c>
      <c r="L464" s="552">
        <v>0</v>
      </c>
      <c r="O464" t="s">
        <v>985</v>
      </c>
    </row>
    <row r="465" spans="1:15" hidden="1">
      <c r="A465" t="s">
        <v>942</v>
      </c>
      <c r="B465" t="s">
        <v>945</v>
      </c>
      <c r="C465" s="553">
        <v>44237</v>
      </c>
      <c r="D465" s="281" t="s">
        <v>4343</v>
      </c>
      <c r="E465" s="281" t="s">
        <v>3233</v>
      </c>
      <c r="F465" s="281">
        <v>11</v>
      </c>
      <c r="G465" s="281">
        <v>5020000000</v>
      </c>
      <c r="H465" t="s">
        <v>2039</v>
      </c>
      <c r="I465" t="s">
        <v>560</v>
      </c>
      <c r="J465" t="s">
        <v>818</v>
      </c>
      <c r="K465" t="s">
        <v>1139</v>
      </c>
      <c r="L465" s="552">
        <v>0</v>
      </c>
      <c r="O465" t="s">
        <v>985</v>
      </c>
    </row>
    <row r="466" spans="1:15" hidden="1">
      <c r="A466" t="s">
        <v>942</v>
      </c>
      <c r="B466" t="s">
        <v>945</v>
      </c>
      <c r="C466" s="553">
        <v>44237</v>
      </c>
      <c r="D466" s="281" t="s">
        <v>4343</v>
      </c>
      <c r="E466" s="281" t="s">
        <v>3233</v>
      </c>
      <c r="F466" s="281">
        <v>11</v>
      </c>
      <c r="G466" s="281">
        <v>5020000000</v>
      </c>
      <c r="H466" t="s">
        <v>2002</v>
      </c>
      <c r="I466" t="s">
        <v>603</v>
      </c>
      <c r="J466" t="s">
        <v>818</v>
      </c>
      <c r="K466" t="s">
        <v>1139</v>
      </c>
      <c r="L466" s="552">
        <v>0</v>
      </c>
      <c r="O466" t="s">
        <v>985</v>
      </c>
    </row>
    <row r="467" spans="1:15" hidden="1">
      <c r="A467" t="s">
        <v>942</v>
      </c>
      <c r="B467" t="s">
        <v>945</v>
      </c>
      <c r="C467" s="553">
        <v>44237</v>
      </c>
      <c r="D467" s="281" t="s">
        <v>4343</v>
      </c>
      <c r="E467" s="281" t="s">
        <v>3233</v>
      </c>
      <c r="F467" s="281">
        <v>11</v>
      </c>
      <c r="G467" s="281">
        <v>5020000000</v>
      </c>
      <c r="H467" t="s">
        <v>1998</v>
      </c>
      <c r="I467" t="s">
        <v>633</v>
      </c>
      <c r="J467" t="s">
        <v>818</v>
      </c>
      <c r="K467" t="s">
        <v>1139</v>
      </c>
      <c r="L467" s="552">
        <v>0</v>
      </c>
      <c r="O467" t="s">
        <v>985</v>
      </c>
    </row>
    <row r="468" spans="1:15" hidden="1">
      <c r="A468" t="s">
        <v>942</v>
      </c>
      <c r="B468" t="s">
        <v>945</v>
      </c>
      <c r="C468" s="553">
        <v>44237</v>
      </c>
      <c r="D468" s="281" t="s">
        <v>4344</v>
      </c>
      <c r="E468" s="281" t="s">
        <v>3237</v>
      </c>
      <c r="F468" s="281">
        <v>11</v>
      </c>
      <c r="G468" s="281">
        <v>5020000000</v>
      </c>
      <c r="H468" t="s">
        <v>2037</v>
      </c>
      <c r="I468" t="s">
        <v>555</v>
      </c>
      <c r="J468" t="s">
        <v>820</v>
      </c>
      <c r="K468" t="s">
        <v>1139</v>
      </c>
      <c r="L468" s="552">
        <v>57498</v>
      </c>
      <c r="O468" t="s">
        <v>985</v>
      </c>
    </row>
    <row r="469" spans="1:15" hidden="1">
      <c r="A469" t="s">
        <v>942</v>
      </c>
      <c r="B469" t="s">
        <v>945</v>
      </c>
      <c r="C469" s="553">
        <v>44237</v>
      </c>
      <c r="D469" s="281" t="s">
        <v>4344</v>
      </c>
      <c r="E469" s="281" t="s">
        <v>3237</v>
      </c>
      <c r="F469" s="281">
        <v>11</v>
      </c>
      <c r="G469" s="281">
        <v>5020000000</v>
      </c>
      <c r="H469" t="s">
        <v>2039</v>
      </c>
      <c r="I469" t="s">
        <v>560</v>
      </c>
      <c r="J469" t="s">
        <v>820</v>
      </c>
      <c r="K469" t="s">
        <v>1139</v>
      </c>
      <c r="L469" s="552">
        <v>525004</v>
      </c>
      <c r="O469" t="s">
        <v>985</v>
      </c>
    </row>
    <row r="470" spans="1:15" hidden="1">
      <c r="A470" t="s">
        <v>942</v>
      </c>
      <c r="B470" t="s">
        <v>945</v>
      </c>
      <c r="C470" s="553">
        <v>44237</v>
      </c>
      <c r="D470" s="281" t="s">
        <v>4344</v>
      </c>
      <c r="E470" s="281" t="s">
        <v>3237</v>
      </c>
      <c r="F470" s="281">
        <v>11</v>
      </c>
      <c r="G470" s="281">
        <v>5020000000</v>
      </c>
      <c r="H470" t="s">
        <v>2002</v>
      </c>
      <c r="I470" t="s">
        <v>603</v>
      </c>
      <c r="J470" t="s">
        <v>820</v>
      </c>
      <c r="K470" t="s">
        <v>1139</v>
      </c>
      <c r="L470" s="552">
        <v>19166</v>
      </c>
      <c r="O470" t="s">
        <v>985</v>
      </c>
    </row>
    <row r="471" spans="1:15" hidden="1">
      <c r="A471" t="s">
        <v>942</v>
      </c>
      <c r="B471" t="s">
        <v>945</v>
      </c>
      <c r="C471" s="553">
        <v>44237</v>
      </c>
      <c r="D471" s="281" t="s">
        <v>4344</v>
      </c>
      <c r="E471" s="281" t="s">
        <v>3237</v>
      </c>
      <c r="F471" s="281">
        <v>11</v>
      </c>
      <c r="G471" s="281">
        <v>5020000000</v>
      </c>
      <c r="H471" t="s">
        <v>1998</v>
      </c>
      <c r="I471" t="s">
        <v>633</v>
      </c>
      <c r="J471" t="s">
        <v>820</v>
      </c>
      <c r="K471" t="s">
        <v>1139</v>
      </c>
      <c r="L471" s="552">
        <v>38332</v>
      </c>
      <c r="O471" t="s">
        <v>985</v>
      </c>
    </row>
    <row r="472" spans="1:15" hidden="1">
      <c r="A472" t="s">
        <v>942</v>
      </c>
      <c r="B472" t="s">
        <v>945</v>
      </c>
      <c r="C472" s="553">
        <v>44237</v>
      </c>
      <c r="D472" s="281" t="s">
        <v>4345</v>
      </c>
      <c r="E472" s="281" t="s">
        <v>3239</v>
      </c>
      <c r="F472" s="281">
        <v>11</v>
      </c>
      <c r="G472" s="281">
        <v>5020000000</v>
      </c>
      <c r="H472" t="s">
        <v>2037</v>
      </c>
      <c r="I472" t="s">
        <v>555</v>
      </c>
      <c r="J472" t="s">
        <v>821</v>
      </c>
      <c r="K472" t="s">
        <v>1139</v>
      </c>
      <c r="L472" s="552">
        <v>0</v>
      </c>
      <c r="O472" t="s">
        <v>985</v>
      </c>
    </row>
    <row r="473" spans="1:15" hidden="1">
      <c r="A473" t="s">
        <v>942</v>
      </c>
      <c r="B473" t="s">
        <v>945</v>
      </c>
      <c r="C473" s="553">
        <v>44237</v>
      </c>
      <c r="D473" s="281" t="s">
        <v>4345</v>
      </c>
      <c r="E473" s="281" t="s">
        <v>3239</v>
      </c>
      <c r="F473" s="281">
        <v>11</v>
      </c>
      <c r="G473" s="281">
        <v>5020000000</v>
      </c>
      <c r="H473" t="s">
        <v>2039</v>
      </c>
      <c r="I473" t="s">
        <v>560</v>
      </c>
      <c r="J473" t="s">
        <v>821</v>
      </c>
      <c r="K473" t="s">
        <v>1139</v>
      </c>
      <c r="L473" s="552">
        <v>0</v>
      </c>
      <c r="O473" t="s">
        <v>985</v>
      </c>
    </row>
    <row r="474" spans="1:15" hidden="1">
      <c r="A474" t="s">
        <v>942</v>
      </c>
      <c r="B474" t="s">
        <v>945</v>
      </c>
      <c r="C474" s="553">
        <v>44237</v>
      </c>
      <c r="D474" s="281" t="s">
        <v>4345</v>
      </c>
      <c r="E474" s="281" t="s">
        <v>3239</v>
      </c>
      <c r="F474" s="281">
        <v>11</v>
      </c>
      <c r="G474" s="281">
        <v>5020000000</v>
      </c>
      <c r="H474" t="s">
        <v>2002</v>
      </c>
      <c r="I474" t="s">
        <v>603</v>
      </c>
      <c r="J474" t="s">
        <v>821</v>
      </c>
      <c r="K474" t="s">
        <v>1139</v>
      </c>
      <c r="L474" s="552">
        <v>0</v>
      </c>
      <c r="O474" t="s">
        <v>985</v>
      </c>
    </row>
    <row r="475" spans="1:15" hidden="1">
      <c r="A475" t="s">
        <v>942</v>
      </c>
      <c r="B475" t="s">
        <v>945</v>
      </c>
      <c r="C475" s="553">
        <v>44237</v>
      </c>
      <c r="D475" s="281" t="s">
        <v>4345</v>
      </c>
      <c r="E475" s="281" t="s">
        <v>3239</v>
      </c>
      <c r="F475" s="281">
        <v>11</v>
      </c>
      <c r="G475" s="281">
        <v>5020000000</v>
      </c>
      <c r="H475" t="s">
        <v>1998</v>
      </c>
      <c r="I475" t="s">
        <v>633</v>
      </c>
      <c r="J475" t="s">
        <v>821</v>
      </c>
      <c r="K475" t="s">
        <v>1139</v>
      </c>
      <c r="L475" s="552">
        <v>0</v>
      </c>
      <c r="O475" t="s">
        <v>985</v>
      </c>
    </row>
    <row r="476" spans="1:15" hidden="1">
      <c r="A476" t="s">
        <v>942</v>
      </c>
      <c r="B476" t="s">
        <v>945</v>
      </c>
      <c r="C476" s="553">
        <v>44237</v>
      </c>
      <c r="D476" s="281" t="s">
        <v>4346</v>
      </c>
      <c r="E476" s="281" t="s">
        <v>3241</v>
      </c>
      <c r="F476" s="281">
        <v>11</v>
      </c>
      <c r="G476" s="281">
        <v>5020000000</v>
      </c>
      <c r="H476" t="s">
        <v>2037</v>
      </c>
      <c r="I476" t="s">
        <v>555</v>
      </c>
      <c r="J476" t="s">
        <v>822</v>
      </c>
      <c r="K476" t="s">
        <v>1139</v>
      </c>
      <c r="L476" s="552">
        <v>0</v>
      </c>
      <c r="O476" t="s">
        <v>985</v>
      </c>
    </row>
    <row r="477" spans="1:15" hidden="1">
      <c r="A477" t="s">
        <v>942</v>
      </c>
      <c r="B477" t="s">
        <v>945</v>
      </c>
      <c r="C477" s="553">
        <v>44237</v>
      </c>
      <c r="D477" s="281" t="s">
        <v>4346</v>
      </c>
      <c r="E477" s="281" t="s">
        <v>3241</v>
      </c>
      <c r="F477" s="281">
        <v>11</v>
      </c>
      <c r="G477" s="281">
        <v>5020000000</v>
      </c>
      <c r="H477" t="s">
        <v>2039</v>
      </c>
      <c r="I477" t="s">
        <v>560</v>
      </c>
      <c r="J477" t="s">
        <v>822</v>
      </c>
      <c r="K477" t="s">
        <v>1139</v>
      </c>
      <c r="L477" s="552">
        <v>0</v>
      </c>
      <c r="O477" t="s">
        <v>985</v>
      </c>
    </row>
    <row r="478" spans="1:15" hidden="1">
      <c r="A478" t="s">
        <v>942</v>
      </c>
      <c r="B478" t="s">
        <v>945</v>
      </c>
      <c r="C478" s="553">
        <v>44237</v>
      </c>
      <c r="D478" s="281" t="s">
        <v>4346</v>
      </c>
      <c r="E478" s="281" t="s">
        <v>3241</v>
      </c>
      <c r="F478" s="281">
        <v>11</v>
      </c>
      <c r="G478" s="281">
        <v>5020000000</v>
      </c>
      <c r="H478" t="s">
        <v>2002</v>
      </c>
      <c r="I478" t="s">
        <v>603</v>
      </c>
      <c r="J478" t="s">
        <v>822</v>
      </c>
      <c r="K478" t="s">
        <v>1139</v>
      </c>
      <c r="L478" s="552">
        <v>0</v>
      </c>
      <c r="O478" t="s">
        <v>985</v>
      </c>
    </row>
    <row r="479" spans="1:15" hidden="1">
      <c r="A479" t="s">
        <v>942</v>
      </c>
      <c r="B479" t="s">
        <v>945</v>
      </c>
      <c r="C479" s="553">
        <v>44237</v>
      </c>
      <c r="D479" s="281" t="s">
        <v>4346</v>
      </c>
      <c r="E479" s="281" t="s">
        <v>3241</v>
      </c>
      <c r="F479" s="281">
        <v>11</v>
      </c>
      <c r="G479" s="281">
        <v>5020000000</v>
      </c>
      <c r="H479" t="s">
        <v>1998</v>
      </c>
      <c r="I479" t="s">
        <v>633</v>
      </c>
      <c r="J479" t="s">
        <v>822</v>
      </c>
      <c r="K479" t="s">
        <v>1139</v>
      </c>
      <c r="L479" s="552">
        <v>0</v>
      </c>
      <c r="O479" t="s">
        <v>985</v>
      </c>
    </row>
    <row r="480" spans="1:15" hidden="1">
      <c r="A480" t="s">
        <v>942</v>
      </c>
      <c r="B480" t="s">
        <v>945</v>
      </c>
      <c r="C480" s="553">
        <v>44237</v>
      </c>
      <c r="D480" s="281" t="s">
        <v>4347</v>
      </c>
      <c r="E480" s="281" t="s">
        <v>3243</v>
      </c>
      <c r="F480" s="281">
        <v>11</v>
      </c>
      <c r="G480" s="281">
        <v>5020000000</v>
      </c>
      <c r="H480" t="s">
        <v>2037</v>
      </c>
      <c r="I480" t="s">
        <v>555</v>
      </c>
      <c r="J480" t="s">
        <v>823</v>
      </c>
      <c r="K480" t="s">
        <v>1139</v>
      </c>
      <c r="L480" s="552">
        <v>0</v>
      </c>
      <c r="O480" t="s">
        <v>985</v>
      </c>
    </row>
    <row r="481" spans="1:15" hidden="1">
      <c r="A481" t="s">
        <v>942</v>
      </c>
      <c r="B481" t="s">
        <v>945</v>
      </c>
      <c r="C481" s="553">
        <v>44237</v>
      </c>
      <c r="D481" s="281" t="s">
        <v>4347</v>
      </c>
      <c r="E481" s="281" t="s">
        <v>3243</v>
      </c>
      <c r="F481" s="281">
        <v>11</v>
      </c>
      <c r="G481" s="281">
        <v>5020000000</v>
      </c>
      <c r="H481" t="s">
        <v>2039</v>
      </c>
      <c r="I481" t="s">
        <v>560</v>
      </c>
      <c r="J481" t="s">
        <v>823</v>
      </c>
      <c r="K481" t="s">
        <v>1139</v>
      </c>
      <c r="L481" s="552">
        <v>0</v>
      </c>
      <c r="O481" t="s">
        <v>985</v>
      </c>
    </row>
    <row r="482" spans="1:15" hidden="1">
      <c r="A482" t="s">
        <v>942</v>
      </c>
      <c r="B482" t="s">
        <v>945</v>
      </c>
      <c r="C482" s="553">
        <v>44237</v>
      </c>
      <c r="D482" s="281" t="s">
        <v>4347</v>
      </c>
      <c r="E482" s="281" t="s">
        <v>3243</v>
      </c>
      <c r="F482" s="281">
        <v>11</v>
      </c>
      <c r="G482" s="281">
        <v>5020000000</v>
      </c>
      <c r="H482" t="s">
        <v>2002</v>
      </c>
      <c r="I482" t="s">
        <v>603</v>
      </c>
      <c r="J482" t="s">
        <v>823</v>
      </c>
      <c r="K482" t="s">
        <v>1139</v>
      </c>
      <c r="L482" s="552">
        <v>0</v>
      </c>
      <c r="O482" t="s">
        <v>985</v>
      </c>
    </row>
    <row r="483" spans="1:15" hidden="1">
      <c r="A483" t="s">
        <v>942</v>
      </c>
      <c r="B483" t="s">
        <v>945</v>
      </c>
      <c r="C483" s="553">
        <v>44237</v>
      </c>
      <c r="D483" s="281" t="s">
        <v>4347</v>
      </c>
      <c r="E483" s="281" t="s">
        <v>3243</v>
      </c>
      <c r="F483" s="281">
        <v>11</v>
      </c>
      <c r="G483" s="281">
        <v>5020000000</v>
      </c>
      <c r="H483" t="s">
        <v>1998</v>
      </c>
      <c r="I483" t="s">
        <v>633</v>
      </c>
      <c r="J483" t="s">
        <v>823</v>
      </c>
      <c r="K483" t="s">
        <v>1139</v>
      </c>
      <c r="L483" s="552">
        <v>0</v>
      </c>
      <c r="O483" t="s">
        <v>985</v>
      </c>
    </row>
    <row r="484" spans="1:15" hidden="1">
      <c r="A484" t="s">
        <v>942</v>
      </c>
      <c r="B484" t="s">
        <v>945</v>
      </c>
      <c r="C484" s="553">
        <v>44237</v>
      </c>
      <c r="D484" s="281" t="s">
        <v>4348</v>
      </c>
      <c r="E484" s="281" t="s">
        <v>4216</v>
      </c>
      <c r="F484" s="281">
        <v>10</v>
      </c>
      <c r="G484" s="281">
        <v>5020000000</v>
      </c>
      <c r="H484" t="s">
        <v>2037</v>
      </c>
      <c r="I484" t="s">
        <v>555</v>
      </c>
      <c r="J484" t="s">
        <v>818</v>
      </c>
      <c r="K484" t="s">
        <v>1145</v>
      </c>
      <c r="L484" s="552">
        <v>0</v>
      </c>
      <c r="O484" t="s">
        <v>983</v>
      </c>
    </row>
    <row r="485" spans="1:15" hidden="1">
      <c r="A485" t="s">
        <v>942</v>
      </c>
      <c r="B485" t="s">
        <v>945</v>
      </c>
      <c r="C485" s="553">
        <v>44237</v>
      </c>
      <c r="D485" s="281" t="s">
        <v>4348</v>
      </c>
      <c r="E485" s="281" t="s">
        <v>4216</v>
      </c>
      <c r="F485" s="281">
        <v>10</v>
      </c>
      <c r="G485" s="281">
        <v>5020000000</v>
      </c>
      <c r="H485" t="s">
        <v>2039</v>
      </c>
      <c r="I485" t="s">
        <v>560</v>
      </c>
      <c r="J485" t="s">
        <v>818</v>
      </c>
      <c r="K485" t="s">
        <v>1145</v>
      </c>
      <c r="L485" s="552">
        <v>0</v>
      </c>
      <c r="O485" t="s">
        <v>983</v>
      </c>
    </row>
    <row r="486" spans="1:15" hidden="1">
      <c r="A486" t="s">
        <v>942</v>
      </c>
      <c r="B486" t="s">
        <v>945</v>
      </c>
      <c r="C486" s="553">
        <v>44237</v>
      </c>
      <c r="D486" s="281" t="s">
        <v>4348</v>
      </c>
      <c r="E486" s="281" t="s">
        <v>4216</v>
      </c>
      <c r="F486" s="281">
        <v>10</v>
      </c>
      <c r="G486" s="281">
        <v>5020000000</v>
      </c>
      <c r="H486" t="s">
        <v>2002</v>
      </c>
      <c r="I486" t="s">
        <v>603</v>
      </c>
      <c r="J486" t="s">
        <v>818</v>
      </c>
      <c r="K486" t="s">
        <v>1145</v>
      </c>
      <c r="L486" s="552">
        <v>0</v>
      </c>
      <c r="O486" t="s">
        <v>983</v>
      </c>
    </row>
    <row r="487" spans="1:15" hidden="1">
      <c r="A487" t="s">
        <v>942</v>
      </c>
      <c r="B487" t="s">
        <v>945</v>
      </c>
      <c r="C487" s="553">
        <v>44237</v>
      </c>
      <c r="D487" s="281" t="s">
        <v>4348</v>
      </c>
      <c r="E487" s="281" t="s">
        <v>4216</v>
      </c>
      <c r="F487" s="281">
        <v>10</v>
      </c>
      <c r="G487" s="281">
        <v>5020000000</v>
      </c>
      <c r="H487" t="s">
        <v>1998</v>
      </c>
      <c r="I487" t="s">
        <v>633</v>
      </c>
      <c r="J487" t="s">
        <v>818</v>
      </c>
      <c r="K487" t="s">
        <v>1145</v>
      </c>
      <c r="L487" s="552">
        <v>0</v>
      </c>
      <c r="O487" t="s">
        <v>983</v>
      </c>
    </row>
    <row r="488" spans="1:15" hidden="1">
      <c r="A488" t="s">
        <v>942</v>
      </c>
      <c r="B488" t="s">
        <v>945</v>
      </c>
      <c r="C488" s="553">
        <v>44237</v>
      </c>
      <c r="D488" s="281" t="s">
        <v>4349</v>
      </c>
      <c r="E488" s="281" t="s">
        <v>4217</v>
      </c>
      <c r="F488" s="281">
        <v>10</v>
      </c>
      <c r="G488" s="281">
        <v>5020000000</v>
      </c>
      <c r="H488" t="s">
        <v>2037</v>
      </c>
      <c r="I488" t="s">
        <v>555</v>
      </c>
      <c r="J488" t="s">
        <v>820</v>
      </c>
      <c r="K488" t="s">
        <v>1145</v>
      </c>
      <c r="L488" s="552">
        <v>0</v>
      </c>
      <c r="O488" t="s">
        <v>983</v>
      </c>
    </row>
    <row r="489" spans="1:15" hidden="1">
      <c r="A489" t="s">
        <v>942</v>
      </c>
      <c r="B489" t="s">
        <v>945</v>
      </c>
      <c r="C489" s="553">
        <v>44237</v>
      </c>
      <c r="D489" s="281" t="s">
        <v>4349</v>
      </c>
      <c r="E489" s="281" t="s">
        <v>4217</v>
      </c>
      <c r="F489" s="281">
        <v>10</v>
      </c>
      <c r="G489" s="281">
        <v>5020000000</v>
      </c>
      <c r="H489" t="s">
        <v>2039</v>
      </c>
      <c r="I489" t="s">
        <v>560</v>
      </c>
      <c r="J489" t="s">
        <v>820</v>
      </c>
      <c r="K489" t="s">
        <v>1145</v>
      </c>
      <c r="L489" s="552">
        <v>0</v>
      </c>
      <c r="O489" t="s">
        <v>983</v>
      </c>
    </row>
    <row r="490" spans="1:15" hidden="1">
      <c r="A490" t="s">
        <v>942</v>
      </c>
      <c r="B490" t="s">
        <v>945</v>
      </c>
      <c r="C490" s="553">
        <v>44237</v>
      </c>
      <c r="D490" s="281" t="s">
        <v>4349</v>
      </c>
      <c r="E490" s="281" t="s">
        <v>4217</v>
      </c>
      <c r="F490" s="281">
        <v>10</v>
      </c>
      <c r="G490" s="281">
        <v>5020000000</v>
      </c>
      <c r="H490" t="s">
        <v>2002</v>
      </c>
      <c r="I490" t="s">
        <v>603</v>
      </c>
      <c r="J490" t="s">
        <v>820</v>
      </c>
      <c r="K490" t="s">
        <v>1145</v>
      </c>
      <c r="L490" s="552">
        <v>0</v>
      </c>
      <c r="O490" t="s">
        <v>983</v>
      </c>
    </row>
    <row r="491" spans="1:15" hidden="1">
      <c r="A491" t="s">
        <v>942</v>
      </c>
      <c r="B491" t="s">
        <v>945</v>
      </c>
      <c r="C491" s="553">
        <v>44237</v>
      </c>
      <c r="D491" s="281" t="s">
        <v>4349</v>
      </c>
      <c r="E491" s="281" t="s">
        <v>4217</v>
      </c>
      <c r="F491" s="281">
        <v>10</v>
      </c>
      <c r="G491" s="281">
        <v>5020000000</v>
      </c>
      <c r="H491" t="s">
        <v>1998</v>
      </c>
      <c r="I491" t="s">
        <v>633</v>
      </c>
      <c r="J491" t="s">
        <v>820</v>
      </c>
      <c r="K491" t="s">
        <v>1145</v>
      </c>
      <c r="L491" s="552">
        <v>0</v>
      </c>
      <c r="O491" t="s">
        <v>983</v>
      </c>
    </row>
    <row r="492" spans="1:15" hidden="1">
      <c r="A492" t="s">
        <v>942</v>
      </c>
      <c r="B492" t="s">
        <v>945</v>
      </c>
      <c r="C492" s="553">
        <v>44237</v>
      </c>
      <c r="D492" s="281" t="s">
        <v>4350</v>
      </c>
      <c r="E492" s="281" t="s">
        <v>3311</v>
      </c>
      <c r="F492" s="281">
        <v>10</v>
      </c>
      <c r="G492" s="281">
        <v>5020000000</v>
      </c>
      <c r="H492" t="s">
        <v>2037</v>
      </c>
      <c r="I492" t="s">
        <v>555</v>
      </c>
      <c r="J492" t="s">
        <v>821</v>
      </c>
      <c r="K492" t="s">
        <v>1145</v>
      </c>
      <c r="L492" s="552">
        <v>25000</v>
      </c>
      <c r="O492" t="s">
        <v>983</v>
      </c>
    </row>
    <row r="493" spans="1:15" hidden="1">
      <c r="A493" t="s">
        <v>942</v>
      </c>
      <c r="B493" t="s">
        <v>945</v>
      </c>
      <c r="C493" s="553">
        <v>44237</v>
      </c>
      <c r="D493" s="281" t="s">
        <v>4350</v>
      </c>
      <c r="E493" s="281" t="s">
        <v>3311</v>
      </c>
      <c r="F493" s="281">
        <v>10</v>
      </c>
      <c r="G493" s="281">
        <v>5020000000</v>
      </c>
      <c r="H493" t="s">
        <v>2039</v>
      </c>
      <c r="I493" t="s">
        <v>560</v>
      </c>
      <c r="J493" t="s">
        <v>821</v>
      </c>
      <c r="K493" t="s">
        <v>1145</v>
      </c>
      <c r="L493" s="552">
        <v>40000</v>
      </c>
      <c r="O493" t="s">
        <v>983</v>
      </c>
    </row>
    <row r="494" spans="1:15" hidden="1">
      <c r="A494" t="s">
        <v>942</v>
      </c>
      <c r="B494" t="s">
        <v>945</v>
      </c>
      <c r="C494" s="553">
        <v>44237</v>
      </c>
      <c r="D494" s="281" t="s">
        <v>4350</v>
      </c>
      <c r="E494" s="281" t="s">
        <v>3311</v>
      </c>
      <c r="F494" s="281">
        <v>10</v>
      </c>
      <c r="G494" s="281">
        <v>5020000000</v>
      </c>
      <c r="H494" t="s">
        <v>2002</v>
      </c>
      <c r="I494" t="s">
        <v>603</v>
      </c>
      <c r="J494" t="s">
        <v>821</v>
      </c>
      <c r="K494" t="s">
        <v>1145</v>
      </c>
      <c r="L494" s="552">
        <v>5000</v>
      </c>
      <c r="O494" t="s">
        <v>983</v>
      </c>
    </row>
    <row r="495" spans="1:15" hidden="1">
      <c r="A495" t="s">
        <v>942</v>
      </c>
      <c r="B495" t="s">
        <v>945</v>
      </c>
      <c r="C495" s="553">
        <v>44237</v>
      </c>
      <c r="D495" s="281" t="s">
        <v>4350</v>
      </c>
      <c r="E495" s="281" t="s">
        <v>3311</v>
      </c>
      <c r="F495" s="281">
        <v>10</v>
      </c>
      <c r="G495" s="281">
        <v>5020000000</v>
      </c>
      <c r="H495" t="s">
        <v>1998</v>
      </c>
      <c r="I495" t="s">
        <v>633</v>
      </c>
      <c r="J495" t="s">
        <v>821</v>
      </c>
      <c r="K495" t="s">
        <v>1145</v>
      </c>
      <c r="L495" s="552">
        <v>10335.709999999999</v>
      </c>
      <c r="O495" t="s">
        <v>983</v>
      </c>
    </row>
    <row r="496" spans="1:15" hidden="1">
      <c r="A496" t="s">
        <v>942</v>
      </c>
      <c r="B496" t="s">
        <v>945</v>
      </c>
      <c r="C496" s="553">
        <v>44237</v>
      </c>
      <c r="D496" s="281" t="s">
        <v>4351</v>
      </c>
      <c r="E496" s="281" t="s">
        <v>4218</v>
      </c>
      <c r="F496" s="281">
        <v>10</v>
      </c>
      <c r="G496" s="281">
        <v>5020000000</v>
      </c>
      <c r="H496" t="s">
        <v>2037</v>
      </c>
      <c r="I496" t="s">
        <v>555</v>
      </c>
      <c r="J496" t="s">
        <v>822</v>
      </c>
      <c r="K496" t="s">
        <v>1145</v>
      </c>
      <c r="L496" s="552">
        <v>0</v>
      </c>
      <c r="O496" t="s">
        <v>983</v>
      </c>
    </row>
    <row r="497" spans="1:15" hidden="1">
      <c r="A497" t="s">
        <v>942</v>
      </c>
      <c r="B497" t="s">
        <v>945</v>
      </c>
      <c r="C497" s="553">
        <v>44237</v>
      </c>
      <c r="D497" s="281" t="s">
        <v>4351</v>
      </c>
      <c r="E497" s="281" t="s">
        <v>4218</v>
      </c>
      <c r="F497" s="281">
        <v>10</v>
      </c>
      <c r="G497" s="281">
        <v>5020000000</v>
      </c>
      <c r="H497" t="s">
        <v>2039</v>
      </c>
      <c r="I497" t="s">
        <v>560</v>
      </c>
      <c r="J497" t="s">
        <v>822</v>
      </c>
      <c r="K497" t="s">
        <v>1145</v>
      </c>
      <c r="L497" s="552">
        <v>0</v>
      </c>
      <c r="O497" t="s">
        <v>983</v>
      </c>
    </row>
    <row r="498" spans="1:15" hidden="1">
      <c r="A498" t="s">
        <v>942</v>
      </c>
      <c r="B498" t="s">
        <v>945</v>
      </c>
      <c r="C498" s="553">
        <v>44237</v>
      </c>
      <c r="D498" s="281" t="s">
        <v>4351</v>
      </c>
      <c r="E498" s="281" t="s">
        <v>4218</v>
      </c>
      <c r="F498" s="281">
        <v>10</v>
      </c>
      <c r="G498" s="281">
        <v>5020000000</v>
      </c>
      <c r="H498" t="s">
        <v>2002</v>
      </c>
      <c r="I498" t="s">
        <v>603</v>
      </c>
      <c r="J498" t="s">
        <v>822</v>
      </c>
      <c r="K498" t="s">
        <v>1145</v>
      </c>
      <c r="L498" s="552">
        <v>0</v>
      </c>
      <c r="O498" t="s">
        <v>983</v>
      </c>
    </row>
    <row r="499" spans="1:15" hidden="1">
      <c r="A499" t="s">
        <v>942</v>
      </c>
      <c r="B499" t="s">
        <v>945</v>
      </c>
      <c r="C499" s="553">
        <v>44237</v>
      </c>
      <c r="D499" s="281" t="s">
        <v>4351</v>
      </c>
      <c r="E499" s="281" t="s">
        <v>4218</v>
      </c>
      <c r="F499" s="281">
        <v>10</v>
      </c>
      <c r="G499" s="281">
        <v>5020000000</v>
      </c>
      <c r="H499" t="s">
        <v>1998</v>
      </c>
      <c r="I499" t="s">
        <v>633</v>
      </c>
      <c r="J499" t="s">
        <v>822</v>
      </c>
      <c r="K499" t="s">
        <v>1145</v>
      </c>
      <c r="L499" s="552">
        <v>0</v>
      </c>
      <c r="O499" t="s">
        <v>983</v>
      </c>
    </row>
    <row r="500" spans="1:15" hidden="1">
      <c r="A500" t="s">
        <v>942</v>
      </c>
      <c r="B500" t="s">
        <v>945</v>
      </c>
      <c r="C500" s="553">
        <v>44237</v>
      </c>
      <c r="D500" s="281" t="s">
        <v>4352</v>
      </c>
      <c r="E500" s="281" t="s">
        <v>4219</v>
      </c>
      <c r="F500" s="281">
        <v>10</v>
      </c>
      <c r="G500" s="281">
        <v>5020000000</v>
      </c>
      <c r="H500" t="s">
        <v>2037</v>
      </c>
      <c r="I500" t="s">
        <v>555</v>
      </c>
      <c r="J500" t="s">
        <v>823</v>
      </c>
      <c r="K500" t="s">
        <v>1145</v>
      </c>
      <c r="L500" s="552">
        <v>0</v>
      </c>
      <c r="O500" t="s">
        <v>983</v>
      </c>
    </row>
    <row r="501" spans="1:15" hidden="1">
      <c r="A501" t="s">
        <v>942</v>
      </c>
      <c r="B501" t="s">
        <v>945</v>
      </c>
      <c r="C501" s="553">
        <v>44237</v>
      </c>
      <c r="D501" s="281" t="s">
        <v>4352</v>
      </c>
      <c r="E501" s="281" t="s">
        <v>4219</v>
      </c>
      <c r="F501" s="281">
        <v>10</v>
      </c>
      <c r="G501" s="281">
        <v>5020000000</v>
      </c>
      <c r="H501" t="s">
        <v>2039</v>
      </c>
      <c r="I501" t="s">
        <v>560</v>
      </c>
      <c r="J501" t="s">
        <v>823</v>
      </c>
      <c r="K501" t="s">
        <v>1145</v>
      </c>
      <c r="L501" s="552">
        <v>0</v>
      </c>
      <c r="O501" t="s">
        <v>983</v>
      </c>
    </row>
    <row r="502" spans="1:15" hidden="1">
      <c r="A502" t="s">
        <v>942</v>
      </c>
      <c r="B502" t="s">
        <v>945</v>
      </c>
      <c r="C502" s="553">
        <v>44237</v>
      </c>
      <c r="D502" s="281" t="s">
        <v>4352</v>
      </c>
      <c r="E502" s="281" t="s">
        <v>4219</v>
      </c>
      <c r="F502" s="281">
        <v>10</v>
      </c>
      <c r="G502" s="281">
        <v>5020000000</v>
      </c>
      <c r="H502" t="s">
        <v>2002</v>
      </c>
      <c r="I502" t="s">
        <v>603</v>
      </c>
      <c r="J502" t="s">
        <v>823</v>
      </c>
      <c r="K502" t="s">
        <v>1145</v>
      </c>
      <c r="L502" s="552">
        <v>0</v>
      </c>
      <c r="O502" t="s">
        <v>983</v>
      </c>
    </row>
    <row r="503" spans="1:15" hidden="1">
      <c r="A503" t="s">
        <v>942</v>
      </c>
      <c r="B503" t="s">
        <v>945</v>
      </c>
      <c r="C503" s="553">
        <v>44237</v>
      </c>
      <c r="D503" s="281" t="s">
        <v>4352</v>
      </c>
      <c r="E503" s="281" t="s">
        <v>4219</v>
      </c>
      <c r="F503" s="281">
        <v>10</v>
      </c>
      <c r="G503" s="281">
        <v>5020000000</v>
      </c>
      <c r="H503" t="s">
        <v>1998</v>
      </c>
      <c r="I503" t="s">
        <v>633</v>
      </c>
      <c r="J503" t="s">
        <v>823</v>
      </c>
      <c r="K503" t="s">
        <v>1145</v>
      </c>
      <c r="L503" s="552">
        <v>0</v>
      </c>
      <c r="O503" t="s">
        <v>983</v>
      </c>
    </row>
    <row r="504" spans="1:15" hidden="1">
      <c r="A504" t="s">
        <v>942</v>
      </c>
      <c r="B504" t="s">
        <v>945</v>
      </c>
      <c r="C504" s="553">
        <v>44237</v>
      </c>
      <c r="D504" s="281" t="s">
        <v>4353</v>
      </c>
      <c r="E504" s="281" t="s">
        <v>4220</v>
      </c>
      <c r="F504" s="281">
        <v>12</v>
      </c>
      <c r="G504" s="281" t="s">
        <v>2037</v>
      </c>
      <c r="H504" t="s">
        <v>2037</v>
      </c>
      <c r="I504" t="s">
        <v>555</v>
      </c>
      <c r="J504" t="s">
        <v>818</v>
      </c>
      <c r="K504" t="s">
        <v>1150</v>
      </c>
      <c r="L504" s="552">
        <v>0</v>
      </c>
      <c r="O504" t="s">
        <v>986</v>
      </c>
    </row>
    <row r="505" spans="1:15" hidden="1">
      <c r="A505" t="s">
        <v>942</v>
      </c>
      <c r="B505" t="s">
        <v>945</v>
      </c>
      <c r="C505" s="553">
        <v>44237</v>
      </c>
      <c r="D505" s="281" t="s">
        <v>4353</v>
      </c>
      <c r="E505" s="281" t="s">
        <v>4220</v>
      </c>
      <c r="F505" s="281">
        <v>12</v>
      </c>
      <c r="G505" s="281" t="s">
        <v>2039</v>
      </c>
      <c r="H505" t="s">
        <v>2039</v>
      </c>
      <c r="I505" t="s">
        <v>560</v>
      </c>
      <c r="J505" t="s">
        <v>818</v>
      </c>
      <c r="K505" t="s">
        <v>1150</v>
      </c>
      <c r="L505" s="552">
        <v>0</v>
      </c>
      <c r="O505" t="s">
        <v>987</v>
      </c>
    </row>
    <row r="506" spans="1:15" hidden="1">
      <c r="A506" t="s">
        <v>942</v>
      </c>
      <c r="B506" t="s">
        <v>945</v>
      </c>
      <c r="C506" s="553">
        <v>44237</v>
      </c>
      <c r="D506" s="281" t="s">
        <v>4353</v>
      </c>
      <c r="E506" s="281" t="s">
        <v>4220</v>
      </c>
      <c r="F506" s="281">
        <v>12</v>
      </c>
      <c r="G506" s="281" t="s">
        <v>2032</v>
      </c>
      <c r="H506" t="s">
        <v>2032</v>
      </c>
      <c r="I506" t="s">
        <v>565</v>
      </c>
      <c r="J506" t="s">
        <v>818</v>
      </c>
      <c r="K506" t="s">
        <v>1150</v>
      </c>
      <c r="L506" s="552">
        <v>0</v>
      </c>
      <c r="O506" t="s">
        <v>988</v>
      </c>
    </row>
    <row r="507" spans="1:15" hidden="1">
      <c r="A507" t="s">
        <v>942</v>
      </c>
      <c r="B507" t="s">
        <v>945</v>
      </c>
      <c r="C507" s="553">
        <v>44237</v>
      </c>
      <c r="D507" s="281" t="s">
        <v>4353</v>
      </c>
      <c r="E507" s="281" t="s">
        <v>4220</v>
      </c>
      <c r="F507" s="281">
        <v>12</v>
      </c>
      <c r="G507" s="281" t="s">
        <v>2002</v>
      </c>
      <c r="H507" t="s">
        <v>2002</v>
      </c>
      <c r="I507" t="s">
        <v>603</v>
      </c>
      <c r="J507" t="s">
        <v>818</v>
      </c>
      <c r="K507" t="s">
        <v>1150</v>
      </c>
      <c r="L507" s="552">
        <v>0</v>
      </c>
      <c r="O507" t="s">
        <v>991</v>
      </c>
    </row>
    <row r="508" spans="1:15" hidden="1">
      <c r="A508" t="s">
        <v>942</v>
      </c>
      <c r="B508" t="s">
        <v>945</v>
      </c>
      <c r="C508" s="553">
        <v>44237</v>
      </c>
      <c r="D508" s="281" t="s">
        <v>4353</v>
      </c>
      <c r="E508" s="281" t="s">
        <v>4220</v>
      </c>
      <c r="F508" s="281">
        <v>12</v>
      </c>
      <c r="G508" s="281" t="s">
        <v>1998</v>
      </c>
      <c r="H508" t="s">
        <v>1998</v>
      </c>
      <c r="I508" t="s">
        <v>633</v>
      </c>
      <c r="J508" t="s">
        <v>818</v>
      </c>
      <c r="K508" t="s">
        <v>1150</v>
      </c>
      <c r="L508" s="552">
        <v>0</v>
      </c>
      <c r="O508" t="s">
        <v>993</v>
      </c>
    </row>
    <row r="509" spans="1:15" hidden="1">
      <c r="A509" t="s">
        <v>942</v>
      </c>
      <c r="B509" t="s">
        <v>945</v>
      </c>
      <c r="C509" s="553">
        <v>44237</v>
      </c>
      <c r="D509" s="281" t="s">
        <v>4353</v>
      </c>
      <c r="E509" s="281" t="s">
        <v>4220</v>
      </c>
      <c r="F509" s="281">
        <v>12</v>
      </c>
      <c r="G509" s="281" t="s">
        <v>1997</v>
      </c>
      <c r="H509" t="s">
        <v>1997</v>
      </c>
      <c r="I509" t="s">
        <v>642</v>
      </c>
      <c r="J509" t="s">
        <v>818</v>
      </c>
      <c r="K509" t="s">
        <v>1150</v>
      </c>
      <c r="L509" s="552">
        <v>0</v>
      </c>
      <c r="O509" t="s">
        <v>994</v>
      </c>
    </row>
    <row r="510" spans="1:15" hidden="1">
      <c r="A510" t="s">
        <v>942</v>
      </c>
      <c r="B510" t="s">
        <v>945</v>
      </c>
      <c r="C510" s="553">
        <v>44237</v>
      </c>
      <c r="D510" s="281" t="s">
        <v>4354</v>
      </c>
      <c r="E510" s="281" t="s">
        <v>3315</v>
      </c>
      <c r="F510" s="281">
        <v>12</v>
      </c>
      <c r="G510" s="281" t="s">
        <v>2037</v>
      </c>
      <c r="H510" t="s">
        <v>2037</v>
      </c>
      <c r="I510" t="s">
        <v>555</v>
      </c>
      <c r="J510" t="s">
        <v>820</v>
      </c>
      <c r="K510" t="s">
        <v>1150</v>
      </c>
      <c r="L510" s="552">
        <v>8800</v>
      </c>
      <c r="O510" t="s">
        <v>986</v>
      </c>
    </row>
    <row r="511" spans="1:15" hidden="1">
      <c r="A511" t="s">
        <v>942</v>
      </c>
      <c r="B511" t="s">
        <v>945</v>
      </c>
      <c r="C511" s="553">
        <v>44237</v>
      </c>
      <c r="D511" s="281" t="s">
        <v>4354</v>
      </c>
      <c r="E511" s="281" t="s">
        <v>3315</v>
      </c>
      <c r="F511" s="281">
        <v>12</v>
      </c>
      <c r="G511" s="281" t="s">
        <v>2039</v>
      </c>
      <c r="H511" t="s">
        <v>2039</v>
      </c>
      <c r="I511" t="s">
        <v>560</v>
      </c>
      <c r="J511" t="s">
        <v>820</v>
      </c>
      <c r="K511" t="s">
        <v>1150</v>
      </c>
      <c r="L511" s="552">
        <v>5000</v>
      </c>
      <c r="O511" t="s">
        <v>987</v>
      </c>
    </row>
    <row r="512" spans="1:15" hidden="1">
      <c r="A512" t="s">
        <v>942</v>
      </c>
      <c r="B512" t="s">
        <v>945</v>
      </c>
      <c r="C512" s="553">
        <v>44237</v>
      </c>
      <c r="D512" s="281" t="s">
        <v>4354</v>
      </c>
      <c r="E512" s="281" t="s">
        <v>3315</v>
      </c>
      <c r="F512" s="281">
        <v>12</v>
      </c>
      <c r="G512" s="281" t="s">
        <v>2032</v>
      </c>
      <c r="H512" t="s">
        <v>2032</v>
      </c>
      <c r="I512" t="s">
        <v>565</v>
      </c>
      <c r="J512" t="s">
        <v>820</v>
      </c>
      <c r="K512" t="s">
        <v>1150</v>
      </c>
      <c r="L512" s="552">
        <v>1256</v>
      </c>
      <c r="O512" t="s">
        <v>988</v>
      </c>
    </row>
    <row r="513" spans="1:15" hidden="1">
      <c r="A513" t="s">
        <v>942</v>
      </c>
      <c r="B513" t="s">
        <v>945</v>
      </c>
      <c r="C513" s="553">
        <v>44237</v>
      </c>
      <c r="D513" s="281" t="s">
        <v>4354</v>
      </c>
      <c r="E513" s="281" t="s">
        <v>3315</v>
      </c>
      <c r="F513" s="281">
        <v>12</v>
      </c>
      <c r="G513" s="281" t="s">
        <v>2002</v>
      </c>
      <c r="H513" t="s">
        <v>2002</v>
      </c>
      <c r="I513" t="s">
        <v>603</v>
      </c>
      <c r="J513" t="s">
        <v>820</v>
      </c>
      <c r="K513" t="s">
        <v>1150</v>
      </c>
      <c r="L513" s="552">
        <v>300</v>
      </c>
      <c r="O513" t="s">
        <v>991</v>
      </c>
    </row>
    <row r="514" spans="1:15" hidden="1">
      <c r="A514" t="s">
        <v>942</v>
      </c>
      <c r="B514" t="s">
        <v>945</v>
      </c>
      <c r="C514" s="553">
        <v>44237</v>
      </c>
      <c r="D514" s="281" t="s">
        <v>4354</v>
      </c>
      <c r="E514" s="281" t="s">
        <v>3315</v>
      </c>
      <c r="F514" s="281">
        <v>12</v>
      </c>
      <c r="G514" s="281" t="s">
        <v>1998</v>
      </c>
      <c r="H514" t="s">
        <v>1998</v>
      </c>
      <c r="I514" t="s">
        <v>633</v>
      </c>
      <c r="J514" t="s">
        <v>820</v>
      </c>
      <c r="K514" t="s">
        <v>1150</v>
      </c>
      <c r="L514" s="552">
        <v>15000</v>
      </c>
      <c r="O514" t="s">
        <v>993</v>
      </c>
    </row>
    <row r="515" spans="1:15" hidden="1">
      <c r="A515" t="s">
        <v>942</v>
      </c>
      <c r="B515" t="s">
        <v>945</v>
      </c>
      <c r="C515" s="553">
        <v>44237</v>
      </c>
      <c r="D515" s="281" t="s">
        <v>4354</v>
      </c>
      <c r="E515" s="281" t="s">
        <v>3315</v>
      </c>
      <c r="F515" s="281">
        <v>12</v>
      </c>
      <c r="G515" s="281" t="s">
        <v>1997</v>
      </c>
      <c r="H515" t="s">
        <v>1997</v>
      </c>
      <c r="I515" t="s">
        <v>642</v>
      </c>
      <c r="J515" t="s">
        <v>820</v>
      </c>
      <c r="K515" t="s">
        <v>1150</v>
      </c>
      <c r="L515" s="552">
        <v>1000</v>
      </c>
      <c r="O515" t="s">
        <v>994</v>
      </c>
    </row>
    <row r="516" spans="1:15" hidden="1">
      <c r="A516" t="s">
        <v>942</v>
      </c>
      <c r="B516" t="s">
        <v>945</v>
      </c>
      <c r="C516" s="553">
        <v>44237</v>
      </c>
      <c r="D516" s="281" t="s">
        <v>4355</v>
      </c>
      <c r="E516" s="281" t="s">
        <v>4221</v>
      </c>
      <c r="F516" s="281">
        <v>12</v>
      </c>
      <c r="G516" s="281" t="s">
        <v>2037</v>
      </c>
      <c r="H516" t="s">
        <v>2037</v>
      </c>
      <c r="I516" t="s">
        <v>555</v>
      </c>
      <c r="J516" t="s">
        <v>823</v>
      </c>
      <c r="K516" t="s">
        <v>1150</v>
      </c>
      <c r="L516" s="552">
        <v>0</v>
      </c>
      <c r="O516" t="s">
        <v>986</v>
      </c>
    </row>
    <row r="517" spans="1:15" hidden="1">
      <c r="A517" t="s">
        <v>942</v>
      </c>
      <c r="B517" t="s">
        <v>945</v>
      </c>
      <c r="C517" s="553">
        <v>44237</v>
      </c>
      <c r="D517" s="281" t="s">
        <v>4355</v>
      </c>
      <c r="E517" s="281" t="s">
        <v>4221</v>
      </c>
      <c r="F517" s="281">
        <v>12</v>
      </c>
      <c r="G517" s="281" t="s">
        <v>2039</v>
      </c>
      <c r="H517" t="s">
        <v>2039</v>
      </c>
      <c r="I517" t="s">
        <v>560</v>
      </c>
      <c r="J517" t="s">
        <v>823</v>
      </c>
      <c r="K517" t="s">
        <v>1150</v>
      </c>
      <c r="L517" s="552">
        <v>0</v>
      </c>
      <c r="O517" t="s">
        <v>987</v>
      </c>
    </row>
    <row r="518" spans="1:15" hidden="1">
      <c r="A518" t="s">
        <v>942</v>
      </c>
      <c r="B518" t="s">
        <v>945</v>
      </c>
      <c r="C518" s="553">
        <v>44237</v>
      </c>
      <c r="D518" s="281" t="s">
        <v>4355</v>
      </c>
      <c r="E518" s="281" t="s">
        <v>4221</v>
      </c>
      <c r="F518" s="281">
        <v>12</v>
      </c>
      <c r="G518" s="281" t="s">
        <v>2032</v>
      </c>
      <c r="H518" t="s">
        <v>2032</v>
      </c>
      <c r="I518" t="s">
        <v>565</v>
      </c>
      <c r="J518" t="s">
        <v>823</v>
      </c>
      <c r="K518" t="s">
        <v>1150</v>
      </c>
      <c r="L518" s="552">
        <v>0</v>
      </c>
      <c r="O518" t="s">
        <v>988</v>
      </c>
    </row>
    <row r="519" spans="1:15" hidden="1">
      <c r="A519" t="s">
        <v>942</v>
      </c>
      <c r="B519" t="s">
        <v>945</v>
      </c>
      <c r="C519" s="553">
        <v>44237</v>
      </c>
      <c r="D519" s="281" t="s">
        <v>4355</v>
      </c>
      <c r="E519" s="281" t="s">
        <v>4221</v>
      </c>
      <c r="F519" s="281">
        <v>12</v>
      </c>
      <c r="G519" s="281" t="s">
        <v>2002</v>
      </c>
      <c r="H519" t="s">
        <v>2002</v>
      </c>
      <c r="I519" t="s">
        <v>603</v>
      </c>
      <c r="J519" t="s">
        <v>823</v>
      </c>
      <c r="K519" t="s">
        <v>1150</v>
      </c>
      <c r="L519" s="552">
        <v>0</v>
      </c>
      <c r="O519" t="s">
        <v>991</v>
      </c>
    </row>
    <row r="520" spans="1:15" hidden="1">
      <c r="A520" t="s">
        <v>942</v>
      </c>
      <c r="B520" t="s">
        <v>945</v>
      </c>
      <c r="C520" s="553">
        <v>44237</v>
      </c>
      <c r="D520" s="281" t="s">
        <v>4355</v>
      </c>
      <c r="E520" s="281" t="s">
        <v>4221</v>
      </c>
      <c r="F520" s="281">
        <v>12</v>
      </c>
      <c r="G520" s="281" t="s">
        <v>2021</v>
      </c>
      <c r="H520" t="s">
        <v>2021</v>
      </c>
      <c r="I520" t="s">
        <v>631</v>
      </c>
      <c r="J520" t="s">
        <v>823</v>
      </c>
      <c r="K520" t="s">
        <v>1150</v>
      </c>
      <c r="L520" s="552">
        <v>0</v>
      </c>
      <c r="O520" t="s">
        <v>992</v>
      </c>
    </row>
    <row r="521" spans="1:15" hidden="1">
      <c r="A521" t="s">
        <v>942</v>
      </c>
      <c r="B521" t="s">
        <v>945</v>
      </c>
      <c r="C521" s="553">
        <v>44237</v>
      </c>
      <c r="D521" s="281" t="s">
        <v>4355</v>
      </c>
      <c r="E521" s="281" t="s">
        <v>4221</v>
      </c>
      <c r="F521" s="281">
        <v>12</v>
      </c>
      <c r="G521" s="281" t="s">
        <v>1998</v>
      </c>
      <c r="H521" t="s">
        <v>1998</v>
      </c>
      <c r="I521" t="s">
        <v>633</v>
      </c>
      <c r="J521" t="s">
        <v>823</v>
      </c>
      <c r="K521" t="s">
        <v>1150</v>
      </c>
      <c r="L521" s="552">
        <v>0</v>
      </c>
      <c r="O521" t="s">
        <v>993</v>
      </c>
    </row>
    <row r="522" spans="1:15" hidden="1">
      <c r="A522" t="s">
        <v>942</v>
      </c>
      <c r="B522" t="s">
        <v>945</v>
      </c>
      <c r="C522" s="553">
        <v>44237</v>
      </c>
      <c r="D522" s="281" t="s">
        <v>4355</v>
      </c>
      <c r="E522" s="281" t="s">
        <v>4221</v>
      </c>
      <c r="F522" s="281">
        <v>12</v>
      </c>
      <c r="G522" s="281" t="s">
        <v>1997</v>
      </c>
      <c r="H522" t="s">
        <v>1997</v>
      </c>
      <c r="I522" t="s">
        <v>642</v>
      </c>
      <c r="J522" t="s">
        <v>823</v>
      </c>
      <c r="K522" t="s">
        <v>1150</v>
      </c>
      <c r="L522" s="552">
        <v>0</v>
      </c>
      <c r="O522" t="s">
        <v>994</v>
      </c>
    </row>
    <row r="523" spans="1:15" hidden="1">
      <c r="A523" t="s">
        <v>942</v>
      </c>
      <c r="B523" t="s">
        <v>945</v>
      </c>
      <c r="C523" s="553">
        <v>44237</v>
      </c>
      <c r="D523" s="281" t="s">
        <v>4356</v>
      </c>
      <c r="E523" s="281" t="s">
        <v>4222</v>
      </c>
      <c r="F523" s="281">
        <v>12</v>
      </c>
      <c r="G523" s="281" t="s">
        <v>2037</v>
      </c>
      <c r="H523" t="s">
        <v>2037</v>
      </c>
      <c r="I523" t="s">
        <v>555</v>
      </c>
      <c r="J523" t="s">
        <v>821</v>
      </c>
      <c r="K523" t="s">
        <v>1150</v>
      </c>
      <c r="L523" s="552">
        <v>0</v>
      </c>
      <c r="O523" t="s">
        <v>986</v>
      </c>
    </row>
    <row r="524" spans="1:15" hidden="1">
      <c r="A524" t="s">
        <v>942</v>
      </c>
      <c r="B524" t="s">
        <v>945</v>
      </c>
      <c r="C524" s="553">
        <v>44237</v>
      </c>
      <c r="D524" s="281" t="s">
        <v>4356</v>
      </c>
      <c r="E524" s="281" t="s">
        <v>4222</v>
      </c>
      <c r="F524" s="281">
        <v>12</v>
      </c>
      <c r="G524" s="281" t="s">
        <v>2039</v>
      </c>
      <c r="H524" t="s">
        <v>2039</v>
      </c>
      <c r="I524" t="s">
        <v>560</v>
      </c>
      <c r="J524" t="s">
        <v>821</v>
      </c>
      <c r="K524" t="s">
        <v>1150</v>
      </c>
      <c r="L524" s="552">
        <v>0</v>
      </c>
      <c r="O524" t="s">
        <v>987</v>
      </c>
    </row>
    <row r="525" spans="1:15" hidden="1">
      <c r="A525" t="s">
        <v>942</v>
      </c>
      <c r="B525" t="s">
        <v>945</v>
      </c>
      <c r="C525" s="553">
        <v>44237</v>
      </c>
      <c r="D525" s="281" t="s">
        <v>4356</v>
      </c>
      <c r="E525" s="281" t="s">
        <v>4222</v>
      </c>
      <c r="F525" s="281">
        <v>12</v>
      </c>
      <c r="G525" s="281" t="s">
        <v>2032</v>
      </c>
      <c r="H525" t="s">
        <v>2032</v>
      </c>
      <c r="I525" t="s">
        <v>565</v>
      </c>
      <c r="J525" t="s">
        <v>821</v>
      </c>
      <c r="K525" t="s">
        <v>1150</v>
      </c>
      <c r="L525" s="552">
        <v>0</v>
      </c>
      <c r="O525" t="s">
        <v>988</v>
      </c>
    </row>
    <row r="526" spans="1:15" hidden="1">
      <c r="A526" t="s">
        <v>942</v>
      </c>
      <c r="B526" t="s">
        <v>945</v>
      </c>
      <c r="C526" s="553">
        <v>44237</v>
      </c>
      <c r="D526" s="281" t="s">
        <v>4356</v>
      </c>
      <c r="E526" s="281" t="s">
        <v>4222</v>
      </c>
      <c r="F526" s="281">
        <v>12</v>
      </c>
      <c r="G526" s="281" t="s">
        <v>2002</v>
      </c>
      <c r="H526" t="s">
        <v>2002</v>
      </c>
      <c r="I526" t="s">
        <v>603</v>
      </c>
      <c r="J526" t="s">
        <v>821</v>
      </c>
      <c r="K526" t="s">
        <v>1150</v>
      </c>
      <c r="L526" s="552">
        <v>0</v>
      </c>
      <c r="O526" t="s">
        <v>991</v>
      </c>
    </row>
    <row r="527" spans="1:15" hidden="1">
      <c r="A527" t="s">
        <v>942</v>
      </c>
      <c r="B527" t="s">
        <v>945</v>
      </c>
      <c r="C527" s="553">
        <v>44237</v>
      </c>
      <c r="D527" s="281" t="s">
        <v>4356</v>
      </c>
      <c r="E527" s="281" t="s">
        <v>4222</v>
      </c>
      <c r="F527" s="281">
        <v>12</v>
      </c>
      <c r="G527" s="281" t="s">
        <v>1997</v>
      </c>
      <c r="H527" t="s">
        <v>1997</v>
      </c>
      <c r="I527" t="s">
        <v>642</v>
      </c>
      <c r="J527" t="s">
        <v>821</v>
      </c>
      <c r="K527" t="s">
        <v>1150</v>
      </c>
      <c r="L527" s="552">
        <v>0</v>
      </c>
      <c r="O527" t="s">
        <v>994</v>
      </c>
    </row>
    <row r="528" spans="1:15" hidden="1">
      <c r="A528" t="s">
        <v>942</v>
      </c>
      <c r="B528" t="s">
        <v>945</v>
      </c>
      <c r="C528" s="553">
        <v>44237</v>
      </c>
      <c r="D528" s="281" t="s">
        <v>4357</v>
      </c>
      <c r="E528" s="281" t="s">
        <v>4223</v>
      </c>
      <c r="F528" s="281">
        <v>12</v>
      </c>
      <c r="G528" s="281" t="s">
        <v>2037</v>
      </c>
      <c r="H528" t="s">
        <v>2037</v>
      </c>
      <c r="I528" t="s">
        <v>555</v>
      </c>
      <c r="J528" t="s">
        <v>822</v>
      </c>
      <c r="K528" t="s">
        <v>1150</v>
      </c>
      <c r="L528" s="552">
        <v>0</v>
      </c>
      <c r="O528" t="s">
        <v>986</v>
      </c>
    </row>
    <row r="529" spans="1:15" hidden="1">
      <c r="A529" t="s">
        <v>942</v>
      </c>
      <c r="B529" t="s">
        <v>945</v>
      </c>
      <c r="C529" s="553">
        <v>44237</v>
      </c>
      <c r="D529" s="281" t="s">
        <v>4357</v>
      </c>
      <c r="E529" s="281" t="s">
        <v>4223</v>
      </c>
      <c r="F529" s="281">
        <v>12</v>
      </c>
      <c r="G529" s="281" t="s">
        <v>2039</v>
      </c>
      <c r="H529" t="s">
        <v>2039</v>
      </c>
      <c r="I529" t="s">
        <v>560</v>
      </c>
      <c r="J529" t="s">
        <v>822</v>
      </c>
      <c r="K529" t="s">
        <v>1150</v>
      </c>
      <c r="L529" s="552">
        <v>0</v>
      </c>
      <c r="O529" t="s">
        <v>987</v>
      </c>
    </row>
    <row r="530" spans="1:15" hidden="1">
      <c r="A530" t="s">
        <v>942</v>
      </c>
      <c r="B530" t="s">
        <v>945</v>
      </c>
      <c r="C530" s="553">
        <v>44237</v>
      </c>
      <c r="D530" s="281" t="s">
        <v>4357</v>
      </c>
      <c r="E530" s="281" t="s">
        <v>4223</v>
      </c>
      <c r="F530" s="281">
        <v>12</v>
      </c>
      <c r="G530" s="281" t="s">
        <v>2032</v>
      </c>
      <c r="H530" t="s">
        <v>2032</v>
      </c>
      <c r="I530" t="s">
        <v>565</v>
      </c>
      <c r="J530" t="s">
        <v>822</v>
      </c>
      <c r="K530" t="s">
        <v>1150</v>
      </c>
      <c r="L530" s="552">
        <v>0</v>
      </c>
      <c r="O530" t="s">
        <v>988</v>
      </c>
    </row>
    <row r="531" spans="1:15" hidden="1">
      <c r="A531" t="s">
        <v>942</v>
      </c>
      <c r="B531" t="s">
        <v>945</v>
      </c>
      <c r="C531" s="553">
        <v>44237</v>
      </c>
      <c r="D531" s="281" t="s">
        <v>4357</v>
      </c>
      <c r="E531" s="281" t="s">
        <v>4223</v>
      </c>
      <c r="F531" s="281">
        <v>12</v>
      </c>
      <c r="G531" s="281" t="s">
        <v>2002</v>
      </c>
      <c r="H531" t="s">
        <v>2002</v>
      </c>
      <c r="I531" t="s">
        <v>603</v>
      </c>
      <c r="J531" t="s">
        <v>822</v>
      </c>
      <c r="K531" t="s">
        <v>1150</v>
      </c>
      <c r="L531" s="552">
        <v>0</v>
      </c>
      <c r="O531" t="s">
        <v>991</v>
      </c>
    </row>
    <row r="532" spans="1:15" hidden="1">
      <c r="A532" t="s">
        <v>942</v>
      </c>
      <c r="B532" t="s">
        <v>945</v>
      </c>
      <c r="C532" s="553">
        <v>44237</v>
      </c>
      <c r="D532" s="281" t="s">
        <v>4357</v>
      </c>
      <c r="E532" s="281" t="s">
        <v>4223</v>
      </c>
      <c r="F532" s="281">
        <v>12</v>
      </c>
      <c r="G532" s="281" t="s">
        <v>1998</v>
      </c>
      <c r="H532" t="s">
        <v>1998</v>
      </c>
      <c r="I532" t="s">
        <v>633</v>
      </c>
      <c r="J532" t="s">
        <v>822</v>
      </c>
      <c r="K532" t="s">
        <v>1150</v>
      </c>
      <c r="L532" s="552">
        <v>0</v>
      </c>
      <c r="O532" t="s">
        <v>993</v>
      </c>
    </row>
    <row r="533" spans="1:15" hidden="1">
      <c r="A533" t="s">
        <v>942</v>
      </c>
      <c r="B533" t="s">
        <v>945</v>
      </c>
      <c r="C533" s="553">
        <v>44237</v>
      </c>
      <c r="D533" s="281" t="s">
        <v>4358</v>
      </c>
      <c r="E533" s="281" t="s">
        <v>3251</v>
      </c>
      <c r="F533" s="281">
        <v>9</v>
      </c>
      <c r="G533" s="281">
        <v>5020000000</v>
      </c>
      <c r="H533" t="s">
        <v>2022</v>
      </c>
      <c r="I533" t="s">
        <v>689</v>
      </c>
      <c r="J533" t="s">
        <v>1157</v>
      </c>
      <c r="K533" t="s">
        <v>1158</v>
      </c>
      <c r="L533" s="552">
        <v>11500</v>
      </c>
      <c r="O533" t="s">
        <v>982</v>
      </c>
    </row>
    <row r="534" spans="1:15" hidden="1">
      <c r="A534" t="s">
        <v>942</v>
      </c>
      <c r="B534" t="s">
        <v>945</v>
      </c>
      <c r="C534" s="553">
        <v>44238</v>
      </c>
      <c r="D534" s="281" t="s">
        <v>4359</v>
      </c>
      <c r="E534" s="281" t="s">
        <v>3205</v>
      </c>
      <c r="F534" s="281">
        <v>1</v>
      </c>
      <c r="G534" s="281">
        <v>5010000000</v>
      </c>
      <c r="H534" t="s">
        <v>2026</v>
      </c>
      <c r="I534" t="s">
        <v>499</v>
      </c>
      <c r="J534" t="s">
        <v>789</v>
      </c>
      <c r="K534" t="s">
        <v>1113</v>
      </c>
      <c r="L534" s="552">
        <v>57452</v>
      </c>
      <c r="O534" t="s">
        <v>960</v>
      </c>
    </row>
    <row r="535" spans="1:15" hidden="1">
      <c r="A535" t="s">
        <v>942</v>
      </c>
      <c r="B535" t="s">
        <v>945</v>
      </c>
      <c r="C535" s="553">
        <v>44238</v>
      </c>
      <c r="D535" s="281" t="s">
        <v>4359</v>
      </c>
      <c r="E535" s="281" t="s">
        <v>3205</v>
      </c>
      <c r="F535" s="281">
        <v>1</v>
      </c>
      <c r="G535" s="281">
        <v>5010000000</v>
      </c>
      <c r="H535" t="s">
        <v>2027</v>
      </c>
      <c r="I535" t="s">
        <v>504</v>
      </c>
      <c r="J535" t="s">
        <v>789</v>
      </c>
      <c r="K535" t="s">
        <v>1113</v>
      </c>
      <c r="L535" s="552">
        <v>4000</v>
      </c>
      <c r="O535" t="s">
        <v>960</v>
      </c>
    </row>
    <row r="536" spans="1:15" hidden="1">
      <c r="A536" t="s">
        <v>942</v>
      </c>
      <c r="B536" t="s">
        <v>945</v>
      </c>
      <c r="C536" s="553">
        <v>44238</v>
      </c>
      <c r="D536" s="281" t="s">
        <v>4359</v>
      </c>
      <c r="E536" s="281" t="s">
        <v>3205</v>
      </c>
      <c r="F536" s="281">
        <v>1</v>
      </c>
      <c r="G536" s="281">
        <v>5010301000</v>
      </c>
      <c r="H536" t="s">
        <v>2028</v>
      </c>
      <c r="I536" t="s">
        <v>528</v>
      </c>
      <c r="J536" t="s">
        <v>789</v>
      </c>
      <c r="K536" t="s">
        <v>1113</v>
      </c>
      <c r="L536" s="552">
        <v>6894.24</v>
      </c>
      <c r="O536" t="s">
        <v>962</v>
      </c>
    </row>
    <row r="537" spans="1:15" hidden="1">
      <c r="A537" t="s">
        <v>942</v>
      </c>
      <c r="B537" t="s">
        <v>945</v>
      </c>
      <c r="C537" s="553">
        <v>44238</v>
      </c>
      <c r="D537" s="281" t="s">
        <v>4359</v>
      </c>
      <c r="E537" s="281" t="s">
        <v>3205</v>
      </c>
      <c r="F537" s="281">
        <v>1</v>
      </c>
      <c r="G537" s="281">
        <v>5010000000</v>
      </c>
      <c r="H537" t="s">
        <v>2029</v>
      </c>
      <c r="I537" t="s">
        <v>530</v>
      </c>
      <c r="J537" t="s">
        <v>789</v>
      </c>
      <c r="K537" t="s">
        <v>1113</v>
      </c>
      <c r="L537" s="552">
        <v>200</v>
      </c>
      <c r="O537" t="s">
        <v>960</v>
      </c>
    </row>
    <row r="538" spans="1:15" hidden="1">
      <c r="A538" t="s">
        <v>942</v>
      </c>
      <c r="B538" t="s">
        <v>945</v>
      </c>
      <c r="C538" s="553">
        <v>44238</v>
      </c>
      <c r="D538" s="281" t="s">
        <v>4359</v>
      </c>
      <c r="E538" s="281" t="s">
        <v>3205</v>
      </c>
      <c r="F538" s="281">
        <v>1</v>
      </c>
      <c r="G538" s="281">
        <v>5010000000</v>
      </c>
      <c r="H538" t="s">
        <v>2030</v>
      </c>
      <c r="I538" t="s">
        <v>532</v>
      </c>
      <c r="J538" t="s">
        <v>789</v>
      </c>
      <c r="K538" t="s">
        <v>1113</v>
      </c>
      <c r="L538" s="552">
        <v>861.79</v>
      </c>
      <c r="O538" t="s">
        <v>960</v>
      </c>
    </row>
    <row r="539" spans="1:15" hidden="1">
      <c r="A539" t="s">
        <v>942</v>
      </c>
      <c r="B539" t="s">
        <v>945</v>
      </c>
      <c r="C539" s="553">
        <v>44238</v>
      </c>
      <c r="D539" s="281" t="s">
        <v>4359</v>
      </c>
      <c r="E539" s="281" t="s">
        <v>3205</v>
      </c>
      <c r="F539" s="281">
        <v>1</v>
      </c>
      <c r="G539" s="281">
        <v>5010000000</v>
      </c>
      <c r="H539" t="s">
        <v>2031</v>
      </c>
      <c r="I539" t="s">
        <v>534</v>
      </c>
      <c r="J539" t="s">
        <v>789</v>
      </c>
      <c r="K539" t="s">
        <v>1113</v>
      </c>
      <c r="L539" s="552">
        <v>200</v>
      </c>
      <c r="O539" t="s">
        <v>960</v>
      </c>
    </row>
    <row r="540" spans="1:15" hidden="1">
      <c r="A540" t="s">
        <v>942</v>
      </c>
      <c r="B540" t="s">
        <v>945</v>
      </c>
      <c r="C540" s="553">
        <v>44238</v>
      </c>
      <c r="D540" s="281" t="s">
        <v>4359</v>
      </c>
      <c r="E540" s="281" t="s">
        <v>3205</v>
      </c>
      <c r="F540" s="281">
        <v>2</v>
      </c>
      <c r="G540" s="281">
        <v>5010000000</v>
      </c>
      <c r="H540" t="s">
        <v>2026</v>
      </c>
      <c r="I540" t="s">
        <v>499</v>
      </c>
      <c r="J540" t="s">
        <v>789</v>
      </c>
      <c r="K540" t="s">
        <v>1113</v>
      </c>
      <c r="L540" s="552">
        <v>130423</v>
      </c>
      <c r="O540" t="s">
        <v>964</v>
      </c>
    </row>
    <row r="541" spans="1:15" hidden="1">
      <c r="A541" t="s">
        <v>942</v>
      </c>
      <c r="B541" t="s">
        <v>945</v>
      </c>
      <c r="C541" s="553">
        <v>44238</v>
      </c>
      <c r="D541" s="281" t="s">
        <v>4359</v>
      </c>
      <c r="E541" s="281" t="s">
        <v>3205</v>
      </c>
      <c r="F541" s="281">
        <v>2</v>
      </c>
      <c r="G541" s="281">
        <v>5010000000</v>
      </c>
      <c r="H541" t="s">
        <v>2027</v>
      </c>
      <c r="I541" t="s">
        <v>504</v>
      </c>
      <c r="J541" t="s">
        <v>789</v>
      </c>
      <c r="K541" t="s">
        <v>1113</v>
      </c>
      <c r="L541" s="552">
        <v>4000</v>
      </c>
      <c r="O541" t="s">
        <v>964</v>
      </c>
    </row>
    <row r="542" spans="1:15" hidden="1">
      <c r="A542" t="s">
        <v>942</v>
      </c>
      <c r="B542" t="s">
        <v>945</v>
      </c>
      <c r="C542" s="553">
        <v>44238</v>
      </c>
      <c r="D542" s="281" t="s">
        <v>4359</v>
      </c>
      <c r="E542" s="281" t="s">
        <v>3205</v>
      </c>
      <c r="F542" s="281">
        <v>2</v>
      </c>
      <c r="G542" s="281">
        <v>5010301000</v>
      </c>
      <c r="H542" t="s">
        <v>2028</v>
      </c>
      <c r="I542" t="s">
        <v>528</v>
      </c>
      <c r="J542" t="s">
        <v>789</v>
      </c>
      <c r="K542" t="s">
        <v>1113</v>
      </c>
      <c r="L542" s="552">
        <v>15650.76</v>
      </c>
      <c r="O542" t="s">
        <v>966</v>
      </c>
    </row>
    <row r="543" spans="1:15" hidden="1">
      <c r="A543" t="s">
        <v>942</v>
      </c>
      <c r="B543" t="s">
        <v>945</v>
      </c>
      <c r="C543" s="553">
        <v>44238</v>
      </c>
      <c r="D543" s="281" t="s">
        <v>4359</v>
      </c>
      <c r="E543" s="281" t="s">
        <v>3205</v>
      </c>
      <c r="F543" s="281">
        <v>2</v>
      </c>
      <c r="G543" s="281">
        <v>5010000000</v>
      </c>
      <c r="H543" t="s">
        <v>2029</v>
      </c>
      <c r="I543" t="s">
        <v>530</v>
      </c>
      <c r="J543" t="s">
        <v>789</v>
      </c>
      <c r="K543" t="s">
        <v>1113</v>
      </c>
      <c r="L543" s="552">
        <v>200</v>
      </c>
      <c r="O543" t="s">
        <v>964</v>
      </c>
    </row>
    <row r="544" spans="1:15" hidden="1">
      <c r="A544" t="s">
        <v>942</v>
      </c>
      <c r="B544" t="s">
        <v>945</v>
      </c>
      <c r="C544" s="553">
        <v>44238</v>
      </c>
      <c r="D544" s="281" t="s">
        <v>4359</v>
      </c>
      <c r="E544" s="281" t="s">
        <v>3205</v>
      </c>
      <c r="F544" s="281">
        <v>2</v>
      </c>
      <c r="G544" s="281">
        <v>5010000000</v>
      </c>
      <c r="H544" t="s">
        <v>2030</v>
      </c>
      <c r="I544" t="s">
        <v>532</v>
      </c>
      <c r="J544" t="s">
        <v>789</v>
      </c>
      <c r="K544" t="s">
        <v>1113</v>
      </c>
      <c r="L544" s="552">
        <v>1555.22</v>
      </c>
      <c r="O544" t="s">
        <v>964</v>
      </c>
    </row>
    <row r="545" spans="1:15" hidden="1">
      <c r="A545" t="s">
        <v>942</v>
      </c>
      <c r="B545" t="s">
        <v>945</v>
      </c>
      <c r="C545" s="553">
        <v>44238</v>
      </c>
      <c r="D545" s="281" t="s">
        <v>4359</v>
      </c>
      <c r="E545" s="281" t="s">
        <v>3205</v>
      </c>
      <c r="F545" s="281">
        <v>2</v>
      </c>
      <c r="G545" s="281">
        <v>5010000000</v>
      </c>
      <c r="H545" t="s">
        <v>2031</v>
      </c>
      <c r="I545" t="s">
        <v>534</v>
      </c>
      <c r="J545" t="s">
        <v>789</v>
      </c>
      <c r="K545" t="s">
        <v>1113</v>
      </c>
      <c r="L545" s="552">
        <v>200</v>
      </c>
      <c r="O545" t="s">
        <v>964</v>
      </c>
    </row>
    <row r="546" spans="1:15" hidden="1">
      <c r="A546" t="s">
        <v>942</v>
      </c>
      <c r="B546" t="s">
        <v>945</v>
      </c>
      <c r="C546" s="553">
        <v>44238</v>
      </c>
      <c r="D546" s="281" t="s">
        <v>4359</v>
      </c>
      <c r="E546" s="281" t="s">
        <v>3205</v>
      </c>
      <c r="F546" s="281">
        <v>3</v>
      </c>
      <c r="G546" s="281">
        <v>5010000000</v>
      </c>
      <c r="H546" t="s">
        <v>2026</v>
      </c>
      <c r="I546" t="s">
        <v>499</v>
      </c>
      <c r="J546" t="s">
        <v>789</v>
      </c>
      <c r="K546" t="s">
        <v>1113</v>
      </c>
      <c r="L546" s="552">
        <v>111742</v>
      </c>
      <c r="O546" t="s">
        <v>967</v>
      </c>
    </row>
    <row r="547" spans="1:15" hidden="1">
      <c r="A547" t="s">
        <v>942</v>
      </c>
      <c r="B547" t="s">
        <v>945</v>
      </c>
      <c r="C547" s="553">
        <v>44238</v>
      </c>
      <c r="D547" s="281" t="s">
        <v>4359</v>
      </c>
      <c r="E547" s="281" t="s">
        <v>3205</v>
      </c>
      <c r="F547" s="281">
        <v>3</v>
      </c>
      <c r="G547" s="281">
        <v>5010000000</v>
      </c>
      <c r="H547" t="s">
        <v>2027</v>
      </c>
      <c r="I547" t="s">
        <v>504</v>
      </c>
      <c r="J547" t="s">
        <v>789</v>
      </c>
      <c r="K547" t="s">
        <v>1113</v>
      </c>
      <c r="L547" s="552">
        <v>2000</v>
      </c>
      <c r="O547" t="s">
        <v>967</v>
      </c>
    </row>
    <row r="548" spans="1:15" hidden="1">
      <c r="A548" t="s">
        <v>942</v>
      </c>
      <c r="B548" t="s">
        <v>945</v>
      </c>
      <c r="C548" s="553">
        <v>44238</v>
      </c>
      <c r="D548" s="281" t="s">
        <v>4359</v>
      </c>
      <c r="E548" s="281" t="s">
        <v>3205</v>
      </c>
      <c r="F548" s="281">
        <v>3</v>
      </c>
      <c r="G548" s="281">
        <v>5010301000</v>
      </c>
      <c r="H548" t="s">
        <v>2028</v>
      </c>
      <c r="I548" t="s">
        <v>528</v>
      </c>
      <c r="J548" t="s">
        <v>789</v>
      </c>
      <c r="K548" t="s">
        <v>1113</v>
      </c>
      <c r="L548" s="552">
        <v>13409.04</v>
      </c>
      <c r="O548" t="s">
        <v>969</v>
      </c>
    </row>
    <row r="549" spans="1:15" hidden="1">
      <c r="A549" t="s">
        <v>942</v>
      </c>
      <c r="B549" t="s">
        <v>945</v>
      </c>
      <c r="C549" s="553">
        <v>44238</v>
      </c>
      <c r="D549" s="281" t="s">
        <v>4359</v>
      </c>
      <c r="E549" s="281" t="s">
        <v>3205</v>
      </c>
      <c r="F549" s="281">
        <v>3</v>
      </c>
      <c r="G549" s="281">
        <v>5010000000</v>
      </c>
      <c r="H549" t="s">
        <v>2029</v>
      </c>
      <c r="I549" t="s">
        <v>530</v>
      </c>
      <c r="J549" t="s">
        <v>789</v>
      </c>
      <c r="K549" t="s">
        <v>1113</v>
      </c>
      <c r="L549" s="552">
        <v>100</v>
      </c>
      <c r="O549" t="s">
        <v>967</v>
      </c>
    </row>
    <row r="550" spans="1:15" hidden="1">
      <c r="A550" t="s">
        <v>942</v>
      </c>
      <c r="B550" t="s">
        <v>945</v>
      </c>
      <c r="C550" s="553">
        <v>44238</v>
      </c>
      <c r="D550" s="281" t="s">
        <v>4359</v>
      </c>
      <c r="E550" s="281" t="s">
        <v>3205</v>
      </c>
      <c r="F550" s="281">
        <v>3</v>
      </c>
      <c r="G550" s="281">
        <v>5010000000</v>
      </c>
      <c r="H550" t="s">
        <v>2030</v>
      </c>
      <c r="I550" t="s">
        <v>532</v>
      </c>
      <c r="J550" t="s">
        <v>789</v>
      </c>
      <c r="K550" t="s">
        <v>1113</v>
      </c>
      <c r="L550" s="552">
        <v>900</v>
      </c>
      <c r="O550" t="s">
        <v>967</v>
      </c>
    </row>
    <row r="551" spans="1:15" hidden="1">
      <c r="A551" t="s">
        <v>942</v>
      </c>
      <c r="B551" t="s">
        <v>945</v>
      </c>
      <c r="C551" s="553">
        <v>44238</v>
      </c>
      <c r="D551" s="281" t="s">
        <v>4359</v>
      </c>
      <c r="E551" s="281" t="s">
        <v>3205</v>
      </c>
      <c r="F551" s="281">
        <v>3</v>
      </c>
      <c r="G551" s="281">
        <v>5010000000</v>
      </c>
      <c r="H551" t="s">
        <v>2031</v>
      </c>
      <c r="I551" t="s">
        <v>534</v>
      </c>
      <c r="J551" t="s">
        <v>789</v>
      </c>
      <c r="K551" t="s">
        <v>1113</v>
      </c>
      <c r="L551" s="552">
        <v>100</v>
      </c>
      <c r="O551" t="s">
        <v>967</v>
      </c>
    </row>
    <row r="552" spans="1:15" hidden="1">
      <c r="A552" t="s">
        <v>942</v>
      </c>
      <c r="B552" t="s">
        <v>945</v>
      </c>
      <c r="C552" s="553">
        <v>44238</v>
      </c>
      <c r="D552" s="281" t="s">
        <v>4359</v>
      </c>
      <c r="E552" s="281" t="s">
        <v>3205</v>
      </c>
      <c r="F552" s="281">
        <v>4</v>
      </c>
      <c r="G552" s="281">
        <v>5010000000</v>
      </c>
      <c r="H552" t="s">
        <v>2026</v>
      </c>
      <c r="I552" t="s">
        <v>499</v>
      </c>
      <c r="J552" t="s">
        <v>789</v>
      </c>
      <c r="K552" t="s">
        <v>1113</v>
      </c>
      <c r="L552" s="552">
        <v>134419</v>
      </c>
      <c r="O552" t="s">
        <v>970</v>
      </c>
    </row>
    <row r="553" spans="1:15" hidden="1">
      <c r="A553" t="s">
        <v>942</v>
      </c>
      <c r="B553" t="s">
        <v>945</v>
      </c>
      <c r="C553" s="553">
        <v>44238</v>
      </c>
      <c r="D553" s="281" t="s">
        <v>4359</v>
      </c>
      <c r="E553" s="281" t="s">
        <v>3205</v>
      </c>
      <c r="F553" s="281">
        <v>4</v>
      </c>
      <c r="G553" s="281">
        <v>5010000000</v>
      </c>
      <c r="H553" t="s">
        <v>2027</v>
      </c>
      <c r="I553" t="s">
        <v>504</v>
      </c>
      <c r="J553" t="s">
        <v>789</v>
      </c>
      <c r="K553" t="s">
        <v>1113</v>
      </c>
      <c r="L553" s="552">
        <v>4000</v>
      </c>
      <c r="O553" t="s">
        <v>970</v>
      </c>
    </row>
    <row r="554" spans="1:15" hidden="1">
      <c r="A554" t="s">
        <v>942</v>
      </c>
      <c r="B554" t="s">
        <v>945</v>
      </c>
      <c r="C554" s="553">
        <v>44238</v>
      </c>
      <c r="D554" s="281" t="s">
        <v>4359</v>
      </c>
      <c r="E554" s="281" t="s">
        <v>3205</v>
      </c>
      <c r="F554" s="281">
        <v>4</v>
      </c>
      <c r="G554" s="281">
        <v>5010301000</v>
      </c>
      <c r="H554" t="s">
        <v>2028</v>
      </c>
      <c r="I554" t="s">
        <v>528</v>
      </c>
      <c r="J554" t="s">
        <v>789</v>
      </c>
      <c r="K554" t="s">
        <v>1113</v>
      </c>
      <c r="L554" s="552">
        <v>16130.28</v>
      </c>
      <c r="O554" t="s">
        <v>972</v>
      </c>
    </row>
    <row r="555" spans="1:15" hidden="1">
      <c r="A555" t="s">
        <v>942</v>
      </c>
      <c r="B555" t="s">
        <v>945</v>
      </c>
      <c r="C555" s="553">
        <v>44238</v>
      </c>
      <c r="D555" s="281" t="s">
        <v>4359</v>
      </c>
      <c r="E555" s="281" t="s">
        <v>3205</v>
      </c>
      <c r="F555" s="281">
        <v>4</v>
      </c>
      <c r="G555" s="281">
        <v>5010000000</v>
      </c>
      <c r="H555" t="s">
        <v>2029</v>
      </c>
      <c r="I555" t="s">
        <v>530</v>
      </c>
      <c r="J555" t="s">
        <v>789</v>
      </c>
      <c r="K555" t="s">
        <v>1113</v>
      </c>
      <c r="L555" s="552">
        <v>200</v>
      </c>
      <c r="O555" t="s">
        <v>970</v>
      </c>
    </row>
    <row r="556" spans="1:15" hidden="1">
      <c r="A556" t="s">
        <v>942</v>
      </c>
      <c r="B556" t="s">
        <v>945</v>
      </c>
      <c r="C556" s="553">
        <v>44238</v>
      </c>
      <c r="D556" s="281" t="s">
        <v>4359</v>
      </c>
      <c r="E556" s="281" t="s">
        <v>3205</v>
      </c>
      <c r="F556" s="281">
        <v>4</v>
      </c>
      <c r="G556" s="281">
        <v>5010000000</v>
      </c>
      <c r="H556" t="s">
        <v>2030</v>
      </c>
      <c r="I556" t="s">
        <v>532</v>
      </c>
      <c r="J556" t="s">
        <v>789</v>
      </c>
      <c r="K556" t="s">
        <v>1113</v>
      </c>
      <c r="L556" s="552">
        <v>1593.92</v>
      </c>
      <c r="O556" t="s">
        <v>970</v>
      </c>
    </row>
    <row r="557" spans="1:15" hidden="1">
      <c r="A557" t="s">
        <v>942</v>
      </c>
      <c r="B557" t="s">
        <v>945</v>
      </c>
      <c r="C557" s="553">
        <v>44238</v>
      </c>
      <c r="D557" s="281" t="s">
        <v>4359</v>
      </c>
      <c r="E557" s="281" t="s">
        <v>3205</v>
      </c>
      <c r="F557" s="281">
        <v>4</v>
      </c>
      <c r="G557" s="281">
        <v>5010000000</v>
      </c>
      <c r="H557" t="s">
        <v>2031</v>
      </c>
      <c r="I557" t="s">
        <v>534</v>
      </c>
      <c r="J557" t="s">
        <v>789</v>
      </c>
      <c r="K557" t="s">
        <v>1113</v>
      </c>
      <c r="L557" s="552">
        <v>200</v>
      </c>
      <c r="O557" t="s">
        <v>970</v>
      </c>
    </row>
    <row r="558" spans="1:15" hidden="1">
      <c r="A558" t="s">
        <v>942</v>
      </c>
      <c r="B558" t="s">
        <v>945</v>
      </c>
      <c r="C558" s="553">
        <v>44238</v>
      </c>
      <c r="D558" s="281" t="s">
        <v>4359</v>
      </c>
      <c r="E558" s="281" t="s">
        <v>3205</v>
      </c>
      <c r="F558" s="281">
        <v>5</v>
      </c>
      <c r="G558" s="281">
        <v>5010000000</v>
      </c>
      <c r="H558" t="s">
        <v>2026</v>
      </c>
      <c r="I558" t="s">
        <v>499</v>
      </c>
      <c r="J558" t="s">
        <v>789</v>
      </c>
      <c r="K558" t="s">
        <v>1113</v>
      </c>
      <c r="L558" s="552">
        <v>91522</v>
      </c>
      <c r="O558" t="s">
        <v>973</v>
      </c>
    </row>
    <row r="559" spans="1:15" hidden="1">
      <c r="A559" t="s">
        <v>942</v>
      </c>
      <c r="B559" t="s">
        <v>945</v>
      </c>
      <c r="C559" s="553">
        <v>44238</v>
      </c>
      <c r="D559" s="281" t="s">
        <v>4359</v>
      </c>
      <c r="E559" s="281" t="s">
        <v>3205</v>
      </c>
      <c r="F559" s="281">
        <v>5</v>
      </c>
      <c r="G559" s="281">
        <v>5010000000</v>
      </c>
      <c r="H559" t="s">
        <v>2027</v>
      </c>
      <c r="I559" t="s">
        <v>504</v>
      </c>
      <c r="J559" t="s">
        <v>789</v>
      </c>
      <c r="K559" t="s">
        <v>1113</v>
      </c>
      <c r="L559" s="552">
        <v>4000</v>
      </c>
      <c r="O559" t="s">
        <v>973</v>
      </c>
    </row>
    <row r="560" spans="1:15" hidden="1">
      <c r="A560" t="s">
        <v>942</v>
      </c>
      <c r="B560" t="s">
        <v>945</v>
      </c>
      <c r="C560" s="553">
        <v>44238</v>
      </c>
      <c r="D560" s="281" t="s">
        <v>4359</v>
      </c>
      <c r="E560" s="281" t="s">
        <v>3205</v>
      </c>
      <c r="F560" s="281">
        <v>5</v>
      </c>
      <c r="G560" s="281">
        <v>5010301000</v>
      </c>
      <c r="H560" t="s">
        <v>2028</v>
      </c>
      <c r="I560" t="s">
        <v>528</v>
      </c>
      <c r="J560" t="s">
        <v>789</v>
      </c>
      <c r="K560" t="s">
        <v>1113</v>
      </c>
      <c r="L560" s="552">
        <v>10982.64</v>
      </c>
      <c r="O560" t="s">
        <v>975</v>
      </c>
    </row>
    <row r="561" spans="1:15" hidden="1">
      <c r="A561" t="s">
        <v>942</v>
      </c>
      <c r="B561" t="s">
        <v>945</v>
      </c>
      <c r="C561" s="553">
        <v>44238</v>
      </c>
      <c r="D561" s="281" t="s">
        <v>4359</v>
      </c>
      <c r="E561" s="281" t="s">
        <v>3205</v>
      </c>
      <c r="F561" s="281">
        <v>5</v>
      </c>
      <c r="G561" s="281">
        <v>5010000000</v>
      </c>
      <c r="H561" t="s">
        <v>2029</v>
      </c>
      <c r="I561" t="s">
        <v>530</v>
      </c>
      <c r="J561" t="s">
        <v>789</v>
      </c>
      <c r="K561" t="s">
        <v>1113</v>
      </c>
      <c r="L561" s="552">
        <v>200</v>
      </c>
      <c r="O561" t="s">
        <v>973</v>
      </c>
    </row>
    <row r="562" spans="1:15" hidden="1">
      <c r="A562" t="s">
        <v>942</v>
      </c>
      <c r="B562" t="s">
        <v>945</v>
      </c>
      <c r="C562" s="553">
        <v>44238</v>
      </c>
      <c r="D562" s="281" t="s">
        <v>4359</v>
      </c>
      <c r="E562" s="281" t="s">
        <v>3205</v>
      </c>
      <c r="F562" s="281">
        <v>5</v>
      </c>
      <c r="G562" s="281">
        <v>5010000000</v>
      </c>
      <c r="H562" t="s">
        <v>2030</v>
      </c>
      <c r="I562" t="s">
        <v>532</v>
      </c>
      <c r="J562" t="s">
        <v>789</v>
      </c>
      <c r="K562" t="s">
        <v>1113</v>
      </c>
      <c r="L562" s="552">
        <v>1372.83</v>
      </c>
      <c r="O562" t="s">
        <v>973</v>
      </c>
    </row>
    <row r="563" spans="1:15" hidden="1">
      <c r="A563" t="s">
        <v>942</v>
      </c>
      <c r="B563" t="s">
        <v>945</v>
      </c>
      <c r="C563" s="553">
        <v>44238</v>
      </c>
      <c r="D563" s="281" t="s">
        <v>4359</v>
      </c>
      <c r="E563" s="281" t="s">
        <v>3205</v>
      </c>
      <c r="F563" s="281">
        <v>5</v>
      </c>
      <c r="G563" s="281">
        <v>5010000000</v>
      </c>
      <c r="H563" t="s">
        <v>2031</v>
      </c>
      <c r="I563" t="s">
        <v>534</v>
      </c>
      <c r="J563" t="s">
        <v>789</v>
      </c>
      <c r="K563" t="s">
        <v>1113</v>
      </c>
      <c r="L563" s="552">
        <v>200</v>
      </c>
      <c r="O563" t="s">
        <v>973</v>
      </c>
    </row>
    <row r="564" spans="1:15" hidden="1">
      <c r="A564" t="s">
        <v>942</v>
      </c>
      <c r="B564" t="s">
        <v>945</v>
      </c>
      <c r="C564" s="553">
        <v>44238</v>
      </c>
      <c r="D564" s="281" t="s">
        <v>4359</v>
      </c>
      <c r="E564" s="281" t="s">
        <v>3205</v>
      </c>
      <c r="F564" s="281">
        <v>6</v>
      </c>
      <c r="G564" s="281">
        <v>5010000000</v>
      </c>
      <c r="H564" t="s">
        <v>2026</v>
      </c>
      <c r="I564" t="s">
        <v>499</v>
      </c>
      <c r="J564" t="s">
        <v>789</v>
      </c>
      <c r="K564" t="s">
        <v>1113</v>
      </c>
      <c r="L564" s="552">
        <v>43681</v>
      </c>
      <c r="O564" t="s">
        <v>976</v>
      </c>
    </row>
    <row r="565" spans="1:15" hidden="1">
      <c r="A565" t="s">
        <v>942</v>
      </c>
      <c r="B565" t="s">
        <v>945</v>
      </c>
      <c r="C565" s="553">
        <v>44238</v>
      </c>
      <c r="D565" s="281" t="s">
        <v>4359</v>
      </c>
      <c r="E565" s="281" t="s">
        <v>3205</v>
      </c>
      <c r="F565" s="281">
        <v>6</v>
      </c>
      <c r="G565" s="281">
        <v>5010000000</v>
      </c>
      <c r="H565" t="s">
        <v>2027</v>
      </c>
      <c r="I565" t="s">
        <v>504</v>
      </c>
      <c r="J565" t="s">
        <v>789</v>
      </c>
      <c r="K565" t="s">
        <v>1113</v>
      </c>
      <c r="L565" s="552">
        <v>2000</v>
      </c>
      <c r="O565" t="s">
        <v>976</v>
      </c>
    </row>
    <row r="566" spans="1:15" hidden="1">
      <c r="A566" t="s">
        <v>942</v>
      </c>
      <c r="B566" t="s">
        <v>945</v>
      </c>
      <c r="C566" s="553">
        <v>44238</v>
      </c>
      <c r="D566" s="281" t="s">
        <v>4359</v>
      </c>
      <c r="E566" s="281" t="s">
        <v>3205</v>
      </c>
      <c r="F566" s="281">
        <v>6</v>
      </c>
      <c r="G566" s="281">
        <v>5010301000</v>
      </c>
      <c r="H566" t="s">
        <v>2028</v>
      </c>
      <c r="I566" t="s">
        <v>528</v>
      </c>
      <c r="J566" t="s">
        <v>789</v>
      </c>
      <c r="K566" t="s">
        <v>1113</v>
      </c>
      <c r="L566" s="552">
        <v>5241.72</v>
      </c>
      <c r="O566" t="s">
        <v>978</v>
      </c>
    </row>
    <row r="567" spans="1:15" hidden="1">
      <c r="A567" t="s">
        <v>942</v>
      </c>
      <c r="B567" t="s">
        <v>945</v>
      </c>
      <c r="C567" s="553">
        <v>44238</v>
      </c>
      <c r="D567" s="281" t="s">
        <v>4359</v>
      </c>
      <c r="E567" s="281" t="s">
        <v>3205</v>
      </c>
      <c r="F567" s="281">
        <v>6</v>
      </c>
      <c r="G567" s="281">
        <v>5010000000</v>
      </c>
      <c r="H567" t="s">
        <v>2029</v>
      </c>
      <c r="I567" t="s">
        <v>530</v>
      </c>
      <c r="J567" t="s">
        <v>789</v>
      </c>
      <c r="K567" t="s">
        <v>1113</v>
      </c>
      <c r="L567" s="552">
        <v>100</v>
      </c>
      <c r="O567" t="s">
        <v>976</v>
      </c>
    </row>
    <row r="568" spans="1:15" hidden="1">
      <c r="A568" t="s">
        <v>942</v>
      </c>
      <c r="B568" t="s">
        <v>945</v>
      </c>
      <c r="C568" s="553">
        <v>44238</v>
      </c>
      <c r="D568" s="281" t="s">
        <v>4359</v>
      </c>
      <c r="E568" s="281" t="s">
        <v>3205</v>
      </c>
      <c r="F568" s="281">
        <v>6</v>
      </c>
      <c r="G568" s="281">
        <v>5010000000</v>
      </c>
      <c r="H568" t="s">
        <v>2030</v>
      </c>
      <c r="I568" t="s">
        <v>532</v>
      </c>
      <c r="J568" t="s">
        <v>789</v>
      </c>
      <c r="K568" t="s">
        <v>1113</v>
      </c>
      <c r="L568" s="552">
        <v>655.22</v>
      </c>
      <c r="O568" t="s">
        <v>976</v>
      </c>
    </row>
    <row r="569" spans="1:15" hidden="1">
      <c r="A569" t="s">
        <v>942</v>
      </c>
      <c r="B569" t="s">
        <v>945</v>
      </c>
      <c r="C569" s="553">
        <v>44238</v>
      </c>
      <c r="D569" s="281" t="s">
        <v>4359</v>
      </c>
      <c r="E569" s="281" t="s">
        <v>3205</v>
      </c>
      <c r="F569" s="281">
        <v>6</v>
      </c>
      <c r="G569" s="281">
        <v>5010000000</v>
      </c>
      <c r="H569" t="s">
        <v>2031</v>
      </c>
      <c r="I569" t="s">
        <v>534</v>
      </c>
      <c r="J569" t="s">
        <v>789</v>
      </c>
      <c r="K569" t="s">
        <v>1113</v>
      </c>
      <c r="L569" s="552">
        <v>100</v>
      </c>
      <c r="O569" t="s">
        <v>976</v>
      </c>
    </row>
    <row r="570" spans="1:15" hidden="1">
      <c r="A570" t="s">
        <v>942</v>
      </c>
      <c r="B570" t="s">
        <v>945</v>
      </c>
      <c r="C570" s="553">
        <v>44238</v>
      </c>
      <c r="D570" s="281" t="s">
        <v>4360</v>
      </c>
      <c r="E570" s="281" t="s">
        <v>3207</v>
      </c>
      <c r="F570" s="281">
        <v>13</v>
      </c>
      <c r="G570" s="281" t="s">
        <v>2036</v>
      </c>
      <c r="H570" t="s">
        <v>2036</v>
      </c>
      <c r="I570" t="s">
        <v>501</v>
      </c>
      <c r="J570" t="s">
        <v>789</v>
      </c>
      <c r="K570" t="s">
        <v>1125</v>
      </c>
      <c r="L570" s="552">
        <v>77256</v>
      </c>
      <c r="O570" t="s">
        <v>999</v>
      </c>
    </row>
    <row r="571" spans="1:15" hidden="1">
      <c r="A571" t="s">
        <v>942</v>
      </c>
      <c r="B571" t="s">
        <v>945</v>
      </c>
      <c r="C571" s="553">
        <v>44238</v>
      </c>
      <c r="D571" s="281" t="s">
        <v>4360</v>
      </c>
      <c r="E571" s="281" t="s">
        <v>3207</v>
      </c>
      <c r="F571" s="281">
        <v>13</v>
      </c>
      <c r="G571" s="281" t="s">
        <v>2036</v>
      </c>
      <c r="H571" t="s">
        <v>2027</v>
      </c>
      <c r="I571" t="s">
        <v>504</v>
      </c>
      <c r="J571" t="s">
        <v>789</v>
      </c>
      <c r="K571" t="s">
        <v>1125</v>
      </c>
      <c r="L571" s="552">
        <v>4000</v>
      </c>
      <c r="O571" t="s">
        <v>999</v>
      </c>
    </row>
    <row r="572" spans="1:15" hidden="1">
      <c r="A572" t="s">
        <v>942</v>
      </c>
      <c r="B572" t="s">
        <v>945</v>
      </c>
      <c r="C572" s="553">
        <v>44238</v>
      </c>
      <c r="D572" s="281" t="s">
        <v>4360</v>
      </c>
      <c r="E572" s="281" t="s">
        <v>3207</v>
      </c>
      <c r="F572" s="281">
        <v>13</v>
      </c>
      <c r="G572" s="281" t="s">
        <v>2036</v>
      </c>
      <c r="H572" t="s">
        <v>2028</v>
      </c>
      <c r="I572" t="s">
        <v>528</v>
      </c>
      <c r="J572" t="s">
        <v>789</v>
      </c>
      <c r="K572" t="s">
        <v>1125</v>
      </c>
      <c r="L572" s="552">
        <v>9270.7199999999993</v>
      </c>
      <c r="O572" t="s">
        <v>999</v>
      </c>
    </row>
    <row r="573" spans="1:15" hidden="1">
      <c r="A573" t="s">
        <v>942</v>
      </c>
      <c r="B573" t="s">
        <v>945</v>
      </c>
      <c r="C573" s="553">
        <v>44238</v>
      </c>
      <c r="D573" s="281" t="s">
        <v>4360</v>
      </c>
      <c r="E573" s="281" t="s">
        <v>3207</v>
      </c>
      <c r="F573" s="281">
        <v>13</v>
      </c>
      <c r="G573" s="281" t="s">
        <v>2036</v>
      </c>
      <c r="H573" t="s">
        <v>2029</v>
      </c>
      <c r="I573" t="s">
        <v>530</v>
      </c>
      <c r="J573" t="s">
        <v>789</v>
      </c>
      <c r="K573" t="s">
        <v>1125</v>
      </c>
      <c r="L573" s="552">
        <v>200</v>
      </c>
      <c r="O573" t="s">
        <v>999</v>
      </c>
    </row>
    <row r="574" spans="1:15" hidden="1">
      <c r="A574" t="s">
        <v>942</v>
      </c>
      <c r="B574" t="s">
        <v>945</v>
      </c>
      <c r="C574" s="553">
        <v>44238</v>
      </c>
      <c r="D574" s="281" t="s">
        <v>4360</v>
      </c>
      <c r="E574" s="281" t="s">
        <v>3207</v>
      </c>
      <c r="F574" s="281">
        <v>13</v>
      </c>
      <c r="G574" s="281" t="s">
        <v>2036</v>
      </c>
      <c r="H574" t="s">
        <v>2030</v>
      </c>
      <c r="I574" t="s">
        <v>532</v>
      </c>
      <c r="J574" t="s">
        <v>789</v>
      </c>
      <c r="K574" t="s">
        <v>1125</v>
      </c>
      <c r="L574" s="552">
        <v>1158.8499999999999</v>
      </c>
      <c r="O574" t="s">
        <v>999</v>
      </c>
    </row>
    <row r="575" spans="1:15" hidden="1">
      <c r="A575" t="s">
        <v>942</v>
      </c>
      <c r="B575" t="s">
        <v>945</v>
      </c>
      <c r="C575" s="553">
        <v>44238</v>
      </c>
      <c r="D575" s="281" t="s">
        <v>4360</v>
      </c>
      <c r="E575" s="281" t="s">
        <v>3207</v>
      </c>
      <c r="F575" s="281">
        <v>13</v>
      </c>
      <c r="G575" s="281" t="s">
        <v>2036</v>
      </c>
      <c r="H575" t="s">
        <v>2031</v>
      </c>
      <c r="I575" t="s">
        <v>534</v>
      </c>
      <c r="J575" t="s">
        <v>789</v>
      </c>
      <c r="K575" t="s">
        <v>1125</v>
      </c>
      <c r="L575" s="552">
        <v>200</v>
      </c>
      <c r="O575" t="s">
        <v>999</v>
      </c>
    </row>
    <row r="576" spans="1:15" hidden="1">
      <c r="A576" t="s">
        <v>942</v>
      </c>
      <c r="B576" t="s">
        <v>945</v>
      </c>
      <c r="C576" s="553">
        <v>44238</v>
      </c>
      <c r="D576" s="281" t="s">
        <v>4361</v>
      </c>
      <c r="E576" s="281" t="s">
        <v>3203</v>
      </c>
      <c r="F576" s="281">
        <v>1</v>
      </c>
      <c r="G576" s="281">
        <v>5010000000</v>
      </c>
      <c r="H576" t="s">
        <v>2026</v>
      </c>
      <c r="I576" t="s">
        <v>499</v>
      </c>
      <c r="J576" t="s">
        <v>768</v>
      </c>
      <c r="K576" t="s">
        <v>1113</v>
      </c>
      <c r="L576" s="552">
        <v>145528</v>
      </c>
      <c r="O576" t="s">
        <v>960</v>
      </c>
    </row>
    <row r="577" spans="1:15" hidden="1">
      <c r="A577" t="s">
        <v>942</v>
      </c>
      <c r="B577" t="s">
        <v>945</v>
      </c>
      <c r="C577" s="553">
        <v>44238</v>
      </c>
      <c r="D577" s="281" t="s">
        <v>4361</v>
      </c>
      <c r="E577" s="281" t="s">
        <v>3203</v>
      </c>
      <c r="F577" s="281">
        <v>1</v>
      </c>
      <c r="G577" s="281">
        <v>5010000000</v>
      </c>
      <c r="H577" t="s">
        <v>2027</v>
      </c>
      <c r="I577" t="s">
        <v>504</v>
      </c>
      <c r="J577" t="s">
        <v>768</v>
      </c>
      <c r="K577" t="s">
        <v>1113</v>
      </c>
      <c r="L577" s="552">
        <v>6000</v>
      </c>
      <c r="O577" t="s">
        <v>960</v>
      </c>
    </row>
    <row r="578" spans="1:15" hidden="1">
      <c r="A578" t="s">
        <v>942</v>
      </c>
      <c r="B578" t="s">
        <v>945</v>
      </c>
      <c r="C578" s="553">
        <v>44238</v>
      </c>
      <c r="D578" s="281" t="s">
        <v>4361</v>
      </c>
      <c r="E578" s="281" t="s">
        <v>3203</v>
      </c>
      <c r="F578" s="281">
        <v>1</v>
      </c>
      <c r="G578" s="281">
        <v>5010301000</v>
      </c>
      <c r="H578" t="s">
        <v>2028</v>
      </c>
      <c r="I578" t="s">
        <v>528</v>
      </c>
      <c r="J578" t="s">
        <v>768</v>
      </c>
      <c r="K578" t="s">
        <v>1113</v>
      </c>
      <c r="L578" s="552">
        <v>17463.36</v>
      </c>
      <c r="O578" t="s">
        <v>962</v>
      </c>
    </row>
    <row r="579" spans="1:15" hidden="1">
      <c r="A579" t="s">
        <v>942</v>
      </c>
      <c r="B579" t="s">
        <v>945</v>
      </c>
      <c r="C579" s="553">
        <v>44238</v>
      </c>
      <c r="D579" s="281" t="s">
        <v>4361</v>
      </c>
      <c r="E579" s="281" t="s">
        <v>3203</v>
      </c>
      <c r="F579" s="281">
        <v>1</v>
      </c>
      <c r="G579" s="281">
        <v>5010000000</v>
      </c>
      <c r="H579" t="s">
        <v>2029</v>
      </c>
      <c r="I579" t="s">
        <v>530</v>
      </c>
      <c r="J579" t="s">
        <v>768</v>
      </c>
      <c r="K579" t="s">
        <v>1113</v>
      </c>
      <c r="L579" s="552">
        <v>300</v>
      </c>
      <c r="O579" t="s">
        <v>960</v>
      </c>
    </row>
    <row r="580" spans="1:15" hidden="1">
      <c r="A580" t="s">
        <v>942</v>
      </c>
      <c r="B580" t="s">
        <v>945</v>
      </c>
      <c r="C580" s="553">
        <v>44238</v>
      </c>
      <c r="D580" s="281" t="s">
        <v>4361</v>
      </c>
      <c r="E580" s="281" t="s">
        <v>3203</v>
      </c>
      <c r="F580" s="281">
        <v>1</v>
      </c>
      <c r="G580" s="281">
        <v>5010000000</v>
      </c>
      <c r="H580" t="s">
        <v>2030</v>
      </c>
      <c r="I580" t="s">
        <v>532</v>
      </c>
      <c r="J580" t="s">
        <v>768</v>
      </c>
      <c r="K580" t="s">
        <v>1113</v>
      </c>
      <c r="L580" s="552">
        <v>1781.79</v>
      </c>
      <c r="O580" t="s">
        <v>960</v>
      </c>
    </row>
    <row r="581" spans="1:15" hidden="1">
      <c r="A581" t="s">
        <v>942</v>
      </c>
      <c r="B581" t="s">
        <v>945</v>
      </c>
      <c r="C581" s="553">
        <v>44238</v>
      </c>
      <c r="D581" s="281" t="s">
        <v>4361</v>
      </c>
      <c r="E581" s="281" t="s">
        <v>3203</v>
      </c>
      <c r="F581" s="281">
        <v>1</v>
      </c>
      <c r="G581" s="281">
        <v>5010000000</v>
      </c>
      <c r="H581" t="s">
        <v>2031</v>
      </c>
      <c r="I581" t="s">
        <v>534</v>
      </c>
      <c r="J581" t="s">
        <v>768</v>
      </c>
      <c r="K581" t="s">
        <v>1113</v>
      </c>
      <c r="L581" s="552">
        <v>300</v>
      </c>
      <c r="O581" t="s">
        <v>960</v>
      </c>
    </row>
    <row r="582" spans="1:15" hidden="1">
      <c r="A582" t="s">
        <v>942</v>
      </c>
      <c r="B582" t="s">
        <v>945</v>
      </c>
      <c r="C582" s="553">
        <v>44238</v>
      </c>
      <c r="D582" s="281" t="s">
        <v>4361</v>
      </c>
      <c r="E582" s="281" t="s">
        <v>3203</v>
      </c>
      <c r="F582" s="281">
        <v>2</v>
      </c>
      <c r="G582" s="281">
        <v>5010000000</v>
      </c>
      <c r="H582" t="s">
        <v>2026</v>
      </c>
      <c r="I582" t="s">
        <v>499</v>
      </c>
      <c r="J582" t="s">
        <v>768</v>
      </c>
      <c r="K582" t="s">
        <v>1113</v>
      </c>
      <c r="L582" s="552">
        <v>46261</v>
      </c>
      <c r="O582" t="s">
        <v>964</v>
      </c>
    </row>
    <row r="583" spans="1:15" hidden="1">
      <c r="A583" t="s">
        <v>942</v>
      </c>
      <c r="B583" t="s">
        <v>945</v>
      </c>
      <c r="C583" s="553">
        <v>44238</v>
      </c>
      <c r="D583" s="281" t="s">
        <v>4361</v>
      </c>
      <c r="E583" s="281" t="s">
        <v>3203</v>
      </c>
      <c r="F583" s="281">
        <v>2</v>
      </c>
      <c r="G583" s="281">
        <v>5010000000</v>
      </c>
      <c r="H583" t="s">
        <v>2027</v>
      </c>
      <c r="I583" t="s">
        <v>504</v>
      </c>
      <c r="J583" t="s">
        <v>768</v>
      </c>
      <c r="K583" t="s">
        <v>1113</v>
      </c>
      <c r="L583" s="552">
        <v>2000</v>
      </c>
      <c r="O583" t="s">
        <v>964</v>
      </c>
    </row>
    <row r="584" spans="1:15" hidden="1">
      <c r="A584" t="s">
        <v>942</v>
      </c>
      <c r="B584" t="s">
        <v>945</v>
      </c>
      <c r="C584" s="553">
        <v>44238</v>
      </c>
      <c r="D584" s="281" t="s">
        <v>4361</v>
      </c>
      <c r="E584" s="281" t="s">
        <v>3203</v>
      </c>
      <c r="F584" s="281">
        <v>2</v>
      </c>
      <c r="G584" s="281">
        <v>5010301000</v>
      </c>
      <c r="H584" t="s">
        <v>2028</v>
      </c>
      <c r="I584" t="s">
        <v>528</v>
      </c>
      <c r="J584" t="s">
        <v>768</v>
      </c>
      <c r="K584" t="s">
        <v>1113</v>
      </c>
      <c r="L584" s="552">
        <v>5551.32</v>
      </c>
      <c r="O584" t="s">
        <v>966</v>
      </c>
    </row>
    <row r="585" spans="1:15" hidden="1">
      <c r="A585" t="s">
        <v>942</v>
      </c>
      <c r="B585" t="s">
        <v>945</v>
      </c>
      <c r="C585" s="553">
        <v>44238</v>
      </c>
      <c r="D585" s="281" t="s">
        <v>4361</v>
      </c>
      <c r="E585" s="281" t="s">
        <v>3203</v>
      </c>
      <c r="F585" s="281">
        <v>2</v>
      </c>
      <c r="G585" s="281">
        <v>5010000000</v>
      </c>
      <c r="H585" t="s">
        <v>2029</v>
      </c>
      <c r="I585" t="s">
        <v>530</v>
      </c>
      <c r="J585" t="s">
        <v>768</v>
      </c>
      <c r="K585" t="s">
        <v>1113</v>
      </c>
      <c r="L585" s="552">
        <v>100</v>
      </c>
      <c r="O585" t="s">
        <v>964</v>
      </c>
    </row>
    <row r="586" spans="1:15" hidden="1">
      <c r="A586" t="s">
        <v>942</v>
      </c>
      <c r="B586" t="s">
        <v>945</v>
      </c>
      <c r="C586" s="553">
        <v>44238</v>
      </c>
      <c r="D586" s="281" t="s">
        <v>4361</v>
      </c>
      <c r="E586" s="281" t="s">
        <v>3203</v>
      </c>
      <c r="F586" s="281">
        <v>2</v>
      </c>
      <c r="G586" s="281">
        <v>5010000000</v>
      </c>
      <c r="H586" t="s">
        <v>2030</v>
      </c>
      <c r="I586" t="s">
        <v>532</v>
      </c>
      <c r="J586" t="s">
        <v>768</v>
      </c>
      <c r="K586" t="s">
        <v>1113</v>
      </c>
      <c r="L586" s="552">
        <v>693.92</v>
      </c>
      <c r="O586" t="s">
        <v>964</v>
      </c>
    </row>
    <row r="587" spans="1:15" hidden="1">
      <c r="A587" t="s">
        <v>942</v>
      </c>
      <c r="B587" t="s">
        <v>945</v>
      </c>
      <c r="C587" s="553">
        <v>44238</v>
      </c>
      <c r="D587" s="281" t="s">
        <v>4361</v>
      </c>
      <c r="E587" s="281" t="s">
        <v>3203</v>
      </c>
      <c r="F587" s="281">
        <v>2</v>
      </c>
      <c r="G587" s="281">
        <v>5010000000</v>
      </c>
      <c r="H587" t="s">
        <v>2031</v>
      </c>
      <c r="I587" t="s">
        <v>534</v>
      </c>
      <c r="J587" t="s">
        <v>768</v>
      </c>
      <c r="K587" t="s">
        <v>1113</v>
      </c>
      <c r="L587" s="552">
        <v>100</v>
      </c>
      <c r="O587" t="s">
        <v>964</v>
      </c>
    </row>
    <row r="588" spans="1:15" hidden="1">
      <c r="A588" t="s">
        <v>942</v>
      </c>
      <c r="B588" t="s">
        <v>945</v>
      </c>
      <c r="C588" s="553">
        <v>44238</v>
      </c>
      <c r="D588" s="281" t="s">
        <v>4361</v>
      </c>
      <c r="E588" s="281" t="s">
        <v>3203</v>
      </c>
      <c r="F588" s="281">
        <v>3</v>
      </c>
      <c r="G588" s="281">
        <v>5010000000</v>
      </c>
      <c r="H588" t="s">
        <v>2026</v>
      </c>
      <c r="I588" t="s">
        <v>499</v>
      </c>
      <c r="J588" t="s">
        <v>768</v>
      </c>
      <c r="K588" t="s">
        <v>1113</v>
      </c>
      <c r="L588" s="552">
        <v>111742</v>
      </c>
      <c r="O588" t="s">
        <v>967</v>
      </c>
    </row>
    <row r="589" spans="1:15" hidden="1">
      <c r="A589" t="s">
        <v>942</v>
      </c>
      <c r="B589" t="s">
        <v>945</v>
      </c>
      <c r="C589" s="553">
        <v>44238</v>
      </c>
      <c r="D589" s="281" t="s">
        <v>4361</v>
      </c>
      <c r="E589" s="281" t="s">
        <v>3203</v>
      </c>
      <c r="F589" s="281">
        <v>3</v>
      </c>
      <c r="G589" s="281">
        <v>5010000000</v>
      </c>
      <c r="H589" t="s">
        <v>2027</v>
      </c>
      <c r="I589" t="s">
        <v>504</v>
      </c>
      <c r="J589" t="s">
        <v>768</v>
      </c>
      <c r="K589" t="s">
        <v>1113</v>
      </c>
      <c r="L589" s="552">
        <v>2000</v>
      </c>
      <c r="O589" t="s">
        <v>967</v>
      </c>
    </row>
    <row r="590" spans="1:15" hidden="1">
      <c r="A590" t="s">
        <v>942</v>
      </c>
      <c r="B590" t="s">
        <v>945</v>
      </c>
      <c r="C590" s="553">
        <v>44238</v>
      </c>
      <c r="D590" s="281" t="s">
        <v>4361</v>
      </c>
      <c r="E590" s="281" t="s">
        <v>3203</v>
      </c>
      <c r="F590" s="281">
        <v>3</v>
      </c>
      <c r="G590" s="281">
        <v>5010301000</v>
      </c>
      <c r="H590" t="s">
        <v>2028</v>
      </c>
      <c r="I590" t="s">
        <v>528</v>
      </c>
      <c r="J590" t="s">
        <v>768</v>
      </c>
      <c r="K590" t="s">
        <v>1113</v>
      </c>
      <c r="L590" s="552">
        <v>13409.04</v>
      </c>
      <c r="O590" t="s">
        <v>969</v>
      </c>
    </row>
    <row r="591" spans="1:15" hidden="1">
      <c r="A591" t="s">
        <v>942</v>
      </c>
      <c r="B591" t="s">
        <v>945</v>
      </c>
      <c r="C591" s="553">
        <v>44238</v>
      </c>
      <c r="D591" s="281" t="s">
        <v>4361</v>
      </c>
      <c r="E591" s="281" t="s">
        <v>3203</v>
      </c>
      <c r="F591" s="281">
        <v>3</v>
      </c>
      <c r="G591" s="281">
        <v>5010000000</v>
      </c>
      <c r="H591" t="s">
        <v>2029</v>
      </c>
      <c r="I591" t="s">
        <v>530</v>
      </c>
      <c r="J591" t="s">
        <v>768</v>
      </c>
      <c r="K591" t="s">
        <v>1113</v>
      </c>
      <c r="L591" s="552">
        <v>100</v>
      </c>
      <c r="O591" t="s">
        <v>967</v>
      </c>
    </row>
    <row r="592" spans="1:15" hidden="1">
      <c r="A592" t="s">
        <v>942</v>
      </c>
      <c r="B592" t="s">
        <v>945</v>
      </c>
      <c r="C592" s="553">
        <v>44238</v>
      </c>
      <c r="D592" s="281" t="s">
        <v>4361</v>
      </c>
      <c r="E592" s="281" t="s">
        <v>3203</v>
      </c>
      <c r="F592" s="281">
        <v>3</v>
      </c>
      <c r="G592" s="281">
        <v>5010000000</v>
      </c>
      <c r="H592" t="s">
        <v>2030</v>
      </c>
      <c r="I592" t="s">
        <v>532</v>
      </c>
      <c r="J592" t="s">
        <v>768</v>
      </c>
      <c r="K592" t="s">
        <v>1113</v>
      </c>
      <c r="L592" s="552">
        <v>900</v>
      </c>
      <c r="O592" t="s">
        <v>967</v>
      </c>
    </row>
    <row r="593" spans="1:15" hidden="1">
      <c r="A593" t="s">
        <v>942</v>
      </c>
      <c r="B593" t="s">
        <v>945</v>
      </c>
      <c r="C593" s="553">
        <v>44238</v>
      </c>
      <c r="D593" s="281" t="s">
        <v>4361</v>
      </c>
      <c r="E593" s="281" t="s">
        <v>3203</v>
      </c>
      <c r="F593" s="281">
        <v>3</v>
      </c>
      <c r="G593" s="281">
        <v>5010000000</v>
      </c>
      <c r="H593" t="s">
        <v>2031</v>
      </c>
      <c r="I593" t="s">
        <v>534</v>
      </c>
      <c r="J593" t="s">
        <v>768</v>
      </c>
      <c r="K593" t="s">
        <v>1113</v>
      </c>
      <c r="L593" s="552">
        <v>100</v>
      </c>
      <c r="O593" t="s">
        <v>967</v>
      </c>
    </row>
    <row r="594" spans="1:15" hidden="1">
      <c r="A594" t="s">
        <v>942</v>
      </c>
      <c r="B594" t="s">
        <v>945</v>
      </c>
      <c r="C594" s="553">
        <v>44238</v>
      </c>
      <c r="D594" s="281" t="s">
        <v>4361</v>
      </c>
      <c r="E594" s="281" t="s">
        <v>3203</v>
      </c>
      <c r="F594" s="281">
        <v>4</v>
      </c>
      <c r="G594" s="281">
        <v>5010000000</v>
      </c>
      <c r="H594" t="s">
        <v>2026</v>
      </c>
      <c r="I594" t="s">
        <v>499</v>
      </c>
      <c r="J594" t="s">
        <v>768</v>
      </c>
      <c r="K594" t="s">
        <v>1113</v>
      </c>
      <c r="L594" s="552">
        <v>236044</v>
      </c>
      <c r="O594" t="s">
        <v>970</v>
      </c>
    </row>
    <row r="595" spans="1:15" hidden="1">
      <c r="A595" t="s">
        <v>942</v>
      </c>
      <c r="B595" t="s">
        <v>945</v>
      </c>
      <c r="C595" s="553">
        <v>44238</v>
      </c>
      <c r="D595" s="281" t="s">
        <v>4361</v>
      </c>
      <c r="E595" s="281" t="s">
        <v>3203</v>
      </c>
      <c r="F595" s="281">
        <v>4</v>
      </c>
      <c r="G595" s="281">
        <v>5010000000</v>
      </c>
      <c r="H595" t="s">
        <v>2027</v>
      </c>
      <c r="I595" t="s">
        <v>504</v>
      </c>
      <c r="J595" t="s">
        <v>768</v>
      </c>
      <c r="K595" t="s">
        <v>1113</v>
      </c>
      <c r="L595" s="552">
        <v>12000</v>
      </c>
      <c r="O595" t="s">
        <v>970</v>
      </c>
    </row>
    <row r="596" spans="1:15" hidden="1">
      <c r="A596" t="s">
        <v>942</v>
      </c>
      <c r="B596" t="s">
        <v>945</v>
      </c>
      <c r="C596" s="553">
        <v>44238</v>
      </c>
      <c r="D596" s="281" t="s">
        <v>4361</v>
      </c>
      <c r="E596" s="281" t="s">
        <v>3203</v>
      </c>
      <c r="F596" s="281">
        <v>4</v>
      </c>
      <c r="G596" s="281">
        <v>5010301000</v>
      </c>
      <c r="H596" t="s">
        <v>2028</v>
      </c>
      <c r="I596" t="s">
        <v>528</v>
      </c>
      <c r="J596" t="s">
        <v>768</v>
      </c>
      <c r="K596" t="s">
        <v>1113</v>
      </c>
      <c r="L596" s="552">
        <v>28325.279999999999</v>
      </c>
      <c r="O596" t="s">
        <v>972</v>
      </c>
    </row>
    <row r="597" spans="1:15" hidden="1">
      <c r="A597" t="s">
        <v>942</v>
      </c>
      <c r="B597" t="s">
        <v>945</v>
      </c>
      <c r="C597" s="553">
        <v>44238</v>
      </c>
      <c r="D597" s="281" t="s">
        <v>4361</v>
      </c>
      <c r="E597" s="281" t="s">
        <v>3203</v>
      </c>
      <c r="F597" s="281">
        <v>4</v>
      </c>
      <c r="G597" s="281">
        <v>5010000000</v>
      </c>
      <c r="H597" t="s">
        <v>2029</v>
      </c>
      <c r="I597" t="s">
        <v>530</v>
      </c>
      <c r="J597" t="s">
        <v>768</v>
      </c>
      <c r="K597" t="s">
        <v>1113</v>
      </c>
      <c r="L597" s="552">
        <v>600</v>
      </c>
      <c r="O597" t="s">
        <v>970</v>
      </c>
    </row>
    <row r="598" spans="1:15" hidden="1">
      <c r="A598" t="s">
        <v>942</v>
      </c>
      <c r="B598" t="s">
        <v>945</v>
      </c>
      <c r="C598" s="553">
        <v>44238</v>
      </c>
      <c r="D598" s="281" t="s">
        <v>4361</v>
      </c>
      <c r="E598" s="281" t="s">
        <v>3203</v>
      </c>
      <c r="F598" s="281">
        <v>4</v>
      </c>
      <c r="G598" s="281">
        <v>5010000000</v>
      </c>
      <c r="H598" t="s">
        <v>2030</v>
      </c>
      <c r="I598" t="s">
        <v>532</v>
      </c>
      <c r="J598" t="s">
        <v>768</v>
      </c>
      <c r="K598" t="s">
        <v>1113</v>
      </c>
      <c r="L598" s="552">
        <v>3540.69</v>
      </c>
      <c r="O598" t="s">
        <v>970</v>
      </c>
    </row>
    <row r="599" spans="1:15" hidden="1">
      <c r="A599" t="s">
        <v>942</v>
      </c>
      <c r="B599" t="s">
        <v>945</v>
      </c>
      <c r="C599" s="553">
        <v>44238</v>
      </c>
      <c r="D599" s="281" t="s">
        <v>4361</v>
      </c>
      <c r="E599" s="281" t="s">
        <v>3203</v>
      </c>
      <c r="F599" s="281">
        <v>4</v>
      </c>
      <c r="G599" s="281">
        <v>5010000000</v>
      </c>
      <c r="H599" t="s">
        <v>2031</v>
      </c>
      <c r="I599" t="s">
        <v>534</v>
      </c>
      <c r="J599" t="s">
        <v>768</v>
      </c>
      <c r="K599" t="s">
        <v>1113</v>
      </c>
      <c r="L599" s="552">
        <v>600</v>
      </c>
      <c r="O599" t="s">
        <v>970</v>
      </c>
    </row>
    <row r="600" spans="1:15" hidden="1">
      <c r="A600" t="s">
        <v>942</v>
      </c>
      <c r="B600" t="s">
        <v>945</v>
      </c>
      <c r="C600" s="553">
        <v>44238</v>
      </c>
      <c r="D600" s="281" t="s">
        <v>4361</v>
      </c>
      <c r="E600" s="281" t="s">
        <v>3203</v>
      </c>
      <c r="F600" s="281">
        <v>5</v>
      </c>
      <c r="G600" s="281">
        <v>5010000000</v>
      </c>
      <c r="H600" t="s">
        <v>2026</v>
      </c>
      <c r="I600" t="s">
        <v>499</v>
      </c>
      <c r="J600" t="s">
        <v>768</v>
      </c>
      <c r="K600" t="s">
        <v>1113</v>
      </c>
      <c r="L600" s="552">
        <v>44694</v>
      </c>
      <c r="O600" t="s">
        <v>973</v>
      </c>
    </row>
    <row r="601" spans="1:15" hidden="1">
      <c r="A601" t="s">
        <v>942</v>
      </c>
      <c r="B601" t="s">
        <v>945</v>
      </c>
      <c r="C601" s="553">
        <v>44238</v>
      </c>
      <c r="D601" s="281" t="s">
        <v>4361</v>
      </c>
      <c r="E601" s="281" t="s">
        <v>3203</v>
      </c>
      <c r="F601" s="281">
        <v>5</v>
      </c>
      <c r="G601" s="281">
        <v>5010000000</v>
      </c>
      <c r="H601" t="s">
        <v>2027</v>
      </c>
      <c r="I601" t="s">
        <v>504</v>
      </c>
      <c r="J601" t="s">
        <v>768</v>
      </c>
      <c r="K601" t="s">
        <v>1113</v>
      </c>
      <c r="L601" s="552">
        <v>2000</v>
      </c>
      <c r="O601" t="s">
        <v>973</v>
      </c>
    </row>
    <row r="602" spans="1:15" hidden="1">
      <c r="A602" t="s">
        <v>942</v>
      </c>
      <c r="B602" t="s">
        <v>945</v>
      </c>
      <c r="C602" s="553">
        <v>44238</v>
      </c>
      <c r="D602" s="281" t="s">
        <v>4361</v>
      </c>
      <c r="E602" s="281" t="s">
        <v>3203</v>
      </c>
      <c r="F602" s="281">
        <v>5</v>
      </c>
      <c r="G602" s="281">
        <v>5010301000</v>
      </c>
      <c r="H602" t="s">
        <v>2028</v>
      </c>
      <c r="I602" t="s">
        <v>528</v>
      </c>
      <c r="J602" t="s">
        <v>768</v>
      </c>
      <c r="K602" t="s">
        <v>1113</v>
      </c>
      <c r="L602" s="552">
        <v>5363.28</v>
      </c>
      <c r="O602" t="s">
        <v>975</v>
      </c>
    </row>
    <row r="603" spans="1:15" hidden="1">
      <c r="A603" t="s">
        <v>942</v>
      </c>
      <c r="B603" t="s">
        <v>945</v>
      </c>
      <c r="C603" s="553">
        <v>44238</v>
      </c>
      <c r="D603" s="281" t="s">
        <v>4361</v>
      </c>
      <c r="E603" s="281" t="s">
        <v>3203</v>
      </c>
      <c r="F603" s="281">
        <v>5</v>
      </c>
      <c r="G603" s="281">
        <v>5010000000</v>
      </c>
      <c r="H603" t="s">
        <v>2029</v>
      </c>
      <c r="I603" t="s">
        <v>530</v>
      </c>
      <c r="J603" t="s">
        <v>768</v>
      </c>
      <c r="K603" t="s">
        <v>1113</v>
      </c>
      <c r="L603" s="552">
        <v>100</v>
      </c>
      <c r="O603" t="s">
        <v>973</v>
      </c>
    </row>
    <row r="604" spans="1:15" hidden="1">
      <c r="A604" t="s">
        <v>942</v>
      </c>
      <c r="B604" t="s">
        <v>945</v>
      </c>
      <c r="C604" s="553">
        <v>44238</v>
      </c>
      <c r="D604" s="281" t="s">
        <v>4361</v>
      </c>
      <c r="E604" s="281" t="s">
        <v>3203</v>
      </c>
      <c r="F604" s="281">
        <v>5</v>
      </c>
      <c r="G604" s="281">
        <v>5010000000</v>
      </c>
      <c r="H604" t="s">
        <v>2030</v>
      </c>
      <c r="I604" t="s">
        <v>532</v>
      </c>
      <c r="J604" t="s">
        <v>768</v>
      </c>
      <c r="K604" t="s">
        <v>1113</v>
      </c>
      <c r="L604" s="552">
        <v>670.41</v>
      </c>
      <c r="O604" t="s">
        <v>973</v>
      </c>
    </row>
    <row r="605" spans="1:15" hidden="1">
      <c r="A605" t="s">
        <v>942</v>
      </c>
      <c r="B605" t="s">
        <v>945</v>
      </c>
      <c r="C605" s="553">
        <v>44238</v>
      </c>
      <c r="D605" s="281" t="s">
        <v>4361</v>
      </c>
      <c r="E605" s="281" t="s">
        <v>3203</v>
      </c>
      <c r="F605" s="281">
        <v>5</v>
      </c>
      <c r="G605" s="281">
        <v>5010000000</v>
      </c>
      <c r="H605" t="s">
        <v>2031</v>
      </c>
      <c r="I605" t="s">
        <v>534</v>
      </c>
      <c r="J605" t="s">
        <v>768</v>
      </c>
      <c r="K605" t="s">
        <v>1113</v>
      </c>
      <c r="L605" s="552">
        <v>100</v>
      </c>
      <c r="O605" t="s">
        <v>973</v>
      </c>
    </row>
    <row r="606" spans="1:15" hidden="1">
      <c r="A606" t="s">
        <v>942</v>
      </c>
      <c r="B606" t="s">
        <v>945</v>
      </c>
      <c r="C606" s="553">
        <v>44238</v>
      </c>
      <c r="D606" s="281" t="s">
        <v>4362</v>
      </c>
      <c r="E606" s="281" t="s">
        <v>3201</v>
      </c>
      <c r="F606" s="281">
        <v>13</v>
      </c>
      <c r="G606" s="281" t="s">
        <v>2036</v>
      </c>
      <c r="H606" t="s">
        <v>2036</v>
      </c>
      <c r="I606" t="s">
        <v>501</v>
      </c>
      <c r="J606" t="s">
        <v>768</v>
      </c>
      <c r="K606" t="s">
        <v>1125</v>
      </c>
      <c r="L606" s="552">
        <v>77256</v>
      </c>
      <c r="O606" t="s">
        <v>999</v>
      </c>
    </row>
    <row r="607" spans="1:15" hidden="1">
      <c r="A607" t="s">
        <v>942</v>
      </c>
      <c r="B607" t="s">
        <v>945</v>
      </c>
      <c r="C607" s="553">
        <v>44238</v>
      </c>
      <c r="D607" s="281" t="s">
        <v>4362</v>
      </c>
      <c r="E607" s="281" t="s">
        <v>3201</v>
      </c>
      <c r="F607" s="281">
        <v>13</v>
      </c>
      <c r="G607" s="281" t="s">
        <v>2036</v>
      </c>
      <c r="H607" t="s">
        <v>2027</v>
      </c>
      <c r="I607" t="s">
        <v>504</v>
      </c>
      <c r="J607" t="s">
        <v>768</v>
      </c>
      <c r="K607" t="s">
        <v>1125</v>
      </c>
      <c r="L607" s="552">
        <v>4000</v>
      </c>
      <c r="O607" t="s">
        <v>999</v>
      </c>
    </row>
    <row r="608" spans="1:15" hidden="1">
      <c r="A608" t="s">
        <v>942</v>
      </c>
      <c r="B608" t="s">
        <v>945</v>
      </c>
      <c r="C608" s="553">
        <v>44238</v>
      </c>
      <c r="D608" s="281" t="s">
        <v>4362</v>
      </c>
      <c r="E608" s="281" t="s">
        <v>3201</v>
      </c>
      <c r="F608" s="281">
        <v>13</v>
      </c>
      <c r="G608" s="281" t="s">
        <v>2036</v>
      </c>
      <c r="H608" t="s">
        <v>2028</v>
      </c>
      <c r="I608" t="s">
        <v>528</v>
      </c>
      <c r="J608" t="s">
        <v>768</v>
      </c>
      <c r="K608" t="s">
        <v>1125</v>
      </c>
      <c r="L608" s="552">
        <v>9270.7199999999993</v>
      </c>
      <c r="O608" t="s">
        <v>999</v>
      </c>
    </row>
    <row r="609" spans="1:15" hidden="1">
      <c r="A609" t="s">
        <v>942</v>
      </c>
      <c r="B609" t="s">
        <v>945</v>
      </c>
      <c r="C609" s="553">
        <v>44238</v>
      </c>
      <c r="D609" s="281" t="s">
        <v>4362</v>
      </c>
      <c r="E609" s="281" t="s">
        <v>3201</v>
      </c>
      <c r="F609" s="281">
        <v>13</v>
      </c>
      <c r="G609" s="281" t="s">
        <v>2036</v>
      </c>
      <c r="H609" t="s">
        <v>2029</v>
      </c>
      <c r="I609" t="s">
        <v>530</v>
      </c>
      <c r="J609" t="s">
        <v>768</v>
      </c>
      <c r="K609" t="s">
        <v>1125</v>
      </c>
      <c r="L609" s="552">
        <v>200</v>
      </c>
      <c r="O609" t="s">
        <v>999</v>
      </c>
    </row>
    <row r="610" spans="1:15" hidden="1">
      <c r="A610" t="s">
        <v>942</v>
      </c>
      <c r="B610" t="s">
        <v>945</v>
      </c>
      <c r="C610" s="553">
        <v>44238</v>
      </c>
      <c r="D610" s="281" t="s">
        <v>4362</v>
      </c>
      <c r="E610" s="281" t="s">
        <v>3201</v>
      </c>
      <c r="F610" s="281">
        <v>13</v>
      </c>
      <c r="G610" s="281" t="s">
        <v>2036</v>
      </c>
      <c r="H610" t="s">
        <v>2030</v>
      </c>
      <c r="I610" t="s">
        <v>532</v>
      </c>
      <c r="J610" t="s">
        <v>768</v>
      </c>
      <c r="K610" t="s">
        <v>1125</v>
      </c>
      <c r="L610" s="552">
        <v>1158.8499999999999</v>
      </c>
      <c r="O610" t="s">
        <v>999</v>
      </c>
    </row>
    <row r="611" spans="1:15" hidden="1">
      <c r="A611" t="s">
        <v>942</v>
      </c>
      <c r="B611" t="s">
        <v>945</v>
      </c>
      <c r="C611" s="553">
        <v>44238</v>
      </c>
      <c r="D611" s="281" t="s">
        <v>4362</v>
      </c>
      <c r="E611" s="281" t="s">
        <v>3201</v>
      </c>
      <c r="F611" s="281">
        <v>13</v>
      </c>
      <c r="G611" s="281" t="s">
        <v>2036</v>
      </c>
      <c r="H611" t="s">
        <v>2031</v>
      </c>
      <c r="I611" t="s">
        <v>534</v>
      </c>
      <c r="J611" t="s">
        <v>768</v>
      </c>
      <c r="K611" t="s">
        <v>1125</v>
      </c>
      <c r="L611" s="552">
        <v>200</v>
      </c>
      <c r="O611" t="s">
        <v>999</v>
      </c>
    </row>
    <row r="612" spans="1:15" hidden="1">
      <c r="A612" t="s">
        <v>942</v>
      </c>
      <c r="B612" t="s">
        <v>945</v>
      </c>
      <c r="C612" s="553">
        <v>44238</v>
      </c>
      <c r="D612" s="281" t="s">
        <v>4363</v>
      </c>
      <c r="E612" s="281" t="s">
        <v>3199</v>
      </c>
      <c r="F612" s="281">
        <v>13</v>
      </c>
      <c r="G612" s="281" t="s">
        <v>2036</v>
      </c>
      <c r="H612" t="s">
        <v>2036</v>
      </c>
      <c r="I612" t="s">
        <v>501</v>
      </c>
      <c r="J612" t="s">
        <v>867</v>
      </c>
      <c r="K612" t="s">
        <v>1125</v>
      </c>
      <c r="L612" s="552">
        <v>33575</v>
      </c>
      <c r="O612" t="s">
        <v>999</v>
      </c>
    </row>
    <row r="613" spans="1:15" hidden="1">
      <c r="A613" t="s">
        <v>942</v>
      </c>
      <c r="B613" t="s">
        <v>945</v>
      </c>
      <c r="C613" s="553">
        <v>44238</v>
      </c>
      <c r="D613" s="281" t="s">
        <v>4363</v>
      </c>
      <c r="E613" s="281" t="s">
        <v>3199</v>
      </c>
      <c r="F613" s="281">
        <v>13</v>
      </c>
      <c r="G613" s="281" t="s">
        <v>2036</v>
      </c>
      <c r="H613" t="s">
        <v>2027</v>
      </c>
      <c r="I613" t="s">
        <v>504</v>
      </c>
      <c r="J613" t="s">
        <v>867</v>
      </c>
      <c r="K613" t="s">
        <v>1125</v>
      </c>
      <c r="L613" s="552">
        <v>2000</v>
      </c>
      <c r="O613" t="s">
        <v>999</v>
      </c>
    </row>
    <row r="614" spans="1:15" hidden="1">
      <c r="A614" t="s">
        <v>942</v>
      </c>
      <c r="B614" t="s">
        <v>945</v>
      </c>
      <c r="C614" s="553">
        <v>44238</v>
      </c>
      <c r="D614" s="281" t="s">
        <v>4363</v>
      </c>
      <c r="E614" s="281" t="s">
        <v>3199</v>
      </c>
      <c r="F614" s="281">
        <v>13</v>
      </c>
      <c r="G614" s="281" t="s">
        <v>2036</v>
      </c>
      <c r="H614" t="s">
        <v>2028</v>
      </c>
      <c r="I614" t="s">
        <v>528</v>
      </c>
      <c r="J614" t="s">
        <v>867</v>
      </c>
      <c r="K614" t="s">
        <v>1125</v>
      </c>
      <c r="L614" s="552">
        <v>4029</v>
      </c>
      <c r="O614" t="s">
        <v>999</v>
      </c>
    </row>
    <row r="615" spans="1:15" hidden="1">
      <c r="A615" t="s">
        <v>942</v>
      </c>
      <c r="B615" t="s">
        <v>945</v>
      </c>
      <c r="C615" s="553">
        <v>44238</v>
      </c>
      <c r="D615" s="281" t="s">
        <v>4363</v>
      </c>
      <c r="E615" s="281" t="s">
        <v>3199</v>
      </c>
      <c r="F615" s="281">
        <v>13</v>
      </c>
      <c r="G615" s="281" t="s">
        <v>2036</v>
      </c>
      <c r="H615" t="s">
        <v>2029</v>
      </c>
      <c r="I615" t="s">
        <v>530</v>
      </c>
      <c r="J615" t="s">
        <v>867</v>
      </c>
      <c r="K615" t="s">
        <v>1125</v>
      </c>
      <c r="L615" s="552">
        <v>100</v>
      </c>
      <c r="O615" t="s">
        <v>999</v>
      </c>
    </row>
    <row r="616" spans="1:15" hidden="1">
      <c r="A616" t="s">
        <v>942</v>
      </c>
      <c r="B616" t="s">
        <v>945</v>
      </c>
      <c r="C616" s="553">
        <v>44238</v>
      </c>
      <c r="D616" s="281" t="s">
        <v>4363</v>
      </c>
      <c r="E616" s="281" t="s">
        <v>3199</v>
      </c>
      <c r="F616" s="281">
        <v>13</v>
      </c>
      <c r="G616" s="281" t="s">
        <v>2036</v>
      </c>
      <c r="H616" t="s">
        <v>2030</v>
      </c>
      <c r="I616" t="s">
        <v>532</v>
      </c>
      <c r="J616" t="s">
        <v>867</v>
      </c>
      <c r="K616" t="s">
        <v>1125</v>
      </c>
      <c r="L616" s="552">
        <v>503.63</v>
      </c>
      <c r="O616" t="s">
        <v>999</v>
      </c>
    </row>
    <row r="617" spans="1:15" hidden="1">
      <c r="A617" t="s">
        <v>942</v>
      </c>
      <c r="B617" t="s">
        <v>945</v>
      </c>
      <c r="C617" s="553">
        <v>44238</v>
      </c>
      <c r="D617" s="281" t="s">
        <v>4363</v>
      </c>
      <c r="E617" s="281" t="s">
        <v>3199</v>
      </c>
      <c r="F617" s="281">
        <v>13</v>
      </c>
      <c r="G617" s="281" t="s">
        <v>2036</v>
      </c>
      <c r="H617" t="s">
        <v>2031</v>
      </c>
      <c r="I617" t="s">
        <v>534</v>
      </c>
      <c r="J617" t="s">
        <v>867</v>
      </c>
      <c r="K617" t="s">
        <v>1125</v>
      </c>
      <c r="L617" s="552">
        <v>100</v>
      </c>
      <c r="O617" t="s">
        <v>999</v>
      </c>
    </row>
    <row r="618" spans="1:15" hidden="1">
      <c r="A618" t="s">
        <v>942</v>
      </c>
      <c r="B618" t="s">
        <v>945</v>
      </c>
      <c r="C618" s="553">
        <v>44238</v>
      </c>
      <c r="D618" s="281" t="s">
        <v>4364</v>
      </c>
      <c r="E618" s="281" t="s">
        <v>3197</v>
      </c>
      <c r="F618" s="281">
        <v>1</v>
      </c>
      <c r="G618" s="281">
        <v>5010000000</v>
      </c>
      <c r="H618" t="s">
        <v>2026</v>
      </c>
      <c r="I618" t="s">
        <v>499</v>
      </c>
      <c r="J618" t="s">
        <v>764</v>
      </c>
      <c r="K618" t="s">
        <v>1113</v>
      </c>
      <c r="L618" s="552">
        <v>99206</v>
      </c>
      <c r="O618" t="s">
        <v>960</v>
      </c>
    </row>
    <row r="619" spans="1:15" hidden="1">
      <c r="A619" t="s">
        <v>942</v>
      </c>
      <c r="B619" t="s">
        <v>945</v>
      </c>
      <c r="C619" s="553">
        <v>44238</v>
      </c>
      <c r="D619" s="281" t="s">
        <v>4364</v>
      </c>
      <c r="E619" s="281" t="s">
        <v>3197</v>
      </c>
      <c r="F619" s="281">
        <v>1</v>
      </c>
      <c r="G619" s="281">
        <v>5010000000</v>
      </c>
      <c r="H619" t="s">
        <v>2027</v>
      </c>
      <c r="I619" t="s">
        <v>504</v>
      </c>
      <c r="J619" t="s">
        <v>764</v>
      </c>
      <c r="K619" t="s">
        <v>1113</v>
      </c>
      <c r="L619" s="552">
        <v>8000</v>
      </c>
      <c r="O619" t="s">
        <v>960</v>
      </c>
    </row>
    <row r="620" spans="1:15" hidden="1">
      <c r="A620" t="s">
        <v>942</v>
      </c>
      <c r="B620" t="s">
        <v>945</v>
      </c>
      <c r="C620" s="553">
        <v>44238</v>
      </c>
      <c r="D620" s="281" t="s">
        <v>4364</v>
      </c>
      <c r="E620" s="281" t="s">
        <v>3197</v>
      </c>
      <c r="F620" s="281">
        <v>1</v>
      </c>
      <c r="G620" s="281">
        <v>5010301000</v>
      </c>
      <c r="H620" t="s">
        <v>2028</v>
      </c>
      <c r="I620" t="s">
        <v>528</v>
      </c>
      <c r="J620" t="s">
        <v>764</v>
      </c>
      <c r="K620" t="s">
        <v>1113</v>
      </c>
      <c r="L620" s="552">
        <v>11904.72</v>
      </c>
      <c r="O620" t="s">
        <v>962</v>
      </c>
    </row>
    <row r="621" spans="1:15" hidden="1">
      <c r="A621" t="s">
        <v>942</v>
      </c>
      <c r="B621" t="s">
        <v>945</v>
      </c>
      <c r="C621" s="553">
        <v>44238</v>
      </c>
      <c r="D621" s="281" t="s">
        <v>4364</v>
      </c>
      <c r="E621" s="281" t="s">
        <v>3197</v>
      </c>
      <c r="F621" s="281">
        <v>1</v>
      </c>
      <c r="G621" s="281">
        <v>5010000000</v>
      </c>
      <c r="H621" t="s">
        <v>2029</v>
      </c>
      <c r="I621" t="s">
        <v>530</v>
      </c>
      <c r="J621" t="s">
        <v>764</v>
      </c>
      <c r="K621" t="s">
        <v>1113</v>
      </c>
      <c r="L621" s="552">
        <v>400</v>
      </c>
      <c r="O621" t="s">
        <v>960</v>
      </c>
    </row>
    <row r="622" spans="1:15" hidden="1">
      <c r="A622" t="s">
        <v>942</v>
      </c>
      <c r="B622" t="s">
        <v>945</v>
      </c>
      <c r="C622" s="553">
        <v>44238</v>
      </c>
      <c r="D622" s="281" t="s">
        <v>4364</v>
      </c>
      <c r="E622" s="281" t="s">
        <v>3197</v>
      </c>
      <c r="F622" s="281">
        <v>1</v>
      </c>
      <c r="G622" s="281">
        <v>5010000000</v>
      </c>
      <c r="H622" t="s">
        <v>2030</v>
      </c>
      <c r="I622" t="s">
        <v>532</v>
      </c>
      <c r="J622" t="s">
        <v>764</v>
      </c>
      <c r="K622" t="s">
        <v>1113</v>
      </c>
      <c r="L622" s="552">
        <v>1488.1</v>
      </c>
      <c r="O622" t="s">
        <v>960</v>
      </c>
    </row>
    <row r="623" spans="1:15" hidden="1">
      <c r="A623" t="s">
        <v>942</v>
      </c>
      <c r="B623" t="s">
        <v>945</v>
      </c>
      <c r="C623" s="553">
        <v>44238</v>
      </c>
      <c r="D623" s="281" t="s">
        <v>4364</v>
      </c>
      <c r="E623" s="281" t="s">
        <v>3197</v>
      </c>
      <c r="F623" s="281">
        <v>1</v>
      </c>
      <c r="G623" s="281">
        <v>5010000000</v>
      </c>
      <c r="H623" t="s">
        <v>2031</v>
      </c>
      <c r="I623" t="s">
        <v>534</v>
      </c>
      <c r="J623" t="s">
        <v>764</v>
      </c>
      <c r="K623" t="s">
        <v>1113</v>
      </c>
      <c r="L623" s="552">
        <v>400</v>
      </c>
      <c r="O623" t="s">
        <v>960</v>
      </c>
    </row>
    <row r="624" spans="1:15" hidden="1">
      <c r="A624" t="s">
        <v>942</v>
      </c>
      <c r="B624" t="s">
        <v>945</v>
      </c>
      <c r="C624" s="553">
        <v>44238</v>
      </c>
      <c r="D624" s="281" t="s">
        <v>4364</v>
      </c>
      <c r="E624" s="281" t="s">
        <v>3197</v>
      </c>
      <c r="F624" s="281">
        <v>2</v>
      </c>
      <c r="G624" s="281">
        <v>5010000000</v>
      </c>
      <c r="H624" t="s">
        <v>2026</v>
      </c>
      <c r="I624" t="s">
        <v>499</v>
      </c>
      <c r="J624" t="s">
        <v>764</v>
      </c>
      <c r="K624" t="s">
        <v>1113</v>
      </c>
      <c r="L624" s="552">
        <v>44184</v>
      </c>
      <c r="O624" t="s">
        <v>964</v>
      </c>
    </row>
    <row r="625" spans="1:15" hidden="1">
      <c r="A625" t="s">
        <v>942</v>
      </c>
      <c r="B625" t="s">
        <v>945</v>
      </c>
      <c r="C625" s="553">
        <v>44238</v>
      </c>
      <c r="D625" s="281" t="s">
        <v>4364</v>
      </c>
      <c r="E625" s="281" t="s">
        <v>3197</v>
      </c>
      <c r="F625" s="281">
        <v>2</v>
      </c>
      <c r="G625" s="281">
        <v>5010000000</v>
      </c>
      <c r="H625" t="s">
        <v>2027</v>
      </c>
      <c r="I625" t="s">
        <v>504</v>
      </c>
      <c r="J625" t="s">
        <v>764</v>
      </c>
      <c r="K625" t="s">
        <v>1113</v>
      </c>
      <c r="L625" s="552">
        <v>2000</v>
      </c>
      <c r="O625" t="s">
        <v>964</v>
      </c>
    </row>
    <row r="626" spans="1:15" hidden="1">
      <c r="A626" t="s">
        <v>942</v>
      </c>
      <c r="B626" t="s">
        <v>945</v>
      </c>
      <c r="C626" s="553">
        <v>44238</v>
      </c>
      <c r="D626" s="281" t="s">
        <v>4364</v>
      </c>
      <c r="E626" s="281" t="s">
        <v>3197</v>
      </c>
      <c r="F626" s="281">
        <v>2</v>
      </c>
      <c r="G626" s="281">
        <v>5010301000</v>
      </c>
      <c r="H626" t="s">
        <v>2028</v>
      </c>
      <c r="I626" t="s">
        <v>528</v>
      </c>
      <c r="J626" t="s">
        <v>764</v>
      </c>
      <c r="K626" t="s">
        <v>1113</v>
      </c>
      <c r="L626" s="552">
        <v>5302.08</v>
      </c>
      <c r="O626" t="s">
        <v>966</v>
      </c>
    </row>
    <row r="627" spans="1:15" hidden="1">
      <c r="A627" t="s">
        <v>942</v>
      </c>
      <c r="B627" t="s">
        <v>945</v>
      </c>
      <c r="C627" s="553">
        <v>44238</v>
      </c>
      <c r="D627" s="281" t="s">
        <v>4364</v>
      </c>
      <c r="E627" s="281" t="s">
        <v>3197</v>
      </c>
      <c r="F627" s="281">
        <v>2</v>
      </c>
      <c r="G627" s="281">
        <v>5010000000</v>
      </c>
      <c r="H627" t="s">
        <v>2029</v>
      </c>
      <c r="I627" t="s">
        <v>530</v>
      </c>
      <c r="J627" t="s">
        <v>764</v>
      </c>
      <c r="K627" t="s">
        <v>1113</v>
      </c>
      <c r="L627" s="552">
        <v>100</v>
      </c>
      <c r="O627" t="s">
        <v>964</v>
      </c>
    </row>
    <row r="628" spans="1:15" hidden="1">
      <c r="A628" t="s">
        <v>942</v>
      </c>
      <c r="B628" t="s">
        <v>945</v>
      </c>
      <c r="C628" s="553">
        <v>44238</v>
      </c>
      <c r="D628" s="281" t="s">
        <v>4364</v>
      </c>
      <c r="E628" s="281" t="s">
        <v>3197</v>
      </c>
      <c r="F628" s="281">
        <v>2</v>
      </c>
      <c r="G628" s="281">
        <v>5010000000</v>
      </c>
      <c r="H628" t="s">
        <v>2030</v>
      </c>
      <c r="I628" t="s">
        <v>532</v>
      </c>
      <c r="J628" t="s">
        <v>764</v>
      </c>
      <c r="K628" t="s">
        <v>1113</v>
      </c>
      <c r="L628" s="552">
        <v>662.76</v>
      </c>
      <c r="O628" t="s">
        <v>964</v>
      </c>
    </row>
    <row r="629" spans="1:15" hidden="1">
      <c r="A629" t="s">
        <v>942</v>
      </c>
      <c r="B629" t="s">
        <v>945</v>
      </c>
      <c r="C629" s="553">
        <v>44238</v>
      </c>
      <c r="D629" s="281" t="s">
        <v>4364</v>
      </c>
      <c r="E629" s="281" t="s">
        <v>3197</v>
      </c>
      <c r="F629" s="281">
        <v>2</v>
      </c>
      <c r="G629" s="281">
        <v>5010000000</v>
      </c>
      <c r="H629" t="s">
        <v>2031</v>
      </c>
      <c r="I629" t="s">
        <v>534</v>
      </c>
      <c r="J629" t="s">
        <v>764</v>
      </c>
      <c r="K629" t="s">
        <v>1113</v>
      </c>
      <c r="L629" s="552">
        <v>100</v>
      </c>
      <c r="O629" t="s">
        <v>964</v>
      </c>
    </row>
    <row r="630" spans="1:15" hidden="1">
      <c r="A630" t="s">
        <v>942</v>
      </c>
      <c r="B630" t="s">
        <v>945</v>
      </c>
      <c r="C630" s="553">
        <v>44238</v>
      </c>
      <c r="D630" s="281" t="s">
        <v>4364</v>
      </c>
      <c r="E630" s="281" t="s">
        <v>3197</v>
      </c>
      <c r="F630" s="281">
        <v>4</v>
      </c>
      <c r="G630" s="281">
        <v>5010000000</v>
      </c>
      <c r="H630" t="s">
        <v>2026</v>
      </c>
      <c r="I630" t="s">
        <v>499</v>
      </c>
      <c r="J630" t="s">
        <v>764</v>
      </c>
      <c r="K630" t="s">
        <v>1113</v>
      </c>
      <c r="L630" s="552">
        <v>113498</v>
      </c>
      <c r="O630" t="s">
        <v>970</v>
      </c>
    </row>
    <row r="631" spans="1:15" hidden="1">
      <c r="A631" t="s">
        <v>942</v>
      </c>
      <c r="B631" t="s">
        <v>945</v>
      </c>
      <c r="C631" s="553">
        <v>44238</v>
      </c>
      <c r="D631" s="281" t="s">
        <v>4364</v>
      </c>
      <c r="E631" s="281" t="s">
        <v>3197</v>
      </c>
      <c r="F631" s="281">
        <v>4</v>
      </c>
      <c r="G631" s="281">
        <v>5010000000</v>
      </c>
      <c r="H631" t="s">
        <v>2027</v>
      </c>
      <c r="I631" t="s">
        <v>504</v>
      </c>
      <c r="J631" t="s">
        <v>764</v>
      </c>
      <c r="K631" t="s">
        <v>1113</v>
      </c>
      <c r="L631" s="552">
        <v>6000</v>
      </c>
      <c r="O631" t="s">
        <v>970</v>
      </c>
    </row>
    <row r="632" spans="1:15" hidden="1">
      <c r="A632" t="s">
        <v>942</v>
      </c>
      <c r="B632" t="s">
        <v>945</v>
      </c>
      <c r="C632" s="553">
        <v>44238</v>
      </c>
      <c r="D632" s="281" t="s">
        <v>4364</v>
      </c>
      <c r="E632" s="281" t="s">
        <v>3197</v>
      </c>
      <c r="F632" s="281">
        <v>4</v>
      </c>
      <c r="G632" s="281">
        <v>5010301000</v>
      </c>
      <c r="H632" t="s">
        <v>2028</v>
      </c>
      <c r="I632" t="s">
        <v>528</v>
      </c>
      <c r="J632" t="s">
        <v>764</v>
      </c>
      <c r="K632" t="s">
        <v>1113</v>
      </c>
      <c r="L632" s="552">
        <v>13619.76</v>
      </c>
      <c r="O632" t="s">
        <v>972</v>
      </c>
    </row>
    <row r="633" spans="1:15" hidden="1">
      <c r="A633" t="s">
        <v>942</v>
      </c>
      <c r="B633" t="s">
        <v>945</v>
      </c>
      <c r="C633" s="553">
        <v>44238</v>
      </c>
      <c r="D633" s="281" t="s">
        <v>4364</v>
      </c>
      <c r="E633" s="281" t="s">
        <v>3197</v>
      </c>
      <c r="F633" s="281">
        <v>4</v>
      </c>
      <c r="G633" s="281">
        <v>5010000000</v>
      </c>
      <c r="H633" t="s">
        <v>2029</v>
      </c>
      <c r="I633" t="s">
        <v>530</v>
      </c>
      <c r="J633" t="s">
        <v>764</v>
      </c>
      <c r="K633" t="s">
        <v>1113</v>
      </c>
      <c r="L633" s="552">
        <v>300</v>
      </c>
      <c r="O633" t="s">
        <v>970</v>
      </c>
    </row>
    <row r="634" spans="1:15" hidden="1">
      <c r="A634" t="s">
        <v>942</v>
      </c>
      <c r="B634" t="s">
        <v>945</v>
      </c>
      <c r="C634" s="553">
        <v>44238</v>
      </c>
      <c r="D634" s="281" t="s">
        <v>4364</v>
      </c>
      <c r="E634" s="281" t="s">
        <v>3197</v>
      </c>
      <c r="F634" s="281">
        <v>4</v>
      </c>
      <c r="G634" s="281">
        <v>5010000000</v>
      </c>
      <c r="H634" t="s">
        <v>2030</v>
      </c>
      <c r="I634" t="s">
        <v>532</v>
      </c>
      <c r="J634" t="s">
        <v>764</v>
      </c>
      <c r="K634" t="s">
        <v>1113</v>
      </c>
      <c r="L634" s="552">
        <v>1702.48</v>
      </c>
      <c r="O634" t="s">
        <v>970</v>
      </c>
    </row>
    <row r="635" spans="1:15" hidden="1">
      <c r="A635" t="s">
        <v>942</v>
      </c>
      <c r="B635" t="s">
        <v>945</v>
      </c>
      <c r="C635" s="553">
        <v>44238</v>
      </c>
      <c r="D635" s="281" t="s">
        <v>4364</v>
      </c>
      <c r="E635" s="281" t="s">
        <v>3197</v>
      </c>
      <c r="F635" s="281">
        <v>4</v>
      </c>
      <c r="G635" s="281">
        <v>5010000000</v>
      </c>
      <c r="H635" t="s">
        <v>2031</v>
      </c>
      <c r="I635" t="s">
        <v>534</v>
      </c>
      <c r="J635" t="s">
        <v>764</v>
      </c>
      <c r="K635" t="s">
        <v>1113</v>
      </c>
      <c r="L635" s="552">
        <v>300</v>
      </c>
      <c r="O635" t="s">
        <v>970</v>
      </c>
    </row>
    <row r="636" spans="1:15" hidden="1">
      <c r="A636" t="s">
        <v>942</v>
      </c>
      <c r="B636" t="s">
        <v>945</v>
      </c>
      <c r="C636" s="553">
        <v>44238</v>
      </c>
      <c r="D636" s="281" t="s">
        <v>4364</v>
      </c>
      <c r="E636" s="281" t="s">
        <v>3197</v>
      </c>
      <c r="F636" s="281">
        <v>5</v>
      </c>
      <c r="G636" s="281">
        <v>5010000000</v>
      </c>
      <c r="H636" t="s">
        <v>2026</v>
      </c>
      <c r="I636" t="s">
        <v>499</v>
      </c>
      <c r="J636" t="s">
        <v>764</v>
      </c>
      <c r="K636" t="s">
        <v>1113</v>
      </c>
      <c r="L636" s="552">
        <v>136714</v>
      </c>
      <c r="O636" t="s">
        <v>973</v>
      </c>
    </row>
    <row r="637" spans="1:15" hidden="1">
      <c r="A637" t="s">
        <v>942</v>
      </c>
      <c r="B637" t="s">
        <v>945</v>
      </c>
      <c r="C637" s="553">
        <v>44238</v>
      </c>
      <c r="D637" s="281" t="s">
        <v>4364</v>
      </c>
      <c r="E637" s="281" t="s">
        <v>3197</v>
      </c>
      <c r="F637" s="281">
        <v>5</v>
      </c>
      <c r="G637" s="281">
        <v>5010000000</v>
      </c>
      <c r="H637" t="s">
        <v>2027</v>
      </c>
      <c r="I637" t="s">
        <v>504</v>
      </c>
      <c r="J637" t="s">
        <v>764</v>
      </c>
      <c r="K637" t="s">
        <v>1113</v>
      </c>
      <c r="L637" s="552">
        <v>6000</v>
      </c>
      <c r="O637" t="s">
        <v>973</v>
      </c>
    </row>
    <row r="638" spans="1:15" hidden="1">
      <c r="A638" t="s">
        <v>942</v>
      </c>
      <c r="B638" t="s">
        <v>945</v>
      </c>
      <c r="C638" s="553">
        <v>44238</v>
      </c>
      <c r="D638" s="281" t="s">
        <v>4364</v>
      </c>
      <c r="E638" s="281" t="s">
        <v>3197</v>
      </c>
      <c r="F638" s="281">
        <v>5</v>
      </c>
      <c r="G638" s="281">
        <v>5010301000</v>
      </c>
      <c r="H638" t="s">
        <v>2028</v>
      </c>
      <c r="I638" t="s">
        <v>528</v>
      </c>
      <c r="J638" t="s">
        <v>764</v>
      </c>
      <c r="K638" t="s">
        <v>1113</v>
      </c>
      <c r="L638" s="552">
        <v>16405.68</v>
      </c>
      <c r="O638" t="s">
        <v>975</v>
      </c>
    </row>
    <row r="639" spans="1:15" hidden="1">
      <c r="A639" t="s">
        <v>942</v>
      </c>
      <c r="B639" t="s">
        <v>945</v>
      </c>
      <c r="C639" s="553">
        <v>44238</v>
      </c>
      <c r="D639" s="281" t="s">
        <v>4364</v>
      </c>
      <c r="E639" s="281" t="s">
        <v>3197</v>
      </c>
      <c r="F639" s="281">
        <v>5</v>
      </c>
      <c r="G639" s="281">
        <v>5010000000</v>
      </c>
      <c r="H639" t="s">
        <v>2029</v>
      </c>
      <c r="I639" t="s">
        <v>530</v>
      </c>
      <c r="J639" t="s">
        <v>764</v>
      </c>
      <c r="K639" t="s">
        <v>1113</v>
      </c>
      <c r="L639" s="552">
        <v>300</v>
      </c>
      <c r="O639" t="s">
        <v>973</v>
      </c>
    </row>
    <row r="640" spans="1:15" hidden="1">
      <c r="A640" t="s">
        <v>942</v>
      </c>
      <c r="B640" t="s">
        <v>945</v>
      </c>
      <c r="C640" s="553">
        <v>44238</v>
      </c>
      <c r="D640" s="281" t="s">
        <v>4364</v>
      </c>
      <c r="E640" s="281" t="s">
        <v>3197</v>
      </c>
      <c r="F640" s="281">
        <v>5</v>
      </c>
      <c r="G640" s="281">
        <v>5010000000</v>
      </c>
      <c r="H640" t="s">
        <v>2030</v>
      </c>
      <c r="I640" t="s">
        <v>532</v>
      </c>
      <c r="J640" t="s">
        <v>764</v>
      </c>
      <c r="K640" t="s">
        <v>1113</v>
      </c>
      <c r="L640" s="552">
        <v>1924.49</v>
      </c>
      <c r="O640" t="s">
        <v>973</v>
      </c>
    </row>
    <row r="641" spans="1:15" hidden="1">
      <c r="A641" t="s">
        <v>942</v>
      </c>
      <c r="B641" t="s">
        <v>945</v>
      </c>
      <c r="C641" s="553">
        <v>44238</v>
      </c>
      <c r="D641" s="281" t="s">
        <v>4364</v>
      </c>
      <c r="E641" s="281" t="s">
        <v>3197</v>
      </c>
      <c r="F641" s="281">
        <v>5</v>
      </c>
      <c r="G641" s="281">
        <v>5010000000</v>
      </c>
      <c r="H641" t="s">
        <v>2031</v>
      </c>
      <c r="I641" t="s">
        <v>534</v>
      </c>
      <c r="J641" t="s">
        <v>764</v>
      </c>
      <c r="K641" t="s">
        <v>1113</v>
      </c>
      <c r="L641" s="552">
        <v>300</v>
      </c>
      <c r="O641" t="s">
        <v>973</v>
      </c>
    </row>
    <row r="642" spans="1:15" hidden="1">
      <c r="A642" t="s">
        <v>942</v>
      </c>
      <c r="B642" t="s">
        <v>945</v>
      </c>
      <c r="C642" s="553">
        <v>44238</v>
      </c>
      <c r="D642" s="281" t="s">
        <v>4365</v>
      </c>
      <c r="E642" s="281" t="s">
        <v>3209</v>
      </c>
      <c r="F642" s="281">
        <v>13</v>
      </c>
      <c r="G642" s="281" t="s">
        <v>2036</v>
      </c>
      <c r="H642" t="s">
        <v>2036</v>
      </c>
      <c r="I642" t="s">
        <v>501</v>
      </c>
      <c r="J642" t="s">
        <v>869</v>
      </c>
      <c r="K642" t="s">
        <v>1125</v>
      </c>
      <c r="L642" s="552">
        <v>33575</v>
      </c>
      <c r="O642" t="s">
        <v>999</v>
      </c>
    </row>
    <row r="643" spans="1:15" hidden="1">
      <c r="A643" t="s">
        <v>942</v>
      </c>
      <c r="B643" t="s">
        <v>945</v>
      </c>
      <c r="C643" s="553">
        <v>44238</v>
      </c>
      <c r="D643" s="281" t="s">
        <v>4365</v>
      </c>
      <c r="E643" s="281" t="s">
        <v>3209</v>
      </c>
      <c r="F643" s="281">
        <v>13</v>
      </c>
      <c r="G643" s="281" t="s">
        <v>2036</v>
      </c>
      <c r="H643" t="s">
        <v>2027</v>
      </c>
      <c r="I643" t="s">
        <v>504</v>
      </c>
      <c r="J643" t="s">
        <v>869</v>
      </c>
      <c r="K643" t="s">
        <v>1125</v>
      </c>
      <c r="L643" s="552">
        <v>2000</v>
      </c>
      <c r="O643" t="s">
        <v>999</v>
      </c>
    </row>
    <row r="644" spans="1:15" hidden="1">
      <c r="A644" t="s">
        <v>942</v>
      </c>
      <c r="B644" t="s">
        <v>945</v>
      </c>
      <c r="C644" s="553">
        <v>44238</v>
      </c>
      <c r="D644" s="281" t="s">
        <v>4365</v>
      </c>
      <c r="E644" s="281" t="s">
        <v>3209</v>
      </c>
      <c r="F644" s="281">
        <v>13</v>
      </c>
      <c r="G644" s="281" t="s">
        <v>2036</v>
      </c>
      <c r="H644" t="s">
        <v>2028</v>
      </c>
      <c r="I644" t="s">
        <v>528</v>
      </c>
      <c r="J644" t="s">
        <v>869</v>
      </c>
      <c r="K644" t="s">
        <v>1125</v>
      </c>
      <c r="L644" s="552">
        <v>4029</v>
      </c>
      <c r="O644" t="s">
        <v>999</v>
      </c>
    </row>
    <row r="645" spans="1:15" hidden="1">
      <c r="A645" t="s">
        <v>942</v>
      </c>
      <c r="B645" t="s">
        <v>945</v>
      </c>
      <c r="C645" s="553">
        <v>44238</v>
      </c>
      <c r="D645" s="281" t="s">
        <v>4365</v>
      </c>
      <c r="E645" s="281" t="s">
        <v>3209</v>
      </c>
      <c r="F645" s="281">
        <v>13</v>
      </c>
      <c r="G645" s="281" t="s">
        <v>2036</v>
      </c>
      <c r="H645" t="s">
        <v>2029</v>
      </c>
      <c r="I645" t="s">
        <v>530</v>
      </c>
      <c r="J645" t="s">
        <v>869</v>
      </c>
      <c r="K645" t="s">
        <v>1125</v>
      </c>
      <c r="L645" s="552">
        <v>100</v>
      </c>
      <c r="O645" t="s">
        <v>999</v>
      </c>
    </row>
    <row r="646" spans="1:15" hidden="1">
      <c r="A646" t="s">
        <v>942</v>
      </c>
      <c r="B646" t="s">
        <v>945</v>
      </c>
      <c r="C646" s="553">
        <v>44238</v>
      </c>
      <c r="D646" s="281" t="s">
        <v>4365</v>
      </c>
      <c r="E646" s="281" t="s">
        <v>3209</v>
      </c>
      <c r="F646" s="281">
        <v>13</v>
      </c>
      <c r="G646" s="281" t="s">
        <v>2036</v>
      </c>
      <c r="H646" t="s">
        <v>2030</v>
      </c>
      <c r="I646" t="s">
        <v>532</v>
      </c>
      <c r="J646" t="s">
        <v>869</v>
      </c>
      <c r="K646" t="s">
        <v>1125</v>
      </c>
      <c r="L646" s="552">
        <v>503.63</v>
      </c>
      <c r="O646" t="s">
        <v>999</v>
      </c>
    </row>
    <row r="647" spans="1:15" hidden="1">
      <c r="A647" t="s">
        <v>942</v>
      </c>
      <c r="B647" t="s">
        <v>945</v>
      </c>
      <c r="C647" s="553">
        <v>44238</v>
      </c>
      <c r="D647" s="281" t="s">
        <v>4365</v>
      </c>
      <c r="E647" s="281" t="s">
        <v>3209</v>
      </c>
      <c r="F647" s="281">
        <v>13</v>
      </c>
      <c r="G647" s="281" t="s">
        <v>2036</v>
      </c>
      <c r="H647" t="s">
        <v>2031</v>
      </c>
      <c r="I647" t="s">
        <v>534</v>
      </c>
      <c r="J647" t="s">
        <v>869</v>
      </c>
      <c r="K647" t="s">
        <v>1125</v>
      </c>
      <c r="L647" s="552">
        <v>100</v>
      </c>
      <c r="O647" t="s">
        <v>999</v>
      </c>
    </row>
    <row r="648" spans="1:15" hidden="1">
      <c r="A648" t="s">
        <v>942</v>
      </c>
      <c r="B648" t="s">
        <v>945</v>
      </c>
      <c r="C648" s="553">
        <v>44238</v>
      </c>
      <c r="D648" s="281" t="s">
        <v>4366</v>
      </c>
      <c r="E648" s="281" t="s">
        <v>3212</v>
      </c>
      <c r="F648" s="281">
        <v>4</v>
      </c>
      <c r="G648" s="281">
        <v>5010000000</v>
      </c>
      <c r="H648" t="s">
        <v>2026</v>
      </c>
      <c r="I648" t="s">
        <v>499</v>
      </c>
      <c r="J648" t="s">
        <v>1165</v>
      </c>
      <c r="K648" t="s">
        <v>1166</v>
      </c>
      <c r="L648" s="552">
        <v>10853.18</v>
      </c>
      <c r="O648" t="s">
        <v>970</v>
      </c>
    </row>
    <row r="649" spans="1:15" hidden="1">
      <c r="A649" t="s">
        <v>942</v>
      </c>
      <c r="B649" t="s">
        <v>945</v>
      </c>
      <c r="C649" s="553">
        <v>44238</v>
      </c>
      <c r="D649" s="281" t="s">
        <v>4366</v>
      </c>
      <c r="E649" s="281" t="s">
        <v>3212</v>
      </c>
      <c r="F649" s="281">
        <v>4</v>
      </c>
      <c r="G649" s="281">
        <v>5010000000</v>
      </c>
      <c r="H649" t="s">
        <v>2027</v>
      </c>
      <c r="I649" t="s">
        <v>504</v>
      </c>
      <c r="J649" t="s">
        <v>1165</v>
      </c>
      <c r="K649" t="s">
        <v>1166</v>
      </c>
      <c r="L649" s="552">
        <v>909.09</v>
      </c>
      <c r="O649" t="s">
        <v>970</v>
      </c>
    </row>
    <row r="650" spans="1:15" hidden="1">
      <c r="A650" t="s">
        <v>942</v>
      </c>
      <c r="B650" t="s">
        <v>945</v>
      </c>
      <c r="C650" s="553">
        <v>44238</v>
      </c>
      <c r="D650" s="281" t="s">
        <v>4366</v>
      </c>
      <c r="E650" s="281" t="s">
        <v>3212</v>
      </c>
      <c r="F650" s="281">
        <v>4</v>
      </c>
      <c r="G650" s="281">
        <v>5010301000</v>
      </c>
      <c r="H650" t="s">
        <v>2028</v>
      </c>
      <c r="I650" t="s">
        <v>528</v>
      </c>
      <c r="J650" t="s">
        <v>1165</v>
      </c>
      <c r="K650" t="s">
        <v>1166</v>
      </c>
      <c r="L650" s="552">
        <v>1293.98</v>
      </c>
      <c r="O650" t="s">
        <v>972</v>
      </c>
    </row>
    <row r="651" spans="1:15" hidden="1">
      <c r="A651" t="s">
        <v>942</v>
      </c>
      <c r="B651" t="s">
        <v>945</v>
      </c>
      <c r="C651" s="553">
        <v>44238</v>
      </c>
      <c r="D651" s="281" t="s">
        <v>4366</v>
      </c>
      <c r="E651" s="281" t="s">
        <v>3212</v>
      </c>
      <c r="F651" s="281">
        <v>4</v>
      </c>
      <c r="G651" s="281">
        <v>5010000000</v>
      </c>
      <c r="H651" t="s">
        <v>2029</v>
      </c>
      <c r="I651" t="s">
        <v>530</v>
      </c>
      <c r="J651" t="s">
        <v>1165</v>
      </c>
      <c r="K651" t="s">
        <v>1166</v>
      </c>
      <c r="L651" s="552">
        <v>100</v>
      </c>
      <c r="O651" t="s">
        <v>970</v>
      </c>
    </row>
    <row r="652" spans="1:15" hidden="1">
      <c r="A652" t="s">
        <v>942</v>
      </c>
      <c r="B652" t="s">
        <v>945</v>
      </c>
      <c r="C652" s="553">
        <v>44238</v>
      </c>
      <c r="D652" s="281" t="s">
        <v>4366</v>
      </c>
      <c r="E652" s="281" t="s">
        <v>3212</v>
      </c>
      <c r="F652" s="281">
        <v>4</v>
      </c>
      <c r="G652" s="281">
        <v>5010000000</v>
      </c>
      <c r="H652" t="s">
        <v>2030</v>
      </c>
      <c r="I652" t="s">
        <v>532</v>
      </c>
      <c r="J652" t="s">
        <v>1165</v>
      </c>
      <c r="K652" t="s">
        <v>1166</v>
      </c>
      <c r="L652" s="552">
        <v>358.16</v>
      </c>
      <c r="O652" t="s">
        <v>970</v>
      </c>
    </row>
    <row r="653" spans="1:15" hidden="1">
      <c r="A653" t="s">
        <v>942</v>
      </c>
      <c r="B653" t="s">
        <v>945</v>
      </c>
      <c r="C653" s="553">
        <v>44238</v>
      </c>
      <c r="D653" s="281" t="s">
        <v>4366</v>
      </c>
      <c r="E653" s="281" t="s">
        <v>3212</v>
      </c>
      <c r="F653" s="281">
        <v>4</v>
      </c>
      <c r="G653" s="281">
        <v>5010000000</v>
      </c>
      <c r="H653" t="s">
        <v>2031</v>
      </c>
      <c r="I653" t="s">
        <v>534</v>
      </c>
      <c r="J653" t="s">
        <v>1165</v>
      </c>
      <c r="K653" t="s">
        <v>1166</v>
      </c>
      <c r="L653" s="552">
        <v>100</v>
      </c>
      <c r="O653" t="s">
        <v>970</v>
      </c>
    </row>
    <row r="654" spans="1:15" hidden="1">
      <c r="A654" t="s">
        <v>942</v>
      </c>
      <c r="B654" t="s">
        <v>945</v>
      </c>
      <c r="C654" s="553">
        <v>44238</v>
      </c>
      <c r="D654" s="281" t="s">
        <v>4367</v>
      </c>
      <c r="E654" s="281" t="s">
        <v>3216</v>
      </c>
      <c r="F654" s="281">
        <v>4</v>
      </c>
      <c r="G654" s="281">
        <v>5010000000</v>
      </c>
      <c r="H654" t="s">
        <v>2026</v>
      </c>
      <c r="I654" t="s">
        <v>499</v>
      </c>
      <c r="J654" t="s">
        <v>1170</v>
      </c>
      <c r="K654" t="s">
        <v>1166</v>
      </c>
      <c r="L654" s="552">
        <v>10853.18</v>
      </c>
      <c r="O654" t="s">
        <v>970</v>
      </c>
    </row>
    <row r="655" spans="1:15" hidden="1">
      <c r="A655" t="s">
        <v>942</v>
      </c>
      <c r="B655" t="s">
        <v>945</v>
      </c>
      <c r="C655" s="553">
        <v>44238</v>
      </c>
      <c r="D655" s="281" t="s">
        <v>4367</v>
      </c>
      <c r="E655" s="281" t="s">
        <v>3216</v>
      </c>
      <c r="F655" s="281">
        <v>4</v>
      </c>
      <c r="G655" s="281">
        <v>5010000000</v>
      </c>
      <c r="H655" t="s">
        <v>2027</v>
      </c>
      <c r="I655" t="s">
        <v>504</v>
      </c>
      <c r="J655" t="s">
        <v>1170</v>
      </c>
      <c r="K655" t="s">
        <v>1166</v>
      </c>
      <c r="L655" s="552">
        <v>909.09</v>
      </c>
      <c r="O655" t="s">
        <v>970</v>
      </c>
    </row>
    <row r="656" spans="1:15" hidden="1">
      <c r="A656" t="s">
        <v>942</v>
      </c>
      <c r="B656" t="s">
        <v>945</v>
      </c>
      <c r="C656" s="553">
        <v>44238</v>
      </c>
      <c r="D656" s="281" t="s">
        <v>4367</v>
      </c>
      <c r="E656" s="281" t="s">
        <v>3216</v>
      </c>
      <c r="F656" s="281">
        <v>4</v>
      </c>
      <c r="G656" s="281">
        <v>5010301000</v>
      </c>
      <c r="H656" t="s">
        <v>2028</v>
      </c>
      <c r="I656" t="s">
        <v>528</v>
      </c>
      <c r="J656" t="s">
        <v>1170</v>
      </c>
      <c r="K656" t="s">
        <v>1166</v>
      </c>
      <c r="L656" s="552">
        <v>1293.98</v>
      </c>
      <c r="O656" t="s">
        <v>972</v>
      </c>
    </row>
    <row r="657" spans="1:15" hidden="1">
      <c r="A657" t="s">
        <v>942</v>
      </c>
      <c r="B657" t="s">
        <v>945</v>
      </c>
      <c r="C657" s="553">
        <v>44238</v>
      </c>
      <c r="D657" s="281" t="s">
        <v>4367</v>
      </c>
      <c r="E657" s="281" t="s">
        <v>3216</v>
      </c>
      <c r="F657" s="281">
        <v>4</v>
      </c>
      <c r="G657" s="281">
        <v>5010000000</v>
      </c>
      <c r="H657" t="s">
        <v>2029</v>
      </c>
      <c r="I657" t="s">
        <v>530</v>
      </c>
      <c r="J657" t="s">
        <v>1170</v>
      </c>
      <c r="K657" t="s">
        <v>1166</v>
      </c>
      <c r="L657" s="552">
        <v>100</v>
      </c>
      <c r="O657" t="s">
        <v>970</v>
      </c>
    </row>
    <row r="658" spans="1:15" hidden="1">
      <c r="A658" t="s">
        <v>942</v>
      </c>
      <c r="B658" t="s">
        <v>945</v>
      </c>
      <c r="C658" s="553">
        <v>44238</v>
      </c>
      <c r="D658" s="281" t="s">
        <v>4367</v>
      </c>
      <c r="E658" s="281" t="s">
        <v>3216</v>
      </c>
      <c r="F658" s="281">
        <v>4</v>
      </c>
      <c r="G658" s="281">
        <v>5010000000</v>
      </c>
      <c r="H658" t="s">
        <v>2030</v>
      </c>
      <c r="I658" t="s">
        <v>532</v>
      </c>
      <c r="J658" t="s">
        <v>1170</v>
      </c>
      <c r="K658" t="s">
        <v>1166</v>
      </c>
      <c r="L658" s="552">
        <v>358.16</v>
      </c>
      <c r="O658" t="s">
        <v>970</v>
      </c>
    </row>
    <row r="659" spans="1:15" hidden="1">
      <c r="A659" t="s">
        <v>942</v>
      </c>
      <c r="B659" t="s">
        <v>945</v>
      </c>
      <c r="C659" s="553">
        <v>44238</v>
      </c>
      <c r="D659" s="281" t="s">
        <v>4367</v>
      </c>
      <c r="E659" s="281" t="s">
        <v>3216</v>
      </c>
      <c r="F659" s="281">
        <v>4</v>
      </c>
      <c r="G659" s="281">
        <v>5010000000</v>
      </c>
      <c r="H659" t="s">
        <v>2031</v>
      </c>
      <c r="I659" t="s">
        <v>534</v>
      </c>
      <c r="J659" t="s">
        <v>1170</v>
      </c>
      <c r="K659" t="s">
        <v>1166</v>
      </c>
      <c r="L659" s="552">
        <v>100</v>
      </c>
      <c r="O659" t="s">
        <v>970</v>
      </c>
    </row>
    <row r="660" spans="1:15" hidden="1">
      <c r="A660" t="s">
        <v>942</v>
      </c>
      <c r="B660" t="s">
        <v>945</v>
      </c>
      <c r="C660" s="553">
        <v>44238</v>
      </c>
      <c r="D660" s="281" t="s">
        <v>4368</v>
      </c>
      <c r="E660" s="281" t="s">
        <v>3219</v>
      </c>
      <c r="F660" s="281">
        <v>4</v>
      </c>
      <c r="G660" s="281">
        <v>5010000000</v>
      </c>
      <c r="H660" t="s">
        <v>2026</v>
      </c>
      <c r="I660" t="s">
        <v>499</v>
      </c>
      <c r="J660" t="s">
        <v>1172</v>
      </c>
      <c r="K660" t="s">
        <v>1166</v>
      </c>
      <c r="L660" s="552">
        <v>10853.18</v>
      </c>
      <c r="O660" t="s">
        <v>970</v>
      </c>
    </row>
    <row r="661" spans="1:15" hidden="1">
      <c r="A661" t="s">
        <v>942</v>
      </c>
      <c r="B661" t="s">
        <v>945</v>
      </c>
      <c r="C661" s="553">
        <v>44238</v>
      </c>
      <c r="D661" s="281" t="s">
        <v>4368</v>
      </c>
      <c r="E661" s="281" t="s">
        <v>3219</v>
      </c>
      <c r="F661" s="281">
        <v>4</v>
      </c>
      <c r="G661" s="281">
        <v>5010000000</v>
      </c>
      <c r="H661" t="s">
        <v>2027</v>
      </c>
      <c r="I661" t="s">
        <v>504</v>
      </c>
      <c r="J661" t="s">
        <v>1172</v>
      </c>
      <c r="K661" t="s">
        <v>1166</v>
      </c>
      <c r="L661" s="552">
        <v>909.09</v>
      </c>
      <c r="O661" t="s">
        <v>970</v>
      </c>
    </row>
    <row r="662" spans="1:15" hidden="1">
      <c r="A662" t="s">
        <v>942</v>
      </c>
      <c r="B662" t="s">
        <v>945</v>
      </c>
      <c r="C662" s="553">
        <v>44238</v>
      </c>
      <c r="D662" s="281" t="s">
        <v>4368</v>
      </c>
      <c r="E662" s="281" t="s">
        <v>3219</v>
      </c>
      <c r="F662" s="281">
        <v>4</v>
      </c>
      <c r="G662" s="281">
        <v>5010301000</v>
      </c>
      <c r="H662" t="s">
        <v>2028</v>
      </c>
      <c r="I662" t="s">
        <v>528</v>
      </c>
      <c r="J662" t="s">
        <v>1172</v>
      </c>
      <c r="K662" t="s">
        <v>1166</v>
      </c>
      <c r="L662" s="552">
        <v>1293.98</v>
      </c>
      <c r="O662" t="s">
        <v>972</v>
      </c>
    </row>
    <row r="663" spans="1:15" hidden="1">
      <c r="A663" t="s">
        <v>942</v>
      </c>
      <c r="B663" t="s">
        <v>945</v>
      </c>
      <c r="C663" s="553">
        <v>44238</v>
      </c>
      <c r="D663" s="281" t="s">
        <v>4368</v>
      </c>
      <c r="E663" s="281" t="s">
        <v>3219</v>
      </c>
      <c r="F663" s="281">
        <v>4</v>
      </c>
      <c r="G663" s="281">
        <v>5010000000</v>
      </c>
      <c r="H663" t="s">
        <v>2029</v>
      </c>
      <c r="I663" t="s">
        <v>530</v>
      </c>
      <c r="J663" t="s">
        <v>1172</v>
      </c>
      <c r="K663" t="s">
        <v>1166</v>
      </c>
      <c r="L663" s="552">
        <v>100</v>
      </c>
      <c r="O663" t="s">
        <v>970</v>
      </c>
    </row>
    <row r="664" spans="1:15" hidden="1">
      <c r="A664" t="s">
        <v>942</v>
      </c>
      <c r="B664" t="s">
        <v>945</v>
      </c>
      <c r="C664" s="553">
        <v>44238</v>
      </c>
      <c r="D664" s="281" t="s">
        <v>4368</v>
      </c>
      <c r="E664" s="281" t="s">
        <v>3219</v>
      </c>
      <c r="F664" s="281">
        <v>4</v>
      </c>
      <c r="G664" s="281">
        <v>5010000000</v>
      </c>
      <c r="H664" t="s">
        <v>2030</v>
      </c>
      <c r="I664" t="s">
        <v>532</v>
      </c>
      <c r="J664" t="s">
        <v>1172</v>
      </c>
      <c r="K664" t="s">
        <v>1166</v>
      </c>
      <c r="L664" s="552">
        <v>358.16</v>
      </c>
      <c r="O664" t="s">
        <v>970</v>
      </c>
    </row>
    <row r="665" spans="1:15" hidden="1">
      <c r="A665" t="s">
        <v>942</v>
      </c>
      <c r="B665" t="s">
        <v>945</v>
      </c>
      <c r="C665" s="553">
        <v>44238</v>
      </c>
      <c r="D665" s="281" t="s">
        <v>4368</v>
      </c>
      <c r="E665" s="281" t="s">
        <v>3219</v>
      </c>
      <c r="F665" s="281">
        <v>4</v>
      </c>
      <c r="G665" s="281">
        <v>5010000000</v>
      </c>
      <c r="H665" t="s">
        <v>2031</v>
      </c>
      <c r="I665" t="s">
        <v>534</v>
      </c>
      <c r="J665" t="s">
        <v>1172</v>
      </c>
      <c r="K665" t="s">
        <v>1166</v>
      </c>
      <c r="L665" s="552">
        <v>100</v>
      </c>
      <c r="O665" t="s">
        <v>970</v>
      </c>
    </row>
    <row r="666" spans="1:15" hidden="1">
      <c r="A666" t="s">
        <v>942</v>
      </c>
      <c r="B666" t="s">
        <v>945</v>
      </c>
      <c r="C666" s="553">
        <v>44238</v>
      </c>
      <c r="D666" s="281" t="s">
        <v>4369</v>
      </c>
      <c r="E666" s="281" t="s">
        <v>3222</v>
      </c>
      <c r="F666" s="281">
        <v>4</v>
      </c>
      <c r="G666" s="281">
        <v>5010000000</v>
      </c>
      <c r="H666" t="s">
        <v>2026</v>
      </c>
      <c r="I666" t="s">
        <v>499</v>
      </c>
      <c r="J666" t="s">
        <v>1174</v>
      </c>
      <c r="K666" t="s">
        <v>1166</v>
      </c>
      <c r="L666" s="552">
        <v>10853.18</v>
      </c>
      <c r="O666" t="s">
        <v>970</v>
      </c>
    </row>
    <row r="667" spans="1:15" hidden="1">
      <c r="A667" t="s">
        <v>942</v>
      </c>
      <c r="B667" t="s">
        <v>945</v>
      </c>
      <c r="C667" s="553">
        <v>44238</v>
      </c>
      <c r="D667" s="281" t="s">
        <v>4369</v>
      </c>
      <c r="E667" s="281" t="s">
        <v>3222</v>
      </c>
      <c r="F667" s="281">
        <v>4</v>
      </c>
      <c r="G667" s="281">
        <v>5010000000</v>
      </c>
      <c r="H667" t="s">
        <v>2027</v>
      </c>
      <c r="I667" t="s">
        <v>504</v>
      </c>
      <c r="J667" t="s">
        <v>1174</v>
      </c>
      <c r="K667" t="s">
        <v>1166</v>
      </c>
      <c r="L667" s="552">
        <v>909.09</v>
      </c>
      <c r="O667" t="s">
        <v>970</v>
      </c>
    </row>
    <row r="668" spans="1:15" hidden="1">
      <c r="A668" t="s">
        <v>942</v>
      </c>
      <c r="B668" t="s">
        <v>945</v>
      </c>
      <c r="C668" s="553">
        <v>44238</v>
      </c>
      <c r="D668" s="281" t="s">
        <v>4369</v>
      </c>
      <c r="E668" s="281" t="s">
        <v>3222</v>
      </c>
      <c r="F668" s="281">
        <v>4</v>
      </c>
      <c r="G668" s="281">
        <v>5010301000</v>
      </c>
      <c r="H668" t="s">
        <v>2028</v>
      </c>
      <c r="I668" t="s">
        <v>528</v>
      </c>
      <c r="J668" t="s">
        <v>1174</v>
      </c>
      <c r="K668" t="s">
        <v>1166</v>
      </c>
      <c r="L668" s="552">
        <v>1293.98</v>
      </c>
      <c r="O668" t="s">
        <v>972</v>
      </c>
    </row>
    <row r="669" spans="1:15" hidden="1">
      <c r="A669" t="s">
        <v>942</v>
      </c>
      <c r="B669" t="s">
        <v>945</v>
      </c>
      <c r="C669" s="553">
        <v>44238</v>
      </c>
      <c r="D669" s="281" t="s">
        <v>4369</v>
      </c>
      <c r="E669" s="281" t="s">
        <v>3222</v>
      </c>
      <c r="F669" s="281">
        <v>4</v>
      </c>
      <c r="G669" s="281">
        <v>5010000000</v>
      </c>
      <c r="H669" t="s">
        <v>2029</v>
      </c>
      <c r="I669" t="s">
        <v>530</v>
      </c>
      <c r="J669" t="s">
        <v>1174</v>
      </c>
      <c r="K669" t="s">
        <v>1166</v>
      </c>
      <c r="L669" s="552">
        <v>100</v>
      </c>
      <c r="O669" t="s">
        <v>970</v>
      </c>
    </row>
    <row r="670" spans="1:15" hidden="1">
      <c r="A670" t="s">
        <v>942</v>
      </c>
      <c r="B670" t="s">
        <v>945</v>
      </c>
      <c r="C670" s="553">
        <v>44238</v>
      </c>
      <c r="D670" s="281" t="s">
        <v>4369</v>
      </c>
      <c r="E670" s="281" t="s">
        <v>3222</v>
      </c>
      <c r="F670" s="281">
        <v>4</v>
      </c>
      <c r="G670" s="281">
        <v>5010000000</v>
      </c>
      <c r="H670" t="s">
        <v>2030</v>
      </c>
      <c r="I670" t="s">
        <v>532</v>
      </c>
      <c r="J670" t="s">
        <v>1174</v>
      </c>
      <c r="K670" t="s">
        <v>1166</v>
      </c>
      <c r="L670" s="552">
        <v>358.16</v>
      </c>
      <c r="O670" t="s">
        <v>970</v>
      </c>
    </row>
    <row r="671" spans="1:15" hidden="1">
      <c r="A671" t="s">
        <v>942</v>
      </c>
      <c r="B671" t="s">
        <v>945</v>
      </c>
      <c r="C671" s="553">
        <v>44238</v>
      </c>
      <c r="D671" s="281" t="s">
        <v>4369</v>
      </c>
      <c r="E671" s="281" t="s">
        <v>3222</v>
      </c>
      <c r="F671" s="281">
        <v>4</v>
      </c>
      <c r="G671" s="281">
        <v>5010000000</v>
      </c>
      <c r="H671" t="s">
        <v>2031</v>
      </c>
      <c r="I671" t="s">
        <v>534</v>
      </c>
      <c r="J671" t="s">
        <v>1174</v>
      </c>
      <c r="K671" t="s">
        <v>1166</v>
      </c>
      <c r="L671" s="552">
        <v>100</v>
      </c>
      <c r="O671" t="s">
        <v>970</v>
      </c>
    </row>
    <row r="672" spans="1:15" hidden="1">
      <c r="A672" t="s">
        <v>942</v>
      </c>
      <c r="B672" t="s">
        <v>945</v>
      </c>
      <c r="C672" s="553">
        <v>44238</v>
      </c>
      <c r="D672" s="281" t="s">
        <v>4370</v>
      </c>
      <c r="E672" s="281" t="s">
        <v>3225</v>
      </c>
      <c r="F672" s="281">
        <v>4</v>
      </c>
      <c r="G672" s="281">
        <v>5010000000</v>
      </c>
      <c r="H672" t="s">
        <v>2026</v>
      </c>
      <c r="I672" t="s">
        <v>499</v>
      </c>
      <c r="J672" t="s">
        <v>1176</v>
      </c>
      <c r="K672" t="s">
        <v>1166</v>
      </c>
      <c r="L672" s="552">
        <v>10853.18</v>
      </c>
      <c r="O672" t="s">
        <v>970</v>
      </c>
    </row>
    <row r="673" spans="1:15" hidden="1">
      <c r="A673" t="s">
        <v>942</v>
      </c>
      <c r="B673" t="s">
        <v>945</v>
      </c>
      <c r="C673" s="553">
        <v>44238</v>
      </c>
      <c r="D673" s="281" t="s">
        <v>4370</v>
      </c>
      <c r="E673" s="281" t="s">
        <v>3225</v>
      </c>
      <c r="F673" s="281">
        <v>4</v>
      </c>
      <c r="G673" s="281">
        <v>5010000000</v>
      </c>
      <c r="H673" t="s">
        <v>2027</v>
      </c>
      <c r="I673" t="s">
        <v>504</v>
      </c>
      <c r="J673" t="s">
        <v>1176</v>
      </c>
      <c r="K673" t="s">
        <v>1166</v>
      </c>
      <c r="L673" s="552">
        <v>909.09</v>
      </c>
      <c r="O673" t="s">
        <v>970</v>
      </c>
    </row>
    <row r="674" spans="1:15" hidden="1">
      <c r="A674" t="s">
        <v>942</v>
      </c>
      <c r="B674" t="s">
        <v>945</v>
      </c>
      <c r="C674" s="553">
        <v>44238</v>
      </c>
      <c r="D674" s="281" t="s">
        <v>4370</v>
      </c>
      <c r="E674" s="281" t="s">
        <v>3225</v>
      </c>
      <c r="F674" s="281">
        <v>4</v>
      </c>
      <c r="G674" s="281">
        <v>5010301000</v>
      </c>
      <c r="H674" t="s">
        <v>2028</v>
      </c>
      <c r="I674" t="s">
        <v>528</v>
      </c>
      <c r="J674" t="s">
        <v>1176</v>
      </c>
      <c r="K674" t="s">
        <v>1166</v>
      </c>
      <c r="L674" s="552">
        <v>1293.98</v>
      </c>
      <c r="O674" t="s">
        <v>972</v>
      </c>
    </row>
    <row r="675" spans="1:15" hidden="1">
      <c r="A675" t="s">
        <v>942</v>
      </c>
      <c r="B675" t="s">
        <v>945</v>
      </c>
      <c r="C675" s="553">
        <v>44238</v>
      </c>
      <c r="D675" s="281" t="s">
        <v>4370</v>
      </c>
      <c r="E675" s="281" t="s">
        <v>3225</v>
      </c>
      <c r="F675" s="281">
        <v>4</v>
      </c>
      <c r="G675" s="281">
        <v>5010000000</v>
      </c>
      <c r="H675" t="s">
        <v>2029</v>
      </c>
      <c r="I675" t="s">
        <v>530</v>
      </c>
      <c r="J675" t="s">
        <v>1176</v>
      </c>
      <c r="K675" t="s">
        <v>1166</v>
      </c>
      <c r="L675" s="552">
        <v>100</v>
      </c>
      <c r="O675" t="s">
        <v>970</v>
      </c>
    </row>
    <row r="676" spans="1:15" hidden="1">
      <c r="A676" t="s">
        <v>942</v>
      </c>
      <c r="B676" t="s">
        <v>945</v>
      </c>
      <c r="C676" s="553">
        <v>44238</v>
      </c>
      <c r="D676" s="281" t="s">
        <v>4370</v>
      </c>
      <c r="E676" s="281" t="s">
        <v>3225</v>
      </c>
      <c r="F676" s="281">
        <v>4</v>
      </c>
      <c r="G676" s="281">
        <v>5010000000</v>
      </c>
      <c r="H676" t="s">
        <v>2030</v>
      </c>
      <c r="I676" t="s">
        <v>532</v>
      </c>
      <c r="J676" t="s">
        <v>1176</v>
      </c>
      <c r="K676" t="s">
        <v>1166</v>
      </c>
      <c r="L676" s="552">
        <v>358.16</v>
      </c>
      <c r="O676" t="s">
        <v>970</v>
      </c>
    </row>
    <row r="677" spans="1:15" hidden="1">
      <c r="A677" t="s">
        <v>942</v>
      </c>
      <c r="B677" t="s">
        <v>945</v>
      </c>
      <c r="C677" s="553">
        <v>44238</v>
      </c>
      <c r="D677" s="281" t="s">
        <v>4370</v>
      </c>
      <c r="E677" s="281" t="s">
        <v>3225</v>
      </c>
      <c r="F677" s="281">
        <v>4</v>
      </c>
      <c r="G677" s="281">
        <v>5010000000</v>
      </c>
      <c r="H677" t="s">
        <v>2031</v>
      </c>
      <c r="I677" t="s">
        <v>534</v>
      </c>
      <c r="J677" t="s">
        <v>1176</v>
      </c>
      <c r="K677" t="s">
        <v>1166</v>
      </c>
      <c r="L677" s="552">
        <v>100</v>
      </c>
      <c r="O677" t="s">
        <v>970</v>
      </c>
    </row>
    <row r="678" spans="1:15" hidden="1">
      <c r="A678" t="s">
        <v>942</v>
      </c>
      <c r="B678" t="s">
        <v>945</v>
      </c>
      <c r="C678" s="553">
        <v>44238</v>
      </c>
      <c r="D678" s="281" t="s">
        <v>4371</v>
      </c>
      <c r="E678" s="281" t="s">
        <v>3228</v>
      </c>
      <c r="F678" s="281">
        <v>4</v>
      </c>
      <c r="G678" s="281">
        <v>5010000000</v>
      </c>
      <c r="H678" t="s">
        <v>2026</v>
      </c>
      <c r="I678" t="s">
        <v>499</v>
      </c>
      <c r="J678" t="s">
        <v>1165</v>
      </c>
      <c r="K678" t="s">
        <v>1178</v>
      </c>
      <c r="L678" s="552">
        <v>23877</v>
      </c>
      <c r="O678" t="s">
        <v>970</v>
      </c>
    </row>
    <row r="679" spans="1:15" hidden="1">
      <c r="A679" t="s">
        <v>942</v>
      </c>
      <c r="B679" t="s">
        <v>945</v>
      </c>
      <c r="C679" s="553">
        <v>44238</v>
      </c>
      <c r="D679" s="281" t="s">
        <v>4371</v>
      </c>
      <c r="E679" s="281" t="s">
        <v>3228</v>
      </c>
      <c r="F679" s="281">
        <v>4</v>
      </c>
      <c r="G679" s="281">
        <v>5010000000</v>
      </c>
      <c r="H679" t="s">
        <v>2027</v>
      </c>
      <c r="I679" t="s">
        <v>504</v>
      </c>
      <c r="J679" t="s">
        <v>1165</v>
      </c>
      <c r="K679" t="s">
        <v>1178</v>
      </c>
      <c r="L679" s="552">
        <v>2000</v>
      </c>
      <c r="O679" t="s">
        <v>970</v>
      </c>
    </row>
    <row r="680" spans="1:15" hidden="1">
      <c r="A680" t="s">
        <v>942</v>
      </c>
      <c r="B680" t="s">
        <v>945</v>
      </c>
      <c r="C680" s="553">
        <v>44238</v>
      </c>
      <c r="D680" s="281" t="s">
        <v>4371</v>
      </c>
      <c r="E680" s="281" t="s">
        <v>3228</v>
      </c>
      <c r="F680" s="281">
        <v>4</v>
      </c>
      <c r="G680" s="281">
        <v>5010301000</v>
      </c>
      <c r="H680" t="s">
        <v>2028</v>
      </c>
      <c r="I680" t="s">
        <v>528</v>
      </c>
      <c r="J680" t="s">
        <v>1165</v>
      </c>
      <c r="K680" t="s">
        <v>1178</v>
      </c>
      <c r="L680" s="552">
        <v>2865.24</v>
      </c>
      <c r="O680" t="s">
        <v>972</v>
      </c>
    </row>
    <row r="681" spans="1:15" hidden="1">
      <c r="A681" t="s">
        <v>942</v>
      </c>
      <c r="B681" t="s">
        <v>945</v>
      </c>
      <c r="C681" s="553">
        <v>44238</v>
      </c>
      <c r="D681" s="281" t="s">
        <v>4371</v>
      </c>
      <c r="E681" s="281" t="s">
        <v>3228</v>
      </c>
      <c r="F681" s="281">
        <v>4</v>
      </c>
      <c r="G681" s="281">
        <v>5010000000</v>
      </c>
      <c r="H681" t="s">
        <v>2029</v>
      </c>
      <c r="I681" t="s">
        <v>530</v>
      </c>
      <c r="J681" t="s">
        <v>1165</v>
      </c>
      <c r="K681" t="s">
        <v>1178</v>
      </c>
      <c r="L681" s="552">
        <v>100</v>
      </c>
      <c r="O681" t="s">
        <v>970</v>
      </c>
    </row>
    <row r="682" spans="1:15" hidden="1">
      <c r="A682" t="s">
        <v>942</v>
      </c>
      <c r="B682" t="s">
        <v>945</v>
      </c>
      <c r="C682" s="553">
        <v>44238</v>
      </c>
      <c r="D682" s="281" t="s">
        <v>4371</v>
      </c>
      <c r="E682" s="281" t="s">
        <v>3228</v>
      </c>
      <c r="F682" s="281">
        <v>4</v>
      </c>
      <c r="G682" s="281">
        <v>5010000000</v>
      </c>
      <c r="H682" t="s">
        <v>2030</v>
      </c>
      <c r="I682" t="s">
        <v>532</v>
      </c>
      <c r="J682" t="s">
        <v>1165</v>
      </c>
      <c r="K682" t="s">
        <v>1178</v>
      </c>
      <c r="L682" s="552">
        <v>358.16</v>
      </c>
      <c r="O682" t="s">
        <v>970</v>
      </c>
    </row>
    <row r="683" spans="1:15" hidden="1">
      <c r="A683" t="s">
        <v>942</v>
      </c>
      <c r="B683" t="s">
        <v>945</v>
      </c>
      <c r="C683" s="553">
        <v>44238</v>
      </c>
      <c r="D683" s="281" t="s">
        <v>4371</v>
      </c>
      <c r="E683" s="281" t="s">
        <v>3228</v>
      </c>
      <c r="F683" s="281">
        <v>4</v>
      </c>
      <c r="G683" s="281">
        <v>5010000000</v>
      </c>
      <c r="H683" t="s">
        <v>2031</v>
      </c>
      <c r="I683" t="s">
        <v>534</v>
      </c>
      <c r="J683" t="s">
        <v>1165</v>
      </c>
      <c r="K683" t="s">
        <v>1178</v>
      </c>
      <c r="L683" s="552">
        <v>100</v>
      </c>
      <c r="O683" t="s">
        <v>970</v>
      </c>
    </row>
    <row r="684" spans="1:15" hidden="1">
      <c r="A684" t="s">
        <v>942</v>
      </c>
      <c r="B684" t="s">
        <v>945</v>
      </c>
      <c r="C684" s="553">
        <v>44243</v>
      </c>
      <c r="D684" s="281" t="s">
        <v>4372</v>
      </c>
      <c r="E684" s="281" t="s">
        <v>3255</v>
      </c>
      <c r="F684" s="281">
        <v>1</v>
      </c>
      <c r="G684" s="281">
        <v>5020000000</v>
      </c>
      <c r="H684" t="s">
        <v>2011</v>
      </c>
      <c r="I684" t="s">
        <v>605</v>
      </c>
      <c r="J684" t="s">
        <v>1180</v>
      </c>
      <c r="K684" t="s">
        <v>1181</v>
      </c>
      <c r="L684" s="552">
        <v>1959.81</v>
      </c>
      <c r="O684" t="s">
        <v>961</v>
      </c>
    </row>
    <row r="685" spans="1:15" hidden="1">
      <c r="A685" t="s">
        <v>942</v>
      </c>
      <c r="B685" t="s">
        <v>945</v>
      </c>
      <c r="C685" s="553">
        <v>44243</v>
      </c>
      <c r="D685" s="281" t="s">
        <v>4372</v>
      </c>
      <c r="E685" s="281" t="s">
        <v>3255</v>
      </c>
      <c r="F685" s="281">
        <v>1</v>
      </c>
      <c r="G685" s="281">
        <v>5020000000</v>
      </c>
      <c r="H685" t="s">
        <v>2020</v>
      </c>
      <c r="I685" t="s">
        <v>607</v>
      </c>
      <c r="J685" t="s">
        <v>1180</v>
      </c>
      <c r="K685" t="s">
        <v>1181</v>
      </c>
      <c r="L685" s="552">
        <v>26880</v>
      </c>
      <c r="O685" t="s">
        <v>961</v>
      </c>
    </row>
    <row r="686" spans="1:15" hidden="1">
      <c r="A686" t="s">
        <v>942</v>
      </c>
      <c r="B686" t="s">
        <v>945</v>
      </c>
      <c r="C686" s="553">
        <v>44243</v>
      </c>
      <c r="D686" s="281" t="s">
        <v>4373</v>
      </c>
      <c r="E686" s="281" t="s">
        <v>3259</v>
      </c>
      <c r="F686" s="281">
        <v>1</v>
      </c>
      <c r="G686" s="281">
        <v>5020000000</v>
      </c>
      <c r="H686" t="s">
        <v>2011</v>
      </c>
      <c r="I686" t="s">
        <v>605</v>
      </c>
      <c r="J686" t="s">
        <v>1180</v>
      </c>
      <c r="K686" t="s">
        <v>1183</v>
      </c>
      <c r="L686" s="552">
        <v>18000</v>
      </c>
      <c r="O686" t="s">
        <v>961</v>
      </c>
    </row>
    <row r="687" spans="1:15" hidden="1">
      <c r="A687" t="s">
        <v>942</v>
      </c>
      <c r="B687" t="s">
        <v>945</v>
      </c>
      <c r="C687" s="553">
        <v>44243</v>
      </c>
      <c r="D687" s="281" t="s">
        <v>4374</v>
      </c>
      <c r="E687" s="281" t="s">
        <v>3262</v>
      </c>
      <c r="F687" s="281">
        <v>1</v>
      </c>
      <c r="G687" s="281">
        <v>5020000000</v>
      </c>
      <c r="H687" t="s">
        <v>2011</v>
      </c>
      <c r="I687" t="s">
        <v>605</v>
      </c>
      <c r="J687" t="s">
        <v>1180</v>
      </c>
      <c r="K687" t="s">
        <v>1185</v>
      </c>
      <c r="L687" s="552">
        <v>560</v>
      </c>
      <c r="O687" t="s">
        <v>961</v>
      </c>
    </row>
    <row r="688" spans="1:15" hidden="1">
      <c r="A688" t="s">
        <v>942</v>
      </c>
      <c r="B688" t="s">
        <v>945</v>
      </c>
      <c r="C688" s="553">
        <v>44243</v>
      </c>
      <c r="D688" s="281" t="s">
        <v>4375</v>
      </c>
      <c r="E688" s="281" t="s">
        <v>3265</v>
      </c>
      <c r="F688" s="281">
        <v>1</v>
      </c>
      <c r="G688" s="281">
        <v>5020000000</v>
      </c>
      <c r="H688" t="s">
        <v>2011</v>
      </c>
      <c r="I688" t="s">
        <v>605</v>
      </c>
      <c r="J688" t="s">
        <v>1180</v>
      </c>
      <c r="K688" t="s">
        <v>1187</v>
      </c>
      <c r="L688" s="552">
        <v>918.4</v>
      </c>
      <c r="O688" t="s">
        <v>961</v>
      </c>
    </row>
    <row r="689" spans="1:15" hidden="1">
      <c r="A689" t="s">
        <v>942</v>
      </c>
      <c r="B689" t="s">
        <v>945</v>
      </c>
      <c r="C689" s="553">
        <v>44243</v>
      </c>
      <c r="D689" s="281" t="s">
        <v>4376</v>
      </c>
      <c r="E689" s="281" t="s">
        <v>3268</v>
      </c>
      <c r="F689" s="281">
        <v>1</v>
      </c>
      <c r="G689" s="281">
        <v>5020000000</v>
      </c>
      <c r="H689" t="s">
        <v>2005</v>
      </c>
      <c r="I689" t="s">
        <v>678</v>
      </c>
      <c r="J689" t="s">
        <v>1189</v>
      </c>
      <c r="K689" t="s">
        <v>1190</v>
      </c>
      <c r="L689" s="552">
        <v>14000</v>
      </c>
      <c r="O689" t="s">
        <v>961</v>
      </c>
    </row>
    <row r="690" spans="1:15" hidden="1">
      <c r="A690" t="s">
        <v>942</v>
      </c>
      <c r="B690" t="s">
        <v>945</v>
      </c>
      <c r="C690" s="553">
        <v>44243</v>
      </c>
      <c r="D690" s="281" t="s">
        <v>4377</v>
      </c>
      <c r="E690" s="281" t="s">
        <v>3272</v>
      </c>
      <c r="F690" s="281">
        <v>3</v>
      </c>
      <c r="G690" s="281">
        <v>5020000000</v>
      </c>
      <c r="H690" t="s">
        <v>2016</v>
      </c>
      <c r="I690" t="s">
        <v>319</v>
      </c>
      <c r="J690" t="s">
        <v>1192</v>
      </c>
      <c r="K690" t="s">
        <v>1193</v>
      </c>
      <c r="L690" s="552">
        <v>8774</v>
      </c>
      <c r="O690" t="s">
        <v>968</v>
      </c>
    </row>
    <row r="691" spans="1:15" hidden="1">
      <c r="A691" t="s">
        <v>942</v>
      </c>
      <c r="B691" t="s">
        <v>945</v>
      </c>
      <c r="C691" s="553">
        <v>44243</v>
      </c>
      <c r="D691" s="281" t="s">
        <v>4378</v>
      </c>
      <c r="E691" s="281" t="s">
        <v>3276</v>
      </c>
      <c r="F691" s="281">
        <v>2</v>
      </c>
      <c r="G691" s="281">
        <v>5020000000</v>
      </c>
      <c r="H691" t="s">
        <v>2037</v>
      </c>
      <c r="I691" t="s">
        <v>555</v>
      </c>
      <c r="J691" t="s">
        <v>1195</v>
      </c>
      <c r="K691" t="s">
        <v>1196</v>
      </c>
      <c r="L691" s="552">
        <v>2850</v>
      </c>
      <c r="O691" t="s">
        <v>965</v>
      </c>
    </row>
    <row r="692" spans="1:15" hidden="1">
      <c r="A692" t="s">
        <v>942</v>
      </c>
      <c r="B692" t="s">
        <v>945</v>
      </c>
      <c r="C692" s="553">
        <v>44243</v>
      </c>
      <c r="D692" s="281" t="s">
        <v>4379</v>
      </c>
      <c r="E692" s="281" t="s">
        <v>3279</v>
      </c>
      <c r="F692" s="281">
        <v>10</v>
      </c>
      <c r="G692" s="281">
        <v>5020000000</v>
      </c>
      <c r="H692" t="s">
        <v>2034</v>
      </c>
      <c r="I692" t="s">
        <v>581</v>
      </c>
      <c r="J692" t="s">
        <v>1195</v>
      </c>
      <c r="K692" t="s">
        <v>1205</v>
      </c>
      <c r="L692" s="552">
        <v>500</v>
      </c>
      <c r="O692" t="s">
        <v>983</v>
      </c>
    </row>
    <row r="693" spans="1:15" hidden="1">
      <c r="A693" t="s">
        <v>942</v>
      </c>
      <c r="B693" t="s">
        <v>945</v>
      </c>
      <c r="C693" s="553">
        <v>44243</v>
      </c>
      <c r="D693" s="281" t="s">
        <v>4380</v>
      </c>
      <c r="E693" s="281" t="s">
        <v>3318</v>
      </c>
      <c r="F693" s="281">
        <v>5</v>
      </c>
      <c r="G693" s="281">
        <v>5020000000</v>
      </c>
      <c r="H693" t="s">
        <v>2037</v>
      </c>
      <c r="I693" t="s">
        <v>555</v>
      </c>
      <c r="J693" t="s">
        <v>823</v>
      </c>
      <c r="K693" t="s">
        <v>1206</v>
      </c>
      <c r="L693" s="552">
        <v>15000</v>
      </c>
      <c r="O693" t="s">
        <v>974</v>
      </c>
    </row>
    <row r="694" spans="1:15" hidden="1">
      <c r="A694" t="s">
        <v>942</v>
      </c>
      <c r="B694" t="s">
        <v>945</v>
      </c>
      <c r="C694" s="553">
        <v>44243</v>
      </c>
      <c r="D694" s="281" t="s">
        <v>4380</v>
      </c>
      <c r="E694" s="281" t="s">
        <v>3318</v>
      </c>
      <c r="F694" s="281">
        <v>5</v>
      </c>
      <c r="G694" s="281">
        <v>5020000000</v>
      </c>
      <c r="H694" t="s">
        <v>2005</v>
      </c>
      <c r="I694" t="s">
        <v>678</v>
      </c>
      <c r="J694" t="s">
        <v>823</v>
      </c>
      <c r="K694" t="s">
        <v>1206</v>
      </c>
      <c r="L694" s="552">
        <v>25000</v>
      </c>
      <c r="O694" t="s">
        <v>974</v>
      </c>
    </row>
    <row r="695" spans="1:15" hidden="1">
      <c r="A695" t="s">
        <v>942</v>
      </c>
      <c r="B695" t="s">
        <v>945</v>
      </c>
      <c r="C695" s="553">
        <v>44243</v>
      </c>
      <c r="D695" s="281" t="s">
        <v>4380</v>
      </c>
      <c r="E695" s="281" t="s">
        <v>3318</v>
      </c>
      <c r="F695" s="281">
        <v>6</v>
      </c>
      <c r="G695" s="281">
        <v>5020000000</v>
      </c>
      <c r="H695" t="s">
        <v>2037</v>
      </c>
      <c r="I695" t="s">
        <v>555</v>
      </c>
      <c r="J695" t="s">
        <v>823</v>
      </c>
      <c r="K695" t="s">
        <v>1206</v>
      </c>
      <c r="L695" s="552">
        <v>15000</v>
      </c>
      <c r="O695" t="s">
        <v>977</v>
      </c>
    </row>
    <row r="696" spans="1:15" hidden="1">
      <c r="A696" t="s">
        <v>942</v>
      </c>
      <c r="B696" t="s">
        <v>945</v>
      </c>
      <c r="C696" s="553">
        <v>44243</v>
      </c>
      <c r="D696" s="281" t="s">
        <v>4380</v>
      </c>
      <c r="E696" s="281" t="s">
        <v>3318</v>
      </c>
      <c r="F696" s="281">
        <v>6</v>
      </c>
      <c r="G696" s="281">
        <v>5020000000</v>
      </c>
      <c r="H696" t="s">
        <v>2005</v>
      </c>
      <c r="I696" t="s">
        <v>678</v>
      </c>
      <c r="J696" t="s">
        <v>823</v>
      </c>
      <c r="K696" t="s">
        <v>1206</v>
      </c>
      <c r="L696" s="552">
        <v>35000</v>
      </c>
      <c r="O696" t="s">
        <v>977</v>
      </c>
    </row>
    <row r="697" spans="1:15" hidden="1">
      <c r="A697" t="s">
        <v>942</v>
      </c>
      <c r="B697" t="s">
        <v>945</v>
      </c>
      <c r="C697" s="553">
        <v>44243</v>
      </c>
      <c r="D697" s="281" t="s">
        <v>4380</v>
      </c>
      <c r="E697" s="281" t="s">
        <v>3318</v>
      </c>
      <c r="F697" s="281">
        <v>7</v>
      </c>
      <c r="G697" s="281">
        <v>5020000000</v>
      </c>
      <c r="H697" t="s">
        <v>2032</v>
      </c>
      <c r="I697" t="s">
        <v>565</v>
      </c>
      <c r="J697" t="s">
        <v>823</v>
      </c>
      <c r="K697" t="s">
        <v>1206</v>
      </c>
      <c r="L697" s="552">
        <v>10000</v>
      </c>
      <c r="O697" t="s">
        <v>979</v>
      </c>
    </row>
    <row r="698" spans="1:15" hidden="1">
      <c r="A698" t="s">
        <v>942</v>
      </c>
      <c r="B698" t="s">
        <v>945</v>
      </c>
      <c r="C698" s="553">
        <v>44243</v>
      </c>
      <c r="D698" s="281" t="s">
        <v>4381</v>
      </c>
      <c r="E698" s="281" t="s">
        <v>4224</v>
      </c>
      <c r="F698" s="281">
        <v>5</v>
      </c>
      <c r="G698" s="281">
        <v>5020000000</v>
      </c>
      <c r="H698" t="s">
        <v>2037</v>
      </c>
      <c r="I698" t="s">
        <v>555</v>
      </c>
      <c r="J698" t="s">
        <v>822</v>
      </c>
      <c r="K698" t="s">
        <v>1206</v>
      </c>
      <c r="L698" s="552">
        <v>0</v>
      </c>
      <c r="O698" t="s">
        <v>974</v>
      </c>
    </row>
    <row r="699" spans="1:15" hidden="1">
      <c r="A699" t="s">
        <v>942</v>
      </c>
      <c r="B699" t="s">
        <v>945</v>
      </c>
      <c r="C699" s="553">
        <v>44243</v>
      </c>
      <c r="D699" s="281" t="s">
        <v>4381</v>
      </c>
      <c r="E699" s="281" t="s">
        <v>4224</v>
      </c>
      <c r="F699" s="281">
        <v>5</v>
      </c>
      <c r="G699" s="281">
        <v>5020000000</v>
      </c>
      <c r="H699" t="s">
        <v>2005</v>
      </c>
      <c r="I699" t="s">
        <v>678</v>
      </c>
      <c r="J699" t="s">
        <v>822</v>
      </c>
      <c r="K699" t="s">
        <v>1206</v>
      </c>
      <c r="L699" s="552">
        <v>0</v>
      </c>
      <c r="O699" t="s">
        <v>974</v>
      </c>
    </row>
    <row r="700" spans="1:15" hidden="1">
      <c r="A700" t="s">
        <v>942</v>
      </c>
      <c r="B700" t="s">
        <v>945</v>
      </c>
      <c r="C700" s="553">
        <v>44243</v>
      </c>
      <c r="D700" s="281" t="s">
        <v>4381</v>
      </c>
      <c r="E700" s="281" t="s">
        <v>4224</v>
      </c>
      <c r="F700" s="281">
        <v>6</v>
      </c>
      <c r="G700" s="281">
        <v>5020000000</v>
      </c>
      <c r="H700" t="s">
        <v>2037</v>
      </c>
      <c r="I700" t="s">
        <v>555</v>
      </c>
      <c r="J700" t="s">
        <v>822</v>
      </c>
      <c r="K700" t="s">
        <v>1206</v>
      </c>
      <c r="L700" s="552">
        <v>0</v>
      </c>
      <c r="O700" t="s">
        <v>977</v>
      </c>
    </row>
    <row r="701" spans="1:15" hidden="1">
      <c r="A701" t="s">
        <v>942</v>
      </c>
      <c r="B701" t="s">
        <v>945</v>
      </c>
      <c r="C701" s="553">
        <v>44243</v>
      </c>
      <c r="D701" s="281" t="s">
        <v>4381</v>
      </c>
      <c r="E701" s="281" t="s">
        <v>4224</v>
      </c>
      <c r="F701" s="281">
        <v>6</v>
      </c>
      <c r="G701" s="281">
        <v>5020000000</v>
      </c>
      <c r="H701" t="s">
        <v>2005</v>
      </c>
      <c r="I701" t="s">
        <v>678</v>
      </c>
      <c r="J701" t="s">
        <v>822</v>
      </c>
      <c r="K701" t="s">
        <v>1206</v>
      </c>
      <c r="L701" s="552">
        <v>0</v>
      </c>
      <c r="O701" t="s">
        <v>977</v>
      </c>
    </row>
    <row r="702" spans="1:15" hidden="1">
      <c r="A702" t="s">
        <v>942</v>
      </c>
      <c r="B702" t="s">
        <v>945</v>
      </c>
      <c r="C702" s="553">
        <v>44243</v>
      </c>
      <c r="D702" s="281" t="s">
        <v>4381</v>
      </c>
      <c r="E702" s="281" t="s">
        <v>4224</v>
      </c>
      <c r="F702" s="281">
        <v>7</v>
      </c>
      <c r="G702" s="281">
        <v>5020000000</v>
      </c>
      <c r="H702" t="s">
        <v>2032</v>
      </c>
      <c r="I702" t="s">
        <v>565</v>
      </c>
      <c r="J702" t="s">
        <v>822</v>
      </c>
      <c r="K702" t="s">
        <v>1206</v>
      </c>
      <c r="L702" s="552">
        <v>0</v>
      </c>
      <c r="O702" t="s">
        <v>979</v>
      </c>
    </row>
    <row r="703" spans="1:15" hidden="1">
      <c r="A703" t="s">
        <v>942</v>
      </c>
      <c r="B703" t="s">
        <v>945</v>
      </c>
      <c r="C703" s="553">
        <v>44243</v>
      </c>
      <c r="D703" s="281" t="s">
        <v>4382</v>
      </c>
      <c r="E703" s="281" t="s">
        <v>4225</v>
      </c>
      <c r="F703" s="281">
        <v>5</v>
      </c>
      <c r="G703" s="281">
        <v>5020000000</v>
      </c>
      <c r="H703" t="s">
        <v>2037</v>
      </c>
      <c r="I703" t="s">
        <v>555</v>
      </c>
      <c r="J703" t="s">
        <v>821</v>
      </c>
      <c r="K703" t="s">
        <v>1206</v>
      </c>
      <c r="L703" s="552">
        <v>0</v>
      </c>
      <c r="O703" t="s">
        <v>974</v>
      </c>
    </row>
    <row r="704" spans="1:15" hidden="1">
      <c r="A704" t="s">
        <v>942</v>
      </c>
      <c r="B704" t="s">
        <v>945</v>
      </c>
      <c r="C704" s="553">
        <v>44243</v>
      </c>
      <c r="D704" s="281" t="s">
        <v>4382</v>
      </c>
      <c r="E704" s="281" t="s">
        <v>4225</v>
      </c>
      <c r="F704" s="281">
        <v>5</v>
      </c>
      <c r="G704" s="281">
        <v>5020000000</v>
      </c>
      <c r="H704" t="s">
        <v>2005</v>
      </c>
      <c r="I704" t="s">
        <v>678</v>
      </c>
      <c r="J704" t="s">
        <v>821</v>
      </c>
      <c r="K704" t="s">
        <v>1206</v>
      </c>
      <c r="L704" s="552">
        <v>0</v>
      </c>
      <c r="O704" t="s">
        <v>974</v>
      </c>
    </row>
    <row r="705" spans="1:15" hidden="1">
      <c r="A705" t="s">
        <v>942</v>
      </c>
      <c r="B705" t="s">
        <v>945</v>
      </c>
      <c r="C705" s="553">
        <v>44243</v>
      </c>
      <c r="D705" s="281" t="s">
        <v>4382</v>
      </c>
      <c r="E705" s="281" t="s">
        <v>4225</v>
      </c>
      <c r="F705" s="281">
        <v>6</v>
      </c>
      <c r="G705" s="281">
        <v>5020000000</v>
      </c>
      <c r="H705" t="s">
        <v>2037</v>
      </c>
      <c r="I705" t="s">
        <v>555</v>
      </c>
      <c r="J705" t="s">
        <v>821</v>
      </c>
      <c r="K705" t="s">
        <v>1206</v>
      </c>
      <c r="L705" s="552">
        <v>0</v>
      </c>
      <c r="O705" t="s">
        <v>977</v>
      </c>
    </row>
    <row r="706" spans="1:15" hidden="1">
      <c r="A706" t="s">
        <v>942</v>
      </c>
      <c r="B706" t="s">
        <v>945</v>
      </c>
      <c r="C706" s="553">
        <v>44243</v>
      </c>
      <c r="D706" s="281" t="s">
        <v>4382</v>
      </c>
      <c r="E706" s="281" t="s">
        <v>4225</v>
      </c>
      <c r="F706" s="281">
        <v>6</v>
      </c>
      <c r="G706" s="281">
        <v>5020000000</v>
      </c>
      <c r="H706" t="s">
        <v>2005</v>
      </c>
      <c r="I706" t="s">
        <v>678</v>
      </c>
      <c r="J706" t="s">
        <v>821</v>
      </c>
      <c r="K706" t="s">
        <v>1206</v>
      </c>
      <c r="L706" s="552">
        <v>0</v>
      </c>
      <c r="O706" t="s">
        <v>977</v>
      </c>
    </row>
    <row r="707" spans="1:15" hidden="1">
      <c r="A707" t="s">
        <v>942</v>
      </c>
      <c r="B707" t="s">
        <v>945</v>
      </c>
      <c r="C707" s="553">
        <v>44243</v>
      </c>
      <c r="D707" s="281" t="s">
        <v>4382</v>
      </c>
      <c r="E707" s="281" t="s">
        <v>4225</v>
      </c>
      <c r="F707" s="281">
        <v>7</v>
      </c>
      <c r="G707" s="281">
        <v>5020000000</v>
      </c>
      <c r="H707" t="s">
        <v>2032</v>
      </c>
      <c r="I707" t="s">
        <v>565</v>
      </c>
      <c r="J707" t="s">
        <v>821</v>
      </c>
      <c r="K707" t="s">
        <v>1206</v>
      </c>
      <c r="L707" s="552">
        <v>0</v>
      </c>
      <c r="O707" t="s">
        <v>979</v>
      </c>
    </row>
    <row r="708" spans="1:15" hidden="1">
      <c r="A708" t="s">
        <v>942</v>
      </c>
      <c r="B708" t="s">
        <v>945</v>
      </c>
      <c r="C708" s="553">
        <v>44243</v>
      </c>
      <c r="D708" s="281" t="s">
        <v>4383</v>
      </c>
      <c r="E708" s="281" t="s">
        <v>3308</v>
      </c>
      <c r="F708" s="281">
        <v>5</v>
      </c>
      <c r="G708" s="281">
        <v>5020000000</v>
      </c>
      <c r="H708" t="s">
        <v>2037</v>
      </c>
      <c r="I708" t="s">
        <v>555</v>
      </c>
      <c r="J708" t="s">
        <v>820</v>
      </c>
      <c r="K708" t="s">
        <v>1206</v>
      </c>
      <c r="L708" s="552">
        <v>20000</v>
      </c>
      <c r="O708" t="s">
        <v>974</v>
      </c>
    </row>
    <row r="709" spans="1:15" hidden="1">
      <c r="A709" t="s">
        <v>942</v>
      </c>
      <c r="B709" t="s">
        <v>945</v>
      </c>
      <c r="C709" s="553">
        <v>44243</v>
      </c>
      <c r="D709" s="281" t="s">
        <v>4383</v>
      </c>
      <c r="E709" s="281" t="s">
        <v>3308</v>
      </c>
      <c r="F709" s="281">
        <v>5</v>
      </c>
      <c r="G709" s="281">
        <v>5020000000</v>
      </c>
      <c r="H709" t="s">
        <v>2005</v>
      </c>
      <c r="I709" t="s">
        <v>678</v>
      </c>
      <c r="J709" t="s">
        <v>820</v>
      </c>
      <c r="K709" t="s">
        <v>1206</v>
      </c>
      <c r="L709" s="552">
        <v>35000</v>
      </c>
      <c r="O709" t="s">
        <v>974</v>
      </c>
    </row>
    <row r="710" spans="1:15" hidden="1">
      <c r="A710" t="s">
        <v>942</v>
      </c>
      <c r="B710" t="s">
        <v>945</v>
      </c>
      <c r="C710" s="553">
        <v>44243</v>
      </c>
      <c r="D710" s="281" t="s">
        <v>4383</v>
      </c>
      <c r="E710" s="281" t="s">
        <v>3308</v>
      </c>
      <c r="F710" s="281">
        <v>6</v>
      </c>
      <c r="G710" s="281">
        <v>5020000000</v>
      </c>
      <c r="H710" t="s">
        <v>2037</v>
      </c>
      <c r="I710" t="s">
        <v>555</v>
      </c>
      <c r="J710" t="s">
        <v>820</v>
      </c>
      <c r="K710" t="s">
        <v>1206</v>
      </c>
      <c r="L710" s="552">
        <v>20000</v>
      </c>
      <c r="O710" t="s">
        <v>977</v>
      </c>
    </row>
    <row r="711" spans="1:15" hidden="1">
      <c r="A711" t="s">
        <v>942</v>
      </c>
      <c r="B711" t="s">
        <v>945</v>
      </c>
      <c r="C711" s="553">
        <v>44243</v>
      </c>
      <c r="D711" s="281" t="s">
        <v>4383</v>
      </c>
      <c r="E711" s="281" t="s">
        <v>3308</v>
      </c>
      <c r="F711" s="281">
        <v>6</v>
      </c>
      <c r="G711" s="281">
        <v>5020000000</v>
      </c>
      <c r="H711" t="s">
        <v>2005</v>
      </c>
      <c r="I711" t="s">
        <v>678</v>
      </c>
      <c r="J711" t="s">
        <v>820</v>
      </c>
      <c r="K711" t="s">
        <v>1206</v>
      </c>
      <c r="L711" s="552">
        <v>50000</v>
      </c>
      <c r="O711" t="s">
        <v>977</v>
      </c>
    </row>
    <row r="712" spans="1:15" hidden="1">
      <c r="A712" t="s">
        <v>942</v>
      </c>
      <c r="B712" t="s">
        <v>945</v>
      </c>
      <c r="C712" s="553">
        <v>44243</v>
      </c>
      <c r="D712" s="281" t="s">
        <v>4383</v>
      </c>
      <c r="E712" s="281" t="s">
        <v>3308</v>
      </c>
      <c r="F712" s="281">
        <v>7</v>
      </c>
      <c r="G712" s="281">
        <v>5020000000</v>
      </c>
      <c r="H712" t="s">
        <v>2032</v>
      </c>
      <c r="I712" t="s">
        <v>565</v>
      </c>
      <c r="J712" t="s">
        <v>820</v>
      </c>
      <c r="K712" t="s">
        <v>1206</v>
      </c>
      <c r="L712" s="552">
        <v>10125</v>
      </c>
      <c r="O712" t="s">
        <v>979</v>
      </c>
    </row>
    <row r="713" spans="1:15" hidden="1">
      <c r="A713" t="s">
        <v>942</v>
      </c>
      <c r="B713" t="s">
        <v>945</v>
      </c>
      <c r="C713" s="553">
        <v>44243</v>
      </c>
      <c r="D713" s="281" t="s">
        <v>4384</v>
      </c>
      <c r="E713" s="281" t="s">
        <v>4226</v>
      </c>
      <c r="F713" s="281">
        <v>5</v>
      </c>
      <c r="G713" s="281">
        <v>5020000000</v>
      </c>
      <c r="H713" t="s">
        <v>2037</v>
      </c>
      <c r="I713" t="s">
        <v>555</v>
      </c>
      <c r="J713" t="s">
        <v>818</v>
      </c>
      <c r="K713" t="s">
        <v>1206</v>
      </c>
      <c r="L713" s="552">
        <v>0</v>
      </c>
      <c r="O713" t="s">
        <v>974</v>
      </c>
    </row>
    <row r="714" spans="1:15" hidden="1">
      <c r="A714" t="s">
        <v>942</v>
      </c>
      <c r="B714" t="s">
        <v>945</v>
      </c>
      <c r="C714" s="553">
        <v>44243</v>
      </c>
      <c r="D714" s="281" t="s">
        <v>4384</v>
      </c>
      <c r="E714" s="281" t="s">
        <v>4226</v>
      </c>
      <c r="F714" s="281">
        <v>5</v>
      </c>
      <c r="G714" s="281">
        <v>5020000000</v>
      </c>
      <c r="H714" t="s">
        <v>2005</v>
      </c>
      <c r="I714" t="s">
        <v>678</v>
      </c>
      <c r="J714" t="s">
        <v>818</v>
      </c>
      <c r="K714" t="s">
        <v>1206</v>
      </c>
      <c r="L714" s="552">
        <v>0</v>
      </c>
      <c r="O714" t="s">
        <v>974</v>
      </c>
    </row>
    <row r="715" spans="1:15" hidden="1">
      <c r="A715" t="s">
        <v>942</v>
      </c>
      <c r="B715" t="s">
        <v>945</v>
      </c>
      <c r="C715" s="553">
        <v>44243</v>
      </c>
      <c r="D715" s="281" t="s">
        <v>4384</v>
      </c>
      <c r="E715" s="281" t="s">
        <v>4226</v>
      </c>
      <c r="F715" s="281">
        <v>6</v>
      </c>
      <c r="G715" s="281">
        <v>5020000000</v>
      </c>
      <c r="H715" t="s">
        <v>2037</v>
      </c>
      <c r="I715" t="s">
        <v>555</v>
      </c>
      <c r="J715" t="s">
        <v>818</v>
      </c>
      <c r="K715" t="s">
        <v>1206</v>
      </c>
      <c r="L715" s="552">
        <v>0</v>
      </c>
      <c r="O715" t="s">
        <v>977</v>
      </c>
    </row>
    <row r="716" spans="1:15" hidden="1">
      <c r="A716" t="s">
        <v>942</v>
      </c>
      <c r="B716" t="s">
        <v>945</v>
      </c>
      <c r="C716" s="553">
        <v>44243</v>
      </c>
      <c r="D716" s="281" t="s">
        <v>4384</v>
      </c>
      <c r="E716" s="281" t="s">
        <v>4226</v>
      </c>
      <c r="F716" s="281">
        <v>6</v>
      </c>
      <c r="G716" s="281">
        <v>5020000000</v>
      </c>
      <c r="H716" t="s">
        <v>2005</v>
      </c>
      <c r="I716" t="s">
        <v>678</v>
      </c>
      <c r="J716" t="s">
        <v>818</v>
      </c>
      <c r="K716" t="s">
        <v>1206</v>
      </c>
      <c r="L716" s="552">
        <v>0</v>
      </c>
      <c r="O716" t="s">
        <v>977</v>
      </c>
    </row>
    <row r="717" spans="1:15" hidden="1">
      <c r="A717" t="s">
        <v>942</v>
      </c>
      <c r="B717" t="s">
        <v>945</v>
      </c>
      <c r="C717" s="553">
        <v>44243</v>
      </c>
      <c r="D717" s="281" t="s">
        <v>4384</v>
      </c>
      <c r="E717" s="281" t="s">
        <v>4226</v>
      </c>
      <c r="F717" s="281">
        <v>7</v>
      </c>
      <c r="G717" s="281">
        <v>5020000000</v>
      </c>
      <c r="H717" t="s">
        <v>2032</v>
      </c>
      <c r="I717" t="s">
        <v>565</v>
      </c>
      <c r="J717" t="s">
        <v>818</v>
      </c>
      <c r="K717" t="s">
        <v>1206</v>
      </c>
      <c r="L717" s="552">
        <v>0</v>
      </c>
      <c r="O717" t="s">
        <v>979</v>
      </c>
    </row>
    <row r="718" spans="1:15" hidden="1">
      <c r="A718" t="s">
        <v>942</v>
      </c>
      <c r="B718" t="s">
        <v>945</v>
      </c>
      <c r="C718" s="553">
        <v>44243</v>
      </c>
      <c r="D718" s="281" t="s">
        <v>4385</v>
      </c>
      <c r="E718" s="281" t="s">
        <v>3359</v>
      </c>
      <c r="F718" s="281">
        <v>1</v>
      </c>
      <c r="G718" s="281">
        <v>5020000000</v>
      </c>
      <c r="H718" t="s">
        <v>2032</v>
      </c>
      <c r="I718" t="s">
        <v>565</v>
      </c>
      <c r="J718" t="s">
        <v>1036</v>
      </c>
      <c r="K718" t="s">
        <v>1207</v>
      </c>
      <c r="L718" s="552">
        <v>0</v>
      </c>
      <c r="O718" t="s">
        <v>961</v>
      </c>
    </row>
    <row r="719" spans="1:15" hidden="1">
      <c r="A719" t="s">
        <v>942</v>
      </c>
      <c r="B719" t="s">
        <v>945</v>
      </c>
      <c r="C719" s="553">
        <v>44243</v>
      </c>
      <c r="D719" s="281" t="s">
        <v>4386</v>
      </c>
      <c r="E719" s="281" t="s">
        <v>4227</v>
      </c>
      <c r="F719" s="281">
        <v>9</v>
      </c>
      <c r="G719" s="281">
        <v>5020000000</v>
      </c>
      <c r="H719" t="s">
        <v>2037</v>
      </c>
      <c r="I719" t="s">
        <v>555</v>
      </c>
      <c r="J719" t="s">
        <v>823</v>
      </c>
      <c r="K719" t="s">
        <v>1213</v>
      </c>
      <c r="L719" s="552">
        <v>0</v>
      </c>
      <c r="O719" t="s">
        <v>982</v>
      </c>
    </row>
    <row r="720" spans="1:15" hidden="1">
      <c r="A720" t="s">
        <v>942</v>
      </c>
      <c r="B720" t="s">
        <v>945</v>
      </c>
      <c r="C720" s="553">
        <v>44243</v>
      </c>
      <c r="D720" s="281" t="s">
        <v>4386</v>
      </c>
      <c r="E720" s="281" t="s">
        <v>4227</v>
      </c>
      <c r="F720" s="281">
        <v>9</v>
      </c>
      <c r="G720" s="281">
        <v>5020000000</v>
      </c>
      <c r="H720" t="s">
        <v>2023</v>
      </c>
      <c r="I720" t="s">
        <v>674</v>
      </c>
      <c r="J720" t="s">
        <v>823</v>
      </c>
      <c r="K720" t="s">
        <v>1213</v>
      </c>
      <c r="L720" s="552">
        <v>0</v>
      </c>
      <c r="O720" t="s">
        <v>982</v>
      </c>
    </row>
    <row r="721" spans="1:15" hidden="1">
      <c r="A721" t="s">
        <v>942</v>
      </c>
      <c r="B721" t="s">
        <v>945</v>
      </c>
      <c r="C721" s="553">
        <v>44243</v>
      </c>
      <c r="D721" s="281" t="s">
        <v>4386</v>
      </c>
      <c r="E721" s="281" t="s">
        <v>4227</v>
      </c>
      <c r="F721" s="281">
        <v>9</v>
      </c>
      <c r="G721" s="281">
        <v>5020000000</v>
      </c>
      <c r="H721" t="s">
        <v>1996</v>
      </c>
      <c r="I721" t="s">
        <v>676</v>
      </c>
      <c r="J721" t="s">
        <v>823</v>
      </c>
      <c r="K721" t="s">
        <v>1213</v>
      </c>
      <c r="L721" s="552">
        <v>0</v>
      </c>
      <c r="O721" t="s">
        <v>982</v>
      </c>
    </row>
    <row r="722" spans="1:15" hidden="1">
      <c r="A722" t="s">
        <v>942</v>
      </c>
      <c r="B722" t="s">
        <v>945</v>
      </c>
      <c r="C722" s="553">
        <v>44243</v>
      </c>
      <c r="D722" s="281" t="s">
        <v>4386</v>
      </c>
      <c r="E722" s="281" t="s">
        <v>4227</v>
      </c>
      <c r="F722" s="281">
        <v>9</v>
      </c>
      <c r="G722" s="281">
        <v>5020000000</v>
      </c>
      <c r="H722" t="s">
        <v>2005</v>
      </c>
      <c r="I722" t="s">
        <v>678</v>
      </c>
      <c r="J722" t="s">
        <v>823</v>
      </c>
      <c r="K722" t="s">
        <v>1213</v>
      </c>
      <c r="L722" s="552">
        <v>0</v>
      </c>
      <c r="O722" t="s">
        <v>982</v>
      </c>
    </row>
    <row r="723" spans="1:15" hidden="1">
      <c r="A723" t="s">
        <v>942</v>
      </c>
      <c r="B723" t="s">
        <v>945</v>
      </c>
      <c r="C723" s="553">
        <v>44243</v>
      </c>
      <c r="D723" s="281" t="s">
        <v>4387</v>
      </c>
      <c r="E723" s="281" t="s">
        <v>4228</v>
      </c>
      <c r="F723" s="281">
        <v>9</v>
      </c>
      <c r="G723" s="281">
        <v>5020000000</v>
      </c>
      <c r="H723" t="s">
        <v>2037</v>
      </c>
      <c r="I723" t="s">
        <v>555</v>
      </c>
      <c r="J723" t="s">
        <v>822</v>
      </c>
      <c r="K723" t="s">
        <v>1213</v>
      </c>
      <c r="L723" s="552">
        <v>0</v>
      </c>
      <c r="O723" t="s">
        <v>982</v>
      </c>
    </row>
    <row r="724" spans="1:15" hidden="1">
      <c r="A724" t="s">
        <v>942</v>
      </c>
      <c r="B724" t="s">
        <v>945</v>
      </c>
      <c r="C724" s="553">
        <v>44243</v>
      </c>
      <c r="D724" s="281" t="s">
        <v>4387</v>
      </c>
      <c r="E724" s="281" t="s">
        <v>4228</v>
      </c>
      <c r="F724" s="281">
        <v>9</v>
      </c>
      <c r="G724" s="281">
        <v>5020000000</v>
      </c>
      <c r="H724" t="s">
        <v>2023</v>
      </c>
      <c r="I724" t="s">
        <v>674</v>
      </c>
      <c r="J724" t="s">
        <v>822</v>
      </c>
      <c r="K724" t="s">
        <v>1213</v>
      </c>
      <c r="L724" s="552">
        <v>0</v>
      </c>
      <c r="O724" t="s">
        <v>982</v>
      </c>
    </row>
    <row r="725" spans="1:15" hidden="1">
      <c r="A725" t="s">
        <v>942</v>
      </c>
      <c r="B725" t="s">
        <v>945</v>
      </c>
      <c r="C725" s="553">
        <v>44243</v>
      </c>
      <c r="D725" s="281" t="s">
        <v>4387</v>
      </c>
      <c r="E725" s="281" t="s">
        <v>4228</v>
      </c>
      <c r="F725" s="281">
        <v>9</v>
      </c>
      <c r="G725" s="281">
        <v>5020000000</v>
      </c>
      <c r="H725" t="s">
        <v>1996</v>
      </c>
      <c r="I725" t="s">
        <v>676</v>
      </c>
      <c r="J725" t="s">
        <v>822</v>
      </c>
      <c r="K725" t="s">
        <v>1213</v>
      </c>
      <c r="L725" s="552">
        <v>0</v>
      </c>
      <c r="O725" t="s">
        <v>982</v>
      </c>
    </row>
    <row r="726" spans="1:15" hidden="1">
      <c r="A726" t="s">
        <v>942</v>
      </c>
      <c r="B726" t="s">
        <v>945</v>
      </c>
      <c r="C726" s="553">
        <v>44243</v>
      </c>
      <c r="D726" s="281" t="s">
        <v>4387</v>
      </c>
      <c r="E726" s="281" t="s">
        <v>4228</v>
      </c>
      <c r="F726" s="281">
        <v>9</v>
      </c>
      <c r="G726" s="281">
        <v>5020000000</v>
      </c>
      <c r="H726" t="s">
        <v>2005</v>
      </c>
      <c r="I726" t="s">
        <v>678</v>
      </c>
      <c r="J726" t="s">
        <v>822</v>
      </c>
      <c r="K726" t="s">
        <v>1213</v>
      </c>
      <c r="L726" s="552">
        <v>0</v>
      </c>
      <c r="O726" t="s">
        <v>982</v>
      </c>
    </row>
    <row r="727" spans="1:15" hidden="1">
      <c r="A727" t="s">
        <v>942</v>
      </c>
      <c r="B727" t="s">
        <v>945</v>
      </c>
      <c r="C727" s="553">
        <v>44243</v>
      </c>
      <c r="D727" s="281" t="s">
        <v>4388</v>
      </c>
      <c r="E727" s="281" t="s">
        <v>4229</v>
      </c>
      <c r="F727" s="281">
        <v>9</v>
      </c>
      <c r="G727" s="281">
        <v>5020000000</v>
      </c>
      <c r="H727" t="s">
        <v>2037</v>
      </c>
      <c r="I727" t="s">
        <v>555</v>
      </c>
      <c r="J727" t="s">
        <v>821</v>
      </c>
      <c r="K727" t="s">
        <v>1213</v>
      </c>
      <c r="L727" s="552">
        <v>0</v>
      </c>
      <c r="O727" t="s">
        <v>982</v>
      </c>
    </row>
    <row r="728" spans="1:15" hidden="1">
      <c r="A728" t="s">
        <v>942</v>
      </c>
      <c r="B728" t="s">
        <v>945</v>
      </c>
      <c r="C728" s="553">
        <v>44243</v>
      </c>
      <c r="D728" s="281" t="s">
        <v>4388</v>
      </c>
      <c r="E728" s="281" t="s">
        <v>4229</v>
      </c>
      <c r="F728" s="281">
        <v>9</v>
      </c>
      <c r="G728" s="281">
        <v>5020000000</v>
      </c>
      <c r="H728" t="s">
        <v>2023</v>
      </c>
      <c r="I728" t="s">
        <v>674</v>
      </c>
      <c r="J728" t="s">
        <v>821</v>
      </c>
      <c r="K728" t="s">
        <v>1213</v>
      </c>
      <c r="L728" s="552">
        <v>0</v>
      </c>
      <c r="O728" t="s">
        <v>982</v>
      </c>
    </row>
    <row r="729" spans="1:15" hidden="1">
      <c r="A729" t="s">
        <v>942</v>
      </c>
      <c r="B729" t="s">
        <v>945</v>
      </c>
      <c r="C729" s="553">
        <v>44243</v>
      </c>
      <c r="D729" s="281" t="s">
        <v>4388</v>
      </c>
      <c r="E729" s="281" t="s">
        <v>4229</v>
      </c>
      <c r="F729" s="281">
        <v>9</v>
      </c>
      <c r="G729" s="281">
        <v>5020000000</v>
      </c>
      <c r="H729" t="s">
        <v>1996</v>
      </c>
      <c r="I729" t="s">
        <v>676</v>
      </c>
      <c r="J729" t="s">
        <v>821</v>
      </c>
      <c r="K729" t="s">
        <v>1213</v>
      </c>
      <c r="L729" s="552">
        <v>0</v>
      </c>
      <c r="O729" t="s">
        <v>982</v>
      </c>
    </row>
    <row r="730" spans="1:15" hidden="1">
      <c r="A730" t="s">
        <v>942</v>
      </c>
      <c r="B730" t="s">
        <v>945</v>
      </c>
      <c r="C730" s="553">
        <v>44243</v>
      </c>
      <c r="D730" s="281" t="s">
        <v>4388</v>
      </c>
      <c r="E730" s="281" t="s">
        <v>4229</v>
      </c>
      <c r="F730" s="281">
        <v>9</v>
      </c>
      <c r="G730" s="281">
        <v>5020000000</v>
      </c>
      <c r="H730" t="s">
        <v>2005</v>
      </c>
      <c r="I730" t="s">
        <v>678</v>
      </c>
      <c r="J730" t="s">
        <v>821</v>
      </c>
      <c r="K730" t="s">
        <v>1213</v>
      </c>
      <c r="L730" s="552">
        <v>0</v>
      </c>
      <c r="O730" t="s">
        <v>982</v>
      </c>
    </row>
    <row r="731" spans="1:15" hidden="1">
      <c r="A731" t="s">
        <v>942</v>
      </c>
      <c r="B731" t="s">
        <v>945</v>
      </c>
      <c r="C731" s="553">
        <v>44243</v>
      </c>
      <c r="D731" s="281" t="s">
        <v>4389</v>
      </c>
      <c r="E731" s="281" t="s">
        <v>4230</v>
      </c>
      <c r="F731" s="281">
        <v>9</v>
      </c>
      <c r="G731" s="281">
        <v>5020000000</v>
      </c>
      <c r="H731" t="s">
        <v>2037</v>
      </c>
      <c r="I731" t="s">
        <v>555</v>
      </c>
      <c r="J731" t="s">
        <v>820</v>
      </c>
      <c r="K731" t="s">
        <v>1213</v>
      </c>
      <c r="L731" s="552">
        <v>0</v>
      </c>
      <c r="O731" t="s">
        <v>982</v>
      </c>
    </row>
    <row r="732" spans="1:15" hidden="1">
      <c r="A732" t="s">
        <v>942</v>
      </c>
      <c r="B732" t="s">
        <v>945</v>
      </c>
      <c r="C732" s="553">
        <v>44243</v>
      </c>
      <c r="D732" s="281" t="s">
        <v>4389</v>
      </c>
      <c r="E732" s="281" t="s">
        <v>4230</v>
      </c>
      <c r="F732" s="281">
        <v>9</v>
      </c>
      <c r="G732" s="281">
        <v>5020000000</v>
      </c>
      <c r="H732" t="s">
        <v>2023</v>
      </c>
      <c r="I732" t="s">
        <v>674</v>
      </c>
      <c r="J732" t="s">
        <v>820</v>
      </c>
      <c r="K732" t="s">
        <v>1213</v>
      </c>
      <c r="L732" s="552">
        <v>0</v>
      </c>
      <c r="O732" t="s">
        <v>982</v>
      </c>
    </row>
    <row r="733" spans="1:15" hidden="1">
      <c r="A733" t="s">
        <v>942</v>
      </c>
      <c r="B733" t="s">
        <v>945</v>
      </c>
      <c r="C733" s="553">
        <v>44243</v>
      </c>
      <c r="D733" s="281" t="s">
        <v>4389</v>
      </c>
      <c r="E733" s="281" t="s">
        <v>4230</v>
      </c>
      <c r="F733" s="281">
        <v>9</v>
      </c>
      <c r="G733" s="281">
        <v>5020000000</v>
      </c>
      <c r="H733" t="s">
        <v>1996</v>
      </c>
      <c r="I733" t="s">
        <v>676</v>
      </c>
      <c r="J733" t="s">
        <v>820</v>
      </c>
      <c r="K733" t="s">
        <v>1213</v>
      </c>
      <c r="L733" s="552">
        <v>0</v>
      </c>
      <c r="O733" t="s">
        <v>982</v>
      </c>
    </row>
    <row r="734" spans="1:15" hidden="1">
      <c r="A734" t="s">
        <v>942</v>
      </c>
      <c r="B734" t="s">
        <v>945</v>
      </c>
      <c r="C734" s="553">
        <v>44243</v>
      </c>
      <c r="D734" s="281" t="s">
        <v>4389</v>
      </c>
      <c r="E734" s="281" t="s">
        <v>4230</v>
      </c>
      <c r="F734" s="281">
        <v>9</v>
      </c>
      <c r="G734" s="281">
        <v>5020000000</v>
      </c>
      <c r="H734" t="s">
        <v>2005</v>
      </c>
      <c r="I734" t="s">
        <v>678</v>
      </c>
      <c r="J734" t="s">
        <v>820</v>
      </c>
      <c r="K734" t="s">
        <v>1213</v>
      </c>
      <c r="L734" s="552">
        <v>0</v>
      </c>
      <c r="O734" t="s">
        <v>982</v>
      </c>
    </row>
    <row r="735" spans="1:15" hidden="1">
      <c r="A735" t="s">
        <v>942</v>
      </c>
      <c r="B735" t="s">
        <v>945</v>
      </c>
      <c r="C735" s="553">
        <v>44243</v>
      </c>
      <c r="D735" s="281" t="s">
        <v>4390</v>
      </c>
      <c r="E735" s="281" t="s">
        <v>4231</v>
      </c>
      <c r="F735" s="281">
        <v>9</v>
      </c>
      <c r="G735" s="281">
        <v>5020000000</v>
      </c>
      <c r="H735" t="s">
        <v>2037</v>
      </c>
      <c r="I735" t="s">
        <v>555</v>
      </c>
      <c r="J735" t="s">
        <v>818</v>
      </c>
      <c r="K735" t="s">
        <v>1213</v>
      </c>
      <c r="L735" s="552">
        <v>0</v>
      </c>
      <c r="O735" t="s">
        <v>982</v>
      </c>
    </row>
    <row r="736" spans="1:15" hidden="1">
      <c r="A736" t="s">
        <v>942</v>
      </c>
      <c r="B736" t="s">
        <v>945</v>
      </c>
      <c r="C736" s="553">
        <v>44243</v>
      </c>
      <c r="D736" s="281" t="s">
        <v>4390</v>
      </c>
      <c r="E736" s="281" t="s">
        <v>4231</v>
      </c>
      <c r="F736" s="281">
        <v>9</v>
      </c>
      <c r="G736" s="281">
        <v>5020000000</v>
      </c>
      <c r="H736" t="s">
        <v>2023</v>
      </c>
      <c r="I736" t="s">
        <v>674</v>
      </c>
      <c r="J736" t="s">
        <v>818</v>
      </c>
      <c r="K736" t="s">
        <v>1213</v>
      </c>
      <c r="L736" s="552">
        <v>0</v>
      </c>
      <c r="O736" t="s">
        <v>982</v>
      </c>
    </row>
    <row r="737" spans="1:15" hidden="1">
      <c r="A737" t="s">
        <v>942</v>
      </c>
      <c r="B737" t="s">
        <v>945</v>
      </c>
      <c r="C737" s="553">
        <v>44243</v>
      </c>
      <c r="D737" s="281" t="s">
        <v>4390</v>
      </c>
      <c r="E737" s="281" t="s">
        <v>4231</v>
      </c>
      <c r="F737" s="281">
        <v>9</v>
      </c>
      <c r="G737" s="281">
        <v>5020000000</v>
      </c>
      <c r="H737" t="s">
        <v>1996</v>
      </c>
      <c r="I737" t="s">
        <v>676</v>
      </c>
      <c r="J737" t="s">
        <v>818</v>
      </c>
      <c r="K737" t="s">
        <v>1213</v>
      </c>
      <c r="L737" s="552">
        <v>0</v>
      </c>
      <c r="O737" t="s">
        <v>982</v>
      </c>
    </row>
    <row r="738" spans="1:15" hidden="1">
      <c r="A738" t="s">
        <v>942</v>
      </c>
      <c r="B738" t="s">
        <v>945</v>
      </c>
      <c r="C738" s="553">
        <v>44243</v>
      </c>
      <c r="D738" s="281" t="s">
        <v>4390</v>
      </c>
      <c r="E738" s="281" t="s">
        <v>4231</v>
      </c>
      <c r="F738" s="281">
        <v>9</v>
      </c>
      <c r="G738" s="281">
        <v>5020000000</v>
      </c>
      <c r="H738" t="s">
        <v>2005</v>
      </c>
      <c r="I738" t="s">
        <v>678</v>
      </c>
      <c r="J738" t="s">
        <v>818</v>
      </c>
      <c r="K738" t="s">
        <v>1213</v>
      </c>
      <c r="L738" s="552">
        <v>0</v>
      </c>
      <c r="O738" t="s">
        <v>982</v>
      </c>
    </row>
    <row r="739" spans="1:15" hidden="1">
      <c r="A739" t="s">
        <v>942</v>
      </c>
      <c r="B739" t="s">
        <v>945</v>
      </c>
      <c r="C739" s="553">
        <v>44243</v>
      </c>
      <c r="D739" s="281" t="s">
        <v>4391</v>
      </c>
      <c r="E739" s="281" t="s">
        <v>3282</v>
      </c>
      <c r="F739" s="281">
        <v>3</v>
      </c>
      <c r="G739" s="281">
        <v>5020000000</v>
      </c>
      <c r="H739" t="s">
        <v>2032</v>
      </c>
      <c r="I739" t="s">
        <v>565</v>
      </c>
      <c r="J739" t="s">
        <v>1214</v>
      </c>
      <c r="K739" t="s">
        <v>1215</v>
      </c>
      <c r="L739" s="552">
        <v>22320</v>
      </c>
      <c r="O739" t="s">
        <v>968</v>
      </c>
    </row>
    <row r="740" spans="1:15">
      <c r="A740" t="s">
        <v>942</v>
      </c>
      <c r="B740" t="s">
        <v>945</v>
      </c>
      <c r="C740" s="553">
        <v>44243</v>
      </c>
      <c r="D740" s="281" t="s">
        <v>4392</v>
      </c>
      <c r="E740" s="281" t="s">
        <v>3245</v>
      </c>
      <c r="F740" s="281">
        <v>14</v>
      </c>
      <c r="G740" s="281">
        <v>5021199000</v>
      </c>
      <c r="H740" t="s">
        <v>1998</v>
      </c>
      <c r="I740" t="s">
        <v>633</v>
      </c>
      <c r="J740" t="s">
        <v>1030</v>
      </c>
      <c r="K740" t="s">
        <v>1223</v>
      </c>
      <c r="L740" s="552">
        <v>144603.29</v>
      </c>
      <c r="O740" t="s">
        <v>1221</v>
      </c>
    </row>
    <row r="741" spans="1:15">
      <c r="A741" t="s">
        <v>942</v>
      </c>
      <c r="B741" t="s">
        <v>945</v>
      </c>
      <c r="C741" s="553">
        <v>44244</v>
      </c>
      <c r="D741" s="281" t="s">
        <v>4393</v>
      </c>
      <c r="E741" s="281" t="s">
        <v>3302</v>
      </c>
      <c r="F741" s="281">
        <v>14</v>
      </c>
      <c r="G741" s="281">
        <v>5021199000</v>
      </c>
      <c r="H741" t="s">
        <v>1998</v>
      </c>
      <c r="I741" t="s">
        <v>633</v>
      </c>
      <c r="J741" t="s">
        <v>1030</v>
      </c>
      <c r="K741" t="s">
        <v>1225</v>
      </c>
      <c r="L741" s="552">
        <v>119889.07</v>
      </c>
      <c r="O741" t="s">
        <v>1221</v>
      </c>
    </row>
    <row r="742" spans="1:15">
      <c r="A742" t="s">
        <v>942</v>
      </c>
      <c r="B742" t="s">
        <v>945</v>
      </c>
      <c r="C742" s="553">
        <v>44244</v>
      </c>
      <c r="D742" s="281" t="s">
        <v>4394</v>
      </c>
      <c r="E742" s="281" t="s">
        <v>3304</v>
      </c>
      <c r="F742" s="281">
        <v>14</v>
      </c>
      <c r="G742" s="281">
        <v>5021199000</v>
      </c>
      <c r="H742" t="s">
        <v>1998</v>
      </c>
      <c r="I742" t="s">
        <v>633</v>
      </c>
      <c r="J742" t="s">
        <v>1030</v>
      </c>
      <c r="K742" t="s">
        <v>1227</v>
      </c>
      <c r="L742" s="552">
        <v>83142.720000000001</v>
      </c>
      <c r="O742" t="s">
        <v>1221</v>
      </c>
    </row>
    <row r="743" spans="1:15">
      <c r="A743" t="s">
        <v>942</v>
      </c>
      <c r="B743" t="s">
        <v>945</v>
      </c>
      <c r="C743" s="553">
        <v>44246</v>
      </c>
      <c r="D743" s="281" t="s">
        <v>4395</v>
      </c>
      <c r="E743" s="281" t="s">
        <v>3306</v>
      </c>
      <c r="F743" s="281">
        <v>14</v>
      </c>
      <c r="G743" s="281">
        <v>5021199000</v>
      </c>
      <c r="H743" t="s">
        <v>1998</v>
      </c>
      <c r="I743" t="s">
        <v>633</v>
      </c>
      <c r="J743" t="s">
        <v>1030</v>
      </c>
      <c r="K743" t="s">
        <v>1227</v>
      </c>
      <c r="L743" s="552">
        <v>106531.33</v>
      </c>
      <c r="O743" t="s">
        <v>1221</v>
      </c>
    </row>
    <row r="744" spans="1:15" hidden="1">
      <c r="A744" t="s">
        <v>942</v>
      </c>
      <c r="B744" t="s">
        <v>945</v>
      </c>
      <c r="C744" s="553">
        <v>44251</v>
      </c>
      <c r="D744" s="281" t="s">
        <v>4396</v>
      </c>
      <c r="E744" s="281" t="s">
        <v>3380</v>
      </c>
      <c r="F744" s="281">
        <v>3</v>
      </c>
      <c r="G744" s="281">
        <v>5020000000</v>
      </c>
      <c r="H744" t="s">
        <v>2005</v>
      </c>
      <c r="I744" t="s">
        <v>678</v>
      </c>
      <c r="J744" t="s">
        <v>1230</v>
      </c>
      <c r="K744" t="s">
        <v>1231</v>
      </c>
      <c r="L744" s="552">
        <v>0</v>
      </c>
      <c r="O744" t="s">
        <v>968</v>
      </c>
    </row>
    <row r="745" spans="1:15" hidden="1">
      <c r="A745" t="s">
        <v>942</v>
      </c>
      <c r="B745" t="s">
        <v>945</v>
      </c>
      <c r="C745" s="553">
        <v>44251</v>
      </c>
      <c r="D745" s="281" t="s">
        <v>4397</v>
      </c>
      <c r="E745" s="281" t="s">
        <v>3384</v>
      </c>
      <c r="F745" s="281">
        <v>1</v>
      </c>
      <c r="G745" s="281">
        <v>5020000000</v>
      </c>
      <c r="H745" t="s">
        <v>2002</v>
      </c>
      <c r="I745" t="s">
        <v>603</v>
      </c>
      <c r="J745" t="s">
        <v>1102</v>
      </c>
      <c r="K745" t="s">
        <v>1233</v>
      </c>
      <c r="L745" s="552">
        <v>0</v>
      </c>
      <c r="O745" t="s">
        <v>961</v>
      </c>
    </row>
    <row r="746" spans="1:15" hidden="1">
      <c r="A746" t="s">
        <v>942</v>
      </c>
      <c r="B746" t="s">
        <v>945</v>
      </c>
      <c r="C746" s="553">
        <v>44251</v>
      </c>
      <c r="D746" s="281" t="s">
        <v>4398</v>
      </c>
      <c r="E746" s="281" t="s">
        <v>3362</v>
      </c>
      <c r="F746" s="281">
        <v>10</v>
      </c>
      <c r="G746" s="281">
        <v>5020000000</v>
      </c>
      <c r="H746" t="s">
        <v>1998</v>
      </c>
      <c r="I746" t="s">
        <v>633</v>
      </c>
      <c r="J746" t="s">
        <v>1235</v>
      </c>
      <c r="K746" t="s">
        <v>1236</v>
      </c>
      <c r="L746" s="552">
        <v>10000</v>
      </c>
      <c r="O746" t="s">
        <v>983</v>
      </c>
    </row>
    <row r="747" spans="1:15" hidden="1">
      <c r="A747" t="s">
        <v>942</v>
      </c>
      <c r="B747" t="s">
        <v>945</v>
      </c>
      <c r="C747" s="553">
        <v>44251</v>
      </c>
      <c r="D747" s="281" t="s">
        <v>4399</v>
      </c>
      <c r="E747" s="281" t="s">
        <v>3366</v>
      </c>
      <c r="F747" s="281">
        <v>1</v>
      </c>
      <c r="G747" s="281">
        <v>5020000000</v>
      </c>
      <c r="H747" t="s">
        <v>1997</v>
      </c>
      <c r="I747" t="s">
        <v>642</v>
      </c>
      <c r="J747" t="s">
        <v>1075</v>
      </c>
      <c r="K747" t="s">
        <v>1236</v>
      </c>
      <c r="L747" s="552">
        <v>2790</v>
      </c>
      <c r="O747" t="s">
        <v>961</v>
      </c>
    </row>
    <row r="748" spans="1:15" hidden="1">
      <c r="A748" t="s">
        <v>942</v>
      </c>
      <c r="B748" t="s">
        <v>945</v>
      </c>
      <c r="C748" s="553">
        <v>44251</v>
      </c>
      <c r="D748" s="281" t="s">
        <v>4399</v>
      </c>
      <c r="E748" s="281" t="s">
        <v>3366</v>
      </c>
      <c r="F748" s="281">
        <v>1</v>
      </c>
      <c r="G748" s="281">
        <v>5020000000</v>
      </c>
      <c r="H748" t="s">
        <v>2007</v>
      </c>
      <c r="I748" t="s">
        <v>638</v>
      </c>
      <c r="J748" t="s">
        <v>1075</v>
      </c>
      <c r="K748" t="s">
        <v>1236</v>
      </c>
      <c r="L748" s="552">
        <v>8000</v>
      </c>
      <c r="O748" t="s">
        <v>961</v>
      </c>
    </row>
    <row r="749" spans="1:15" hidden="1">
      <c r="A749" t="s">
        <v>942</v>
      </c>
      <c r="B749" t="s">
        <v>945</v>
      </c>
      <c r="C749" s="553">
        <v>44251</v>
      </c>
      <c r="D749" s="281" t="s">
        <v>4400</v>
      </c>
      <c r="E749" s="281" t="s">
        <v>3368</v>
      </c>
      <c r="F749" s="281">
        <v>1</v>
      </c>
      <c r="G749" s="281">
        <v>5020000000</v>
      </c>
      <c r="H749" t="s">
        <v>1997</v>
      </c>
      <c r="I749" t="s">
        <v>642</v>
      </c>
      <c r="J749" t="s">
        <v>1075</v>
      </c>
      <c r="K749" t="s">
        <v>1236</v>
      </c>
      <c r="L749" s="552">
        <v>12352.18</v>
      </c>
      <c r="O749" t="s">
        <v>961</v>
      </c>
    </row>
    <row r="750" spans="1:15" hidden="1">
      <c r="A750" t="s">
        <v>942</v>
      </c>
      <c r="B750" t="s">
        <v>945</v>
      </c>
      <c r="C750" s="553">
        <v>44251</v>
      </c>
      <c r="D750" s="281" t="s">
        <v>4401</v>
      </c>
      <c r="E750" s="281" t="s">
        <v>3370</v>
      </c>
      <c r="F750" s="281">
        <v>9</v>
      </c>
      <c r="G750" s="281">
        <v>5020000000</v>
      </c>
      <c r="H750" t="s">
        <v>1998</v>
      </c>
      <c r="I750" t="s">
        <v>633</v>
      </c>
      <c r="J750" t="s">
        <v>1075</v>
      </c>
      <c r="K750" t="s">
        <v>1236</v>
      </c>
      <c r="L750" s="552">
        <v>11158</v>
      </c>
      <c r="O750" t="s">
        <v>982</v>
      </c>
    </row>
    <row r="751" spans="1:15" hidden="1">
      <c r="A751" t="s">
        <v>942</v>
      </c>
      <c r="B751" t="s">
        <v>945</v>
      </c>
      <c r="C751" s="553">
        <v>44251</v>
      </c>
      <c r="D751" s="281" t="s">
        <v>4401</v>
      </c>
      <c r="E751" s="281" t="s">
        <v>3370</v>
      </c>
      <c r="F751" s="281">
        <v>8</v>
      </c>
      <c r="G751" s="281">
        <v>5020000000</v>
      </c>
      <c r="H751" t="s">
        <v>1998</v>
      </c>
      <c r="I751" t="s">
        <v>633</v>
      </c>
      <c r="J751" t="s">
        <v>1075</v>
      </c>
      <c r="K751" t="s">
        <v>1236</v>
      </c>
      <c r="L751" s="552">
        <v>12316</v>
      </c>
      <c r="O751" t="s">
        <v>980</v>
      </c>
    </row>
    <row r="752" spans="1:15" hidden="1">
      <c r="A752" t="s">
        <v>942</v>
      </c>
      <c r="B752" t="s">
        <v>945</v>
      </c>
      <c r="C752" s="553">
        <v>44251</v>
      </c>
      <c r="D752" s="281" t="s">
        <v>4402</v>
      </c>
      <c r="E752" s="281" t="s">
        <v>3372</v>
      </c>
      <c r="F752" s="281">
        <v>9</v>
      </c>
      <c r="G752" s="281">
        <v>5020000000</v>
      </c>
      <c r="H752" t="s">
        <v>1998</v>
      </c>
      <c r="I752" t="s">
        <v>633</v>
      </c>
      <c r="J752" t="s">
        <v>1075</v>
      </c>
      <c r="K752" t="s">
        <v>1236</v>
      </c>
      <c r="L752" s="552">
        <v>5030.91</v>
      </c>
      <c r="O752" t="s">
        <v>982</v>
      </c>
    </row>
    <row r="753" spans="1:15" hidden="1">
      <c r="A753" t="s">
        <v>942</v>
      </c>
      <c r="B753" t="s">
        <v>945</v>
      </c>
      <c r="C753" s="553">
        <v>44251</v>
      </c>
      <c r="D753" s="281" t="s">
        <v>4402</v>
      </c>
      <c r="E753" s="281" t="s">
        <v>3372</v>
      </c>
      <c r="F753" s="281">
        <v>1</v>
      </c>
      <c r="G753" s="281">
        <v>5020000000</v>
      </c>
      <c r="H753" t="s">
        <v>2004</v>
      </c>
      <c r="I753" t="s">
        <v>629</v>
      </c>
      <c r="J753" t="s">
        <v>1075</v>
      </c>
      <c r="K753" t="s">
        <v>1236</v>
      </c>
      <c r="L753" s="552">
        <v>5534</v>
      </c>
      <c r="O753" t="s">
        <v>961</v>
      </c>
    </row>
    <row r="754" spans="1:15" hidden="1">
      <c r="A754" t="s">
        <v>942</v>
      </c>
      <c r="B754" t="s">
        <v>945</v>
      </c>
      <c r="C754" s="553">
        <v>44251</v>
      </c>
      <c r="D754" s="281" t="s">
        <v>4402</v>
      </c>
      <c r="E754" s="281" t="s">
        <v>3372</v>
      </c>
      <c r="F754" s="281">
        <v>1</v>
      </c>
      <c r="G754" s="281">
        <v>5020000000</v>
      </c>
      <c r="H754" t="s">
        <v>1997</v>
      </c>
      <c r="I754" t="s">
        <v>642</v>
      </c>
      <c r="J754" t="s">
        <v>1075</v>
      </c>
      <c r="K754" t="s">
        <v>1236</v>
      </c>
      <c r="L754" s="552">
        <v>16692</v>
      </c>
      <c r="O754" t="s">
        <v>961</v>
      </c>
    </row>
    <row r="755" spans="1:15" hidden="1">
      <c r="A755" t="s">
        <v>942</v>
      </c>
      <c r="B755" t="s">
        <v>945</v>
      </c>
      <c r="C755" s="553">
        <v>44251</v>
      </c>
      <c r="D755" s="281" t="s">
        <v>4403</v>
      </c>
      <c r="E755" s="281" t="s">
        <v>3374</v>
      </c>
      <c r="F755" s="281">
        <v>1</v>
      </c>
      <c r="G755" s="281">
        <v>5020000000</v>
      </c>
      <c r="H755" t="s">
        <v>1997</v>
      </c>
      <c r="I755" t="s">
        <v>642</v>
      </c>
      <c r="J755" t="s">
        <v>1242</v>
      </c>
      <c r="K755" t="s">
        <v>1243</v>
      </c>
      <c r="L755" s="552">
        <v>7321.62</v>
      </c>
      <c r="O755" t="s">
        <v>961</v>
      </c>
    </row>
    <row r="756" spans="1:15" hidden="1">
      <c r="A756" t="s">
        <v>942</v>
      </c>
      <c r="B756" t="s">
        <v>945</v>
      </c>
      <c r="C756" s="553">
        <v>44251</v>
      </c>
      <c r="D756" s="281" t="s">
        <v>4404</v>
      </c>
      <c r="E756" s="281" t="s">
        <v>4232</v>
      </c>
      <c r="F756" s="281">
        <v>1</v>
      </c>
      <c r="G756" s="281">
        <v>5020000000</v>
      </c>
      <c r="H756" t="s">
        <v>2002</v>
      </c>
      <c r="I756" t="s">
        <v>603</v>
      </c>
      <c r="J756" t="s">
        <v>1245</v>
      </c>
      <c r="K756" t="s">
        <v>1246</v>
      </c>
      <c r="L756" s="552">
        <v>0</v>
      </c>
      <c r="O756" t="s">
        <v>961</v>
      </c>
    </row>
    <row r="757" spans="1:15" hidden="1">
      <c r="A757" t="s">
        <v>942</v>
      </c>
      <c r="B757" t="s">
        <v>945</v>
      </c>
      <c r="C757" s="553">
        <v>44251</v>
      </c>
      <c r="D757" s="281" t="s">
        <v>4405</v>
      </c>
      <c r="E757" s="281" t="s">
        <v>4233</v>
      </c>
      <c r="F757" s="281">
        <v>1</v>
      </c>
      <c r="G757" s="281">
        <v>5020000000</v>
      </c>
      <c r="H757" t="s">
        <v>2002</v>
      </c>
      <c r="I757" t="s">
        <v>603</v>
      </c>
      <c r="J757" t="s">
        <v>1245</v>
      </c>
      <c r="K757" t="s">
        <v>1248</v>
      </c>
      <c r="L757" s="552">
        <v>0</v>
      </c>
      <c r="O757" t="s">
        <v>961</v>
      </c>
    </row>
    <row r="758" spans="1:15" hidden="1">
      <c r="A758" t="s">
        <v>942</v>
      </c>
      <c r="B758" t="s">
        <v>945</v>
      </c>
      <c r="C758" s="553">
        <v>44251</v>
      </c>
      <c r="D758" s="281" t="s">
        <v>4406</v>
      </c>
      <c r="E758" s="281" t="s">
        <v>4234</v>
      </c>
      <c r="F758" s="281">
        <v>13</v>
      </c>
      <c r="G758" s="281" t="s">
        <v>2036</v>
      </c>
      <c r="H758" t="s">
        <v>2030</v>
      </c>
      <c r="I758" t="s">
        <v>532</v>
      </c>
      <c r="J758" t="s">
        <v>863</v>
      </c>
      <c r="K758" t="s">
        <v>1250</v>
      </c>
      <c r="L758" s="552">
        <v>0.01</v>
      </c>
      <c r="O758" t="s">
        <v>999</v>
      </c>
    </row>
    <row r="759" spans="1:15" hidden="1">
      <c r="A759" t="s">
        <v>942</v>
      </c>
      <c r="B759" t="s">
        <v>945</v>
      </c>
      <c r="C759" s="553">
        <v>44253</v>
      </c>
      <c r="D759" s="281" t="s">
        <v>4407</v>
      </c>
      <c r="E759" s="281" t="s">
        <v>4235</v>
      </c>
      <c r="F759" s="281">
        <v>14</v>
      </c>
      <c r="G759" s="281">
        <v>5021199000</v>
      </c>
      <c r="H759" t="s">
        <v>1998</v>
      </c>
      <c r="I759" t="s">
        <v>633</v>
      </c>
      <c r="J759" t="s">
        <v>818</v>
      </c>
      <c r="K759" t="s">
        <v>1252</v>
      </c>
      <c r="L759" s="552">
        <v>0</v>
      </c>
      <c r="O759" t="s">
        <v>1221</v>
      </c>
    </row>
    <row r="760" spans="1:15" hidden="1">
      <c r="A760" t="s">
        <v>942</v>
      </c>
      <c r="B760" t="s">
        <v>945</v>
      </c>
      <c r="C760" s="553">
        <v>44253</v>
      </c>
      <c r="D760" s="281" t="s">
        <v>4408</v>
      </c>
      <c r="E760" s="281" t="s">
        <v>4236</v>
      </c>
      <c r="F760" s="281">
        <v>14</v>
      </c>
      <c r="G760" s="281">
        <v>5021199000</v>
      </c>
      <c r="H760" t="s">
        <v>1998</v>
      </c>
      <c r="I760" t="s">
        <v>633</v>
      </c>
      <c r="J760" t="s">
        <v>820</v>
      </c>
      <c r="K760" t="s">
        <v>1252</v>
      </c>
      <c r="L760" s="552">
        <v>0</v>
      </c>
      <c r="O760" t="s">
        <v>1221</v>
      </c>
    </row>
    <row r="761" spans="1:15" hidden="1">
      <c r="A761" t="s">
        <v>942</v>
      </c>
      <c r="B761" t="s">
        <v>945</v>
      </c>
      <c r="C761" s="553">
        <v>44253</v>
      </c>
      <c r="D761" s="281" t="s">
        <v>4409</v>
      </c>
      <c r="E761" s="281" t="s">
        <v>4237</v>
      </c>
      <c r="F761" s="281">
        <v>14</v>
      </c>
      <c r="G761" s="281">
        <v>5021199000</v>
      </c>
      <c r="H761" t="s">
        <v>1998</v>
      </c>
      <c r="I761" t="s">
        <v>633</v>
      </c>
      <c r="J761" t="s">
        <v>822</v>
      </c>
      <c r="K761" t="s">
        <v>1252</v>
      </c>
      <c r="L761" s="552">
        <v>0</v>
      </c>
      <c r="O761" t="s">
        <v>1221</v>
      </c>
    </row>
    <row r="762" spans="1:15" hidden="1">
      <c r="A762" t="s">
        <v>942</v>
      </c>
      <c r="B762" t="s">
        <v>945</v>
      </c>
      <c r="C762" s="553">
        <v>44253</v>
      </c>
      <c r="D762" s="281" t="s">
        <v>4410</v>
      </c>
      <c r="E762" s="281" t="s">
        <v>4238</v>
      </c>
      <c r="F762" s="281">
        <v>1</v>
      </c>
      <c r="G762" s="281">
        <v>5020000000</v>
      </c>
      <c r="H762" t="s">
        <v>2039</v>
      </c>
      <c r="I762" t="s">
        <v>560</v>
      </c>
      <c r="J762" t="s">
        <v>1257</v>
      </c>
      <c r="K762" t="s">
        <v>1258</v>
      </c>
      <c r="L762" s="552">
        <v>0</v>
      </c>
      <c r="O762" t="s">
        <v>961</v>
      </c>
    </row>
    <row r="763" spans="1:15" hidden="1">
      <c r="A763" t="s">
        <v>942</v>
      </c>
      <c r="B763" t="s">
        <v>945</v>
      </c>
      <c r="C763" s="553">
        <v>44253</v>
      </c>
      <c r="D763" s="281" t="s">
        <v>4411</v>
      </c>
      <c r="E763" s="281" t="s">
        <v>4239</v>
      </c>
      <c r="F763" s="281">
        <v>4</v>
      </c>
      <c r="G763" s="281">
        <v>5010000000</v>
      </c>
      <c r="H763" t="s">
        <v>2026</v>
      </c>
      <c r="I763" t="s">
        <v>499</v>
      </c>
      <c r="J763" t="s">
        <v>1172</v>
      </c>
      <c r="K763" t="s">
        <v>1260</v>
      </c>
      <c r="L763" s="552">
        <v>0</v>
      </c>
      <c r="O763" t="s">
        <v>970</v>
      </c>
    </row>
    <row r="764" spans="1:15" hidden="1">
      <c r="A764" t="s">
        <v>942</v>
      </c>
      <c r="B764" t="s">
        <v>945</v>
      </c>
      <c r="C764" s="553">
        <v>44253</v>
      </c>
      <c r="D764" s="281" t="s">
        <v>4411</v>
      </c>
      <c r="E764" s="281" t="s">
        <v>4239</v>
      </c>
      <c r="F764" s="281">
        <v>4</v>
      </c>
      <c r="G764" s="281">
        <v>5010000000</v>
      </c>
      <c r="H764" t="s">
        <v>2027</v>
      </c>
      <c r="I764" t="s">
        <v>504</v>
      </c>
      <c r="J764" t="s">
        <v>1172</v>
      </c>
      <c r="K764" t="s">
        <v>1260</v>
      </c>
      <c r="L764" s="552">
        <v>0</v>
      </c>
      <c r="O764" t="s">
        <v>970</v>
      </c>
    </row>
    <row r="765" spans="1:15" hidden="1">
      <c r="A765" t="s">
        <v>942</v>
      </c>
      <c r="B765" t="s">
        <v>945</v>
      </c>
      <c r="C765" s="553">
        <v>44253</v>
      </c>
      <c r="D765" s="281" t="s">
        <v>4411</v>
      </c>
      <c r="E765" s="281" t="s">
        <v>4239</v>
      </c>
      <c r="F765" s="281">
        <v>4</v>
      </c>
      <c r="G765" s="281">
        <v>5010000000</v>
      </c>
      <c r="H765" t="s">
        <v>2028</v>
      </c>
      <c r="I765" t="s">
        <v>528</v>
      </c>
      <c r="J765" t="s">
        <v>1172</v>
      </c>
      <c r="K765" t="s">
        <v>1260</v>
      </c>
      <c r="L765" s="552">
        <v>0</v>
      </c>
      <c r="O765" t="s">
        <v>970</v>
      </c>
    </row>
    <row r="766" spans="1:15" hidden="1">
      <c r="A766" t="s">
        <v>942</v>
      </c>
      <c r="B766" t="s">
        <v>945</v>
      </c>
      <c r="C766" s="553">
        <v>44253</v>
      </c>
      <c r="D766" s="281" t="s">
        <v>4411</v>
      </c>
      <c r="E766" s="281" t="s">
        <v>4239</v>
      </c>
      <c r="F766" s="281">
        <v>4</v>
      </c>
      <c r="G766" s="281">
        <v>5010000000</v>
      </c>
      <c r="H766" t="s">
        <v>2029</v>
      </c>
      <c r="I766" t="s">
        <v>530</v>
      </c>
      <c r="J766" t="s">
        <v>1172</v>
      </c>
      <c r="K766" t="s">
        <v>1260</v>
      </c>
      <c r="L766" s="552">
        <v>0</v>
      </c>
      <c r="O766" t="s">
        <v>970</v>
      </c>
    </row>
    <row r="767" spans="1:15" hidden="1">
      <c r="A767" t="s">
        <v>942</v>
      </c>
      <c r="B767" t="s">
        <v>945</v>
      </c>
      <c r="C767" s="553">
        <v>44253</v>
      </c>
      <c r="D767" s="281" t="s">
        <v>4411</v>
      </c>
      <c r="E767" s="281" t="s">
        <v>4239</v>
      </c>
      <c r="F767" s="281">
        <v>4</v>
      </c>
      <c r="G767" s="281">
        <v>5010000000</v>
      </c>
      <c r="H767" t="s">
        <v>2030</v>
      </c>
      <c r="I767" t="s">
        <v>532</v>
      </c>
      <c r="J767" t="s">
        <v>1172</v>
      </c>
      <c r="K767" t="s">
        <v>1260</v>
      </c>
      <c r="L767" s="552">
        <v>0</v>
      </c>
      <c r="O767" t="s">
        <v>970</v>
      </c>
    </row>
    <row r="768" spans="1:15" hidden="1">
      <c r="A768" t="s">
        <v>942</v>
      </c>
      <c r="B768" t="s">
        <v>945</v>
      </c>
      <c r="C768" s="553">
        <v>44253</v>
      </c>
      <c r="D768" s="281" t="s">
        <v>4411</v>
      </c>
      <c r="E768" s="281" t="s">
        <v>4239</v>
      </c>
      <c r="F768" s="281">
        <v>4</v>
      </c>
      <c r="G768" s="281">
        <v>5010000000</v>
      </c>
      <c r="H768" t="s">
        <v>2031</v>
      </c>
      <c r="I768" t="s">
        <v>534</v>
      </c>
      <c r="J768" t="s">
        <v>1172</v>
      </c>
      <c r="K768" t="s">
        <v>1260</v>
      </c>
      <c r="L768" s="552">
        <v>0</v>
      </c>
      <c r="O768" t="s">
        <v>970</v>
      </c>
    </row>
    <row r="769" spans="1:15" hidden="1">
      <c r="A769" t="s">
        <v>942</v>
      </c>
      <c r="B769" t="s">
        <v>945</v>
      </c>
      <c r="C769" s="553">
        <v>44253</v>
      </c>
      <c r="D769" s="281" t="s">
        <v>4412</v>
      </c>
      <c r="E769" s="281" t="s">
        <v>4240</v>
      </c>
      <c r="F769" s="281">
        <v>4</v>
      </c>
      <c r="G769" s="281">
        <v>5010000000</v>
      </c>
      <c r="H769" t="s">
        <v>2026</v>
      </c>
      <c r="I769" t="s">
        <v>499</v>
      </c>
      <c r="J769" t="s">
        <v>1174</v>
      </c>
      <c r="K769" t="s">
        <v>1260</v>
      </c>
      <c r="L769" s="552">
        <v>0</v>
      </c>
      <c r="O769" t="s">
        <v>970</v>
      </c>
    </row>
    <row r="770" spans="1:15" hidden="1">
      <c r="A770" t="s">
        <v>942</v>
      </c>
      <c r="B770" t="s">
        <v>945</v>
      </c>
      <c r="C770" s="553">
        <v>44253</v>
      </c>
      <c r="D770" s="281" t="s">
        <v>4412</v>
      </c>
      <c r="E770" s="281" t="s">
        <v>4240</v>
      </c>
      <c r="F770" s="281">
        <v>4</v>
      </c>
      <c r="G770" s="281">
        <v>5010000000</v>
      </c>
      <c r="H770" t="s">
        <v>2027</v>
      </c>
      <c r="I770" t="s">
        <v>504</v>
      </c>
      <c r="J770" t="s">
        <v>1174</v>
      </c>
      <c r="K770" t="s">
        <v>1260</v>
      </c>
      <c r="L770" s="552">
        <v>0</v>
      </c>
      <c r="O770" t="s">
        <v>970</v>
      </c>
    </row>
    <row r="771" spans="1:15" hidden="1">
      <c r="A771" t="s">
        <v>942</v>
      </c>
      <c r="B771" t="s">
        <v>945</v>
      </c>
      <c r="C771" s="553">
        <v>44253</v>
      </c>
      <c r="D771" s="281" t="s">
        <v>4412</v>
      </c>
      <c r="E771" s="281" t="s">
        <v>4240</v>
      </c>
      <c r="F771" s="281">
        <v>4</v>
      </c>
      <c r="G771" s="281">
        <v>5010000000</v>
      </c>
      <c r="H771" t="s">
        <v>2028</v>
      </c>
      <c r="I771" t="s">
        <v>528</v>
      </c>
      <c r="J771" t="s">
        <v>1174</v>
      </c>
      <c r="K771" t="s">
        <v>1260</v>
      </c>
      <c r="L771" s="552">
        <v>0</v>
      </c>
      <c r="O771" t="s">
        <v>970</v>
      </c>
    </row>
    <row r="772" spans="1:15" hidden="1">
      <c r="A772" t="s">
        <v>942</v>
      </c>
      <c r="B772" t="s">
        <v>945</v>
      </c>
      <c r="C772" s="553">
        <v>44253</v>
      </c>
      <c r="D772" s="281" t="s">
        <v>4412</v>
      </c>
      <c r="E772" s="281" t="s">
        <v>4240</v>
      </c>
      <c r="F772" s="281">
        <v>4</v>
      </c>
      <c r="G772" s="281">
        <v>5010000000</v>
      </c>
      <c r="H772" t="s">
        <v>2029</v>
      </c>
      <c r="I772" t="s">
        <v>530</v>
      </c>
      <c r="J772" t="s">
        <v>1174</v>
      </c>
      <c r="K772" t="s">
        <v>1260</v>
      </c>
      <c r="L772" s="552">
        <v>0</v>
      </c>
      <c r="O772" t="s">
        <v>970</v>
      </c>
    </row>
    <row r="773" spans="1:15" hidden="1">
      <c r="A773" t="s">
        <v>942</v>
      </c>
      <c r="B773" t="s">
        <v>945</v>
      </c>
      <c r="C773" s="553">
        <v>44253</v>
      </c>
      <c r="D773" s="281" t="s">
        <v>4412</v>
      </c>
      <c r="E773" s="281" t="s">
        <v>4240</v>
      </c>
      <c r="F773" s="281">
        <v>4</v>
      </c>
      <c r="G773" s="281">
        <v>5010000000</v>
      </c>
      <c r="H773" t="s">
        <v>2030</v>
      </c>
      <c r="I773" t="s">
        <v>532</v>
      </c>
      <c r="J773" t="s">
        <v>1174</v>
      </c>
      <c r="K773" t="s">
        <v>1260</v>
      </c>
      <c r="L773" s="552">
        <v>0</v>
      </c>
      <c r="O773" t="s">
        <v>970</v>
      </c>
    </row>
    <row r="774" spans="1:15" hidden="1">
      <c r="A774" t="s">
        <v>942</v>
      </c>
      <c r="B774" t="s">
        <v>945</v>
      </c>
      <c r="C774" s="553">
        <v>44253</v>
      </c>
      <c r="D774" s="281" t="s">
        <v>4412</v>
      </c>
      <c r="E774" s="281" t="s">
        <v>4240</v>
      </c>
      <c r="F774" s="281">
        <v>4</v>
      </c>
      <c r="G774" s="281">
        <v>5010000000</v>
      </c>
      <c r="H774" t="s">
        <v>2031</v>
      </c>
      <c r="I774" t="s">
        <v>534</v>
      </c>
      <c r="J774" t="s">
        <v>1174</v>
      </c>
      <c r="K774" t="s">
        <v>1260</v>
      </c>
      <c r="L774" s="552">
        <v>0</v>
      </c>
      <c r="O774" t="s">
        <v>970</v>
      </c>
    </row>
    <row r="775" spans="1:15">
      <c r="A775" t="s">
        <v>942</v>
      </c>
      <c r="B775" t="s">
        <v>945</v>
      </c>
      <c r="C775" s="553">
        <v>44253</v>
      </c>
      <c r="D775" s="281" t="s">
        <v>4413</v>
      </c>
      <c r="E775" s="281" t="s">
        <v>4241</v>
      </c>
      <c r="F775" s="281">
        <v>14</v>
      </c>
      <c r="G775" s="281">
        <v>5021199000</v>
      </c>
      <c r="H775" t="s">
        <v>1998</v>
      </c>
      <c r="I775" t="s">
        <v>633</v>
      </c>
      <c r="J775" t="s">
        <v>1030</v>
      </c>
      <c r="K775" t="s">
        <v>1263</v>
      </c>
      <c r="L775" s="552">
        <v>0</v>
      </c>
      <c r="O775" t="s">
        <v>1221</v>
      </c>
    </row>
    <row r="776" spans="1:15">
      <c r="A776" t="s">
        <v>942</v>
      </c>
      <c r="B776" t="s">
        <v>946</v>
      </c>
      <c r="C776" s="553">
        <v>44257</v>
      </c>
      <c r="D776" s="281" t="s">
        <v>4414</v>
      </c>
      <c r="E776" s="281" t="s">
        <v>3460</v>
      </c>
      <c r="F776" s="281">
        <v>14</v>
      </c>
      <c r="G776" s="281">
        <v>5021199000</v>
      </c>
      <c r="H776" t="s">
        <v>1998</v>
      </c>
      <c r="I776" t="s">
        <v>633</v>
      </c>
      <c r="J776" t="s">
        <v>1030</v>
      </c>
      <c r="K776" t="s">
        <v>1263</v>
      </c>
      <c r="L776" s="552">
        <v>83842.210000000006</v>
      </c>
      <c r="O776" t="s">
        <v>1221</v>
      </c>
    </row>
    <row r="777" spans="1:15">
      <c r="A777" t="s">
        <v>942</v>
      </c>
      <c r="B777" t="s">
        <v>946</v>
      </c>
      <c r="C777" s="553">
        <v>44257</v>
      </c>
      <c r="D777" s="281" t="s">
        <v>4415</v>
      </c>
      <c r="E777" s="281" t="s">
        <v>3456</v>
      </c>
      <c r="F777" s="281">
        <v>14</v>
      </c>
      <c r="G777" s="281">
        <v>5021199000</v>
      </c>
      <c r="H777" t="s">
        <v>1998</v>
      </c>
      <c r="I777" t="s">
        <v>633</v>
      </c>
      <c r="J777" t="s">
        <v>1030</v>
      </c>
      <c r="K777" t="s">
        <v>1263</v>
      </c>
      <c r="L777" s="552">
        <v>83842.210000000006</v>
      </c>
      <c r="O777" t="s">
        <v>1221</v>
      </c>
    </row>
    <row r="778" spans="1:15" hidden="1">
      <c r="A778" t="s">
        <v>942</v>
      </c>
      <c r="B778" t="s">
        <v>946</v>
      </c>
      <c r="C778" s="553">
        <v>44257</v>
      </c>
      <c r="D778" s="281" t="s">
        <v>4416</v>
      </c>
      <c r="E778" s="281" t="s">
        <v>3454</v>
      </c>
      <c r="F778" s="281">
        <v>4</v>
      </c>
      <c r="G778" s="281">
        <v>5010000000</v>
      </c>
      <c r="H778" t="s">
        <v>2026</v>
      </c>
      <c r="I778" t="s">
        <v>499</v>
      </c>
      <c r="J778" t="s">
        <v>1176</v>
      </c>
      <c r="K778" t="s">
        <v>1260</v>
      </c>
      <c r="L778" s="552">
        <v>23877</v>
      </c>
      <c r="O778" t="s">
        <v>970</v>
      </c>
    </row>
    <row r="779" spans="1:15" hidden="1">
      <c r="A779" t="s">
        <v>942</v>
      </c>
      <c r="B779" t="s">
        <v>946</v>
      </c>
      <c r="C779" s="553">
        <v>44257</v>
      </c>
      <c r="D779" s="281" t="s">
        <v>4416</v>
      </c>
      <c r="E779" s="281" t="s">
        <v>3454</v>
      </c>
      <c r="F779" s="281">
        <v>4</v>
      </c>
      <c r="G779" s="281">
        <v>5010000000</v>
      </c>
      <c r="H779" t="s">
        <v>2027</v>
      </c>
      <c r="I779" t="s">
        <v>504</v>
      </c>
      <c r="J779" t="s">
        <v>1176</v>
      </c>
      <c r="K779" t="s">
        <v>1260</v>
      </c>
      <c r="L779" s="552">
        <v>2000</v>
      </c>
      <c r="O779" t="s">
        <v>970</v>
      </c>
    </row>
    <row r="780" spans="1:15" hidden="1">
      <c r="A780" t="s">
        <v>942</v>
      </c>
      <c r="B780" t="s">
        <v>946</v>
      </c>
      <c r="C780" s="553">
        <v>44257</v>
      </c>
      <c r="D780" s="281" t="s">
        <v>4416</v>
      </c>
      <c r="E780" s="281" t="s">
        <v>3454</v>
      </c>
      <c r="F780" s="281">
        <v>4</v>
      </c>
      <c r="G780" s="281">
        <v>5010301000</v>
      </c>
      <c r="H780" t="s">
        <v>2028</v>
      </c>
      <c r="I780" t="s">
        <v>528</v>
      </c>
      <c r="J780" t="s">
        <v>1176</v>
      </c>
      <c r="K780" t="s">
        <v>1260</v>
      </c>
      <c r="L780" s="552">
        <v>2865.24</v>
      </c>
      <c r="O780" t="s">
        <v>972</v>
      </c>
    </row>
    <row r="781" spans="1:15" hidden="1">
      <c r="A781" t="s">
        <v>942</v>
      </c>
      <c r="B781" t="s">
        <v>946</v>
      </c>
      <c r="C781" s="553">
        <v>44257</v>
      </c>
      <c r="D781" s="281" t="s">
        <v>4416</v>
      </c>
      <c r="E781" s="281" t="s">
        <v>3454</v>
      </c>
      <c r="F781" s="281">
        <v>4</v>
      </c>
      <c r="G781" s="281">
        <v>5010000000</v>
      </c>
      <c r="H781" t="s">
        <v>2029</v>
      </c>
      <c r="I781" t="s">
        <v>530</v>
      </c>
      <c r="J781" t="s">
        <v>1176</v>
      </c>
      <c r="K781" t="s">
        <v>1260</v>
      </c>
      <c r="L781" s="552">
        <v>100</v>
      </c>
      <c r="O781" t="s">
        <v>970</v>
      </c>
    </row>
    <row r="782" spans="1:15" hidden="1">
      <c r="A782" t="s">
        <v>942</v>
      </c>
      <c r="B782" t="s">
        <v>946</v>
      </c>
      <c r="C782" s="553">
        <v>44257</v>
      </c>
      <c r="D782" s="281" t="s">
        <v>4416</v>
      </c>
      <c r="E782" s="281" t="s">
        <v>3454</v>
      </c>
      <c r="F782" s="281">
        <v>4</v>
      </c>
      <c r="G782" s="281">
        <v>5010000000</v>
      </c>
      <c r="H782" t="s">
        <v>2030</v>
      </c>
      <c r="I782" t="s">
        <v>532</v>
      </c>
      <c r="J782" t="s">
        <v>1176</v>
      </c>
      <c r="K782" t="s">
        <v>1260</v>
      </c>
      <c r="L782" s="552">
        <v>358.16</v>
      </c>
      <c r="O782" t="s">
        <v>970</v>
      </c>
    </row>
    <row r="783" spans="1:15" hidden="1">
      <c r="A783" t="s">
        <v>942</v>
      </c>
      <c r="B783" t="s">
        <v>946</v>
      </c>
      <c r="C783" s="553">
        <v>44257</v>
      </c>
      <c r="D783" s="281" t="s">
        <v>4416</v>
      </c>
      <c r="E783" s="281" t="s">
        <v>3454</v>
      </c>
      <c r="F783" s="281">
        <v>4</v>
      </c>
      <c r="G783" s="281">
        <v>5010000000</v>
      </c>
      <c r="H783" t="s">
        <v>2031</v>
      </c>
      <c r="I783" t="s">
        <v>534</v>
      </c>
      <c r="J783" t="s">
        <v>1176</v>
      </c>
      <c r="K783" t="s">
        <v>1260</v>
      </c>
      <c r="L783" s="552">
        <v>100</v>
      </c>
      <c r="O783" t="s">
        <v>970</v>
      </c>
    </row>
    <row r="784" spans="1:15" hidden="1">
      <c r="A784" t="s">
        <v>942</v>
      </c>
      <c r="B784" t="s">
        <v>946</v>
      </c>
      <c r="C784" s="553">
        <v>44257</v>
      </c>
      <c r="D784" s="281" t="s">
        <v>4417</v>
      </c>
      <c r="E784" s="281" t="s">
        <v>3450</v>
      </c>
      <c r="F784" s="281">
        <v>1</v>
      </c>
      <c r="G784" s="281">
        <v>5020000000</v>
      </c>
      <c r="H784" t="s">
        <v>1997</v>
      </c>
      <c r="I784" t="s">
        <v>642</v>
      </c>
      <c r="J784" t="s">
        <v>1272</v>
      </c>
      <c r="K784" t="s">
        <v>1273</v>
      </c>
      <c r="L784" s="552">
        <v>2170</v>
      </c>
      <c r="O784" t="s">
        <v>961</v>
      </c>
    </row>
    <row r="785" spans="1:15" hidden="1">
      <c r="A785" t="s">
        <v>942</v>
      </c>
      <c r="B785" t="s">
        <v>946</v>
      </c>
      <c r="C785" s="553">
        <v>44257</v>
      </c>
      <c r="D785" s="281" t="s">
        <v>4417</v>
      </c>
      <c r="E785" s="281" t="s">
        <v>3450</v>
      </c>
      <c r="F785" s="281">
        <v>1</v>
      </c>
      <c r="G785" s="281">
        <v>5020000000</v>
      </c>
      <c r="H785" t="s">
        <v>2007</v>
      </c>
      <c r="I785" t="s">
        <v>638</v>
      </c>
      <c r="J785" t="s">
        <v>1272</v>
      </c>
      <c r="K785" t="s">
        <v>1273</v>
      </c>
      <c r="L785" s="552">
        <v>7000</v>
      </c>
      <c r="O785" t="s">
        <v>961</v>
      </c>
    </row>
    <row r="786" spans="1:15" hidden="1">
      <c r="A786" t="s">
        <v>942</v>
      </c>
      <c r="B786" t="s">
        <v>946</v>
      </c>
      <c r="C786" s="553">
        <v>44257</v>
      </c>
      <c r="D786" s="281" t="s">
        <v>4418</v>
      </c>
      <c r="E786" s="281" t="s">
        <v>3463</v>
      </c>
      <c r="F786" s="281">
        <v>9</v>
      </c>
      <c r="G786" s="281">
        <v>5020000000</v>
      </c>
      <c r="H786" t="s">
        <v>2037</v>
      </c>
      <c r="I786" t="s">
        <v>555</v>
      </c>
      <c r="J786" t="s">
        <v>1275</v>
      </c>
      <c r="K786" t="s">
        <v>1276</v>
      </c>
      <c r="L786" s="552">
        <v>1200</v>
      </c>
      <c r="O786" t="s">
        <v>982</v>
      </c>
    </row>
    <row r="787" spans="1:15" hidden="1">
      <c r="A787" t="s">
        <v>942</v>
      </c>
      <c r="B787" t="s">
        <v>946</v>
      </c>
      <c r="C787" s="553">
        <v>44257</v>
      </c>
      <c r="D787" s="281" t="s">
        <v>4419</v>
      </c>
      <c r="E787" s="281" t="s">
        <v>3467</v>
      </c>
      <c r="F787" s="281">
        <v>1</v>
      </c>
      <c r="G787" s="281">
        <v>5020000000</v>
      </c>
      <c r="H787" t="s">
        <v>2032</v>
      </c>
      <c r="I787" t="s">
        <v>565</v>
      </c>
      <c r="J787" t="s">
        <v>1036</v>
      </c>
      <c r="K787" t="s">
        <v>1207</v>
      </c>
      <c r="L787" s="552">
        <v>2404.7800000000002</v>
      </c>
      <c r="O787" t="s">
        <v>961</v>
      </c>
    </row>
    <row r="788" spans="1:15" hidden="1">
      <c r="A788" t="s">
        <v>942</v>
      </c>
      <c r="B788" t="s">
        <v>946</v>
      </c>
      <c r="C788" s="553">
        <v>44257</v>
      </c>
      <c r="D788" s="281" t="s">
        <v>4420</v>
      </c>
      <c r="E788" s="281" t="s">
        <v>3847</v>
      </c>
      <c r="F788" s="281">
        <v>1</v>
      </c>
      <c r="G788" s="281">
        <v>5020000000</v>
      </c>
      <c r="H788" t="s">
        <v>2039</v>
      </c>
      <c r="I788" t="s">
        <v>560</v>
      </c>
      <c r="J788" t="s">
        <v>1257</v>
      </c>
      <c r="K788" t="s">
        <v>1258</v>
      </c>
      <c r="L788" s="552">
        <v>2800</v>
      </c>
      <c r="O788" t="s">
        <v>961</v>
      </c>
    </row>
    <row r="789" spans="1:15" hidden="1">
      <c r="A789" t="s">
        <v>942</v>
      </c>
      <c r="B789" t="s">
        <v>946</v>
      </c>
      <c r="C789" s="553">
        <v>44257</v>
      </c>
      <c r="D789" s="281" t="s">
        <v>4421</v>
      </c>
      <c r="E789" s="281" t="s">
        <v>3445</v>
      </c>
      <c r="F789" s="281">
        <v>4</v>
      </c>
      <c r="G789" s="281">
        <v>5010000000</v>
      </c>
      <c r="H789" t="s">
        <v>2026</v>
      </c>
      <c r="I789" t="s">
        <v>499</v>
      </c>
      <c r="J789" t="s">
        <v>1172</v>
      </c>
      <c r="K789" t="s">
        <v>1260</v>
      </c>
      <c r="L789" s="552">
        <v>23877</v>
      </c>
      <c r="O789" t="s">
        <v>970</v>
      </c>
    </row>
    <row r="790" spans="1:15" hidden="1">
      <c r="A790" t="s">
        <v>942</v>
      </c>
      <c r="B790" t="s">
        <v>946</v>
      </c>
      <c r="C790" s="553">
        <v>44257</v>
      </c>
      <c r="D790" s="281" t="s">
        <v>4421</v>
      </c>
      <c r="E790" s="281" t="s">
        <v>3445</v>
      </c>
      <c r="F790" s="281">
        <v>4</v>
      </c>
      <c r="G790" s="281">
        <v>5010000000</v>
      </c>
      <c r="H790" t="s">
        <v>2027</v>
      </c>
      <c r="I790" t="s">
        <v>504</v>
      </c>
      <c r="J790" t="s">
        <v>1172</v>
      </c>
      <c r="K790" t="s">
        <v>1260</v>
      </c>
      <c r="L790" s="552">
        <v>2000</v>
      </c>
      <c r="O790" t="s">
        <v>970</v>
      </c>
    </row>
    <row r="791" spans="1:15" hidden="1">
      <c r="A791" t="s">
        <v>942</v>
      </c>
      <c r="B791" t="s">
        <v>946</v>
      </c>
      <c r="C791" s="553">
        <v>44257</v>
      </c>
      <c r="D791" s="281" t="s">
        <v>4421</v>
      </c>
      <c r="E791" s="281" t="s">
        <v>3445</v>
      </c>
      <c r="F791" s="281">
        <v>4</v>
      </c>
      <c r="G791" s="281">
        <v>5010301000</v>
      </c>
      <c r="H791" t="s">
        <v>2028</v>
      </c>
      <c r="I791" t="s">
        <v>528</v>
      </c>
      <c r="J791" t="s">
        <v>1172</v>
      </c>
      <c r="K791" t="s">
        <v>1260</v>
      </c>
      <c r="L791" s="552">
        <v>2865.24</v>
      </c>
      <c r="O791" t="s">
        <v>972</v>
      </c>
    </row>
    <row r="792" spans="1:15" hidden="1">
      <c r="A792" t="s">
        <v>942</v>
      </c>
      <c r="B792" t="s">
        <v>946</v>
      </c>
      <c r="C792" s="553">
        <v>44257</v>
      </c>
      <c r="D792" s="281" t="s">
        <v>4421</v>
      </c>
      <c r="E792" s="281" t="s">
        <v>3445</v>
      </c>
      <c r="F792" s="281">
        <v>4</v>
      </c>
      <c r="G792" s="281">
        <v>5010000000</v>
      </c>
      <c r="H792" t="s">
        <v>2029</v>
      </c>
      <c r="I792" t="s">
        <v>530</v>
      </c>
      <c r="J792" t="s">
        <v>1172</v>
      </c>
      <c r="K792" t="s">
        <v>1260</v>
      </c>
      <c r="L792" s="552">
        <v>100</v>
      </c>
      <c r="O792" t="s">
        <v>970</v>
      </c>
    </row>
    <row r="793" spans="1:15" hidden="1">
      <c r="A793" t="s">
        <v>942</v>
      </c>
      <c r="B793" t="s">
        <v>946</v>
      </c>
      <c r="C793" s="553">
        <v>44257</v>
      </c>
      <c r="D793" s="281" t="s">
        <v>4421</v>
      </c>
      <c r="E793" s="281" t="s">
        <v>3445</v>
      </c>
      <c r="F793" s="281">
        <v>4</v>
      </c>
      <c r="G793" s="281">
        <v>5010000000</v>
      </c>
      <c r="H793" t="s">
        <v>2030</v>
      </c>
      <c r="I793" t="s">
        <v>532</v>
      </c>
      <c r="J793" t="s">
        <v>1172</v>
      </c>
      <c r="K793" t="s">
        <v>1260</v>
      </c>
      <c r="L793" s="552">
        <v>358.16</v>
      </c>
      <c r="O793" t="s">
        <v>970</v>
      </c>
    </row>
    <row r="794" spans="1:15" hidden="1">
      <c r="A794" t="s">
        <v>942</v>
      </c>
      <c r="B794" t="s">
        <v>946</v>
      </c>
      <c r="C794" s="553">
        <v>44257</v>
      </c>
      <c r="D794" s="281" t="s">
        <v>4421</v>
      </c>
      <c r="E794" s="281" t="s">
        <v>3445</v>
      </c>
      <c r="F794" s="281">
        <v>4</v>
      </c>
      <c r="G794" s="281">
        <v>5010000000</v>
      </c>
      <c r="H794" t="s">
        <v>2031</v>
      </c>
      <c r="I794" t="s">
        <v>534</v>
      </c>
      <c r="J794" t="s">
        <v>1172</v>
      </c>
      <c r="K794" t="s">
        <v>1260</v>
      </c>
      <c r="L794" s="552">
        <v>100</v>
      </c>
      <c r="O794" t="s">
        <v>970</v>
      </c>
    </row>
    <row r="795" spans="1:15" hidden="1">
      <c r="A795" t="s">
        <v>942</v>
      </c>
      <c r="B795" t="s">
        <v>946</v>
      </c>
      <c r="C795" s="553">
        <v>44257</v>
      </c>
      <c r="D795" s="281" t="s">
        <v>4422</v>
      </c>
      <c r="E795" s="281" t="s">
        <v>3448</v>
      </c>
      <c r="F795" s="281">
        <v>4</v>
      </c>
      <c r="G795" s="281">
        <v>5010000000</v>
      </c>
      <c r="H795" t="s">
        <v>2026</v>
      </c>
      <c r="I795" t="s">
        <v>499</v>
      </c>
      <c r="J795" t="s">
        <v>1174</v>
      </c>
      <c r="K795" t="s">
        <v>1260</v>
      </c>
      <c r="L795" s="552">
        <v>23877</v>
      </c>
      <c r="O795" t="s">
        <v>970</v>
      </c>
    </row>
    <row r="796" spans="1:15" hidden="1">
      <c r="A796" t="s">
        <v>942</v>
      </c>
      <c r="B796" t="s">
        <v>946</v>
      </c>
      <c r="C796" s="553">
        <v>44257</v>
      </c>
      <c r="D796" s="281" t="s">
        <v>4422</v>
      </c>
      <c r="E796" s="281" t="s">
        <v>3448</v>
      </c>
      <c r="F796" s="281">
        <v>4</v>
      </c>
      <c r="G796" s="281">
        <v>5010000000</v>
      </c>
      <c r="H796" t="s">
        <v>2027</v>
      </c>
      <c r="I796" t="s">
        <v>504</v>
      </c>
      <c r="J796" t="s">
        <v>1174</v>
      </c>
      <c r="K796" t="s">
        <v>1260</v>
      </c>
      <c r="L796" s="552">
        <v>2000</v>
      </c>
      <c r="O796" t="s">
        <v>970</v>
      </c>
    </row>
    <row r="797" spans="1:15" hidden="1">
      <c r="A797" t="s">
        <v>942</v>
      </c>
      <c r="B797" t="s">
        <v>946</v>
      </c>
      <c r="C797" s="553">
        <v>44257</v>
      </c>
      <c r="D797" s="281" t="s">
        <v>4422</v>
      </c>
      <c r="E797" s="281" t="s">
        <v>3448</v>
      </c>
      <c r="F797" s="281">
        <v>4</v>
      </c>
      <c r="G797" s="281">
        <v>5010301000</v>
      </c>
      <c r="H797" t="s">
        <v>2028</v>
      </c>
      <c r="I797" t="s">
        <v>528</v>
      </c>
      <c r="J797" t="s">
        <v>1174</v>
      </c>
      <c r="K797" t="s">
        <v>1260</v>
      </c>
      <c r="L797" s="552">
        <v>2865.24</v>
      </c>
      <c r="O797" t="s">
        <v>972</v>
      </c>
    </row>
    <row r="798" spans="1:15" hidden="1">
      <c r="A798" t="s">
        <v>942</v>
      </c>
      <c r="B798" t="s">
        <v>946</v>
      </c>
      <c r="C798" s="553">
        <v>44257</v>
      </c>
      <c r="D798" s="281" t="s">
        <v>4422</v>
      </c>
      <c r="E798" s="281" t="s">
        <v>3448</v>
      </c>
      <c r="F798" s="281">
        <v>4</v>
      </c>
      <c r="G798" s="281">
        <v>5010000000</v>
      </c>
      <c r="H798" t="s">
        <v>2029</v>
      </c>
      <c r="I798" t="s">
        <v>530</v>
      </c>
      <c r="J798" t="s">
        <v>1174</v>
      </c>
      <c r="K798" t="s">
        <v>1260</v>
      </c>
      <c r="L798" s="552">
        <v>100</v>
      </c>
      <c r="O798" t="s">
        <v>970</v>
      </c>
    </row>
    <row r="799" spans="1:15" hidden="1">
      <c r="A799" t="s">
        <v>942</v>
      </c>
      <c r="B799" t="s">
        <v>946</v>
      </c>
      <c r="C799" s="553">
        <v>44257</v>
      </c>
      <c r="D799" s="281" t="s">
        <v>4422</v>
      </c>
      <c r="E799" s="281" t="s">
        <v>3448</v>
      </c>
      <c r="F799" s="281">
        <v>4</v>
      </c>
      <c r="G799" s="281">
        <v>5010000000</v>
      </c>
      <c r="H799" t="s">
        <v>2030</v>
      </c>
      <c r="I799" t="s">
        <v>532</v>
      </c>
      <c r="J799" t="s">
        <v>1174</v>
      </c>
      <c r="K799" t="s">
        <v>1260</v>
      </c>
      <c r="L799" s="552">
        <v>358.16</v>
      </c>
      <c r="O799" t="s">
        <v>970</v>
      </c>
    </row>
    <row r="800" spans="1:15" hidden="1">
      <c r="A800" t="s">
        <v>942</v>
      </c>
      <c r="B800" t="s">
        <v>946</v>
      </c>
      <c r="C800" s="553">
        <v>44257</v>
      </c>
      <c r="D800" s="281" t="s">
        <v>4422</v>
      </c>
      <c r="E800" s="281" t="s">
        <v>3448</v>
      </c>
      <c r="F800" s="281">
        <v>4</v>
      </c>
      <c r="G800" s="281">
        <v>5010000000</v>
      </c>
      <c r="H800" t="s">
        <v>2031</v>
      </c>
      <c r="I800" t="s">
        <v>534</v>
      </c>
      <c r="J800" t="s">
        <v>1174</v>
      </c>
      <c r="K800" t="s">
        <v>1260</v>
      </c>
      <c r="L800" s="552">
        <v>100</v>
      </c>
      <c r="O800" t="s">
        <v>970</v>
      </c>
    </row>
    <row r="801" spans="1:15" hidden="1">
      <c r="A801" t="s">
        <v>942</v>
      </c>
      <c r="B801" t="s">
        <v>946</v>
      </c>
      <c r="C801" s="553">
        <v>44257</v>
      </c>
      <c r="D801" s="281" t="s">
        <v>4423</v>
      </c>
      <c r="E801" s="281" t="s">
        <v>3470</v>
      </c>
      <c r="F801" s="281">
        <v>3</v>
      </c>
      <c r="G801" s="281">
        <v>5020000000</v>
      </c>
      <c r="H801" t="s">
        <v>2005</v>
      </c>
      <c r="I801" t="s">
        <v>678</v>
      </c>
      <c r="J801" t="s">
        <v>1230</v>
      </c>
      <c r="K801" t="s">
        <v>1231</v>
      </c>
      <c r="L801" s="552">
        <v>11000</v>
      </c>
      <c r="O801" t="s">
        <v>968</v>
      </c>
    </row>
    <row r="802" spans="1:15" hidden="1">
      <c r="A802" t="s">
        <v>942</v>
      </c>
      <c r="B802" t="s">
        <v>946</v>
      </c>
      <c r="C802" s="553">
        <v>44257</v>
      </c>
      <c r="D802" s="281" t="s">
        <v>4424</v>
      </c>
      <c r="E802" s="281" t="s">
        <v>3472</v>
      </c>
      <c r="F802" s="281">
        <v>1</v>
      </c>
      <c r="G802" s="281">
        <v>5020000000</v>
      </c>
      <c r="H802" t="s">
        <v>2002</v>
      </c>
      <c r="I802" t="s">
        <v>603</v>
      </c>
      <c r="J802" t="s">
        <v>1102</v>
      </c>
      <c r="K802" t="s">
        <v>1283</v>
      </c>
      <c r="L802" s="552">
        <v>2500</v>
      </c>
      <c r="O802" t="s">
        <v>961</v>
      </c>
    </row>
    <row r="803" spans="1:15" hidden="1">
      <c r="A803" t="s">
        <v>942</v>
      </c>
      <c r="B803" t="s">
        <v>946</v>
      </c>
      <c r="C803" s="553">
        <v>44257</v>
      </c>
      <c r="D803" s="281" t="s">
        <v>4425</v>
      </c>
      <c r="E803" s="281" t="s">
        <v>3474</v>
      </c>
      <c r="F803" s="281">
        <v>1</v>
      </c>
      <c r="G803" s="281">
        <v>5020000000</v>
      </c>
      <c r="H803" t="s">
        <v>2032</v>
      </c>
      <c r="I803" t="s">
        <v>565</v>
      </c>
      <c r="J803" t="s">
        <v>773</v>
      </c>
      <c r="K803" t="s">
        <v>1285</v>
      </c>
      <c r="L803" s="552">
        <v>1338.5</v>
      </c>
      <c r="O803" t="s">
        <v>961</v>
      </c>
    </row>
    <row r="804" spans="1:15" hidden="1">
      <c r="A804" t="s">
        <v>942</v>
      </c>
      <c r="B804" t="s">
        <v>946</v>
      </c>
      <c r="C804" s="553">
        <v>44257</v>
      </c>
      <c r="D804" s="281" t="s">
        <v>4425</v>
      </c>
      <c r="E804" s="281" t="s">
        <v>3474</v>
      </c>
      <c r="F804" s="281">
        <v>1</v>
      </c>
      <c r="G804" s="281">
        <v>5020000000</v>
      </c>
      <c r="H804" t="s">
        <v>1997</v>
      </c>
      <c r="I804" t="s">
        <v>642</v>
      </c>
      <c r="J804" t="s">
        <v>773</v>
      </c>
      <c r="K804" t="s">
        <v>1285</v>
      </c>
      <c r="L804" s="552">
        <v>1865</v>
      </c>
      <c r="O804" t="s">
        <v>961</v>
      </c>
    </row>
    <row r="805" spans="1:15" hidden="1">
      <c r="A805" t="s">
        <v>942</v>
      </c>
      <c r="B805" t="s">
        <v>946</v>
      </c>
      <c r="C805" s="553">
        <v>44257</v>
      </c>
      <c r="D805" s="281" t="s">
        <v>4425</v>
      </c>
      <c r="E805" s="281" t="s">
        <v>3474</v>
      </c>
      <c r="F805" s="281">
        <v>1</v>
      </c>
      <c r="G805" s="281">
        <v>5020000000</v>
      </c>
      <c r="H805" t="s">
        <v>1998</v>
      </c>
      <c r="I805" t="s">
        <v>633</v>
      </c>
      <c r="J805" t="s">
        <v>773</v>
      </c>
      <c r="K805" t="s">
        <v>1285</v>
      </c>
      <c r="L805" s="552">
        <v>900</v>
      </c>
      <c r="O805" t="s">
        <v>961</v>
      </c>
    </row>
    <row r="806" spans="1:15" hidden="1">
      <c r="A806" t="s">
        <v>942</v>
      </c>
      <c r="B806" t="s">
        <v>946</v>
      </c>
      <c r="C806" s="553">
        <v>44257</v>
      </c>
      <c r="D806" s="281" t="s">
        <v>4425</v>
      </c>
      <c r="E806" s="281" t="s">
        <v>3474</v>
      </c>
      <c r="F806" s="281">
        <v>1</v>
      </c>
      <c r="G806" s="281">
        <v>5020000000</v>
      </c>
      <c r="H806" t="s">
        <v>1999</v>
      </c>
      <c r="I806" t="s">
        <v>672</v>
      </c>
      <c r="J806" t="s">
        <v>773</v>
      </c>
      <c r="K806" t="s">
        <v>1285</v>
      </c>
      <c r="L806" s="552">
        <v>120</v>
      </c>
      <c r="O806" t="s">
        <v>961</v>
      </c>
    </row>
    <row r="807" spans="1:15" hidden="1">
      <c r="A807" t="s">
        <v>942</v>
      </c>
      <c r="B807" t="s">
        <v>946</v>
      </c>
      <c r="C807" s="553">
        <v>44257</v>
      </c>
      <c r="D807" s="281" t="s">
        <v>4426</v>
      </c>
      <c r="E807" s="281" t="s">
        <v>3492</v>
      </c>
      <c r="F807" s="281">
        <v>10</v>
      </c>
      <c r="G807" s="281">
        <v>5020000000</v>
      </c>
      <c r="H807" t="s">
        <v>1998</v>
      </c>
      <c r="I807" t="s">
        <v>633</v>
      </c>
      <c r="J807" t="s">
        <v>1235</v>
      </c>
      <c r="K807" t="s">
        <v>1288</v>
      </c>
      <c r="L807" s="552">
        <v>10000</v>
      </c>
      <c r="O807" t="s">
        <v>983</v>
      </c>
    </row>
    <row r="808" spans="1:15" hidden="1">
      <c r="A808" t="s">
        <v>942</v>
      </c>
      <c r="B808" t="s">
        <v>946</v>
      </c>
      <c r="C808" s="553">
        <v>44257</v>
      </c>
      <c r="D808" s="281" t="s">
        <v>4427</v>
      </c>
      <c r="E808" s="281" t="s">
        <v>3495</v>
      </c>
      <c r="F808" s="281">
        <v>10</v>
      </c>
      <c r="G808" s="281">
        <v>5020000000</v>
      </c>
      <c r="H808" t="s">
        <v>1998</v>
      </c>
      <c r="I808" t="s">
        <v>633</v>
      </c>
      <c r="J808" t="s">
        <v>1075</v>
      </c>
      <c r="K808" t="s">
        <v>1288</v>
      </c>
      <c r="L808" s="552">
        <v>5534</v>
      </c>
      <c r="O808" t="s">
        <v>983</v>
      </c>
    </row>
    <row r="809" spans="1:15" hidden="1">
      <c r="A809" t="s">
        <v>942</v>
      </c>
      <c r="B809" t="s">
        <v>946</v>
      </c>
      <c r="C809" s="553">
        <v>44257</v>
      </c>
      <c r="D809" s="281" t="s">
        <v>4427</v>
      </c>
      <c r="E809" s="281" t="s">
        <v>3495</v>
      </c>
      <c r="F809" s="281">
        <v>1</v>
      </c>
      <c r="G809" s="281">
        <v>5020000000</v>
      </c>
      <c r="H809" t="s">
        <v>1997</v>
      </c>
      <c r="I809" t="s">
        <v>642</v>
      </c>
      <c r="J809" t="s">
        <v>1075</v>
      </c>
      <c r="K809" t="s">
        <v>1288</v>
      </c>
      <c r="L809" s="552">
        <v>16692</v>
      </c>
      <c r="O809" t="s">
        <v>961</v>
      </c>
    </row>
    <row r="810" spans="1:15" hidden="1">
      <c r="A810" t="s">
        <v>942</v>
      </c>
      <c r="B810" t="s">
        <v>946</v>
      </c>
      <c r="C810" s="553">
        <v>44257</v>
      </c>
      <c r="D810" s="281" t="s">
        <v>4427</v>
      </c>
      <c r="E810" s="281" t="s">
        <v>3495</v>
      </c>
      <c r="F810" s="281">
        <v>1</v>
      </c>
      <c r="G810" s="281">
        <v>5020000000</v>
      </c>
      <c r="H810" t="s">
        <v>2004</v>
      </c>
      <c r="I810" t="s">
        <v>629</v>
      </c>
      <c r="J810" t="s">
        <v>1075</v>
      </c>
      <c r="K810" t="s">
        <v>1288</v>
      </c>
      <c r="L810" s="552">
        <v>5534</v>
      </c>
      <c r="O810" t="s">
        <v>961</v>
      </c>
    </row>
    <row r="811" spans="1:15" hidden="1">
      <c r="A811" t="s">
        <v>942</v>
      </c>
      <c r="B811" t="s">
        <v>946</v>
      </c>
      <c r="C811" s="553">
        <v>44257</v>
      </c>
      <c r="D811" s="281" t="s">
        <v>4428</v>
      </c>
      <c r="E811" s="281" t="s">
        <v>3498</v>
      </c>
      <c r="F811" s="281">
        <v>14</v>
      </c>
      <c r="G811" s="281">
        <v>5021199000</v>
      </c>
      <c r="H811" t="s">
        <v>1998</v>
      </c>
      <c r="I811" t="s">
        <v>633</v>
      </c>
      <c r="J811" t="s">
        <v>1290</v>
      </c>
      <c r="K811" t="s">
        <v>1291</v>
      </c>
      <c r="L811" s="552">
        <v>16332.5</v>
      </c>
      <c r="O811" t="s">
        <v>1221</v>
      </c>
    </row>
    <row r="812" spans="1:15" hidden="1">
      <c r="A812" t="s">
        <v>942</v>
      </c>
      <c r="B812" t="s">
        <v>946</v>
      </c>
      <c r="C812" s="553">
        <v>44257</v>
      </c>
      <c r="D812" s="281" t="s">
        <v>4429</v>
      </c>
      <c r="E812" s="281" t="s">
        <v>3502</v>
      </c>
      <c r="F812" s="281">
        <v>9</v>
      </c>
      <c r="G812" s="281">
        <v>5020000000</v>
      </c>
      <c r="H812" t="s">
        <v>1998</v>
      </c>
      <c r="I812" t="s">
        <v>633</v>
      </c>
      <c r="J812" t="s">
        <v>1075</v>
      </c>
      <c r="K812" t="s">
        <v>1288</v>
      </c>
      <c r="L812" s="552">
        <v>11158</v>
      </c>
      <c r="O812" t="s">
        <v>982</v>
      </c>
    </row>
    <row r="813" spans="1:15" hidden="1">
      <c r="A813" t="s">
        <v>942</v>
      </c>
      <c r="B813" t="s">
        <v>946</v>
      </c>
      <c r="C813" s="553">
        <v>44257</v>
      </c>
      <c r="D813" s="281" t="s">
        <v>4429</v>
      </c>
      <c r="E813" s="281" t="s">
        <v>3502</v>
      </c>
      <c r="F813" s="281">
        <v>11</v>
      </c>
      <c r="G813" s="281">
        <v>5020000000</v>
      </c>
      <c r="H813" t="s">
        <v>1998</v>
      </c>
      <c r="I813" t="s">
        <v>633</v>
      </c>
      <c r="J813" t="s">
        <v>1075</v>
      </c>
      <c r="K813" t="s">
        <v>1288</v>
      </c>
      <c r="L813" s="552">
        <v>11158</v>
      </c>
      <c r="O813" t="s">
        <v>985</v>
      </c>
    </row>
    <row r="814" spans="1:15" hidden="1">
      <c r="A814" t="s">
        <v>942</v>
      </c>
      <c r="B814" t="s">
        <v>946</v>
      </c>
      <c r="C814" s="553">
        <v>44257</v>
      </c>
      <c r="D814" s="281" t="s">
        <v>4430</v>
      </c>
      <c r="E814" s="281" t="s">
        <v>3504</v>
      </c>
      <c r="F814" s="281">
        <v>1</v>
      </c>
      <c r="G814" s="281">
        <v>5020000000</v>
      </c>
      <c r="H814" t="s">
        <v>1997</v>
      </c>
      <c r="I814" t="s">
        <v>642</v>
      </c>
      <c r="J814" t="s">
        <v>1075</v>
      </c>
      <c r="K814" t="s">
        <v>1288</v>
      </c>
      <c r="L814" s="552">
        <v>13034</v>
      </c>
      <c r="O814" t="s">
        <v>961</v>
      </c>
    </row>
    <row r="815" spans="1:15">
      <c r="A815" t="s">
        <v>942</v>
      </c>
      <c r="B815" t="s">
        <v>946</v>
      </c>
      <c r="C815" s="553">
        <v>44257</v>
      </c>
      <c r="D815" s="281" t="s">
        <v>4431</v>
      </c>
      <c r="E815" s="281" t="s">
        <v>3506</v>
      </c>
      <c r="F815" s="281">
        <v>1</v>
      </c>
      <c r="G815" s="281">
        <v>5010000000</v>
      </c>
      <c r="H815" t="s">
        <v>2024</v>
      </c>
      <c r="I815" t="s">
        <v>505</v>
      </c>
      <c r="J815" t="s">
        <v>1030</v>
      </c>
      <c r="K815" t="s">
        <v>1295</v>
      </c>
      <c r="L815" s="552">
        <v>45000</v>
      </c>
      <c r="O815" t="s">
        <v>960</v>
      </c>
    </row>
    <row r="816" spans="1:15">
      <c r="A816" t="s">
        <v>942</v>
      </c>
      <c r="B816" t="s">
        <v>946</v>
      </c>
      <c r="C816" s="553">
        <v>44257</v>
      </c>
      <c r="D816" s="281" t="s">
        <v>4431</v>
      </c>
      <c r="E816" s="281" t="s">
        <v>3506</v>
      </c>
      <c r="F816" s="281">
        <v>1</v>
      </c>
      <c r="G816" s="281">
        <v>5010000000</v>
      </c>
      <c r="H816" t="s">
        <v>2025</v>
      </c>
      <c r="I816" t="s">
        <v>506</v>
      </c>
      <c r="J816" t="s">
        <v>1030</v>
      </c>
      <c r="K816" t="s">
        <v>1295</v>
      </c>
      <c r="L816" s="552">
        <v>45000</v>
      </c>
      <c r="O816" t="s">
        <v>960</v>
      </c>
    </row>
    <row r="817" spans="1:15">
      <c r="A817" t="s">
        <v>942</v>
      </c>
      <c r="B817" t="s">
        <v>946</v>
      </c>
      <c r="C817" s="553">
        <v>44257</v>
      </c>
      <c r="D817" s="281" t="s">
        <v>4431</v>
      </c>
      <c r="E817" s="281" t="s">
        <v>3506</v>
      </c>
      <c r="F817" s="281">
        <v>4</v>
      </c>
      <c r="G817" s="281">
        <v>5010000000</v>
      </c>
      <c r="H817" t="s">
        <v>2024</v>
      </c>
      <c r="I817" t="s">
        <v>505</v>
      </c>
      <c r="J817" t="s">
        <v>1030</v>
      </c>
      <c r="K817" t="s">
        <v>1295</v>
      </c>
      <c r="L817" s="552">
        <v>15000</v>
      </c>
      <c r="O817" t="s">
        <v>970</v>
      </c>
    </row>
    <row r="818" spans="1:15">
      <c r="A818" t="s">
        <v>942</v>
      </c>
      <c r="B818" t="s">
        <v>946</v>
      </c>
      <c r="C818" s="553">
        <v>44257</v>
      </c>
      <c r="D818" s="281" t="s">
        <v>4431</v>
      </c>
      <c r="E818" s="281" t="s">
        <v>3506</v>
      </c>
      <c r="F818" s="281">
        <v>4</v>
      </c>
      <c r="G818" s="281">
        <v>5010000000</v>
      </c>
      <c r="H818" t="s">
        <v>2025</v>
      </c>
      <c r="I818" t="s">
        <v>506</v>
      </c>
      <c r="J818" t="s">
        <v>1030</v>
      </c>
      <c r="K818" t="s">
        <v>1295</v>
      </c>
      <c r="L818" s="552">
        <v>15000</v>
      </c>
      <c r="O818" t="s">
        <v>970</v>
      </c>
    </row>
    <row r="819" spans="1:15">
      <c r="A819" t="s">
        <v>942</v>
      </c>
      <c r="B819" t="s">
        <v>946</v>
      </c>
      <c r="C819" s="553">
        <v>44257</v>
      </c>
      <c r="D819" s="281" t="s">
        <v>4431</v>
      </c>
      <c r="E819" s="281" t="s">
        <v>3506</v>
      </c>
      <c r="F819" s="281">
        <v>5</v>
      </c>
      <c r="G819" s="281">
        <v>5010000000</v>
      </c>
      <c r="H819" t="s">
        <v>2024</v>
      </c>
      <c r="I819" t="s">
        <v>505</v>
      </c>
      <c r="J819" t="s">
        <v>1030</v>
      </c>
      <c r="K819" t="s">
        <v>1295</v>
      </c>
      <c r="L819" s="552">
        <v>5000</v>
      </c>
      <c r="O819" t="s">
        <v>973</v>
      </c>
    </row>
    <row r="820" spans="1:15">
      <c r="A820" t="s">
        <v>942</v>
      </c>
      <c r="B820" t="s">
        <v>946</v>
      </c>
      <c r="C820" s="553">
        <v>44257</v>
      </c>
      <c r="D820" s="281" t="s">
        <v>4431</v>
      </c>
      <c r="E820" s="281" t="s">
        <v>3506</v>
      </c>
      <c r="F820" s="281">
        <v>5</v>
      </c>
      <c r="G820" s="281">
        <v>5010000000</v>
      </c>
      <c r="H820" t="s">
        <v>2025</v>
      </c>
      <c r="I820" t="s">
        <v>506</v>
      </c>
      <c r="J820" t="s">
        <v>1030</v>
      </c>
      <c r="K820" t="s">
        <v>1295</v>
      </c>
      <c r="L820" s="552">
        <v>5000</v>
      </c>
      <c r="O820" t="s">
        <v>973</v>
      </c>
    </row>
    <row r="821" spans="1:15">
      <c r="A821" t="s">
        <v>942</v>
      </c>
      <c r="B821" t="s">
        <v>946</v>
      </c>
      <c r="C821" s="553">
        <v>44257</v>
      </c>
      <c r="D821" s="281" t="s">
        <v>4431</v>
      </c>
      <c r="E821" s="281" t="s">
        <v>3506</v>
      </c>
      <c r="F821" s="281">
        <v>3</v>
      </c>
      <c r="G821" s="281">
        <v>5010000000</v>
      </c>
      <c r="H821" t="s">
        <v>2024</v>
      </c>
      <c r="I821" t="s">
        <v>505</v>
      </c>
      <c r="J821" t="s">
        <v>1030</v>
      </c>
      <c r="K821" t="s">
        <v>1295</v>
      </c>
      <c r="L821" s="552">
        <v>10000</v>
      </c>
      <c r="O821" t="s">
        <v>967</v>
      </c>
    </row>
    <row r="822" spans="1:15">
      <c r="A822" t="s">
        <v>942</v>
      </c>
      <c r="B822" t="s">
        <v>946</v>
      </c>
      <c r="C822" s="553">
        <v>44257</v>
      </c>
      <c r="D822" s="281" t="s">
        <v>4431</v>
      </c>
      <c r="E822" s="281" t="s">
        <v>3506</v>
      </c>
      <c r="F822" s="281">
        <v>3</v>
      </c>
      <c r="G822" s="281">
        <v>5010000000</v>
      </c>
      <c r="H822" t="s">
        <v>2025</v>
      </c>
      <c r="I822" t="s">
        <v>506</v>
      </c>
      <c r="J822" t="s">
        <v>1030</v>
      </c>
      <c r="K822" t="s">
        <v>1295</v>
      </c>
      <c r="L822" s="552">
        <v>10000</v>
      </c>
      <c r="O822" t="s">
        <v>967</v>
      </c>
    </row>
    <row r="823" spans="1:15" hidden="1">
      <c r="A823" t="s">
        <v>942</v>
      </c>
      <c r="B823" t="s">
        <v>946</v>
      </c>
      <c r="C823" s="553">
        <v>44257</v>
      </c>
      <c r="D823" s="281" t="s">
        <v>4432</v>
      </c>
      <c r="E823" s="281" t="s">
        <v>3486</v>
      </c>
      <c r="F823" s="281">
        <v>1</v>
      </c>
      <c r="G823" s="281">
        <v>5020000000</v>
      </c>
      <c r="H823" t="s">
        <v>1998</v>
      </c>
      <c r="I823" t="s">
        <v>633</v>
      </c>
      <c r="J823" t="s">
        <v>1297</v>
      </c>
      <c r="K823" t="s">
        <v>1298</v>
      </c>
      <c r="L823" s="552">
        <v>64106</v>
      </c>
      <c r="O823" t="s">
        <v>961</v>
      </c>
    </row>
    <row r="824" spans="1:15" hidden="1">
      <c r="A824" t="s">
        <v>942</v>
      </c>
      <c r="B824" t="s">
        <v>946</v>
      </c>
      <c r="C824" s="553">
        <v>44257</v>
      </c>
      <c r="D824" s="281" t="s">
        <v>4433</v>
      </c>
      <c r="E824" s="281" t="s">
        <v>3509</v>
      </c>
      <c r="F824" s="281">
        <v>14</v>
      </c>
      <c r="G824" s="281">
        <v>5021199000</v>
      </c>
      <c r="H824" t="s">
        <v>1998</v>
      </c>
      <c r="I824" t="s">
        <v>633</v>
      </c>
      <c r="J824" t="s">
        <v>1300</v>
      </c>
      <c r="K824" t="s">
        <v>1301</v>
      </c>
      <c r="L824" s="552">
        <v>16332.5</v>
      </c>
      <c r="O824" t="s">
        <v>1221</v>
      </c>
    </row>
    <row r="825" spans="1:15" hidden="1">
      <c r="A825" t="s">
        <v>942</v>
      </c>
      <c r="B825" t="s">
        <v>946</v>
      </c>
      <c r="C825" s="553">
        <v>44257</v>
      </c>
      <c r="D825" s="281" t="s">
        <v>4434</v>
      </c>
      <c r="E825" s="281" t="s">
        <v>3549</v>
      </c>
      <c r="F825" s="281">
        <v>7</v>
      </c>
      <c r="G825" s="281">
        <v>5020000000</v>
      </c>
      <c r="H825" t="s">
        <v>2032</v>
      </c>
      <c r="I825" t="s">
        <v>565</v>
      </c>
      <c r="J825" t="s">
        <v>1303</v>
      </c>
      <c r="K825" t="s">
        <v>1304</v>
      </c>
      <c r="L825" s="552">
        <v>9900</v>
      </c>
      <c r="O825" t="s">
        <v>979</v>
      </c>
    </row>
    <row r="826" spans="1:15" hidden="1">
      <c r="A826" t="s">
        <v>942</v>
      </c>
      <c r="B826" t="s">
        <v>946</v>
      </c>
      <c r="C826" s="553">
        <v>44257</v>
      </c>
      <c r="D826" s="281" t="s">
        <v>4435</v>
      </c>
      <c r="E826" s="281" t="s">
        <v>3513</v>
      </c>
      <c r="F826" s="281">
        <v>1</v>
      </c>
      <c r="G826" s="281">
        <v>5020000000</v>
      </c>
      <c r="H826" t="s">
        <v>2018</v>
      </c>
      <c r="I826" t="s">
        <v>671</v>
      </c>
      <c r="J826" t="s">
        <v>1105</v>
      </c>
      <c r="K826" t="s">
        <v>1309</v>
      </c>
      <c r="L826" s="552">
        <v>6617.76</v>
      </c>
      <c r="O826" t="s">
        <v>961</v>
      </c>
    </row>
    <row r="827" spans="1:15" hidden="1">
      <c r="A827" t="s">
        <v>942</v>
      </c>
      <c r="B827" t="s">
        <v>946</v>
      </c>
      <c r="C827" s="553">
        <v>44257</v>
      </c>
      <c r="D827" s="281" t="s">
        <v>4436</v>
      </c>
      <c r="E827" s="281" t="s">
        <v>3516</v>
      </c>
      <c r="F827" s="281">
        <v>1</v>
      </c>
      <c r="G827" s="281">
        <v>5020000000</v>
      </c>
      <c r="H827" t="s">
        <v>2017</v>
      </c>
      <c r="I827" t="s">
        <v>665</v>
      </c>
      <c r="J827" t="s">
        <v>1307</v>
      </c>
      <c r="K827" t="s">
        <v>1308</v>
      </c>
      <c r="L827" s="552">
        <v>2179.06</v>
      </c>
      <c r="O827" t="s">
        <v>961</v>
      </c>
    </row>
    <row r="828" spans="1:15" hidden="1">
      <c r="A828" t="s">
        <v>942</v>
      </c>
      <c r="B828" t="s">
        <v>946</v>
      </c>
      <c r="C828" s="553">
        <v>44257</v>
      </c>
      <c r="D828" s="281" t="s">
        <v>4437</v>
      </c>
      <c r="E828" s="281" t="s">
        <v>3520</v>
      </c>
      <c r="F828" s="281">
        <v>3</v>
      </c>
      <c r="G828" s="281">
        <v>5020000000</v>
      </c>
      <c r="H828" t="s">
        <v>2032</v>
      </c>
      <c r="I828" t="s">
        <v>565</v>
      </c>
      <c r="J828" t="s">
        <v>1038</v>
      </c>
      <c r="K828" t="s">
        <v>1311</v>
      </c>
      <c r="L828" s="552">
        <v>3075</v>
      </c>
      <c r="O828" t="s">
        <v>968</v>
      </c>
    </row>
    <row r="829" spans="1:15" hidden="1">
      <c r="A829" t="s">
        <v>942</v>
      </c>
      <c r="B829" t="s">
        <v>946</v>
      </c>
      <c r="C829" s="553">
        <v>44257</v>
      </c>
      <c r="D829" s="281" t="s">
        <v>4438</v>
      </c>
      <c r="E829" s="281" t="s">
        <v>3524</v>
      </c>
      <c r="F829" s="281">
        <v>3</v>
      </c>
      <c r="G829" s="281">
        <v>5020000000</v>
      </c>
      <c r="H829" t="s">
        <v>2002</v>
      </c>
      <c r="I829" t="s">
        <v>603</v>
      </c>
      <c r="J829" t="s">
        <v>1245</v>
      </c>
      <c r="K829" t="s">
        <v>1313</v>
      </c>
      <c r="L829" s="552">
        <v>3048</v>
      </c>
      <c r="O829" t="s">
        <v>968</v>
      </c>
    </row>
    <row r="830" spans="1:15" hidden="1">
      <c r="A830" t="s">
        <v>942</v>
      </c>
      <c r="B830" t="s">
        <v>946</v>
      </c>
      <c r="C830" s="553">
        <v>44257</v>
      </c>
      <c r="D830" s="281" t="s">
        <v>4439</v>
      </c>
      <c r="E830" s="281" t="s">
        <v>4242</v>
      </c>
      <c r="F830" s="281">
        <v>1</v>
      </c>
      <c r="G830" s="281">
        <v>5020000000</v>
      </c>
      <c r="H830" t="s">
        <v>2040</v>
      </c>
      <c r="I830" t="s">
        <v>598</v>
      </c>
      <c r="J830" t="s">
        <v>1315</v>
      </c>
      <c r="K830" t="s">
        <v>1316</v>
      </c>
      <c r="L830" s="552">
        <v>0</v>
      </c>
      <c r="O830" t="s">
        <v>961</v>
      </c>
    </row>
    <row r="831" spans="1:15" hidden="1">
      <c r="A831" t="s">
        <v>942</v>
      </c>
      <c r="B831" t="s">
        <v>946</v>
      </c>
      <c r="C831" s="553">
        <v>44257</v>
      </c>
      <c r="D831" s="281" t="s">
        <v>4439</v>
      </c>
      <c r="E831" s="281" t="s">
        <v>4242</v>
      </c>
      <c r="F831" s="281">
        <v>8</v>
      </c>
      <c r="G831" s="281">
        <v>5020000000</v>
      </c>
      <c r="H831" t="s">
        <v>2040</v>
      </c>
      <c r="I831" t="s">
        <v>598</v>
      </c>
      <c r="J831" t="s">
        <v>1315</v>
      </c>
      <c r="K831" t="s">
        <v>1316</v>
      </c>
      <c r="L831" s="552">
        <v>0</v>
      </c>
      <c r="O831" t="s">
        <v>980</v>
      </c>
    </row>
    <row r="832" spans="1:15" hidden="1">
      <c r="A832" t="s">
        <v>942</v>
      </c>
      <c r="B832" t="s">
        <v>946</v>
      </c>
      <c r="C832" s="553">
        <v>44257</v>
      </c>
      <c r="D832" s="281" t="s">
        <v>4440</v>
      </c>
      <c r="E832" s="281" t="s">
        <v>3527</v>
      </c>
      <c r="F832" s="281">
        <v>1</v>
      </c>
      <c r="G832" s="281">
        <v>5020000000</v>
      </c>
      <c r="H832" t="s">
        <v>2003</v>
      </c>
      <c r="I832" t="s">
        <v>609</v>
      </c>
      <c r="J832" t="s">
        <v>794</v>
      </c>
      <c r="K832" t="s">
        <v>1318</v>
      </c>
      <c r="L832" s="552">
        <v>1080</v>
      </c>
      <c r="O832" t="s">
        <v>961</v>
      </c>
    </row>
    <row r="833" spans="1:15" hidden="1">
      <c r="A833" t="s">
        <v>942</v>
      </c>
      <c r="B833" t="s">
        <v>946</v>
      </c>
      <c r="C833" s="553">
        <v>44257</v>
      </c>
      <c r="D833" s="281" t="s">
        <v>4441</v>
      </c>
      <c r="E833" s="281" t="s">
        <v>3530</v>
      </c>
      <c r="F833" s="281">
        <v>1</v>
      </c>
      <c r="G833" s="281">
        <v>5020000000</v>
      </c>
      <c r="H833" t="s">
        <v>2000</v>
      </c>
      <c r="I833" t="s">
        <v>683</v>
      </c>
      <c r="J833" t="s">
        <v>852</v>
      </c>
      <c r="K833" t="s">
        <v>1320</v>
      </c>
      <c r="L833" s="552">
        <v>8800</v>
      </c>
      <c r="O833" t="s">
        <v>961</v>
      </c>
    </row>
    <row r="834" spans="1:15">
      <c r="A834" t="s">
        <v>942</v>
      </c>
      <c r="B834" t="s">
        <v>946</v>
      </c>
      <c r="C834" s="553">
        <v>44257</v>
      </c>
      <c r="D834" s="281" t="s">
        <v>4442</v>
      </c>
      <c r="E834" s="281" t="s">
        <v>3534</v>
      </c>
      <c r="F834" s="281">
        <v>1</v>
      </c>
      <c r="G834" s="281">
        <v>5010000000</v>
      </c>
      <c r="H834" t="s">
        <v>2024</v>
      </c>
      <c r="I834" t="s">
        <v>505</v>
      </c>
      <c r="J834" t="s">
        <v>1030</v>
      </c>
      <c r="K834" t="s">
        <v>1031</v>
      </c>
      <c r="L834" s="552">
        <v>15000</v>
      </c>
      <c r="O834" t="s">
        <v>960</v>
      </c>
    </row>
    <row r="835" spans="1:15">
      <c r="A835" t="s">
        <v>942</v>
      </c>
      <c r="B835" t="s">
        <v>946</v>
      </c>
      <c r="C835" s="553">
        <v>44257</v>
      </c>
      <c r="D835" s="281" t="s">
        <v>4442</v>
      </c>
      <c r="E835" s="281" t="s">
        <v>3534</v>
      </c>
      <c r="F835" s="281">
        <v>1</v>
      </c>
      <c r="G835" s="281">
        <v>5010000000</v>
      </c>
      <c r="H835" t="s">
        <v>2025</v>
      </c>
      <c r="I835" t="s">
        <v>506</v>
      </c>
      <c r="J835" t="s">
        <v>1030</v>
      </c>
      <c r="K835" t="s">
        <v>1031</v>
      </c>
      <c r="L835" s="552">
        <v>14318.18</v>
      </c>
      <c r="O835" t="s">
        <v>960</v>
      </c>
    </row>
    <row r="836" spans="1:15" hidden="1">
      <c r="A836" t="s">
        <v>942</v>
      </c>
      <c r="B836" t="s">
        <v>946</v>
      </c>
      <c r="C836" s="553">
        <v>44257</v>
      </c>
      <c r="D836" s="281" t="s">
        <v>4443</v>
      </c>
      <c r="E836" s="281" t="s">
        <v>3537</v>
      </c>
      <c r="F836" s="281">
        <v>1</v>
      </c>
      <c r="G836" s="281">
        <v>5020000000</v>
      </c>
      <c r="H836" t="s">
        <v>2032</v>
      </c>
      <c r="I836" t="s">
        <v>565</v>
      </c>
      <c r="J836" t="s">
        <v>1323</v>
      </c>
      <c r="K836" t="s">
        <v>1207</v>
      </c>
      <c r="L836" s="552">
        <v>9565</v>
      </c>
      <c r="O836" t="s">
        <v>961</v>
      </c>
    </row>
    <row r="837" spans="1:15" hidden="1">
      <c r="A837" t="s">
        <v>942</v>
      </c>
      <c r="B837" t="s">
        <v>946</v>
      </c>
      <c r="C837" s="553">
        <v>44257</v>
      </c>
      <c r="D837" s="281" t="s">
        <v>4444</v>
      </c>
      <c r="E837" s="281" t="s">
        <v>3541</v>
      </c>
      <c r="F837" s="281">
        <v>1</v>
      </c>
      <c r="G837" s="281">
        <v>5020000000</v>
      </c>
      <c r="H837" t="s">
        <v>2032</v>
      </c>
      <c r="I837" t="s">
        <v>565</v>
      </c>
      <c r="J837" t="s">
        <v>1325</v>
      </c>
      <c r="K837" t="s">
        <v>1207</v>
      </c>
      <c r="L837" s="552">
        <v>1560</v>
      </c>
      <c r="O837" t="s">
        <v>961</v>
      </c>
    </row>
    <row r="838" spans="1:15" hidden="1">
      <c r="A838" t="s">
        <v>942</v>
      </c>
      <c r="B838" t="s">
        <v>946</v>
      </c>
      <c r="C838" s="553">
        <v>44257</v>
      </c>
      <c r="D838" s="281" t="s">
        <v>4445</v>
      </c>
      <c r="E838" s="281" t="s">
        <v>3543</v>
      </c>
      <c r="F838" s="281">
        <v>1</v>
      </c>
      <c r="G838" s="281">
        <v>5020000000</v>
      </c>
      <c r="H838" t="s">
        <v>2032</v>
      </c>
      <c r="I838" t="s">
        <v>565</v>
      </c>
      <c r="J838" t="s">
        <v>1327</v>
      </c>
      <c r="K838" t="s">
        <v>1207</v>
      </c>
      <c r="L838" s="552">
        <v>17820</v>
      </c>
      <c r="O838" t="s">
        <v>961</v>
      </c>
    </row>
    <row r="839" spans="1:15" hidden="1">
      <c r="A839" t="s">
        <v>942</v>
      </c>
      <c r="B839" t="s">
        <v>946</v>
      </c>
      <c r="C839" s="553">
        <v>44257</v>
      </c>
      <c r="D839" s="281" t="s">
        <v>4446</v>
      </c>
      <c r="E839" s="281" t="s">
        <v>3545</v>
      </c>
      <c r="F839" s="281">
        <v>8</v>
      </c>
      <c r="G839" s="281">
        <v>5020000000</v>
      </c>
      <c r="H839" t="s">
        <v>2020</v>
      </c>
      <c r="I839" t="s">
        <v>607</v>
      </c>
      <c r="J839" t="s">
        <v>1329</v>
      </c>
      <c r="K839" t="s">
        <v>1330</v>
      </c>
      <c r="L839" s="552">
        <v>11547.23</v>
      </c>
      <c r="O839" t="s">
        <v>980</v>
      </c>
    </row>
    <row r="840" spans="1:15" hidden="1">
      <c r="A840" t="s">
        <v>942</v>
      </c>
      <c r="B840" t="s">
        <v>946</v>
      </c>
      <c r="C840" s="553">
        <v>44257</v>
      </c>
      <c r="D840" s="281" t="s">
        <v>4447</v>
      </c>
      <c r="E840" s="281" t="s">
        <v>3553</v>
      </c>
      <c r="F840" s="281">
        <v>1</v>
      </c>
      <c r="G840" s="281">
        <v>5020000000</v>
      </c>
      <c r="H840" t="s">
        <v>2032</v>
      </c>
      <c r="I840" t="s">
        <v>565</v>
      </c>
      <c r="J840" t="s">
        <v>859</v>
      </c>
      <c r="K840" t="s">
        <v>1332</v>
      </c>
      <c r="L840" s="552">
        <v>1840</v>
      </c>
      <c r="O840" t="s">
        <v>961</v>
      </c>
    </row>
    <row r="841" spans="1:15" hidden="1">
      <c r="A841" t="s">
        <v>942</v>
      </c>
      <c r="B841" t="s">
        <v>946</v>
      </c>
      <c r="C841" s="553">
        <v>44257</v>
      </c>
      <c r="D841" s="281" t="s">
        <v>4448</v>
      </c>
      <c r="E841" s="281" t="s">
        <v>3556</v>
      </c>
      <c r="F841" s="281">
        <v>4</v>
      </c>
      <c r="G841" s="281">
        <v>5020000000</v>
      </c>
      <c r="H841" t="s">
        <v>2016</v>
      </c>
      <c r="I841" t="s">
        <v>319</v>
      </c>
      <c r="J841" t="s">
        <v>1334</v>
      </c>
      <c r="K841" t="s">
        <v>1335</v>
      </c>
      <c r="L841" s="552">
        <v>17500</v>
      </c>
      <c r="O841" t="s">
        <v>971</v>
      </c>
    </row>
    <row r="842" spans="1:15" hidden="1">
      <c r="A842" t="s">
        <v>942</v>
      </c>
      <c r="B842" t="s">
        <v>946</v>
      </c>
      <c r="C842" s="553">
        <v>44257</v>
      </c>
      <c r="D842" s="281" t="s">
        <v>4449</v>
      </c>
      <c r="E842" s="281" t="s">
        <v>3560</v>
      </c>
      <c r="F842" s="281">
        <v>9</v>
      </c>
      <c r="G842" s="281">
        <v>5020000000</v>
      </c>
      <c r="H842" t="s">
        <v>2037</v>
      </c>
      <c r="I842" t="s">
        <v>555</v>
      </c>
      <c r="J842" t="s">
        <v>1337</v>
      </c>
      <c r="K842" t="s">
        <v>1276</v>
      </c>
      <c r="L842" s="552">
        <v>1800</v>
      </c>
      <c r="O842" t="s">
        <v>982</v>
      </c>
    </row>
    <row r="843" spans="1:15" hidden="1">
      <c r="A843" t="s">
        <v>942</v>
      </c>
      <c r="B843" t="s">
        <v>946</v>
      </c>
      <c r="C843" s="553">
        <v>44257</v>
      </c>
      <c r="D843" s="281" t="s">
        <v>4450</v>
      </c>
      <c r="E843" s="281" t="s">
        <v>3564</v>
      </c>
      <c r="F843" s="281">
        <v>4</v>
      </c>
      <c r="G843" s="281">
        <v>5020000000</v>
      </c>
      <c r="H843" t="s">
        <v>1997</v>
      </c>
      <c r="I843" t="s">
        <v>642</v>
      </c>
      <c r="J843" t="s">
        <v>1339</v>
      </c>
      <c r="K843" t="s">
        <v>1340</v>
      </c>
      <c r="L843" s="552">
        <v>20626.73</v>
      </c>
      <c r="O843" t="s">
        <v>971</v>
      </c>
    </row>
    <row r="844" spans="1:15" hidden="1">
      <c r="A844" t="s">
        <v>942</v>
      </c>
      <c r="B844" t="s">
        <v>946</v>
      </c>
      <c r="C844" s="553">
        <v>44257</v>
      </c>
      <c r="D844" s="281" t="s">
        <v>4451</v>
      </c>
      <c r="E844" s="281" t="s">
        <v>3568</v>
      </c>
      <c r="F844" s="281">
        <v>14</v>
      </c>
      <c r="G844" s="281">
        <v>5021199000</v>
      </c>
      <c r="H844" t="s">
        <v>1998</v>
      </c>
      <c r="I844" t="s">
        <v>633</v>
      </c>
      <c r="J844" t="s">
        <v>1342</v>
      </c>
      <c r="K844" t="s">
        <v>1301</v>
      </c>
      <c r="L844" s="552">
        <v>16308.47</v>
      </c>
      <c r="O844" t="s">
        <v>1221</v>
      </c>
    </row>
    <row r="845" spans="1:15" hidden="1">
      <c r="A845" t="s">
        <v>942</v>
      </c>
      <c r="B845" t="s">
        <v>946</v>
      </c>
      <c r="C845" s="553">
        <v>44257</v>
      </c>
      <c r="D845" s="281" t="s">
        <v>4452</v>
      </c>
      <c r="E845" s="281" t="s">
        <v>3572</v>
      </c>
      <c r="F845" s="281">
        <v>1</v>
      </c>
      <c r="G845" s="281">
        <v>5020000000</v>
      </c>
      <c r="H845" t="s">
        <v>2039</v>
      </c>
      <c r="I845" t="s">
        <v>560</v>
      </c>
      <c r="J845" t="s">
        <v>1344</v>
      </c>
      <c r="K845" t="s">
        <v>1345</v>
      </c>
      <c r="L845" s="552">
        <v>7200</v>
      </c>
      <c r="O845" t="s">
        <v>961</v>
      </c>
    </row>
    <row r="846" spans="1:15" hidden="1">
      <c r="A846" t="s">
        <v>942</v>
      </c>
      <c r="B846" t="s">
        <v>946</v>
      </c>
      <c r="C846" s="553">
        <v>44263</v>
      </c>
      <c r="D846" s="281" t="s">
        <v>4453</v>
      </c>
      <c r="E846" s="281" t="s">
        <v>3576</v>
      </c>
      <c r="F846" s="281">
        <v>7</v>
      </c>
      <c r="G846" s="281">
        <v>5020000000</v>
      </c>
      <c r="H846" t="s">
        <v>2005</v>
      </c>
      <c r="I846" t="s">
        <v>678</v>
      </c>
      <c r="J846" t="s">
        <v>1108</v>
      </c>
      <c r="K846" t="s">
        <v>1346</v>
      </c>
      <c r="L846" s="552">
        <v>12900</v>
      </c>
      <c r="O846" t="s">
        <v>979</v>
      </c>
    </row>
    <row r="847" spans="1:15" hidden="1">
      <c r="A847" t="s">
        <v>942</v>
      </c>
      <c r="B847" t="s">
        <v>946</v>
      </c>
      <c r="C847" s="553">
        <v>44263</v>
      </c>
      <c r="D847" s="281" t="s">
        <v>4454</v>
      </c>
      <c r="E847" s="281" t="s">
        <v>3579</v>
      </c>
      <c r="F847" s="281">
        <v>1</v>
      </c>
      <c r="G847" s="281">
        <v>5020000000</v>
      </c>
      <c r="H847" t="s">
        <v>2005</v>
      </c>
      <c r="I847" t="s">
        <v>678</v>
      </c>
      <c r="J847" t="s">
        <v>1108</v>
      </c>
      <c r="K847" t="s">
        <v>1347</v>
      </c>
      <c r="L847" s="552">
        <v>4950</v>
      </c>
      <c r="O847" t="s">
        <v>961</v>
      </c>
    </row>
    <row r="848" spans="1:15" hidden="1">
      <c r="A848" t="s">
        <v>942</v>
      </c>
      <c r="B848" t="s">
        <v>946</v>
      </c>
      <c r="C848" s="553">
        <v>44263</v>
      </c>
      <c r="D848" s="281" t="s">
        <v>4455</v>
      </c>
      <c r="E848" s="281" t="s">
        <v>3582</v>
      </c>
      <c r="F848" s="281">
        <v>3</v>
      </c>
      <c r="G848" s="281">
        <v>5020000000</v>
      </c>
      <c r="H848" t="s">
        <v>2032</v>
      </c>
      <c r="I848" t="s">
        <v>565</v>
      </c>
      <c r="J848" t="s">
        <v>1327</v>
      </c>
      <c r="K848" t="s">
        <v>1037</v>
      </c>
      <c r="L848" s="552">
        <v>7830</v>
      </c>
      <c r="O848" t="s">
        <v>968</v>
      </c>
    </row>
    <row r="849" spans="1:15" hidden="1">
      <c r="A849" t="s">
        <v>942</v>
      </c>
      <c r="B849" t="s">
        <v>946</v>
      </c>
      <c r="C849" s="553">
        <v>44263</v>
      </c>
      <c r="D849" s="281" t="s">
        <v>4456</v>
      </c>
      <c r="E849" s="281" t="s">
        <v>3585</v>
      </c>
      <c r="F849" s="281">
        <v>1</v>
      </c>
      <c r="G849" s="281">
        <v>5020000000</v>
      </c>
      <c r="H849" t="s">
        <v>2032</v>
      </c>
      <c r="I849" t="s">
        <v>565</v>
      </c>
      <c r="J849" t="s">
        <v>1214</v>
      </c>
      <c r="K849" t="s">
        <v>1348</v>
      </c>
      <c r="L849" s="552">
        <v>27000</v>
      </c>
      <c r="O849" t="s">
        <v>961</v>
      </c>
    </row>
    <row r="850" spans="1:15" hidden="1">
      <c r="A850" t="s">
        <v>942</v>
      </c>
      <c r="B850" t="s">
        <v>946</v>
      </c>
      <c r="C850" s="553">
        <v>44263</v>
      </c>
      <c r="D850" s="281" t="s">
        <v>4457</v>
      </c>
      <c r="E850" s="281" t="s">
        <v>3591</v>
      </c>
      <c r="F850" s="281">
        <v>3</v>
      </c>
      <c r="G850" s="281">
        <v>5020000000</v>
      </c>
      <c r="H850" t="s">
        <v>2032</v>
      </c>
      <c r="I850" t="s">
        <v>565</v>
      </c>
      <c r="J850" t="s">
        <v>1349</v>
      </c>
      <c r="K850" t="s">
        <v>1350</v>
      </c>
      <c r="L850" s="552">
        <v>3400</v>
      </c>
      <c r="O850" t="s">
        <v>968</v>
      </c>
    </row>
    <row r="851" spans="1:15" hidden="1">
      <c r="A851" t="s">
        <v>942</v>
      </c>
      <c r="B851" t="s">
        <v>946</v>
      </c>
      <c r="C851" s="553">
        <v>44263</v>
      </c>
      <c r="D851" s="281" t="s">
        <v>4458</v>
      </c>
      <c r="E851" s="281" t="s">
        <v>3661</v>
      </c>
      <c r="F851" s="281">
        <v>3</v>
      </c>
      <c r="G851" s="281">
        <v>5020000000</v>
      </c>
      <c r="H851" t="s">
        <v>2005</v>
      </c>
      <c r="I851" t="s">
        <v>678</v>
      </c>
      <c r="J851" t="s">
        <v>1038</v>
      </c>
      <c r="K851" t="s">
        <v>1351</v>
      </c>
      <c r="L851" s="552">
        <v>1800</v>
      </c>
      <c r="O851" t="s">
        <v>968</v>
      </c>
    </row>
    <row r="852" spans="1:15" hidden="1">
      <c r="A852" t="s">
        <v>942</v>
      </c>
      <c r="B852" t="s">
        <v>946</v>
      </c>
      <c r="C852" s="553">
        <v>44263</v>
      </c>
      <c r="D852" s="281" t="s">
        <v>4459</v>
      </c>
      <c r="E852" s="281" t="s">
        <v>3658</v>
      </c>
      <c r="F852" s="281">
        <v>4</v>
      </c>
      <c r="G852" s="281">
        <v>5020000000</v>
      </c>
      <c r="H852" t="s">
        <v>2032</v>
      </c>
      <c r="I852" t="s">
        <v>565</v>
      </c>
      <c r="J852" t="s">
        <v>1352</v>
      </c>
      <c r="K852" t="s">
        <v>1353</v>
      </c>
      <c r="L852" s="552">
        <v>39600</v>
      </c>
      <c r="O852" t="s">
        <v>971</v>
      </c>
    </row>
    <row r="853" spans="1:15" hidden="1">
      <c r="A853" t="s">
        <v>942</v>
      </c>
      <c r="B853" t="s">
        <v>946</v>
      </c>
      <c r="C853" s="553">
        <v>44263</v>
      </c>
      <c r="D853" s="281" t="s">
        <v>4460</v>
      </c>
      <c r="E853" s="281" t="s">
        <v>3597</v>
      </c>
      <c r="F853" s="281">
        <v>1</v>
      </c>
      <c r="G853" s="281">
        <v>5020000000</v>
      </c>
      <c r="H853" t="s">
        <v>2032</v>
      </c>
      <c r="I853" t="s">
        <v>565</v>
      </c>
      <c r="J853" t="s">
        <v>1354</v>
      </c>
      <c r="K853" t="s">
        <v>1355</v>
      </c>
      <c r="L853" s="552">
        <v>5600</v>
      </c>
      <c r="O853" t="s">
        <v>961</v>
      </c>
    </row>
    <row r="854" spans="1:15" hidden="1">
      <c r="A854" t="s">
        <v>942</v>
      </c>
      <c r="B854" t="s">
        <v>946</v>
      </c>
      <c r="C854" s="553">
        <v>44263</v>
      </c>
      <c r="D854" s="281" t="s">
        <v>4461</v>
      </c>
      <c r="E854" s="281" t="s">
        <v>3410</v>
      </c>
      <c r="F854" s="281">
        <v>1</v>
      </c>
      <c r="G854" s="281">
        <v>5020000000</v>
      </c>
      <c r="H854" t="s">
        <v>2002</v>
      </c>
      <c r="I854" t="s">
        <v>603</v>
      </c>
      <c r="J854" t="s">
        <v>1245</v>
      </c>
      <c r="K854" t="s">
        <v>1356</v>
      </c>
      <c r="L854" s="552">
        <v>4032</v>
      </c>
      <c r="O854" t="s">
        <v>961</v>
      </c>
    </row>
    <row r="855" spans="1:15" hidden="1">
      <c r="A855" t="s">
        <v>942</v>
      </c>
      <c r="B855" t="s">
        <v>946</v>
      </c>
      <c r="C855" s="553">
        <v>44263</v>
      </c>
      <c r="D855" s="281" t="s">
        <v>4462</v>
      </c>
      <c r="E855" s="281" t="s">
        <v>3601</v>
      </c>
      <c r="F855" s="281">
        <v>1</v>
      </c>
      <c r="G855" s="281">
        <v>5020000000</v>
      </c>
      <c r="H855" t="s">
        <v>2034</v>
      </c>
      <c r="I855" t="s">
        <v>581</v>
      </c>
      <c r="J855" t="s">
        <v>810</v>
      </c>
      <c r="K855" t="s">
        <v>1357</v>
      </c>
      <c r="L855" s="552">
        <v>15526.48</v>
      </c>
      <c r="O855" t="s">
        <v>961</v>
      </c>
    </row>
    <row r="856" spans="1:15" hidden="1">
      <c r="A856" t="s">
        <v>942</v>
      </c>
      <c r="B856" t="s">
        <v>946</v>
      </c>
      <c r="C856" s="553">
        <v>44263</v>
      </c>
      <c r="D856" s="281" t="s">
        <v>4462</v>
      </c>
      <c r="E856" s="281" t="s">
        <v>3601</v>
      </c>
      <c r="F856" s="281">
        <v>4</v>
      </c>
      <c r="G856" s="281">
        <v>5020000000</v>
      </c>
      <c r="H856" t="s">
        <v>2034</v>
      </c>
      <c r="I856" t="s">
        <v>581</v>
      </c>
      <c r="J856" t="s">
        <v>810</v>
      </c>
      <c r="K856" t="s">
        <v>1357</v>
      </c>
      <c r="L856" s="552">
        <v>5475.35</v>
      </c>
      <c r="O856" t="s">
        <v>971</v>
      </c>
    </row>
    <row r="857" spans="1:15" hidden="1">
      <c r="A857" t="s">
        <v>942</v>
      </c>
      <c r="B857" t="s">
        <v>946</v>
      </c>
      <c r="C857" s="553">
        <v>44263</v>
      </c>
      <c r="D857" s="281" t="s">
        <v>4462</v>
      </c>
      <c r="E857" s="281" t="s">
        <v>3601</v>
      </c>
      <c r="F857" s="281">
        <v>3</v>
      </c>
      <c r="G857" s="281">
        <v>5020000000</v>
      </c>
      <c r="H857" t="s">
        <v>2034</v>
      </c>
      <c r="I857" t="s">
        <v>581</v>
      </c>
      <c r="J857" t="s">
        <v>810</v>
      </c>
      <c r="K857" t="s">
        <v>1357</v>
      </c>
      <c r="L857" s="552">
        <v>1369.22</v>
      </c>
      <c r="O857" t="s">
        <v>968</v>
      </c>
    </row>
    <row r="858" spans="1:15" hidden="1">
      <c r="A858" t="s">
        <v>942</v>
      </c>
      <c r="B858" t="s">
        <v>946</v>
      </c>
      <c r="C858" s="553">
        <v>44263</v>
      </c>
      <c r="D858" s="281" t="s">
        <v>4462</v>
      </c>
      <c r="E858" s="281" t="s">
        <v>3601</v>
      </c>
      <c r="F858" s="281">
        <v>7</v>
      </c>
      <c r="G858" s="281">
        <v>5020000000</v>
      </c>
      <c r="H858" t="s">
        <v>2034</v>
      </c>
      <c r="I858" t="s">
        <v>581</v>
      </c>
      <c r="J858" t="s">
        <v>810</v>
      </c>
      <c r="K858" t="s">
        <v>1357</v>
      </c>
      <c r="L858" s="552">
        <v>511.18</v>
      </c>
      <c r="O858" t="s">
        <v>979</v>
      </c>
    </row>
    <row r="859" spans="1:15" hidden="1">
      <c r="A859" t="s">
        <v>942</v>
      </c>
      <c r="B859" t="s">
        <v>946</v>
      </c>
      <c r="C859" s="553">
        <v>44263</v>
      </c>
      <c r="D859" s="281" t="s">
        <v>4463</v>
      </c>
      <c r="E859" s="281" t="s">
        <v>3604</v>
      </c>
      <c r="F859" s="281">
        <v>1</v>
      </c>
      <c r="G859" s="281">
        <v>5020000000</v>
      </c>
      <c r="H859" t="s">
        <v>2035</v>
      </c>
      <c r="I859" t="s">
        <v>596</v>
      </c>
      <c r="J859" t="s">
        <v>836</v>
      </c>
      <c r="K859" t="s">
        <v>1358</v>
      </c>
      <c r="L859" s="552">
        <v>2275</v>
      </c>
      <c r="O859" t="s">
        <v>961</v>
      </c>
    </row>
    <row r="860" spans="1:15" hidden="1">
      <c r="A860" t="s">
        <v>942</v>
      </c>
      <c r="B860" t="s">
        <v>946</v>
      </c>
      <c r="C860" s="553">
        <v>44263</v>
      </c>
      <c r="D860" s="281" t="s">
        <v>4464</v>
      </c>
      <c r="E860" s="281" t="s">
        <v>3608</v>
      </c>
      <c r="F860" s="281">
        <v>1</v>
      </c>
      <c r="G860" s="281">
        <v>5020000000</v>
      </c>
      <c r="H860" t="s">
        <v>2041</v>
      </c>
      <c r="I860" t="s">
        <v>601</v>
      </c>
      <c r="J860" t="s">
        <v>1359</v>
      </c>
      <c r="K860" t="s">
        <v>1360</v>
      </c>
      <c r="L860" s="552">
        <v>6323</v>
      </c>
      <c r="O860" t="s">
        <v>961</v>
      </c>
    </row>
    <row r="861" spans="1:15" hidden="1">
      <c r="A861" t="s">
        <v>942</v>
      </c>
      <c r="B861" t="s">
        <v>946</v>
      </c>
      <c r="C861" s="553">
        <v>44263</v>
      </c>
      <c r="D861" s="281" t="s">
        <v>4465</v>
      </c>
      <c r="E861" s="281" t="s">
        <v>3612</v>
      </c>
      <c r="F861" s="281">
        <v>1</v>
      </c>
      <c r="G861" s="281">
        <v>5020000000</v>
      </c>
      <c r="H861" t="s">
        <v>2010</v>
      </c>
      <c r="I861" t="s">
        <v>693</v>
      </c>
      <c r="J861" t="s">
        <v>1072</v>
      </c>
      <c r="K861" t="s">
        <v>1361</v>
      </c>
      <c r="L861" s="552">
        <v>1242</v>
      </c>
      <c r="O861" t="s">
        <v>961</v>
      </c>
    </row>
    <row r="862" spans="1:15" hidden="1">
      <c r="A862" t="s">
        <v>942</v>
      </c>
      <c r="B862" t="s">
        <v>946</v>
      </c>
      <c r="C862" s="553">
        <v>44263</v>
      </c>
      <c r="D862" s="281" t="s">
        <v>4466</v>
      </c>
      <c r="E862" s="281" t="s">
        <v>3616</v>
      </c>
      <c r="F862" s="281">
        <v>3</v>
      </c>
      <c r="G862" s="281">
        <v>5020000000</v>
      </c>
      <c r="H862" t="s">
        <v>2000</v>
      </c>
      <c r="I862" t="s">
        <v>683</v>
      </c>
      <c r="J862" t="s">
        <v>1362</v>
      </c>
      <c r="K862" t="s">
        <v>1363</v>
      </c>
      <c r="L862" s="552">
        <v>150501.47</v>
      </c>
      <c r="O862" t="s">
        <v>968</v>
      </c>
    </row>
    <row r="863" spans="1:15" hidden="1">
      <c r="A863" t="s">
        <v>942</v>
      </c>
      <c r="B863" t="s">
        <v>946</v>
      </c>
      <c r="C863" s="553">
        <v>44263</v>
      </c>
      <c r="D863" s="281" t="s">
        <v>4466</v>
      </c>
      <c r="E863" s="281" t="s">
        <v>3616</v>
      </c>
      <c r="F863" s="281">
        <v>8</v>
      </c>
      <c r="G863" s="281">
        <v>5020000000</v>
      </c>
      <c r="H863" t="s">
        <v>2000</v>
      </c>
      <c r="I863" t="s">
        <v>683</v>
      </c>
      <c r="J863" t="s">
        <v>1362</v>
      </c>
      <c r="K863" t="s">
        <v>1363</v>
      </c>
      <c r="L863" s="552">
        <v>20000</v>
      </c>
      <c r="O863" t="s">
        <v>980</v>
      </c>
    </row>
    <row r="864" spans="1:15" hidden="1">
      <c r="A864" t="s">
        <v>942</v>
      </c>
      <c r="B864" t="s">
        <v>946</v>
      </c>
      <c r="C864" s="553">
        <v>44265</v>
      </c>
      <c r="D864" s="281" t="s">
        <v>4467</v>
      </c>
      <c r="E864" s="281" t="s">
        <v>3664</v>
      </c>
      <c r="F864" s="281">
        <v>1</v>
      </c>
      <c r="G864" s="281">
        <v>5020000000</v>
      </c>
      <c r="H864" t="s">
        <v>2005</v>
      </c>
      <c r="I864" t="s">
        <v>678</v>
      </c>
      <c r="J864" t="s">
        <v>1380</v>
      </c>
      <c r="K864" t="s">
        <v>1381</v>
      </c>
      <c r="L864" s="552">
        <v>7635</v>
      </c>
      <c r="O864" t="s">
        <v>961</v>
      </c>
    </row>
    <row r="865" spans="1:15" hidden="1">
      <c r="A865" t="s">
        <v>942</v>
      </c>
      <c r="B865" t="s">
        <v>946</v>
      </c>
      <c r="C865" s="553">
        <v>44265</v>
      </c>
      <c r="D865" s="281" t="s">
        <v>4468</v>
      </c>
      <c r="E865" s="281" t="s">
        <v>3622</v>
      </c>
      <c r="F865" s="281">
        <v>1</v>
      </c>
      <c r="G865" s="281">
        <v>5010000000</v>
      </c>
      <c r="H865" t="s">
        <v>2026</v>
      </c>
      <c r="I865" t="s">
        <v>499</v>
      </c>
      <c r="J865" t="s">
        <v>777</v>
      </c>
      <c r="K865" t="s">
        <v>1384</v>
      </c>
      <c r="L865" s="552">
        <v>97270</v>
      </c>
      <c r="O865" t="s">
        <v>960</v>
      </c>
    </row>
    <row r="866" spans="1:15" hidden="1">
      <c r="A866" t="s">
        <v>942</v>
      </c>
      <c r="B866" t="s">
        <v>946</v>
      </c>
      <c r="C866" s="553">
        <v>44265</v>
      </c>
      <c r="D866" s="281" t="s">
        <v>4468</v>
      </c>
      <c r="E866" s="281" t="s">
        <v>3622</v>
      </c>
      <c r="F866" s="281">
        <v>1</v>
      </c>
      <c r="G866" s="281">
        <v>5010000000</v>
      </c>
      <c r="H866" t="s">
        <v>2027</v>
      </c>
      <c r="I866" t="s">
        <v>504</v>
      </c>
      <c r="J866" t="s">
        <v>777</v>
      </c>
      <c r="K866" t="s">
        <v>1384</v>
      </c>
      <c r="L866" s="552">
        <v>8000</v>
      </c>
      <c r="O866" t="s">
        <v>960</v>
      </c>
    </row>
    <row r="867" spans="1:15" hidden="1">
      <c r="A867" t="s">
        <v>942</v>
      </c>
      <c r="B867" t="s">
        <v>946</v>
      </c>
      <c r="C867" s="553">
        <v>44265</v>
      </c>
      <c r="D867" s="281" t="s">
        <v>4468</v>
      </c>
      <c r="E867" s="281" t="s">
        <v>3622</v>
      </c>
      <c r="F867" s="281">
        <v>1</v>
      </c>
      <c r="G867" s="281">
        <v>5010301000</v>
      </c>
      <c r="H867" t="s">
        <v>2028</v>
      </c>
      <c r="I867" t="s">
        <v>528</v>
      </c>
      <c r="J867" t="s">
        <v>777</v>
      </c>
      <c r="K867" t="s">
        <v>1384</v>
      </c>
      <c r="L867" s="552">
        <v>11672.4</v>
      </c>
      <c r="O867" t="s">
        <v>962</v>
      </c>
    </row>
    <row r="868" spans="1:15" hidden="1">
      <c r="A868" t="s">
        <v>942</v>
      </c>
      <c r="B868" t="s">
        <v>946</v>
      </c>
      <c r="C868" s="553">
        <v>44265</v>
      </c>
      <c r="D868" s="281" t="s">
        <v>4468</v>
      </c>
      <c r="E868" s="281" t="s">
        <v>3622</v>
      </c>
      <c r="F868" s="281">
        <v>1</v>
      </c>
      <c r="G868" s="281">
        <v>5010000000</v>
      </c>
      <c r="H868" t="s">
        <v>2029</v>
      </c>
      <c r="I868" t="s">
        <v>530</v>
      </c>
      <c r="J868" t="s">
        <v>777</v>
      </c>
      <c r="K868" t="s">
        <v>1384</v>
      </c>
      <c r="L868" s="552">
        <v>400</v>
      </c>
      <c r="O868" t="s">
        <v>960</v>
      </c>
    </row>
    <row r="869" spans="1:15" hidden="1">
      <c r="A869" t="s">
        <v>942</v>
      </c>
      <c r="B869" t="s">
        <v>946</v>
      </c>
      <c r="C869" s="553">
        <v>44265</v>
      </c>
      <c r="D869" s="281" t="s">
        <v>4468</v>
      </c>
      <c r="E869" s="281" t="s">
        <v>3622</v>
      </c>
      <c r="F869" s="281">
        <v>1</v>
      </c>
      <c r="G869" s="281">
        <v>5010000000</v>
      </c>
      <c r="H869" t="s">
        <v>2030</v>
      </c>
      <c r="I869" t="s">
        <v>532</v>
      </c>
      <c r="J869" t="s">
        <v>777</v>
      </c>
      <c r="K869" t="s">
        <v>1384</v>
      </c>
      <c r="L869" s="552">
        <v>1450.46</v>
      </c>
      <c r="O869" t="s">
        <v>960</v>
      </c>
    </row>
    <row r="870" spans="1:15" hidden="1">
      <c r="A870" t="s">
        <v>942</v>
      </c>
      <c r="B870" t="s">
        <v>946</v>
      </c>
      <c r="C870" s="553">
        <v>44265</v>
      </c>
      <c r="D870" s="281" t="s">
        <v>4468</v>
      </c>
      <c r="E870" s="281" t="s">
        <v>3622</v>
      </c>
      <c r="F870" s="281">
        <v>1</v>
      </c>
      <c r="G870" s="281">
        <v>5010000000</v>
      </c>
      <c r="H870" t="s">
        <v>2031</v>
      </c>
      <c r="I870" t="s">
        <v>534</v>
      </c>
      <c r="J870" t="s">
        <v>777</v>
      </c>
      <c r="K870" t="s">
        <v>1384</v>
      </c>
      <c r="L870" s="552">
        <v>400</v>
      </c>
      <c r="O870" t="s">
        <v>960</v>
      </c>
    </row>
    <row r="871" spans="1:15" hidden="1">
      <c r="A871" t="s">
        <v>942</v>
      </c>
      <c r="B871" t="s">
        <v>946</v>
      </c>
      <c r="C871" s="553">
        <v>44265</v>
      </c>
      <c r="D871" s="281" t="s">
        <v>4468</v>
      </c>
      <c r="E871" s="281" t="s">
        <v>3622</v>
      </c>
      <c r="F871" s="281">
        <v>2</v>
      </c>
      <c r="G871" s="281">
        <v>5010000000</v>
      </c>
      <c r="H871" t="s">
        <v>2026</v>
      </c>
      <c r="I871" t="s">
        <v>499</v>
      </c>
      <c r="J871" t="s">
        <v>777</v>
      </c>
      <c r="K871" t="s">
        <v>1384</v>
      </c>
      <c r="L871" s="552">
        <v>44184</v>
      </c>
      <c r="O871" t="s">
        <v>964</v>
      </c>
    </row>
    <row r="872" spans="1:15" hidden="1">
      <c r="A872" t="s">
        <v>942</v>
      </c>
      <c r="B872" t="s">
        <v>946</v>
      </c>
      <c r="C872" s="553">
        <v>44265</v>
      </c>
      <c r="D872" s="281" t="s">
        <v>4468</v>
      </c>
      <c r="E872" s="281" t="s">
        <v>3622</v>
      </c>
      <c r="F872" s="281">
        <v>2</v>
      </c>
      <c r="G872" s="281">
        <v>5010000000</v>
      </c>
      <c r="H872" t="s">
        <v>2027</v>
      </c>
      <c r="I872" t="s">
        <v>504</v>
      </c>
      <c r="J872" t="s">
        <v>777</v>
      </c>
      <c r="K872" t="s">
        <v>1384</v>
      </c>
      <c r="L872" s="552">
        <v>2000</v>
      </c>
      <c r="O872" t="s">
        <v>964</v>
      </c>
    </row>
    <row r="873" spans="1:15" hidden="1">
      <c r="A873" t="s">
        <v>942</v>
      </c>
      <c r="B873" t="s">
        <v>946</v>
      </c>
      <c r="C873" s="553">
        <v>44265</v>
      </c>
      <c r="D873" s="281" t="s">
        <v>4468</v>
      </c>
      <c r="E873" s="281" t="s">
        <v>3622</v>
      </c>
      <c r="F873" s="281">
        <v>2</v>
      </c>
      <c r="G873" s="281">
        <v>5010301000</v>
      </c>
      <c r="H873" t="s">
        <v>2028</v>
      </c>
      <c r="I873" t="s">
        <v>528</v>
      </c>
      <c r="J873" t="s">
        <v>777</v>
      </c>
      <c r="K873" t="s">
        <v>1384</v>
      </c>
      <c r="L873" s="552">
        <v>5302.08</v>
      </c>
      <c r="O873" t="s">
        <v>966</v>
      </c>
    </row>
    <row r="874" spans="1:15" hidden="1">
      <c r="A874" t="s">
        <v>942</v>
      </c>
      <c r="B874" t="s">
        <v>946</v>
      </c>
      <c r="C874" s="553">
        <v>44265</v>
      </c>
      <c r="D874" s="281" t="s">
        <v>4468</v>
      </c>
      <c r="E874" s="281" t="s">
        <v>3622</v>
      </c>
      <c r="F874" s="281">
        <v>2</v>
      </c>
      <c r="G874" s="281">
        <v>5010000000</v>
      </c>
      <c r="H874" t="s">
        <v>2029</v>
      </c>
      <c r="I874" t="s">
        <v>530</v>
      </c>
      <c r="J874" t="s">
        <v>777</v>
      </c>
      <c r="K874" t="s">
        <v>1384</v>
      </c>
      <c r="L874" s="552">
        <v>100</v>
      </c>
      <c r="O874" t="s">
        <v>964</v>
      </c>
    </row>
    <row r="875" spans="1:15" hidden="1">
      <c r="A875" t="s">
        <v>942</v>
      </c>
      <c r="B875" t="s">
        <v>946</v>
      </c>
      <c r="C875" s="553">
        <v>44265</v>
      </c>
      <c r="D875" s="281" t="s">
        <v>4468</v>
      </c>
      <c r="E875" s="281" t="s">
        <v>3622</v>
      </c>
      <c r="F875" s="281">
        <v>2</v>
      </c>
      <c r="G875" s="281">
        <v>5010000000</v>
      </c>
      <c r="H875" t="s">
        <v>2030</v>
      </c>
      <c r="I875" t="s">
        <v>532</v>
      </c>
      <c r="J875" t="s">
        <v>777</v>
      </c>
      <c r="K875" t="s">
        <v>1384</v>
      </c>
      <c r="L875" s="552">
        <v>662.76</v>
      </c>
      <c r="O875" t="s">
        <v>964</v>
      </c>
    </row>
    <row r="876" spans="1:15" hidden="1">
      <c r="A876" t="s">
        <v>942</v>
      </c>
      <c r="B876" t="s">
        <v>946</v>
      </c>
      <c r="C876" s="553">
        <v>44265</v>
      </c>
      <c r="D876" s="281" t="s">
        <v>4468</v>
      </c>
      <c r="E876" s="281" t="s">
        <v>3622</v>
      </c>
      <c r="F876" s="281">
        <v>2</v>
      </c>
      <c r="G876" s="281">
        <v>5010000000</v>
      </c>
      <c r="H876" t="s">
        <v>2031</v>
      </c>
      <c r="I876" t="s">
        <v>534</v>
      </c>
      <c r="J876" t="s">
        <v>777</v>
      </c>
      <c r="K876" t="s">
        <v>1384</v>
      </c>
      <c r="L876" s="552">
        <v>100</v>
      </c>
      <c r="O876" t="s">
        <v>964</v>
      </c>
    </row>
    <row r="877" spans="1:15" hidden="1">
      <c r="A877" t="s">
        <v>942</v>
      </c>
      <c r="B877" t="s">
        <v>946</v>
      </c>
      <c r="C877" s="553">
        <v>44265</v>
      </c>
      <c r="D877" s="281" t="s">
        <v>4468</v>
      </c>
      <c r="E877" s="281" t="s">
        <v>3622</v>
      </c>
      <c r="F877" s="281">
        <v>4</v>
      </c>
      <c r="G877" s="281">
        <v>5010000000</v>
      </c>
      <c r="H877" t="s">
        <v>2026</v>
      </c>
      <c r="I877" t="s">
        <v>499</v>
      </c>
      <c r="J877" t="s">
        <v>777</v>
      </c>
      <c r="K877" t="s">
        <v>1384</v>
      </c>
      <c r="L877" s="552">
        <v>67911</v>
      </c>
      <c r="O877" t="s">
        <v>970</v>
      </c>
    </row>
    <row r="878" spans="1:15" hidden="1">
      <c r="A878" t="s">
        <v>942</v>
      </c>
      <c r="B878" t="s">
        <v>946</v>
      </c>
      <c r="C878" s="553">
        <v>44265</v>
      </c>
      <c r="D878" s="281" t="s">
        <v>4468</v>
      </c>
      <c r="E878" s="281" t="s">
        <v>3622</v>
      </c>
      <c r="F878" s="281">
        <v>4</v>
      </c>
      <c r="G878" s="281">
        <v>5010000000</v>
      </c>
      <c r="H878" t="s">
        <v>2027</v>
      </c>
      <c r="I878" t="s">
        <v>504</v>
      </c>
      <c r="J878" t="s">
        <v>777</v>
      </c>
      <c r="K878" t="s">
        <v>1384</v>
      </c>
      <c r="L878" s="552">
        <v>4000</v>
      </c>
      <c r="O878" t="s">
        <v>970</v>
      </c>
    </row>
    <row r="879" spans="1:15" hidden="1">
      <c r="A879" t="s">
        <v>942</v>
      </c>
      <c r="B879" t="s">
        <v>946</v>
      </c>
      <c r="C879" s="553">
        <v>44265</v>
      </c>
      <c r="D879" s="281" t="s">
        <v>4468</v>
      </c>
      <c r="E879" s="281" t="s">
        <v>3622</v>
      </c>
      <c r="F879" s="281">
        <v>4</v>
      </c>
      <c r="G879" s="281">
        <v>5010301000</v>
      </c>
      <c r="H879" t="s">
        <v>2028</v>
      </c>
      <c r="I879" t="s">
        <v>528</v>
      </c>
      <c r="J879" t="s">
        <v>777</v>
      </c>
      <c r="K879" t="s">
        <v>1384</v>
      </c>
      <c r="L879" s="552">
        <v>8149.32</v>
      </c>
      <c r="O879" t="s">
        <v>972</v>
      </c>
    </row>
    <row r="880" spans="1:15" hidden="1">
      <c r="A880" t="s">
        <v>942</v>
      </c>
      <c r="B880" t="s">
        <v>946</v>
      </c>
      <c r="C880" s="553">
        <v>44265</v>
      </c>
      <c r="D880" s="281" t="s">
        <v>4468</v>
      </c>
      <c r="E880" s="281" t="s">
        <v>3622</v>
      </c>
      <c r="F880" s="281">
        <v>4</v>
      </c>
      <c r="G880" s="281">
        <v>5010000000</v>
      </c>
      <c r="H880" t="s">
        <v>2029</v>
      </c>
      <c r="I880" t="s">
        <v>530</v>
      </c>
      <c r="J880" t="s">
        <v>777</v>
      </c>
      <c r="K880" t="s">
        <v>1384</v>
      </c>
      <c r="L880" s="552">
        <v>200</v>
      </c>
      <c r="O880" t="s">
        <v>970</v>
      </c>
    </row>
    <row r="881" spans="1:15" hidden="1">
      <c r="A881" t="s">
        <v>942</v>
      </c>
      <c r="B881" t="s">
        <v>946</v>
      </c>
      <c r="C881" s="553">
        <v>44265</v>
      </c>
      <c r="D881" s="281" t="s">
        <v>4468</v>
      </c>
      <c r="E881" s="281" t="s">
        <v>3622</v>
      </c>
      <c r="F881" s="281">
        <v>4</v>
      </c>
      <c r="G881" s="281">
        <v>5010000000</v>
      </c>
      <c r="H881" t="s">
        <v>2030</v>
      </c>
      <c r="I881" t="s">
        <v>532</v>
      </c>
      <c r="J881" t="s">
        <v>777</v>
      </c>
      <c r="K881" t="s">
        <v>1384</v>
      </c>
      <c r="L881" s="552">
        <v>1018.67</v>
      </c>
      <c r="O881" t="s">
        <v>970</v>
      </c>
    </row>
    <row r="882" spans="1:15" hidden="1">
      <c r="A882" t="s">
        <v>942</v>
      </c>
      <c r="B882" t="s">
        <v>946</v>
      </c>
      <c r="C882" s="553">
        <v>44265</v>
      </c>
      <c r="D882" s="281" t="s">
        <v>4468</v>
      </c>
      <c r="E882" s="281" t="s">
        <v>3622</v>
      </c>
      <c r="F882" s="281">
        <v>4</v>
      </c>
      <c r="G882" s="281">
        <v>5010000000</v>
      </c>
      <c r="H882" t="s">
        <v>2031</v>
      </c>
      <c r="I882" t="s">
        <v>534</v>
      </c>
      <c r="J882" t="s">
        <v>777</v>
      </c>
      <c r="K882" t="s">
        <v>1384</v>
      </c>
      <c r="L882" s="552">
        <v>200</v>
      </c>
      <c r="O882" t="s">
        <v>970</v>
      </c>
    </row>
    <row r="883" spans="1:15" hidden="1">
      <c r="A883" t="s">
        <v>942</v>
      </c>
      <c r="B883" t="s">
        <v>946</v>
      </c>
      <c r="C883" s="553">
        <v>44265</v>
      </c>
      <c r="D883" s="281" t="s">
        <v>4468</v>
      </c>
      <c r="E883" s="281" t="s">
        <v>3622</v>
      </c>
      <c r="F883" s="281">
        <v>5</v>
      </c>
      <c r="G883" s="281">
        <v>5010000000</v>
      </c>
      <c r="H883" t="s">
        <v>2026</v>
      </c>
      <c r="I883" t="s">
        <v>499</v>
      </c>
      <c r="J883" t="s">
        <v>777</v>
      </c>
      <c r="K883" t="s">
        <v>1384</v>
      </c>
      <c r="L883" s="552">
        <v>149727</v>
      </c>
      <c r="O883" t="s">
        <v>973</v>
      </c>
    </row>
    <row r="884" spans="1:15" hidden="1">
      <c r="A884" t="s">
        <v>942</v>
      </c>
      <c r="B884" t="s">
        <v>946</v>
      </c>
      <c r="C884" s="553">
        <v>44265</v>
      </c>
      <c r="D884" s="281" t="s">
        <v>4468</v>
      </c>
      <c r="E884" s="281" t="s">
        <v>3622</v>
      </c>
      <c r="F884" s="281">
        <v>5</v>
      </c>
      <c r="G884" s="281">
        <v>5010000000</v>
      </c>
      <c r="H884" t="s">
        <v>2027</v>
      </c>
      <c r="I884" t="s">
        <v>504</v>
      </c>
      <c r="J884" t="s">
        <v>777</v>
      </c>
      <c r="K884" t="s">
        <v>1384</v>
      </c>
      <c r="L884" s="552">
        <v>6000</v>
      </c>
      <c r="O884" t="s">
        <v>973</v>
      </c>
    </row>
    <row r="885" spans="1:15" hidden="1">
      <c r="A885" t="s">
        <v>942</v>
      </c>
      <c r="B885" t="s">
        <v>946</v>
      </c>
      <c r="C885" s="553">
        <v>44265</v>
      </c>
      <c r="D885" s="281" t="s">
        <v>4468</v>
      </c>
      <c r="E885" s="281" t="s">
        <v>3622</v>
      </c>
      <c r="F885" s="281">
        <v>5</v>
      </c>
      <c r="G885" s="281">
        <v>5010301000</v>
      </c>
      <c r="H885" t="s">
        <v>2028</v>
      </c>
      <c r="I885" t="s">
        <v>528</v>
      </c>
      <c r="J885" t="s">
        <v>777</v>
      </c>
      <c r="K885" t="s">
        <v>1384</v>
      </c>
      <c r="L885" s="552">
        <v>17967.240000000002</v>
      </c>
      <c r="O885" t="s">
        <v>975</v>
      </c>
    </row>
    <row r="886" spans="1:15" hidden="1">
      <c r="A886" t="s">
        <v>942</v>
      </c>
      <c r="B886" t="s">
        <v>946</v>
      </c>
      <c r="C886" s="553">
        <v>44265</v>
      </c>
      <c r="D886" s="281" t="s">
        <v>4468</v>
      </c>
      <c r="E886" s="281" t="s">
        <v>3622</v>
      </c>
      <c r="F886" s="281">
        <v>5</v>
      </c>
      <c r="G886" s="281">
        <v>5010000000</v>
      </c>
      <c r="H886" t="s">
        <v>2029</v>
      </c>
      <c r="I886" t="s">
        <v>530</v>
      </c>
      <c r="J886" t="s">
        <v>777</v>
      </c>
      <c r="K886" t="s">
        <v>1384</v>
      </c>
      <c r="L886" s="552">
        <v>300</v>
      </c>
      <c r="O886" t="s">
        <v>973</v>
      </c>
    </row>
    <row r="887" spans="1:15" hidden="1">
      <c r="A887" t="s">
        <v>942</v>
      </c>
      <c r="B887" t="s">
        <v>946</v>
      </c>
      <c r="C887" s="553">
        <v>44265</v>
      </c>
      <c r="D887" s="281" t="s">
        <v>4468</v>
      </c>
      <c r="E887" s="281" t="s">
        <v>3622</v>
      </c>
      <c r="F887" s="281">
        <v>5</v>
      </c>
      <c r="G887" s="281">
        <v>5010000000</v>
      </c>
      <c r="H887" t="s">
        <v>2030</v>
      </c>
      <c r="I887" t="s">
        <v>532</v>
      </c>
      <c r="J887" t="s">
        <v>777</v>
      </c>
      <c r="K887" t="s">
        <v>1384</v>
      </c>
      <c r="L887" s="552">
        <v>2087.44</v>
      </c>
      <c r="O887" t="s">
        <v>973</v>
      </c>
    </row>
    <row r="888" spans="1:15" hidden="1">
      <c r="A888" t="s">
        <v>942</v>
      </c>
      <c r="B888" t="s">
        <v>946</v>
      </c>
      <c r="C888" s="553">
        <v>44265</v>
      </c>
      <c r="D888" s="281" t="s">
        <v>4468</v>
      </c>
      <c r="E888" s="281" t="s">
        <v>3622</v>
      </c>
      <c r="F888" s="281">
        <v>5</v>
      </c>
      <c r="G888" s="281">
        <v>5010000000</v>
      </c>
      <c r="H888" t="s">
        <v>2031</v>
      </c>
      <c r="I888" t="s">
        <v>534</v>
      </c>
      <c r="J888" t="s">
        <v>777</v>
      </c>
      <c r="K888" t="s">
        <v>1384</v>
      </c>
      <c r="L888" s="552">
        <v>300</v>
      </c>
      <c r="O888" t="s">
        <v>973</v>
      </c>
    </row>
    <row r="889" spans="1:15" hidden="1">
      <c r="A889" t="s">
        <v>942</v>
      </c>
      <c r="B889" t="s">
        <v>946</v>
      </c>
      <c r="C889" s="553">
        <v>44265</v>
      </c>
      <c r="D889" s="281" t="s">
        <v>4469</v>
      </c>
      <c r="E889" s="281" t="s">
        <v>3624</v>
      </c>
      <c r="F889" s="281">
        <v>1</v>
      </c>
      <c r="G889" s="281">
        <v>5010000000</v>
      </c>
      <c r="H889" t="s">
        <v>2026</v>
      </c>
      <c r="I889" t="s">
        <v>499</v>
      </c>
      <c r="J889" t="s">
        <v>768</v>
      </c>
      <c r="K889" t="s">
        <v>1384</v>
      </c>
      <c r="L889" s="552">
        <v>145528</v>
      </c>
      <c r="O889" t="s">
        <v>960</v>
      </c>
    </row>
    <row r="890" spans="1:15" hidden="1">
      <c r="A890" t="s">
        <v>942</v>
      </c>
      <c r="B890" t="s">
        <v>946</v>
      </c>
      <c r="C890" s="553">
        <v>44265</v>
      </c>
      <c r="D890" s="281" t="s">
        <v>4469</v>
      </c>
      <c r="E890" s="281" t="s">
        <v>3624</v>
      </c>
      <c r="F890" s="281">
        <v>1</v>
      </c>
      <c r="G890" s="281">
        <v>5010000000</v>
      </c>
      <c r="H890" t="s">
        <v>2027</v>
      </c>
      <c r="I890" t="s">
        <v>504</v>
      </c>
      <c r="J890" t="s">
        <v>768</v>
      </c>
      <c r="K890" t="s">
        <v>1384</v>
      </c>
      <c r="L890" s="552">
        <v>6000</v>
      </c>
      <c r="O890" t="s">
        <v>960</v>
      </c>
    </row>
    <row r="891" spans="1:15" hidden="1">
      <c r="A891" t="s">
        <v>942</v>
      </c>
      <c r="B891" t="s">
        <v>946</v>
      </c>
      <c r="C891" s="553">
        <v>44265</v>
      </c>
      <c r="D891" s="281" t="s">
        <v>4469</v>
      </c>
      <c r="E891" s="281" t="s">
        <v>3624</v>
      </c>
      <c r="F891" s="281">
        <v>1</v>
      </c>
      <c r="G891" s="281">
        <v>5010301000</v>
      </c>
      <c r="H891" t="s">
        <v>2028</v>
      </c>
      <c r="I891" t="s">
        <v>528</v>
      </c>
      <c r="J891" t="s">
        <v>768</v>
      </c>
      <c r="K891" t="s">
        <v>1384</v>
      </c>
      <c r="L891" s="552">
        <v>17463.36</v>
      </c>
      <c r="O891" t="s">
        <v>962</v>
      </c>
    </row>
    <row r="892" spans="1:15" hidden="1">
      <c r="A892" t="s">
        <v>942</v>
      </c>
      <c r="B892" t="s">
        <v>946</v>
      </c>
      <c r="C892" s="553">
        <v>44265</v>
      </c>
      <c r="D892" s="281" t="s">
        <v>4469</v>
      </c>
      <c r="E892" s="281" t="s">
        <v>3624</v>
      </c>
      <c r="F892" s="281">
        <v>1</v>
      </c>
      <c r="G892" s="281">
        <v>5010000000</v>
      </c>
      <c r="H892" t="s">
        <v>2029</v>
      </c>
      <c r="I892" t="s">
        <v>530</v>
      </c>
      <c r="J892" t="s">
        <v>768</v>
      </c>
      <c r="K892" t="s">
        <v>1384</v>
      </c>
      <c r="L892" s="552">
        <v>300</v>
      </c>
      <c r="O892" t="s">
        <v>960</v>
      </c>
    </row>
    <row r="893" spans="1:15" hidden="1">
      <c r="A893" t="s">
        <v>942</v>
      </c>
      <c r="B893" t="s">
        <v>946</v>
      </c>
      <c r="C893" s="553">
        <v>44265</v>
      </c>
      <c r="D893" s="281" t="s">
        <v>4469</v>
      </c>
      <c r="E893" s="281" t="s">
        <v>3624</v>
      </c>
      <c r="F893" s="281">
        <v>1</v>
      </c>
      <c r="G893" s="281">
        <v>5010000000</v>
      </c>
      <c r="H893" t="s">
        <v>2030</v>
      </c>
      <c r="I893" t="s">
        <v>532</v>
      </c>
      <c r="J893" t="s">
        <v>768</v>
      </c>
      <c r="K893" t="s">
        <v>1384</v>
      </c>
      <c r="L893" s="552">
        <v>1781.79</v>
      </c>
      <c r="O893" t="s">
        <v>960</v>
      </c>
    </row>
    <row r="894" spans="1:15" hidden="1">
      <c r="A894" t="s">
        <v>942</v>
      </c>
      <c r="B894" t="s">
        <v>946</v>
      </c>
      <c r="C894" s="553">
        <v>44265</v>
      </c>
      <c r="D894" s="281" t="s">
        <v>4469</v>
      </c>
      <c r="E894" s="281" t="s">
        <v>3624</v>
      </c>
      <c r="F894" s="281">
        <v>1</v>
      </c>
      <c r="G894" s="281">
        <v>5010000000</v>
      </c>
      <c r="H894" t="s">
        <v>2031</v>
      </c>
      <c r="I894" t="s">
        <v>534</v>
      </c>
      <c r="J894" t="s">
        <v>768</v>
      </c>
      <c r="K894" t="s">
        <v>1384</v>
      </c>
      <c r="L894" s="552">
        <v>300</v>
      </c>
      <c r="O894" t="s">
        <v>960</v>
      </c>
    </row>
    <row r="895" spans="1:15" hidden="1">
      <c r="A895" t="s">
        <v>942</v>
      </c>
      <c r="B895" t="s">
        <v>946</v>
      </c>
      <c r="C895" s="553">
        <v>44265</v>
      </c>
      <c r="D895" s="281" t="s">
        <v>4469</v>
      </c>
      <c r="E895" s="281" t="s">
        <v>3624</v>
      </c>
      <c r="F895" s="281">
        <v>2</v>
      </c>
      <c r="G895" s="281">
        <v>5010000000</v>
      </c>
      <c r="H895" t="s">
        <v>2026</v>
      </c>
      <c r="I895" t="s">
        <v>499</v>
      </c>
      <c r="J895" t="s">
        <v>768</v>
      </c>
      <c r="K895" t="s">
        <v>1384</v>
      </c>
      <c r="L895" s="552">
        <v>46261</v>
      </c>
      <c r="O895" t="s">
        <v>964</v>
      </c>
    </row>
    <row r="896" spans="1:15" hidden="1">
      <c r="A896" t="s">
        <v>942</v>
      </c>
      <c r="B896" t="s">
        <v>946</v>
      </c>
      <c r="C896" s="553">
        <v>44265</v>
      </c>
      <c r="D896" s="281" t="s">
        <v>4469</v>
      </c>
      <c r="E896" s="281" t="s">
        <v>3624</v>
      </c>
      <c r="F896" s="281">
        <v>2</v>
      </c>
      <c r="G896" s="281">
        <v>5010000000</v>
      </c>
      <c r="H896" t="s">
        <v>2027</v>
      </c>
      <c r="I896" t="s">
        <v>504</v>
      </c>
      <c r="J896" t="s">
        <v>768</v>
      </c>
      <c r="K896" t="s">
        <v>1384</v>
      </c>
      <c r="L896" s="552">
        <v>2000</v>
      </c>
      <c r="O896" t="s">
        <v>964</v>
      </c>
    </row>
    <row r="897" spans="1:15" hidden="1">
      <c r="A897" t="s">
        <v>942</v>
      </c>
      <c r="B897" t="s">
        <v>946</v>
      </c>
      <c r="C897" s="553">
        <v>44265</v>
      </c>
      <c r="D897" s="281" t="s">
        <v>4469</v>
      </c>
      <c r="E897" s="281" t="s">
        <v>3624</v>
      </c>
      <c r="F897" s="281">
        <v>2</v>
      </c>
      <c r="G897" s="281">
        <v>5010301000</v>
      </c>
      <c r="H897" t="s">
        <v>2028</v>
      </c>
      <c r="I897" t="s">
        <v>528</v>
      </c>
      <c r="J897" t="s">
        <v>768</v>
      </c>
      <c r="K897" t="s">
        <v>1384</v>
      </c>
      <c r="L897" s="552">
        <v>5551.32</v>
      </c>
      <c r="O897" t="s">
        <v>966</v>
      </c>
    </row>
    <row r="898" spans="1:15" hidden="1">
      <c r="A898" t="s">
        <v>942</v>
      </c>
      <c r="B898" t="s">
        <v>946</v>
      </c>
      <c r="C898" s="553">
        <v>44265</v>
      </c>
      <c r="D898" s="281" t="s">
        <v>4469</v>
      </c>
      <c r="E898" s="281" t="s">
        <v>3624</v>
      </c>
      <c r="F898" s="281">
        <v>2</v>
      </c>
      <c r="G898" s="281">
        <v>5010000000</v>
      </c>
      <c r="H898" t="s">
        <v>2029</v>
      </c>
      <c r="I898" t="s">
        <v>530</v>
      </c>
      <c r="J898" t="s">
        <v>768</v>
      </c>
      <c r="K898" t="s">
        <v>1384</v>
      </c>
      <c r="L898" s="552">
        <v>100</v>
      </c>
      <c r="O898" t="s">
        <v>964</v>
      </c>
    </row>
    <row r="899" spans="1:15" hidden="1">
      <c r="A899" t="s">
        <v>942</v>
      </c>
      <c r="B899" t="s">
        <v>946</v>
      </c>
      <c r="C899" s="553">
        <v>44265</v>
      </c>
      <c r="D899" s="281" t="s">
        <v>4469</v>
      </c>
      <c r="E899" s="281" t="s">
        <v>3624</v>
      </c>
      <c r="F899" s="281">
        <v>2</v>
      </c>
      <c r="G899" s="281">
        <v>5010000000</v>
      </c>
      <c r="H899" t="s">
        <v>2030</v>
      </c>
      <c r="I899" t="s">
        <v>532</v>
      </c>
      <c r="J899" t="s">
        <v>768</v>
      </c>
      <c r="K899" t="s">
        <v>1384</v>
      </c>
      <c r="L899" s="552">
        <v>693.92</v>
      </c>
      <c r="O899" t="s">
        <v>964</v>
      </c>
    </row>
    <row r="900" spans="1:15" hidden="1">
      <c r="A900" t="s">
        <v>942</v>
      </c>
      <c r="B900" t="s">
        <v>946</v>
      </c>
      <c r="C900" s="553">
        <v>44265</v>
      </c>
      <c r="D900" s="281" t="s">
        <v>4469</v>
      </c>
      <c r="E900" s="281" t="s">
        <v>3624</v>
      </c>
      <c r="F900" s="281">
        <v>2</v>
      </c>
      <c r="G900" s="281">
        <v>5010000000</v>
      </c>
      <c r="H900" t="s">
        <v>2031</v>
      </c>
      <c r="I900" t="s">
        <v>534</v>
      </c>
      <c r="J900" t="s">
        <v>768</v>
      </c>
      <c r="K900" t="s">
        <v>1384</v>
      </c>
      <c r="L900" s="552">
        <v>100</v>
      </c>
      <c r="O900" t="s">
        <v>964</v>
      </c>
    </row>
    <row r="901" spans="1:15" hidden="1">
      <c r="A901" t="s">
        <v>942</v>
      </c>
      <c r="B901" t="s">
        <v>946</v>
      </c>
      <c r="C901" s="553">
        <v>44265</v>
      </c>
      <c r="D901" s="281" t="s">
        <v>4469</v>
      </c>
      <c r="E901" s="281" t="s">
        <v>3624</v>
      </c>
      <c r="F901" s="281">
        <v>3</v>
      </c>
      <c r="G901" s="281">
        <v>5010000000</v>
      </c>
      <c r="H901" t="s">
        <v>2026</v>
      </c>
      <c r="I901" t="s">
        <v>499</v>
      </c>
      <c r="J901" t="s">
        <v>768</v>
      </c>
      <c r="K901" t="s">
        <v>1384</v>
      </c>
      <c r="L901" s="552">
        <v>111742</v>
      </c>
      <c r="O901" t="s">
        <v>967</v>
      </c>
    </row>
    <row r="902" spans="1:15" hidden="1">
      <c r="A902" t="s">
        <v>942</v>
      </c>
      <c r="B902" t="s">
        <v>946</v>
      </c>
      <c r="C902" s="553">
        <v>44265</v>
      </c>
      <c r="D902" s="281" t="s">
        <v>4469</v>
      </c>
      <c r="E902" s="281" t="s">
        <v>3624</v>
      </c>
      <c r="F902" s="281">
        <v>3</v>
      </c>
      <c r="G902" s="281">
        <v>5010000000</v>
      </c>
      <c r="H902" t="s">
        <v>2027</v>
      </c>
      <c r="I902" t="s">
        <v>504</v>
      </c>
      <c r="J902" t="s">
        <v>768</v>
      </c>
      <c r="K902" t="s">
        <v>1384</v>
      </c>
      <c r="L902" s="552">
        <v>2000</v>
      </c>
      <c r="O902" t="s">
        <v>967</v>
      </c>
    </row>
    <row r="903" spans="1:15" hidden="1">
      <c r="A903" t="s">
        <v>942</v>
      </c>
      <c r="B903" t="s">
        <v>946</v>
      </c>
      <c r="C903" s="553">
        <v>44265</v>
      </c>
      <c r="D903" s="281" t="s">
        <v>4469</v>
      </c>
      <c r="E903" s="281" t="s">
        <v>3624</v>
      </c>
      <c r="F903" s="281">
        <v>3</v>
      </c>
      <c r="G903" s="281">
        <v>5010301000</v>
      </c>
      <c r="H903" t="s">
        <v>2028</v>
      </c>
      <c r="I903" t="s">
        <v>528</v>
      </c>
      <c r="J903" t="s">
        <v>768</v>
      </c>
      <c r="K903" t="s">
        <v>1384</v>
      </c>
      <c r="L903" s="552">
        <v>13409.04</v>
      </c>
      <c r="O903" t="s">
        <v>969</v>
      </c>
    </row>
    <row r="904" spans="1:15" hidden="1">
      <c r="A904" t="s">
        <v>942</v>
      </c>
      <c r="B904" t="s">
        <v>946</v>
      </c>
      <c r="C904" s="553">
        <v>44265</v>
      </c>
      <c r="D904" s="281" t="s">
        <v>4469</v>
      </c>
      <c r="E904" s="281" t="s">
        <v>3624</v>
      </c>
      <c r="F904" s="281">
        <v>3</v>
      </c>
      <c r="G904" s="281">
        <v>5010000000</v>
      </c>
      <c r="H904" t="s">
        <v>2029</v>
      </c>
      <c r="I904" t="s">
        <v>530</v>
      </c>
      <c r="J904" t="s">
        <v>768</v>
      </c>
      <c r="K904" t="s">
        <v>1384</v>
      </c>
      <c r="L904" s="552">
        <v>100</v>
      </c>
      <c r="O904" t="s">
        <v>967</v>
      </c>
    </row>
    <row r="905" spans="1:15" hidden="1">
      <c r="A905" t="s">
        <v>942</v>
      </c>
      <c r="B905" t="s">
        <v>946</v>
      </c>
      <c r="C905" s="553">
        <v>44265</v>
      </c>
      <c r="D905" s="281" t="s">
        <v>4469</v>
      </c>
      <c r="E905" s="281" t="s">
        <v>3624</v>
      </c>
      <c r="F905" s="281">
        <v>3</v>
      </c>
      <c r="G905" s="281">
        <v>5010000000</v>
      </c>
      <c r="H905" t="s">
        <v>2030</v>
      </c>
      <c r="I905" t="s">
        <v>532</v>
      </c>
      <c r="J905" t="s">
        <v>768</v>
      </c>
      <c r="K905" t="s">
        <v>1384</v>
      </c>
      <c r="L905" s="552">
        <v>900</v>
      </c>
      <c r="O905" t="s">
        <v>967</v>
      </c>
    </row>
    <row r="906" spans="1:15" hidden="1">
      <c r="A906" t="s">
        <v>942</v>
      </c>
      <c r="B906" t="s">
        <v>946</v>
      </c>
      <c r="C906" s="553">
        <v>44265</v>
      </c>
      <c r="D906" s="281" t="s">
        <v>4469</v>
      </c>
      <c r="E906" s="281" t="s">
        <v>3624</v>
      </c>
      <c r="F906" s="281">
        <v>3</v>
      </c>
      <c r="G906" s="281">
        <v>5010000000</v>
      </c>
      <c r="H906" t="s">
        <v>2031</v>
      </c>
      <c r="I906" t="s">
        <v>534</v>
      </c>
      <c r="J906" t="s">
        <v>768</v>
      </c>
      <c r="K906" t="s">
        <v>1384</v>
      </c>
      <c r="L906" s="552">
        <v>100</v>
      </c>
      <c r="O906" t="s">
        <v>967</v>
      </c>
    </row>
    <row r="907" spans="1:15" hidden="1">
      <c r="A907" t="s">
        <v>942</v>
      </c>
      <c r="B907" t="s">
        <v>946</v>
      </c>
      <c r="C907" s="553">
        <v>44265</v>
      </c>
      <c r="D907" s="281" t="s">
        <v>4469</v>
      </c>
      <c r="E907" s="281" t="s">
        <v>3624</v>
      </c>
      <c r="F907" s="281">
        <v>4</v>
      </c>
      <c r="G907" s="281">
        <v>5010000000</v>
      </c>
      <c r="H907" t="s">
        <v>2026</v>
      </c>
      <c r="I907" t="s">
        <v>499</v>
      </c>
      <c r="J907" t="s">
        <v>768</v>
      </c>
      <c r="K907" t="s">
        <v>1384</v>
      </c>
      <c r="L907" s="552">
        <v>236044</v>
      </c>
      <c r="O907" t="s">
        <v>970</v>
      </c>
    </row>
    <row r="908" spans="1:15" hidden="1">
      <c r="A908" t="s">
        <v>942</v>
      </c>
      <c r="B908" t="s">
        <v>946</v>
      </c>
      <c r="C908" s="553">
        <v>44265</v>
      </c>
      <c r="D908" s="281" t="s">
        <v>4469</v>
      </c>
      <c r="E908" s="281" t="s">
        <v>3624</v>
      </c>
      <c r="F908" s="281">
        <v>4</v>
      </c>
      <c r="G908" s="281">
        <v>5010000000</v>
      </c>
      <c r="H908" t="s">
        <v>2027</v>
      </c>
      <c r="I908" t="s">
        <v>504</v>
      </c>
      <c r="J908" t="s">
        <v>768</v>
      </c>
      <c r="K908" t="s">
        <v>1384</v>
      </c>
      <c r="L908" s="552">
        <v>12000</v>
      </c>
      <c r="O908" t="s">
        <v>970</v>
      </c>
    </row>
    <row r="909" spans="1:15" hidden="1">
      <c r="A909" t="s">
        <v>942</v>
      </c>
      <c r="B909" t="s">
        <v>946</v>
      </c>
      <c r="C909" s="553">
        <v>44265</v>
      </c>
      <c r="D909" s="281" t="s">
        <v>4469</v>
      </c>
      <c r="E909" s="281" t="s">
        <v>3624</v>
      </c>
      <c r="F909" s="281">
        <v>4</v>
      </c>
      <c r="G909" s="281">
        <v>5010301000</v>
      </c>
      <c r="H909" t="s">
        <v>2028</v>
      </c>
      <c r="I909" t="s">
        <v>528</v>
      </c>
      <c r="J909" t="s">
        <v>768</v>
      </c>
      <c r="K909" t="s">
        <v>1384</v>
      </c>
      <c r="L909" s="552">
        <v>28325.279999999999</v>
      </c>
      <c r="O909" t="s">
        <v>972</v>
      </c>
    </row>
    <row r="910" spans="1:15" hidden="1">
      <c r="A910" t="s">
        <v>942</v>
      </c>
      <c r="B910" t="s">
        <v>946</v>
      </c>
      <c r="C910" s="553">
        <v>44265</v>
      </c>
      <c r="D910" s="281" t="s">
        <v>4469</v>
      </c>
      <c r="E910" s="281" t="s">
        <v>3624</v>
      </c>
      <c r="F910" s="281">
        <v>4</v>
      </c>
      <c r="G910" s="281">
        <v>5010000000</v>
      </c>
      <c r="H910" t="s">
        <v>2029</v>
      </c>
      <c r="I910" t="s">
        <v>530</v>
      </c>
      <c r="J910" t="s">
        <v>768</v>
      </c>
      <c r="K910" t="s">
        <v>1384</v>
      </c>
      <c r="L910" s="552">
        <v>600</v>
      </c>
      <c r="O910" t="s">
        <v>970</v>
      </c>
    </row>
    <row r="911" spans="1:15" hidden="1">
      <c r="A911" t="s">
        <v>942</v>
      </c>
      <c r="B911" t="s">
        <v>946</v>
      </c>
      <c r="C911" s="553">
        <v>44265</v>
      </c>
      <c r="D911" s="281" t="s">
        <v>4469</v>
      </c>
      <c r="E911" s="281" t="s">
        <v>3624</v>
      </c>
      <c r="F911" s="281">
        <v>4</v>
      </c>
      <c r="G911" s="281">
        <v>5010000000</v>
      </c>
      <c r="H911" t="s">
        <v>2030</v>
      </c>
      <c r="I911" t="s">
        <v>532</v>
      </c>
      <c r="J911" t="s">
        <v>768</v>
      </c>
      <c r="K911" t="s">
        <v>1384</v>
      </c>
      <c r="L911" s="552">
        <v>3540.69</v>
      </c>
      <c r="O911" t="s">
        <v>970</v>
      </c>
    </row>
    <row r="912" spans="1:15" hidden="1">
      <c r="A912" t="s">
        <v>942</v>
      </c>
      <c r="B912" t="s">
        <v>946</v>
      </c>
      <c r="C912" s="553">
        <v>44265</v>
      </c>
      <c r="D912" s="281" t="s">
        <v>4469</v>
      </c>
      <c r="E912" s="281" t="s">
        <v>3624</v>
      </c>
      <c r="F912" s="281">
        <v>4</v>
      </c>
      <c r="G912" s="281">
        <v>5010000000</v>
      </c>
      <c r="H912" t="s">
        <v>2031</v>
      </c>
      <c r="I912" t="s">
        <v>534</v>
      </c>
      <c r="J912" t="s">
        <v>768</v>
      </c>
      <c r="K912" t="s">
        <v>1384</v>
      </c>
      <c r="L912" s="552">
        <v>600</v>
      </c>
      <c r="O912" t="s">
        <v>970</v>
      </c>
    </row>
    <row r="913" spans="1:15" hidden="1">
      <c r="A913" t="s">
        <v>942</v>
      </c>
      <c r="B913" t="s">
        <v>946</v>
      </c>
      <c r="C913" s="553">
        <v>44265</v>
      </c>
      <c r="D913" s="281" t="s">
        <v>4469</v>
      </c>
      <c r="E913" s="281" t="s">
        <v>3624</v>
      </c>
      <c r="F913" s="281">
        <v>5</v>
      </c>
      <c r="G913" s="281">
        <v>5010000000</v>
      </c>
      <c r="H913" t="s">
        <v>2026</v>
      </c>
      <c r="I913" t="s">
        <v>499</v>
      </c>
      <c r="J913" t="s">
        <v>768</v>
      </c>
      <c r="K913" t="s">
        <v>1384</v>
      </c>
      <c r="L913" s="552">
        <v>44694</v>
      </c>
      <c r="O913" t="s">
        <v>973</v>
      </c>
    </row>
    <row r="914" spans="1:15" hidden="1">
      <c r="A914" t="s">
        <v>942</v>
      </c>
      <c r="B914" t="s">
        <v>946</v>
      </c>
      <c r="C914" s="553">
        <v>44265</v>
      </c>
      <c r="D914" s="281" t="s">
        <v>4469</v>
      </c>
      <c r="E914" s="281" t="s">
        <v>3624</v>
      </c>
      <c r="F914" s="281">
        <v>5</v>
      </c>
      <c r="G914" s="281">
        <v>5010000000</v>
      </c>
      <c r="H914" t="s">
        <v>2027</v>
      </c>
      <c r="I914" t="s">
        <v>504</v>
      </c>
      <c r="J914" t="s">
        <v>768</v>
      </c>
      <c r="K914" t="s">
        <v>1384</v>
      </c>
      <c r="L914" s="552">
        <v>2000</v>
      </c>
      <c r="O914" t="s">
        <v>973</v>
      </c>
    </row>
    <row r="915" spans="1:15" hidden="1">
      <c r="A915" t="s">
        <v>942</v>
      </c>
      <c r="B915" t="s">
        <v>946</v>
      </c>
      <c r="C915" s="553">
        <v>44265</v>
      </c>
      <c r="D915" s="281" t="s">
        <v>4469</v>
      </c>
      <c r="E915" s="281" t="s">
        <v>3624</v>
      </c>
      <c r="F915" s="281">
        <v>5</v>
      </c>
      <c r="G915" s="281">
        <v>5010301000</v>
      </c>
      <c r="H915" t="s">
        <v>2028</v>
      </c>
      <c r="I915" t="s">
        <v>528</v>
      </c>
      <c r="J915" t="s">
        <v>768</v>
      </c>
      <c r="K915" t="s">
        <v>1384</v>
      </c>
      <c r="L915" s="552">
        <v>5363.28</v>
      </c>
      <c r="O915" t="s">
        <v>975</v>
      </c>
    </row>
    <row r="916" spans="1:15" hidden="1">
      <c r="A916" t="s">
        <v>942</v>
      </c>
      <c r="B916" t="s">
        <v>946</v>
      </c>
      <c r="C916" s="553">
        <v>44265</v>
      </c>
      <c r="D916" s="281" t="s">
        <v>4469</v>
      </c>
      <c r="E916" s="281" t="s">
        <v>3624</v>
      </c>
      <c r="F916" s="281">
        <v>5</v>
      </c>
      <c r="G916" s="281">
        <v>5010000000</v>
      </c>
      <c r="H916" t="s">
        <v>2029</v>
      </c>
      <c r="I916" t="s">
        <v>530</v>
      </c>
      <c r="J916" t="s">
        <v>768</v>
      </c>
      <c r="K916" t="s">
        <v>1384</v>
      </c>
      <c r="L916" s="552">
        <v>100</v>
      </c>
      <c r="O916" t="s">
        <v>973</v>
      </c>
    </row>
    <row r="917" spans="1:15" hidden="1">
      <c r="A917" t="s">
        <v>942</v>
      </c>
      <c r="B917" t="s">
        <v>946</v>
      </c>
      <c r="C917" s="553">
        <v>44265</v>
      </c>
      <c r="D917" s="281" t="s">
        <v>4469</v>
      </c>
      <c r="E917" s="281" t="s">
        <v>3624</v>
      </c>
      <c r="F917" s="281">
        <v>5</v>
      </c>
      <c r="G917" s="281">
        <v>5010000000</v>
      </c>
      <c r="H917" t="s">
        <v>2030</v>
      </c>
      <c r="I917" t="s">
        <v>532</v>
      </c>
      <c r="J917" t="s">
        <v>768</v>
      </c>
      <c r="K917" t="s">
        <v>1384</v>
      </c>
      <c r="L917" s="552">
        <v>670.41</v>
      </c>
      <c r="O917" t="s">
        <v>973</v>
      </c>
    </row>
    <row r="918" spans="1:15" hidden="1">
      <c r="A918" t="s">
        <v>942</v>
      </c>
      <c r="B918" t="s">
        <v>946</v>
      </c>
      <c r="C918" s="553">
        <v>44265</v>
      </c>
      <c r="D918" s="281" t="s">
        <v>4469</v>
      </c>
      <c r="E918" s="281" t="s">
        <v>3624</v>
      </c>
      <c r="F918" s="281">
        <v>5</v>
      </c>
      <c r="G918" s="281">
        <v>5010000000</v>
      </c>
      <c r="H918" t="s">
        <v>2031</v>
      </c>
      <c r="I918" t="s">
        <v>534</v>
      </c>
      <c r="J918" t="s">
        <v>768</v>
      </c>
      <c r="K918" t="s">
        <v>1384</v>
      </c>
      <c r="L918" s="552">
        <v>100</v>
      </c>
      <c r="O918" t="s">
        <v>973</v>
      </c>
    </row>
    <row r="919" spans="1:15" hidden="1">
      <c r="A919" t="s">
        <v>942</v>
      </c>
      <c r="B919" t="s">
        <v>946</v>
      </c>
      <c r="C919" s="553">
        <v>44265</v>
      </c>
      <c r="D919" s="281" t="s">
        <v>4470</v>
      </c>
      <c r="E919" s="281" t="s">
        <v>3626</v>
      </c>
      <c r="F919" s="281">
        <v>1</v>
      </c>
      <c r="G919" s="281">
        <v>5010000000</v>
      </c>
      <c r="H919" t="s">
        <v>2026</v>
      </c>
      <c r="I919" t="s">
        <v>499</v>
      </c>
      <c r="J919" t="s">
        <v>765</v>
      </c>
      <c r="K919" t="s">
        <v>1384</v>
      </c>
      <c r="L919" s="552">
        <v>57452</v>
      </c>
      <c r="O919" t="s">
        <v>960</v>
      </c>
    </row>
    <row r="920" spans="1:15" hidden="1">
      <c r="A920" t="s">
        <v>942</v>
      </c>
      <c r="B920" t="s">
        <v>946</v>
      </c>
      <c r="C920" s="553">
        <v>44265</v>
      </c>
      <c r="D920" s="281" t="s">
        <v>4470</v>
      </c>
      <c r="E920" s="281" t="s">
        <v>3626</v>
      </c>
      <c r="F920" s="281">
        <v>1</v>
      </c>
      <c r="G920" s="281">
        <v>5010000000</v>
      </c>
      <c r="H920" t="s">
        <v>2027</v>
      </c>
      <c r="I920" t="s">
        <v>504</v>
      </c>
      <c r="J920" t="s">
        <v>765</v>
      </c>
      <c r="K920" t="s">
        <v>1384</v>
      </c>
      <c r="L920" s="552">
        <v>4000</v>
      </c>
      <c r="O920" t="s">
        <v>960</v>
      </c>
    </row>
    <row r="921" spans="1:15" hidden="1">
      <c r="A921" t="s">
        <v>942</v>
      </c>
      <c r="B921" t="s">
        <v>946</v>
      </c>
      <c r="C921" s="553">
        <v>44265</v>
      </c>
      <c r="D921" s="281" t="s">
        <v>4470</v>
      </c>
      <c r="E921" s="281" t="s">
        <v>3626</v>
      </c>
      <c r="F921" s="281">
        <v>1</v>
      </c>
      <c r="G921" s="281">
        <v>5010301000</v>
      </c>
      <c r="H921" t="s">
        <v>2028</v>
      </c>
      <c r="I921" t="s">
        <v>528</v>
      </c>
      <c r="J921" t="s">
        <v>765</v>
      </c>
      <c r="K921" t="s">
        <v>1384</v>
      </c>
      <c r="L921" s="552">
        <v>6894.24</v>
      </c>
      <c r="O921" t="s">
        <v>962</v>
      </c>
    </row>
    <row r="922" spans="1:15" hidden="1">
      <c r="A922" t="s">
        <v>942</v>
      </c>
      <c r="B922" t="s">
        <v>946</v>
      </c>
      <c r="C922" s="553">
        <v>44265</v>
      </c>
      <c r="D922" s="281" t="s">
        <v>4470</v>
      </c>
      <c r="E922" s="281" t="s">
        <v>3626</v>
      </c>
      <c r="F922" s="281">
        <v>1</v>
      </c>
      <c r="G922" s="281">
        <v>5010000000</v>
      </c>
      <c r="H922" t="s">
        <v>2029</v>
      </c>
      <c r="I922" t="s">
        <v>530</v>
      </c>
      <c r="J922" t="s">
        <v>765</v>
      </c>
      <c r="K922" t="s">
        <v>1384</v>
      </c>
      <c r="L922" s="552">
        <v>200</v>
      </c>
      <c r="O922" t="s">
        <v>960</v>
      </c>
    </row>
    <row r="923" spans="1:15" hidden="1">
      <c r="A923" t="s">
        <v>942</v>
      </c>
      <c r="B923" t="s">
        <v>946</v>
      </c>
      <c r="C923" s="553">
        <v>44265</v>
      </c>
      <c r="D923" s="281" t="s">
        <v>4470</v>
      </c>
      <c r="E923" s="281" t="s">
        <v>3626</v>
      </c>
      <c r="F923" s="281">
        <v>1</v>
      </c>
      <c r="G923" s="281">
        <v>5010000000</v>
      </c>
      <c r="H923" t="s">
        <v>2030</v>
      </c>
      <c r="I923" t="s">
        <v>532</v>
      </c>
      <c r="J923" t="s">
        <v>765</v>
      </c>
      <c r="K923" t="s">
        <v>1384</v>
      </c>
      <c r="L923" s="552">
        <v>861.79</v>
      </c>
      <c r="O923" t="s">
        <v>960</v>
      </c>
    </row>
    <row r="924" spans="1:15" hidden="1">
      <c r="A924" t="s">
        <v>942</v>
      </c>
      <c r="B924" t="s">
        <v>946</v>
      </c>
      <c r="C924" s="553">
        <v>44265</v>
      </c>
      <c r="D924" s="281" t="s">
        <v>4470</v>
      </c>
      <c r="E924" s="281" t="s">
        <v>3626</v>
      </c>
      <c r="F924" s="281">
        <v>1</v>
      </c>
      <c r="G924" s="281">
        <v>5010000000</v>
      </c>
      <c r="H924" t="s">
        <v>2031</v>
      </c>
      <c r="I924" t="s">
        <v>534</v>
      </c>
      <c r="J924" t="s">
        <v>765</v>
      </c>
      <c r="K924" t="s">
        <v>1384</v>
      </c>
      <c r="L924" s="552">
        <v>200</v>
      </c>
      <c r="O924" t="s">
        <v>960</v>
      </c>
    </row>
    <row r="925" spans="1:15" hidden="1">
      <c r="A925" t="s">
        <v>942</v>
      </c>
      <c r="B925" t="s">
        <v>946</v>
      </c>
      <c r="C925" s="553">
        <v>44265</v>
      </c>
      <c r="D925" s="281" t="s">
        <v>4470</v>
      </c>
      <c r="E925" s="281" t="s">
        <v>3626</v>
      </c>
      <c r="F925" s="281">
        <v>2</v>
      </c>
      <c r="G925" s="281">
        <v>5010000000</v>
      </c>
      <c r="H925" t="s">
        <v>2026</v>
      </c>
      <c r="I925" t="s">
        <v>499</v>
      </c>
      <c r="J925" t="s">
        <v>765</v>
      </c>
      <c r="K925" t="s">
        <v>1384</v>
      </c>
      <c r="L925" s="552">
        <v>111742</v>
      </c>
      <c r="O925" t="s">
        <v>964</v>
      </c>
    </row>
    <row r="926" spans="1:15" hidden="1">
      <c r="A926" t="s">
        <v>942</v>
      </c>
      <c r="B926" t="s">
        <v>946</v>
      </c>
      <c r="C926" s="553">
        <v>44265</v>
      </c>
      <c r="D926" s="281" t="s">
        <v>4470</v>
      </c>
      <c r="E926" s="281" t="s">
        <v>3626</v>
      </c>
      <c r="F926" s="281">
        <v>2</v>
      </c>
      <c r="G926" s="281">
        <v>5010000000</v>
      </c>
      <c r="H926" t="s">
        <v>2027</v>
      </c>
      <c r="I926" t="s">
        <v>504</v>
      </c>
      <c r="J926" t="s">
        <v>765</v>
      </c>
      <c r="K926" t="s">
        <v>1384</v>
      </c>
      <c r="L926" s="552">
        <v>2000</v>
      </c>
      <c r="O926" t="s">
        <v>964</v>
      </c>
    </row>
    <row r="927" spans="1:15" hidden="1">
      <c r="A927" t="s">
        <v>942</v>
      </c>
      <c r="B927" t="s">
        <v>946</v>
      </c>
      <c r="C927" s="553">
        <v>44265</v>
      </c>
      <c r="D927" s="281" t="s">
        <v>4470</v>
      </c>
      <c r="E927" s="281" t="s">
        <v>3626</v>
      </c>
      <c r="F927" s="281">
        <v>2</v>
      </c>
      <c r="G927" s="281">
        <v>5010301000</v>
      </c>
      <c r="H927" t="s">
        <v>2028</v>
      </c>
      <c r="I927" t="s">
        <v>528</v>
      </c>
      <c r="J927" t="s">
        <v>765</v>
      </c>
      <c r="K927" t="s">
        <v>1384</v>
      </c>
      <c r="L927" s="552">
        <v>13409.04</v>
      </c>
      <c r="O927" t="s">
        <v>966</v>
      </c>
    </row>
    <row r="928" spans="1:15" hidden="1">
      <c r="A928" t="s">
        <v>942</v>
      </c>
      <c r="B928" t="s">
        <v>946</v>
      </c>
      <c r="C928" s="553">
        <v>44265</v>
      </c>
      <c r="D928" s="281" t="s">
        <v>4470</v>
      </c>
      <c r="E928" s="281" t="s">
        <v>3626</v>
      </c>
      <c r="F928" s="281">
        <v>2</v>
      </c>
      <c r="G928" s="281">
        <v>5010000000</v>
      </c>
      <c r="H928" t="s">
        <v>2029</v>
      </c>
      <c r="I928" t="s">
        <v>530</v>
      </c>
      <c r="J928" t="s">
        <v>765</v>
      </c>
      <c r="K928" t="s">
        <v>1384</v>
      </c>
      <c r="L928" s="552">
        <v>100</v>
      </c>
      <c r="O928" t="s">
        <v>964</v>
      </c>
    </row>
    <row r="929" spans="1:15" hidden="1">
      <c r="A929" t="s">
        <v>942</v>
      </c>
      <c r="B929" t="s">
        <v>946</v>
      </c>
      <c r="C929" s="553">
        <v>44265</v>
      </c>
      <c r="D929" s="281" t="s">
        <v>4470</v>
      </c>
      <c r="E929" s="281" t="s">
        <v>3626</v>
      </c>
      <c r="F929" s="281">
        <v>2</v>
      </c>
      <c r="G929" s="281">
        <v>5010000000</v>
      </c>
      <c r="H929" t="s">
        <v>2030</v>
      </c>
      <c r="I929" t="s">
        <v>532</v>
      </c>
      <c r="J929" t="s">
        <v>765</v>
      </c>
      <c r="K929" t="s">
        <v>1384</v>
      </c>
      <c r="L929" s="552">
        <v>900</v>
      </c>
      <c r="O929" t="s">
        <v>964</v>
      </c>
    </row>
    <row r="930" spans="1:15" hidden="1">
      <c r="A930" t="s">
        <v>942</v>
      </c>
      <c r="B930" t="s">
        <v>946</v>
      </c>
      <c r="C930" s="553">
        <v>44265</v>
      </c>
      <c r="D930" s="281" t="s">
        <v>4470</v>
      </c>
      <c r="E930" s="281" t="s">
        <v>3626</v>
      </c>
      <c r="F930" s="281">
        <v>2</v>
      </c>
      <c r="G930" s="281">
        <v>5010000000</v>
      </c>
      <c r="H930" t="s">
        <v>2031</v>
      </c>
      <c r="I930" t="s">
        <v>534</v>
      </c>
      <c r="J930" t="s">
        <v>765</v>
      </c>
      <c r="K930" t="s">
        <v>1384</v>
      </c>
      <c r="L930" s="552">
        <v>100</v>
      </c>
      <c r="O930" t="s">
        <v>964</v>
      </c>
    </row>
    <row r="931" spans="1:15" hidden="1">
      <c r="A931" t="s">
        <v>942</v>
      </c>
      <c r="B931" t="s">
        <v>946</v>
      </c>
      <c r="C931" s="553">
        <v>44265</v>
      </c>
      <c r="D931" s="281" t="s">
        <v>4470</v>
      </c>
      <c r="E931" s="281" t="s">
        <v>3626</v>
      </c>
      <c r="F931" s="281">
        <v>3</v>
      </c>
      <c r="G931" s="281">
        <v>5010000000</v>
      </c>
      <c r="H931" t="s">
        <v>2026</v>
      </c>
      <c r="I931" t="s">
        <v>499</v>
      </c>
      <c r="J931" t="s">
        <v>765</v>
      </c>
      <c r="K931" t="s">
        <v>1384</v>
      </c>
      <c r="L931" s="552">
        <v>81329</v>
      </c>
      <c r="O931" t="s">
        <v>967</v>
      </c>
    </row>
    <row r="932" spans="1:15" hidden="1">
      <c r="A932" t="s">
        <v>942</v>
      </c>
      <c r="B932" t="s">
        <v>946</v>
      </c>
      <c r="C932" s="553">
        <v>44265</v>
      </c>
      <c r="D932" s="281" t="s">
        <v>4470</v>
      </c>
      <c r="E932" s="281" t="s">
        <v>3626</v>
      </c>
      <c r="F932" s="281">
        <v>3</v>
      </c>
      <c r="G932" s="281">
        <v>5010000000</v>
      </c>
      <c r="H932" t="s">
        <v>2027</v>
      </c>
      <c r="I932" t="s">
        <v>504</v>
      </c>
      <c r="J932" t="s">
        <v>765</v>
      </c>
      <c r="K932" t="s">
        <v>1384</v>
      </c>
      <c r="L932" s="552">
        <v>6000</v>
      </c>
      <c r="O932" t="s">
        <v>967</v>
      </c>
    </row>
    <row r="933" spans="1:15" hidden="1">
      <c r="A933" t="s">
        <v>942</v>
      </c>
      <c r="B933" t="s">
        <v>946</v>
      </c>
      <c r="C933" s="553">
        <v>44265</v>
      </c>
      <c r="D933" s="281" t="s">
        <v>4470</v>
      </c>
      <c r="E933" s="281" t="s">
        <v>3626</v>
      </c>
      <c r="F933" s="281">
        <v>3</v>
      </c>
      <c r="G933" s="281">
        <v>5010301000</v>
      </c>
      <c r="H933" t="s">
        <v>2028</v>
      </c>
      <c r="I933" t="s">
        <v>528</v>
      </c>
      <c r="J933" t="s">
        <v>765</v>
      </c>
      <c r="K933" t="s">
        <v>1384</v>
      </c>
      <c r="L933" s="552">
        <v>9759.48</v>
      </c>
      <c r="O933" t="s">
        <v>969</v>
      </c>
    </row>
    <row r="934" spans="1:15" hidden="1">
      <c r="A934" t="s">
        <v>942</v>
      </c>
      <c r="B934" t="s">
        <v>946</v>
      </c>
      <c r="C934" s="553">
        <v>44265</v>
      </c>
      <c r="D934" s="281" t="s">
        <v>4470</v>
      </c>
      <c r="E934" s="281" t="s">
        <v>3626</v>
      </c>
      <c r="F934" s="281">
        <v>3</v>
      </c>
      <c r="G934" s="281">
        <v>5010000000</v>
      </c>
      <c r="H934" t="s">
        <v>2029</v>
      </c>
      <c r="I934" t="s">
        <v>530</v>
      </c>
      <c r="J934" t="s">
        <v>765</v>
      </c>
      <c r="K934" t="s">
        <v>1384</v>
      </c>
      <c r="L934" s="552">
        <v>300</v>
      </c>
      <c r="O934" t="s">
        <v>967</v>
      </c>
    </row>
    <row r="935" spans="1:15" hidden="1">
      <c r="A935" t="s">
        <v>942</v>
      </c>
      <c r="B935" t="s">
        <v>946</v>
      </c>
      <c r="C935" s="553">
        <v>44265</v>
      </c>
      <c r="D935" s="281" t="s">
        <v>4470</v>
      </c>
      <c r="E935" s="281" t="s">
        <v>3626</v>
      </c>
      <c r="F935" s="281">
        <v>3</v>
      </c>
      <c r="G935" s="281">
        <v>5010000000</v>
      </c>
      <c r="H935" t="s">
        <v>2030</v>
      </c>
      <c r="I935" t="s">
        <v>532</v>
      </c>
      <c r="J935" t="s">
        <v>765</v>
      </c>
      <c r="K935" t="s">
        <v>1384</v>
      </c>
      <c r="L935" s="552">
        <v>1219.95</v>
      </c>
      <c r="O935" t="s">
        <v>967</v>
      </c>
    </row>
    <row r="936" spans="1:15" hidden="1">
      <c r="A936" t="s">
        <v>942</v>
      </c>
      <c r="B936" t="s">
        <v>946</v>
      </c>
      <c r="C936" s="553">
        <v>44265</v>
      </c>
      <c r="D936" s="281" t="s">
        <v>4470</v>
      </c>
      <c r="E936" s="281" t="s">
        <v>3626</v>
      </c>
      <c r="F936" s="281">
        <v>3</v>
      </c>
      <c r="G936" s="281">
        <v>5010000000</v>
      </c>
      <c r="H936" t="s">
        <v>2031</v>
      </c>
      <c r="I936" t="s">
        <v>534</v>
      </c>
      <c r="J936" t="s">
        <v>765</v>
      </c>
      <c r="K936" t="s">
        <v>1384</v>
      </c>
      <c r="L936" s="552">
        <v>300</v>
      </c>
      <c r="O936" t="s">
        <v>967</v>
      </c>
    </row>
    <row r="937" spans="1:15" hidden="1">
      <c r="A937" t="s">
        <v>942</v>
      </c>
      <c r="B937" t="s">
        <v>946</v>
      </c>
      <c r="C937" s="553">
        <v>44265</v>
      </c>
      <c r="D937" s="281" t="s">
        <v>4470</v>
      </c>
      <c r="E937" s="281" t="s">
        <v>3626</v>
      </c>
      <c r="F937" s="281">
        <v>4</v>
      </c>
      <c r="G937" s="281">
        <v>5010000000</v>
      </c>
      <c r="H937" t="s">
        <v>2026</v>
      </c>
      <c r="I937" t="s">
        <v>499</v>
      </c>
      <c r="J937" t="s">
        <v>765</v>
      </c>
      <c r="K937" t="s">
        <v>1384</v>
      </c>
      <c r="L937" s="552">
        <v>78017</v>
      </c>
      <c r="O937" t="s">
        <v>970</v>
      </c>
    </row>
    <row r="938" spans="1:15" hidden="1">
      <c r="A938" t="s">
        <v>942</v>
      </c>
      <c r="B938" t="s">
        <v>946</v>
      </c>
      <c r="C938" s="553">
        <v>44265</v>
      </c>
      <c r="D938" s="281" t="s">
        <v>4470</v>
      </c>
      <c r="E938" s="281" t="s">
        <v>3626</v>
      </c>
      <c r="F938" s="281">
        <v>4</v>
      </c>
      <c r="G938" s="281">
        <v>5010000000</v>
      </c>
      <c r="H938" t="s">
        <v>2027</v>
      </c>
      <c r="I938" t="s">
        <v>504</v>
      </c>
      <c r="J938" t="s">
        <v>765</v>
      </c>
      <c r="K938" t="s">
        <v>1384</v>
      </c>
      <c r="L938" s="552">
        <v>4000</v>
      </c>
      <c r="O938" t="s">
        <v>970</v>
      </c>
    </row>
    <row r="939" spans="1:15" hidden="1">
      <c r="A939" t="s">
        <v>942</v>
      </c>
      <c r="B939" t="s">
        <v>946</v>
      </c>
      <c r="C939" s="553">
        <v>44265</v>
      </c>
      <c r="D939" s="281" t="s">
        <v>4470</v>
      </c>
      <c r="E939" s="281" t="s">
        <v>3626</v>
      </c>
      <c r="F939" s="281">
        <v>4</v>
      </c>
      <c r="G939" s="281">
        <v>5010301000</v>
      </c>
      <c r="H939" t="s">
        <v>2028</v>
      </c>
      <c r="I939" t="s">
        <v>528</v>
      </c>
      <c r="J939" t="s">
        <v>765</v>
      </c>
      <c r="K939" t="s">
        <v>1384</v>
      </c>
      <c r="L939" s="552">
        <v>9362.0400000000009</v>
      </c>
      <c r="O939" t="s">
        <v>972</v>
      </c>
    </row>
    <row r="940" spans="1:15" hidden="1">
      <c r="A940" t="s">
        <v>942</v>
      </c>
      <c r="B940" t="s">
        <v>946</v>
      </c>
      <c r="C940" s="553">
        <v>44265</v>
      </c>
      <c r="D940" s="281" t="s">
        <v>4470</v>
      </c>
      <c r="E940" s="281" t="s">
        <v>3626</v>
      </c>
      <c r="F940" s="281">
        <v>4</v>
      </c>
      <c r="G940" s="281">
        <v>5010000000</v>
      </c>
      <c r="H940" t="s">
        <v>2029</v>
      </c>
      <c r="I940" t="s">
        <v>530</v>
      </c>
      <c r="J940" t="s">
        <v>765</v>
      </c>
      <c r="K940" t="s">
        <v>1384</v>
      </c>
      <c r="L940" s="552">
        <v>200</v>
      </c>
      <c r="O940" t="s">
        <v>970</v>
      </c>
    </row>
    <row r="941" spans="1:15" hidden="1">
      <c r="A941" t="s">
        <v>942</v>
      </c>
      <c r="B941" t="s">
        <v>946</v>
      </c>
      <c r="C941" s="553">
        <v>44265</v>
      </c>
      <c r="D941" s="281" t="s">
        <v>4470</v>
      </c>
      <c r="E941" s="281" t="s">
        <v>3626</v>
      </c>
      <c r="F941" s="281">
        <v>4</v>
      </c>
      <c r="G941" s="281">
        <v>5010000000</v>
      </c>
      <c r="H941" t="s">
        <v>2030</v>
      </c>
      <c r="I941" t="s">
        <v>532</v>
      </c>
      <c r="J941" t="s">
        <v>765</v>
      </c>
      <c r="K941" t="s">
        <v>1384</v>
      </c>
      <c r="L941" s="552">
        <v>1170.26</v>
      </c>
      <c r="O941" t="s">
        <v>970</v>
      </c>
    </row>
    <row r="942" spans="1:15" hidden="1">
      <c r="A942" t="s">
        <v>942</v>
      </c>
      <c r="B942" t="s">
        <v>946</v>
      </c>
      <c r="C942" s="553">
        <v>44265</v>
      </c>
      <c r="D942" s="281" t="s">
        <v>4470</v>
      </c>
      <c r="E942" s="281" t="s">
        <v>3626</v>
      </c>
      <c r="F942" s="281">
        <v>4</v>
      </c>
      <c r="G942" s="281">
        <v>5010000000</v>
      </c>
      <c r="H942" t="s">
        <v>2031</v>
      </c>
      <c r="I942" t="s">
        <v>534</v>
      </c>
      <c r="J942" t="s">
        <v>765</v>
      </c>
      <c r="K942" t="s">
        <v>1384</v>
      </c>
      <c r="L942" s="552">
        <v>200</v>
      </c>
      <c r="O942" t="s">
        <v>970</v>
      </c>
    </row>
    <row r="943" spans="1:15" hidden="1">
      <c r="A943" t="s">
        <v>942</v>
      </c>
      <c r="B943" t="s">
        <v>946</v>
      </c>
      <c r="C943" s="553">
        <v>44265</v>
      </c>
      <c r="D943" s="281" t="s">
        <v>4471</v>
      </c>
      <c r="E943" s="281" t="s">
        <v>3628</v>
      </c>
      <c r="F943" s="281">
        <v>13</v>
      </c>
      <c r="G943" s="281" t="s">
        <v>2036</v>
      </c>
      <c r="H943" t="s">
        <v>2036</v>
      </c>
      <c r="I943" t="s">
        <v>501</v>
      </c>
      <c r="J943" t="s">
        <v>872</v>
      </c>
      <c r="K943" t="s">
        <v>1390</v>
      </c>
      <c r="L943" s="552">
        <v>33575</v>
      </c>
      <c r="O943" t="s">
        <v>999</v>
      </c>
    </row>
    <row r="944" spans="1:15" hidden="1">
      <c r="A944" t="s">
        <v>942</v>
      </c>
      <c r="B944" t="s">
        <v>946</v>
      </c>
      <c r="C944" s="553">
        <v>44265</v>
      </c>
      <c r="D944" s="281" t="s">
        <v>4471</v>
      </c>
      <c r="E944" s="281" t="s">
        <v>3628</v>
      </c>
      <c r="F944" s="281">
        <v>13</v>
      </c>
      <c r="G944" s="281" t="s">
        <v>2036</v>
      </c>
      <c r="H944" t="s">
        <v>2027</v>
      </c>
      <c r="I944" t="s">
        <v>504</v>
      </c>
      <c r="J944" t="s">
        <v>872</v>
      </c>
      <c r="K944" t="s">
        <v>1390</v>
      </c>
      <c r="L944" s="552">
        <v>2000</v>
      </c>
      <c r="O944" t="s">
        <v>999</v>
      </c>
    </row>
    <row r="945" spans="1:15" hidden="1">
      <c r="A945" t="s">
        <v>942</v>
      </c>
      <c r="B945" t="s">
        <v>946</v>
      </c>
      <c r="C945" s="553">
        <v>44265</v>
      </c>
      <c r="D945" s="281" t="s">
        <v>4471</v>
      </c>
      <c r="E945" s="281" t="s">
        <v>3628</v>
      </c>
      <c r="F945" s="281">
        <v>13</v>
      </c>
      <c r="G945" s="281" t="s">
        <v>2036</v>
      </c>
      <c r="H945" t="s">
        <v>2028</v>
      </c>
      <c r="I945" t="s">
        <v>528</v>
      </c>
      <c r="J945" t="s">
        <v>872</v>
      </c>
      <c r="K945" t="s">
        <v>1390</v>
      </c>
      <c r="L945" s="552">
        <v>4029</v>
      </c>
      <c r="O945" t="s">
        <v>999</v>
      </c>
    </row>
    <row r="946" spans="1:15" hidden="1">
      <c r="A946" t="s">
        <v>942</v>
      </c>
      <c r="B946" t="s">
        <v>946</v>
      </c>
      <c r="C946" s="553">
        <v>44265</v>
      </c>
      <c r="D946" s="281" t="s">
        <v>4471</v>
      </c>
      <c r="E946" s="281" t="s">
        <v>3628</v>
      </c>
      <c r="F946" s="281">
        <v>13</v>
      </c>
      <c r="G946" s="281" t="s">
        <v>2036</v>
      </c>
      <c r="H946" t="s">
        <v>2029</v>
      </c>
      <c r="I946" t="s">
        <v>530</v>
      </c>
      <c r="J946" t="s">
        <v>872</v>
      </c>
      <c r="K946" t="s">
        <v>1390</v>
      </c>
      <c r="L946" s="552">
        <v>100</v>
      </c>
      <c r="O946" t="s">
        <v>999</v>
      </c>
    </row>
    <row r="947" spans="1:15" hidden="1">
      <c r="A947" t="s">
        <v>942</v>
      </c>
      <c r="B947" t="s">
        <v>946</v>
      </c>
      <c r="C947" s="553">
        <v>44265</v>
      </c>
      <c r="D947" s="281" t="s">
        <v>4471</v>
      </c>
      <c r="E947" s="281" t="s">
        <v>3628</v>
      </c>
      <c r="F947" s="281">
        <v>13</v>
      </c>
      <c r="G947" s="281" t="s">
        <v>2036</v>
      </c>
      <c r="H947" t="s">
        <v>2030</v>
      </c>
      <c r="I947" t="s">
        <v>532</v>
      </c>
      <c r="J947" t="s">
        <v>872</v>
      </c>
      <c r="K947" t="s">
        <v>1390</v>
      </c>
      <c r="L947" s="552">
        <v>503.63</v>
      </c>
      <c r="O947" t="s">
        <v>999</v>
      </c>
    </row>
    <row r="948" spans="1:15" hidden="1">
      <c r="A948" t="s">
        <v>942</v>
      </c>
      <c r="B948" t="s">
        <v>946</v>
      </c>
      <c r="C948" s="553">
        <v>44265</v>
      </c>
      <c r="D948" s="281" t="s">
        <v>4471</v>
      </c>
      <c r="E948" s="281" t="s">
        <v>3628</v>
      </c>
      <c r="F948" s="281">
        <v>13</v>
      </c>
      <c r="G948" s="281" t="s">
        <v>2036</v>
      </c>
      <c r="H948" t="s">
        <v>2031</v>
      </c>
      <c r="I948" t="s">
        <v>534</v>
      </c>
      <c r="J948" t="s">
        <v>872</v>
      </c>
      <c r="K948" t="s">
        <v>1390</v>
      </c>
      <c r="L948" s="552">
        <v>100</v>
      </c>
      <c r="O948" t="s">
        <v>999</v>
      </c>
    </row>
    <row r="949" spans="1:15" hidden="1">
      <c r="A949" t="s">
        <v>942</v>
      </c>
      <c r="B949" t="s">
        <v>946</v>
      </c>
      <c r="C949" s="553">
        <v>44265</v>
      </c>
      <c r="D949" s="281" t="s">
        <v>4472</v>
      </c>
      <c r="E949" s="281" t="s">
        <v>3631</v>
      </c>
      <c r="F949" s="281">
        <v>13</v>
      </c>
      <c r="G949" s="281" t="s">
        <v>2036</v>
      </c>
      <c r="H949" t="s">
        <v>2036</v>
      </c>
      <c r="I949" t="s">
        <v>501</v>
      </c>
      <c r="J949" t="s">
        <v>863</v>
      </c>
      <c r="K949" t="s">
        <v>1390</v>
      </c>
      <c r="L949" s="552">
        <v>43681</v>
      </c>
      <c r="O949" t="s">
        <v>999</v>
      </c>
    </row>
    <row r="950" spans="1:15" hidden="1">
      <c r="A950" t="s">
        <v>942</v>
      </c>
      <c r="B950" t="s">
        <v>946</v>
      </c>
      <c r="C950" s="553">
        <v>44265</v>
      </c>
      <c r="D950" s="281" t="s">
        <v>4472</v>
      </c>
      <c r="E950" s="281" t="s">
        <v>3631</v>
      </c>
      <c r="F950" s="281">
        <v>13</v>
      </c>
      <c r="G950" s="281" t="s">
        <v>2036</v>
      </c>
      <c r="H950" t="s">
        <v>2027</v>
      </c>
      <c r="I950" t="s">
        <v>504</v>
      </c>
      <c r="J950" t="s">
        <v>863</v>
      </c>
      <c r="K950" t="s">
        <v>1390</v>
      </c>
      <c r="L950" s="552">
        <v>2000</v>
      </c>
      <c r="O950" t="s">
        <v>999</v>
      </c>
    </row>
    <row r="951" spans="1:15" hidden="1">
      <c r="A951" t="s">
        <v>942</v>
      </c>
      <c r="B951" t="s">
        <v>946</v>
      </c>
      <c r="C951" s="553">
        <v>44265</v>
      </c>
      <c r="D951" s="281" t="s">
        <v>4472</v>
      </c>
      <c r="E951" s="281" t="s">
        <v>3631</v>
      </c>
      <c r="F951" s="281">
        <v>13</v>
      </c>
      <c r="G951" s="281" t="s">
        <v>2036</v>
      </c>
      <c r="H951" t="s">
        <v>2028</v>
      </c>
      <c r="I951" t="s">
        <v>528</v>
      </c>
      <c r="J951" t="s">
        <v>863</v>
      </c>
      <c r="K951" t="s">
        <v>1390</v>
      </c>
      <c r="L951" s="552">
        <v>5241.72</v>
      </c>
      <c r="O951" t="s">
        <v>999</v>
      </c>
    </row>
    <row r="952" spans="1:15" hidden="1">
      <c r="A952" t="s">
        <v>942</v>
      </c>
      <c r="B952" t="s">
        <v>946</v>
      </c>
      <c r="C952" s="553">
        <v>44265</v>
      </c>
      <c r="D952" s="281" t="s">
        <v>4472</v>
      </c>
      <c r="E952" s="281" t="s">
        <v>3631</v>
      </c>
      <c r="F952" s="281">
        <v>13</v>
      </c>
      <c r="G952" s="281" t="s">
        <v>2036</v>
      </c>
      <c r="H952" t="s">
        <v>2029</v>
      </c>
      <c r="I952" t="s">
        <v>530</v>
      </c>
      <c r="J952" t="s">
        <v>863</v>
      </c>
      <c r="K952" t="s">
        <v>1390</v>
      </c>
      <c r="L952" s="552">
        <v>100</v>
      </c>
      <c r="O952" t="s">
        <v>999</v>
      </c>
    </row>
    <row r="953" spans="1:15" hidden="1">
      <c r="A953" t="s">
        <v>942</v>
      </c>
      <c r="B953" t="s">
        <v>946</v>
      </c>
      <c r="C953" s="553">
        <v>44265</v>
      </c>
      <c r="D953" s="281" t="s">
        <v>4472</v>
      </c>
      <c r="E953" s="281" t="s">
        <v>3631</v>
      </c>
      <c r="F953" s="281">
        <v>13</v>
      </c>
      <c r="G953" s="281" t="s">
        <v>2036</v>
      </c>
      <c r="H953" t="s">
        <v>2030</v>
      </c>
      <c r="I953" t="s">
        <v>532</v>
      </c>
      <c r="J953" t="s">
        <v>863</v>
      </c>
      <c r="K953" t="s">
        <v>1390</v>
      </c>
      <c r="L953" s="552">
        <v>655.22</v>
      </c>
      <c r="O953" t="s">
        <v>999</v>
      </c>
    </row>
    <row r="954" spans="1:15" hidden="1">
      <c r="A954" t="s">
        <v>942</v>
      </c>
      <c r="B954" t="s">
        <v>946</v>
      </c>
      <c r="C954" s="553">
        <v>44265</v>
      </c>
      <c r="D954" s="281" t="s">
        <v>4472</v>
      </c>
      <c r="E954" s="281" t="s">
        <v>3631</v>
      </c>
      <c r="F954" s="281">
        <v>13</v>
      </c>
      <c r="G954" s="281" t="s">
        <v>2036</v>
      </c>
      <c r="H954" t="s">
        <v>2031</v>
      </c>
      <c r="I954" t="s">
        <v>534</v>
      </c>
      <c r="J954" t="s">
        <v>863</v>
      </c>
      <c r="K954" t="s">
        <v>1390</v>
      </c>
      <c r="L954" s="552">
        <v>100</v>
      </c>
      <c r="O954" t="s">
        <v>999</v>
      </c>
    </row>
    <row r="955" spans="1:15" hidden="1">
      <c r="A955" t="s">
        <v>942</v>
      </c>
      <c r="B955" t="s">
        <v>946</v>
      </c>
      <c r="C955" s="553">
        <v>44265</v>
      </c>
      <c r="D955" s="281" t="s">
        <v>4473</v>
      </c>
      <c r="E955" s="281" t="s">
        <v>3633</v>
      </c>
      <c r="F955" s="281">
        <v>13</v>
      </c>
      <c r="G955" s="281" t="s">
        <v>2036</v>
      </c>
      <c r="H955" t="s">
        <v>2036</v>
      </c>
      <c r="I955" t="s">
        <v>501</v>
      </c>
      <c r="J955" t="s">
        <v>768</v>
      </c>
      <c r="K955" t="s">
        <v>1390</v>
      </c>
      <c r="L955" s="552">
        <v>77256</v>
      </c>
      <c r="O955" t="s">
        <v>999</v>
      </c>
    </row>
    <row r="956" spans="1:15" hidden="1">
      <c r="A956" t="s">
        <v>942</v>
      </c>
      <c r="B956" t="s">
        <v>946</v>
      </c>
      <c r="C956" s="553">
        <v>44265</v>
      </c>
      <c r="D956" s="281" t="s">
        <v>4473</v>
      </c>
      <c r="E956" s="281" t="s">
        <v>3633</v>
      </c>
      <c r="F956" s="281">
        <v>13</v>
      </c>
      <c r="G956" s="281" t="s">
        <v>2036</v>
      </c>
      <c r="H956" t="s">
        <v>2027</v>
      </c>
      <c r="I956" t="s">
        <v>504</v>
      </c>
      <c r="J956" t="s">
        <v>768</v>
      </c>
      <c r="K956" t="s">
        <v>1390</v>
      </c>
      <c r="L956" s="552">
        <v>4000</v>
      </c>
      <c r="O956" t="s">
        <v>999</v>
      </c>
    </row>
    <row r="957" spans="1:15" hidden="1">
      <c r="A957" t="s">
        <v>942</v>
      </c>
      <c r="B957" t="s">
        <v>946</v>
      </c>
      <c r="C957" s="553">
        <v>44265</v>
      </c>
      <c r="D957" s="281" t="s">
        <v>4473</v>
      </c>
      <c r="E957" s="281" t="s">
        <v>3633</v>
      </c>
      <c r="F957" s="281">
        <v>13</v>
      </c>
      <c r="G957" s="281" t="s">
        <v>2036</v>
      </c>
      <c r="H957" t="s">
        <v>2028</v>
      </c>
      <c r="I957" t="s">
        <v>528</v>
      </c>
      <c r="J957" t="s">
        <v>768</v>
      </c>
      <c r="K957" t="s">
        <v>1390</v>
      </c>
      <c r="L957" s="552">
        <v>9270.7199999999993</v>
      </c>
      <c r="O957" t="s">
        <v>999</v>
      </c>
    </row>
    <row r="958" spans="1:15" hidden="1">
      <c r="A958" t="s">
        <v>942</v>
      </c>
      <c r="B958" t="s">
        <v>946</v>
      </c>
      <c r="C958" s="553">
        <v>44265</v>
      </c>
      <c r="D958" s="281" t="s">
        <v>4473</v>
      </c>
      <c r="E958" s="281" t="s">
        <v>3633</v>
      </c>
      <c r="F958" s="281">
        <v>13</v>
      </c>
      <c r="G958" s="281" t="s">
        <v>2036</v>
      </c>
      <c r="H958" t="s">
        <v>2029</v>
      </c>
      <c r="I958" t="s">
        <v>530</v>
      </c>
      <c r="J958" t="s">
        <v>768</v>
      </c>
      <c r="K958" t="s">
        <v>1390</v>
      </c>
      <c r="L958" s="552">
        <v>200</v>
      </c>
      <c r="O958" t="s">
        <v>999</v>
      </c>
    </row>
    <row r="959" spans="1:15" hidden="1">
      <c r="A959" t="s">
        <v>942</v>
      </c>
      <c r="B959" t="s">
        <v>946</v>
      </c>
      <c r="C959" s="553">
        <v>44265</v>
      </c>
      <c r="D959" s="281" t="s">
        <v>4473</v>
      </c>
      <c r="E959" s="281" t="s">
        <v>3633</v>
      </c>
      <c r="F959" s="281">
        <v>13</v>
      </c>
      <c r="G959" s="281" t="s">
        <v>2036</v>
      </c>
      <c r="H959" t="s">
        <v>2030</v>
      </c>
      <c r="I959" t="s">
        <v>532</v>
      </c>
      <c r="J959" t="s">
        <v>768</v>
      </c>
      <c r="K959" t="s">
        <v>1390</v>
      </c>
      <c r="L959" s="552">
        <v>1158.8499999999999</v>
      </c>
      <c r="O959" t="s">
        <v>999</v>
      </c>
    </row>
    <row r="960" spans="1:15" hidden="1">
      <c r="A960" t="s">
        <v>942</v>
      </c>
      <c r="B960" t="s">
        <v>946</v>
      </c>
      <c r="C960" s="553">
        <v>44265</v>
      </c>
      <c r="D960" s="281" t="s">
        <v>4473</v>
      </c>
      <c r="E960" s="281" t="s">
        <v>3633</v>
      </c>
      <c r="F960" s="281">
        <v>13</v>
      </c>
      <c r="G960" s="281" t="s">
        <v>2036</v>
      </c>
      <c r="H960" t="s">
        <v>2031</v>
      </c>
      <c r="I960" t="s">
        <v>534</v>
      </c>
      <c r="J960" t="s">
        <v>768</v>
      </c>
      <c r="K960" t="s">
        <v>1390</v>
      </c>
      <c r="L960" s="552">
        <v>200</v>
      </c>
      <c r="O960" t="s">
        <v>999</v>
      </c>
    </row>
    <row r="961" spans="1:15" hidden="1">
      <c r="A961" t="s">
        <v>942</v>
      </c>
      <c r="B961" t="s">
        <v>946</v>
      </c>
      <c r="C961" s="553">
        <v>44265</v>
      </c>
      <c r="D961" s="281" t="s">
        <v>4474</v>
      </c>
      <c r="E961" s="281" t="s">
        <v>3636</v>
      </c>
      <c r="F961" s="281">
        <v>13</v>
      </c>
      <c r="G961" s="281" t="s">
        <v>2036</v>
      </c>
      <c r="H961" t="s">
        <v>2036</v>
      </c>
      <c r="I961" t="s">
        <v>501</v>
      </c>
      <c r="J961" t="s">
        <v>867</v>
      </c>
      <c r="K961" t="s">
        <v>1390</v>
      </c>
      <c r="L961" s="552">
        <v>33575</v>
      </c>
      <c r="O961" t="s">
        <v>999</v>
      </c>
    </row>
    <row r="962" spans="1:15" hidden="1">
      <c r="A962" t="s">
        <v>942</v>
      </c>
      <c r="B962" t="s">
        <v>946</v>
      </c>
      <c r="C962" s="553">
        <v>44265</v>
      </c>
      <c r="D962" s="281" t="s">
        <v>4474</v>
      </c>
      <c r="E962" s="281" t="s">
        <v>3636</v>
      </c>
      <c r="F962" s="281">
        <v>13</v>
      </c>
      <c r="G962" s="281" t="s">
        <v>2036</v>
      </c>
      <c r="H962" t="s">
        <v>2027</v>
      </c>
      <c r="I962" t="s">
        <v>504</v>
      </c>
      <c r="J962" t="s">
        <v>867</v>
      </c>
      <c r="K962" t="s">
        <v>1390</v>
      </c>
      <c r="L962" s="552">
        <v>2000</v>
      </c>
      <c r="O962" t="s">
        <v>999</v>
      </c>
    </row>
    <row r="963" spans="1:15" hidden="1">
      <c r="A963" t="s">
        <v>942</v>
      </c>
      <c r="B963" t="s">
        <v>946</v>
      </c>
      <c r="C963" s="553">
        <v>44265</v>
      </c>
      <c r="D963" s="281" t="s">
        <v>4474</v>
      </c>
      <c r="E963" s="281" t="s">
        <v>3636</v>
      </c>
      <c r="F963" s="281">
        <v>13</v>
      </c>
      <c r="G963" s="281" t="s">
        <v>2036</v>
      </c>
      <c r="H963" t="s">
        <v>2028</v>
      </c>
      <c r="I963" t="s">
        <v>528</v>
      </c>
      <c r="J963" t="s">
        <v>867</v>
      </c>
      <c r="K963" t="s">
        <v>1390</v>
      </c>
      <c r="L963" s="552">
        <v>4029</v>
      </c>
      <c r="O963" t="s">
        <v>999</v>
      </c>
    </row>
    <row r="964" spans="1:15" hidden="1">
      <c r="A964" t="s">
        <v>942</v>
      </c>
      <c r="B964" t="s">
        <v>946</v>
      </c>
      <c r="C964" s="553">
        <v>44265</v>
      </c>
      <c r="D964" s="281" t="s">
        <v>4474</v>
      </c>
      <c r="E964" s="281" t="s">
        <v>3636</v>
      </c>
      <c r="F964" s="281">
        <v>13</v>
      </c>
      <c r="G964" s="281" t="s">
        <v>2036</v>
      </c>
      <c r="H964" t="s">
        <v>2029</v>
      </c>
      <c r="I964" t="s">
        <v>530</v>
      </c>
      <c r="J964" t="s">
        <v>867</v>
      </c>
      <c r="K964" t="s">
        <v>1390</v>
      </c>
      <c r="L964" s="552">
        <v>100</v>
      </c>
      <c r="O964" t="s">
        <v>999</v>
      </c>
    </row>
    <row r="965" spans="1:15" hidden="1">
      <c r="A965" t="s">
        <v>942</v>
      </c>
      <c r="B965" t="s">
        <v>946</v>
      </c>
      <c r="C965" s="553">
        <v>44265</v>
      </c>
      <c r="D965" s="281" t="s">
        <v>4474</v>
      </c>
      <c r="E965" s="281" t="s">
        <v>3636</v>
      </c>
      <c r="F965" s="281">
        <v>13</v>
      </c>
      <c r="G965" s="281" t="s">
        <v>2036</v>
      </c>
      <c r="H965" t="s">
        <v>2030</v>
      </c>
      <c r="I965" t="s">
        <v>532</v>
      </c>
      <c r="J965" t="s">
        <v>867</v>
      </c>
      <c r="K965" t="s">
        <v>1390</v>
      </c>
      <c r="L965" s="552">
        <v>503.63</v>
      </c>
      <c r="O965" t="s">
        <v>999</v>
      </c>
    </row>
    <row r="966" spans="1:15" hidden="1">
      <c r="A966" t="s">
        <v>942</v>
      </c>
      <c r="B966" t="s">
        <v>946</v>
      </c>
      <c r="C966" s="553">
        <v>44265</v>
      </c>
      <c r="D966" s="281" t="s">
        <v>4474</v>
      </c>
      <c r="E966" s="281" t="s">
        <v>3636</v>
      </c>
      <c r="F966" s="281">
        <v>13</v>
      </c>
      <c r="G966" s="281" t="s">
        <v>2036</v>
      </c>
      <c r="H966" t="s">
        <v>2031</v>
      </c>
      <c r="I966" t="s">
        <v>534</v>
      </c>
      <c r="J966" t="s">
        <v>867</v>
      </c>
      <c r="K966" t="s">
        <v>1390</v>
      </c>
      <c r="L966" s="552">
        <v>100</v>
      </c>
      <c r="O966" t="s">
        <v>999</v>
      </c>
    </row>
    <row r="967" spans="1:15" hidden="1">
      <c r="A967" t="s">
        <v>942</v>
      </c>
      <c r="B967" t="s">
        <v>946</v>
      </c>
      <c r="C967" s="553">
        <v>44265</v>
      </c>
      <c r="D967" s="281" t="s">
        <v>4475</v>
      </c>
      <c r="E967" s="281" t="s">
        <v>3638</v>
      </c>
      <c r="F967" s="281">
        <v>4</v>
      </c>
      <c r="G967" s="281">
        <v>5010000000</v>
      </c>
      <c r="H967" t="s">
        <v>2026</v>
      </c>
      <c r="I967" t="s">
        <v>499</v>
      </c>
      <c r="J967" t="s">
        <v>1165</v>
      </c>
      <c r="K967" t="s">
        <v>1394</v>
      </c>
      <c r="L967" s="552">
        <v>23877</v>
      </c>
      <c r="O967" t="s">
        <v>970</v>
      </c>
    </row>
    <row r="968" spans="1:15" hidden="1">
      <c r="A968" t="s">
        <v>942</v>
      </c>
      <c r="B968" t="s">
        <v>946</v>
      </c>
      <c r="C968" s="553">
        <v>44265</v>
      </c>
      <c r="D968" s="281" t="s">
        <v>4475</v>
      </c>
      <c r="E968" s="281" t="s">
        <v>3638</v>
      </c>
      <c r="F968" s="281">
        <v>4</v>
      </c>
      <c r="G968" s="281">
        <v>5010000000</v>
      </c>
      <c r="H968" t="s">
        <v>2027</v>
      </c>
      <c r="I968" t="s">
        <v>504</v>
      </c>
      <c r="J968" t="s">
        <v>1165</v>
      </c>
      <c r="K968" t="s">
        <v>1394</v>
      </c>
      <c r="L968" s="552">
        <v>2000</v>
      </c>
      <c r="O968" t="s">
        <v>970</v>
      </c>
    </row>
    <row r="969" spans="1:15" hidden="1">
      <c r="A969" t="s">
        <v>942</v>
      </c>
      <c r="B969" t="s">
        <v>946</v>
      </c>
      <c r="C969" s="553">
        <v>44265</v>
      </c>
      <c r="D969" s="281" t="s">
        <v>4475</v>
      </c>
      <c r="E969" s="281" t="s">
        <v>3638</v>
      </c>
      <c r="F969" s="281">
        <v>4</v>
      </c>
      <c r="G969" s="281">
        <v>5010301000</v>
      </c>
      <c r="H969" t="s">
        <v>2028</v>
      </c>
      <c r="I969" t="s">
        <v>528</v>
      </c>
      <c r="J969" t="s">
        <v>1165</v>
      </c>
      <c r="K969" t="s">
        <v>1394</v>
      </c>
      <c r="L969" s="552">
        <v>2865.24</v>
      </c>
      <c r="O969" t="s">
        <v>972</v>
      </c>
    </row>
    <row r="970" spans="1:15" hidden="1">
      <c r="A970" t="s">
        <v>942</v>
      </c>
      <c r="B970" t="s">
        <v>946</v>
      </c>
      <c r="C970" s="553">
        <v>44265</v>
      </c>
      <c r="D970" s="281" t="s">
        <v>4475</v>
      </c>
      <c r="E970" s="281" t="s">
        <v>3638</v>
      </c>
      <c r="F970" s="281">
        <v>4</v>
      </c>
      <c r="G970" s="281">
        <v>5010000000</v>
      </c>
      <c r="H970" t="s">
        <v>2029</v>
      </c>
      <c r="I970" t="s">
        <v>530</v>
      </c>
      <c r="J970" t="s">
        <v>1165</v>
      </c>
      <c r="K970" t="s">
        <v>1394</v>
      </c>
      <c r="L970" s="552">
        <v>100</v>
      </c>
      <c r="O970" t="s">
        <v>970</v>
      </c>
    </row>
    <row r="971" spans="1:15" hidden="1">
      <c r="A971" t="s">
        <v>942</v>
      </c>
      <c r="B971" t="s">
        <v>946</v>
      </c>
      <c r="C971" s="553">
        <v>44265</v>
      </c>
      <c r="D971" s="281" t="s">
        <v>4475</v>
      </c>
      <c r="E971" s="281" t="s">
        <v>3638</v>
      </c>
      <c r="F971" s="281">
        <v>4</v>
      </c>
      <c r="G971" s="281">
        <v>5010000000</v>
      </c>
      <c r="H971" t="s">
        <v>2030</v>
      </c>
      <c r="I971" t="s">
        <v>532</v>
      </c>
      <c r="J971" t="s">
        <v>1165</v>
      </c>
      <c r="K971" t="s">
        <v>1394</v>
      </c>
      <c r="L971" s="552">
        <v>358.16</v>
      </c>
      <c r="O971" t="s">
        <v>970</v>
      </c>
    </row>
    <row r="972" spans="1:15" hidden="1">
      <c r="A972" t="s">
        <v>942</v>
      </c>
      <c r="B972" t="s">
        <v>946</v>
      </c>
      <c r="C972" s="553">
        <v>44265</v>
      </c>
      <c r="D972" s="281" t="s">
        <v>4475</v>
      </c>
      <c r="E972" s="281" t="s">
        <v>3638</v>
      </c>
      <c r="F972" s="281">
        <v>4</v>
      </c>
      <c r="G972" s="281">
        <v>5010000000</v>
      </c>
      <c r="H972" t="s">
        <v>2031</v>
      </c>
      <c r="I972" t="s">
        <v>534</v>
      </c>
      <c r="J972" t="s">
        <v>1165</v>
      </c>
      <c r="K972" t="s">
        <v>1394</v>
      </c>
      <c r="L972" s="552">
        <v>100</v>
      </c>
      <c r="O972" t="s">
        <v>970</v>
      </c>
    </row>
    <row r="973" spans="1:15" hidden="1">
      <c r="A973" t="s">
        <v>942</v>
      </c>
      <c r="B973" t="s">
        <v>946</v>
      </c>
      <c r="C973" s="553">
        <v>44265</v>
      </c>
      <c r="D973" s="281" t="s">
        <v>4476</v>
      </c>
      <c r="E973" s="281" t="s">
        <v>3641</v>
      </c>
      <c r="F973" s="281">
        <v>4</v>
      </c>
      <c r="G973" s="281">
        <v>5010000000</v>
      </c>
      <c r="H973" t="s">
        <v>2026</v>
      </c>
      <c r="I973" t="s">
        <v>499</v>
      </c>
      <c r="J973" t="s">
        <v>1170</v>
      </c>
      <c r="K973" t="s">
        <v>1394</v>
      </c>
      <c r="L973" s="552">
        <v>23877</v>
      </c>
      <c r="O973" t="s">
        <v>970</v>
      </c>
    </row>
    <row r="974" spans="1:15" hidden="1">
      <c r="A974" t="s">
        <v>942</v>
      </c>
      <c r="B974" t="s">
        <v>946</v>
      </c>
      <c r="C974" s="553">
        <v>44265</v>
      </c>
      <c r="D974" s="281" t="s">
        <v>4476</v>
      </c>
      <c r="E974" s="281" t="s">
        <v>3641</v>
      </c>
      <c r="F974" s="281">
        <v>4</v>
      </c>
      <c r="G974" s="281">
        <v>5010000000</v>
      </c>
      <c r="H974" t="s">
        <v>2027</v>
      </c>
      <c r="I974" t="s">
        <v>504</v>
      </c>
      <c r="J974" t="s">
        <v>1170</v>
      </c>
      <c r="K974" t="s">
        <v>1394</v>
      </c>
      <c r="L974" s="552">
        <v>2000</v>
      </c>
      <c r="O974" t="s">
        <v>970</v>
      </c>
    </row>
    <row r="975" spans="1:15" hidden="1">
      <c r="A975" t="s">
        <v>942</v>
      </c>
      <c r="B975" t="s">
        <v>946</v>
      </c>
      <c r="C975" s="553">
        <v>44265</v>
      </c>
      <c r="D975" s="281" t="s">
        <v>4476</v>
      </c>
      <c r="E975" s="281" t="s">
        <v>3641</v>
      </c>
      <c r="F975" s="281">
        <v>4</v>
      </c>
      <c r="G975" s="281">
        <v>5010301000</v>
      </c>
      <c r="H975" t="s">
        <v>2028</v>
      </c>
      <c r="I975" t="s">
        <v>528</v>
      </c>
      <c r="J975" t="s">
        <v>1170</v>
      </c>
      <c r="K975" t="s">
        <v>1394</v>
      </c>
      <c r="L975" s="552">
        <v>2865.24</v>
      </c>
      <c r="O975" t="s">
        <v>972</v>
      </c>
    </row>
    <row r="976" spans="1:15" hidden="1">
      <c r="A976" t="s">
        <v>942</v>
      </c>
      <c r="B976" t="s">
        <v>946</v>
      </c>
      <c r="C976" s="553">
        <v>44265</v>
      </c>
      <c r="D976" s="281" t="s">
        <v>4476</v>
      </c>
      <c r="E976" s="281" t="s">
        <v>3641</v>
      </c>
      <c r="F976" s="281">
        <v>4</v>
      </c>
      <c r="G976" s="281">
        <v>5010000000</v>
      </c>
      <c r="H976" t="s">
        <v>2029</v>
      </c>
      <c r="I976" t="s">
        <v>530</v>
      </c>
      <c r="J976" t="s">
        <v>1170</v>
      </c>
      <c r="K976" t="s">
        <v>1394</v>
      </c>
      <c r="L976" s="552">
        <v>100</v>
      </c>
      <c r="O976" t="s">
        <v>970</v>
      </c>
    </row>
    <row r="977" spans="1:15" hidden="1">
      <c r="A977" t="s">
        <v>942</v>
      </c>
      <c r="B977" t="s">
        <v>946</v>
      </c>
      <c r="C977" s="553">
        <v>44265</v>
      </c>
      <c r="D977" s="281" t="s">
        <v>4476</v>
      </c>
      <c r="E977" s="281" t="s">
        <v>3641</v>
      </c>
      <c r="F977" s="281">
        <v>4</v>
      </c>
      <c r="G977" s="281">
        <v>5010000000</v>
      </c>
      <c r="H977" t="s">
        <v>2030</v>
      </c>
      <c r="I977" t="s">
        <v>532</v>
      </c>
      <c r="J977" t="s">
        <v>1170</v>
      </c>
      <c r="K977" t="s">
        <v>1394</v>
      </c>
      <c r="L977" s="552">
        <v>358.16</v>
      </c>
      <c r="O977" t="s">
        <v>970</v>
      </c>
    </row>
    <row r="978" spans="1:15" hidden="1">
      <c r="A978" t="s">
        <v>942</v>
      </c>
      <c r="B978" t="s">
        <v>946</v>
      </c>
      <c r="C978" s="553">
        <v>44265</v>
      </c>
      <c r="D978" s="281" t="s">
        <v>4476</v>
      </c>
      <c r="E978" s="281" t="s">
        <v>3641</v>
      </c>
      <c r="F978" s="281">
        <v>4</v>
      </c>
      <c r="G978" s="281">
        <v>5010000000</v>
      </c>
      <c r="H978" t="s">
        <v>2031</v>
      </c>
      <c r="I978" t="s">
        <v>534</v>
      </c>
      <c r="J978" t="s">
        <v>1170</v>
      </c>
      <c r="K978" t="s">
        <v>1394</v>
      </c>
      <c r="L978" s="552">
        <v>100</v>
      </c>
      <c r="O978" t="s">
        <v>970</v>
      </c>
    </row>
    <row r="979" spans="1:15" hidden="1">
      <c r="A979" t="s">
        <v>942</v>
      </c>
      <c r="B979" t="s">
        <v>946</v>
      </c>
      <c r="C979" s="553">
        <v>44265</v>
      </c>
      <c r="D979" s="281" t="s">
        <v>4477</v>
      </c>
      <c r="E979" s="281" t="s">
        <v>3649</v>
      </c>
      <c r="F979" s="281">
        <v>4</v>
      </c>
      <c r="G979" s="281">
        <v>5010000000</v>
      </c>
      <c r="H979" t="s">
        <v>2026</v>
      </c>
      <c r="I979" t="s">
        <v>499</v>
      </c>
      <c r="J979" t="s">
        <v>1174</v>
      </c>
      <c r="K979" t="s">
        <v>1394</v>
      </c>
      <c r="L979" s="552">
        <v>23877</v>
      </c>
      <c r="O979" t="s">
        <v>970</v>
      </c>
    </row>
    <row r="980" spans="1:15" hidden="1">
      <c r="A980" t="s">
        <v>942</v>
      </c>
      <c r="B980" t="s">
        <v>946</v>
      </c>
      <c r="C980" s="553">
        <v>44265</v>
      </c>
      <c r="D980" s="281" t="s">
        <v>4477</v>
      </c>
      <c r="E980" s="281" t="s">
        <v>3649</v>
      </c>
      <c r="F980" s="281">
        <v>4</v>
      </c>
      <c r="G980" s="281">
        <v>5010000000</v>
      </c>
      <c r="H980" t="s">
        <v>2027</v>
      </c>
      <c r="I980" t="s">
        <v>504</v>
      </c>
      <c r="J980" t="s">
        <v>1174</v>
      </c>
      <c r="K980" t="s">
        <v>1394</v>
      </c>
      <c r="L980" s="552">
        <v>2000</v>
      </c>
      <c r="O980" t="s">
        <v>970</v>
      </c>
    </row>
    <row r="981" spans="1:15" hidden="1">
      <c r="A981" t="s">
        <v>942</v>
      </c>
      <c r="B981" t="s">
        <v>946</v>
      </c>
      <c r="C981" s="553">
        <v>44265</v>
      </c>
      <c r="D981" s="281" t="s">
        <v>4477</v>
      </c>
      <c r="E981" s="281" t="s">
        <v>3649</v>
      </c>
      <c r="F981" s="281">
        <v>4</v>
      </c>
      <c r="G981" s="281">
        <v>5010301000</v>
      </c>
      <c r="H981" t="s">
        <v>2028</v>
      </c>
      <c r="I981" t="s">
        <v>528</v>
      </c>
      <c r="J981" t="s">
        <v>1174</v>
      </c>
      <c r="K981" t="s">
        <v>1394</v>
      </c>
      <c r="L981" s="552">
        <v>2865.24</v>
      </c>
      <c r="O981" t="s">
        <v>972</v>
      </c>
    </row>
    <row r="982" spans="1:15" hidden="1">
      <c r="A982" t="s">
        <v>942</v>
      </c>
      <c r="B982" t="s">
        <v>946</v>
      </c>
      <c r="C982" s="553">
        <v>44265</v>
      </c>
      <c r="D982" s="281" t="s">
        <v>4477</v>
      </c>
      <c r="E982" s="281" t="s">
        <v>3649</v>
      </c>
      <c r="F982" s="281">
        <v>4</v>
      </c>
      <c r="G982" s="281">
        <v>5010000000</v>
      </c>
      <c r="H982" t="s">
        <v>2029</v>
      </c>
      <c r="I982" t="s">
        <v>530</v>
      </c>
      <c r="J982" t="s">
        <v>1174</v>
      </c>
      <c r="K982" t="s">
        <v>1394</v>
      </c>
      <c r="L982" s="552">
        <v>100</v>
      </c>
      <c r="O982" t="s">
        <v>970</v>
      </c>
    </row>
    <row r="983" spans="1:15" hidden="1">
      <c r="A983" t="s">
        <v>942</v>
      </c>
      <c r="B983" t="s">
        <v>946</v>
      </c>
      <c r="C983" s="553">
        <v>44265</v>
      </c>
      <c r="D983" s="281" t="s">
        <v>4477</v>
      </c>
      <c r="E983" s="281" t="s">
        <v>3649</v>
      </c>
      <c r="F983" s="281">
        <v>4</v>
      </c>
      <c r="G983" s="281">
        <v>5010000000</v>
      </c>
      <c r="H983" t="s">
        <v>2030</v>
      </c>
      <c r="I983" t="s">
        <v>532</v>
      </c>
      <c r="J983" t="s">
        <v>1174</v>
      </c>
      <c r="K983" t="s">
        <v>1394</v>
      </c>
      <c r="L983" s="552">
        <v>358.16</v>
      </c>
      <c r="O983" t="s">
        <v>970</v>
      </c>
    </row>
    <row r="984" spans="1:15" hidden="1">
      <c r="A984" t="s">
        <v>942</v>
      </c>
      <c r="B984" t="s">
        <v>946</v>
      </c>
      <c r="C984" s="553">
        <v>44265</v>
      </c>
      <c r="D984" s="281" t="s">
        <v>4477</v>
      </c>
      <c r="E984" s="281" t="s">
        <v>3649</v>
      </c>
      <c r="F984" s="281">
        <v>4</v>
      </c>
      <c r="G984" s="281">
        <v>5010000000</v>
      </c>
      <c r="H984" t="s">
        <v>2031</v>
      </c>
      <c r="I984" t="s">
        <v>534</v>
      </c>
      <c r="J984" t="s">
        <v>1174</v>
      </c>
      <c r="K984" t="s">
        <v>1394</v>
      </c>
      <c r="L984" s="552">
        <v>100</v>
      </c>
      <c r="O984" t="s">
        <v>970</v>
      </c>
    </row>
    <row r="985" spans="1:15" hidden="1">
      <c r="A985" t="s">
        <v>942</v>
      </c>
      <c r="B985" t="s">
        <v>946</v>
      </c>
      <c r="C985" s="553">
        <v>44265</v>
      </c>
      <c r="D985" s="281" t="s">
        <v>4478</v>
      </c>
      <c r="E985" s="281" t="s">
        <v>3643</v>
      </c>
      <c r="F985" s="281">
        <v>4</v>
      </c>
      <c r="G985" s="281">
        <v>5010000000</v>
      </c>
      <c r="H985" t="s">
        <v>2026</v>
      </c>
      <c r="I985" t="s">
        <v>499</v>
      </c>
      <c r="J985" t="s">
        <v>1176</v>
      </c>
      <c r="K985" t="s">
        <v>1394</v>
      </c>
      <c r="L985" s="552">
        <v>23877</v>
      </c>
      <c r="O985" t="s">
        <v>970</v>
      </c>
    </row>
    <row r="986" spans="1:15" hidden="1">
      <c r="A986" t="s">
        <v>942</v>
      </c>
      <c r="B986" t="s">
        <v>946</v>
      </c>
      <c r="C986" s="553">
        <v>44265</v>
      </c>
      <c r="D986" s="281" t="s">
        <v>4478</v>
      </c>
      <c r="E986" s="281" t="s">
        <v>3643</v>
      </c>
      <c r="F986" s="281">
        <v>4</v>
      </c>
      <c r="G986" s="281">
        <v>5010000000</v>
      </c>
      <c r="H986" t="s">
        <v>2027</v>
      </c>
      <c r="I986" t="s">
        <v>504</v>
      </c>
      <c r="J986" t="s">
        <v>1176</v>
      </c>
      <c r="K986" t="s">
        <v>1394</v>
      </c>
      <c r="L986" s="552">
        <v>2000</v>
      </c>
      <c r="O986" t="s">
        <v>970</v>
      </c>
    </row>
    <row r="987" spans="1:15" hidden="1">
      <c r="A987" t="s">
        <v>942</v>
      </c>
      <c r="B987" t="s">
        <v>946</v>
      </c>
      <c r="C987" s="553">
        <v>44265</v>
      </c>
      <c r="D987" s="281" t="s">
        <v>4478</v>
      </c>
      <c r="E987" s="281" t="s">
        <v>3643</v>
      </c>
      <c r="F987" s="281">
        <v>4</v>
      </c>
      <c r="G987" s="281">
        <v>5010301000</v>
      </c>
      <c r="H987" t="s">
        <v>2028</v>
      </c>
      <c r="I987" t="s">
        <v>528</v>
      </c>
      <c r="J987" t="s">
        <v>1176</v>
      </c>
      <c r="K987" t="s">
        <v>1394</v>
      </c>
      <c r="L987" s="552">
        <v>2865.24</v>
      </c>
      <c r="O987" t="s">
        <v>972</v>
      </c>
    </row>
    <row r="988" spans="1:15" hidden="1">
      <c r="A988" t="s">
        <v>942</v>
      </c>
      <c r="B988" t="s">
        <v>946</v>
      </c>
      <c r="C988" s="553">
        <v>44265</v>
      </c>
      <c r="D988" s="281" t="s">
        <v>4478</v>
      </c>
      <c r="E988" s="281" t="s">
        <v>3643</v>
      </c>
      <c r="F988" s="281">
        <v>4</v>
      </c>
      <c r="G988" s="281">
        <v>5010000000</v>
      </c>
      <c r="H988" t="s">
        <v>2029</v>
      </c>
      <c r="I988" t="s">
        <v>530</v>
      </c>
      <c r="J988" t="s">
        <v>1176</v>
      </c>
      <c r="K988" t="s">
        <v>1394</v>
      </c>
      <c r="L988" s="552">
        <v>100</v>
      </c>
      <c r="O988" t="s">
        <v>970</v>
      </c>
    </row>
    <row r="989" spans="1:15" hidden="1">
      <c r="A989" t="s">
        <v>942</v>
      </c>
      <c r="B989" t="s">
        <v>946</v>
      </c>
      <c r="C989" s="553">
        <v>44265</v>
      </c>
      <c r="D989" s="281" t="s">
        <v>4478</v>
      </c>
      <c r="E989" s="281" t="s">
        <v>3643</v>
      </c>
      <c r="F989" s="281">
        <v>4</v>
      </c>
      <c r="G989" s="281">
        <v>5010000000</v>
      </c>
      <c r="H989" t="s">
        <v>2030</v>
      </c>
      <c r="I989" t="s">
        <v>532</v>
      </c>
      <c r="J989" t="s">
        <v>1176</v>
      </c>
      <c r="K989" t="s">
        <v>1394</v>
      </c>
      <c r="L989" s="552">
        <v>358.16</v>
      </c>
      <c r="O989" t="s">
        <v>970</v>
      </c>
    </row>
    <row r="990" spans="1:15" hidden="1">
      <c r="A990" t="s">
        <v>942</v>
      </c>
      <c r="B990" t="s">
        <v>946</v>
      </c>
      <c r="C990" s="553">
        <v>44265</v>
      </c>
      <c r="D990" s="281" t="s">
        <v>4478</v>
      </c>
      <c r="E990" s="281" t="s">
        <v>3643</v>
      </c>
      <c r="F990" s="281">
        <v>4</v>
      </c>
      <c r="G990" s="281">
        <v>5010000000</v>
      </c>
      <c r="H990" t="s">
        <v>2031</v>
      </c>
      <c r="I990" t="s">
        <v>534</v>
      </c>
      <c r="J990" t="s">
        <v>1176</v>
      </c>
      <c r="K990" t="s">
        <v>1394</v>
      </c>
      <c r="L990" s="552">
        <v>100</v>
      </c>
      <c r="O990" t="s">
        <v>970</v>
      </c>
    </row>
    <row r="991" spans="1:15" hidden="1">
      <c r="A991" t="s">
        <v>942</v>
      </c>
      <c r="B991" t="s">
        <v>946</v>
      </c>
      <c r="C991" s="553">
        <v>44265</v>
      </c>
      <c r="D991" s="281" t="s">
        <v>4479</v>
      </c>
      <c r="E991" s="281" t="s">
        <v>3645</v>
      </c>
      <c r="F991" s="281">
        <v>4</v>
      </c>
      <c r="G991" s="281">
        <v>5010000000</v>
      </c>
      <c r="H991" t="s">
        <v>2026</v>
      </c>
      <c r="I991" t="s">
        <v>499</v>
      </c>
      <c r="J991" t="s">
        <v>1382</v>
      </c>
      <c r="K991" t="s">
        <v>1399</v>
      </c>
      <c r="L991" s="552">
        <v>23877</v>
      </c>
      <c r="O991" t="s">
        <v>970</v>
      </c>
    </row>
    <row r="992" spans="1:15" hidden="1">
      <c r="A992" t="s">
        <v>942</v>
      </c>
      <c r="B992" t="s">
        <v>946</v>
      </c>
      <c r="C992" s="553">
        <v>44265</v>
      </c>
      <c r="D992" s="281" t="s">
        <v>4479</v>
      </c>
      <c r="E992" s="281" t="s">
        <v>3645</v>
      </c>
      <c r="F992" s="281">
        <v>4</v>
      </c>
      <c r="G992" s="281">
        <v>5010000000</v>
      </c>
      <c r="H992" t="s">
        <v>2027</v>
      </c>
      <c r="I992" t="s">
        <v>504</v>
      </c>
      <c r="J992" t="s">
        <v>1382</v>
      </c>
      <c r="K992" t="s">
        <v>1399</v>
      </c>
      <c r="L992" s="552">
        <v>2000</v>
      </c>
      <c r="O992" t="s">
        <v>970</v>
      </c>
    </row>
    <row r="993" spans="1:15" hidden="1">
      <c r="A993" t="s">
        <v>942</v>
      </c>
      <c r="B993" t="s">
        <v>946</v>
      </c>
      <c r="C993" s="553">
        <v>44265</v>
      </c>
      <c r="D993" s="281" t="s">
        <v>4479</v>
      </c>
      <c r="E993" s="281" t="s">
        <v>3645</v>
      </c>
      <c r="F993" s="281">
        <v>4</v>
      </c>
      <c r="G993" s="281">
        <v>5010301000</v>
      </c>
      <c r="H993" t="s">
        <v>2028</v>
      </c>
      <c r="I993" t="s">
        <v>528</v>
      </c>
      <c r="J993" t="s">
        <v>1382</v>
      </c>
      <c r="K993" t="s">
        <v>1399</v>
      </c>
      <c r="L993" s="552">
        <v>2865.24</v>
      </c>
      <c r="O993" t="s">
        <v>972</v>
      </c>
    </row>
    <row r="994" spans="1:15" hidden="1">
      <c r="A994" t="s">
        <v>942</v>
      </c>
      <c r="B994" t="s">
        <v>946</v>
      </c>
      <c r="C994" s="553">
        <v>44265</v>
      </c>
      <c r="D994" s="281" t="s">
        <v>4479</v>
      </c>
      <c r="E994" s="281" t="s">
        <v>3645</v>
      </c>
      <c r="F994" s="281">
        <v>4</v>
      </c>
      <c r="G994" s="281">
        <v>5010000000</v>
      </c>
      <c r="H994" t="s">
        <v>2029</v>
      </c>
      <c r="I994" t="s">
        <v>530</v>
      </c>
      <c r="J994" t="s">
        <v>1382</v>
      </c>
      <c r="K994" t="s">
        <v>1399</v>
      </c>
      <c r="L994" s="552">
        <v>100</v>
      </c>
      <c r="O994" t="s">
        <v>970</v>
      </c>
    </row>
    <row r="995" spans="1:15" hidden="1">
      <c r="A995" t="s">
        <v>942</v>
      </c>
      <c r="B995" t="s">
        <v>946</v>
      </c>
      <c r="C995" s="553">
        <v>44265</v>
      </c>
      <c r="D995" s="281" t="s">
        <v>4479</v>
      </c>
      <c r="E995" s="281" t="s">
        <v>3645</v>
      </c>
      <c r="F995" s="281">
        <v>4</v>
      </c>
      <c r="G995" s="281">
        <v>5010000000</v>
      </c>
      <c r="H995" t="s">
        <v>2030</v>
      </c>
      <c r="I995" t="s">
        <v>532</v>
      </c>
      <c r="J995" t="s">
        <v>1382</v>
      </c>
      <c r="K995" t="s">
        <v>1399</v>
      </c>
      <c r="L995" s="552">
        <v>358.16</v>
      </c>
      <c r="O995" t="s">
        <v>970</v>
      </c>
    </row>
    <row r="996" spans="1:15" hidden="1">
      <c r="A996" t="s">
        <v>942</v>
      </c>
      <c r="B996" t="s">
        <v>946</v>
      </c>
      <c r="C996" s="553">
        <v>44265</v>
      </c>
      <c r="D996" s="281" t="s">
        <v>4479</v>
      </c>
      <c r="E996" s="281" t="s">
        <v>3645</v>
      </c>
      <c r="F996" s="281">
        <v>4</v>
      </c>
      <c r="G996" s="281">
        <v>5010000000</v>
      </c>
      <c r="H996" t="s">
        <v>2031</v>
      </c>
      <c r="I996" t="s">
        <v>534</v>
      </c>
      <c r="J996" t="s">
        <v>1382</v>
      </c>
      <c r="K996" t="s">
        <v>1399</v>
      </c>
      <c r="L996" s="552">
        <v>100</v>
      </c>
      <c r="O996" t="s">
        <v>970</v>
      </c>
    </row>
    <row r="997" spans="1:15" hidden="1">
      <c r="A997" t="s">
        <v>942</v>
      </c>
      <c r="B997" t="s">
        <v>946</v>
      </c>
      <c r="C997" s="553">
        <v>44265</v>
      </c>
      <c r="D997" s="281" t="s">
        <v>4480</v>
      </c>
      <c r="E997" s="281" t="s">
        <v>3651</v>
      </c>
      <c r="F997" s="281">
        <v>4</v>
      </c>
      <c r="G997" s="281">
        <v>5010000000</v>
      </c>
      <c r="H997" t="s">
        <v>2026</v>
      </c>
      <c r="I997" t="s">
        <v>499</v>
      </c>
      <c r="J997" t="s">
        <v>1382</v>
      </c>
      <c r="K997" t="s">
        <v>1394</v>
      </c>
      <c r="L997" s="552">
        <v>23877</v>
      </c>
      <c r="O997" t="s">
        <v>970</v>
      </c>
    </row>
    <row r="998" spans="1:15" hidden="1">
      <c r="A998" t="s">
        <v>942</v>
      </c>
      <c r="B998" t="s">
        <v>946</v>
      </c>
      <c r="C998" s="553">
        <v>44265</v>
      </c>
      <c r="D998" s="281" t="s">
        <v>4480</v>
      </c>
      <c r="E998" s="281" t="s">
        <v>3651</v>
      </c>
      <c r="F998" s="281">
        <v>4</v>
      </c>
      <c r="G998" s="281">
        <v>5010000000</v>
      </c>
      <c r="H998" t="s">
        <v>2027</v>
      </c>
      <c r="I998" t="s">
        <v>504</v>
      </c>
      <c r="J998" t="s">
        <v>1382</v>
      </c>
      <c r="K998" t="s">
        <v>1394</v>
      </c>
      <c r="L998" s="552">
        <v>2000</v>
      </c>
      <c r="O998" t="s">
        <v>970</v>
      </c>
    </row>
    <row r="999" spans="1:15" hidden="1">
      <c r="A999" t="s">
        <v>942</v>
      </c>
      <c r="B999" t="s">
        <v>946</v>
      </c>
      <c r="C999" s="553">
        <v>44265</v>
      </c>
      <c r="D999" s="281" t="s">
        <v>4480</v>
      </c>
      <c r="E999" s="281" t="s">
        <v>3651</v>
      </c>
      <c r="F999" s="281">
        <v>4</v>
      </c>
      <c r="G999" s="281">
        <v>5010301000</v>
      </c>
      <c r="H999" t="s">
        <v>2028</v>
      </c>
      <c r="I999" t="s">
        <v>528</v>
      </c>
      <c r="J999" t="s">
        <v>1382</v>
      </c>
      <c r="K999" t="s">
        <v>1394</v>
      </c>
      <c r="L999" s="552">
        <v>2865.24</v>
      </c>
      <c r="O999" t="s">
        <v>972</v>
      </c>
    </row>
    <row r="1000" spans="1:15" hidden="1">
      <c r="A1000" t="s">
        <v>942</v>
      </c>
      <c r="B1000" t="s">
        <v>946</v>
      </c>
      <c r="C1000" s="553">
        <v>44265</v>
      </c>
      <c r="D1000" s="281" t="s">
        <v>4480</v>
      </c>
      <c r="E1000" s="281" t="s">
        <v>3651</v>
      </c>
      <c r="F1000" s="281">
        <v>4</v>
      </c>
      <c r="G1000" s="281">
        <v>5010000000</v>
      </c>
      <c r="H1000" t="s">
        <v>2029</v>
      </c>
      <c r="I1000" t="s">
        <v>530</v>
      </c>
      <c r="J1000" t="s">
        <v>1382</v>
      </c>
      <c r="K1000" t="s">
        <v>1394</v>
      </c>
      <c r="L1000" s="552">
        <v>100</v>
      </c>
      <c r="O1000" t="s">
        <v>970</v>
      </c>
    </row>
    <row r="1001" spans="1:15" hidden="1">
      <c r="A1001" t="s">
        <v>942</v>
      </c>
      <c r="B1001" t="s">
        <v>946</v>
      </c>
      <c r="C1001" s="553">
        <v>44265</v>
      </c>
      <c r="D1001" s="281" t="s">
        <v>4480</v>
      </c>
      <c r="E1001" s="281" t="s">
        <v>3651</v>
      </c>
      <c r="F1001" s="281">
        <v>4</v>
      </c>
      <c r="G1001" s="281">
        <v>5010000000</v>
      </c>
      <c r="H1001" t="s">
        <v>2030</v>
      </c>
      <c r="I1001" t="s">
        <v>532</v>
      </c>
      <c r="J1001" t="s">
        <v>1382</v>
      </c>
      <c r="K1001" t="s">
        <v>1394</v>
      </c>
      <c r="L1001" s="552">
        <v>358.16</v>
      </c>
      <c r="O1001" t="s">
        <v>970</v>
      </c>
    </row>
    <row r="1002" spans="1:15" hidden="1">
      <c r="A1002" t="s">
        <v>942</v>
      </c>
      <c r="B1002" t="s">
        <v>946</v>
      </c>
      <c r="C1002" s="553">
        <v>44265</v>
      </c>
      <c r="D1002" s="281" t="s">
        <v>4480</v>
      </c>
      <c r="E1002" s="281" t="s">
        <v>3651</v>
      </c>
      <c r="F1002" s="281">
        <v>4</v>
      </c>
      <c r="G1002" s="281">
        <v>5010000000</v>
      </c>
      <c r="H1002" t="s">
        <v>2031</v>
      </c>
      <c r="I1002" t="s">
        <v>534</v>
      </c>
      <c r="J1002" t="s">
        <v>1382</v>
      </c>
      <c r="K1002" t="s">
        <v>1394</v>
      </c>
      <c r="L1002" s="552">
        <v>100</v>
      </c>
      <c r="O1002" t="s">
        <v>970</v>
      </c>
    </row>
    <row r="1003" spans="1:15" hidden="1">
      <c r="A1003" t="s">
        <v>942</v>
      </c>
      <c r="B1003" t="s">
        <v>946</v>
      </c>
      <c r="C1003" s="553">
        <v>44265</v>
      </c>
      <c r="D1003" s="281" t="s">
        <v>4481</v>
      </c>
      <c r="E1003" s="281" t="s">
        <v>3619</v>
      </c>
      <c r="F1003" s="281">
        <v>1</v>
      </c>
      <c r="G1003" s="281">
        <v>5010000000</v>
      </c>
      <c r="H1003" t="s">
        <v>2026</v>
      </c>
      <c r="I1003" t="s">
        <v>499</v>
      </c>
      <c r="J1003" t="s">
        <v>10</v>
      </c>
      <c r="K1003" t="s">
        <v>1384</v>
      </c>
      <c r="L1003" s="552">
        <v>1057756</v>
      </c>
      <c r="O1003" t="s">
        <v>960</v>
      </c>
    </row>
    <row r="1004" spans="1:15" hidden="1">
      <c r="A1004" t="s">
        <v>942</v>
      </c>
      <c r="B1004" t="s">
        <v>946</v>
      </c>
      <c r="C1004" s="553">
        <v>44265</v>
      </c>
      <c r="D1004" s="281" t="s">
        <v>4481</v>
      </c>
      <c r="E1004" s="281" t="s">
        <v>3619</v>
      </c>
      <c r="F1004" s="281">
        <v>1</v>
      </c>
      <c r="G1004" s="281">
        <v>5010000000</v>
      </c>
      <c r="H1004" t="s">
        <v>2027</v>
      </c>
      <c r="I1004" t="s">
        <v>504</v>
      </c>
      <c r="J1004" t="s">
        <v>10</v>
      </c>
      <c r="K1004" t="s">
        <v>1384</v>
      </c>
      <c r="L1004" s="552">
        <v>44000</v>
      </c>
      <c r="O1004" t="s">
        <v>960</v>
      </c>
    </row>
    <row r="1005" spans="1:15" hidden="1">
      <c r="A1005" t="s">
        <v>942</v>
      </c>
      <c r="B1005" t="s">
        <v>946</v>
      </c>
      <c r="C1005" s="553">
        <v>44265</v>
      </c>
      <c r="D1005" s="281" t="s">
        <v>4481</v>
      </c>
      <c r="E1005" s="281" t="s">
        <v>3619</v>
      </c>
      <c r="F1005" s="281">
        <v>1</v>
      </c>
      <c r="G1005" s="281">
        <v>5010301000</v>
      </c>
      <c r="H1005" t="s">
        <v>2028</v>
      </c>
      <c r="I1005" t="s">
        <v>528</v>
      </c>
      <c r="J1005" t="s">
        <v>10</v>
      </c>
      <c r="K1005" t="s">
        <v>1384</v>
      </c>
      <c r="L1005" s="552">
        <v>126930.72</v>
      </c>
      <c r="O1005" t="s">
        <v>962</v>
      </c>
    </row>
    <row r="1006" spans="1:15" hidden="1">
      <c r="A1006" t="s">
        <v>942</v>
      </c>
      <c r="B1006" t="s">
        <v>946</v>
      </c>
      <c r="C1006" s="553">
        <v>44265</v>
      </c>
      <c r="D1006" s="281" t="s">
        <v>4481</v>
      </c>
      <c r="E1006" s="281" t="s">
        <v>3619</v>
      </c>
      <c r="F1006" s="281">
        <v>1</v>
      </c>
      <c r="G1006" s="281">
        <v>5010000000</v>
      </c>
      <c r="H1006" t="s">
        <v>2029</v>
      </c>
      <c r="I1006" t="s">
        <v>530</v>
      </c>
      <c r="J1006" t="s">
        <v>10</v>
      </c>
      <c r="K1006" t="s">
        <v>1384</v>
      </c>
      <c r="L1006" s="552">
        <v>2200</v>
      </c>
      <c r="O1006" t="s">
        <v>960</v>
      </c>
    </row>
    <row r="1007" spans="1:15" hidden="1">
      <c r="A1007" t="s">
        <v>942</v>
      </c>
      <c r="B1007" t="s">
        <v>946</v>
      </c>
      <c r="C1007" s="553">
        <v>44265</v>
      </c>
      <c r="D1007" s="281" t="s">
        <v>4481</v>
      </c>
      <c r="E1007" s="281" t="s">
        <v>3619</v>
      </c>
      <c r="F1007" s="281">
        <v>1</v>
      </c>
      <c r="G1007" s="281">
        <v>5010000000</v>
      </c>
      <c r="H1007" t="s">
        <v>2030</v>
      </c>
      <c r="I1007" t="s">
        <v>532</v>
      </c>
      <c r="J1007" t="s">
        <v>10</v>
      </c>
      <c r="K1007" t="s">
        <v>1384</v>
      </c>
      <c r="L1007" s="552">
        <v>12310.77</v>
      </c>
      <c r="O1007" t="s">
        <v>960</v>
      </c>
    </row>
    <row r="1008" spans="1:15" hidden="1">
      <c r="A1008" t="s">
        <v>942</v>
      </c>
      <c r="B1008" t="s">
        <v>946</v>
      </c>
      <c r="C1008" s="553">
        <v>44265</v>
      </c>
      <c r="D1008" s="281" t="s">
        <v>4481</v>
      </c>
      <c r="E1008" s="281" t="s">
        <v>3619</v>
      </c>
      <c r="F1008" s="281">
        <v>1</v>
      </c>
      <c r="G1008" s="281">
        <v>5010000000</v>
      </c>
      <c r="H1008" t="s">
        <v>2031</v>
      </c>
      <c r="I1008" t="s">
        <v>534</v>
      </c>
      <c r="J1008" t="s">
        <v>10</v>
      </c>
      <c r="K1008" t="s">
        <v>1384</v>
      </c>
      <c r="L1008" s="552">
        <v>2200</v>
      </c>
      <c r="O1008" t="s">
        <v>960</v>
      </c>
    </row>
    <row r="1009" spans="1:15" hidden="1">
      <c r="A1009" t="s">
        <v>942</v>
      </c>
      <c r="B1009" t="s">
        <v>946</v>
      </c>
      <c r="C1009" s="553">
        <v>44265</v>
      </c>
      <c r="D1009" s="281" t="s">
        <v>4481</v>
      </c>
      <c r="E1009" s="281" t="s">
        <v>3619</v>
      </c>
      <c r="F1009" s="281">
        <v>2</v>
      </c>
      <c r="G1009" s="281">
        <v>5010000000</v>
      </c>
      <c r="H1009" t="s">
        <v>2026</v>
      </c>
      <c r="I1009" t="s">
        <v>499</v>
      </c>
      <c r="J1009" t="s">
        <v>10</v>
      </c>
      <c r="K1009" t="s">
        <v>1384</v>
      </c>
      <c r="L1009" s="552">
        <v>80214</v>
      </c>
      <c r="O1009" t="s">
        <v>964</v>
      </c>
    </row>
    <row r="1010" spans="1:15" hidden="1">
      <c r="A1010" t="s">
        <v>942</v>
      </c>
      <c r="B1010" t="s">
        <v>946</v>
      </c>
      <c r="C1010" s="553">
        <v>44265</v>
      </c>
      <c r="D1010" s="281" t="s">
        <v>4481</v>
      </c>
      <c r="E1010" s="281" t="s">
        <v>3619</v>
      </c>
      <c r="F1010" s="281">
        <v>2</v>
      </c>
      <c r="G1010" s="281">
        <v>5010000000</v>
      </c>
      <c r="H1010" t="s">
        <v>2027</v>
      </c>
      <c r="I1010" t="s">
        <v>504</v>
      </c>
      <c r="J1010" t="s">
        <v>10</v>
      </c>
      <c r="K1010" t="s">
        <v>1384</v>
      </c>
      <c r="L1010" s="552">
        <v>4000</v>
      </c>
      <c r="O1010" t="s">
        <v>964</v>
      </c>
    </row>
    <row r="1011" spans="1:15" hidden="1">
      <c r="A1011" t="s">
        <v>942</v>
      </c>
      <c r="B1011" t="s">
        <v>946</v>
      </c>
      <c r="C1011" s="553">
        <v>44265</v>
      </c>
      <c r="D1011" s="281" t="s">
        <v>4481</v>
      </c>
      <c r="E1011" s="281" t="s">
        <v>3619</v>
      </c>
      <c r="F1011" s="281">
        <v>2</v>
      </c>
      <c r="G1011" s="281">
        <v>5010301000</v>
      </c>
      <c r="H1011" t="s">
        <v>2028</v>
      </c>
      <c r="I1011" t="s">
        <v>528</v>
      </c>
      <c r="J1011" t="s">
        <v>10</v>
      </c>
      <c r="K1011" t="s">
        <v>1384</v>
      </c>
      <c r="L1011" s="552">
        <v>9625.68</v>
      </c>
      <c r="O1011" t="s">
        <v>966</v>
      </c>
    </row>
    <row r="1012" spans="1:15" hidden="1">
      <c r="A1012" t="s">
        <v>942</v>
      </c>
      <c r="B1012" t="s">
        <v>946</v>
      </c>
      <c r="C1012" s="553">
        <v>44265</v>
      </c>
      <c r="D1012" s="281" t="s">
        <v>4481</v>
      </c>
      <c r="E1012" s="281" t="s">
        <v>3619</v>
      </c>
      <c r="F1012" s="281">
        <v>2</v>
      </c>
      <c r="G1012" s="281">
        <v>5010000000</v>
      </c>
      <c r="H1012" t="s">
        <v>2029</v>
      </c>
      <c r="I1012" t="s">
        <v>530</v>
      </c>
      <c r="J1012" t="s">
        <v>10</v>
      </c>
      <c r="K1012" t="s">
        <v>1384</v>
      </c>
      <c r="L1012" s="552">
        <v>200</v>
      </c>
      <c r="O1012" t="s">
        <v>964</v>
      </c>
    </row>
    <row r="1013" spans="1:15" hidden="1">
      <c r="A1013" t="s">
        <v>942</v>
      </c>
      <c r="B1013" t="s">
        <v>946</v>
      </c>
      <c r="C1013" s="553">
        <v>44265</v>
      </c>
      <c r="D1013" s="281" t="s">
        <v>4481</v>
      </c>
      <c r="E1013" s="281" t="s">
        <v>3619</v>
      </c>
      <c r="F1013" s="281">
        <v>2</v>
      </c>
      <c r="G1013" s="281">
        <v>5010000000</v>
      </c>
      <c r="H1013" t="s">
        <v>2030</v>
      </c>
      <c r="I1013" t="s">
        <v>532</v>
      </c>
      <c r="J1013" t="s">
        <v>10</v>
      </c>
      <c r="K1013" t="s">
        <v>1384</v>
      </c>
      <c r="L1013" s="552">
        <v>1203.22</v>
      </c>
      <c r="O1013" t="s">
        <v>964</v>
      </c>
    </row>
    <row r="1014" spans="1:15" hidden="1">
      <c r="A1014" t="s">
        <v>942</v>
      </c>
      <c r="B1014" t="s">
        <v>946</v>
      </c>
      <c r="C1014" s="553">
        <v>44265</v>
      </c>
      <c r="D1014" s="281" t="s">
        <v>4481</v>
      </c>
      <c r="E1014" s="281" t="s">
        <v>3619</v>
      </c>
      <c r="F1014" s="281">
        <v>2</v>
      </c>
      <c r="G1014" s="281">
        <v>5010000000</v>
      </c>
      <c r="H1014" t="s">
        <v>2031</v>
      </c>
      <c r="I1014" t="s">
        <v>534</v>
      </c>
      <c r="J1014" t="s">
        <v>10</v>
      </c>
      <c r="K1014" t="s">
        <v>1384</v>
      </c>
      <c r="L1014" s="552">
        <v>200</v>
      </c>
      <c r="O1014" t="s">
        <v>964</v>
      </c>
    </row>
    <row r="1015" spans="1:15" hidden="1">
      <c r="A1015" t="s">
        <v>942</v>
      </c>
      <c r="B1015" t="s">
        <v>946</v>
      </c>
      <c r="C1015" s="553">
        <v>44265</v>
      </c>
      <c r="D1015" s="281" t="s">
        <v>4481</v>
      </c>
      <c r="E1015" s="281" t="s">
        <v>3619</v>
      </c>
      <c r="F1015" s="281">
        <v>3</v>
      </c>
      <c r="G1015" s="281">
        <v>5010000000</v>
      </c>
      <c r="H1015" t="s">
        <v>2026</v>
      </c>
      <c r="I1015" t="s">
        <v>499</v>
      </c>
      <c r="J1015" t="s">
        <v>10</v>
      </c>
      <c r="K1015" t="s">
        <v>1384</v>
      </c>
      <c r="L1015" s="552">
        <v>199631</v>
      </c>
      <c r="O1015" t="s">
        <v>967</v>
      </c>
    </row>
    <row r="1016" spans="1:15" hidden="1">
      <c r="A1016" t="s">
        <v>942</v>
      </c>
      <c r="B1016" t="s">
        <v>946</v>
      </c>
      <c r="C1016" s="553">
        <v>44265</v>
      </c>
      <c r="D1016" s="281" t="s">
        <v>4481</v>
      </c>
      <c r="E1016" s="281" t="s">
        <v>3619</v>
      </c>
      <c r="F1016" s="281">
        <v>3</v>
      </c>
      <c r="G1016" s="281">
        <v>5010000000</v>
      </c>
      <c r="H1016" t="s">
        <v>2027</v>
      </c>
      <c r="I1016" t="s">
        <v>504</v>
      </c>
      <c r="J1016" t="s">
        <v>10</v>
      </c>
      <c r="K1016" t="s">
        <v>1384</v>
      </c>
      <c r="L1016" s="552">
        <v>10000</v>
      </c>
      <c r="O1016" t="s">
        <v>967</v>
      </c>
    </row>
    <row r="1017" spans="1:15" hidden="1">
      <c r="A1017" t="s">
        <v>942</v>
      </c>
      <c r="B1017" t="s">
        <v>946</v>
      </c>
      <c r="C1017" s="553">
        <v>44265</v>
      </c>
      <c r="D1017" s="281" t="s">
        <v>4481</v>
      </c>
      <c r="E1017" s="281" t="s">
        <v>3619</v>
      </c>
      <c r="F1017" s="281">
        <v>3</v>
      </c>
      <c r="G1017" s="281">
        <v>5010301000</v>
      </c>
      <c r="H1017" t="s">
        <v>2028</v>
      </c>
      <c r="I1017" t="s">
        <v>528</v>
      </c>
      <c r="J1017" t="s">
        <v>10</v>
      </c>
      <c r="K1017" t="s">
        <v>1384</v>
      </c>
      <c r="L1017" s="552">
        <v>23955.72</v>
      </c>
      <c r="O1017" t="s">
        <v>969</v>
      </c>
    </row>
    <row r="1018" spans="1:15" hidden="1">
      <c r="A1018" t="s">
        <v>942</v>
      </c>
      <c r="B1018" t="s">
        <v>946</v>
      </c>
      <c r="C1018" s="553">
        <v>44265</v>
      </c>
      <c r="D1018" s="281" t="s">
        <v>4481</v>
      </c>
      <c r="E1018" s="281" t="s">
        <v>3619</v>
      </c>
      <c r="F1018" s="281">
        <v>3</v>
      </c>
      <c r="G1018" s="281">
        <v>5010000000</v>
      </c>
      <c r="H1018" t="s">
        <v>2029</v>
      </c>
      <c r="I1018" t="s">
        <v>530</v>
      </c>
      <c r="J1018" t="s">
        <v>10</v>
      </c>
      <c r="K1018" t="s">
        <v>1384</v>
      </c>
      <c r="L1018" s="552">
        <v>500</v>
      </c>
      <c r="O1018" t="s">
        <v>967</v>
      </c>
    </row>
    <row r="1019" spans="1:15" hidden="1">
      <c r="A1019" t="s">
        <v>942</v>
      </c>
      <c r="B1019" t="s">
        <v>946</v>
      </c>
      <c r="C1019" s="553">
        <v>44265</v>
      </c>
      <c r="D1019" s="281" t="s">
        <v>4481</v>
      </c>
      <c r="E1019" s="281" t="s">
        <v>3619</v>
      </c>
      <c r="F1019" s="281">
        <v>3</v>
      </c>
      <c r="G1019" s="281">
        <v>5010000000</v>
      </c>
      <c r="H1019" t="s">
        <v>2030</v>
      </c>
      <c r="I1019" t="s">
        <v>532</v>
      </c>
      <c r="J1019" t="s">
        <v>10</v>
      </c>
      <c r="K1019" t="s">
        <v>1384</v>
      </c>
      <c r="L1019" s="552">
        <v>2593.35</v>
      </c>
      <c r="O1019" t="s">
        <v>967</v>
      </c>
    </row>
    <row r="1020" spans="1:15" hidden="1">
      <c r="A1020" t="s">
        <v>942</v>
      </c>
      <c r="B1020" t="s">
        <v>946</v>
      </c>
      <c r="C1020" s="553">
        <v>44265</v>
      </c>
      <c r="D1020" s="281" t="s">
        <v>4481</v>
      </c>
      <c r="E1020" s="281" t="s">
        <v>3619</v>
      </c>
      <c r="F1020" s="281">
        <v>3</v>
      </c>
      <c r="G1020" s="281">
        <v>5010000000</v>
      </c>
      <c r="H1020" t="s">
        <v>2031</v>
      </c>
      <c r="I1020" t="s">
        <v>534</v>
      </c>
      <c r="J1020" t="s">
        <v>10</v>
      </c>
      <c r="K1020" t="s">
        <v>1384</v>
      </c>
      <c r="L1020" s="552">
        <v>500</v>
      </c>
      <c r="O1020" t="s">
        <v>967</v>
      </c>
    </row>
    <row r="1021" spans="1:15" hidden="1">
      <c r="A1021" t="s">
        <v>942</v>
      </c>
      <c r="B1021" t="s">
        <v>946</v>
      </c>
      <c r="C1021" s="553">
        <v>44265</v>
      </c>
      <c r="D1021" s="281" t="s">
        <v>4481</v>
      </c>
      <c r="E1021" s="281" t="s">
        <v>3619</v>
      </c>
      <c r="F1021" s="281">
        <v>4</v>
      </c>
      <c r="G1021" s="281">
        <v>5010000000</v>
      </c>
      <c r="H1021" t="s">
        <v>2026</v>
      </c>
      <c r="I1021" t="s">
        <v>499</v>
      </c>
      <c r="J1021" t="s">
        <v>10</v>
      </c>
      <c r="K1021" t="s">
        <v>1384</v>
      </c>
      <c r="L1021" s="552">
        <v>190370</v>
      </c>
      <c r="O1021" t="s">
        <v>970</v>
      </c>
    </row>
    <row r="1022" spans="1:15" hidden="1">
      <c r="A1022" t="s">
        <v>942</v>
      </c>
      <c r="B1022" t="s">
        <v>946</v>
      </c>
      <c r="C1022" s="553">
        <v>44265</v>
      </c>
      <c r="D1022" s="281" t="s">
        <v>4481</v>
      </c>
      <c r="E1022" s="281" t="s">
        <v>3619</v>
      </c>
      <c r="F1022" s="281">
        <v>4</v>
      </c>
      <c r="G1022" s="281">
        <v>5010000000</v>
      </c>
      <c r="H1022" t="s">
        <v>2027</v>
      </c>
      <c r="I1022" t="s">
        <v>504</v>
      </c>
      <c r="J1022" t="s">
        <v>10</v>
      </c>
      <c r="K1022" t="s">
        <v>1384</v>
      </c>
      <c r="L1022" s="552">
        <v>10000</v>
      </c>
      <c r="O1022" t="s">
        <v>970</v>
      </c>
    </row>
    <row r="1023" spans="1:15" hidden="1">
      <c r="A1023" t="s">
        <v>942</v>
      </c>
      <c r="B1023" t="s">
        <v>946</v>
      </c>
      <c r="C1023" s="553">
        <v>44265</v>
      </c>
      <c r="D1023" s="281" t="s">
        <v>4481</v>
      </c>
      <c r="E1023" s="281" t="s">
        <v>3619</v>
      </c>
      <c r="F1023" s="281">
        <v>4</v>
      </c>
      <c r="G1023" s="281">
        <v>5010301000</v>
      </c>
      <c r="H1023" t="s">
        <v>2028</v>
      </c>
      <c r="I1023" t="s">
        <v>528</v>
      </c>
      <c r="J1023" t="s">
        <v>10</v>
      </c>
      <c r="K1023" t="s">
        <v>1384</v>
      </c>
      <c r="L1023" s="552">
        <v>22844.400000000001</v>
      </c>
      <c r="O1023" t="s">
        <v>972</v>
      </c>
    </row>
    <row r="1024" spans="1:15" hidden="1">
      <c r="A1024" t="s">
        <v>942</v>
      </c>
      <c r="B1024" t="s">
        <v>946</v>
      </c>
      <c r="C1024" s="553">
        <v>44265</v>
      </c>
      <c r="D1024" s="281" t="s">
        <v>4481</v>
      </c>
      <c r="E1024" s="281" t="s">
        <v>3619</v>
      </c>
      <c r="F1024" s="281">
        <v>4</v>
      </c>
      <c r="G1024" s="281">
        <v>5010000000</v>
      </c>
      <c r="H1024" t="s">
        <v>2029</v>
      </c>
      <c r="I1024" t="s">
        <v>530</v>
      </c>
      <c r="J1024" t="s">
        <v>10</v>
      </c>
      <c r="K1024" t="s">
        <v>1384</v>
      </c>
      <c r="L1024" s="552">
        <v>500</v>
      </c>
      <c r="O1024" t="s">
        <v>970</v>
      </c>
    </row>
    <row r="1025" spans="1:15" hidden="1">
      <c r="A1025" t="s">
        <v>942</v>
      </c>
      <c r="B1025" t="s">
        <v>946</v>
      </c>
      <c r="C1025" s="553">
        <v>44265</v>
      </c>
      <c r="D1025" s="281" t="s">
        <v>4481</v>
      </c>
      <c r="E1025" s="281" t="s">
        <v>3619</v>
      </c>
      <c r="F1025" s="281">
        <v>4</v>
      </c>
      <c r="G1025" s="281">
        <v>5010000000</v>
      </c>
      <c r="H1025" t="s">
        <v>2030</v>
      </c>
      <c r="I1025" t="s">
        <v>532</v>
      </c>
      <c r="J1025" t="s">
        <v>10</v>
      </c>
      <c r="K1025" t="s">
        <v>1384</v>
      </c>
      <c r="L1025" s="552">
        <v>2855.56</v>
      </c>
      <c r="O1025" t="s">
        <v>970</v>
      </c>
    </row>
    <row r="1026" spans="1:15" hidden="1">
      <c r="A1026" t="s">
        <v>942</v>
      </c>
      <c r="B1026" t="s">
        <v>946</v>
      </c>
      <c r="C1026" s="553">
        <v>44265</v>
      </c>
      <c r="D1026" s="281" t="s">
        <v>4481</v>
      </c>
      <c r="E1026" s="281" t="s">
        <v>3619</v>
      </c>
      <c r="F1026" s="281">
        <v>4</v>
      </c>
      <c r="G1026" s="281">
        <v>5010000000</v>
      </c>
      <c r="H1026" t="s">
        <v>2031</v>
      </c>
      <c r="I1026" t="s">
        <v>534</v>
      </c>
      <c r="J1026" t="s">
        <v>10</v>
      </c>
      <c r="K1026" t="s">
        <v>1384</v>
      </c>
      <c r="L1026" s="552">
        <v>500</v>
      </c>
      <c r="O1026" t="s">
        <v>970</v>
      </c>
    </row>
    <row r="1027" spans="1:15" hidden="1">
      <c r="A1027" t="s">
        <v>942</v>
      </c>
      <c r="B1027" t="s">
        <v>946</v>
      </c>
      <c r="C1027" s="553">
        <v>44265</v>
      </c>
      <c r="D1027" s="281" t="s">
        <v>4481</v>
      </c>
      <c r="E1027" s="281" t="s">
        <v>3619</v>
      </c>
      <c r="F1027" s="281">
        <v>5</v>
      </c>
      <c r="G1027" s="281">
        <v>5010000000</v>
      </c>
      <c r="H1027" t="s">
        <v>2026</v>
      </c>
      <c r="I1027" t="s">
        <v>499</v>
      </c>
      <c r="J1027" t="s">
        <v>10</v>
      </c>
      <c r="K1027" t="s">
        <v>1384</v>
      </c>
      <c r="L1027" s="552">
        <v>206068</v>
      </c>
      <c r="O1027" t="s">
        <v>973</v>
      </c>
    </row>
    <row r="1028" spans="1:15" hidden="1">
      <c r="A1028" t="s">
        <v>942</v>
      </c>
      <c r="B1028" t="s">
        <v>946</v>
      </c>
      <c r="C1028" s="553">
        <v>44265</v>
      </c>
      <c r="D1028" s="281" t="s">
        <v>4481</v>
      </c>
      <c r="E1028" s="281" t="s">
        <v>3619</v>
      </c>
      <c r="F1028" s="281">
        <v>5</v>
      </c>
      <c r="G1028" s="281">
        <v>5010000000</v>
      </c>
      <c r="H1028" t="s">
        <v>2027</v>
      </c>
      <c r="I1028" t="s">
        <v>504</v>
      </c>
      <c r="J1028" t="s">
        <v>10</v>
      </c>
      <c r="K1028" t="s">
        <v>1384</v>
      </c>
      <c r="L1028" s="552">
        <v>10000</v>
      </c>
      <c r="O1028" t="s">
        <v>973</v>
      </c>
    </row>
    <row r="1029" spans="1:15" hidden="1">
      <c r="A1029" t="s">
        <v>942</v>
      </c>
      <c r="B1029" t="s">
        <v>946</v>
      </c>
      <c r="C1029" s="553">
        <v>44265</v>
      </c>
      <c r="D1029" s="281" t="s">
        <v>4481</v>
      </c>
      <c r="E1029" s="281" t="s">
        <v>3619</v>
      </c>
      <c r="F1029" s="281">
        <v>5</v>
      </c>
      <c r="G1029" s="281">
        <v>5010301000</v>
      </c>
      <c r="H1029" t="s">
        <v>2028</v>
      </c>
      <c r="I1029" t="s">
        <v>528</v>
      </c>
      <c r="J1029" t="s">
        <v>10</v>
      </c>
      <c r="K1029" t="s">
        <v>1384</v>
      </c>
      <c r="L1029" s="552">
        <v>24728.16</v>
      </c>
      <c r="O1029" t="s">
        <v>975</v>
      </c>
    </row>
    <row r="1030" spans="1:15" hidden="1">
      <c r="A1030" t="s">
        <v>942</v>
      </c>
      <c r="B1030" t="s">
        <v>946</v>
      </c>
      <c r="C1030" s="553">
        <v>44265</v>
      </c>
      <c r="D1030" s="281" t="s">
        <v>4481</v>
      </c>
      <c r="E1030" s="281" t="s">
        <v>3619</v>
      </c>
      <c r="F1030" s="281">
        <v>5</v>
      </c>
      <c r="G1030" s="281">
        <v>5010000000</v>
      </c>
      <c r="H1030" t="s">
        <v>2029</v>
      </c>
      <c r="I1030" t="s">
        <v>530</v>
      </c>
      <c r="J1030" t="s">
        <v>10</v>
      </c>
      <c r="K1030" t="s">
        <v>1384</v>
      </c>
      <c r="L1030" s="552">
        <v>500</v>
      </c>
      <c r="O1030" t="s">
        <v>973</v>
      </c>
    </row>
    <row r="1031" spans="1:15" hidden="1">
      <c r="A1031" t="s">
        <v>942</v>
      </c>
      <c r="B1031" t="s">
        <v>946</v>
      </c>
      <c r="C1031" s="553">
        <v>44265</v>
      </c>
      <c r="D1031" s="281" t="s">
        <v>4481</v>
      </c>
      <c r="E1031" s="281" t="s">
        <v>3619</v>
      </c>
      <c r="F1031" s="281">
        <v>5</v>
      </c>
      <c r="G1031" s="281">
        <v>5010000000</v>
      </c>
      <c r="H1031" t="s">
        <v>2030</v>
      </c>
      <c r="I1031" t="s">
        <v>532</v>
      </c>
      <c r="J1031" t="s">
        <v>10</v>
      </c>
      <c r="K1031" t="s">
        <v>1384</v>
      </c>
      <c r="L1031" s="552">
        <v>3077.52</v>
      </c>
      <c r="O1031" t="s">
        <v>973</v>
      </c>
    </row>
    <row r="1032" spans="1:15" hidden="1">
      <c r="A1032" t="s">
        <v>942</v>
      </c>
      <c r="B1032" t="s">
        <v>946</v>
      </c>
      <c r="C1032" s="553">
        <v>44265</v>
      </c>
      <c r="D1032" s="281" t="s">
        <v>4481</v>
      </c>
      <c r="E1032" s="281" t="s">
        <v>3619</v>
      </c>
      <c r="F1032" s="281">
        <v>5</v>
      </c>
      <c r="G1032" s="281">
        <v>5010000000</v>
      </c>
      <c r="H1032" t="s">
        <v>2031</v>
      </c>
      <c r="I1032" t="s">
        <v>534</v>
      </c>
      <c r="J1032" t="s">
        <v>10</v>
      </c>
      <c r="K1032" t="s">
        <v>1384</v>
      </c>
      <c r="L1032" s="552">
        <v>500</v>
      </c>
      <c r="O1032" t="s">
        <v>973</v>
      </c>
    </row>
    <row r="1033" spans="1:15" hidden="1">
      <c r="A1033" t="s">
        <v>942</v>
      </c>
      <c r="B1033" t="s">
        <v>946</v>
      </c>
      <c r="C1033" s="553">
        <v>44265</v>
      </c>
      <c r="D1033" s="281" t="s">
        <v>4482</v>
      </c>
      <c r="E1033" s="281" t="s">
        <v>3653</v>
      </c>
      <c r="F1033" s="281">
        <v>1</v>
      </c>
      <c r="G1033" s="281">
        <v>5010000000</v>
      </c>
      <c r="H1033" t="s">
        <v>2026</v>
      </c>
      <c r="I1033" t="s">
        <v>499</v>
      </c>
      <c r="J1033" t="s">
        <v>764</v>
      </c>
      <c r="K1033" t="s">
        <v>1384</v>
      </c>
      <c r="L1033" s="552">
        <v>99206</v>
      </c>
      <c r="O1033" t="s">
        <v>960</v>
      </c>
    </row>
    <row r="1034" spans="1:15" hidden="1">
      <c r="A1034" t="s">
        <v>942</v>
      </c>
      <c r="B1034" t="s">
        <v>946</v>
      </c>
      <c r="C1034" s="553">
        <v>44265</v>
      </c>
      <c r="D1034" s="281" t="s">
        <v>4482</v>
      </c>
      <c r="E1034" s="281" t="s">
        <v>3653</v>
      </c>
      <c r="F1034" s="281">
        <v>1</v>
      </c>
      <c r="G1034" s="281">
        <v>5010000000</v>
      </c>
      <c r="H1034" t="s">
        <v>2027</v>
      </c>
      <c r="I1034" t="s">
        <v>504</v>
      </c>
      <c r="J1034" t="s">
        <v>764</v>
      </c>
      <c r="K1034" t="s">
        <v>1384</v>
      </c>
      <c r="L1034" s="552">
        <v>8000</v>
      </c>
      <c r="O1034" t="s">
        <v>960</v>
      </c>
    </row>
    <row r="1035" spans="1:15" hidden="1">
      <c r="A1035" t="s">
        <v>942</v>
      </c>
      <c r="B1035" t="s">
        <v>946</v>
      </c>
      <c r="C1035" s="553">
        <v>44265</v>
      </c>
      <c r="D1035" s="281" t="s">
        <v>4482</v>
      </c>
      <c r="E1035" s="281" t="s">
        <v>3653</v>
      </c>
      <c r="F1035" s="281">
        <v>1</v>
      </c>
      <c r="G1035" s="281">
        <v>5010301000</v>
      </c>
      <c r="H1035" t="s">
        <v>2028</v>
      </c>
      <c r="I1035" t="s">
        <v>528</v>
      </c>
      <c r="J1035" t="s">
        <v>764</v>
      </c>
      <c r="K1035" t="s">
        <v>1384</v>
      </c>
      <c r="L1035" s="552">
        <v>11904.72</v>
      </c>
      <c r="O1035" t="s">
        <v>962</v>
      </c>
    </row>
    <row r="1036" spans="1:15" hidden="1">
      <c r="A1036" t="s">
        <v>942</v>
      </c>
      <c r="B1036" t="s">
        <v>946</v>
      </c>
      <c r="C1036" s="553">
        <v>44265</v>
      </c>
      <c r="D1036" s="281" t="s">
        <v>4482</v>
      </c>
      <c r="E1036" s="281" t="s">
        <v>3653</v>
      </c>
      <c r="F1036" s="281">
        <v>1</v>
      </c>
      <c r="G1036" s="281">
        <v>5010000000</v>
      </c>
      <c r="H1036" t="s">
        <v>2029</v>
      </c>
      <c r="I1036" t="s">
        <v>530</v>
      </c>
      <c r="J1036" t="s">
        <v>764</v>
      </c>
      <c r="K1036" t="s">
        <v>1384</v>
      </c>
      <c r="L1036" s="552">
        <v>400</v>
      </c>
      <c r="O1036" t="s">
        <v>960</v>
      </c>
    </row>
    <row r="1037" spans="1:15" hidden="1">
      <c r="A1037" t="s">
        <v>942</v>
      </c>
      <c r="B1037" t="s">
        <v>946</v>
      </c>
      <c r="C1037" s="553">
        <v>44265</v>
      </c>
      <c r="D1037" s="281" t="s">
        <v>4482</v>
      </c>
      <c r="E1037" s="281" t="s">
        <v>3653</v>
      </c>
      <c r="F1037" s="281">
        <v>1</v>
      </c>
      <c r="G1037" s="281">
        <v>5010000000</v>
      </c>
      <c r="H1037" t="s">
        <v>2030</v>
      </c>
      <c r="I1037" t="s">
        <v>532</v>
      </c>
      <c r="J1037" t="s">
        <v>764</v>
      </c>
      <c r="K1037" t="s">
        <v>1384</v>
      </c>
      <c r="L1037" s="552">
        <v>1488.1</v>
      </c>
      <c r="O1037" t="s">
        <v>960</v>
      </c>
    </row>
    <row r="1038" spans="1:15" hidden="1">
      <c r="A1038" t="s">
        <v>942</v>
      </c>
      <c r="B1038" t="s">
        <v>946</v>
      </c>
      <c r="C1038" s="553">
        <v>44265</v>
      </c>
      <c r="D1038" s="281" t="s">
        <v>4482</v>
      </c>
      <c r="E1038" s="281" t="s">
        <v>3653</v>
      </c>
      <c r="F1038" s="281">
        <v>1</v>
      </c>
      <c r="G1038" s="281">
        <v>5010000000</v>
      </c>
      <c r="H1038" t="s">
        <v>2031</v>
      </c>
      <c r="I1038" t="s">
        <v>534</v>
      </c>
      <c r="J1038" t="s">
        <v>764</v>
      </c>
      <c r="K1038" t="s">
        <v>1384</v>
      </c>
      <c r="L1038" s="552">
        <v>400</v>
      </c>
      <c r="O1038" t="s">
        <v>960</v>
      </c>
    </row>
    <row r="1039" spans="1:15" hidden="1">
      <c r="A1039" t="s">
        <v>942</v>
      </c>
      <c r="B1039" t="s">
        <v>946</v>
      </c>
      <c r="C1039" s="553">
        <v>44265</v>
      </c>
      <c r="D1039" s="281" t="s">
        <v>4482</v>
      </c>
      <c r="E1039" s="281" t="s">
        <v>3653</v>
      </c>
      <c r="F1039" s="281">
        <v>2</v>
      </c>
      <c r="G1039" s="281">
        <v>5010000000</v>
      </c>
      <c r="H1039" t="s">
        <v>2026</v>
      </c>
      <c r="I1039" t="s">
        <v>499</v>
      </c>
      <c r="J1039" t="s">
        <v>764</v>
      </c>
      <c r="K1039" t="s">
        <v>1384</v>
      </c>
      <c r="L1039" s="552">
        <v>44184</v>
      </c>
      <c r="O1039" t="s">
        <v>964</v>
      </c>
    </row>
    <row r="1040" spans="1:15" hidden="1">
      <c r="A1040" t="s">
        <v>942</v>
      </c>
      <c r="B1040" t="s">
        <v>946</v>
      </c>
      <c r="C1040" s="553">
        <v>44265</v>
      </c>
      <c r="D1040" s="281" t="s">
        <v>4482</v>
      </c>
      <c r="E1040" s="281" t="s">
        <v>3653</v>
      </c>
      <c r="F1040" s="281">
        <v>2</v>
      </c>
      <c r="G1040" s="281">
        <v>5010000000</v>
      </c>
      <c r="H1040" t="s">
        <v>2027</v>
      </c>
      <c r="I1040" t="s">
        <v>504</v>
      </c>
      <c r="J1040" t="s">
        <v>764</v>
      </c>
      <c r="K1040" t="s">
        <v>1384</v>
      </c>
      <c r="L1040" s="552">
        <v>2000</v>
      </c>
      <c r="O1040" t="s">
        <v>964</v>
      </c>
    </row>
    <row r="1041" spans="1:15" hidden="1">
      <c r="A1041" t="s">
        <v>942</v>
      </c>
      <c r="B1041" t="s">
        <v>946</v>
      </c>
      <c r="C1041" s="553">
        <v>44265</v>
      </c>
      <c r="D1041" s="281" t="s">
        <v>4482</v>
      </c>
      <c r="E1041" s="281" t="s">
        <v>3653</v>
      </c>
      <c r="F1041" s="281">
        <v>2</v>
      </c>
      <c r="G1041" s="281">
        <v>5010301000</v>
      </c>
      <c r="H1041" t="s">
        <v>2028</v>
      </c>
      <c r="I1041" t="s">
        <v>528</v>
      </c>
      <c r="J1041" t="s">
        <v>764</v>
      </c>
      <c r="K1041" t="s">
        <v>1384</v>
      </c>
      <c r="L1041" s="552">
        <v>5302.08</v>
      </c>
      <c r="O1041" t="s">
        <v>966</v>
      </c>
    </row>
    <row r="1042" spans="1:15" hidden="1">
      <c r="A1042" t="s">
        <v>942</v>
      </c>
      <c r="B1042" t="s">
        <v>946</v>
      </c>
      <c r="C1042" s="553">
        <v>44265</v>
      </c>
      <c r="D1042" s="281" t="s">
        <v>4482</v>
      </c>
      <c r="E1042" s="281" t="s">
        <v>3653</v>
      </c>
      <c r="F1042" s="281">
        <v>2</v>
      </c>
      <c r="G1042" s="281">
        <v>5010000000</v>
      </c>
      <c r="H1042" t="s">
        <v>2029</v>
      </c>
      <c r="I1042" t="s">
        <v>530</v>
      </c>
      <c r="J1042" t="s">
        <v>764</v>
      </c>
      <c r="K1042" t="s">
        <v>1384</v>
      </c>
      <c r="L1042" s="552">
        <v>100</v>
      </c>
      <c r="O1042" t="s">
        <v>964</v>
      </c>
    </row>
    <row r="1043" spans="1:15" hidden="1">
      <c r="A1043" t="s">
        <v>942</v>
      </c>
      <c r="B1043" t="s">
        <v>946</v>
      </c>
      <c r="C1043" s="553">
        <v>44265</v>
      </c>
      <c r="D1043" s="281" t="s">
        <v>4482</v>
      </c>
      <c r="E1043" s="281" t="s">
        <v>3653</v>
      </c>
      <c r="F1043" s="281">
        <v>2</v>
      </c>
      <c r="G1043" s="281">
        <v>5010000000</v>
      </c>
      <c r="H1043" t="s">
        <v>2030</v>
      </c>
      <c r="I1043" t="s">
        <v>532</v>
      </c>
      <c r="J1043" t="s">
        <v>764</v>
      </c>
      <c r="K1043" t="s">
        <v>1384</v>
      </c>
      <c r="L1043" s="552">
        <v>662.76</v>
      </c>
      <c r="O1043" t="s">
        <v>964</v>
      </c>
    </row>
    <row r="1044" spans="1:15" hidden="1">
      <c r="A1044" t="s">
        <v>942</v>
      </c>
      <c r="B1044" t="s">
        <v>946</v>
      </c>
      <c r="C1044" s="553">
        <v>44265</v>
      </c>
      <c r="D1044" s="281" t="s">
        <v>4482</v>
      </c>
      <c r="E1044" s="281" t="s">
        <v>3653</v>
      </c>
      <c r="F1044" s="281">
        <v>2</v>
      </c>
      <c r="G1044" s="281">
        <v>5010000000</v>
      </c>
      <c r="H1044" t="s">
        <v>2031</v>
      </c>
      <c r="I1044" t="s">
        <v>534</v>
      </c>
      <c r="J1044" t="s">
        <v>764</v>
      </c>
      <c r="K1044" t="s">
        <v>1384</v>
      </c>
      <c r="L1044" s="552">
        <v>100</v>
      </c>
      <c r="O1044" t="s">
        <v>964</v>
      </c>
    </row>
    <row r="1045" spans="1:15" hidden="1">
      <c r="A1045" t="s">
        <v>942</v>
      </c>
      <c r="B1045" t="s">
        <v>946</v>
      </c>
      <c r="C1045" s="553">
        <v>44265</v>
      </c>
      <c r="D1045" s="281" t="s">
        <v>4482</v>
      </c>
      <c r="E1045" s="281" t="s">
        <v>3653</v>
      </c>
      <c r="F1045" s="281">
        <v>4</v>
      </c>
      <c r="G1045" s="281">
        <v>5010000000</v>
      </c>
      <c r="H1045" t="s">
        <v>2026</v>
      </c>
      <c r="I1045" t="s">
        <v>499</v>
      </c>
      <c r="J1045" t="s">
        <v>764</v>
      </c>
      <c r="K1045" t="s">
        <v>1384</v>
      </c>
      <c r="L1045" s="552">
        <v>113498</v>
      </c>
      <c r="O1045" t="s">
        <v>970</v>
      </c>
    </row>
    <row r="1046" spans="1:15" hidden="1">
      <c r="A1046" t="s">
        <v>942</v>
      </c>
      <c r="B1046" t="s">
        <v>946</v>
      </c>
      <c r="C1046" s="553">
        <v>44265</v>
      </c>
      <c r="D1046" s="281" t="s">
        <v>4482</v>
      </c>
      <c r="E1046" s="281" t="s">
        <v>3653</v>
      </c>
      <c r="F1046" s="281">
        <v>4</v>
      </c>
      <c r="G1046" s="281">
        <v>5010000000</v>
      </c>
      <c r="H1046" t="s">
        <v>2027</v>
      </c>
      <c r="I1046" t="s">
        <v>504</v>
      </c>
      <c r="J1046" t="s">
        <v>764</v>
      </c>
      <c r="K1046" t="s">
        <v>1384</v>
      </c>
      <c r="L1046" s="552">
        <v>6000</v>
      </c>
      <c r="O1046" t="s">
        <v>970</v>
      </c>
    </row>
    <row r="1047" spans="1:15" hidden="1">
      <c r="A1047" t="s">
        <v>942</v>
      </c>
      <c r="B1047" t="s">
        <v>946</v>
      </c>
      <c r="C1047" s="553">
        <v>44265</v>
      </c>
      <c r="D1047" s="281" t="s">
        <v>4482</v>
      </c>
      <c r="E1047" s="281" t="s">
        <v>3653</v>
      </c>
      <c r="F1047" s="281">
        <v>4</v>
      </c>
      <c r="G1047" s="281">
        <v>5010301000</v>
      </c>
      <c r="H1047" t="s">
        <v>2028</v>
      </c>
      <c r="I1047" t="s">
        <v>528</v>
      </c>
      <c r="J1047" t="s">
        <v>764</v>
      </c>
      <c r="K1047" t="s">
        <v>1384</v>
      </c>
      <c r="L1047" s="552">
        <v>13619.76</v>
      </c>
      <c r="O1047" t="s">
        <v>972</v>
      </c>
    </row>
    <row r="1048" spans="1:15" hidden="1">
      <c r="A1048" t="s">
        <v>942</v>
      </c>
      <c r="B1048" t="s">
        <v>946</v>
      </c>
      <c r="C1048" s="553">
        <v>44265</v>
      </c>
      <c r="D1048" s="281" t="s">
        <v>4482</v>
      </c>
      <c r="E1048" s="281" t="s">
        <v>3653</v>
      </c>
      <c r="F1048" s="281">
        <v>4</v>
      </c>
      <c r="G1048" s="281">
        <v>5010000000</v>
      </c>
      <c r="H1048" t="s">
        <v>2029</v>
      </c>
      <c r="I1048" t="s">
        <v>530</v>
      </c>
      <c r="J1048" t="s">
        <v>764</v>
      </c>
      <c r="K1048" t="s">
        <v>1384</v>
      </c>
      <c r="L1048" s="552">
        <v>300</v>
      </c>
      <c r="O1048" t="s">
        <v>970</v>
      </c>
    </row>
    <row r="1049" spans="1:15" hidden="1">
      <c r="A1049" t="s">
        <v>942</v>
      </c>
      <c r="B1049" t="s">
        <v>946</v>
      </c>
      <c r="C1049" s="553">
        <v>44265</v>
      </c>
      <c r="D1049" s="281" t="s">
        <v>4482</v>
      </c>
      <c r="E1049" s="281" t="s">
        <v>3653</v>
      </c>
      <c r="F1049" s="281">
        <v>4</v>
      </c>
      <c r="G1049" s="281">
        <v>5010000000</v>
      </c>
      <c r="H1049" t="s">
        <v>2030</v>
      </c>
      <c r="I1049" t="s">
        <v>532</v>
      </c>
      <c r="J1049" t="s">
        <v>764</v>
      </c>
      <c r="K1049" t="s">
        <v>1384</v>
      </c>
      <c r="L1049" s="552">
        <v>1702.48</v>
      </c>
      <c r="O1049" t="s">
        <v>970</v>
      </c>
    </row>
    <row r="1050" spans="1:15" hidden="1">
      <c r="A1050" t="s">
        <v>942</v>
      </c>
      <c r="B1050" t="s">
        <v>946</v>
      </c>
      <c r="C1050" s="553">
        <v>44265</v>
      </c>
      <c r="D1050" s="281" t="s">
        <v>4482</v>
      </c>
      <c r="E1050" s="281" t="s">
        <v>3653</v>
      </c>
      <c r="F1050" s="281">
        <v>4</v>
      </c>
      <c r="G1050" s="281">
        <v>5010000000</v>
      </c>
      <c r="H1050" t="s">
        <v>2031</v>
      </c>
      <c r="I1050" t="s">
        <v>534</v>
      </c>
      <c r="J1050" t="s">
        <v>764</v>
      </c>
      <c r="K1050" t="s">
        <v>1384</v>
      </c>
      <c r="L1050" s="552">
        <v>300</v>
      </c>
      <c r="O1050" t="s">
        <v>970</v>
      </c>
    </row>
    <row r="1051" spans="1:15" hidden="1">
      <c r="A1051" t="s">
        <v>942</v>
      </c>
      <c r="B1051" t="s">
        <v>946</v>
      </c>
      <c r="C1051" s="553">
        <v>44265</v>
      </c>
      <c r="D1051" s="281" t="s">
        <v>4482</v>
      </c>
      <c r="E1051" s="281" t="s">
        <v>3653</v>
      </c>
      <c r="F1051" s="281">
        <v>5</v>
      </c>
      <c r="G1051" s="281">
        <v>5010000000</v>
      </c>
      <c r="H1051" t="s">
        <v>2026</v>
      </c>
      <c r="I1051" t="s">
        <v>499</v>
      </c>
      <c r="J1051" t="s">
        <v>764</v>
      </c>
      <c r="K1051" t="s">
        <v>1384</v>
      </c>
      <c r="L1051" s="552">
        <v>136714</v>
      </c>
      <c r="O1051" t="s">
        <v>973</v>
      </c>
    </row>
    <row r="1052" spans="1:15" hidden="1">
      <c r="A1052" t="s">
        <v>942</v>
      </c>
      <c r="B1052" t="s">
        <v>946</v>
      </c>
      <c r="C1052" s="553">
        <v>44265</v>
      </c>
      <c r="D1052" s="281" t="s">
        <v>4482</v>
      </c>
      <c r="E1052" s="281" t="s">
        <v>3653</v>
      </c>
      <c r="F1052" s="281">
        <v>5</v>
      </c>
      <c r="G1052" s="281">
        <v>5010000000</v>
      </c>
      <c r="H1052" t="s">
        <v>2027</v>
      </c>
      <c r="I1052" t="s">
        <v>504</v>
      </c>
      <c r="J1052" t="s">
        <v>764</v>
      </c>
      <c r="K1052" t="s">
        <v>1384</v>
      </c>
      <c r="L1052" s="552">
        <v>6000</v>
      </c>
      <c r="O1052" t="s">
        <v>973</v>
      </c>
    </row>
    <row r="1053" spans="1:15" hidden="1">
      <c r="A1053" t="s">
        <v>942</v>
      </c>
      <c r="B1053" t="s">
        <v>946</v>
      </c>
      <c r="C1053" s="553">
        <v>44265</v>
      </c>
      <c r="D1053" s="281" t="s">
        <v>4482</v>
      </c>
      <c r="E1053" s="281" t="s">
        <v>3653</v>
      </c>
      <c r="F1053" s="281">
        <v>5</v>
      </c>
      <c r="G1053" s="281">
        <v>5010301000</v>
      </c>
      <c r="H1053" t="s">
        <v>2028</v>
      </c>
      <c r="I1053" t="s">
        <v>528</v>
      </c>
      <c r="J1053" t="s">
        <v>764</v>
      </c>
      <c r="K1053" t="s">
        <v>1384</v>
      </c>
      <c r="L1053" s="552">
        <v>16405.68</v>
      </c>
      <c r="O1053" t="s">
        <v>975</v>
      </c>
    </row>
    <row r="1054" spans="1:15" hidden="1">
      <c r="A1054" t="s">
        <v>942</v>
      </c>
      <c r="B1054" t="s">
        <v>946</v>
      </c>
      <c r="C1054" s="553">
        <v>44265</v>
      </c>
      <c r="D1054" s="281" t="s">
        <v>4482</v>
      </c>
      <c r="E1054" s="281" t="s">
        <v>3653</v>
      </c>
      <c r="F1054" s="281">
        <v>5</v>
      </c>
      <c r="G1054" s="281">
        <v>5010000000</v>
      </c>
      <c r="H1054" t="s">
        <v>2029</v>
      </c>
      <c r="I1054" t="s">
        <v>530</v>
      </c>
      <c r="J1054" t="s">
        <v>764</v>
      </c>
      <c r="K1054" t="s">
        <v>1384</v>
      </c>
      <c r="L1054" s="552">
        <v>300</v>
      </c>
      <c r="O1054" t="s">
        <v>973</v>
      </c>
    </row>
    <row r="1055" spans="1:15" hidden="1">
      <c r="A1055" t="s">
        <v>942</v>
      </c>
      <c r="B1055" t="s">
        <v>946</v>
      </c>
      <c r="C1055" s="553">
        <v>44265</v>
      </c>
      <c r="D1055" s="281" t="s">
        <v>4482</v>
      </c>
      <c r="E1055" s="281" t="s">
        <v>3653</v>
      </c>
      <c r="F1055" s="281">
        <v>5</v>
      </c>
      <c r="G1055" s="281">
        <v>5010000000</v>
      </c>
      <c r="H1055" t="s">
        <v>2030</v>
      </c>
      <c r="I1055" t="s">
        <v>532</v>
      </c>
      <c r="J1055" t="s">
        <v>764</v>
      </c>
      <c r="K1055" t="s">
        <v>1384</v>
      </c>
      <c r="L1055" s="552">
        <v>1924.49</v>
      </c>
      <c r="O1055" t="s">
        <v>973</v>
      </c>
    </row>
    <row r="1056" spans="1:15" hidden="1">
      <c r="A1056" t="s">
        <v>942</v>
      </c>
      <c r="B1056" t="s">
        <v>946</v>
      </c>
      <c r="C1056" s="553">
        <v>44265</v>
      </c>
      <c r="D1056" s="281" t="s">
        <v>4482</v>
      </c>
      <c r="E1056" s="281" t="s">
        <v>3653</v>
      </c>
      <c r="F1056" s="281">
        <v>5</v>
      </c>
      <c r="G1056" s="281">
        <v>5010000000</v>
      </c>
      <c r="H1056" t="s">
        <v>2031</v>
      </c>
      <c r="I1056" t="s">
        <v>534</v>
      </c>
      <c r="J1056" t="s">
        <v>764</v>
      </c>
      <c r="K1056" t="s">
        <v>1384</v>
      </c>
      <c r="L1056" s="552">
        <v>300</v>
      </c>
      <c r="O1056" t="s">
        <v>973</v>
      </c>
    </row>
    <row r="1057" spans="1:15" hidden="1">
      <c r="A1057" t="s">
        <v>942</v>
      </c>
      <c r="B1057" t="s">
        <v>946</v>
      </c>
      <c r="C1057" s="553">
        <v>44265</v>
      </c>
      <c r="D1057" s="281" t="s">
        <v>4483</v>
      </c>
      <c r="E1057" s="281" t="s">
        <v>3656</v>
      </c>
      <c r="F1057" s="281">
        <v>13</v>
      </c>
      <c r="G1057" s="281" t="s">
        <v>2036</v>
      </c>
      <c r="H1057" t="s">
        <v>2036</v>
      </c>
      <c r="I1057" t="s">
        <v>501</v>
      </c>
      <c r="J1057" t="s">
        <v>869</v>
      </c>
      <c r="K1057" t="s">
        <v>1390</v>
      </c>
      <c r="L1057" s="552">
        <v>33575</v>
      </c>
      <c r="O1057" t="s">
        <v>999</v>
      </c>
    </row>
    <row r="1058" spans="1:15" hidden="1">
      <c r="A1058" t="s">
        <v>942</v>
      </c>
      <c r="B1058" t="s">
        <v>946</v>
      </c>
      <c r="C1058" s="553">
        <v>44265</v>
      </c>
      <c r="D1058" s="281" t="s">
        <v>4483</v>
      </c>
      <c r="E1058" s="281" t="s">
        <v>3656</v>
      </c>
      <c r="F1058" s="281">
        <v>13</v>
      </c>
      <c r="G1058" s="281" t="s">
        <v>2036</v>
      </c>
      <c r="H1058" t="s">
        <v>2027</v>
      </c>
      <c r="I1058" t="s">
        <v>504</v>
      </c>
      <c r="J1058" t="s">
        <v>869</v>
      </c>
      <c r="K1058" t="s">
        <v>1390</v>
      </c>
      <c r="L1058" s="552">
        <v>2000</v>
      </c>
      <c r="O1058" t="s">
        <v>999</v>
      </c>
    </row>
    <row r="1059" spans="1:15" hidden="1">
      <c r="A1059" t="s">
        <v>942</v>
      </c>
      <c r="B1059" t="s">
        <v>946</v>
      </c>
      <c r="C1059" s="553">
        <v>44265</v>
      </c>
      <c r="D1059" s="281" t="s">
        <v>4483</v>
      </c>
      <c r="E1059" s="281" t="s">
        <v>3656</v>
      </c>
      <c r="F1059" s="281">
        <v>13</v>
      </c>
      <c r="G1059" s="281" t="s">
        <v>2036</v>
      </c>
      <c r="H1059" t="s">
        <v>2028</v>
      </c>
      <c r="I1059" t="s">
        <v>528</v>
      </c>
      <c r="J1059" t="s">
        <v>869</v>
      </c>
      <c r="K1059" t="s">
        <v>1390</v>
      </c>
      <c r="L1059" s="552">
        <v>4029</v>
      </c>
      <c r="O1059" t="s">
        <v>999</v>
      </c>
    </row>
    <row r="1060" spans="1:15" hidden="1">
      <c r="A1060" t="s">
        <v>942</v>
      </c>
      <c r="B1060" t="s">
        <v>946</v>
      </c>
      <c r="C1060" s="553">
        <v>44265</v>
      </c>
      <c r="D1060" s="281" t="s">
        <v>4483</v>
      </c>
      <c r="E1060" s="281" t="s">
        <v>3656</v>
      </c>
      <c r="F1060" s="281">
        <v>13</v>
      </c>
      <c r="G1060" s="281" t="s">
        <v>2036</v>
      </c>
      <c r="H1060" t="s">
        <v>2029</v>
      </c>
      <c r="I1060" t="s">
        <v>530</v>
      </c>
      <c r="J1060" t="s">
        <v>869</v>
      </c>
      <c r="K1060" t="s">
        <v>1390</v>
      </c>
      <c r="L1060" s="552">
        <v>100</v>
      </c>
      <c r="O1060" t="s">
        <v>999</v>
      </c>
    </row>
    <row r="1061" spans="1:15" hidden="1">
      <c r="A1061" t="s">
        <v>942</v>
      </c>
      <c r="B1061" t="s">
        <v>946</v>
      </c>
      <c r="C1061" s="553">
        <v>44265</v>
      </c>
      <c r="D1061" s="281" t="s">
        <v>4483</v>
      </c>
      <c r="E1061" s="281" t="s">
        <v>3656</v>
      </c>
      <c r="F1061" s="281">
        <v>13</v>
      </c>
      <c r="G1061" s="281" t="s">
        <v>2036</v>
      </c>
      <c r="H1061" t="s">
        <v>2030</v>
      </c>
      <c r="I1061" t="s">
        <v>532</v>
      </c>
      <c r="J1061" t="s">
        <v>869</v>
      </c>
      <c r="K1061" t="s">
        <v>1390</v>
      </c>
      <c r="L1061" s="552">
        <v>503.63</v>
      </c>
      <c r="O1061" t="s">
        <v>999</v>
      </c>
    </row>
    <row r="1062" spans="1:15" hidden="1">
      <c r="A1062" t="s">
        <v>942</v>
      </c>
      <c r="B1062" t="s">
        <v>946</v>
      </c>
      <c r="C1062" s="553">
        <v>44265</v>
      </c>
      <c r="D1062" s="281" t="s">
        <v>4483</v>
      </c>
      <c r="E1062" s="281" t="s">
        <v>3656</v>
      </c>
      <c r="F1062" s="281">
        <v>13</v>
      </c>
      <c r="G1062" s="281" t="s">
        <v>2036</v>
      </c>
      <c r="H1062" t="s">
        <v>2031</v>
      </c>
      <c r="I1062" t="s">
        <v>534</v>
      </c>
      <c r="J1062" t="s">
        <v>869</v>
      </c>
      <c r="K1062" t="s">
        <v>1390</v>
      </c>
      <c r="L1062" s="552">
        <v>100</v>
      </c>
      <c r="O1062" t="s">
        <v>999</v>
      </c>
    </row>
    <row r="1063" spans="1:15" hidden="1">
      <c r="A1063" t="s">
        <v>942</v>
      </c>
      <c r="B1063" t="s">
        <v>946</v>
      </c>
      <c r="C1063" s="553">
        <v>44266</v>
      </c>
      <c r="D1063" s="281" t="s">
        <v>4484</v>
      </c>
      <c r="E1063" s="281" t="s">
        <v>3668</v>
      </c>
      <c r="F1063" s="281">
        <v>4</v>
      </c>
      <c r="G1063" s="281">
        <v>5010000000</v>
      </c>
      <c r="H1063" t="s">
        <v>2026</v>
      </c>
      <c r="I1063" t="s">
        <v>499</v>
      </c>
      <c r="J1063" t="s">
        <v>1170</v>
      </c>
      <c r="K1063" t="s">
        <v>1406</v>
      </c>
      <c r="L1063" s="552">
        <v>23877</v>
      </c>
      <c r="O1063" t="s">
        <v>970</v>
      </c>
    </row>
    <row r="1064" spans="1:15" hidden="1">
      <c r="A1064" t="s">
        <v>942</v>
      </c>
      <c r="B1064" t="s">
        <v>946</v>
      </c>
      <c r="C1064" s="553">
        <v>44266</v>
      </c>
      <c r="D1064" s="281" t="s">
        <v>4484</v>
      </c>
      <c r="E1064" s="281" t="s">
        <v>3668</v>
      </c>
      <c r="F1064" s="281">
        <v>4</v>
      </c>
      <c r="G1064" s="281">
        <v>5010000000</v>
      </c>
      <c r="H1064" t="s">
        <v>2027</v>
      </c>
      <c r="I1064" t="s">
        <v>504</v>
      </c>
      <c r="J1064" t="s">
        <v>1170</v>
      </c>
      <c r="K1064" t="s">
        <v>1406</v>
      </c>
      <c r="L1064" s="552">
        <v>2000</v>
      </c>
      <c r="O1064" t="s">
        <v>970</v>
      </c>
    </row>
    <row r="1065" spans="1:15" hidden="1">
      <c r="A1065" t="s">
        <v>942</v>
      </c>
      <c r="B1065" t="s">
        <v>946</v>
      </c>
      <c r="C1065" s="553">
        <v>44266</v>
      </c>
      <c r="D1065" s="281" t="s">
        <v>4484</v>
      </c>
      <c r="E1065" s="281" t="s">
        <v>3668</v>
      </c>
      <c r="F1065" s="281">
        <v>4</v>
      </c>
      <c r="G1065" s="281">
        <v>5010301000</v>
      </c>
      <c r="H1065" t="s">
        <v>2028</v>
      </c>
      <c r="I1065" t="s">
        <v>528</v>
      </c>
      <c r="J1065" t="s">
        <v>1170</v>
      </c>
      <c r="K1065" t="s">
        <v>1406</v>
      </c>
      <c r="L1065" s="552">
        <v>2865.24</v>
      </c>
      <c r="O1065" t="s">
        <v>972</v>
      </c>
    </row>
    <row r="1066" spans="1:15" hidden="1">
      <c r="A1066" t="s">
        <v>942</v>
      </c>
      <c r="B1066" t="s">
        <v>946</v>
      </c>
      <c r="C1066" s="553">
        <v>44266</v>
      </c>
      <c r="D1066" s="281" t="s">
        <v>4484</v>
      </c>
      <c r="E1066" s="281" t="s">
        <v>3668</v>
      </c>
      <c r="F1066" s="281">
        <v>4</v>
      </c>
      <c r="G1066" s="281">
        <v>5010000000</v>
      </c>
      <c r="H1066" t="s">
        <v>2029</v>
      </c>
      <c r="I1066" t="s">
        <v>530</v>
      </c>
      <c r="J1066" t="s">
        <v>1170</v>
      </c>
      <c r="K1066" t="s">
        <v>1406</v>
      </c>
      <c r="L1066" s="552">
        <v>100</v>
      </c>
      <c r="O1066" t="s">
        <v>970</v>
      </c>
    </row>
    <row r="1067" spans="1:15" hidden="1">
      <c r="A1067" t="s">
        <v>942</v>
      </c>
      <c r="B1067" t="s">
        <v>946</v>
      </c>
      <c r="C1067" s="553">
        <v>44266</v>
      </c>
      <c r="D1067" s="281" t="s">
        <v>4484</v>
      </c>
      <c r="E1067" s="281" t="s">
        <v>3668</v>
      </c>
      <c r="F1067" s="281">
        <v>4</v>
      </c>
      <c r="G1067" s="281">
        <v>5010000000</v>
      </c>
      <c r="H1067" t="s">
        <v>2030</v>
      </c>
      <c r="I1067" t="s">
        <v>532</v>
      </c>
      <c r="J1067" t="s">
        <v>1170</v>
      </c>
      <c r="K1067" t="s">
        <v>1406</v>
      </c>
      <c r="L1067" s="552">
        <v>358.16</v>
      </c>
      <c r="O1067" t="s">
        <v>970</v>
      </c>
    </row>
    <row r="1068" spans="1:15" hidden="1">
      <c r="A1068" t="s">
        <v>942</v>
      </c>
      <c r="B1068" t="s">
        <v>946</v>
      </c>
      <c r="C1068" s="553">
        <v>44266</v>
      </c>
      <c r="D1068" s="281" t="s">
        <v>4484</v>
      </c>
      <c r="E1068" s="281" t="s">
        <v>3668</v>
      </c>
      <c r="F1068" s="281">
        <v>4</v>
      </c>
      <c r="G1068" s="281">
        <v>5010000000</v>
      </c>
      <c r="H1068" t="s">
        <v>2031</v>
      </c>
      <c r="I1068" t="s">
        <v>534</v>
      </c>
      <c r="J1068" t="s">
        <v>1170</v>
      </c>
      <c r="K1068" t="s">
        <v>1406</v>
      </c>
      <c r="L1068" s="552">
        <v>100</v>
      </c>
      <c r="O1068" t="s">
        <v>970</v>
      </c>
    </row>
    <row r="1069" spans="1:15" hidden="1">
      <c r="A1069" t="s">
        <v>942</v>
      </c>
      <c r="B1069" t="s">
        <v>946</v>
      </c>
      <c r="C1069" s="553">
        <v>44266</v>
      </c>
      <c r="D1069" s="281" t="s">
        <v>4485</v>
      </c>
      <c r="E1069" s="281" t="s">
        <v>3677</v>
      </c>
      <c r="F1069" s="281">
        <v>5</v>
      </c>
      <c r="G1069" s="281">
        <v>5020000000</v>
      </c>
      <c r="H1069" t="s">
        <v>2002</v>
      </c>
      <c r="I1069" t="s">
        <v>603</v>
      </c>
      <c r="J1069" t="s">
        <v>1245</v>
      </c>
      <c r="K1069" t="s">
        <v>1408</v>
      </c>
      <c r="L1069" s="552">
        <v>2016</v>
      </c>
      <c r="O1069" t="s">
        <v>974</v>
      </c>
    </row>
    <row r="1070" spans="1:15" hidden="1">
      <c r="A1070" t="s">
        <v>942</v>
      </c>
      <c r="B1070" t="s">
        <v>946</v>
      </c>
      <c r="C1070" s="553">
        <v>44266</v>
      </c>
      <c r="D1070" s="281" t="s">
        <v>4486</v>
      </c>
      <c r="E1070" s="281" t="s">
        <v>3680</v>
      </c>
      <c r="F1070" s="281">
        <v>1</v>
      </c>
      <c r="G1070" s="281">
        <v>5020000000</v>
      </c>
      <c r="H1070" t="s">
        <v>2002</v>
      </c>
      <c r="I1070" t="s">
        <v>603</v>
      </c>
      <c r="J1070" t="s">
        <v>1245</v>
      </c>
      <c r="K1070" t="s">
        <v>1248</v>
      </c>
      <c r="L1070" s="552">
        <v>1344</v>
      </c>
      <c r="O1070" t="s">
        <v>961</v>
      </c>
    </row>
    <row r="1071" spans="1:15" hidden="1">
      <c r="A1071" t="s">
        <v>942</v>
      </c>
      <c r="B1071" t="s">
        <v>946</v>
      </c>
      <c r="C1071" s="553">
        <v>44266</v>
      </c>
      <c r="D1071" s="281" t="s">
        <v>4487</v>
      </c>
      <c r="E1071" s="281" t="s">
        <v>3683</v>
      </c>
      <c r="F1071" s="281">
        <v>5</v>
      </c>
      <c r="G1071" s="281">
        <v>5020000000</v>
      </c>
      <c r="H1071" t="s">
        <v>2032</v>
      </c>
      <c r="I1071" t="s">
        <v>565</v>
      </c>
      <c r="J1071" t="s">
        <v>1036</v>
      </c>
      <c r="K1071" t="s">
        <v>1411</v>
      </c>
      <c r="L1071" s="552">
        <v>1651.12</v>
      </c>
      <c r="O1071" t="s">
        <v>974</v>
      </c>
    </row>
    <row r="1072" spans="1:15" hidden="1">
      <c r="A1072" t="s">
        <v>942</v>
      </c>
      <c r="B1072" t="s">
        <v>946</v>
      </c>
      <c r="C1072" s="553">
        <v>44266</v>
      </c>
      <c r="D1072" s="281" t="s">
        <v>4488</v>
      </c>
      <c r="E1072" s="281" t="s">
        <v>3671</v>
      </c>
      <c r="F1072" s="281">
        <v>4</v>
      </c>
      <c r="G1072" s="281">
        <v>5010000000</v>
      </c>
      <c r="H1072" t="s">
        <v>2026</v>
      </c>
      <c r="I1072" t="s">
        <v>499</v>
      </c>
      <c r="J1072" t="s">
        <v>1172</v>
      </c>
      <c r="K1072" t="s">
        <v>1394</v>
      </c>
      <c r="L1072" s="552">
        <v>23877</v>
      </c>
      <c r="O1072" t="s">
        <v>970</v>
      </c>
    </row>
    <row r="1073" spans="1:15" hidden="1">
      <c r="A1073" t="s">
        <v>942</v>
      </c>
      <c r="B1073" t="s">
        <v>946</v>
      </c>
      <c r="C1073" s="553">
        <v>44266</v>
      </c>
      <c r="D1073" s="281" t="s">
        <v>4488</v>
      </c>
      <c r="E1073" s="281" t="s">
        <v>3671</v>
      </c>
      <c r="F1073" s="281">
        <v>4</v>
      </c>
      <c r="G1073" s="281">
        <v>5010000000</v>
      </c>
      <c r="H1073" t="s">
        <v>2027</v>
      </c>
      <c r="I1073" t="s">
        <v>504</v>
      </c>
      <c r="J1073" t="s">
        <v>1172</v>
      </c>
      <c r="K1073" t="s">
        <v>1394</v>
      </c>
      <c r="L1073" s="552">
        <v>2000</v>
      </c>
      <c r="O1073" t="s">
        <v>970</v>
      </c>
    </row>
    <row r="1074" spans="1:15" hidden="1">
      <c r="A1074" t="s">
        <v>942</v>
      </c>
      <c r="B1074" t="s">
        <v>946</v>
      </c>
      <c r="C1074" s="553">
        <v>44266</v>
      </c>
      <c r="D1074" s="281" t="s">
        <v>4488</v>
      </c>
      <c r="E1074" s="281" t="s">
        <v>3671</v>
      </c>
      <c r="F1074" s="281">
        <v>4</v>
      </c>
      <c r="G1074" s="281">
        <v>5010301000</v>
      </c>
      <c r="H1074" t="s">
        <v>2028</v>
      </c>
      <c r="I1074" t="s">
        <v>528</v>
      </c>
      <c r="J1074" t="s">
        <v>1172</v>
      </c>
      <c r="K1074" t="s">
        <v>1394</v>
      </c>
      <c r="L1074" s="552">
        <v>2865.24</v>
      </c>
      <c r="O1074" t="s">
        <v>972</v>
      </c>
    </row>
    <row r="1075" spans="1:15" hidden="1">
      <c r="A1075" t="s">
        <v>942</v>
      </c>
      <c r="B1075" t="s">
        <v>946</v>
      </c>
      <c r="C1075" s="553">
        <v>44266</v>
      </c>
      <c r="D1075" s="281" t="s">
        <v>4488</v>
      </c>
      <c r="E1075" s="281" t="s">
        <v>3671</v>
      </c>
      <c r="F1075" s="281">
        <v>4</v>
      </c>
      <c r="G1075" s="281">
        <v>5010000000</v>
      </c>
      <c r="H1075" t="s">
        <v>2029</v>
      </c>
      <c r="I1075" t="s">
        <v>530</v>
      </c>
      <c r="J1075" t="s">
        <v>1172</v>
      </c>
      <c r="K1075" t="s">
        <v>1394</v>
      </c>
      <c r="L1075" s="552">
        <v>100</v>
      </c>
      <c r="O1075" t="s">
        <v>970</v>
      </c>
    </row>
    <row r="1076" spans="1:15" hidden="1">
      <c r="A1076" t="s">
        <v>942</v>
      </c>
      <c r="B1076" t="s">
        <v>946</v>
      </c>
      <c r="C1076" s="553">
        <v>44266</v>
      </c>
      <c r="D1076" s="281" t="s">
        <v>4488</v>
      </c>
      <c r="E1076" s="281" t="s">
        <v>3671</v>
      </c>
      <c r="F1076" s="281">
        <v>4</v>
      </c>
      <c r="G1076" s="281">
        <v>5010000000</v>
      </c>
      <c r="H1076" t="s">
        <v>2030</v>
      </c>
      <c r="I1076" t="s">
        <v>532</v>
      </c>
      <c r="J1076" t="s">
        <v>1172</v>
      </c>
      <c r="K1076" t="s">
        <v>1394</v>
      </c>
      <c r="L1076" s="552">
        <v>358.16</v>
      </c>
      <c r="O1076" t="s">
        <v>970</v>
      </c>
    </row>
    <row r="1077" spans="1:15" hidden="1">
      <c r="A1077" t="s">
        <v>942</v>
      </c>
      <c r="B1077" t="s">
        <v>946</v>
      </c>
      <c r="C1077" s="553">
        <v>44266</v>
      </c>
      <c r="D1077" s="281" t="s">
        <v>4488</v>
      </c>
      <c r="E1077" s="281" t="s">
        <v>3671</v>
      </c>
      <c r="F1077" s="281">
        <v>4</v>
      </c>
      <c r="G1077" s="281">
        <v>5010000000</v>
      </c>
      <c r="H1077" t="s">
        <v>2031</v>
      </c>
      <c r="I1077" t="s">
        <v>534</v>
      </c>
      <c r="J1077" t="s">
        <v>1172</v>
      </c>
      <c r="K1077" t="s">
        <v>1394</v>
      </c>
      <c r="L1077" s="552">
        <v>100</v>
      </c>
      <c r="O1077" t="s">
        <v>970</v>
      </c>
    </row>
    <row r="1078" spans="1:15" hidden="1">
      <c r="A1078" t="s">
        <v>942</v>
      </c>
      <c r="B1078" t="s">
        <v>946</v>
      </c>
      <c r="C1078" s="553">
        <v>44266</v>
      </c>
      <c r="D1078" s="281" t="s">
        <v>4489</v>
      </c>
      <c r="E1078" s="281" t="s">
        <v>3673</v>
      </c>
      <c r="F1078" s="281">
        <v>13</v>
      </c>
      <c r="G1078" s="281" t="s">
        <v>2036</v>
      </c>
      <c r="H1078" t="s">
        <v>2036</v>
      </c>
      <c r="I1078" t="s">
        <v>501</v>
      </c>
      <c r="J1078" t="s">
        <v>789</v>
      </c>
      <c r="K1078" t="s">
        <v>1390</v>
      </c>
      <c r="L1078" s="552">
        <v>77256</v>
      </c>
      <c r="O1078" t="s">
        <v>999</v>
      </c>
    </row>
    <row r="1079" spans="1:15" hidden="1">
      <c r="A1079" t="s">
        <v>942</v>
      </c>
      <c r="B1079" t="s">
        <v>946</v>
      </c>
      <c r="C1079" s="553">
        <v>44266</v>
      </c>
      <c r="D1079" s="281" t="s">
        <v>4489</v>
      </c>
      <c r="E1079" s="281" t="s">
        <v>3673</v>
      </c>
      <c r="F1079" s="281">
        <v>13</v>
      </c>
      <c r="G1079" s="281" t="s">
        <v>2036</v>
      </c>
      <c r="H1079" t="s">
        <v>2027</v>
      </c>
      <c r="I1079" t="s">
        <v>504</v>
      </c>
      <c r="J1079" t="s">
        <v>789</v>
      </c>
      <c r="K1079" t="s">
        <v>1390</v>
      </c>
      <c r="L1079" s="552">
        <v>4000</v>
      </c>
      <c r="O1079" t="s">
        <v>999</v>
      </c>
    </row>
    <row r="1080" spans="1:15" hidden="1">
      <c r="A1080" t="s">
        <v>942</v>
      </c>
      <c r="B1080" t="s">
        <v>946</v>
      </c>
      <c r="C1080" s="553">
        <v>44266</v>
      </c>
      <c r="D1080" s="281" t="s">
        <v>4489</v>
      </c>
      <c r="E1080" s="281" t="s">
        <v>3673</v>
      </c>
      <c r="F1080" s="281">
        <v>13</v>
      </c>
      <c r="G1080" s="281" t="s">
        <v>2036</v>
      </c>
      <c r="H1080" t="s">
        <v>2028</v>
      </c>
      <c r="I1080" t="s">
        <v>528</v>
      </c>
      <c r="J1080" t="s">
        <v>789</v>
      </c>
      <c r="K1080" t="s">
        <v>1390</v>
      </c>
      <c r="L1080" s="552">
        <v>9270.7199999999993</v>
      </c>
      <c r="O1080" t="s">
        <v>999</v>
      </c>
    </row>
    <row r="1081" spans="1:15" hidden="1">
      <c r="A1081" t="s">
        <v>942</v>
      </c>
      <c r="B1081" t="s">
        <v>946</v>
      </c>
      <c r="C1081" s="553">
        <v>44266</v>
      </c>
      <c r="D1081" s="281" t="s">
        <v>4489</v>
      </c>
      <c r="E1081" s="281" t="s">
        <v>3673</v>
      </c>
      <c r="F1081" s="281">
        <v>13</v>
      </c>
      <c r="G1081" s="281" t="s">
        <v>2036</v>
      </c>
      <c r="H1081" t="s">
        <v>2029</v>
      </c>
      <c r="I1081" t="s">
        <v>530</v>
      </c>
      <c r="J1081" t="s">
        <v>789</v>
      </c>
      <c r="K1081" t="s">
        <v>1390</v>
      </c>
      <c r="L1081" s="552">
        <v>200</v>
      </c>
      <c r="O1081" t="s">
        <v>999</v>
      </c>
    </row>
    <row r="1082" spans="1:15" hidden="1">
      <c r="A1082" t="s">
        <v>942</v>
      </c>
      <c r="B1082" t="s">
        <v>946</v>
      </c>
      <c r="C1082" s="553">
        <v>44266</v>
      </c>
      <c r="D1082" s="281" t="s">
        <v>4489</v>
      </c>
      <c r="E1082" s="281" t="s">
        <v>3673</v>
      </c>
      <c r="F1082" s="281">
        <v>13</v>
      </c>
      <c r="G1082" s="281" t="s">
        <v>2036</v>
      </c>
      <c r="H1082" t="s">
        <v>2030</v>
      </c>
      <c r="I1082" t="s">
        <v>532</v>
      </c>
      <c r="J1082" t="s">
        <v>789</v>
      </c>
      <c r="K1082" t="s">
        <v>1390</v>
      </c>
      <c r="L1082" s="552">
        <v>1158.8499999999999</v>
      </c>
      <c r="O1082" t="s">
        <v>999</v>
      </c>
    </row>
    <row r="1083" spans="1:15" hidden="1">
      <c r="A1083" t="s">
        <v>942</v>
      </c>
      <c r="B1083" t="s">
        <v>946</v>
      </c>
      <c r="C1083" s="553">
        <v>44266</v>
      </c>
      <c r="D1083" s="281" t="s">
        <v>4489</v>
      </c>
      <c r="E1083" s="281" t="s">
        <v>3673</v>
      </c>
      <c r="F1083" s="281">
        <v>13</v>
      </c>
      <c r="G1083" s="281" t="s">
        <v>2036</v>
      </c>
      <c r="H1083" t="s">
        <v>2031</v>
      </c>
      <c r="I1083" t="s">
        <v>534</v>
      </c>
      <c r="J1083" t="s">
        <v>789</v>
      </c>
      <c r="K1083" t="s">
        <v>1390</v>
      </c>
      <c r="L1083" s="552">
        <v>200</v>
      </c>
      <c r="O1083" t="s">
        <v>999</v>
      </c>
    </row>
    <row r="1084" spans="1:15" hidden="1">
      <c r="A1084" t="s">
        <v>942</v>
      </c>
      <c r="B1084" t="s">
        <v>946</v>
      </c>
      <c r="C1084" s="553">
        <v>44266</v>
      </c>
      <c r="D1084" s="281" t="s">
        <v>4490</v>
      </c>
      <c r="E1084" s="281" t="s">
        <v>3675</v>
      </c>
      <c r="F1084" s="281">
        <v>1</v>
      </c>
      <c r="G1084" s="281">
        <v>5010000000</v>
      </c>
      <c r="H1084" t="s">
        <v>2026</v>
      </c>
      <c r="I1084" t="s">
        <v>499</v>
      </c>
      <c r="J1084" t="s">
        <v>789</v>
      </c>
      <c r="K1084" t="s">
        <v>1384</v>
      </c>
      <c r="L1084" s="552">
        <v>57452</v>
      </c>
      <c r="O1084" t="s">
        <v>960</v>
      </c>
    </row>
    <row r="1085" spans="1:15" hidden="1">
      <c r="A1085" t="s">
        <v>942</v>
      </c>
      <c r="B1085" t="s">
        <v>946</v>
      </c>
      <c r="C1085" s="553">
        <v>44266</v>
      </c>
      <c r="D1085" s="281" t="s">
        <v>4490</v>
      </c>
      <c r="E1085" s="281" t="s">
        <v>3675</v>
      </c>
      <c r="F1085" s="281">
        <v>1</v>
      </c>
      <c r="G1085" s="281">
        <v>5010000000</v>
      </c>
      <c r="H1085" t="s">
        <v>2027</v>
      </c>
      <c r="I1085" t="s">
        <v>504</v>
      </c>
      <c r="J1085" t="s">
        <v>789</v>
      </c>
      <c r="K1085" t="s">
        <v>1384</v>
      </c>
      <c r="L1085" s="552">
        <v>4000</v>
      </c>
      <c r="O1085" t="s">
        <v>960</v>
      </c>
    </row>
    <row r="1086" spans="1:15" hidden="1">
      <c r="A1086" t="s">
        <v>942</v>
      </c>
      <c r="B1086" t="s">
        <v>946</v>
      </c>
      <c r="C1086" s="553">
        <v>44266</v>
      </c>
      <c r="D1086" s="281" t="s">
        <v>4490</v>
      </c>
      <c r="E1086" s="281" t="s">
        <v>3675</v>
      </c>
      <c r="F1086" s="281">
        <v>1</v>
      </c>
      <c r="G1086" s="281">
        <v>5010301000</v>
      </c>
      <c r="H1086" t="s">
        <v>2028</v>
      </c>
      <c r="I1086" t="s">
        <v>528</v>
      </c>
      <c r="J1086" t="s">
        <v>789</v>
      </c>
      <c r="K1086" t="s">
        <v>1384</v>
      </c>
      <c r="L1086" s="552">
        <v>6894.24</v>
      </c>
      <c r="O1086" t="s">
        <v>962</v>
      </c>
    </row>
    <row r="1087" spans="1:15" hidden="1">
      <c r="A1087" t="s">
        <v>942</v>
      </c>
      <c r="B1087" t="s">
        <v>946</v>
      </c>
      <c r="C1087" s="553">
        <v>44266</v>
      </c>
      <c r="D1087" s="281" t="s">
        <v>4490</v>
      </c>
      <c r="E1087" s="281" t="s">
        <v>3675</v>
      </c>
      <c r="F1087" s="281">
        <v>1</v>
      </c>
      <c r="G1087" s="281">
        <v>5010000000</v>
      </c>
      <c r="H1087" t="s">
        <v>2029</v>
      </c>
      <c r="I1087" t="s">
        <v>530</v>
      </c>
      <c r="J1087" t="s">
        <v>789</v>
      </c>
      <c r="K1087" t="s">
        <v>1384</v>
      </c>
      <c r="L1087" s="552">
        <v>200</v>
      </c>
      <c r="O1087" t="s">
        <v>960</v>
      </c>
    </row>
    <row r="1088" spans="1:15" hidden="1">
      <c r="A1088" t="s">
        <v>942</v>
      </c>
      <c r="B1088" t="s">
        <v>946</v>
      </c>
      <c r="C1088" s="553">
        <v>44266</v>
      </c>
      <c r="D1088" s="281" t="s">
        <v>4490</v>
      </c>
      <c r="E1088" s="281" t="s">
        <v>3675</v>
      </c>
      <c r="F1088" s="281">
        <v>1</v>
      </c>
      <c r="G1088" s="281">
        <v>5010000000</v>
      </c>
      <c r="H1088" t="s">
        <v>2030</v>
      </c>
      <c r="I1088" t="s">
        <v>532</v>
      </c>
      <c r="J1088" t="s">
        <v>789</v>
      </c>
      <c r="K1088" t="s">
        <v>1384</v>
      </c>
      <c r="L1088" s="552">
        <v>861.79</v>
      </c>
      <c r="O1088" t="s">
        <v>960</v>
      </c>
    </row>
    <row r="1089" spans="1:15" hidden="1">
      <c r="A1089" t="s">
        <v>942</v>
      </c>
      <c r="B1089" t="s">
        <v>946</v>
      </c>
      <c r="C1089" s="553">
        <v>44266</v>
      </c>
      <c r="D1089" s="281" t="s">
        <v>4490</v>
      </c>
      <c r="E1089" s="281" t="s">
        <v>3675</v>
      </c>
      <c r="F1089" s="281">
        <v>1</v>
      </c>
      <c r="G1089" s="281">
        <v>5010000000</v>
      </c>
      <c r="H1089" t="s">
        <v>2031</v>
      </c>
      <c r="I1089" t="s">
        <v>534</v>
      </c>
      <c r="J1089" t="s">
        <v>789</v>
      </c>
      <c r="K1089" t="s">
        <v>1384</v>
      </c>
      <c r="L1089" s="552">
        <v>200</v>
      </c>
      <c r="O1089" t="s">
        <v>960</v>
      </c>
    </row>
    <row r="1090" spans="1:15" hidden="1">
      <c r="A1090" t="s">
        <v>942</v>
      </c>
      <c r="B1090" t="s">
        <v>946</v>
      </c>
      <c r="C1090" s="553">
        <v>44266</v>
      </c>
      <c r="D1090" s="281" t="s">
        <v>4490</v>
      </c>
      <c r="E1090" s="281" t="s">
        <v>3675</v>
      </c>
      <c r="F1090" s="281">
        <v>2</v>
      </c>
      <c r="G1090" s="281">
        <v>5010000000</v>
      </c>
      <c r="H1090" t="s">
        <v>2026</v>
      </c>
      <c r="I1090" t="s">
        <v>499</v>
      </c>
      <c r="J1090" t="s">
        <v>789</v>
      </c>
      <c r="K1090" t="s">
        <v>1384</v>
      </c>
      <c r="L1090" s="552">
        <v>130423</v>
      </c>
      <c r="O1090" t="s">
        <v>964</v>
      </c>
    </row>
    <row r="1091" spans="1:15" hidden="1">
      <c r="A1091" t="s">
        <v>942</v>
      </c>
      <c r="B1091" t="s">
        <v>946</v>
      </c>
      <c r="C1091" s="553">
        <v>44266</v>
      </c>
      <c r="D1091" s="281" t="s">
        <v>4490</v>
      </c>
      <c r="E1091" s="281" t="s">
        <v>3675</v>
      </c>
      <c r="F1091" s="281">
        <v>2</v>
      </c>
      <c r="G1091" s="281">
        <v>5010000000</v>
      </c>
      <c r="H1091" t="s">
        <v>2027</v>
      </c>
      <c r="I1091" t="s">
        <v>504</v>
      </c>
      <c r="J1091" t="s">
        <v>789</v>
      </c>
      <c r="K1091" t="s">
        <v>1384</v>
      </c>
      <c r="L1091" s="552">
        <v>4000</v>
      </c>
      <c r="O1091" t="s">
        <v>964</v>
      </c>
    </row>
    <row r="1092" spans="1:15" hidden="1">
      <c r="A1092" t="s">
        <v>942</v>
      </c>
      <c r="B1092" t="s">
        <v>946</v>
      </c>
      <c r="C1092" s="553">
        <v>44266</v>
      </c>
      <c r="D1092" s="281" t="s">
        <v>4490</v>
      </c>
      <c r="E1092" s="281" t="s">
        <v>3675</v>
      </c>
      <c r="F1092" s="281">
        <v>2</v>
      </c>
      <c r="G1092" s="281">
        <v>5010301000</v>
      </c>
      <c r="H1092" t="s">
        <v>2028</v>
      </c>
      <c r="I1092" t="s">
        <v>528</v>
      </c>
      <c r="J1092" t="s">
        <v>789</v>
      </c>
      <c r="K1092" t="s">
        <v>1384</v>
      </c>
      <c r="L1092" s="552">
        <v>15650.760000000002</v>
      </c>
      <c r="O1092" t="s">
        <v>966</v>
      </c>
    </row>
    <row r="1093" spans="1:15" hidden="1">
      <c r="A1093" t="s">
        <v>942</v>
      </c>
      <c r="B1093" t="s">
        <v>946</v>
      </c>
      <c r="C1093" s="553">
        <v>44266</v>
      </c>
      <c r="D1093" s="281" t="s">
        <v>4490</v>
      </c>
      <c r="E1093" s="281" t="s">
        <v>3675</v>
      </c>
      <c r="F1093" s="281">
        <v>2</v>
      </c>
      <c r="G1093" s="281">
        <v>5010000000</v>
      </c>
      <c r="H1093" t="s">
        <v>2029</v>
      </c>
      <c r="I1093" t="s">
        <v>530</v>
      </c>
      <c r="J1093" t="s">
        <v>789</v>
      </c>
      <c r="K1093" t="s">
        <v>1384</v>
      </c>
      <c r="L1093" s="552">
        <v>200</v>
      </c>
      <c r="O1093" t="s">
        <v>964</v>
      </c>
    </row>
    <row r="1094" spans="1:15" hidden="1">
      <c r="A1094" t="s">
        <v>942</v>
      </c>
      <c r="B1094" t="s">
        <v>946</v>
      </c>
      <c r="C1094" s="553">
        <v>44266</v>
      </c>
      <c r="D1094" s="281" t="s">
        <v>4490</v>
      </c>
      <c r="E1094" s="281" t="s">
        <v>3675</v>
      </c>
      <c r="F1094" s="281">
        <v>2</v>
      </c>
      <c r="G1094" s="281">
        <v>5010000000</v>
      </c>
      <c r="H1094" t="s">
        <v>2030</v>
      </c>
      <c r="I1094" t="s">
        <v>532</v>
      </c>
      <c r="J1094" t="s">
        <v>789</v>
      </c>
      <c r="K1094" t="s">
        <v>1384</v>
      </c>
      <c r="L1094" s="552">
        <v>1555.22</v>
      </c>
      <c r="O1094" t="s">
        <v>964</v>
      </c>
    </row>
    <row r="1095" spans="1:15" hidden="1">
      <c r="A1095" t="s">
        <v>942</v>
      </c>
      <c r="B1095" t="s">
        <v>946</v>
      </c>
      <c r="C1095" s="553">
        <v>44266</v>
      </c>
      <c r="D1095" s="281" t="s">
        <v>4490</v>
      </c>
      <c r="E1095" s="281" t="s">
        <v>3675</v>
      </c>
      <c r="F1095" s="281">
        <v>2</v>
      </c>
      <c r="G1095" s="281">
        <v>5010000000</v>
      </c>
      <c r="H1095" t="s">
        <v>2031</v>
      </c>
      <c r="I1095" t="s">
        <v>534</v>
      </c>
      <c r="J1095" t="s">
        <v>789</v>
      </c>
      <c r="K1095" t="s">
        <v>1384</v>
      </c>
      <c r="L1095" s="552">
        <v>200</v>
      </c>
      <c r="O1095" t="s">
        <v>964</v>
      </c>
    </row>
    <row r="1096" spans="1:15" hidden="1">
      <c r="A1096" t="s">
        <v>942</v>
      </c>
      <c r="B1096" t="s">
        <v>946</v>
      </c>
      <c r="C1096" s="553">
        <v>44266</v>
      </c>
      <c r="D1096" s="281" t="s">
        <v>4490</v>
      </c>
      <c r="E1096" s="281" t="s">
        <v>3675</v>
      </c>
      <c r="F1096" s="281">
        <v>3</v>
      </c>
      <c r="G1096" s="281">
        <v>5010000000</v>
      </c>
      <c r="H1096" t="s">
        <v>2026</v>
      </c>
      <c r="I1096" t="s">
        <v>499</v>
      </c>
      <c r="J1096" t="s">
        <v>789</v>
      </c>
      <c r="K1096" t="s">
        <v>1384</v>
      </c>
      <c r="L1096" s="552">
        <v>111742</v>
      </c>
      <c r="O1096" t="s">
        <v>967</v>
      </c>
    </row>
    <row r="1097" spans="1:15" hidden="1">
      <c r="A1097" t="s">
        <v>942</v>
      </c>
      <c r="B1097" t="s">
        <v>946</v>
      </c>
      <c r="C1097" s="553">
        <v>44266</v>
      </c>
      <c r="D1097" s="281" t="s">
        <v>4490</v>
      </c>
      <c r="E1097" s="281" t="s">
        <v>3675</v>
      </c>
      <c r="F1097" s="281">
        <v>3</v>
      </c>
      <c r="G1097" s="281">
        <v>5010000000</v>
      </c>
      <c r="H1097" t="s">
        <v>2027</v>
      </c>
      <c r="I1097" t="s">
        <v>504</v>
      </c>
      <c r="J1097" t="s">
        <v>789</v>
      </c>
      <c r="K1097" t="s">
        <v>1384</v>
      </c>
      <c r="L1097" s="552">
        <v>2000</v>
      </c>
      <c r="O1097" t="s">
        <v>967</v>
      </c>
    </row>
    <row r="1098" spans="1:15" hidden="1">
      <c r="A1098" t="s">
        <v>942</v>
      </c>
      <c r="B1098" t="s">
        <v>946</v>
      </c>
      <c r="C1098" s="553">
        <v>44266</v>
      </c>
      <c r="D1098" s="281" t="s">
        <v>4490</v>
      </c>
      <c r="E1098" s="281" t="s">
        <v>3675</v>
      </c>
      <c r="F1098" s="281">
        <v>3</v>
      </c>
      <c r="G1098" s="281">
        <v>5010301000</v>
      </c>
      <c r="H1098" t="s">
        <v>2028</v>
      </c>
      <c r="I1098" t="s">
        <v>528</v>
      </c>
      <c r="J1098" t="s">
        <v>789</v>
      </c>
      <c r="K1098" t="s">
        <v>1384</v>
      </c>
      <c r="L1098" s="552">
        <v>13409.04</v>
      </c>
      <c r="O1098" t="s">
        <v>969</v>
      </c>
    </row>
    <row r="1099" spans="1:15" hidden="1">
      <c r="A1099" t="s">
        <v>942</v>
      </c>
      <c r="B1099" t="s">
        <v>946</v>
      </c>
      <c r="C1099" s="553">
        <v>44266</v>
      </c>
      <c r="D1099" s="281" t="s">
        <v>4490</v>
      </c>
      <c r="E1099" s="281" t="s">
        <v>3675</v>
      </c>
      <c r="F1099" s="281">
        <v>3</v>
      </c>
      <c r="G1099" s="281">
        <v>5010000000</v>
      </c>
      <c r="H1099" t="s">
        <v>2029</v>
      </c>
      <c r="I1099" t="s">
        <v>530</v>
      </c>
      <c r="J1099" t="s">
        <v>789</v>
      </c>
      <c r="K1099" t="s">
        <v>1384</v>
      </c>
      <c r="L1099" s="552">
        <v>100</v>
      </c>
      <c r="O1099" t="s">
        <v>967</v>
      </c>
    </row>
    <row r="1100" spans="1:15" hidden="1">
      <c r="A1100" t="s">
        <v>942</v>
      </c>
      <c r="B1100" t="s">
        <v>946</v>
      </c>
      <c r="C1100" s="553">
        <v>44266</v>
      </c>
      <c r="D1100" s="281" t="s">
        <v>4490</v>
      </c>
      <c r="E1100" s="281" t="s">
        <v>3675</v>
      </c>
      <c r="F1100" s="281">
        <v>3</v>
      </c>
      <c r="G1100" s="281">
        <v>5010000000</v>
      </c>
      <c r="H1100" t="s">
        <v>2030</v>
      </c>
      <c r="I1100" t="s">
        <v>532</v>
      </c>
      <c r="J1100" t="s">
        <v>789</v>
      </c>
      <c r="K1100" t="s">
        <v>1384</v>
      </c>
      <c r="L1100" s="552">
        <v>900</v>
      </c>
      <c r="O1100" t="s">
        <v>967</v>
      </c>
    </row>
    <row r="1101" spans="1:15" hidden="1">
      <c r="A1101" t="s">
        <v>942</v>
      </c>
      <c r="B1101" t="s">
        <v>946</v>
      </c>
      <c r="C1101" s="553">
        <v>44266</v>
      </c>
      <c r="D1101" s="281" t="s">
        <v>4490</v>
      </c>
      <c r="E1101" s="281" t="s">
        <v>3675</v>
      </c>
      <c r="F1101" s="281">
        <v>3</v>
      </c>
      <c r="G1101" s="281">
        <v>5010000000</v>
      </c>
      <c r="H1101" t="s">
        <v>2031</v>
      </c>
      <c r="I1101" t="s">
        <v>534</v>
      </c>
      <c r="J1101" t="s">
        <v>789</v>
      </c>
      <c r="K1101" t="s">
        <v>1384</v>
      </c>
      <c r="L1101" s="552">
        <v>100</v>
      </c>
      <c r="O1101" t="s">
        <v>967</v>
      </c>
    </row>
    <row r="1102" spans="1:15" hidden="1">
      <c r="A1102" t="s">
        <v>942</v>
      </c>
      <c r="B1102" t="s">
        <v>946</v>
      </c>
      <c r="C1102" s="553">
        <v>44266</v>
      </c>
      <c r="D1102" s="281" t="s">
        <v>4490</v>
      </c>
      <c r="E1102" s="281" t="s">
        <v>3675</v>
      </c>
      <c r="F1102" s="281">
        <v>4</v>
      </c>
      <c r="G1102" s="281">
        <v>5010000000</v>
      </c>
      <c r="H1102" t="s">
        <v>2026</v>
      </c>
      <c r="I1102" t="s">
        <v>499</v>
      </c>
      <c r="J1102" t="s">
        <v>789</v>
      </c>
      <c r="K1102" t="s">
        <v>1384</v>
      </c>
      <c r="L1102" s="552">
        <v>134419</v>
      </c>
      <c r="O1102" t="s">
        <v>970</v>
      </c>
    </row>
    <row r="1103" spans="1:15" hidden="1">
      <c r="A1103" t="s">
        <v>942</v>
      </c>
      <c r="B1103" t="s">
        <v>946</v>
      </c>
      <c r="C1103" s="553">
        <v>44266</v>
      </c>
      <c r="D1103" s="281" t="s">
        <v>4490</v>
      </c>
      <c r="E1103" s="281" t="s">
        <v>3675</v>
      </c>
      <c r="F1103" s="281">
        <v>4</v>
      </c>
      <c r="G1103" s="281">
        <v>5010000000</v>
      </c>
      <c r="H1103" t="s">
        <v>2027</v>
      </c>
      <c r="I1103" t="s">
        <v>504</v>
      </c>
      <c r="J1103" t="s">
        <v>789</v>
      </c>
      <c r="K1103" t="s">
        <v>1384</v>
      </c>
      <c r="L1103" s="552">
        <v>4000</v>
      </c>
      <c r="O1103" t="s">
        <v>970</v>
      </c>
    </row>
    <row r="1104" spans="1:15" hidden="1">
      <c r="A1104" t="s">
        <v>942</v>
      </c>
      <c r="B1104" t="s">
        <v>946</v>
      </c>
      <c r="C1104" s="553">
        <v>44266</v>
      </c>
      <c r="D1104" s="281" t="s">
        <v>4490</v>
      </c>
      <c r="E1104" s="281" t="s">
        <v>3675</v>
      </c>
      <c r="F1104" s="281">
        <v>4</v>
      </c>
      <c r="G1104" s="281">
        <v>5010301000</v>
      </c>
      <c r="H1104" t="s">
        <v>2028</v>
      </c>
      <c r="I1104" t="s">
        <v>528</v>
      </c>
      <c r="J1104" t="s">
        <v>789</v>
      </c>
      <c r="K1104" t="s">
        <v>1384</v>
      </c>
      <c r="L1104" s="552">
        <v>16130.279999999999</v>
      </c>
      <c r="O1104" t="s">
        <v>972</v>
      </c>
    </row>
    <row r="1105" spans="1:15" hidden="1">
      <c r="A1105" t="s">
        <v>942</v>
      </c>
      <c r="B1105" t="s">
        <v>946</v>
      </c>
      <c r="C1105" s="553">
        <v>44266</v>
      </c>
      <c r="D1105" s="281" t="s">
        <v>4490</v>
      </c>
      <c r="E1105" s="281" t="s">
        <v>3675</v>
      </c>
      <c r="F1105" s="281">
        <v>4</v>
      </c>
      <c r="G1105" s="281">
        <v>5010000000</v>
      </c>
      <c r="H1105" t="s">
        <v>2029</v>
      </c>
      <c r="I1105" t="s">
        <v>530</v>
      </c>
      <c r="J1105" t="s">
        <v>789</v>
      </c>
      <c r="K1105" t="s">
        <v>1384</v>
      </c>
      <c r="L1105" s="552">
        <v>200</v>
      </c>
      <c r="O1105" t="s">
        <v>970</v>
      </c>
    </row>
    <row r="1106" spans="1:15" hidden="1">
      <c r="A1106" t="s">
        <v>942</v>
      </c>
      <c r="B1106" t="s">
        <v>946</v>
      </c>
      <c r="C1106" s="553">
        <v>44266</v>
      </c>
      <c r="D1106" s="281" t="s">
        <v>4490</v>
      </c>
      <c r="E1106" s="281" t="s">
        <v>3675</v>
      </c>
      <c r="F1106" s="281">
        <v>4</v>
      </c>
      <c r="G1106" s="281">
        <v>5010000000</v>
      </c>
      <c r="H1106" t="s">
        <v>2030</v>
      </c>
      <c r="I1106" t="s">
        <v>532</v>
      </c>
      <c r="J1106" t="s">
        <v>789</v>
      </c>
      <c r="K1106" t="s">
        <v>1384</v>
      </c>
      <c r="L1106" s="552">
        <v>1593.92</v>
      </c>
      <c r="O1106" t="s">
        <v>970</v>
      </c>
    </row>
    <row r="1107" spans="1:15" hidden="1">
      <c r="A1107" t="s">
        <v>942</v>
      </c>
      <c r="B1107" t="s">
        <v>946</v>
      </c>
      <c r="C1107" s="553">
        <v>44266</v>
      </c>
      <c r="D1107" s="281" t="s">
        <v>4490</v>
      </c>
      <c r="E1107" s="281" t="s">
        <v>3675</v>
      </c>
      <c r="F1107" s="281">
        <v>4</v>
      </c>
      <c r="G1107" s="281">
        <v>5010000000</v>
      </c>
      <c r="H1107" t="s">
        <v>2031</v>
      </c>
      <c r="I1107" t="s">
        <v>534</v>
      </c>
      <c r="J1107" t="s">
        <v>789</v>
      </c>
      <c r="K1107" t="s">
        <v>1384</v>
      </c>
      <c r="L1107" s="552">
        <v>200</v>
      </c>
      <c r="O1107" t="s">
        <v>970</v>
      </c>
    </row>
    <row r="1108" spans="1:15" hidden="1">
      <c r="A1108" t="s">
        <v>942</v>
      </c>
      <c r="B1108" t="s">
        <v>946</v>
      </c>
      <c r="C1108" s="553">
        <v>44266</v>
      </c>
      <c r="D1108" s="281" t="s">
        <v>4490</v>
      </c>
      <c r="E1108" s="281" t="s">
        <v>3675</v>
      </c>
      <c r="F1108" s="281">
        <v>5</v>
      </c>
      <c r="G1108" s="281">
        <v>5010000000</v>
      </c>
      <c r="H1108" t="s">
        <v>2026</v>
      </c>
      <c r="I1108" t="s">
        <v>499</v>
      </c>
      <c r="J1108" t="s">
        <v>789</v>
      </c>
      <c r="K1108" t="s">
        <v>1384</v>
      </c>
      <c r="L1108" s="552">
        <v>91522</v>
      </c>
      <c r="O1108" t="s">
        <v>973</v>
      </c>
    </row>
    <row r="1109" spans="1:15" hidden="1">
      <c r="A1109" t="s">
        <v>942</v>
      </c>
      <c r="B1109" t="s">
        <v>946</v>
      </c>
      <c r="C1109" s="553">
        <v>44266</v>
      </c>
      <c r="D1109" s="281" t="s">
        <v>4490</v>
      </c>
      <c r="E1109" s="281" t="s">
        <v>3675</v>
      </c>
      <c r="F1109" s="281">
        <v>5</v>
      </c>
      <c r="G1109" s="281">
        <v>5010000000</v>
      </c>
      <c r="H1109" t="s">
        <v>2027</v>
      </c>
      <c r="I1109" t="s">
        <v>504</v>
      </c>
      <c r="J1109" t="s">
        <v>789</v>
      </c>
      <c r="K1109" t="s">
        <v>1384</v>
      </c>
      <c r="L1109" s="552">
        <v>4000</v>
      </c>
      <c r="O1109" t="s">
        <v>973</v>
      </c>
    </row>
    <row r="1110" spans="1:15" hidden="1">
      <c r="A1110" t="s">
        <v>942</v>
      </c>
      <c r="B1110" t="s">
        <v>946</v>
      </c>
      <c r="C1110" s="553">
        <v>44266</v>
      </c>
      <c r="D1110" s="281" t="s">
        <v>4490</v>
      </c>
      <c r="E1110" s="281" t="s">
        <v>3675</v>
      </c>
      <c r="F1110" s="281">
        <v>5</v>
      </c>
      <c r="G1110" s="281">
        <v>5010301000</v>
      </c>
      <c r="H1110" t="s">
        <v>2028</v>
      </c>
      <c r="I1110" t="s">
        <v>528</v>
      </c>
      <c r="J1110" t="s">
        <v>789</v>
      </c>
      <c r="K1110" t="s">
        <v>1384</v>
      </c>
      <c r="L1110" s="552">
        <v>10982.64</v>
      </c>
      <c r="O1110" t="s">
        <v>975</v>
      </c>
    </row>
    <row r="1111" spans="1:15" hidden="1">
      <c r="A1111" t="s">
        <v>942</v>
      </c>
      <c r="B1111" t="s">
        <v>946</v>
      </c>
      <c r="C1111" s="553">
        <v>44266</v>
      </c>
      <c r="D1111" s="281" t="s">
        <v>4490</v>
      </c>
      <c r="E1111" s="281" t="s">
        <v>3675</v>
      </c>
      <c r="F1111" s="281">
        <v>5</v>
      </c>
      <c r="G1111" s="281">
        <v>5010000000</v>
      </c>
      <c r="H1111" t="s">
        <v>2029</v>
      </c>
      <c r="I1111" t="s">
        <v>530</v>
      </c>
      <c r="J1111" t="s">
        <v>789</v>
      </c>
      <c r="K1111" t="s">
        <v>1384</v>
      </c>
      <c r="L1111" s="552">
        <v>200</v>
      </c>
      <c r="O1111" t="s">
        <v>973</v>
      </c>
    </row>
    <row r="1112" spans="1:15" hidden="1">
      <c r="A1112" t="s">
        <v>942</v>
      </c>
      <c r="B1112" t="s">
        <v>946</v>
      </c>
      <c r="C1112" s="553">
        <v>44266</v>
      </c>
      <c r="D1112" s="281" t="s">
        <v>4490</v>
      </c>
      <c r="E1112" s="281" t="s">
        <v>3675</v>
      </c>
      <c r="F1112" s="281">
        <v>5</v>
      </c>
      <c r="G1112" s="281">
        <v>5010000000</v>
      </c>
      <c r="H1112" t="s">
        <v>2030</v>
      </c>
      <c r="I1112" t="s">
        <v>532</v>
      </c>
      <c r="J1112" t="s">
        <v>789</v>
      </c>
      <c r="K1112" t="s">
        <v>1384</v>
      </c>
      <c r="L1112" s="552">
        <v>1372.83</v>
      </c>
      <c r="O1112" t="s">
        <v>973</v>
      </c>
    </row>
    <row r="1113" spans="1:15" hidden="1">
      <c r="A1113" t="s">
        <v>942</v>
      </c>
      <c r="B1113" t="s">
        <v>946</v>
      </c>
      <c r="C1113" s="553">
        <v>44266</v>
      </c>
      <c r="D1113" s="281" t="s">
        <v>4490</v>
      </c>
      <c r="E1113" s="281" t="s">
        <v>3675</v>
      </c>
      <c r="F1113" s="281">
        <v>5</v>
      </c>
      <c r="G1113" s="281">
        <v>5010000000</v>
      </c>
      <c r="H1113" t="s">
        <v>2031</v>
      </c>
      <c r="I1113" t="s">
        <v>534</v>
      </c>
      <c r="J1113" t="s">
        <v>789</v>
      </c>
      <c r="K1113" t="s">
        <v>1384</v>
      </c>
      <c r="L1113" s="552">
        <v>200</v>
      </c>
      <c r="O1113" t="s">
        <v>973</v>
      </c>
    </row>
    <row r="1114" spans="1:15" hidden="1">
      <c r="A1114" t="s">
        <v>942</v>
      </c>
      <c r="B1114" t="s">
        <v>946</v>
      </c>
      <c r="C1114" s="553">
        <v>44266</v>
      </c>
      <c r="D1114" s="281" t="s">
        <v>4490</v>
      </c>
      <c r="E1114" s="281" t="s">
        <v>3675</v>
      </c>
      <c r="F1114" s="281">
        <v>6</v>
      </c>
      <c r="G1114" s="281">
        <v>5010000000</v>
      </c>
      <c r="H1114" t="s">
        <v>2026</v>
      </c>
      <c r="I1114" t="s">
        <v>499</v>
      </c>
      <c r="J1114" t="s">
        <v>789</v>
      </c>
      <c r="K1114" t="s">
        <v>1384</v>
      </c>
      <c r="L1114" s="552">
        <v>43681</v>
      </c>
      <c r="O1114" t="s">
        <v>976</v>
      </c>
    </row>
    <row r="1115" spans="1:15" hidden="1">
      <c r="A1115" t="s">
        <v>942</v>
      </c>
      <c r="B1115" t="s">
        <v>946</v>
      </c>
      <c r="C1115" s="553">
        <v>44266</v>
      </c>
      <c r="D1115" s="281" t="s">
        <v>4490</v>
      </c>
      <c r="E1115" s="281" t="s">
        <v>3675</v>
      </c>
      <c r="F1115" s="281">
        <v>6</v>
      </c>
      <c r="G1115" s="281">
        <v>5010000000</v>
      </c>
      <c r="H1115" t="s">
        <v>2027</v>
      </c>
      <c r="I1115" t="s">
        <v>504</v>
      </c>
      <c r="J1115" t="s">
        <v>789</v>
      </c>
      <c r="K1115" t="s">
        <v>1384</v>
      </c>
      <c r="L1115" s="552">
        <v>2000</v>
      </c>
      <c r="O1115" t="s">
        <v>976</v>
      </c>
    </row>
    <row r="1116" spans="1:15" hidden="1">
      <c r="A1116" t="s">
        <v>942</v>
      </c>
      <c r="B1116" t="s">
        <v>946</v>
      </c>
      <c r="C1116" s="553">
        <v>44266</v>
      </c>
      <c r="D1116" s="281" t="s">
        <v>4490</v>
      </c>
      <c r="E1116" s="281" t="s">
        <v>3675</v>
      </c>
      <c r="F1116" s="281">
        <v>6</v>
      </c>
      <c r="G1116" s="281">
        <v>5010301000</v>
      </c>
      <c r="H1116" t="s">
        <v>2028</v>
      </c>
      <c r="I1116" t="s">
        <v>528</v>
      </c>
      <c r="J1116" t="s">
        <v>789</v>
      </c>
      <c r="K1116" t="s">
        <v>1384</v>
      </c>
      <c r="L1116" s="552">
        <v>5241.72</v>
      </c>
      <c r="O1116" t="s">
        <v>978</v>
      </c>
    </row>
    <row r="1117" spans="1:15" hidden="1">
      <c r="A1117" t="s">
        <v>942</v>
      </c>
      <c r="B1117" t="s">
        <v>946</v>
      </c>
      <c r="C1117" s="553">
        <v>44266</v>
      </c>
      <c r="D1117" s="281" t="s">
        <v>4490</v>
      </c>
      <c r="E1117" s="281" t="s">
        <v>3675</v>
      </c>
      <c r="F1117" s="281">
        <v>6</v>
      </c>
      <c r="G1117" s="281">
        <v>5010000000</v>
      </c>
      <c r="H1117" t="s">
        <v>2029</v>
      </c>
      <c r="I1117" t="s">
        <v>530</v>
      </c>
      <c r="J1117" t="s">
        <v>789</v>
      </c>
      <c r="K1117" t="s">
        <v>1384</v>
      </c>
      <c r="L1117" s="552">
        <v>100</v>
      </c>
      <c r="O1117" t="s">
        <v>976</v>
      </c>
    </row>
    <row r="1118" spans="1:15" hidden="1">
      <c r="A1118" t="s">
        <v>942</v>
      </c>
      <c r="B1118" t="s">
        <v>946</v>
      </c>
      <c r="C1118" s="553">
        <v>44266</v>
      </c>
      <c r="D1118" s="281" t="s">
        <v>4490</v>
      </c>
      <c r="E1118" s="281" t="s">
        <v>3675</v>
      </c>
      <c r="F1118" s="281">
        <v>6</v>
      </c>
      <c r="G1118" s="281">
        <v>5010000000</v>
      </c>
      <c r="H1118" t="s">
        <v>2030</v>
      </c>
      <c r="I1118" t="s">
        <v>532</v>
      </c>
      <c r="J1118" t="s">
        <v>789</v>
      </c>
      <c r="K1118" t="s">
        <v>1384</v>
      </c>
      <c r="L1118" s="552">
        <v>655.22</v>
      </c>
      <c r="O1118" t="s">
        <v>976</v>
      </c>
    </row>
    <row r="1119" spans="1:15" hidden="1">
      <c r="A1119" t="s">
        <v>942</v>
      </c>
      <c r="B1119" t="s">
        <v>946</v>
      </c>
      <c r="C1119" s="553">
        <v>44266</v>
      </c>
      <c r="D1119" s="281" t="s">
        <v>4490</v>
      </c>
      <c r="E1119" s="281" t="s">
        <v>3675</v>
      </c>
      <c r="F1119" s="281">
        <v>6</v>
      </c>
      <c r="G1119" s="281">
        <v>5010000000</v>
      </c>
      <c r="H1119" t="s">
        <v>2031</v>
      </c>
      <c r="I1119" t="s">
        <v>534</v>
      </c>
      <c r="J1119" t="s">
        <v>789</v>
      </c>
      <c r="K1119" t="s">
        <v>1384</v>
      </c>
      <c r="L1119" s="552">
        <v>100</v>
      </c>
      <c r="O1119" t="s">
        <v>976</v>
      </c>
    </row>
    <row r="1120" spans="1:15" hidden="1">
      <c r="A1120" t="s">
        <v>942</v>
      </c>
      <c r="B1120" t="s">
        <v>946</v>
      </c>
      <c r="C1120" s="553">
        <v>44266</v>
      </c>
      <c r="D1120" s="281" t="s">
        <v>4491</v>
      </c>
      <c r="E1120" s="281" t="s">
        <v>3861</v>
      </c>
      <c r="F1120" s="281">
        <v>1</v>
      </c>
      <c r="G1120" s="281">
        <v>5020000000</v>
      </c>
      <c r="H1120" t="s">
        <v>2005</v>
      </c>
      <c r="I1120" t="s">
        <v>678</v>
      </c>
      <c r="J1120" t="s">
        <v>822</v>
      </c>
      <c r="K1120" t="s">
        <v>1416</v>
      </c>
      <c r="L1120" s="552">
        <v>0</v>
      </c>
      <c r="O1120" t="s">
        <v>961</v>
      </c>
    </row>
    <row r="1121" spans="1:15" hidden="1">
      <c r="A1121" t="s">
        <v>942</v>
      </c>
      <c r="B1121" t="s">
        <v>946</v>
      </c>
      <c r="C1121" s="553">
        <v>44266</v>
      </c>
      <c r="D1121" s="281" t="s">
        <v>4492</v>
      </c>
      <c r="E1121" s="281" t="s">
        <v>3686</v>
      </c>
      <c r="F1121" s="281">
        <v>1</v>
      </c>
      <c r="G1121" s="281">
        <v>5020000000</v>
      </c>
      <c r="H1121" t="s">
        <v>2016</v>
      </c>
      <c r="I1121" t="s">
        <v>319</v>
      </c>
      <c r="J1121" t="s">
        <v>1418</v>
      </c>
      <c r="K1121" t="s">
        <v>1419</v>
      </c>
      <c r="L1121" s="552">
        <v>22000</v>
      </c>
      <c r="O1121" t="s">
        <v>961</v>
      </c>
    </row>
    <row r="1122" spans="1:15" hidden="1">
      <c r="A1122" t="s">
        <v>942</v>
      </c>
      <c r="B1122" t="s">
        <v>946</v>
      </c>
      <c r="C1122" s="553">
        <v>44271</v>
      </c>
      <c r="D1122" s="281" t="s">
        <v>4493</v>
      </c>
      <c r="E1122" s="281" t="s">
        <v>3714</v>
      </c>
      <c r="F1122" s="281">
        <v>1</v>
      </c>
      <c r="G1122" s="281">
        <v>5020000000</v>
      </c>
      <c r="H1122" t="s">
        <v>2039</v>
      </c>
      <c r="I1122" t="s">
        <v>560</v>
      </c>
      <c r="J1122" t="s">
        <v>1344</v>
      </c>
      <c r="K1122" t="s">
        <v>1421</v>
      </c>
      <c r="L1122" s="552">
        <v>14000</v>
      </c>
      <c r="O1122" t="s">
        <v>961</v>
      </c>
    </row>
    <row r="1123" spans="1:15" hidden="1">
      <c r="A1123" t="s">
        <v>942</v>
      </c>
      <c r="B1123" t="s">
        <v>946</v>
      </c>
      <c r="C1123" s="553">
        <v>44271</v>
      </c>
      <c r="D1123" s="281" t="s">
        <v>4494</v>
      </c>
      <c r="E1123" s="281" t="s">
        <v>3864</v>
      </c>
      <c r="F1123" s="281">
        <v>2</v>
      </c>
      <c r="G1123" s="281">
        <v>5020000000</v>
      </c>
      <c r="H1123" t="s">
        <v>2041</v>
      </c>
      <c r="I1123" t="s">
        <v>601</v>
      </c>
      <c r="J1123" t="s">
        <v>1359</v>
      </c>
      <c r="K1123" t="s">
        <v>1423</v>
      </c>
      <c r="L1123" s="552">
        <v>7873</v>
      </c>
      <c r="O1123" t="s">
        <v>965</v>
      </c>
    </row>
    <row r="1124" spans="1:15" hidden="1">
      <c r="A1124" t="s">
        <v>942</v>
      </c>
      <c r="B1124" t="s">
        <v>946</v>
      </c>
      <c r="C1124" s="553">
        <v>44271</v>
      </c>
      <c r="D1124" s="281" t="s">
        <v>4495</v>
      </c>
      <c r="E1124" s="281" t="s">
        <v>3693</v>
      </c>
      <c r="F1124" s="281">
        <v>11</v>
      </c>
      <c r="G1124" s="281">
        <v>5020000000</v>
      </c>
      <c r="H1124" t="s">
        <v>2037</v>
      </c>
      <c r="I1124" t="s">
        <v>555</v>
      </c>
      <c r="J1124" t="s">
        <v>823</v>
      </c>
      <c r="K1124" t="s">
        <v>1139</v>
      </c>
      <c r="L1124" s="552">
        <v>57498</v>
      </c>
      <c r="O1124" t="s">
        <v>985</v>
      </c>
    </row>
    <row r="1125" spans="1:15" hidden="1">
      <c r="A1125" t="s">
        <v>942</v>
      </c>
      <c r="B1125" t="s">
        <v>946</v>
      </c>
      <c r="C1125" s="553">
        <v>44271</v>
      </c>
      <c r="D1125" s="281" t="s">
        <v>4495</v>
      </c>
      <c r="E1125" s="281" t="s">
        <v>3693</v>
      </c>
      <c r="F1125" s="281">
        <v>11</v>
      </c>
      <c r="G1125" s="281">
        <v>5020000000</v>
      </c>
      <c r="H1125" t="s">
        <v>2039</v>
      </c>
      <c r="I1125" t="s">
        <v>560</v>
      </c>
      <c r="J1125" t="s">
        <v>823</v>
      </c>
      <c r="K1125" t="s">
        <v>1139</v>
      </c>
      <c r="L1125" s="552">
        <v>525004</v>
      </c>
      <c r="O1125" t="s">
        <v>985</v>
      </c>
    </row>
    <row r="1126" spans="1:15" hidden="1">
      <c r="A1126" t="s">
        <v>942</v>
      </c>
      <c r="B1126" t="s">
        <v>946</v>
      </c>
      <c r="C1126" s="553">
        <v>44271</v>
      </c>
      <c r="D1126" s="281" t="s">
        <v>4495</v>
      </c>
      <c r="E1126" s="281" t="s">
        <v>3693</v>
      </c>
      <c r="F1126" s="281">
        <v>11</v>
      </c>
      <c r="G1126" s="281">
        <v>5020000000</v>
      </c>
      <c r="H1126" t="s">
        <v>2002</v>
      </c>
      <c r="I1126" t="s">
        <v>603</v>
      </c>
      <c r="J1126" t="s">
        <v>823</v>
      </c>
      <c r="K1126" t="s">
        <v>1139</v>
      </c>
      <c r="L1126" s="552">
        <v>19166</v>
      </c>
      <c r="O1126" t="s">
        <v>985</v>
      </c>
    </row>
    <row r="1127" spans="1:15" hidden="1">
      <c r="A1127" t="s">
        <v>942</v>
      </c>
      <c r="B1127" t="s">
        <v>946</v>
      </c>
      <c r="C1127" s="553">
        <v>44271</v>
      </c>
      <c r="D1127" s="281" t="s">
        <v>4495</v>
      </c>
      <c r="E1127" s="281" t="s">
        <v>3693</v>
      </c>
      <c r="F1127" s="281">
        <v>11</v>
      </c>
      <c r="G1127" s="281">
        <v>5020000000</v>
      </c>
      <c r="H1127" t="s">
        <v>1998</v>
      </c>
      <c r="I1127" t="s">
        <v>633</v>
      </c>
      <c r="J1127" t="s">
        <v>823</v>
      </c>
      <c r="K1127" t="s">
        <v>1139</v>
      </c>
      <c r="L1127" s="552">
        <v>38332</v>
      </c>
      <c r="O1127" t="s">
        <v>985</v>
      </c>
    </row>
    <row r="1128" spans="1:15" hidden="1">
      <c r="A1128" t="s">
        <v>942</v>
      </c>
      <c r="B1128" t="s">
        <v>946</v>
      </c>
      <c r="C1128" s="553">
        <v>44271</v>
      </c>
      <c r="D1128" s="281" t="s">
        <v>4496</v>
      </c>
      <c r="E1128" s="281" t="s">
        <v>3696</v>
      </c>
      <c r="F1128" s="281">
        <v>5</v>
      </c>
      <c r="G1128" s="281">
        <v>5020000000</v>
      </c>
      <c r="H1128" t="s">
        <v>2037</v>
      </c>
      <c r="I1128" t="s">
        <v>555</v>
      </c>
      <c r="J1128" t="s">
        <v>818</v>
      </c>
      <c r="K1128" t="s">
        <v>1206</v>
      </c>
      <c r="L1128" s="552">
        <v>20000</v>
      </c>
      <c r="O1128" t="s">
        <v>974</v>
      </c>
    </row>
    <row r="1129" spans="1:15" hidden="1">
      <c r="A1129" t="s">
        <v>942</v>
      </c>
      <c r="B1129" t="s">
        <v>946</v>
      </c>
      <c r="C1129" s="553">
        <v>44271</v>
      </c>
      <c r="D1129" s="281" t="s">
        <v>4496</v>
      </c>
      <c r="E1129" s="281" t="s">
        <v>3696</v>
      </c>
      <c r="F1129" s="281">
        <v>5</v>
      </c>
      <c r="G1129" s="281">
        <v>5020000000</v>
      </c>
      <c r="H1129" t="s">
        <v>2005</v>
      </c>
      <c r="I1129" t="s">
        <v>678</v>
      </c>
      <c r="J1129" t="s">
        <v>818</v>
      </c>
      <c r="K1129" t="s">
        <v>1206</v>
      </c>
      <c r="L1129" s="552">
        <v>40000</v>
      </c>
      <c r="O1129" t="s">
        <v>974</v>
      </c>
    </row>
    <row r="1130" spans="1:15" hidden="1">
      <c r="A1130" t="s">
        <v>942</v>
      </c>
      <c r="B1130" t="s">
        <v>946</v>
      </c>
      <c r="C1130" s="553">
        <v>44271</v>
      </c>
      <c r="D1130" s="281" t="s">
        <v>4496</v>
      </c>
      <c r="E1130" s="281" t="s">
        <v>3696</v>
      </c>
      <c r="F1130" s="281">
        <v>6</v>
      </c>
      <c r="G1130" s="281">
        <v>5020000000</v>
      </c>
      <c r="H1130" t="s">
        <v>2037</v>
      </c>
      <c r="I1130" t="s">
        <v>555</v>
      </c>
      <c r="J1130" t="s">
        <v>818</v>
      </c>
      <c r="K1130" t="s">
        <v>1206</v>
      </c>
      <c r="L1130" s="552">
        <v>20000</v>
      </c>
      <c r="O1130" t="s">
        <v>977</v>
      </c>
    </row>
    <row r="1131" spans="1:15" hidden="1">
      <c r="A1131" t="s">
        <v>942</v>
      </c>
      <c r="B1131" t="s">
        <v>946</v>
      </c>
      <c r="C1131" s="553">
        <v>44271</v>
      </c>
      <c r="D1131" s="281" t="s">
        <v>4496</v>
      </c>
      <c r="E1131" s="281" t="s">
        <v>3696</v>
      </c>
      <c r="F1131" s="281">
        <v>6</v>
      </c>
      <c r="G1131" s="281">
        <v>5020000000</v>
      </c>
      <c r="H1131" t="s">
        <v>2005</v>
      </c>
      <c r="I1131" t="s">
        <v>678</v>
      </c>
      <c r="J1131" t="s">
        <v>818</v>
      </c>
      <c r="K1131" t="s">
        <v>1206</v>
      </c>
      <c r="L1131" s="552">
        <v>60000</v>
      </c>
      <c r="O1131" t="s">
        <v>977</v>
      </c>
    </row>
    <row r="1132" spans="1:15" hidden="1">
      <c r="A1132" t="s">
        <v>942</v>
      </c>
      <c r="B1132" t="s">
        <v>946</v>
      </c>
      <c r="C1132" s="553">
        <v>44271</v>
      </c>
      <c r="D1132" s="281" t="s">
        <v>4496</v>
      </c>
      <c r="E1132" s="281" t="s">
        <v>3696</v>
      </c>
      <c r="F1132" s="281">
        <v>7</v>
      </c>
      <c r="G1132" s="281">
        <v>5020000000</v>
      </c>
      <c r="H1132" t="s">
        <v>2032</v>
      </c>
      <c r="I1132" t="s">
        <v>565</v>
      </c>
      <c r="J1132" t="s">
        <v>818</v>
      </c>
      <c r="K1132" t="s">
        <v>1206</v>
      </c>
      <c r="L1132" s="552">
        <v>20000</v>
      </c>
      <c r="O1132" t="s">
        <v>979</v>
      </c>
    </row>
    <row r="1133" spans="1:15" hidden="1">
      <c r="A1133" t="s">
        <v>942</v>
      </c>
      <c r="B1133" t="s">
        <v>946</v>
      </c>
      <c r="C1133" s="553">
        <v>44271</v>
      </c>
      <c r="D1133" s="281" t="s">
        <v>4497</v>
      </c>
      <c r="E1133" s="281" t="s">
        <v>3699</v>
      </c>
      <c r="F1133" s="281">
        <v>12</v>
      </c>
      <c r="G1133" s="281" t="s">
        <v>2037</v>
      </c>
      <c r="H1133" t="s">
        <v>2037</v>
      </c>
      <c r="I1133" t="s">
        <v>555</v>
      </c>
      <c r="J1133" t="s">
        <v>818</v>
      </c>
      <c r="K1133" t="s">
        <v>1150</v>
      </c>
      <c r="L1133" s="552">
        <v>16700</v>
      </c>
      <c r="O1133" t="s">
        <v>986</v>
      </c>
    </row>
    <row r="1134" spans="1:15" hidden="1">
      <c r="A1134" t="s">
        <v>942</v>
      </c>
      <c r="B1134" t="s">
        <v>946</v>
      </c>
      <c r="C1134" s="553">
        <v>44271</v>
      </c>
      <c r="D1134" s="281" t="s">
        <v>4497</v>
      </c>
      <c r="E1134" s="281" t="s">
        <v>3699</v>
      </c>
      <c r="F1134" s="281">
        <v>12</v>
      </c>
      <c r="G1134" s="281" t="s">
        <v>2039</v>
      </c>
      <c r="H1134" t="s">
        <v>2039</v>
      </c>
      <c r="I1134" t="s">
        <v>560</v>
      </c>
      <c r="J1134" t="s">
        <v>818</v>
      </c>
      <c r="K1134" t="s">
        <v>1150</v>
      </c>
      <c r="L1134" s="552">
        <v>73434</v>
      </c>
      <c r="O1134" t="s">
        <v>987</v>
      </c>
    </row>
    <row r="1135" spans="1:15" hidden="1">
      <c r="A1135" t="s">
        <v>942</v>
      </c>
      <c r="B1135" t="s">
        <v>946</v>
      </c>
      <c r="C1135" s="553">
        <v>44271</v>
      </c>
      <c r="D1135" s="281" t="s">
        <v>4497</v>
      </c>
      <c r="E1135" s="281" t="s">
        <v>3699</v>
      </c>
      <c r="F1135" s="281">
        <v>12</v>
      </c>
      <c r="G1135" s="281" t="s">
        <v>2032</v>
      </c>
      <c r="H1135" t="s">
        <v>2032</v>
      </c>
      <c r="I1135" t="s">
        <v>565</v>
      </c>
      <c r="J1135" t="s">
        <v>818</v>
      </c>
      <c r="K1135" t="s">
        <v>1150</v>
      </c>
      <c r="L1135" s="552">
        <v>2500</v>
      </c>
      <c r="O1135" t="s">
        <v>988</v>
      </c>
    </row>
    <row r="1136" spans="1:15" hidden="1">
      <c r="A1136" t="s">
        <v>942</v>
      </c>
      <c r="B1136" t="s">
        <v>946</v>
      </c>
      <c r="C1136" s="553">
        <v>44271</v>
      </c>
      <c r="D1136" s="281" t="s">
        <v>4497</v>
      </c>
      <c r="E1136" s="281" t="s">
        <v>3699</v>
      </c>
      <c r="F1136" s="281">
        <v>12</v>
      </c>
      <c r="G1136" s="281" t="s">
        <v>2002</v>
      </c>
      <c r="H1136" t="s">
        <v>2002</v>
      </c>
      <c r="I1136" t="s">
        <v>603</v>
      </c>
      <c r="J1136" t="s">
        <v>818</v>
      </c>
      <c r="K1136" t="s">
        <v>1150</v>
      </c>
      <c r="L1136" s="552">
        <v>1500</v>
      </c>
      <c r="O1136" t="s">
        <v>991</v>
      </c>
    </row>
    <row r="1137" spans="1:15" hidden="1">
      <c r="A1137" t="s">
        <v>942</v>
      </c>
      <c r="B1137" t="s">
        <v>946</v>
      </c>
      <c r="C1137" s="553">
        <v>44271</v>
      </c>
      <c r="D1137" s="281" t="s">
        <v>4497</v>
      </c>
      <c r="E1137" s="281" t="s">
        <v>3699</v>
      </c>
      <c r="F1137" s="281">
        <v>12</v>
      </c>
      <c r="G1137" s="281" t="s">
        <v>1998</v>
      </c>
      <c r="H1137" t="s">
        <v>1998</v>
      </c>
      <c r="I1137" t="s">
        <v>633</v>
      </c>
      <c r="J1137" t="s">
        <v>818</v>
      </c>
      <c r="K1137" t="s">
        <v>1150</v>
      </c>
      <c r="L1137" s="552">
        <v>24500</v>
      </c>
      <c r="O1137" t="s">
        <v>993</v>
      </c>
    </row>
    <row r="1138" spans="1:15" hidden="1">
      <c r="A1138" t="s">
        <v>942</v>
      </c>
      <c r="B1138" t="s">
        <v>946</v>
      </c>
      <c r="C1138" s="553">
        <v>44271</v>
      </c>
      <c r="D1138" s="281" t="s">
        <v>4497</v>
      </c>
      <c r="E1138" s="281" t="s">
        <v>3699</v>
      </c>
      <c r="F1138" s="281">
        <v>12</v>
      </c>
      <c r="G1138" s="281" t="s">
        <v>1997</v>
      </c>
      <c r="H1138" t="s">
        <v>1997</v>
      </c>
      <c r="I1138" t="s">
        <v>642</v>
      </c>
      <c r="J1138" t="s">
        <v>818</v>
      </c>
      <c r="K1138" t="s">
        <v>1150</v>
      </c>
      <c r="L1138" s="552">
        <v>1000</v>
      </c>
      <c r="O1138" t="s">
        <v>994</v>
      </c>
    </row>
    <row r="1139" spans="1:15" hidden="1">
      <c r="A1139" t="s">
        <v>942</v>
      </c>
      <c r="B1139" t="s">
        <v>946</v>
      </c>
      <c r="C1139" s="553">
        <v>44271</v>
      </c>
      <c r="D1139" s="281" t="s">
        <v>4498</v>
      </c>
      <c r="E1139" s="281" t="s">
        <v>3690</v>
      </c>
      <c r="F1139" s="281">
        <v>10</v>
      </c>
      <c r="G1139" s="281">
        <v>5020000000</v>
      </c>
      <c r="H1139" t="s">
        <v>2037</v>
      </c>
      <c r="I1139" t="s">
        <v>555</v>
      </c>
      <c r="J1139" t="s">
        <v>820</v>
      </c>
      <c r="K1139" t="s">
        <v>1145</v>
      </c>
      <c r="L1139" s="552">
        <v>5000</v>
      </c>
      <c r="O1139" t="s">
        <v>983</v>
      </c>
    </row>
    <row r="1140" spans="1:15" hidden="1">
      <c r="A1140" t="s">
        <v>942</v>
      </c>
      <c r="B1140" t="s">
        <v>946</v>
      </c>
      <c r="C1140" s="553">
        <v>44271</v>
      </c>
      <c r="D1140" s="281" t="s">
        <v>4498</v>
      </c>
      <c r="E1140" s="281" t="s">
        <v>3690</v>
      </c>
      <c r="F1140" s="281">
        <v>10</v>
      </c>
      <c r="G1140" s="281">
        <v>5020000000</v>
      </c>
      <c r="H1140" t="s">
        <v>2039</v>
      </c>
      <c r="I1140" t="s">
        <v>560</v>
      </c>
      <c r="J1140" t="s">
        <v>820</v>
      </c>
      <c r="K1140" t="s">
        <v>1145</v>
      </c>
      <c r="L1140" s="552">
        <v>45000</v>
      </c>
      <c r="O1140" t="s">
        <v>983</v>
      </c>
    </row>
    <row r="1141" spans="1:15" hidden="1">
      <c r="A1141" t="s">
        <v>942</v>
      </c>
      <c r="B1141" t="s">
        <v>946</v>
      </c>
      <c r="C1141" s="553">
        <v>44271</v>
      </c>
      <c r="D1141" s="281" t="s">
        <v>4498</v>
      </c>
      <c r="E1141" s="281" t="s">
        <v>3690</v>
      </c>
      <c r="F1141" s="281">
        <v>10</v>
      </c>
      <c r="G1141" s="281">
        <v>5020000000</v>
      </c>
      <c r="H1141" t="s">
        <v>2002</v>
      </c>
      <c r="I1141" t="s">
        <v>603</v>
      </c>
      <c r="J1141" t="s">
        <v>820</v>
      </c>
      <c r="K1141" t="s">
        <v>1145</v>
      </c>
      <c r="L1141" s="552">
        <v>5000</v>
      </c>
      <c r="O1141" t="s">
        <v>983</v>
      </c>
    </row>
    <row r="1142" spans="1:15" hidden="1">
      <c r="A1142" t="s">
        <v>942</v>
      </c>
      <c r="B1142" t="s">
        <v>946</v>
      </c>
      <c r="C1142" s="553">
        <v>44271</v>
      </c>
      <c r="D1142" s="281" t="s">
        <v>4498</v>
      </c>
      <c r="E1142" s="281" t="s">
        <v>3690</v>
      </c>
      <c r="F1142" s="281">
        <v>10</v>
      </c>
      <c r="G1142" s="281">
        <v>5020000000</v>
      </c>
      <c r="H1142" t="s">
        <v>2005</v>
      </c>
      <c r="I1142" t="s">
        <v>678</v>
      </c>
      <c r="J1142" t="s">
        <v>820</v>
      </c>
      <c r="K1142" t="s">
        <v>1145</v>
      </c>
      <c r="L1142" s="552">
        <v>15000</v>
      </c>
      <c r="O1142" t="s">
        <v>983</v>
      </c>
    </row>
    <row r="1143" spans="1:15" hidden="1">
      <c r="A1143" t="s">
        <v>942</v>
      </c>
      <c r="B1143" t="s">
        <v>946</v>
      </c>
      <c r="C1143" s="553">
        <v>44271</v>
      </c>
      <c r="D1143" s="281" t="s">
        <v>4498</v>
      </c>
      <c r="E1143" s="281" t="s">
        <v>3690</v>
      </c>
      <c r="F1143" s="281">
        <v>10</v>
      </c>
      <c r="G1143" s="281">
        <v>5020000000</v>
      </c>
      <c r="H1143" t="s">
        <v>2021</v>
      </c>
      <c r="I1143" t="s">
        <v>631</v>
      </c>
      <c r="J1143" t="s">
        <v>820</v>
      </c>
      <c r="K1143" t="s">
        <v>1145</v>
      </c>
      <c r="L1143" s="552">
        <v>24707.14</v>
      </c>
      <c r="O1143" t="s">
        <v>983</v>
      </c>
    </row>
    <row r="1144" spans="1:15" hidden="1">
      <c r="A1144" t="s">
        <v>942</v>
      </c>
      <c r="B1144" t="s">
        <v>946</v>
      </c>
      <c r="C1144" s="553">
        <v>44271</v>
      </c>
      <c r="D1144" s="281" t="s">
        <v>4499</v>
      </c>
      <c r="E1144" s="281" t="s">
        <v>3867</v>
      </c>
      <c r="F1144" s="281">
        <v>1</v>
      </c>
      <c r="G1144" s="281">
        <v>5020000000</v>
      </c>
      <c r="H1144" t="s">
        <v>2005</v>
      </c>
      <c r="I1144" t="s">
        <v>678</v>
      </c>
      <c r="J1144" t="s">
        <v>1189</v>
      </c>
      <c r="K1144" t="s">
        <v>1429</v>
      </c>
      <c r="L1144" s="552">
        <v>11000</v>
      </c>
      <c r="O1144" t="s">
        <v>961</v>
      </c>
    </row>
    <row r="1145" spans="1:15" hidden="1">
      <c r="A1145" t="s">
        <v>942</v>
      </c>
      <c r="B1145" t="s">
        <v>946</v>
      </c>
      <c r="C1145" s="553">
        <v>44271</v>
      </c>
      <c r="D1145" s="281" t="s">
        <v>4500</v>
      </c>
      <c r="E1145" s="281" t="s">
        <v>3837</v>
      </c>
      <c r="F1145" s="281">
        <v>1</v>
      </c>
      <c r="G1145" s="281">
        <v>5020000000</v>
      </c>
      <c r="H1145" t="s">
        <v>2032</v>
      </c>
      <c r="I1145" t="s">
        <v>565</v>
      </c>
      <c r="J1145" t="s">
        <v>1325</v>
      </c>
      <c r="K1145" t="s">
        <v>1431</v>
      </c>
      <c r="L1145" s="552">
        <v>3760</v>
      </c>
      <c r="O1145" t="s">
        <v>961</v>
      </c>
    </row>
    <row r="1146" spans="1:15" hidden="1">
      <c r="A1146" t="s">
        <v>942</v>
      </c>
      <c r="B1146" t="s">
        <v>946</v>
      </c>
      <c r="C1146" s="553">
        <v>44271</v>
      </c>
      <c r="D1146" s="281" t="s">
        <v>4501</v>
      </c>
      <c r="E1146" s="281" t="s">
        <v>3825</v>
      </c>
      <c r="F1146" s="281">
        <v>1</v>
      </c>
      <c r="G1146" s="281">
        <v>5020000000</v>
      </c>
      <c r="H1146" t="s">
        <v>1996</v>
      </c>
      <c r="I1146" t="s">
        <v>676</v>
      </c>
      <c r="J1146" t="s">
        <v>1433</v>
      </c>
      <c r="K1146" t="s">
        <v>1434</v>
      </c>
      <c r="L1146" s="552">
        <v>800</v>
      </c>
      <c r="O1146" t="s">
        <v>961</v>
      </c>
    </row>
    <row r="1147" spans="1:15" hidden="1">
      <c r="A1147" t="s">
        <v>942</v>
      </c>
      <c r="B1147" t="s">
        <v>946</v>
      </c>
      <c r="C1147" s="553">
        <v>44271</v>
      </c>
      <c r="D1147" s="281" t="s">
        <v>4502</v>
      </c>
      <c r="E1147" s="281" t="s">
        <v>3840</v>
      </c>
      <c r="F1147" s="281">
        <v>1</v>
      </c>
      <c r="G1147" s="281">
        <v>5020000000</v>
      </c>
      <c r="H1147" t="s">
        <v>2005</v>
      </c>
      <c r="I1147" t="s">
        <v>678</v>
      </c>
      <c r="J1147" t="s">
        <v>1436</v>
      </c>
      <c r="K1147" t="s">
        <v>1437</v>
      </c>
      <c r="L1147" s="552">
        <v>30000</v>
      </c>
      <c r="O1147" t="s">
        <v>961</v>
      </c>
    </row>
    <row r="1148" spans="1:15" hidden="1">
      <c r="A1148" t="s">
        <v>942</v>
      </c>
      <c r="B1148" t="s">
        <v>946</v>
      </c>
      <c r="C1148" s="553">
        <v>44271</v>
      </c>
      <c r="D1148" s="281" t="s">
        <v>4503</v>
      </c>
      <c r="E1148" s="281" t="s">
        <v>3717</v>
      </c>
      <c r="F1148" s="281">
        <v>1</v>
      </c>
      <c r="G1148" s="281">
        <v>5010000000</v>
      </c>
      <c r="H1148" t="s">
        <v>2042</v>
      </c>
      <c r="I1148" t="s">
        <v>508</v>
      </c>
      <c r="J1148" t="s">
        <v>10</v>
      </c>
      <c r="K1148" t="s">
        <v>1439</v>
      </c>
      <c r="L1148" s="552">
        <v>114000</v>
      </c>
      <c r="O1148" t="s">
        <v>960</v>
      </c>
    </row>
    <row r="1149" spans="1:15" hidden="1">
      <c r="A1149" t="s">
        <v>942</v>
      </c>
      <c r="B1149" t="s">
        <v>946</v>
      </c>
      <c r="C1149" s="553">
        <v>44271</v>
      </c>
      <c r="D1149" s="281" t="s">
        <v>4503</v>
      </c>
      <c r="E1149" s="281" t="s">
        <v>3717</v>
      </c>
      <c r="F1149" s="281">
        <v>2</v>
      </c>
      <c r="G1149" s="281">
        <v>5010000000</v>
      </c>
      <c r="H1149" t="s">
        <v>2042</v>
      </c>
      <c r="I1149" t="s">
        <v>508</v>
      </c>
      <c r="J1149" t="s">
        <v>10</v>
      </c>
      <c r="K1149" t="s">
        <v>1439</v>
      </c>
      <c r="L1149" s="552">
        <v>12000</v>
      </c>
      <c r="O1149" t="s">
        <v>964</v>
      </c>
    </row>
    <row r="1150" spans="1:15" hidden="1">
      <c r="A1150" t="s">
        <v>942</v>
      </c>
      <c r="B1150" t="s">
        <v>946</v>
      </c>
      <c r="C1150" s="553">
        <v>44271</v>
      </c>
      <c r="D1150" s="281" t="s">
        <v>4503</v>
      </c>
      <c r="E1150" s="281" t="s">
        <v>3717</v>
      </c>
      <c r="F1150" s="281">
        <v>3</v>
      </c>
      <c r="G1150" s="281">
        <v>5010000000</v>
      </c>
      <c r="H1150" t="s">
        <v>2042</v>
      </c>
      <c r="I1150" t="s">
        <v>508</v>
      </c>
      <c r="J1150" t="s">
        <v>10</v>
      </c>
      <c r="K1150" t="s">
        <v>1439</v>
      </c>
      <c r="L1150" s="552">
        <v>30000</v>
      </c>
      <c r="O1150" t="s">
        <v>967</v>
      </c>
    </row>
    <row r="1151" spans="1:15" hidden="1">
      <c r="A1151" t="s">
        <v>942</v>
      </c>
      <c r="B1151" t="s">
        <v>946</v>
      </c>
      <c r="C1151" s="553">
        <v>44271</v>
      </c>
      <c r="D1151" s="281" t="s">
        <v>4503</v>
      </c>
      <c r="E1151" s="281" t="s">
        <v>3717</v>
      </c>
      <c r="F1151" s="281">
        <v>4</v>
      </c>
      <c r="G1151" s="281">
        <v>5010000000</v>
      </c>
      <c r="H1151" t="s">
        <v>2042</v>
      </c>
      <c r="I1151" t="s">
        <v>508</v>
      </c>
      <c r="J1151" t="s">
        <v>10</v>
      </c>
      <c r="K1151" t="s">
        <v>1439</v>
      </c>
      <c r="L1151" s="552">
        <v>30000</v>
      </c>
      <c r="O1151" t="s">
        <v>970</v>
      </c>
    </row>
    <row r="1152" spans="1:15" hidden="1">
      <c r="A1152" t="s">
        <v>942</v>
      </c>
      <c r="B1152" t="s">
        <v>946</v>
      </c>
      <c r="C1152" s="553">
        <v>44271</v>
      </c>
      <c r="D1152" s="281" t="s">
        <v>4503</v>
      </c>
      <c r="E1152" s="281" t="s">
        <v>3717</v>
      </c>
      <c r="F1152" s="281">
        <v>5</v>
      </c>
      <c r="G1152" s="281">
        <v>5010000000</v>
      </c>
      <c r="H1152" t="s">
        <v>2042</v>
      </c>
      <c r="I1152" t="s">
        <v>508</v>
      </c>
      <c r="J1152" t="s">
        <v>10</v>
      </c>
      <c r="K1152" t="s">
        <v>1439</v>
      </c>
      <c r="L1152" s="552">
        <v>30000</v>
      </c>
      <c r="O1152" t="s">
        <v>973</v>
      </c>
    </row>
    <row r="1153" spans="1:15" hidden="1">
      <c r="A1153" t="s">
        <v>942</v>
      </c>
      <c r="B1153" t="s">
        <v>946</v>
      </c>
      <c r="C1153" s="553">
        <v>44271</v>
      </c>
      <c r="D1153" s="281" t="s">
        <v>4504</v>
      </c>
      <c r="E1153" s="281" t="s">
        <v>3702</v>
      </c>
      <c r="F1153" s="281">
        <v>1</v>
      </c>
      <c r="G1153" s="281">
        <v>5010000000</v>
      </c>
      <c r="H1153" t="s">
        <v>2042</v>
      </c>
      <c r="I1153" t="s">
        <v>508</v>
      </c>
      <c r="J1153" t="s">
        <v>789</v>
      </c>
      <c r="K1153" t="s">
        <v>1439</v>
      </c>
      <c r="L1153" s="552">
        <v>12000</v>
      </c>
      <c r="O1153" t="s">
        <v>960</v>
      </c>
    </row>
    <row r="1154" spans="1:15" hidden="1">
      <c r="A1154" t="s">
        <v>942</v>
      </c>
      <c r="B1154" t="s">
        <v>946</v>
      </c>
      <c r="C1154" s="553">
        <v>44271</v>
      </c>
      <c r="D1154" s="281" t="s">
        <v>4504</v>
      </c>
      <c r="E1154" s="281" t="s">
        <v>3702</v>
      </c>
      <c r="F1154" s="281">
        <v>2</v>
      </c>
      <c r="G1154" s="281">
        <v>5010000000</v>
      </c>
      <c r="H1154" t="s">
        <v>2042</v>
      </c>
      <c r="I1154" t="s">
        <v>508</v>
      </c>
      <c r="J1154" t="s">
        <v>789</v>
      </c>
      <c r="K1154" t="s">
        <v>1439</v>
      </c>
      <c r="L1154" s="552">
        <v>12000</v>
      </c>
      <c r="O1154" t="s">
        <v>964</v>
      </c>
    </row>
    <row r="1155" spans="1:15" hidden="1">
      <c r="A1155" t="s">
        <v>942</v>
      </c>
      <c r="B1155" t="s">
        <v>946</v>
      </c>
      <c r="C1155" s="553">
        <v>44271</v>
      </c>
      <c r="D1155" s="281" t="s">
        <v>4504</v>
      </c>
      <c r="E1155" s="281" t="s">
        <v>3702</v>
      </c>
      <c r="F1155" s="281">
        <v>3</v>
      </c>
      <c r="G1155" s="281">
        <v>5010000000</v>
      </c>
      <c r="H1155" t="s">
        <v>2042</v>
      </c>
      <c r="I1155" t="s">
        <v>508</v>
      </c>
      <c r="J1155" t="s">
        <v>789</v>
      </c>
      <c r="K1155" t="s">
        <v>1439</v>
      </c>
      <c r="L1155" s="552">
        <v>6000</v>
      </c>
      <c r="O1155" t="s">
        <v>967</v>
      </c>
    </row>
    <row r="1156" spans="1:15" hidden="1">
      <c r="A1156" t="s">
        <v>942</v>
      </c>
      <c r="B1156" t="s">
        <v>946</v>
      </c>
      <c r="C1156" s="553">
        <v>44271</v>
      </c>
      <c r="D1156" s="281" t="s">
        <v>4504</v>
      </c>
      <c r="E1156" s="281" t="s">
        <v>3702</v>
      </c>
      <c r="F1156" s="281">
        <v>4</v>
      </c>
      <c r="G1156" s="281">
        <v>5010000000</v>
      </c>
      <c r="H1156" t="s">
        <v>2042</v>
      </c>
      <c r="I1156" t="s">
        <v>508</v>
      </c>
      <c r="J1156" t="s">
        <v>789</v>
      </c>
      <c r="K1156" t="s">
        <v>1439</v>
      </c>
      <c r="L1156" s="552">
        <v>12000</v>
      </c>
      <c r="O1156" t="s">
        <v>970</v>
      </c>
    </row>
    <row r="1157" spans="1:15" hidden="1">
      <c r="A1157" t="s">
        <v>942</v>
      </c>
      <c r="B1157" t="s">
        <v>946</v>
      </c>
      <c r="C1157" s="553">
        <v>44271</v>
      </c>
      <c r="D1157" s="281" t="s">
        <v>4504</v>
      </c>
      <c r="E1157" s="281" t="s">
        <v>3702</v>
      </c>
      <c r="F1157" s="281">
        <v>5</v>
      </c>
      <c r="G1157" s="281">
        <v>5010000000</v>
      </c>
      <c r="H1157" t="s">
        <v>2042</v>
      </c>
      <c r="I1157" t="s">
        <v>508</v>
      </c>
      <c r="J1157" t="s">
        <v>789</v>
      </c>
      <c r="K1157" t="s">
        <v>1439</v>
      </c>
      <c r="L1157" s="552">
        <v>12000</v>
      </c>
      <c r="O1157" t="s">
        <v>973</v>
      </c>
    </row>
    <row r="1158" spans="1:15" hidden="1">
      <c r="A1158" t="s">
        <v>942</v>
      </c>
      <c r="B1158" t="s">
        <v>946</v>
      </c>
      <c r="C1158" s="553">
        <v>44271</v>
      </c>
      <c r="D1158" s="281" t="s">
        <v>4504</v>
      </c>
      <c r="E1158" s="281" t="s">
        <v>3702</v>
      </c>
      <c r="F1158" s="281">
        <v>6</v>
      </c>
      <c r="G1158" s="281">
        <v>5010000000</v>
      </c>
      <c r="H1158" t="s">
        <v>2042</v>
      </c>
      <c r="I1158" t="s">
        <v>508</v>
      </c>
      <c r="J1158" t="s">
        <v>789</v>
      </c>
      <c r="K1158" t="s">
        <v>1439</v>
      </c>
      <c r="L1158" s="552">
        <v>6000</v>
      </c>
      <c r="O1158" t="s">
        <v>976</v>
      </c>
    </row>
    <row r="1159" spans="1:15" hidden="1">
      <c r="A1159" t="s">
        <v>942</v>
      </c>
      <c r="B1159" t="s">
        <v>946</v>
      </c>
      <c r="C1159" s="553">
        <v>44271</v>
      </c>
      <c r="D1159" s="281" t="s">
        <v>4505</v>
      </c>
      <c r="E1159" s="281" t="s">
        <v>3705</v>
      </c>
      <c r="F1159" s="281">
        <v>1</v>
      </c>
      <c r="G1159" s="281">
        <v>5010000000</v>
      </c>
      <c r="H1159" t="s">
        <v>2042</v>
      </c>
      <c r="I1159" t="s">
        <v>508</v>
      </c>
      <c r="J1159" t="s">
        <v>777</v>
      </c>
      <c r="K1159" t="s">
        <v>1439</v>
      </c>
      <c r="L1159" s="552">
        <v>24000</v>
      </c>
      <c r="O1159" t="s">
        <v>960</v>
      </c>
    </row>
    <row r="1160" spans="1:15" hidden="1">
      <c r="A1160" t="s">
        <v>942</v>
      </c>
      <c r="B1160" t="s">
        <v>946</v>
      </c>
      <c r="C1160" s="553">
        <v>44271</v>
      </c>
      <c r="D1160" s="281" t="s">
        <v>4505</v>
      </c>
      <c r="E1160" s="281" t="s">
        <v>3705</v>
      </c>
      <c r="F1160" s="281">
        <v>2</v>
      </c>
      <c r="G1160" s="281">
        <v>5010000000</v>
      </c>
      <c r="H1160" t="s">
        <v>2042</v>
      </c>
      <c r="I1160" t="s">
        <v>508</v>
      </c>
      <c r="J1160" t="s">
        <v>777</v>
      </c>
      <c r="K1160" t="s">
        <v>1439</v>
      </c>
      <c r="L1160" s="552">
        <v>6000</v>
      </c>
      <c r="O1160" t="s">
        <v>964</v>
      </c>
    </row>
    <row r="1161" spans="1:15" hidden="1">
      <c r="A1161" t="s">
        <v>942</v>
      </c>
      <c r="B1161" t="s">
        <v>946</v>
      </c>
      <c r="C1161" s="553">
        <v>44271</v>
      </c>
      <c r="D1161" s="281" t="s">
        <v>4505</v>
      </c>
      <c r="E1161" s="281" t="s">
        <v>3705</v>
      </c>
      <c r="F1161" s="281">
        <v>4</v>
      </c>
      <c r="G1161" s="281">
        <v>5010000000</v>
      </c>
      <c r="H1161" t="s">
        <v>2042</v>
      </c>
      <c r="I1161" t="s">
        <v>508</v>
      </c>
      <c r="J1161" t="s">
        <v>777</v>
      </c>
      <c r="K1161" t="s">
        <v>1439</v>
      </c>
      <c r="L1161" s="552">
        <v>12000</v>
      </c>
      <c r="O1161" t="s">
        <v>970</v>
      </c>
    </row>
    <row r="1162" spans="1:15" hidden="1">
      <c r="A1162" t="s">
        <v>942</v>
      </c>
      <c r="B1162" t="s">
        <v>946</v>
      </c>
      <c r="C1162" s="553">
        <v>44271</v>
      </c>
      <c r="D1162" s="281" t="s">
        <v>4505</v>
      </c>
      <c r="E1162" s="281" t="s">
        <v>3705</v>
      </c>
      <c r="F1162" s="281">
        <v>5</v>
      </c>
      <c r="G1162" s="281">
        <v>5010000000</v>
      </c>
      <c r="H1162" t="s">
        <v>2042</v>
      </c>
      <c r="I1162" t="s">
        <v>508</v>
      </c>
      <c r="J1162" t="s">
        <v>777</v>
      </c>
      <c r="K1162" t="s">
        <v>1439</v>
      </c>
      <c r="L1162" s="552">
        <v>18000</v>
      </c>
      <c r="O1162" t="s">
        <v>973</v>
      </c>
    </row>
    <row r="1163" spans="1:15" hidden="1">
      <c r="A1163" t="s">
        <v>942</v>
      </c>
      <c r="B1163" t="s">
        <v>946</v>
      </c>
      <c r="C1163" s="553">
        <v>44271</v>
      </c>
      <c r="D1163" s="281" t="s">
        <v>4506</v>
      </c>
      <c r="E1163" s="281" t="s">
        <v>3707</v>
      </c>
      <c r="F1163" s="281">
        <v>1</v>
      </c>
      <c r="G1163" s="281">
        <v>5010000000</v>
      </c>
      <c r="H1163" t="s">
        <v>2042</v>
      </c>
      <c r="I1163" t="s">
        <v>508</v>
      </c>
      <c r="J1163" t="s">
        <v>764</v>
      </c>
      <c r="K1163" t="s">
        <v>1439</v>
      </c>
      <c r="L1163" s="552">
        <v>24000</v>
      </c>
      <c r="O1163" t="s">
        <v>960</v>
      </c>
    </row>
    <row r="1164" spans="1:15" hidden="1">
      <c r="A1164" t="s">
        <v>942</v>
      </c>
      <c r="B1164" t="s">
        <v>946</v>
      </c>
      <c r="C1164" s="553">
        <v>44271</v>
      </c>
      <c r="D1164" s="281" t="s">
        <v>4506</v>
      </c>
      <c r="E1164" s="281" t="s">
        <v>3707</v>
      </c>
      <c r="F1164" s="281">
        <v>2</v>
      </c>
      <c r="G1164" s="281">
        <v>5010000000</v>
      </c>
      <c r="H1164" t="s">
        <v>2042</v>
      </c>
      <c r="I1164" t="s">
        <v>508</v>
      </c>
      <c r="J1164" t="s">
        <v>764</v>
      </c>
      <c r="K1164" t="s">
        <v>1439</v>
      </c>
      <c r="L1164" s="552">
        <v>6000</v>
      </c>
      <c r="O1164" t="s">
        <v>964</v>
      </c>
    </row>
    <row r="1165" spans="1:15" hidden="1">
      <c r="A1165" t="s">
        <v>942</v>
      </c>
      <c r="B1165" t="s">
        <v>946</v>
      </c>
      <c r="C1165" s="553">
        <v>44271</v>
      </c>
      <c r="D1165" s="281" t="s">
        <v>4506</v>
      </c>
      <c r="E1165" s="281" t="s">
        <v>3707</v>
      </c>
      <c r="F1165" s="281">
        <v>4</v>
      </c>
      <c r="G1165" s="281">
        <v>5010000000</v>
      </c>
      <c r="H1165" t="s">
        <v>2042</v>
      </c>
      <c r="I1165" t="s">
        <v>508</v>
      </c>
      <c r="J1165" t="s">
        <v>764</v>
      </c>
      <c r="K1165" t="s">
        <v>1439</v>
      </c>
      <c r="L1165" s="552">
        <v>18000</v>
      </c>
      <c r="O1165" t="s">
        <v>970</v>
      </c>
    </row>
    <row r="1166" spans="1:15" hidden="1">
      <c r="A1166" t="s">
        <v>942</v>
      </c>
      <c r="B1166" t="s">
        <v>946</v>
      </c>
      <c r="C1166" s="553">
        <v>44271</v>
      </c>
      <c r="D1166" s="281" t="s">
        <v>4506</v>
      </c>
      <c r="E1166" s="281" t="s">
        <v>3707</v>
      </c>
      <c r="F1166" s="281">
        <v>5</v>
      </c>
      <c r="G1166" s="281">
        <v>5010000000</v>
      </c>
      <c r="H1166" t="s">
        <v>2042</v>
      </c>
      <c r="I1166" t="s">
        <v>508</v>
      </c>
      <c r="J1166" t="s">
        <v>764</v>
      </c>
      <c r="K1166" t="s">
        <v>1439</v>
      </c>
      <c r="L1166" s="552">
        <v>18000</v>
      </c>
      <c r="O1166" t="s">
        <v>973</v>
      </c>
    </row>
    <row r="1167" spans="1:15" hidden="1">
      <c r="A1167" t="s">
        <v>942</v>
      </c>
      <c r="B1167" t="s">
        <v>946</v>
      </c>
      <c r="C1167" s="553">
        <v>44271</v>
      </c>
      <c r="D1167" s="281" t="s">
        <v>4507</v>
      </c>
      <c r="E1167" s="281" t="s">
        <v>3710</v>
      </c>
      <c r="F1167" s="281">
        <v>1</v>
      </c>
      <c r="G1167" s="281">
        <v>5010000000</v>
      </c>
      <c r="H1167" t="s">
        <v>2042</v>
      </c>
      <c r="I1167" t="s">
        <v>508</v>
      </c>
      <c r="J1167" t="s">
        <v>768</v>
      </c>
      <c r="K1167" t="s">
        <v>1439</v>
      </c>
      <c r="L1167" s="552">
        <v>18000</v>
      </c>
      <c r="O1167" t="s">
        <v>960</v>
      </c>
    </row>
    <row r="1168" spans="1:15" hidden="1">
      <c r="A1168" t="s">
        <v>942</v>
      </c>
      <c r="B1168" t="s">
        <v>946</v>
      </c>
      <c r="C1168" s="553">
        <v>44271</v>
      </c>
      <c r="D1168" s="281" t="s">
        <v>4507</v>
      </c>
      <c r="E1168" s="281" t="s">
        <v>3710</v>
      </c>
      <c r="F1168" s="281">
        <v>2</v>
      </c>
      <c r="G1168" s="281">
        <v>5010000000</v>
      </c>
      <c r="H1168" t="s">
        <v>2042</v>
      </c>
      <c r="I1168" t="s">
        <v>508</v>
      </c>
      <c r="J1168" t="s">
        <v>768</v>
      </c>
      <c r="K1168" t="s">
        <v>1439</v>
      </c>
      <c r="L1168" s="552">
        <v>6000</v>
      </c>
      <c r="O1168" t="s">
        <v>964</v>
      </c>
    </row>
    <row r="1169" spans="1:15" hidden="1">
      <c r="A1169" t="s">
        <v>942</v>
      </c>
      <c r="B1169" t="s">
        <v>946</v>
      </c>
      <c r="C1169" s="553">
        <v>44271</v>
      </c>
      <c r="D1169" s="281" t="s">
        <v>4507</v>
      </c>
      <c r="E1169" s="281" t="s">
        <v>3710</v>
      </c>
      <c r="F1169" s="281">
        <v>3</v>
      </c>
      <c r="G1169" s="281">
        <v>5010000000</v>
      </c>
      <c r="H1169" t="s">
        <v>2042</v>
      </c>
      <c r="I1169" t="s">
        <v>508</v>
      </c>
      <c r="J1169" t="s">
        <v>768</v>
      </c>
      <c r="K1169" t="s">
        <v>1439</v>
      </c>
      <c r="L1169" s="552">
        <v>6000</v>
      </c>
      <c r="O1169" t="s">
        <v>967</v>
      </c>
    </row>
    <row r="1170" spans="1:15" hidden="1">
      <c r="A1170" t="s">
        <v>942</v>
      </c>
      <c r="B1170" t="s">
        <v>946</v>
      </c>
      <c r="C1170" s="553">
        <v>44271</v>
      </c>
      <c r="D1170" s="281" t="s">
        <v>4507</v>
      </c>
      <c r="E1170" s="281" t="s">
        <v>3710</v>
      </c>
      <c r="F1170" s="281">
        <v>4</v>
      </c>
      <c r="G1170" s="281">
        <v>5010000000</v>
      </c>
      <c r="H1170" t="s">
        <v>2042</v>
      </c>
      <c r="I1170" t="s">
        <v>508</v>
      </c>
      <c r="J1170" t="s">
        <v>768</v>
      </c>
      <c r="K1170" t="s">
        <v>1439</v>
      </c>
      <c r="L1170" s="552">
        <v>36000</v>
      </c>
      <c r="O1170" t="s">
        <v>970</v>
      </c>
    </row>
    <row r="1171" spans="1:15" hidden="1">
      <c r="A1171" t="s">
        <v>942</v>
      </c>
      <c r="B1171" t="s">
        <v>946</v>
      </c>
      <c r="C1171" s="553">
        <v>44271</v>
      </c>
      <c r="D1171" s="281" t="s">
        <v>4507</v>
      </c>
      <c r="E1171" s="281" t="s">
        <v>3710</v>
      </c>
      <c r="F1171" s="281">
        <v>5</v>
      </c>
      <c r="G1171" s="281">
        <v>5010000000</v>
      </c>
      <c r="H1171" t="s">
        <v>2042</v>
      </c>
      <c r="I1171" t="s">
        <v>508</v>
      </c>
      <c r="J1171" t="s">
        <v>768</v>
      </c>
      <c r="K1171" t="s">
        <v>1439</v>
      </c>
      <c r="L1171" s="552">
        <v>6000</v>
      </c>
      <c r="O1171" t="s">
        <v>973</v>
      </c>
    </row>
    <row r="1172" spans="1:15" hidden="1">
      <c r="A1172" t="s">
        <v>942</v>
      </c>
      <c r="B1172" t="s">
        <v>946</v>
      </c>
      <c r="C1172" s="553">
        <v>44271</v>
      </c>
      <c r="D1172" s="281" t="s">
        <v>4508</v>
      </c>
      <c r="E1172" s="281" t="s">
        <v>3712</v>
      </c>
      <c r="F1172" s="281">
        <v>1</v>
      </c>
      <c r="G1172" s="281">
        <v>5010000000</v>
      </c>
      <c r="H1172" t="s">
        <v>2042</v>
      </c>
      <c r="I1172" t="s">
        <v>508</v>
      </c>
      <c r="J1172" t="s">
        <v>765</v>
      </c>
      <c r="K1172" t="s">
        <v>1439</v>
      </c>
      <c r="L1172" s="552">
        <v>12000</v>
      </c>
      <c r="O1172" t="s">
        <v>960</v>
      </c>
    </row>
    <row r="1173" spans="1:15" hidden="1">
      <c r="A1173" t="s">
        <v>942</v>
      </c>
      <c r="B1173" t="s">
        <v>946</v>
      </c>
      <c r="C1173" s="553">
        <v>44271</v>
      </c>
      <c r="D1173" s="281" t="s">
        <v>4508</v>
      </c>
      <c r="E1173" s="281" t="s">
        <v>3712</v>
      </c>
      <c r="F1173" s="281">
        <v>2</v>
      </c>
      <c r="G1173" s="281">
        <v>5010000000</v>
      </c>
      <c r="H1173" t="s">
        <v>2042</v>
      </c>
      <c r="I1173" t="s">
        <v>508</v>
      </c>
      <c r="J1173" t="s">
        <v>765</v>
      </c>
      <c r="K1173" t="s">
        <v>1439</v>
      </c>
      <c r="L1173" s="552">
        <v>6000</v>
      </c>
      <c r="O1173" t="s">
        <v>964</v>
      </c>
    </row>
    <row r="1174" spans="1:15" hidden="1">
      <c r="A1174" t="s">
        <v>942</v>
      </c>
      <c r="B1174" t="s">
        <v>946</v>
      </c>
      <c r="C1174" s="553">
        <v>44271</v>
      </c>
      <c r="D1174" s="281" t="s">
        <v>4508</v>
      </c>
      <c r="E1174" s="281" t="s">
        <v>3712</v>
      </c>
      <c r="F1174" s="281">
        <v>3</v>
      </c>
      <c r="G1174" s="281">
        <v>5010000000</v>
      </c>
      <c r="H1174" t="s">
        <v>2042</v>
      </c>
      <c r="I1174" t="s">
        <v>508</v>
      </c>
      <c r="J1174" t="s">
        <v>765</v>
      </c>
      <c r="K1174" t="s">
        <v>1439</v>
      </c>
      <c r="L1174" s="552">
        <v>18000</v>
      </c>
      <c r="O1174" t="s">
        <v>967</v>
      </c>
    </row>
    <row r="1175" spans="1:15" hidden="1">
      <c r="A1175" t="s">
        <v>942</v>
      </c>
      <c r="B1175" t="s">
        <v>946</v>
      </c>
      <c r="C1175" s="553">
        <v>44271</v>
      </c>
      <c r="D1175" s="281" t="s">
        <v>4508</v>
      </c>
      <c r="E1175" s="281" t="s">
        <v>3712</v>
      </c>
      <c r="F1175" s="281">
        <v>4</v>
      </c>
      <c r="G1175" s="281">
        <v>5010000000</v>
      </c>
      <c r="H1175" t="s">
        <v>2042</v>
      </c>
      <c r="I1175" t="s">
        <v>508</v>
      </c>
      <c r="J1175" t="s">
        <v>765</v>
      </c>
      <c r="K1175" t="s">
        <v>1439</v>
      </c>
      <c r="L1175" s="552">
        <v>12000</v>
      </c>
      <c r="O1175" t="s">
        <v>970</v>
      </c>
    </row>
    <row r="1176" spans="1:15" hidden="1">
      <c r="A1176" t="s">
        <v>942</v>
      </c>
      <c r="B1176" t="s">
        <v>946</v>
      </c>
      <c r="C1176" s="553">
        <v>44271</v>
      </c>
      <c r="D1176" s="281" t="s">
        <v>4509</v>
      </c>
      <c r="E1176" s="281" t="s">
        <v>3857</v>
      </c>
      <c r="F1176" s="281">
        <v>1</v>
      </c>
      <c r="G1176" s="281">
        <v>5020000000</v>
      </c>
      <c r="H1176" t="s">
        <v>2002</v>
      </c>
      <c r="I1176" t="s">
        <v>603</v>
      </c>
      <c r="J1176" t="s">
        <v>1102</v>
      </c>
      <c r="K1176" t="s">
        <v>1446</v>
      </c>
      <c r="L1176" s="552">
        <v>3500</v>
      </c>
      <c r="O1176" t="s">
        <v>961</v>
      </c>
    </row>
    <row r="1177" spans="1:15" hidden="1">
      <c r="A1177" t="s">
        <v>942</v>
      </c>
      <c r="B1177" t="s">
        <v>946</v>
      </c>
      <c r="C1177" s="553">
        <v>44271</v>
      </c>
      <c r="D1177" s="281" t="s">
        <v>4510</v>
      </c>
      <c r="E1177" s="281" t="s">
        <v>3876</v>
      </c>
      <c r="F1177" s="281">
        <v>11</v>
      </c>
      <c r="G1177" s="281">
        <v>5020000000</v>
      </c>
      <c r="H1177" t="s">
        <v>2005</v>
      </c>
      <c r="I1177" t="s">
        <v>678</v>
      </c>
      <c r="J1177" t="s">
        <v>1449</v>
      </c>
      <c r="K1177" t="s">
        <v>1450</v>
      </c>
      <c r="L1177" s="552">
        <v>976560</v>
      </c>
      <c r="O1177" t="s">
        <v>985</v>
      </c>
    </row>
    <row r="1178" spans="1:15" hidden="1">
      <c r="A1178" t="s">
        <v>942</v>
      </c>
      <c r="B1178" t="s">
        <v>946</v>
      </c>
      <c r="C1178" s="553">
        <v>44271</v>
      </c>
      <c r="D1178" s="281" t="s">
        <v>4511</v>
      </c>
      <c r="E1178" s="281" t="s">
        <v>3851</v>
      </c>
      <c r="F1178" s="281">
        <v>3</v>
      </c>
      <c r="G1178" s="281">
        <v>5020000000</v>
      </c>
      <c r="H1178" t="s">
        <v>2034</v>
      </c>
      <c r="I1178" t="s">
        <v>581</v>
      </c>
      <c r="J1178" t="s">
        <v>859</v>
      </c>
      <c r="K1178" t="s">
        <v>1452</v>
      </c>
      <c r="L1178" s="552">
        <v>2000</v>
      </c>
      <c r="O1178" t="s">
        <v>968</v>
      </c>
    </row>
    <row r="1179" spans="1:15">
      <c r="A1179" t="s">
        <v>942</v>
      </c>
      <c r="B1179" t="s">
        <v>946</v>
      </c>
      <c r="C1179" s="553">
        <v>44271</v>
      </c>
      <c r="D1179" s="281" t="s">
        <v>4512</v>
      </c>
      <c r="E1179" s="281" t="s">
        <v>3752</v>
      </c>
      <c r="F1179" s="281">
        <v>14</v>
      </c>
      <c r="G1179" s="281">
        <v>5021199000</v>
      </c>
      <c r="H1179" t="s">
        <v>1998</v>
      </c>
      <c r="I1179" t="s">
        <v>633</v>
      </c>
      <c r="J1179" t="s">
        <v>1030</v>
      </c>
      <c r="K1179" t="s">
        <v>1454</v>
      </c>
      <c r="L1179" s="552">
        <v>70905.22</v>
      </c>
      <c r="O1179" t="s">
        <v>1221</v>
      </c>
    </row>
    <row r="1180" spans="1:15">
      <c r="A1180" t="s">
        <v>942</v>
      </c>
      <c r="B1180" t="s">
        <v>946</v>
      </c>
      <c r="C1180" s="553">
        <v>44271</v>
      </c>
      <c r="D1180" s="281" t="s">
        <v>4513</v>
      </c>
      <c r="E1180" s="281" t="s">
        <v>3749</v>
      </c>
      <c r="F1180" s="281">
        <v>14</v>
      </c>
      <c r="G1180" s="281">
        <v>5021199000</v>
      </c>
      <c r="H1180" t="s">
        <v>1998</v>
      </c>
      <c r="I1180" t="s">
        <v>633</v>
      </c>
      <c r="J1180" t="s">
        <v>1030</v>
      </c>
      <c r="K1180" t="s">
        <v>1456</v>
      </c>
      <c r="L1180" s="552">
        <v>82098.38</v>
      </c>
      <c r="O1180" t="s">
        <v>1221</v>
      </c>
    </row>
    <row r="1181" spans="1:15" hidden="1">
      <c r="A1181" t="s">
        <v>942</v>
      </c>
      <c r="B1181" t="s">
        <v>946</v>
      </c>
      <c r="C1181" s="553">
        <v>44271</v>
      </c>
      <c r="D1181" s="281" t="s">
        <v>4514</v>
      </c>
      <c r="E1181" s="281" t="s">
        <v>3854</v>
      </c>
      <c r="F1181" s="281">
        <v>1</v>
      </c>
      <c r="G1181" s="281">
        <v>5020000000</v>
      </c>
      <c r="H1181" t="s">
        <v>2039</v>
      </c>
      <c r="I1181" t="s">
        <v>560</v>
      </c>
      <c r="J1181" t="s">
        <v>1344</v>
      </c>
      <c r="K1181" t="s">
        <v>1458</v>
      </c>
      <c r="L1181" s="552">
        <v>9600</v>
      </c>
      <c r="O1181" t="s">
        <v>961</v>
      </c>
    </row>
    <row r="1182" spans="1:15" hidden="1">
      <c r="A1182" t="s">
        <v>942</v>
      </c>
      <c r="B1182" t="s">
        <v>946</v>
      </c>
      <c r="C1182" s="553">
        <v>44271</v>
      </c>
      <c r="D1182" s="281" t="s">
        <v>4515</v>
      </c>
      <c r="E1182" s="281" t="s">
        <v>3746</v>
      </c>
      <c r="F1182" s="281">
        <v>1</v>
      </c>
      <c r="G1182" s="281">
        <v>5020000000</v>
      </c>
      <c r="H1182" t="s">
        <v>1995</v>
      </c>
      <c r="I1182" t="s">
        <v>624</v>
      </c>
      <c r="J1182" t="s">
        <v>6</v>
      </c>
      <c r="K1182" t="s">
        <v>1460</v>
      </c>
      <c r="L1182" s="552">
        <v>10000</v>
      </c>
      <c r="O1182" t="s">
        <v>961</v>
      </c>
    </row>
    <row r="1183" spans="1:15" hidden="1">
      <c r="A1183" t="s">
        <v>942</v>
      </c>
      <c r="B1183" t="s">
        <v>946</v>
      </c>
      <c r="C1183" s="553">
        <v>44271</v>
      </c>
      <c r="D1183" s="281" t="s">
        <v>4516</v>
      </c>
      <c r="E1183" s="281" t="s">
        <v>3754</v>
      </c>
      <c r="F1183" s="281">
        <v>10</v>
      </c>
      <c r="G1183" s="281">
        <v>5020000000</v>
      </c>
      <c r="H1183" t="s">
        <v>1998</v>
      </c>
      <c r="I1183" t="s">
        <v>633</v>
      </c>
      <c r="J1183" t="s">
        <v>1462</v>
      </c>
      <c r="K1183" t="s">
        <v>1463</v>
      </c>
      <c r="L1183" s="552">
        <v>10000</v>
      </c>
      <c r="O1183" t="s">
        <v>983</v>
      </c>
    </row>
    <row r="1184" spans="1:15" hidden="1">
      <c r="A1184" t="s">
        <v>942</v>
      </c>
      <c r="B1184" t="s">
        <v>946</v>
      </c>
      <c r="C1184" s="553">
        <v>44271</v>
      </c>
      <c r="D1184" s="281" t="s">
        <v>4517</v>
      </c>
      <c r="E1184" s="281" t="s">
        <v>3886</v>
      </c>
      <c r="F1184" s="281">
        <v>3</v>
      </c>
      <c r="G1184" s="281">
        <v>5020000000</v>
      </c>
      <c r="H1184" t="s">
        <v>2032</v>
      </c>
      <c r="I1184" t="s">
        <v>565</v>
      </c>
      <c r="J1184" t="s">
        <v>1245</v>
      </c>
      <c r="K1184" t="s">
        <v>1465</v>
      </c>
      <c r="L1184" s="552">
        <v>6320</v>
      </c>
      <c r="O1184" t="s">
        <v>968</v>
      </c>
    </row>
    <row r="1185" spans="1:15" hidden="1">
      <c r="A1185" t="s">
        <v>942</v>
      </c>
      <c r="B1185" t="s">
        <v>946</v>
      </c>
      <c r="C1185" s="553">
        <v>44271</v>
      </c>
      <c r="D1185" s="281" t="s">
        <v>4518</v>
      </c>
      <c r="E1185" s="281" t="s">
        <v>3889</v>
      </c>
      <c r="F1185" s="281">
        <v>3</v>
      </c>
      <c r="G1185" s="281">
        <v>5020000000</v>
      </c>
      <c r="H1185" t="s">
        <v>2032</v>
      </c>
      <c r="I1185" t="s">
        <v>565</v>
      </c>
      <c r="J1185" t="s">
        <v>1467</v>
      </c>
      <c r="K1185" t="s">
        <v>1465</v>
      </c>
      <c r="L1185" s="552">
        <v>2800</v>
      </c>
      <c r="O1185" t="s">
        <v>968</v>
      </c>
    </row>
    <row r="1186" spans="1:15" hidden="1">
      <c r="A1186" t="s">
        <v>942</v>
      </c>
      <c r="B1186" t="s">
        <v>946</v>
      </c>
      <c r="C1186" s="553">
        <v>44271</v>
      </c>
      <c r="D1186" s="281" t="s">
        <v>4519</v>
      </c>
      <c r="E1186" s="281" t="s">
        <v>3915</v>
      </c>
      <c r="F1186" s="281">
        <v>1</v>
      </c>
      <c r="G1186" s="281">
        <v>5020000000</v>
      </c>
      <c r="H1186" t="s">
        <v>2002</v>
      </c>
      <c r="I1186" t="s">
        <v>603</v>
      </c>
      <c r="J1186" t="s">
        <v>1102</v>
      </c>
      <c r="K1186" t="s">
        <v>1474</v>
      </c>
      <c r="L1186" s="552">
        <v>5390.81</v>
      </c>
      <c r="O1186" t="s">
        <v>961</v>
      </c>
    </row>
    <row r="1187" spans="1:15" hidden="1">
      <c r="A1187" t="s">
        <v>942</v>
      </c>
      <c r="B1187" t="s">
        <v>946</v>
      </c>
      <c r="C1187" s="553">
        <v>44271</v>
      </c>
      <c r="D1187" s="281" t="s">
        <v>4520</v>
      </c>
      <c r="E1187" s="281" t="s">
        <v>3929</v>
      </c>
      <c r="F1187" s="281">
        <v>3</v>
      </c>
      <c r="G1187" s="281">
        <v>5020000000</v>
      </c>
      <c r="H1187" t="s">
        <v>2032</v>
      </c>
      <c r="I1187" t="s">
        <v>565</v>
      </c>
      <c r="J1187" t="s">
        <v>1325</v>
      </c>
      <c r="K1187" t="s">
        <v>1475</v>
      </c>
      <c r="L1187" s="552">
        <v>13600</v>
      </c>
      <c r="O1187" t="s">
        <v>968</v>
      </c>
    </row>
    <row r="1188" spans="1:15" hidden="1">
      <c r="A1188" t="s">
        <v>942</v>
      </c>
      <c r="B1188" t="s">
        <v>946</v>
      </c>
      <c r="C1188" s="553">
        <v>44271</v>
      </c>
      <c r="D1188" s="281" t="s">
        <v>4521</v>
      </c>
      <c r="E1188" s="281" t="s">
        <v>3912</v>
      </c>
      <c r="F1188" s="281">
        <v>10</v>
      </c>
      <c r="G1188" s="281">
        <v>5020000000</v>
      </c>
      <c r="H1188" t="s">
        <v>1998</v>
      </c>
      <c r="I1188" t="s">
        <v>633</v>
      </c>
      <c r="J1188" t="s">
        <v>1075</v>
      </c>
      <c r="K1188" t="s">
        <v>1476</v>
      </c>
      <c r="L1188" s="552">
        <v>5534</v>
      </c>
      <c r="O1188" t="s">
        <v>983</v>
      </c>
    </row>
    <row r="1189" spans="1:15" hidden="1">
      <c r="A1189" t="s">
        <v>942</v>
      </c>
      <c r="B1189" t="s">
        <v>946</v>
      </c>
      <c r="C1189" s="553">
        <v>44271</v>
      </c>
      <c r="D1189" s="281" t="s">
        <v>4521</v>
      </c>
      <c r="E1189" s="281" t="s">
        <v>3912</v>
      </c>
      <c r="F1189" s="281">
        <v>1</v>
      </c>
      <c r="G1189" s="281">
        <v>5020000000</v>
      </c>
      <c r="H1189" t="s">
        <v>2004</v>
      </c>
      <c r="I1189" t="s">
        <v>629</v>
      </c>
      <c r="J1189" t="s">
        <v>1075</v>
      </c>
      <c r="K1189" t="s">
        <v>1476</v>
      </c>
      <c r="L1189" s="552">
        <v>5534</v>
      </c>
      <c r="O1189" t="s">
        <v>961</v>
      </c>
    </row>
    <row r="1190" spans="1:15" hidden="1">
      <c r="A1190" t="s">
        <v>942</v>
      </c>
      <c r="B1190" t="s">
        <v>946</v>
      </c>
      <c r="C1190" s="553">
        <v>44271</v>
      </c>
      <c r="D1190" s="281" t="s">
        <v>4521</v>
      </c>
      <c r="E1190" s="281" t="s">
        <v>3912</v>
      </c>
      <c r="F1190" s="281">
        <v>1</v>
      </c>
      <c r="G1190" s="281">
        <v>5020000000</v>
      </c>
      <c r="H1190" t="s">
        <v>1998</v>
      </c>
      <c r="I1190" t="s">
        <v>633</v>
      </c>
      <c r="J1190" t="s">
        <v>1075</v>
      </c>
      <c r="K1190" t="s">
        <v>1476</v>
      </c>
      <c r="L1190" s="552">
        <v>16188.91</v>
      </c>
      <c r="O1190" t="s">
        <v>961</v>
      </c>
    </row>
    <row r="1191" spans="1:15" hidden="1">
      <c r="A1191" t="s">
        <v>942</v>
      </c>
      <c r="B1191" t="s">
        <v>946</v>
      </c>
      <c r="C1191" s="553">
        <v>44271</v>
      </c>
      <c r="D1191" s="281" t="s">
        <v>4521</v>
      </c>
      <c r="E1191" s="281" t="s">
        <v>3912</v>
      </c>
      <c r="F1191" s="281">
        <v>4</v>
      </c>
      <c r="G1191" s="281">
        <v>5020000000</v>
      </c>
      <c r="H1191" t="s">
        <v>1998</v>
      </c>
      <c r="I1191" t="s">
        <v>633</v>
      </c>
      <c r="J1191" t="s">
        <v>1075</v>
      </c>
      <c r="K1191" t="s">
        <v>1476</v>
      </c>
      <c r="L1191" s="552">
        <v>13112.59</v>
      </c>
      <c r="O1191" t="s">
        <v>971</v>
      </c>
    </row>
    <row r="1192" spans="1:15" hidden="1">
      <c r="A1192" t="s">
        <v>942</v>
      </c>
      <c r="B1192" t="s">
        <v>946</v>
      </c>
      <c r="C1192" s="553">
        <v>44271</v>
      </c>
      <c r="D1192" s="281" t="s">
        <v>4522</v>
      </c>
      <c r="E1192" s="281" t="s">
        <v>3910</v>
      </c>
      <c r="F1192" s="281">
        <v>1</v>
      </c>
      <c r="G1192" s="281">
        <v>5020000000</v>
      </c>
      <c r="H1192" t="s">
        <v>2007</v>
      </c>
      <c r="I1192" t="s">
        <v>638</v>
      </c>
      <c r="J1192" t="s">
        <v>1075</v>
      </c>
      <c r="K1192" t="s">
        <v>1476</v>
      </c>
      <c r="L1192" s="552">
        <v>9200</v>
      </c>
      <c r="O1192" t="s">
        <v>961</v>
      </c>
    </row>
    <row r="1193" spans="1:15" hidden="1">
      <c r="A1193" t="s">
        <v>942</v>
      </c>
      <c r="B1193" t="s">
        <v>946</v>
      </c>
      <c r="C1193" s="553">
        <v>44271</v>
      </c>
      <c r="D1193" s="281" t="s">
        <v>4522</v>
      </c>
      <c r="E1193" s="281" t="s">
        <v>3910</v>
      </c>
      <c r="F1193" s="281">
        <v>1</v>
      </c>
      <c r="G1193" s="281">
        <v>5020000000</v>
      </c>
      <c r="H1193" t="s">
        <v>1997</v>
      </c>
      <c r="I1193" t="s">
        <v>642</v>
      </c>
      <c r="J1193" t="s">
        <v>1075</v>
      </c>
      <c r="K1193" t="s">
        <v>1476</v>
      </c>
      <c r="L1193" s="552">
        <v>3100</v>
      </c>
      <c r="O1193" t="s">
        <v>961</v>
      </c>
    </row>
    <row r="1194" spans="1:15" hidden="1">
      <c r="A1194" t="s">
        <v>942</v>
      </c>
      <c r="B1194" t="s">
        <v>946</v>
      </c>
      <c r="C1194" s="553">
        <v>44271</v>
      </c>
      <c r="D1194" s="281" t="s">
        <v>4523</v>
      </c>
      <c r="E1194" s="281" t="s">
        <v>3907</v>
      </c>
      <c r="F1194" s="281">
        <v>1</v>
      </c>
      <c r="G1194" s="281">
        <v>5020000000</v>
      </c>
      <c r="H1194" t="s">
        <v>2034</v>
      </c>
      <c r="I1194" t="s">
        <v>581</v>
      </c>
      <c r="J1194" t="s">
        <v>810</v>
      </c>
      <c r="K1194" t="s">
        <v>1477</v>
      </c>
      <c r="L1194" s="552">
        <v>11088.130000000001</v>
      </c>
      <c r="O1194" t="s">
        <v>961</v>
      </c>
    </row>
    <row r="1195" spans="1:15" hidden="1">
      <c r="A1195" t="s">
        <v>942</v>
      </c>
      <c r="B1195" t="s">
        <v>946</v>
      </c>
      <c r="C1195" s="553">
        <v>44271</v>
      </c>
      <c r="D1195" s="281" t="s">
        <v>4523</v>
      </c>
      <c r="E1195" s="281" t="s">
        <v>3907</v>
      </c>
      <c r="F1195" s="281">
        <v>8</v>
      </c>
      <c r="G1195" s="281">
        <v>5020000000</v>
      </c>
      <c r="H1195" t="s">
        <v>2034</v>
      </c>
      <c r="I1195" t="s">
        <v>581</v>
      </c>
      <c r="J1195" t="s">
        <v>810</v>
      </c>
      <c r="K1195" t="s">
        <v>1477</v>
      </c>
      <c r="L1195" s="552">
        <v>5448.23</v>
      </c>
      <c r="O1195" t="s">
        <v>980</v>
      </c>
    </row>
    <row r="1196" spans="1:15" hidden="1">
      <c r="A1196" t="s">
        <v>942</v>
      </c>
      <c r="B1196" t="s">
        <v>946</v>
      </c>
      <c r="C1196" s="553">
        <v>44271</v>
      </c>
      <c r="D1196" s="281" t="s">
        <v>4523</v>
      </c>
      <c r="E1196" s="281" t="s">
        <v>3907</v>
      </c>
      <c r="F1196" s="281">
        <v>3</v>
      </c>
      <c r="G1196" s="281">
        <v>5020000000</v>
      </c>
      <c r="H1196" t="s">
        <v>2034</v>
      </c>
      <c r="I1196" t="s">
        <v>581</v>
      </c>
      <c r="J1196" t="s">
        <v>810</v>
      </c>
      <c r="K1196" t="s">
        <v>1477</v>
      </c>
      <c r="L1196" s="552">
        <v>1373.55</v>
      </c>
      <c r="O1196" t="s">
        <v>968</v>
      </c>
    </row>
    <row r="1197" spans="1:15" hidden="1">
      <c r="A1197" t="s">
        <v>942</v>
      </c>
      <c r="B1197" t="s">
        <v>946</v>
      </c>
      <c r="C1197" s="553">
        <v>44271</v>
      </c>
      <c r="D1197" s="281" t="s">
        <v>4523</v>
      </c>
      <c r="E1197" s="281" t="s">
        <v>3907</v>
      </c>
      <c r="F1197" s="281">
        <v>5</v>
      </c>
      <c r="G1197" s="281">
        <v>5020000000</v>
      </c>
      <c r="H1197" t="s">
        <v>2034</v>
      </c>
      <c r="I1197" t="s">
        <v>581</v>
      </c>
      <c r="J1197" t="s">
        <v>810</v>
      </c>
      <c r="K1197" t="s">
        <v>1477</v>
      </c>
      <c r="L1197" s="552">
        <v>511.22</v>
      </c>
      <c r="O1197" t="s">
        <v>974</v>
      </c>
    </row>
    <row r="1198" spans="1:15" hidden="1">
      <c r="A1198" t="s">
        <v>942</v>
      </c>
      <c r="B1198" t="s">
        <v>946</v>
      </c>
      <c r="C1198" s="553">
        <v>44271</v>
      </c>
      <c r="D1198" s="281" t="s">
        <v>4524</v>
      </c>
      <c r="E1198" s="281" t="s">
        <v>3918</v>
      </c>
      <c r="F1198" s="281">
        <v>1</v>
      </c>
      <c r="G1198" s="281">
        <v>5020000000</v>
      </c>
      <c r="H1198" t="s">
        <v>1996</v>
      </c>
      <c r="I1198" t="s">
        <v>676</v>
      </c>
      <c r="J1198" t="s">
        <v>1433</v>
      </c>
      <c r="K1198" t="s">
        <v>1478</v>
      </c>
      <c r="L1198" s="552">
        <v>920</v>
      </c>
      <c r="O1198" t="s">
        <v>961</v>
      </c>
    </row>
    <row r="1199" spans="1:15" hidden="1">
      <c r="A1199" t="s">
        <v>942</v>
      </c>
      <c r="B1199" t="s">
        <v>946</v>
      </c>
      <c r="C1199" s="553">
        <v>44271</v>
      </c>
      <c r="D1199" s="281" t="s">
        <v>4525</v>
      </c>
      <c r="E1199" s="281" t="s">
        <v>3893</v>
      </c>
      <c r="F1199" s="281">
        <v>1</v>
      </c>
      <c r="G1199" s="281">
        <v>5020000000</v>
      </c>
      <c r="H1199" t="s">
        <v>2005</v>
      </c>
      <c r="I1199" t="s">
        <v>678</v>
      </c>
      <c r="J1199" t="s">
        <v>1480</v>
      </c>
      <c r="K1199" t="s">
        <v>1481</v>
      </c>
      <c r="L1199" s="552">
        <v>2486</v>
      </c>
      <c r="O1199" t="s">
        <v>961</v>
      </c>
    </row>
    <row r="1200" spans="1:15" hidden="1">
      <c r="A1200" t="s">
        <v>942</v>
      </c>
      <c r="B1200" t="s">
        <v>946</v>
      </c>
      <c r="C1200" s="553">
        <v>44271</v>
      </c>
      <c r="D1200" s="281" t="s">
        <v>4526</v>
      </c>
      <c r="E1200" s="281" t="s">
        <v>3896</v>
      </c>
      <c r="F1200" s="281">
        <v>4</v>
      </c>
      <c r="G1200" s="281">
        <v>5020000000</v>
      </c>
      <c r="H1200" t="s">
        <v>2002</v>
      </c>
      <c r="I1200" t="s">
        <v>603</v>
      </c>
      <c r="J1200" t="s">
        <v>1102</v>
      </c>
      <c r="K1200" t="s">
        <v>1483</v>
      </c>
      <c r="L1200" s="552">
        <v>1200</v>
      </c>
      <c r="O1200" t="s">
        <v>971</v>
      </c>
    </row>
    <row r="1201" spans="1:15" hidden="1">
      <c r="A1201" t="s">
        <v>942</v>
      </c>
      <c r="B1201" t="s">
        <v>946</v>
      </c>
      <c r="C1201" s="553">
        <v>44271</v>
      </c>
      <c r="D1201" s="281" t="s">
        <v>4527</v>
      </c>
      <c r="E1201" s="281" t="s">
        <v>3899</v>
      </c>
      <c r="F1201" s="281">
        <v>1</v>
      </c>
      <c r="G1201" s="281">
        <v>5020000000</v>
      </c>
      <c r="H1201" t="s">
        <v>1997</v>
      </c>
      <c r="I1201" t="s">
        <v>642</v>
      </c>
      <c r="J1201" t="s">
        <v>1075</v>
      </c>
      <c r="K1201" t="s">
        <v>1476</v>
      </c>
      <c r="L1201" s="552">
        <v>13034</v>
      </c>
      <c r="O1201" t="s">
        <v>961</v>
      </c>
    </row>
    <row r="1202" spans="1:15" hidden="1">
      <c r="A1202" t="s">
        <v>942</v>
      </c>
      <c r="B1202" t="s">
        <v>946</v>
      </c>
      <c r="C1202" s="553">
        <v>44271</v>
      </c>
      <c r="D1202" s="281" t="s">
        <v>4528</v>
      </c>
      <c r="E1202" s="281" t="s">
        <v>3902</v>
      </c>
      <c r="F1202" s="281">
        <v>9</v>
      </c>
      <c r="G1202" s="281">
        <v>5020000000</v>
      </c>
      <c r="H1202" t="s">
        <v>1998</v>
      </c>
      <c r="I1202" t="s">
        <v>633</v>
      </c>
      <c r="J1202" t="s">
        <v>1075</v>
      </c>
      <c r="K1202" t="s">
        <v>1476</v>
      </c>
      <c r="L1202" s="552">
        <v>11158</v>
      </c>
      <c r="O1202" t="s">
        <v>982</v>
      </c>
    </row>
    <row r="1203" spans="1:15" hidden="1">
      <c r="A1203" t="s">
        <v>942</v>
      </c>
      <c r="B1203" t="s">
        <v>946</v>
      </c>
      <c r="C1203" s="553">
        <v>44271</v>
      </c>
      <c r="D1203" s="281" t="s">
        <v>4528</v>
      </c>
      <c r="E1203" s="281" t="s">
        <v>3902</v>
      </c>
      <c r="F1203" s="281">
        <v>11</v>
      </c>
      <c r="G1203" s="281">
        <v>5020000000</v>
      </c>
      <c r="H1203" t="s">
        <v>1998</v>
      </c>
      <c r="I1203" t="s">
        <v>633</v>
      </c>
      <c r="J1203" t="s">
        <v>1075</v>
      </c>
      <c r="K1203" t="s">
        <v>1476</v>
      </c>
      <c r="L1203" s="552">
        <v>10143.64</v>
      </c>
      <c r="O1203" t="s">
        <v>985</v>
      </c>
    </row>
    <row r="1204" spans="1:15" hidden="1">
      <c r="A1204" t="s">
        <v>942</v>
      </c>
      <c r="B1204" t="s">
        <v>946</v>
      </c>
      <c r="C1204" s="553">
        <v>44271</v>
      </c>
      <c r="D1204" s="281" t="s">
        <v>4529</v>
      </c>
      <c r="E1204" s="281" t="s">
        <v>3904</v>
      </c>
      <c r="F1204" s="281">
        <v>6</v>
      </c>
      <c r="G1204" s="281">
        <v>5020000000</v>
      </c>
      <c r="H1204" t="s">
        <v>2002</v>
      </c>
      <c r="I1204" t="s">
        <v>603</v>
      </c>
      <c r="J1204" t="s">
        <v>1102</v>
      </c>
      <c r="K1204" t="s">
        <v>1487</v>
      </c>
      <c r="L1204" s="552">
        <v>1200</v>
      </c>
      <c r="O1204" t="s">
        <v>977</v>
      </c>
    </row>
    <row r="1205" spans="1:15" hidden="1">
      <c r="A1205" t="s">
        <v>942</v>
      </c>
      <c r="B1205" t="s">
        <v>946</v>
      </c>
      <c r="C1205" s="553">
        <v>44271</v>
      </c>
      <c r="D1205" s="281" t="s">
        <v>4530</v>
      </c>
      <c r="E1205" s="281" t="s">
        <v>3932</v>
      </c>
      <c r="F1205" s="281">
        <v>3</v>
      </c>
      <c r="G1205" s="281">
        <v>5020000000</v>
      </c>
      <c r="H1205" t="s">
        <v>2005</v>
      </c>
      <c r="I1205" t="s">
        <v>678</v>
      </c>
      <c r="J1205" t="s">
        <v>800</v>
      </c>
      <c r="K1205" t="s">
        <v>1489</v>
      </c>
      <c r="L1205" s="552">
        <v>1500</v>
      </c>
      <c r="O1205" t="s">
        <v>968</v>
      </c>
    </row>
    <row r="1206" spans="1:15" hidden="1">
      <c r="A1206" t="s">
        <v>942</v>
      </c>
      <c r="B1206" t="s">
        <v>946</v>
      </c>
      <c r="C1206" s="553">
        <v>44271</v>
      </c>
      <c r="D1206" s="281" t="s">
        <v>4531</v>
      </c>
      <c r="E1206" s="281" t="s">
        <v>3936</v>
      </c>
      <c r="F1206" s="281">
        <v>1</v>
      </c>
      <c r="G1206" s="281">
        <v>5020000000</v>
      </c>
      <c r="H1206" t="s">
        <v>2005</v>
      </c>
      <c r="I1206" t="s">
        <v>678</v>
      </c>
      <c r="J1206" t="s">
        <v>798</v>
      </c>
      <c r="K1206" t="s">
        <v>1491</v>
      </c>
      <c r="L1206" s="552">
        <v>350</v>
      </c>
      <c r="O1206" t="s">
        <v>961</v>
      </c>
    </row>
    <row r="1207" spans="1:15" hidden="1">
      <c r="A1207" t="s">
        <v>942</v>
      </c>
      <c r="B1207" t="s">
        <v>946</v>
      </c>
      <c r="C1207" s="553">
        <v>44271</v>
      </c>
      <c r="D1207" s="281" t="s">
        <v>4532</v>
      </c>
      <c r="E1207" s="281" t="s">
        <v>4131</v>
      </c>
      <c r="F1207" s="281">
        <v>1</v>
      </c>
      <c r="G1207" s="281">
        <v>5020000000</v>
      </c>
      <c r="H1207" t="s">
        <v>2005</v>
      </c>
      <c r="I1207" t="s">
        <v>678</v>
      </c>
      <c r="J1207" t="s">
        <v>1433</v>
      </c>
      <c r="K1207" t="s">
        <v>1493</v>
      </c>
      <c r="L1207" s="552">
        <v>3800</v>
      </c>
      <c r="O1207" t="s">
        <v>961</v>
      </c>
    </row>
    <row r="1208" spans="1:15" hidden="1">
      <c r="A1208" t="s">
        <v>942</v>
      </c>
      <c r="B1208" t="s">
        <v>946</v>
      </c>
      <c r="C1208" s="553">
        <v>44271</v>
      </c>
      <c r="D1208" s="281" t="s">
        <v>4533</v>
      </c>
      <c r="E1208" s="281" t="s">
        <v>3939</v>
      </c>
      <c r="F1208" s="281">
        <v>1</v>
      </c>
      <c r="G1208" s="281">
        <v>5020000000</v>
      </c>
      <c r="H1208" t="s">
        <v>2005</v>
      </c>
      <c r="I1208" t="s">
        <v>678</v>
      </c>
      <c r="J1208" t="s">
        <v>1108</v>
      </c>
      <c r="K1208" t="s">
        <v>1495</v>
      </c>
      <c r="L1208" s="552">
        <v>31800</v>
      </c>
      <c r="O1208" t="s">
        <v>961</v>
      </c>
    </row>
    <row r="1209" spans="1:15" hidden="1">
      <c r="A1209" t="s">
        <v>942</v>
      </c>
      <c r="B1209" t="s">
        <v>946</v>
      </c>
      <c r="C1209" s="553">
        <v>44271</v>
      </c>
      <c r="D1209" s="281" t="s">
        <v>4534</v>
      </c>
      <c r="E1209" s="281" t="s">
        <v>3942</v>
      </c>
      <c r="F1209" s="281">
        <v>1</v>
      </c>
      <c r="G1209" s="281">
        <v>5020000000</v>
      </c>
      <c r="H1209" t="s">
        <v>1996</v>
      </c>
      <c r="I1209" t="s">
        <v>676</v>
      </c>
      <c r="J1209" t="s">
        <v>1433</v>
      </c>
      <c r="K1209" t="s">
        <v>1497</v>
      </c>
      <c r="L1209" s="552">
        <v>480</v>
      </c>
      <c r="O1209" t="s">
        <v>961</v>
      </c>
    </row>
    <row r="1210" spans="1:15" hidden="1">
      <c r="A1210" t="s">
        <v>942</v>
      </c>
      <c r="B1210" t="s">
        <v>946</v>
      </c>
      <c r="C1210" s="553">
        <v>44271</v>
      </c>
      <c r="D1210" s="281" t="s">
        <v>4535</v>
      </c>
      <c r="E1210" s="281" t="s">
        <v>3945</v>
      </c>
      <c r="F1210" s="281">
        <v>13</v>
      </c>
      <c r="G1210" s="281" t="s">
        <v>2036</v>
      </c>
      <c r="H1210" t="s">
        <v>2042</v>
      </c>
      <c r="I1210" t="s">
        <v>508</v>
      </c>
      <c r="J1210" t="s">
        <v>1499</v>
      </c>
      <c r="K1210" t="s">
        <v>1500</v>
      </c>
      <c r="L1210" s="552">
        <v>48000</v>
      </c>
      <c r="O1210" t="s">
        <v>999</v>
      </c>
    </row>
    <row r="1211" spans="1:15">
      <c r="A1211" t="s">
        <v>942</v>
      </c>
      <c r="B1211" t="s">
        <v>946</v>
      </c>
      <c r="C1211" s="553">
        <v>44271</v>
      </c>
      <c r="D1211" s="281" t="s">
        <v>4536</v>
      </c>
      <c r="E1211" s="281" t="s">
        <v>3962</v>
      </c>
      <c r="F1211" s="281">
        <v>14</v>
      </c>
      <c r="G1211" s="281">
        <v>5021199000</v>
      </c>
      <c r="H1211" t="s">
        <v>1998</v>
      </c>
      <c r="I1211" t="s">
        <v>633</v>
      </c>
      <c r="J1211" t="s">
        <v>1030</v>
      </c>
      <c r="K1211" t="s">
        <v>1502</v>
      </c>
      <c r="L1211" s="552">
        <v>45808.9</v>
      </c>
      <c r="O1211" t="s">
        <v>1221</v>
      </c>
    </row>
    <row r="1212" spans="1:15">
      <c r="A1212" t="s">
        <v>942</v>
      </c>
      <c r="B1212" t="s">
        <v>946</v>
      </c>
      <c r="C1212" s="553">
        <v>44271</v>
      </c>
      <c r="D1212" s="281" t="s">
        <v>4537</v>
      </c>
      <c r="E1212" s="281" t="s">
        <v>3959</v>
      </c>
      <c r="F1212" s="281">
        <v>14</v>
      </c>
      <c r="G1212" s="281">
        <v>5021199000</v>
      </c>
      <c r="H1212" t="s">
        <v>1998</v>
      </c>
      <c r="I1212" t="s">
        <v>633</v>
      </c>
      <c r="J1212" t="s">
        <v>1030</v>
      </c>
      <c r="K1212" t="s">
        <v>1504</v>
      </c>
      <c r="L1212" s="552">
        <v>41497.269999999997</v>
      </c>
      <c r="O1212" t="s">
        <v>1221</v>
      </c>
    </row>
    <row r="1213" spans="1:15" hidden="1">
      <c r="A1213" t="s">
        <v>942</v>
      </c>
      <c r="B1213" t="s">
        <v>946</v>
      </c>
      <c r="C1213" s="553">
        <v>44279</v>
      </c>
      <c r="D1213" s="281" t="s">
        <v>4538</v>
      </c>
      <c r="E1213" s="281" t="s">
        <v>4034</v>
      </c>
      <c r="F1213" s="281">
        <v>8</v>
      </c>
      <c r="G1213" s="281">
        <v>5060000000</v>
      </c>
      <c r="H1213" t="s">
        <v>2006</v>
      </c>
      <c r="I1213" t="s">
        <v>651</v>
      </c>
      <c r="J1213" t="s">
        <v>1506</v>
      </c>
      <c r="K1213" t="s">
        <v>1507</v>
      </c>
      <c r="L1213" s="552">
        <v>76000</v>
      </c>
      <c r="O1213" t="s">
        <v>981</v>
      </c>
    </row>
    <row r="1214" spans="1:15" hidden="1">
      <c r="A1214" t="s">
        <v>942</v>
      </c>
      <c r="B1214" t="s">
        <v>946</v>
      </c>
      <c r="C1214" s="553">
        <v>44279</v>
      </c>
      <c r="D1214" s="281" t="s">
        <v>4539</v>
      </c>
      <c r="E1214" s="281" t="s">
        <v>4038</v>
      </c>
      <c r="F1214" s="281">
        <v>1</v>
      </c>
      <c r="G1214" s="281">
        <v>5020000000</v>
      </c>
      <c r="H1214" t="s">
        <v>2032</v>
      </c>
      <c r="I1214" t="s">
        <v>565</v>
      </c>
      <c r="J1214" t="s">
        <v>859</v>
      </c>
      <c r="K1214" t="s">
        <v>1509</v>
      </c>
      <c r="L1214" s="552">
        <v>2130</v>
      </c>
      <c r="O1214" t="s">
        <v>961</v>
      </c>
    </row>
    <row r="1215" spans="1:15" hidden="1">
      <c r="A1215" t="s">
        <v>942</v>
      </c>
      <c r="B1215" t="s">
        <v>946</v>
      </c>
      <c r="C1215" s="553">
        <v>44279</v>
      </c>
      <c r="D1215" s="281" t="s">
        <v>4540</v>
      </c>
      <c r="E1215" s="281" t="s">
        <v>4041</v>
      </c>
      <c r="F1215" s="281">
        <v>1</v>
      </c>
      <c r="G1215" s="281">
        <v>5020000000</v>
      </c>
      <c r="H1215" t="s">
        <v>2001</v>
      </c>
      <c r="I1215" t="s">
        <v>669</v>
      </c>
      <c r="J1215" t="s">
        <v>1511</v>
      </c>
      <c r="K1215" t="s">
        <v>1512</v>
      </c>
      <c r="L1215" s="552">
        <v>5175</v>
      </c>
      <c r="O1215" t="s">
        <v>961</v>
      </c>
    </row>
    <row r="1216" spans="1:15" hidden="1">
      <c r="A1216" t="s">
        <v>942</v>
      </c>
      <c r="B1216" t="s">
        <v>946</v>
      </c>
      <c r="C1216" s="553">
        <v>44279</v>
      </c>
      <c r="D1216" s="281" t="s">
        <v>4541</v>
      </c>
      <c r="E1216" s="281" t="s">
        <v>4044</v>
      </c>
      <c r="F1216" s="281">
        <v>5</v>
      </c>
      <c r="G1216" s="281">
        <v>5020000000</v>
      </c>
      <c r="H1216" t="s">
        <v>2032</v>
      </c>
      <c r="I1216" t="s">
        <v>565</v>
      </c>
      <c r="J1216" t="s">
        <v>799</v>
      </c>
      <c r="K1216" t="s">
        <v>1515</v>
      </c>
      <c r="L1216" s="552">
        <v>1200</v>
      </c>
      <c r="O1216" t="s">
        <v>974</v>
      </c>
    </row>
    <row r="1217" spans="1:15" hidden="1">
      <c r="A1217" t="s">
        <v>942</v>
      </c>
      <c r="B1217" t="s">
        <v>946</v>
      </c>
      <c r="C1217" s="553">
        <v>44279</v>
      </c>
      <c r="D1217" s="281" t="s">
        <v>4541</v>
      </c>
      <c r="E1217" s="281" t="s">
        <v>4044</v>
      </c>
      <c r="F1217" s="281">
        <v>5</v>
      </c>
      <c r="G1217" s="281">
        <v>5020000000</v>
      </c>
      <c r="H1217" t="s">
        <v>2005</v>
      </c>
      <c r="I1217" t="s">
        <v>678</v>
      </c>
      <c r="J1217" t="s">
        <v>799</v>
      </c>
      <c r="K1217" t="s">
        <v>1515</v>
      </c>
      <c r="L1217" s="552">
        <v>3000</v>
      </c>
      <c r="O1217" t="s">
        <v>974</v>
      </c>
    </row>
    <row r="1218" spans="1:15" hidden="1">
      <c r="A1218" t="s">
        <v>942</v>
      </c>
      <c r="B1218" t="s">
        <v>946</v>
      </c>
      <c r="C1218" s="553">
        <v>44279</v>
      </c>
      <c r="D1218" s="281" t="s">
        <v>4542</v>
      </c>
      <c r="E1218" s="281" t="s">
        <v>4048</v>
      </c>
      <c r="F1218" s="281">
        <v>4</v>
      </c>
      <c r="G1218" s="281">
        <v>5020000000</v>
      </c>
      <c r="H1218" t="s">
        <v>2002</v>
      </c>
      <c r="I1218" t="s">
        <v>603</v>
      </c>
      <c r="J1218" t="s">
        <v>1245</v>
      </c>
      <c r="K1218" t="s">
        <v>1517</v>
      </c>
      <c r="L1218" s="552">
        <v>2688</v>
      </c>
      <c r="O1218" t="s">
        <v>971</v>
      </c>
    </row>
    <row r="1219" spans="1:15" hidden="1">
      <c r="A1219" t="s">
        <v>942</v>
      </c>
      <c r="B1219" t="s">
        <v>946</v>
      </c>
      <c r="C1219" s="553">
        <v>44279</v>
      </c>
      <c r="D1219" s="281" t="s">
        <v>4543</v>
      </c>
      <c r="E1219" s="281" t="s">
        <v>4051</v>
      </c>
      <c r="F1219" s="281">
        <v>3</v>
      </c>
      <c r="G1219" s="281">
        <v>5020000000</v>
      </c>
      <c r="H1219" t="s">
        <v>2032</v>
      </c>
      <c r="I1219" t="s">
        <v>565</v>
      </c>
      <c r="J1219" t="s">
        <v>1354</v>
      </c>
      <c r="K1219" t="s">
        <v>1519</v>
      </c>
      <c r="L1219" s="552">
        <v>2500</v>
      </c>
      <c r="O1219" t="s">
        <v>968</v>
      </c>
    </row>
    <row r="1220" spans="1:15" hidden="1">
      <c r="A1220" t="s">
        <v>942</v>
      </c>
      <c r="B1220" t="s">
        <v>946</v>
      </c>
      <c r="C1220" s="553">
        <v>44279</v>
      </c>
      <c r="D1220" s="281" t="s">
        <v>4544</v>
      </c>
      <c r="E1220" s="281" t="s">
        <v>4054</v>
      </c>
      <c r="F1220" s="281">
        <v>6</v>
      </c>
      <c r="G1220" s="281">
        <v>5020000000</v>
      </c>
      <c r="H1220" t="s">
        <v>1996</v>
      </c>
      <c r="I1220" t="s">
        <v>676</v>
      </c>
      <c r="J1220" t="s">
        <v>1433</v>
      </c>
      <c r="K1220" t="s">
        <v>1521</v>
      </c>
      <c r="L1220" s="552">
        <v>640</v>
      </c>
      <c r="O1220" t="s">
        <v>977</v>
      </c>
    </row>
    <row r="1221" spans="1:15" hidden="1">
      <c r="A1221" t="s">
        <v>942</v>
      </c>
      <c r="B1221" t="s">
        <v>946</v>
      </c>
      <c r="C1221" s="553">
        <v>44279</v>
      </c>
      <c r="D1221" s="281" t="s">
        <v>4545</v>
      </c>
      <c r="E1221" s="281" t="s">
        <v>4057</v>
      </c>
      <c r="F1221" s="281">
        <v>1</v>
      </c>
      <c r="G1221" s="281">
        <v>5020000000</v>
      </c>
      <c r="H1221" t="s">
        <v>2016</v>
      </c>
      <c r="I1221" t="s">
        <v>319</v>
      </c>
      <c r="J1221" t="s">
        <v>1523</v>
      </c>
      <c r="K1221" t="s">
        <v>1524</v>
      </c>
      <c r="L1221" s="552">
        <v>11180</v>
      </c>
      <c r="O1221" t="s">
        <v>961</v>
      </c>
    </row>
    <row r="1222" spans="1:15" hidden="1">
      <c r="A1222" t="s">
        <v>942</v>
      </c>
      <c r="B1222" t="s">
        <v>946</v>
      </c>
      <c r="C1222" s="553">
        <v>44279</v>
      </c>
      <c r="D1222" s="281" t="s">
        <v>4545</v>
      </c>
      <c r="E1222" s="281" t="s">
        <v>4057</v>
      </c>
      <c r="F1222" s="281">
        <v>3</v>
      </c>
      <c r="G1222" s="281">
        <v>5020000000</v>
      </c>
      <c r="H1222" t="s">
        <v>2016</v>
      </c>
      <c r="I1222" t="s">
        <v>319</v>
      </c>
      <c r="J1222" t="s">
        <v>1523</v>
      </c>
      <c r="K1222" t="s">
        <v>1524</v>
      </c>
      <c r="L1222" s="552">
        <v>22000</v>
      </c>
      <c r="O1222" t="s">
        <v>968</v>
      </c>
    </row>
    <row r="1223" spans="1:15" hidden="1">
      <c r="A1223" t="s">
        <v>942</v>
      </c>
      <c r="B1223" t="s">
        <v>946</v>
      </c>
      <c r="C1223" s="553">
        <v>44279</v>
      </c>
      <c r="D1223" s="281" t="s">
        <v>4546</v>
      </c>
      <c r="E1223" s="281" t="s">
        <v>3996</v>
      </c>
      <c r="F1223" s="281">
        <v>1</v>
      </c>
      <c r="G1223" s="281">
        <v>5020000000</v>
      </c>
      <c r="H1223" t="s">
        <v>2032</v>
      </c>
      <c r="I1223" t="s">
        <v>565</v>
      </c>
      <c r="J1223" t="s">
        <v>773</v>
      </c>
      <c r="K1223" t="s">
        <v>1526</v>
      </c>
      <c r="L1223" s="552">
        <v>750.85</v>
      </c>
      <c r="O1223" t="s">
        <v>961</v>
      </c>
    </row>
    <row r="1224" spans="1:15" hidden="1">
      <c r="A1224" t="s">
        <v>942</v>
      </c>
      <c r="B1224" t="s">
        <v>946</v>
      </c>
      <c r="C1224" s="553">
        <v>44279</v>
      </c>
      <c r="D1224" s="281" t="s">
        <v>4546</v>
      </c>
      <c r="E1224" s="281" t="s">
        <v>3996</v>
      </c>
      <c r="F1224" s="281">
        <v>1</v>
      </c>
      <c r="G1224" s="281">
        <v>5020000000</v>
      </c>
      <c r="H1224" t="s">
        <v>2009</v>
      </c>
      <c r="I1224" t="s">
        <v>680</v>
      </c>
      <c r="J1224" t="s">
        <v>773</v>
      </c>
      <c r="K1224" t="s">
        <v>1526</v>
      </c>
      <c r="L1224" s="552">
        <v>450</v>
      </c>
      <c r="O1224" t="s">
        <v>961</v>
      </c>
    </row>
    <row r="1225" spans="1:15" hidden="1">
      <c r="A1225" t="s">
        <v>942</v>
      </c>
      <c r="B1225" t="s">
        <v>946</v>
      </c>
      <c r="C1225" s="553">
        <v>44279</v>
      </c>
      <c r="D1225" s="281" t="s">
        <v>4546</v>
      </c>
      <c r="E1225" s="281" t="s">
        <v>3996</v>
      </c>
      <c r="F1225" s="281">
        <v>1</v>
      </c>
      <c r="G1225" s="281">
        <v>5020000000</v>
      </c>
      <c r="H1225" t="s">
        <v>1996</v>
      </c>
      <c r="I1225" t="s">
        <v>676</v>
      </c>
      <c r="J1225" t="s">
        <v>773</v>
      </c>
      <c r="K1225" t="s">
        <v>1526</v>
      </c>
      <c r="L1225" s="552">
        <v>205</v>
      </c>
      <c r="O1225" t="s">
        <v>961</v>
      </c>
    </row>
    <row r="1226" spans="1:15" hidden="1">
      <c r="A1226" t="s">
        <v>942</v>
      </c>
      <c r="B1226" t="s">
        <v>946</v>
      </c>
      <c r="C1226" s="553">
        <v>44279</v>
      </c>
      <c r="D1226" s="281" t="s">
        <v>4546</v>
      </c>
      <c r="E1226" s="281" t="s">
        <v>3996</v>
      </c>
      <c r="F1226" s="281">
        <v>1</v>
      </c>
      <c r="G1226" s="281">
        <v>5020000000</v>
      </c>
      <c r="H1226" t="s">
        <v>1997</v>
      </c>
      <c r="I1226" t="s">
        <v>642</v>
      </c>
      <c r="J1226" t="s">
        <v>773</v>
      </c>
      <c r="K1226" t="s">
        <v>1526</v>
      </c>
      <c r="L1226" s="552">
        <v>2550</v>
      </c>
      <c r="O1226" t="s">
        <v>961</v>
      </c>
    </row>
    <row r="1227" spans="1:15" hidden="1">
      <c r="A1227" t="s">
        <v>942</v>
      </c>
      <c r="B1227" t="s">
        <v>946</v>
      </c>
      <c r="C1227" s="553">
        <v>44279</v>
      </c>
      <c r="D1227" s="281" t="s">
        <v>4546</v>
      </c>
      <c r="E1227" s="281" t="s">
        <v>3996</v>
      </c>
      <c r="F1227" s="281">
        <v>1</v>
      </c>
      <c r="G1227" s="281">
        <v>5020000000</v>
      </c>
      <c r="H1227" t="s">
        <v>1998</v>
      </c>
      <c r="I1227" t="s">
        <v>633</v>
      </c>
      <c r="J1227" t="s">
        <v>773</v>
      </c>
      <c r="K1227" t="s">
        <v>1526</v>
      </c>
      <c r="L1227" s="552">
        <v>400</v>
      </c>
      <c r="O1227" t="s">
        <v>961</v>
      </c>
    </row>
    <row r="1228" spans="1:15" hidden="1">
      <c r="A1228" t="s">
        <v>942</v>
      </c>
      <c r="B1228" t="s">
        <v>946</v>
      </c>
      <c r="C1228" s="553">
        <v>44279</v>
      </c>
      <c r="D1228" s="281" t="s">
        <v>4547</v>
      </c>
      <c r="E1228" s="281" t="s">
        <v>3977</v>
      </c>
      <c r="F1228" s="281">
        <v>1</v>
      </c>
      <c r="G1228" s="281">
        <v>5020000000</v>
      </c>
      <c r="H1228" t="s">
        <v>2038</v>
      </c>
      <c r="I1228" t="s">
        <v>567</v>
      </c>
      <c r="J1228" t="s">
        <v>818</v>
      </c>
      <c r="K1228" t="s">
        <v>1532</v>
      </c>
      <c r="L1228" s="552">
        <v>2490</v>
      </c>
      <c r="O1228" t="s">
        <v>961</v>
      </c>
    </row>
    <row r="1229" spans="1:15" hidden="1">
      <c r="A1229" t="s">
        <v>942</v>
      </c>
      <c r="B1229" t="s">
        <v>946</v>
      </c>
      <c r="C1229" s="553">
        <v>44279</v>
      </c>
      <c r="D1229" s="281" t="s">
        <v>4547</v>
      </c>
      <c r="E1229" s="281" t="s">
        <v>3977</v>
      </c>
      <c r="F1229" s="281">
        <v>1</v>
      </c>
      <c r="G1229" s="281">
        <v>5020000000</v>
      </c>
      <c r="H1229" t="s">
        <v>2039</v>
      </c>
      <c r="I1229" t="s">
        <v>560</v>
      </c>
      <c r="J1229" t="s">
        <v>818</v>
      </c>
      <c r="K1229" t="s">
        <v>1532</v>
      </c>
      <c r="L1229" s="552">
        <v>16185</v>
      </c>
      <c r="O1229" t="s">
        <v>961</v>
      </c>
    </row>
    <row r="1230" spans="1:15" hidden="1">
      <c r="A1230" t="s">
        <v>942</v>
      </c>
      <c r="B1230" t="s">
        <v>946</v>
      </c>
      <c r="C1230" s="553">
        <v>44279</v>
      </c>
      <c r="D1230" s="281" t="s">
        <v>4547</v>
      </c>
      <c r="E1230" s="281" t="s">
        <v>3977</v>
      </c>
      <c r="F1230" s="281">
        <v>1</v>
      </c>
      <c r="G1230" s="281">
        <v>5020000000</v>
      </c>
      <c r="H1230" t="s">
        <v>2034</v>
      </c>
      <c r="I1230" t="s">
        <v>581</v>
      </c>
      <c r="J1230" t="s">
        <v>818</v>
      </c>
      <c r="K1230" t="s">
        <v>1532</v>
      </c>
      <c r="L1230" s="552">
        <v>12764.99</v>
      </c>
      <c r="O1230" t="s">
        <v>961</v>
      </c>
    </row>
    <row r="1231" spans="1:15" hidden="1">
      <c r="A1231" t="s">
        <v>942</v>
      </c>
      <c r="B1231" t="s">
        <v>946</v>
      </c>
      <c r="C1231" s="553">
        <v>44279</v>
      </c>
      <c r="D1231" s="281" t="s">
        <v>4547</v>
      </c>
      <c r="E1231" s="281" t="s">
        <v>3977</v>
      </c>
      <c r="F1231" s="281">
        <v>1</v>
      </c>
      <c r="G1231" s="281">
        <v>5020000000</v>
      </c>
      <c r="H1231" t="s">
        <v>2035</v>
      </c>
      <c r="I1231" t="s">
        <v>596</v>
      </c>
      <c r="J1231" t="s">
        <v>818</v>
      </c>
      <c r="K1231" t="s">
        <v>1532</v>
      </c>
      <c r="L1231" s="552">
        <v>7096.5</v>
      </c>
      <c r="O1231" t="s">
        <v>961</v>
      </c>
    </row>
    <row r="1232" spans="1:15" hidden="1">
      <c r="A1232" t="s">
        <v>942</v>
      </c>
      <c r="B1232" t="s">
        <v>946</v>
      </c>
      <c r="C1232" s="553">
        <v>44279</v>
      </c>
      <c r="D1232" s="281" t="s">
        <v>4547</v>
      </c>
      <c r="E1232" s="281" t="s">
        <v>3977</v>
      </c>
      <c r="F1232" s="281">
        <v>1</v>
      </c>
      <c r="G1232" s="281">
        <v>5020000000</v>
      </c>
      <c r="H1232" t="s">
        <v>2040</v>
      </c>
      <c r="I1232" t="s">
        <v>598</v>
      </c>
      <c r="J1232" t="s">
        <v>818</v>
      </c>
      <c r="K1232" t="s">
        <v>1532</v>
      </c>
      <c r="L1232" s="552">
        <v>64117.5</v>
      </c>
      <c r="O1232" t="s">
        <v>961</v>
      </c>
    </row>
    <row r="1233" spans="1:15" hidden="1">
      <c r="A1233" t="s">
        <v>942</v>
      </c>
      <c r="B1233" t="s">
        <v>946</v>
      </c>
      <c r="C1233" s="553">
        <v>44279</v>
      </c>
      <c r="D1233" s="281" t="s">
        <v>4547</v>
      </c>
      <c r="E1233" s="281" t="s">
        <v>3977</v>
      </c>
      <c r="F1233" s="281">
        <v>1</v>
      </c>
      <c r="G1233" s="281">
        <v>5020000000</v>
      </c>
      <c r="H1233" t="s">
        <v>2041</v>
      </c>
      <c r="I1233" t="s">
        <v>601</v>
      </c>
      <c r="J1233" t="s">
        <v>818</v>
      </c>
      <c r="K1233" t="s">
        <v>1532</v>
      </c>
      <c r="L1233" s="552">
        <v>3112.5</v>
      </c>
      <c r="O1233" t="s">
        <v>961</v>
      </c>
    </row>
    <row r="1234" spans="1:15" hidden="1">
      <c r="A1234" t="s">
        <v>942</v>
      </c>
      <c r="B1234" t="s">
        <v>946</v>
      </c>
      <c r="C1234" s="553">
        <v>44279</v>
      </c>
      <c r="D1234" s="281" t="s">
        <v>4547</v>
      </c>
      <c r="E1234" s="281" t="s">
        <v>3977</v>
      </c>
      <c r="F1234" s="281">
        <v>1</v>
      </c>
      <c r="G1234" s="281">
        <v>5020000000</v>
      </c>
      <c r="H1234" t="s">
        <v>2011</v>
      </c>
      <c r="I1234" t="s">
        <v>605</v>
      </c>
      <c r="J1234" t="s">
        <v>818</v>
      </c>
      <c r="K1234" t="s">
        <v>1532</v>
      </c>
      <c r="L1234" s="552">
        <v>1143.4100000000001</v>
      </c>
      <c r="O1234" t="s">
        <v>961</v>
      </c>
    </row>
    <row r="1235" spans="1:15" hidden="1">
      <c r="A1235" t="s">
        <v>942</v>
      </c>
      <c r="B1235" t="s">
        <v>946</v>
      </c>
      <c r="C1235" s="553">
        <v>44279</v>
      </c>
      <c r="D1235" s="281" t="s">
        <v>4547</v>
      </c>
      <c r="E1235" s="281" t="s">
        <v>3977</v>
      </c>
      <c r="F1235" s="281">
        <v>1</v>
      </c>
      <c r="G1235" s="281">
        <v>5020000000</v>
      </c>
      <c r="H1235" t="s">
        <v>2002</v>
      </c>
      <c r="I1235" t="s">
        <v>603</v>
      </c>
      <c r="J1235" t="s">
        <v>818</v>
      </c>
      <c r="K1235" t="s">
        <v>1532</v>
      </c>
      <c r="L1235" s="552">
        <v>10458</v>
      </c>
      <c r="O1235" t="s">
        <v>961</v>
      </c>
    </row>
    <row r="1236" spans="1:15" hidden="1">
      <c r="A1236" t="s">
        <v>942</v>
      </c>
      <c r="B1236" t="s">
        <v>946</v>
      </c>
      <c r="C1236" s="553">
        <v>44279</v>
      </c>
      <c r="D1236" s="281" t="s">
        <v>4547</v>
      </c>
      <c r="E1236" s="281" t="s">
        <v>3977</v>
      </c>
      <c r="F1236" s="281">
        <v>1</v>
      </c>
      <c r="G1236" s="281">
        <v>5020000000</v>
      </c>
      <c r="H1236" t="s">
        <v>2003</v>
      </c>
      <c r="I1236" t="s">
        <v>609</v>
      </c>
      <c r="J1236" t="s">
        <v>818</v>
      </c>
      <c r="K1236" t="s">
        <v>1532</v>
      </c>
      <c r="L1236" s="552">
        <v>809.25</v>
      </c>
      <c r="O1236" t="s">
        <v>961</v>
      </c>
    </row>
    <row r="1237" spans="1:15" hidden="1">
      <c r="A1237" t="s">
        <v>942</v>
      </c>
      <c r="B1237" t="s">
        <v>946</v>
      </c>
      <c r="C1237" s="553">
        <v>44279</v>
      </c>
      <c r="D1237" s="281" t="s">
        <v>4547</v>
      </c>
      <c r="E1237" s="281" t="s">
        <v>3977</v>
      </c>
      <c r="F1237" s="281">
        <v>1</v>
      </c>
      <c r="G1237" s="281">
        <v>5020000000</v>
      </c>
      <c r="H1237" t="s">
        <v>2012</v>
      </c>
      <c r="I1237" t="s">
        <v>627</v>
      </c>
      <c r="J1237" t="s">
        <v>818</v>
      </c>
      <c r="K1237" t="s">
        <v>1532</v>
      </c>
      <c r="L1237" s="552">
        <v>747</v>
      </c>
      <c r="O1237" t="s">
        <v>961</v>
      </c>
    </row>
    <row r="1238" spans="1:15" hidden="1">
      <c r="A1238" t="s">
        <v>942</v>
      </c>
      <c r="B1238" t="s">
        <v>946</v>
      </c>
      <c r="C1238" s="553">
        <v>44279</v>
      </c>
      <c r="D1238" s="281" t="s">
        <v>4547</v>
      </c>
      <c r="E1238" s="281" t="s">
        <v>3977</v>
      </c>
      <c r="F1238" s="281">
        <v>1</v>
      </c>
      <c r="G1238" s="281">
        <v>5020000000</v>
      </c>
      <c r="H1238" t="s">
        <v>1997</v>
      </c>
      <c r="I1238" t="s">
        <v>642</v>
      </c>
      <c r="J1238" t="s">
        <v>818</v>
      </c>
      <c r="K1238" t="s">
        <v>1532</v>
      </c>
      <c r="L1238" s="552">
        <v>254248.09000000003</v>
      </c>
      <c r="O1238" t="s">
        <v>961</v>
      </c>
    </row>
    <row r="1239" spans="1:15" hidden="1">
      <c r="A1239" t="s">
        <v>942</v>
      </c>
      <c r="B1239" t="s">
        <v>946</v>
      </c>
      <c r="C1239" s="553">
        <v>44279</v>
      </c>
      <c r="D1239" s="281" t="s">
        <v>4547</v>
      </c>
      <c r="E1239" s="281" t="s">
        <v>3977</v>
      </c>
      <c r="F1239" s="281">
        <v>4</v>
      </c>
      <c r="G1239" s="281">
        <v>5020000000</v>
      </c>
      <c r="H1239" t="s">
        <v>2013</v>
      </c>
      <c r="I1239" t="s">
        <v>311</v>
      </c>
      <c r="J1239" t="s">
        <v>818</v>
      </c>
      <c r="K1239" t="s">
        <v>1532</v>
      </c>
      <c r="L1239" s="552">
        <v>4150</v>
      </c>
      <c r="O1239" t="s">
        <v>971</v>
      </c>
    </row>
    <row r="1240" spans="1:15" hidden="1">
      <c r="A1240" t="s">
        <v>942</v>
      </c>
      <c r="B1240" t="s">
        <v>946</v>
      </c>
      <c r="C1240" s="553">
        <v>44279</v>
      </c>
      <c r="D1240" s="281" t="s">
        <v>4547</v>
      </c>
      <c r="E1240" s="281" t="s">
        <v>3977</v>
      </c>
      <c r="F1240" s="281">
        <v>3</v>
      </c>
      <c r="G1240" s="281">
        <v>5020000000</v>
      </c>
      <c r="H1240" t="s">
        <v>2014</v>
      </c>
      <c r="I1240" t="s">
        <v>651</v>
      </c>
      <c r="J1240" t="s">
        <v>818</v>
      </c>
      <c r="K1240" t="s">
        <v>1532</v>
      </c>
      <c r="L1240" s="552">
        <v>4150</v>
      </c>
      <c r="O1240" t="s">
        <v>968</v>
      </c>
    </row>
    <row r="1241" spans="1:15" hidden="1">
      <c r="A1241" t="s">
        <v>942</v>
      </c>
      <c r="B1241" t="s">
        <v>946</v>
      </c>
      <c r="C1241" s="553">
        <v>44279</v>
      </c>
      <c r="D1241" s="281" t="s">
        <v>4547</v>
      </c>
      <c r="E1241" s="281" t="s">
        <v>3977</v>
      </c>
      <c r="F1241" s="281">
        <v>3</v>
      </c>
      <c r="G1241" s="281">
        <v>5020000000</v>
      </c>
      <c r="H1241" t="s">
        <v>2015</v>
      </c>
      <c r="I1241" t="s">
        <v>662</v>
      </c>
      <c r="J1241" t="s">
        <v>818</v>
      </c>
      <c r="K1241" t="s">
        <v>1532</v>
      </c>
      <c r="L1241" s="552">
        <v>2075</v>
      </c>
      <c r="O1241" t="s">
        <v>968</v>
      </c>
    </row>
    <row r="1242" spans="1:15" hidden="1">
      <c r="A1242" t="s">
        <v>942</v>
      </c>
      <c r="B1242" t="s">
        <v>946</v>
      </c>
      <c r="C1242" s="553">
        <v>44279</v>
      </c>
      <c r="D1242" s="281" t="s">
        <v>4547</v>
      </c>
      <c r="E1242" s="281" t="s">
        <v>3977</v>
      </c>
      <c r="F1242" s="281">
        <v>1</v>
      </c>
      <c r="G1242" s="281">
        <v>5020000000</v>
      </c>
      <c r="H1242" t="s">
        <v>2016</v>
      </c>
      <c r="I1242" t="s">
        <v>319</v>
      </c>
      <c r="J1242" t="s">
        <v>818</v>
      </c>
      <c r="K1242" t="s">
        <v>1532</v>
      </c>
      <c r="L1242" s="552">
        <v>20750</v>
      </c>
      <c r="O1242" t="s">
        <v>961</v>
      </c>
    </row>
    <row r="1243" spans="1:15" hidden="1">
      <c r="A1243" t="s">
        <v>942</v>
      </c>
      <c r="B1243" t="s">
        <v>946</v>
      </c>
      <c r="C1243" s="553">
        <v>44279</v>
      </c>
      <c r="D1243" s="281" t="s">
        <v>4547</v>
      </c>
      <c r="E1243" s="281" t="s">
        <v>3977</v>
      </c>
      <c r="F1243" s="281">
        <v>1</v>
      </c>
      <c r="G1243" s="281">
        <v>5020000000</v>
      </c>
      <c r="H1243" t="s">
        <v>2017</v>
      </c>
      <c r="I1243" t="s">
        <v>665</v>
      </c>
      <c r="J1243" t="s">
        <v>818</v>
      </c>
      <c r="K1243" t="s">
        <v>1532</v>
      </c>
      <c r="L1243" s="552">
        <v>1037.5</v>
      </c>
      <c r="O1243" t="s">
        <v>961</v>
      </c>
    </row>
    <row r="1244" spans="1:15" hidden="1">
      <c r="A1244" t="s">
        <v>942</v>
      </c>
      <c r="B1244" t="s">
        <v>946</v>
      </c>
      <c r="C1244" s="553">
        <v>44279</v>
      </c>
      <c r="D1244" s="281" t="s">
        <v>4547</v>
      </c>
      <c r="E1244" s="281" t="s">
        <v>3977</v>
      </c>
      <c r="F1244" s="281">
        <v>1</v>
      </c>
      <c r="G1244" s="281">
        <v>5020000000</v>
      </c>
      <c r="H1244" t="s">
        <v>2001</v>
      </c>
      <c r="I1244" t="s">
        <v>669</v>
      </c>
      <c r="J1244" t="s">
        <v>818</v>
      </c>
      <c r="K1244" t="s">
        <v>1532</v>
      </c>
      <c r="L1244" s="552">
        <v>2864.28</v>
      </c>
      <c r="O1244" t="s">
        <v>961</v>
      </c>
    </row>
    <row r="1245" spans="1:15" hidden="1">
      <c r="A1245" t="s">
        <v>942</v>
      </c>
      <c r="B1245" t="s">
        <v>946</v>
      </c>
      <c r="C1245" s="553">
        <v>44279</v>
      </c>
      <c r="D1245" s="281" t="s">
        <v>4547</v>
      </c>
      <c r="E1245" s="281" t="s">
        <v>3977</v>
      </c>
      <c r="F1245" s="281">
        <v>1</v>
      </c>
      <c r="G1245" s="281">
        <v>5020000000</v>
      </c>
      <c r="H1245" t="s">
        <v>2018</v>
      </c>
      <c r="I1245" t="s">
        <v>671</v>
      </c>
      <c r="J1245" t="s">
        <v>818</v>
      </c>
      <c r="K1245" t="s">
        <v>1532</v>
      </c>
      <c r="L1245" s="552">
        <v>7215.47</v>
      </c>
      <c r="O1245" t="s">
        <v>961</v>
      </c>
    </row>
    <row r="1246" spans="1:15" hidden="1">
      <c r="A1246" t="s">
        <v>942</v>
      </c>
      <c r="B1246" t="s">
        <v>946</v>
      </c>
      <c r="C1246" s="553">
        <v>44279</v>
      </c>
      <c r="D1246" s="281" t="s">
        <v>4547</v>
      </c>
      <c r="E1246" s="281" t="s">
        <v>3977</v>
      </c>
      <c r="F1246" s="281">
        <v>1</v>
      </c>
      <c r="G1246" s="281">
        <v>5020000000</v>
      </c>
      <c r="H1246" t="s">
        <v>2000</v>
      </c>
      <c r="I1246" t="s">
        <v>683</v>
      </c>
      <c r="J1246" t="s">
        <v>818</v>
      </c>
      <c r="K1246" t="s">
        <v>1532</v>
      </c>
      <c r="L1246" s="552">
        <v>331287.87</v>
      </c>
      <c r="O1246" t="s">
        <v>961</v>
      </c>
    </row>
    <row r="1247" spans="1:15" hidden="1">
      <c r="A1247" t="s">
        <v>942</v>
      </c>
      <c r="B1247" t="s">
        <v>946</v>
      </c>
      <c r="C1247" s="553">
        <v>44279</v>
      </c>
      <c r="D1247" s="281" t="s">
        <v>4547</v>
      </c>
      <c r="E1247" s="281" t="s">
        <v>3977</v>
      </c>
      <c r="F1247" s="281">
        <v>1</v>
      </c>
      <c r="G1247" s="281">
        <v>5020000000</v>
      </c>
      <c r="H1247" t="s">
        <v>2010</v>
      </c>
      <c r="I1247" t="s">
        <v>693</v>
      </c>
      <c r="J1247" t="s">
        <v>818</v>
      </c>
      <c r="K1247" t="s">
        <v>1532</v>
      </c>
      <c r="L1247" s="552">
        <v>2282.5</v>
      </c>
      <c r="O1247" t="s">
        <v>961</v>
      </c>
    </row>
    <row r="1248" spans="1:15" hidden="1">
      <c r="A1248" t="s">
        <v>942</v>
      </c>
      <c r="B1248" t="s">
        <v>946</v>
      </c>
      <c r="C1248" s="553">
        <v>44279</v>
      </c>
      <c r="D1248" s="281" t="s">
        <v>4547</v>
      </c>
      <c r="E1248" s="281" t="s">
        <v>3977</v>
      </c>
      <c r="F1248" s="281">
        <v>1</v>
      </c>
      <c r="G1248" s="281">
        <v>5020000000</v>
      </c>
      <c r="H1248" t="s">
        <v>2037</v>
      </c>
      <c r="I1248" t="s">
        <v>555</v>
      </c>
      <c r="J1248" t="s">
        <v>818</v>
      </c>
      <c r="K1248" t="s">
        <v>1532</v>
      </c>
      <c r="L1248" s="552">
        <v>2075</v>
      </c>
      <c r="O1248" t="s">
        <v>961</v>
      </c>
    </row>
    <row r="1249" spans="1:15" hidden="1">
      <c r="A1249" t="s">
        <v>942</v>
      </c>
      <c r="B1249" t="s">
        <v>946</v>
      </c>
      <c r="C1249" s="553">
        <v>44279</v>
      </c>
      <c r="D1249" s="281" t="s">
        <v>4547</v>
      </c>
      <c r="E1249" s="281" t="s">
        <v>3977</v>
      </c>
      <c r="F1249" s="281">
        <v>1</v>
      </c>
      <c r="G1249" s="281">
        <v>5020000000</v>
      </c>
      <c r="H1249" t="s">
        <v>2032</v>
      </c>
      <c r="I1249" t="s">
        <v>565</v>
      </c>
      <c r="J1249" t="s">
        <v>818</v>
      </c>
      <c r="K1249" t="s">
        <v>1532</v>
      </c>
      <c r="L1249" s="552">
        <v>10375</v>
      </c>
      <c r="O1249" t="s">
        <v>961</v>
      </c>
    </row>
    <row r="1250" spans="1:15" hidden="1">
      <c r="A1250" t="s">
        <v>942</v>
      </c>
      <c r="B1250" t="s">
        <v>946</v>
      </c>
      <c r="C1250" s="553">
        <v>44279</v>
      </c>
      <c r="D1250" s="281" t="s">
        <v>4547</v>
      </c>
      <c r="E1250" s="281" t="s">
        <v>3977</v>
      </c>
      <c r="F1250" s="281">
        <v>1</v>
      </c>
      <c r="G1250" s="281">
        <v>5020000000</v>
      </c>
      <c r="H1250" t="s">
        <v>1996</v>
      </c>
      <c r="I1250" t="s">
        <v>676</v>
      </c>
      <c r="J1250" t="s">
        <v>818</v>
      </c>
      <c r="K1250" t="s">
        <v>1532</v>
      </c>
      <c r="L1250" s="552">
        <v>7470</v>
      </c>
      <c r="O1250" t="s">
        <v>961</v>
      </c>
    </row>
    <row r="1251" spans="1:15" hidden="1">
      <c r="A1251" t="s">
        <v>942</v>
      </c>
      <c r="B1251" t="s">
        <v>946</v>
      </c>
      <c r="C1251" s="553">
        <v>44279</v>
      </c>
      <c r="D1251" s="281" t="s">
        <v>4547</v>
      </c>
      <c r="E1251" s="281" t="s">
        <v>3977</v>
      </c>
      <c r="F1251" s="281">
        <v>1</v>
      </c>
      <c r="G1251" s="281">
        <v>5020000000</v>
      </c>
      <c r="H1251" t="s">
        <v>2005</v>
      </c>
      <c r="I1251" t="s">
        <v>678</v>
      </c>
      <c r="J1251" t="s">
        <v>818</v>
      </c>
      <c r="K1251" t="s">
        <v>1532</v>
      </c>
      <c r="L1251" s="552">
        <v>5312</v>
      </c>
      <c r="O1251" t="s">
        <v>961</v>
      </c>
    </row>
    <row r="1252" spans="1:15" hidden="1">
      <c r="A1252" t="s">
        <v>942</v>
      </c>
      <c r="B1252" t="s">
        <v>946</v>
      </c>
      <c r="C1252" s="553">
        <v>44279</v>
      </c>
      <c r="D1252" s="281" t="s">
        <v>4547</v>
      </c>
      <c r="E1252" s="281" t="s">
        <v>3977</v>
      </c>
      <c r="F1252" s="281">
        <v>3</v>
      </c>
      <c r="G1252" s="281">
        <v>5020000000</v>
      </c>
      <c r="H1252" t="s">
        <v>2009</v>
      </c>
      <c r="I1252" t="s">
        <v>680</v>
      </c>
      <c r="J1252" t="s">
        <v>818</v>
      </c>
      <c r="K1252" t="s">
        <v>1532</v>
      </c>
      <c r="L1252" s="552">
        <v>4980</v>
      </c>
      <c r="O1252" t="s">
        <v>968</v>
      </c>
    </row>
    <row r="1253" spans="1:15" hidden="1">
      <c r="A1253" t="s">
        <v>942</v>
      </c>
      <c r="B1253" t="s">
        <v>946</v>
      </c>
      <c r="C1253" s="553">
        <v>44279</v>
      </c>
      <c r="D1253" s="281" t="s">
        <v>4547</v>
      </c>
      <c r="E1253" s="281" t="s">
        <v>3977</v>
      </c>
      <c r="F1253" s="281">
        <v>1</v>
      </c>
      <c r="G1253" s="281">
        <v>5020000000</v>
      </c>
      <c r="H1253" t="s">
        <v>1999</v>
      </c>
      <c r="I1253" t="s">
        <v>672</v>
      </c>
      <c r="J1253" t="s">
        <v>818</v>
      </c>
      <c r="K1253" t="s">
        <v>1532</v>
      </c>
      <c r="L1253" s="552">
        <v>12948</v>
      </c>
      <c r="O1253" t="s">
        <v>961</v>
      </c>
    </row>
    <row r="1254" spans="1:15" hidden="1">
      <c r="A1254" t="s">
        <v>942</v>
      </c>
      <c r="B1254" t="s">
        <v>946</v>
      </c>
      <c r="C1254" s="553">
        <v>44279</v>
      </c>
      <c r="D1254" s="281" t="s">
        <v>4548</v>
      </c>
      <c r="E1254" s="281" t="s">
        <v>3980</v>
      </c>
      <c r="F1254" s="281">
        <v>1</v>
      </c>
      <c r="G1254" s="281">
        <v>5020000000</v>
      </c>
      <c r="H1254" t="s">
        <v>2038</v>
      </c>
      <c r="I1254" t="s">
        <v>567</v>
      </c>
      <c r="J1254" t="s">
        <v>820</v>
      </c>
      <c r="K1254" t="s">
        <v>1532</v>
      </c>
      <c r="L1254" s="552">
        <v>2490</v>
      </c>
      <c r="O1254" t="s">
        <v>961</v>
      </c>
    </row>
    <row r="1255" spans="1:15" hidden="1">
      <c r="A1255" t="s">
        <v>942</v>
      </c>
      <c r="B1255" t="s">
        <v>946</v>
      </c>
      <c r="C1255" s="553">
        <v>44279</v>
      </c>
      <c r="D1255" s="281" t="s">
        <v>4548</v>
      </c>
      <c r="E1255" s="281" t="s">
        <v>3980</v>
      </c>
      <c r="F1255" s="281">
        <v>1</v>
      </c>
      <c r="G1255" s="281">
        <v>5020000000</v>
      </c>
      <c r="H1255" t="s">
        <v>2039</v>
      </c>
      <c r="I1255" t="s">
        <v>560</v>
      </c>
      <c r="J1255" t="s">
        <v>820</v>
      </c>
      <c r="K1255" t="s">
        <v>1532</v>
      </c>
      <c r="L1255" s="552">
        <v>14940</v>
      </c>
      <c r="O1255" t="s">
        <v>961</v>
      </c>
    </row>
    <row r="1256" spans="1:15" hidden="1">
      <c r="A1256" t="s">
        <v>942</v>
      </c>
      <c r="B1256" t="s">
        <v>946</v>
      </c>
      <c r="C1256" s="553">
        <v>44279</v>
      </c>
      <c r="D1256" s="281" t="s">
        <v>4548</v>
      </c>
      <c r="E1256" s="281" t="s">
        <v>3980</v>
      </c>
      <c r="F1256" s="281">
        <v>1</v>
      </c>
      <c r="G1256" s="281">
        <v>5020000000</v>
      </c>
      <c r="H1256" t="s">
        <v>2034</v>
      </c>
      <c r="I1256" t="s">
        <v>581</v>
      </c>
      <c r="J1256" t="s">
        <v>820</v>
      </c>
      <c r="K1256" t="s">
        <v>1532</v>
      </c>
      <c r="L1256" s="552">
        <v>16600</v>
      </c>
      <c r="O1256" t="s">
        <v>961</v>
      </c>
    </row>
    <row r="1257" spans="1:15" hidden="1">
      <c r="A1257" t="s">
        <v>942</v>
      </c>
      <c r="B1257" t="s">
        <v>946</v>
      </c>
      <c r="C1257" s="553">
        <v>44279</v>
      </c>
      <c r="D1257" s="281" t="s">
        <v>4548</v>
      </c>
      <c r="E1257" s="281" t="s">
        <v>3980</v>
      </c>
      <c r="F1257" s="281">
        <v>1</v>
      </c>
      <c r="G1257" s="281">
        <v>5020000000</v>
      </c>
      <c r="H1257" t="s">
        <v>2035</v>
      </c>
      <c r="I1257" t="s">
        <v>596</v>
      </c>
      <c r="J1257" t="s">
        <v>820</v>
      </c>
      <c r="K1257" t="s">
        <v>1532</v>
      </c>
      <c r="L1257" s="552">
        <v>3237</v>
      </c>
      <c r="O1257" t="s">
        <v>961</v>
      </c>
    </row>
    <row r="1258" spans="1:15" hidden="1">
      <c r="A1258" t="s">
        <v>942</v>
      </c>
      <c r="B1258" t="s">
        <v>946</v>
      </c>
      <c r="C1258" s="553">
        <v>44279</v>
      </c>
      <c r="D1258" s="281" t="s">
        <v>4548</v>
      </c>
      <c r="E1258" s="281" t="s">
        <v>3980</v>
      </c>
      <c r="F1258" s="281">
        <v>1</v>
      </c>
      <c r="G1258" s="281">
        <v>5020000000</v>
      </c>
      <c r="H1258" t="s">
        <v>2040</v>
      </c>
      <c r="I1258" t="s">
        <v>598</v>
      </c>
      <c r="J1258" t="s">
        <v>820</v>
      </c>
      <c r="K1258" t="s">
        <v>1532</v>
      </c>
      <c r="L1258" s="552">
        <v>57270</v>
      </c>
      <c r="O1258" t="s">
        <v>961</v>
      </c>
    </row>
    <row r="1259" spans="1:15" hidden="1">
      <c r="A1259" t="s">
        <v>942</v>
      </c>
      <c r="B1259" t="s">
        <v>946</v>
      </c>
      <c r="C1259" s="553">
        <v>44279</v>
      </c>
      <c r="D1259" s="281" t="s">
        <v>4548</v>
      </c>
      <c r="E1259" s="281" t="s">
        <v>3980</v>
      </c>
      <c r="F1259" s="281">
        <v>1</v>
      </c>
      <c r="G1259" s="281">
        <v>5020000000</v>
      </c>
      <c r="H1259" t="s">
        <v>2041</v>
      </c>
      <c r="I1259" t="s">
        <v>601</v>
      </c>
      <c r="J1259" t="s">
        <v>820</v>
      </c>
      <c r="K1259" t="s">
        <v>1532</v>
      </c>
      <c r="L1259" s="552">
        <v>6225</v>
      </c>
      <c r="O1259" t="s">
        <v>961</v>
      </c>
    </row>
    <row r="1260" spans="1:15" hidden="1">
      <c r="A1260" t="s">
        <v>942</v>
      </c>
      <c r="B1260" t="s">
        <v>946</v>
      </c>
      <c r="C1260" s="553">
        <v>44279</v>
      </c>
      <c r="D1260" s="281" t="s">
        <v>4548</v>
      </c>
      <c r="E1260" s="281" t="s">
        <v>3980</v>
      </c>
      <c r="F1260" s="281">
        <v>1</v>
      </c>
      <c r="G1260" s="281">
        <v>5020000000</v>
      </c>
      <c r="H1260" t="s">
        <v>2002</v>
      </c>
      <c r="I1260" t="s">
        <v>603</v>
      </c>
      <c r="J1260" t="s">
        <v>820</v>
      </c>
      <c r="K1260" t="s">
        <v>1532</v>
      </c>
      <c r="L1260" s="552">
        <v>4482</v>
      </c>
      <c r="O1260" t="s">
        <v>961</v>
      </c>
    </row>
    <row r="1261" spans="1:15" hidden="1">
      <c r="A1261" t="s">
        <v>942</v>
      </c>
      <c r="B1261" t="s">
        <v>946</v>
      </c>
      <c r="C1261" s="553">
        <v>44279</v>
      </c>
      <c r="D1261" s="281" t="s">
        <v>4548</v>
      </c>
      <c r="E1261" s="281" t="s">
        <v>3980</v>
      </c>
      <c r="F1261" s="281">
        <v>1</v>
      </c>
      <c r="G1261" s="281">
        <v>5020000000</v>
      </c>
      <c r="H1261" t="s">
        <v>2003</v>
      </c>
      <c r="I1261" t="s">
        <v>609</v>
      </c>
      <c r="J1261" t="s">
        <v>820</v>
      </c>
      <c r="K1261" t="s">
        <v>1532</v>
      </c>
      <c r="L1261" s="552">
        <v>1245</v>
      </c>
      <c r="O1261" t="s">
        <v>961</v>
      </c>
    </row>
    <row r="1262" spans="1:15" hidden="1">
      <c r="A1262" t="s">
        <v>942</v>
      </c>
      <c r="B1262" t="s">
        <v>946</v>
      </c>
      <c r="C1262" s="553">
        <v>44279</v>
      </c>
      <c r="D1262" s="281" t="s">
        <v>4548</v>
      </c>
      <c r="E1262" s="281" t="s">
        <v>3980</v>
      </c>
      <c r="F1262" s="281">
        <v>1</v>
      </c>
      <c r="G1262" s="281">
        <v>5020000000</v>
      </c>
      <c r="H1262" t="s">
        <v>2012</v>
      </c>
      <c r="I1262" t="s">
        <v>627</v>
      </c>
      <c r="J1262" t="s">
        <v>820</v>
      </c>
      <c r="K1262" t="s">
        <v>1532</v>
      </c>
      <c r="L1262" s="552">
        <v>747</v>
      </c>
      <c r="O1262" t="s">
        <v>961</v>
      </c>
    </row>
    <row r="1263" spans="1:15" hidden="1">
      <c r="A1263" t="s">
        <v>942</v>
      </c>
      <c r="B1263" t="s">
        <v>946</v>
      </c>
      <c r="C1263" s="553">
        <v>44279</v>
      </c>
      <c r="D1263" s="281" t="s">
        <v>4548</v>
      </c>
      <c r="E1263" s="281" t="s">
        <v>3980</v>
      </c>
      <c r="F1263" s="281">
        <v>1</v>
      </c>
      <c r="G1263" s="281">
        <v>5020000000</v>
      </c>
      <c r="H1263" t="s">
        <v>2007</v>
      </c>
      <c r="I1263" t="s">
        <v>638</v>
      </c>
      <c r="J1263" t="s">
        <v>820</v>
      </c>
      <c r="K1263" t="s">
        <v>1532</v>
      </c>
      <c r="L1263" s="552">
        <v>20770.75</v>
      </c>
      <c r="O1263" t="s">
        <v>961</v>
      </c>
    </row>
    <row r="1264" spans="1:15" hidden="1">
      <c r="A1264" t="s">
        <v>942</v>
      </c>
      <c r="B1264" t="s">
        <v>946</v>
      </c>
      <c r="C1264" s="553">
        <v>44279</v>
      </c>
      <c r="D1264" s="281" t="s">
        <v>4548</v>
      </c>
      <c r="E1264" s="281" t="s">
        <v>3980</v>
      </c>
      <c r="F1264" s="281">
        <v>1</v>
      </c>
      <c r="G1264" s="281">
        <v>5020000000</v>
      </c>
      <c r="H1264" t="s">
        <v>1997</v>
      </c>
      <c r="I1264" t="s">
        <v>642</v>
      </c>
      <c r="J1264" t="s">
        <v>820</v>
      </c>
      <c r="K1264" t="s">
        <v>1532</v>
      </c>
      <c r="L1264" s="552">
        <v>100174.36</v>
      </c>
      <c r="O1264" t="s">
        <v>961</v>
      </c>
    </row>
    <row r="1265" spans="1:15" hidden="1">
      <c r="A1265" t="s">
        <v>942</v>
      </c>
      <c r="B1265" t="s">
        <v>946</v>
      </c>
      <c r="C1265" s="553">
        <v>44279</v>
      </c>
      <c r="D1265" s="281" t="s">
        <v>4548</v>
      </c>
      <c r="E1265" s="281" t="s">
        <v>3980</v>
      </c>
      <c r="F1265" s="281">
        <v>3</v>
      </c>
      <c r="G1265" s="281">
        <v>5020000000</v>
      </c>
      <c r="H1265" t="s">
        <v>2019</v>
      </c>
      <c r="I1265" t="s">
        <v>646</v>
      </c>
      <c r="J1265" t="s">
        <v>820</v>
      </c>
      <c r="K1265" t="s">
        <v>1532</v>
      </c>
      <c r="L1265" s="552">
        <v>59711.86</v>
      </c>
      <c r="O1265" t="s">
        <v>968</v>
      </c>
    </row>
    <row r="1266" spans="1:15" hidden="1">
      <c r="A1266" t="s">
        <v>942</v>
      </c>
      <c r="B1266" t="s">
        <v>946</v>
      </c>
      <c r="C1266" s="553">
        <v>44279</v>
      </c>
      <c r="D1266" s="281" t="s">
        <v>4548</v>
      </c>
      <c r="E1266" s="281" t="s">
        <v>3980</v>
      </c>
      <c r="F1266" s="281">
        <v>4</v>
      </c>
      <c r="G1266" s="281">
        <v>5020000000</v>
      </c>
      <c r="H1266" t="s">
        <v>2013</v>
      </c>
      <c r="I1266" t="s">
        <v>311</v>
      </c>
      <c r="J1266" t="s">
        <v>820</v>
      </c>
      <c r="K1266" t="s">
        <v>1532</v>
      </c>
      <c r="L1266" s="552">
        <v>4150</v>
      </c>
      <c r="O1266" t="s">
        <v>971</v>
      </c>
    </row>
    <row r="1267" spans="1:15" hidden="1">
      <c r="A1267" t="s">
        <v>942</v>
      </c>
      <c r="B1267" t="s">
        <v>946</v>
      </c>
      <c r="C1267" s="553">
        <v>44279</v>
      </c>
      <c r="D1267" s="281" t="s">
        <v>4548</v>
      </c>
      <c r="E1267" s="281" t="s">
        <v>3980</v>
      </c>
      <c r="F1267" s="281">
        <v>3</v>
      </c>
      <c r="G1267" s="281">
        <v>5020000000</v>
      </c>
      <c r="H1267" t="s">
        <v>2014</v>
      </c>
      <c r="I1267" t="s">
        <v>651</v>
      </c>
      <c r="J1267" t="s">
        <v>820</v>
      </c>
      <c r="K1267" t="s">
        <v>1532</v>
      </c>
      <c r="L1267" s="552">
        <v>4150</v>
      </c>
      <c r="O1267" t="s">
        <v>968</v>
      </c>
    </row>
    <row r="1268" spans="1:15" hidden="1">
      <c r="A1268" t="s">
        <v>942</v>
      </c>
      <c r="B1268" t="s">
        <v>946</v>
      </c>
      <c r="C1268" s="553">
        <v>44279</v>
      </c>
      <c r="D1268" s="281" t="s">
        <v>4548</v>
      </c>
      <c r="E1268" s="281" t="s">
        <v>3980</v>
      </c>
      <c r="F1268" s="281">
        <v>3</v>
      </c>
      <c r="G1268" s="281">
        <v>5020000000</v>
      </c>
      <c r="H1268" t="s">
        <v>2015</v>
      </c>
      <c r="I1268" t="s">
        <v>662</v>
      </c>
      <c r="J1268" t="s">
        <v>820</v>
      </c>
      <c r="K1268" t="s">
        <v>1532</v>
      </c>
      <c r="L1268" s="552">
        <v>2075</v>
      </c>
      <c r="O1268" t="s">
        <v>968</v>
      </c>
    </row>
    <row r="1269" spans="1:15" hidden="1">
      <c r="A1269" t="s">
        <v>942</v>
      </c>
      <c r="B1269" t="s">
        <v>946</v>
      </c>
      <c r="C1269" s="553">
        <v>44279</v>
      </c>
      <c r="D1269" s="281" t="s">
        <v>4548</v>
      </c>
      <c r="E1269" s="281" t="s">
        <v>3980</v>
      </c>
      <c r="F1269" s="281">
        <v>1</v>
      </c>
      <c r="G1269" s="281">
        <v>5020000000</v>
      </c>
      <c r="H1269" t="s">
        <v>2016</v>
      </c>
      <c r="I1269" t="s">
        <v>319</v>
      </c>
      <c r="J1269" t="s">
        <v>820</v>
      </c>
      <c r="K1269" t="s">
        <v>1532</v>
      </c>
      <c r="L1269" s="552">
        <v>20750</v>
      </c>
      <c r="O1269" t="s">
        <v>961</v>
      </c>
    </row>
    <row r="1270" spans="1:15" hidden="1">
      <c r="A1270" t="s">
        <v>942</v>
      </c>
      <c r="B1270" t="s">
        <v>946</v>
      </c>
      <c r="C1270" s="553">
        <v>44279</v>
      </c>
      <c r="D1270" s="281" t="s">
        <v>4548</v>
      </c>
      <c r="E1270" s="281" t="s">
        <v>3980</v>
      </c>
      <c r="F1270" s="281">
        <v>1</v>
      </c>
      <c r="G1270" s="281">
        <v>5020000000</v>
      </c>
      <c r="H1270" t="s">
        <v>2017</v>
      </c>
      <c r="I1270" t="s">
        <v>665</v>
      </c>
      <c r="J1270" t="s">
        <v>820</v>
      </c>
      <c r="K1270" t="s">
        <v>1532</v>
      </c>
      <c r="L1270" s="552">
        <v>1037.5</v>
      </c>
      <c r="O1270" t="s">
        <v>961</v>
      </c>
    </row>
    <row r="1271" spans="1:15" hidden="1">
      <c r="A1271" t="s">
        <v>942</v>
      </c>
      <c r="B1271" t="s">
        <v>946</v>
      </c>
      <c r="C1271" s="553">
        <v>44279</v>
      </c>
      <c r="D1271" s="281" t="s">
        <v>4548</v>
      </c>
      <c r="E1271" s="281" t="s">
        <v>3980</v>
      </c>
      <c r="F1271" s="281">
        <v>1</v>
      </c>
      <c r="G1271" s="281">
        <v>5020000000</v>
      </c>
      <c r="H1271" t="s">
        <v>2001</v>
      </c>
      <c r="I1271" t="s">
        <v>669</v>
      </c>
      <c r="J1271" t="s">
        <v>820</v>
      </c>
      <c r="K1271" t="s">
        <v>1532</v>
      </c>
      <c r="L1271" s="552">
        <v>2697.5</v>
      </c>
      <c r="O1271" t="s">
        <v>961</v>
      </c>
    </row>
    <row r="1272" spans="1:15" hidden="1">
      <c r="A1272" t="s">
        <v>942</v>
      </c>
      <c r="B1272" t="s">
        <v>946</v>
      </c>
      <c r="C1272" s="553">
        <v>44279</v>
      </c>
      <c r="D1272" s="281" t="s">
        <v>4548</v>
      </c>
      <c r="E1272" s="281" t="s">
        <v>3980</v>
      </c>
      <c r="F1272" s="281">
        <v>1</v>
      </c>
      <c r="G1272" s="281">
        <v>5020000000</v>
      </c>
      <c r="H1272" t="s">
        <v>2018</v>
      </c>
      <c r="I1272" t="s">
        <v>671</v>
      </c>
      <c r="J1272" t="s">
        <v>820</v>
      </c>
      <c r="K1272" t="s">
        <v>1532</v>
      </c>
      <c r="L1272" s="552">
        <v>5414.73</v>
      </c>
      <c r="O1272" t="s">
        <v>961</v>
      </c>
    </row>
    <row r="1273" spans="1:15" hidden="1">
      <c r="A1273" t="s">
        <v>942</v>
      </c>
      <c r="B1273" t="s">
        <v>946</v>
      </c>
      <c r="C1273" s="553">
        <v>44279</v>
      </c>
      <c r="D1273" s="281" t="s">
        <v>4548</v>
      </c>
      <c r="E1273" s="281" t="s">
        <v>3980</v>
      </c>
      <c r="F1273" s="281">
        <v>1</v>
      </c>
      <c r="G1273" s="281">
        <v>5020000000</v>
      </c>
      <c r="H1273" t="s">
        <v>2037</v>
      </c>
      <c r="I1273" t="s">
        <v>555</v>
      </c>
      <c r="J1273" t="s">
        <v>820</v>
      </c>
      <c r="K1273" t="s">
        <v>1532</v>
      </c>
      <c r="L1273" s="552">
        <v>2075</v>
      </c>
      <c r="O1273" t="s">
        <v>961</v>
      </c>
    </row>
    <row r="1274" spans="1:15" hidden="1">
      <c r="A1274" t="s">
        <v>942</v>
      </c>
      <c r="B1274" t="s">
        <v>946</v>
      </c>
      <c r="C1274" s="553">
        <v>44279</v>
      </c>
      <c r="D1274" s="281" t="s">
        <v>4548</v>
      </c>
      <c r="E1274" s="281" t="s">
        <v>3980</v>
      </c>
      <c r="F1274" s="281">
        <v>1</v>
      </c>
      <c r="G1274" s="281">
        <v>5020000000</v>
      </c>
      <c r="H1274" t="s">
        <v>2032</v>
      </c>
      <c r="I1274" t="s">
        <v>565</v>
      </c>
      <c r="J1274" t="s">
        <v>820</v>
      </c>
      <c r="K1274" t="s">
        <v>1532</v>
      </c>
      <c r="L1274" s="552">
        <v>10375</v>
      </c>
      <c r="O1274" t="s">
        <v>961</v>
      </c>
    </row>
    <row r="1275" spans="1:15" hidden="1">
      <c r="A1275" t="s">
        <v>942</v>
      </c>
      <c r="B1275" t="s">
        <v>946</v>
      </c>
      <c r="C1275" s="553">
        <v>44279</v>
      </c>
      <c r="D1275" s="281" t="s">
        <v>4548</v>
      </c>
      <c r="E1275" s="281" t="s">
        <v>3980</v>
      </c>
      <c r="F1275" s="281">
        <v>1</v>
      </c>
      <c r="G1275" s="281">
        <v>5020000000</v>
      </c>
      <c r="H1275" t="s">
        <v>1996</v>
      </c>
      <c r="I1275" t="s">
        <v>676</v>
      </c>
      <c r="J1275" t="s">
        <v>820</v>
      </c>
      <c r="K1275" t="s">
        <v>1532</v>
      </c>
      <c r="L1275" s="552">
        <v>3112.5</v>
      </c>
      <c r="O1275" t="s">
        <v>961</v>
      </c>
    </row>
    <row r="1276" spans="1:15" hidden="1">
      <c r="A1276" t="s">
        <v>942</v>
      </c>
      <c r="B1276" t="s">
        <v>946</v>
      </c>
      <c r="C1276" s="553">
        <v>44279</v>
      </c>
      <c r="D1276" s="281" t="s">
        <v>4548</v>
      </c>
      <c r="E1276" s="281" t="s">
        <v>3980</v>
      </c>
      <c r="F1276" s="281">
        <v>1</v>
      </c>
      <c r="G1276" s="281">
        <v>5020000000</v>
      </c>
      <c r="H1276" t="s">
        <v>2005</v>
      </c>
      <c r="I1276" t="s">
        <v>678</v>
      </c>
      <c r="J1276" t="s">
        <v>820</v>
      </c>
      <c r="K1276" t="s">
        <v>1532</v>
      </c>
      <c r="L1276" s="552">
        <v>5063</v>
      </c>
      <c r="O1276" t="s">
        <v>961</v>
      </c>
    </row>
    <row r="1277" spans="1:15" hidden="1">
      <c r="A1277" t="s">
        <v>942</v>
      </c>
      <c r="B1277" t="s">
        <v>946</v>
      </c>
      <c r="C1277" s="553">
        <v>44279</v>
      </c>
      <c r="D1277" s="281" t="s">
        <v>4548</v>
      </c>
      <c r="E1277" s="281" t="s">
        <v>3980</v>
      </c>
      <c r="F1277" s="281">
        <v>3</v>
      </c>
      <c r="G1277" s="281">
        <v>5020000000</v>
      </c>
      <c r="H1277" t="s">
        <v>2009</v>
      </c>
      <c r="I1277" t="s">
        <v>680</v>
      </c>
      <c r="J1277" t="s">
        <v>820</v>
      </c>
      <c r="K1277" t="s">
        <v>1532</v>
      </c>
      <c r="L1277" s="552">
        <v>1037.5</v>
      </c>
      <c r="O1277" t="s">
        <v>968</v>
      </c>
    </row>
    <row r="1278" spans="1:15" hidden="1">
      <c r="A1278" t="s">
        <v>942</v>
      </c>
      <c r="B1278" t="s">
        <v>946</v>
      </c>
      <c r="C1278" s="553">
        <v>44279</v>
      </c>
      <c r="D1278" s="281" t="s">
        <v>4548</v>
      </c>
      <c r="E1278" s="281" t="s">
        <v>3980</v>
      </c>
      <c r="F1278" s="281">
        <v>1</v>
      </c>
      <c r="G1278" s="281">
        <v>5020000000</v>
      </c>
      <c r="H1278" t="s">
        <v>1999</v>
      </c>
      <c r="I1278" t="s">
        <v>672</v>
      </c>
      <c r="J1278" t="s">
        <v>820</v>
      </c>
      <c r="K1278" t="s">
        <v>1532</v>
      </c>
      <c r="L1278" s="552">
        <v>11952</v>
      </c>
      <c r="O1278" t="s">
        <v>961</v>
      </c>
    </row>
    <row r="1279" spans="1:15" hidden="1">
      <c r="A1279" t="s">
        <v>942</v>
      </c>
      <c r="B1279" t="s">
        <v>946</v>
      </c>
      <c r="C1279" s="553">
        <v>44279</v>
      </c>
      <c r="D1279" s="281" t="s">
        <v>4549</v>
      </c>
      <c r="E1279" s="281" t="s">
        <v>3982</v>
      </c>
      <c r="F1279" s="281">
        <v>1</v>
      </c>
      <c r="G1279" s="281">
        <v>5020000000</v>
      </c>
      <c r="H1279" t="s">
        <v>2038</v>
      </c>
      <c r="I1279" t="s">
        <v>567</v>
      </c>
      <c r="J1279" t="s">
        <v>821</v>
      </c>
      <c r="K1279" t="s">
        <v>1532</v>
      </c>
      <c r="L1279" s="552">
        <v>1867.5</v>
      </c>
      <c r="O1279" t="s">
        <v>961</v>
      </c>
    </row>
    <row r="1280" spans="1:15" hidden="1">
      <c r="A1280" t="s">
        <v>942</v>
      </c>
      <c r="B1280" t="s">
        <v>946</v>
      </c>
      <c r="C1280" s="553">
        <v>44279</v>
      </c>
      <c r="D1280" s="281" t="s">
        <v>4549</v>
      </c>
      <c r="E1280" s="281" t="s">
        <v>3982</v>
      </c>
      <c r="F1280" s="281">
        <v>1</v>
      </c>
      <c r="G1280" s="281">
        <v>5020000000</v>
      </c>
      <c r="H1280" t="s">
        <v>2039</v>
      </c>
      <c r="I1280" t="s">
        <v>560</v>
      </c>
      <c r="J1280" t="s">
        <v>821</v>
      </c>
      <c r="K1280" t="s">
        <v>1532</v>
      </c>
      <c r="L1280" s="552">
        <v>14940</v>
      </c>
      <c r="O1280" t="s">
        <v>961</v>
      </c>
    </row>
    <row r="1281" spans="1:15" hidden="1">
      <c r="A1281" t="s">
        <v>942</v>
      </c>
      <c r="B1281" t="s">
        <v>946</v>
      </c>
      <c r="C1281" s="553">
        <v>44279</v>
      </c>
      <c r="D1281" s="281" t="s">
        <v>4549</v>
      </c>
      <c r="E1281" s="281" t="s">
        <v>3982</v>
      </c>
      <c r="F1281" s="281">
        <v>1</v>
      </c>
      <c r="G1281" s="281">
        <v>5020000000</v>
      </c>
      <c r="H1281" t="s">
        <v>2034</v>
      </c>
      <c r="I1281" t="s">
        <v>581</v>
      </c>
      <c r="J1281" t="s">
        <v>821</v>
      </c>
      <c r="K1281" t="s">
        <v>1532</v>
      </c>
      <c r="L1281" s="552">
        <v>10816.66</v>
      </c>
      <c r="O1281" t="s">
        <v>961</v>
      </c>
    </row>
    <row r="1282" spans="1:15" hidden="1">
      <c r="A1282" t="s">
        <v>942</v>
      </c>
      <c r="B1282" t="s">
        <v>946</v>
      </c>
      <c r="C1282" s="553">
        <v>44279</v>
      </c>
      <c r="D1282" s="281" t="s">
        <v>4549</v>
      </c>
      <c r="E1282" s="281" t="s">
        <v>3982</v>
      </c>
      <c r="F1282" s="281">
        <v>1</v>
      </c>
      <c r="G1282" s="281">
        <v>5020000000</v>
      </c>
      <c r="H1282" t="s">
        <v>2035</v>
      </c>
      <c r="I1282" t="s">
        <v>596</v>
      </c>
      <c r="J1282" t="s">
        <v>821</v>
      </c>
      <c r="K1282" t="s">
        <v>1532</v>
      </c>
      <c r="L1282" s="552">
        <v>2118.15</v>
      </c>
      <c r="O1282" t="s">
        <v>961</v>
      </c>
    </row>
    <row r="1283" spans="1:15" hidden="1">
      <c r="A1283" t="s">
        <v>942</v>
      </c>
      <c r="B1283" t="s">
        <v>946</v>
      </c>
      <c r="C1283" s="553">
        <v>44279</v>
      </c>
      <c r="D1283" s="281" t="s">
        <v>4549</v>
      </c>
      <c r="E1283" s="281" t="s">
        <v>3982</v>
      </c>
      <c r="F1283" s="281">
        <v>1</v>
      </c>
      <c r="G1283" s="281">
        <v>5020000000</v>
      </c>
      <c r="H1283" t="s">
        <v>2040</v>
      </c>
      <c r="I1283" t="s">
        <v>598</v>
      </c>
      <c r="J1283" t="s">
        <v>821</v>
      </c>
      <c r="K1283" t="s">
        <v>1532</v>
      </c>
      <c r="L1283" s="552">
        <v>47087.72</v>
      </c>
      <c r="O1283" t="s">
        <v>961</v>
      </c>
    </row>
    <row r="1284" spans="1:15" hidden="1">
      <c r="A1284" t="s">
        <v>942</v>
      </c>
      <c r="B1284" t="s">
        <v>946</v>
      </c>
      <c r="C1284" s="553">
        <v>44279</v>
      </c>
      <c r="D1284" s="281" t="s">
        <v>4549</v>
      </c>
      <c r="E1284" s="281" t="s">
        <v>3982</v>
      </c>
      <c r="F1284" s="281">
        <v>1</v>
      </c>
      <c r="G1284" s="281">
        <v>5020000000</v>
      </c>
      <c r="H1284" t="s">
        <v>2041</v>
      </c>
      <c r="I1284" t="s">
        <v>601</v>
      </c>
      <c r="J1284" t="s">
        <v>821</v>
      </c>
      <c r="K1284" t="s">
        <v>1532</v>
      </c>
      <c r="L1284" s="552">
        <v>1245</v>
      </c>
      <c r="O1284" t="s">
        <v>961</v>
      </c>
    </row>
    <row r="1285" spans="1:15" hidden="1">
      <c r="A1285" t="s">
        <v>942</v>
      </c>
      <c r="B1285" t="s">
        <v>946</v>
      </c>
      <c r="C1285" s="553">
        <v>44279</v>
      </c>
      <c r="D1285" s="281" t="s">
        <v>4549</v>
      </c>
      <c r="E1285" s="281" t="s">
        <v>3982</v>
      </c>
      <c r="F1285" s="281">
        <v>1</v>
      </c>
      <c r="G1285" s="281">
        <v>5020000000</v>
      </c>
      <c r="H1285" t="s">
        <v>2011</v>
      </c>
      <c r="I1285" t="s">
        <v>605</v>
      </c>
      <c r="J1285" t="s">
        <v>821</v>
      </c>
      <c r="K1285" t="s">
        <v>1532</v>
      </c>
      <c r="L1285" s="552">
        <v>7586.8</v>
      </c>
      <c r="O1285" t="s">
        <v>961</v>
      </c>
    </row>
    <row r="1286" spans="1:15" hidden="1">
      <c r="A1286" t="s">
        <v>942</v>
      </c>
      <c r="B1286" t="s">
        <v>946</v>
      </c>
      <c r="C1286" s="553">
        <v>44279</v>
      </c>
      <c r="D1286" s="281" t="s">
        <v>4549</v>
      </c>
      <c r="E1286" s="281" t="s">
        <v>3982</v>
      </c>
      <c r="F1286" s="281">
        <v>1</v>
      </c>
      <c r="G1286" s="281">
        <v>5020000000</v>
      </c>
      <c r="H1286" t="s">
        <v>2002</v>
      </c>
      <c r="I1286" t="s">
        <v>603</v>
      </c>
      <c r="J1286" t="s">
        <v>821</v>
      </c>
      <c r="K1286" t="s">
        <v>1532</v>
      </c>
      <c r="L1286" s="552">
        <v>4482</v>
      </c>
      <c r="O1286" t="s">
        <v>961</v>
      </c>
    </row>
    <row r="1287" spans="1:15" hidden="1">
      <c r="A1287" t="s">
        <v>942</v>
      </c>
      <c r="B1287" t="s">
        <v>946</v>
      </c>
      <c r="C1287" s="553">
        <v>44279</v>
      </c>
      <c r="D1287" s="281" t="s">
        <v>4549</v>
      </c>
      <c r="E1287" s="281" t="s">
        <v>3982</v>
      </c>
      <c r="F1287" s="281">
        <v>1</v>
      </c>
      <c r="G1287" s="281">
        <v>5020000000</v>
      </c>
      <c r="H1287" t="s">
        <v>2003</v>
      </c>
      <c r="I1287" t="s">
        <v>609</v>
      </c>
      <c r="J1287" t="s">
        <v>821</v>
      </c>
      <c r="K1287" t="s">
        <v>1532</v>
      </c>
      <c r="L1287" s="552">
        <v>871.5</v>
      </c>
      <c r="O1287" t="s">
        <v>961</v>
      </c>
    </row>
    <row r="1288" spans="1:15" hidden="1">
      <c r="A1288" t="s">
        <v>942</v>
      </c>
      <c r="B1288" t="s">
        <v>946</v>
      </c>
      <c r="C1288" s="553">
        <v>44279</v>
      </c>
      <c r="D1288" s="281" t="s">
        <v>4549</v>
      </c>
      <c r="E1288" s="281" t="s">
        <v>3982</v>
      </c>
      <c r="F1288" s="281">
        <v>1</v>
      </c>
      <c r="G1288" s="281">
        <v>5020000000</v>
      </c>
      <c r="H1288" t="s">
        <v>2012</v>
      </c>
      <c r="I1288" t="s">
        <v>627</v>
      </c>
      <c r="J1288" t="s">
        <v>821</v>
      </c>
      <c r="K1288" t="s">
        <v>1532</v>
      </c>
      <c r="L1288" s="552">
        <v>747</v>
      </c>
      <c r="O1288" t="s">
        <v>961</v>
      </c>
    </row>
    <row r="1289" spans="1:15" hidden="1">
      <c r="A1289" t="s">
        <v>942</v>
      </c>
      <c r="B1289" t="s">
        <v>946</v>
      </c>
      <c r="C1289" s="553">
        <v>44279</v>
      </c>
      <c r="D1289" s="281" t="s">
        <v>4549</v>
      </c>
      <c r="E1289" s="281" t="s">
        <v>3982</v>
      </c>
      <c r="F1289" s="281">
        <v>1</v>
      </c>
      <c r="G1289" s="281">
        <v>5020000000</v>
      </c>
      <c r="H1289" t="s">
        <v>2007</v>
      </c>
      <c r="I1289" t="s">
        <v>638</v>
      </c>
      <c r="J1289" t="s">
        <v>821</v>
      </c>
      <c r="K1289" t="s">
        <v>1532</v>
      </c>
      <c r="L1289" s="552">
        <v>21580</v>
      </c>
      <c r="O1289" t="s">
        <v>961</v>
      </c>
    </row>
    <row r="1290" spans="1:15" hidden="1">
      <c r="A1290" t="s">
        <v>942</v>
      </c>
      <c r="B1290" t="s">
        <v>946</v>
      </c>
      <c r="C1290" s="553">
        <v>44279</v>
      </c>
      <c r="D1290" s="281" t="s">
        <v>4549</v>
      </c>
      <c r="E1290" s="281" t="s">
        <v>3982</v>
      </c>
      <c r="F1290" s="281">
        <v>1</v>
      </c>
      <c r="G1290" s="281">
        <v>5020000000</v>
      </c>
      <c r="H1290" t="s">
        <v>1997</v>
      </c>
      <c r="I1290" t="s">
        <v>642</v>
      </c>
      <c r="J1290" t="s">
        <v>821</v>
      </c>
      <c r="K1290" t="s">
        <v>1532</v>
      </c>
      <c r="L1290" s="552">
        <v>164374.85999999999</v>
      </c>
      <c r="O1290" t="s">
        <v>961</v>
      </c>
    </row>
    <row r="1291" spans="1:15" hidden="1">
      <c r="A1291" t="s">
        <v>942</v>
      </c>
      <c r="B1291" t="s">
        <v>946</v>
      </c>
      <c r="C1291" s="553">
        <v>44279</v>
      </c>
      <c r="D1291" s="281" t="s">
        <v>4549</v>
      </c>
      <c r="E1291" s="281" t="s">
        <v>3982</v>
      </c>
      <c r="F1291" s="281">
        <v>3</v>
      </c>
      <c r="G1291" s="281">
        <v>5020000000</v>
      </c>
      <c r="H1291" t="s">
        <v>2019</v>
      </c>
      <c r="I1291" t="s">
        <v>646</v>
      </c>
      <c r="J1291" t="s">
        <v>821</v>
      </c>
      <c r="K1291" t="s">
        <v>1532</v>
      </c>
      <c r="L1291" s="552">
        <v>24900</v>
      </c>
      <c r="O1291" t="s">
        <v>968</v>
      </c>
    </row>
    <row r="1292" spans="1:15" hidden="1">
      <c r="A1292" t="s">
        <v>942</v>
      </c>
      <c r="B1292" t="s">
        <v>946</v>
      </c>
      <c r="C1292" s="553">
        <v>44279</v>
      </c>
      <c r="D1292" s="281" t="s">
        <v>4549</v>
      </c>
      <c r="E1292" s="281" t="s">
        <v>3982</v>
      </c>
      <c r="F1292" s="281">
        <v>4</v>
      </c>
      <c r="G1292" s="281">
        <v>5020000000</v>
      </c>
      <c r="H1292" t="s">
        <v>2013</v>
      </c>
      <c r="I1292" t="s">
        <v>311</v>
      </c>
      <c r="J1292" t="s">
        <v>821</v>
      </c>
      <c r="K1292" t="s">
        <v>1532</v>
      </c>
      <c r="L1292" s="552">
        <v>4150</v>
      </c>
      <c r="O1292" t="s">
        <v>971</v>
      </c>
    </row>
    <row r="1293" spans="1:15" hidden="1">
      <c r="A1293" t="s">
        <v>942</v>
      </c>
      <c r="B1293" t="s">
        <v>946</v>
      </c>
      <c r="C1293" s="553">
        <v>44279</v>
      </c>
      <c r="D1293" s="281" t="s">
        <v>4549</v>
      </c>
      <c r="E1293" s="281" t="s">
        <v>3982</v>
      </c>
      <c r="F1293" s="281">
        <v>3</v>
      </c>
      <c r="G1293" s="281">
        <v>5020000000</v>
      </c>
      <c r="H1293" t="s">
        <v>2014</v>
      </c>
      <c r="I1293" t="s">
        <v>651</v>
      </c>
      <c r="J1293" t="s">
        <v>821</v>
      </c>
      <c r="K1293" t="s">
        <v>1532</v>
      </c>
      <c r="L1293" s="552">
        <v>4150</v>
      </c>
      <c r="O1293" t="s">
        <v>968</v>
      </c>
    </row>
    <row r="1294" spans="1:15" hidden="1">
      <c r="A1294" t="s">
        <v>942</v>
      </c>
      <c r="B1294" t="s">
        <v>946</v>
      </c>
      <c r="C1294" s="553">
        <v>44279</v>
      </c>
      <c r="D1294" s="281" t="s">
        <v>4549</v>
      </c>
      <c r="E1294" s="281" t="s">
        <v>3982</v>
      </c>
      <c r="F1294" s="281">
        <v>3</v>
      </c>
      <c r="G1294" s="281">
        <v>5020000000</v>
      </c>
      <c r="H1294" t="s">
        <v>2015</v>
      </c>
      <c r="I1294" t="s">
        <v>662</v>
      </c>
      <c r="J1294" t="s">
        <v>821</v>
      </c>
      <c r="K1294" t="s">
        <v>1532</v>
      </c>
      <c r="L1294" s="552">
        <v>2075</v>
      </c>
      <c r="O1294" t="s">
        <v>968</v>
      </c>
    </row>
    <row r="1295" spans="1:15" hidden="1">
      <c r="A1295" t="s">
        <v>942</v>
      </c>
      <c r="B1295" t="s">
        <v>946</v>
      </c>
      <c r="C1295" s="553">
        <v>44279</v>
      </c>
      <c r="D1295" s="281" t="s">
        <v>4549</v>
      </c>
      <c r="E1295" s="281" t="s">
        <v>3982</v>
      </c>
      <c r="F1295" s="281">
        <v>1</v>
      </c>
      <c r="G1295" s="281">
        <v>5020000000</v>
      </c>
      <c r="H1295" t="s">
        <v>2016</v>
      </c>
      <c r="I1295" t="s">
        <v>319</v>
      </c>
      <c r="J1295" t="s">
        <v>821</v>
      </c>
      <c r="K1295" t="s">
        <v>1532</v>
      </c>
      <c r="L1295" s="552">
        <v>20750</v>
      </c>
      <c r="O1295" t="s">
        <v>961</v>
      </c>
    </row>
    <row r="1296" spans="1:15" hidden="1">
      <c r="A1296" t="s">
        <v>942</v>
      </c>
      <c r="B1296" t="s">
        <v>946</v>
      </c>
      <c r="C1296" s="553">
        <v>44279</v>
      </c>
      <c r="D1296" s="281" t="s">
        <v>4549</v>
      </c>
      <c r="E1296" s="281" t="s">
        <v>3982</v>
      </c>
      <c r="F1296" s="281">
        <v>1</v>
      </c>
      <c r="G1296" s="281">
        <v>5020000000</v>
      </c>
      <c r="H1296" t="s">
        <v>2017</v>
      </c>
      <c r="I1296" t="s">
        <v>665</v>
      </c>
      <c r="J1296" t="s">
        <v>821</v>
      </c>
      <c r="K1296" t="s">
        <v>1532</v>
      </c>
      <c r="L1296" s="552">
        <v>1556.25</v>
      </c>
      <c r="O1296" t="s">
        <v>961</v>
      </c>
    </row>
    <row r="1297" spans="1:15" hidden="1">
      <c r="A1297" t="s">
        <v>942</v>
      </c>
      <c r="B1297" t="s">
        <v>946</v>
      </c>
      <c r="C1297" s="553">
        <v>44279</v>
      </c>
      <c r="D1297" s="281" t="s">
        <v>4549</v>
      </c>
      <c r="E1297" s="281" t="s">
        <v>3982</v>
      </c>
      <c r="F1297" s="281">
        <v>1</v>
      </c>
      <c r="G1297" s="281">
        <v>5020000000</v>
      </c>
      <c r="H1297" t="s">
        <v>2001</v>
      </c>
      <c r="I1297" t="s">
        <v>669</v>
      </c>
      <c r="J1297" t="s">
        <v>821</v>
      </c>
      <c r="K1297" t="s">
        <v>1532</v>
      </c>
      <c r="L1297" s="552">
        <v>2085.38</v>
      </c>
      <c r="O1297" t="s">
        <v>961</v>
      </c>
    </row>
    <row r="1298" spans="1:15" hidden="1">
      <c r="A1298" t="s">
        <v>942</v>
      </c>
      <c r="B1298" t="s">
        <v>946</v>
      </c>
      <c r="C1298" s="553">
        <v>44279</v>
      </c>
      <c r="D1298" s="281" t="s">
        <v>4549</v>
      </c>
      <c r="E1298" s="281" t="s">
        <v>3982</v>
      </c>
      <c r="F1298" s="281">
        <v>1</v>
      </c>
      <c r="G1298" s="281">
        <v>5020000000</v>
      </c>
      <c r="H1298" t="s">
        <v>2018</v>
      </c>
      <c r="I1298" t="s">
        <v>671</v>
      </c>
      <c r="J1298" t="s">
        <v>821</v>
      </c>
      <c r="K1298" t="s">
        <v>1532</v>
      </c>
      <c r="L1298" s="552">
        <v>4565</v>
      </c>
      <c r="O1298" t="s">
        <v>961</v>
      </c>
    </row>
    <row r="1299" spans="1:15" hidden="1">
      <c r="A1299" t="s">
        <v>942</v>
      </c>
      <c r="B1299" t="s">
        <v>946</v>
      </c>
      <c r="C1299" s="553">
        <v>44279</v>
      </c>
      <c r="D1299" s="281" t="s">
        <v>4549</v>
      </c>
      <c r="E1299" s="281" t="s">
        <v>3982</v>
      </c>
      <c r="F1299" s="281">
        <v>1</v>
      </c>
      <c r="G1299" s="281">
        <v>5020000000</v>
      </c>
      <c r="H1299" t="s">
        <v>2000</v>
      </c>
      <c r="I1299" t="s">
        <v>683</v>
      </c>
      <c r="J1299" t="s">
        <v>821</v>
      </c>
      <c r="K1299" t="s">
        <v>1532</v>
      </c>
      <c r="L1299" s="552">
        <v>128235</v>
      </c>
      <c r="O1299" t="s">
        <v>961</v>
      </c>
    </row>
    <row r="1300" spans="1:15" hidden="1">
      <c r="A1300" t="s">
        <v>942</v>
      </c>
      <c r="B1300" t="s">
        <v>946</v>
      </c>
      <c r="C1300" s="553">
        <v>44279</v>
      </c>
      <c r="D1300" s="281" t="s">
        <v>4549</v>
      </c>
      <c r="E1300" s="281" t="s">
        <v>3982</v>
      </c>
      <c r="F1300" s="281">
        <v>1</v>
      </c>
      <c r="G1300" s="281">
        <v>5020000000</v>
      </c>
      <c r="H1300" t="s">
        <v>2037</v>
      </c>
      <c r="I1300" t="s">
        <v>555</v>
      </c>
      <c r="J1300" t="s">
        <v>821</v>
      </c>
      <c r="K1300" t="s">
        <v>1532</v>
      </c>
      <c r="L1300" s="552">
        <v>2075</v>
      </c>
      <c r="O1300" t="s">
        <v>961</v>
      </c>
    </row>
    <row r="1301" spans="1:15" hidden="1">
      <c r="A1301" t="s">
        <v>942</v>
      </c>
      <c r="B1301" t="s">
        <v>946</v>
      </c>
      <c r="C1301" s="553">
        <v>44279</v>
      </c>
      <c r="D1301" s="281" t="s">
        <v>4549</v>
      </c>
      <c r="E1301" s="281" t="s">
        <v>3982</v>
      </c>
      <c r="F1301" s="281">
        <v>1</v>
      </c>
      <c r="G1301" s="281">
        <v>5020000000</v>
      </c>
      <c r="H1301" t="s">
        <v>2032</v>
      </c>
      <c r="I1301" t="s">
        <v>565</v>
      </c>
      <c r="J1301" t="s">
        <v>821</v>
      </c>
      <c r="K1301" t="s">
        <v>1532</v>
      </c>
      <c r="L1301" s="552">
        <v>10375</v>
      </c>
      <c r="O1301" t="s">
        <v>961</v>
      </c>
    </row>
    <row r="1302" spans="1:15" hidden="1">
      <c r="A1302" t="s">
        <v>942</v>
      </c>
      <c r="B1302" t="s">
        <v>946</v>
      </c>
      <c r="C1302" s="553">
        <v>44279</v>
      </c>
      <c r="D1302" s="281" t="s">
        <v>4549</v>
      </c>
      <c r="E1302" s="281" t="s">
        <v>3982</v>
      </c>
      <c r="F1302" s="281">
        <v>1</v>
      </c>
      <c r="G1302" s="281">
        <v>5020000000</v>
      </c>
      <c r="H1302" t="s">
        <v>1996</v>
      </c>
      <c r="I1302" t="s">
        <v>676</v>
      </c>
      <c r="J1302" t="s">
        <v>821</v>
      </c>
      <c r="K1302" t="s">
        <v>1532</v>
      </c>
      <c r="L1302" s="552">
        <v>1037.5</v>
      </c>
      <c r="O1302" t="s">
        <v>961</v>
      </c>
    </row>
    <row r="1303" spans="1:15" hidden="1">
      <c r="A1303" t="s">
        <v>942</v>
      </c>
      <c r="B1303" t="s">
        <v>946</v>
      </c>
      <c r="C1303" s="553">
        <v>44279</v>
      </c>
      <c r="D1303" s="281" t="s">
        <v>4549</v>
      </c>
      <c r="E1303" s="281" t="s">
        <v>3982</v>
      </c>
      <c r="F1303" s="281">
        <v>1</v>
      </c>
      <c r="G1303" s="281">
        <v>5020000000</v>
      </c>
      <c r="H1303" t="s">
        <v>2005</v>
      </c>
      <c r="I1303" t="s">
        <v>678</v>
      </c>
      <c r="J1303" t="s">
        <v>821</v>
      </c>
      <c r="K1303" t="s">
        <v>1532</v>
      </c>
      <c r="L1303" s="552">
        <v>5063</v>
      </c>
      <c r="O1303" t="s">
        <v>961</v>
      </c>
    </row>
    <row r="1304" spans="1:15" hidden="1">
      <c r="A1304" t="s">
        <v>942</v>
      </c>
      <c r="B1304" t="s">
        <v>946</v>
      </c>
      <c r="C1304" s="553">
        <v>44279</v>
      </c>
      <c r="D1304" s="281" t="s">
        <v>4549</v>
      </c>
      <c r="E1304" s="281" t="s">
        <v>3982</v>
      </c>
      <c r="F1304" s="281">
        <v>3</v>
      </c>
      <c r="G1304" s="281">
        <v>5020000000</v>
      </c>
      <c r="H1304" t="s">
        <v>2009</v>
      </c>
      <c r="I1304" t="s">
        <v>680</v>
      </c>
      <c r="J1304" t="s">
        <v>821</v>
      </c>
      <c r="K1304" t="s">
        <v>1532</v>
      </c>
      <c r="L1304" s="552">
        <v>4980</v>
      </c>
      <c r="O1304" t="s">
        <v>968</v>
      </c>
    </row>
    <row r="1305" spans="1:15" hidden="1">
      <c r="A1305" t="s">
        <v>942</v>
      </c>
      <c r="B1305" t="s">
        <v>946</v>
      </c>
      <c r="C1305" s="553">
        <v>44279</v>
      </c>
      <c r="D1305" s="281" t="s">
        <v>4549</v>
      </c>
      <c r="E1305" s="281" t="s">
        <v>3982</v>
      </c>
      <c r="F1305" s="281">
        <v>1</v>
      </c>
      <c r="G1305" s="281">
        <v>5020000000</v>
      </c>
      <c r="H1305" t="s">
        <v>1999</v>
      </c>
      <c r="I1305" t="s">
        <v>672</v>
      </c>
      <c r="J1305" t="s">
        <v>821</v>
      </c>
      <c r="K1305" t="s">
        <v>1532</v>
      </c>
      <c r="L1305" s="552">
        <v>11952</v>
      </c>
      <c r="O1305" t="s">
        <v>961</v>
      </c>
    </row>
    <row r="1306" spans="1:15" hidden="1">
      <c r="A1306" t="s">
        <v>942</v>
      </c>
      <c r="B1306" t="s">
        <v>946</v>
      </c>
      <c r="C1306" s="553">
        <v>44279</v>
      </c>
      <c r="D1306" s="281" t="s">
        <v>4550</v>
      </c>
      <c r="E1306" s="281" t="s">
        <v>3984</v>
      </c>
      <c r="F1306" s="281">
        <v>1</v>
      </c>
      <c r="G1306" s="281">
        <v>5020000000</v>
      </c>
      <c r="H1306" t="s">
        <v>2038</v>
      </c>
      <c r="I1306" t="s">
        <v>567</v>
      </c>
      <c r="J1306" t="s">
        <v>822</v>
      </c>
      <c r="K1306" t="s">
        <v>1532</v>
      </c>
      <c r="L1306" s="552">
        <v>2490</v>
      </c>
      <c r="O1306" t="s">
        <v>961</v>
      </c>
    </row>
    <row r="1307" spans="1:15" hidden="1">
      <c r="A1307" t="s">
        <v>942</v>
      </c>
      <c r="B1307" t="s">
        <v>946</v>
      </c>
      <c r="C1307" s="553">
        <v>44279</v>
      </c>
      <c r="D1307" s="281" t="s">
        <v>4550</v>
      </c>
      <c r="E1307" s="281" t="s">
        <v>3984</v>
      </c>
      <c r="F1307" s="281">
        <v>1</v>
      </c>
      <c r="G1307" s="281">
        <v>5020000000</v>
      </c>
      <c r="H1307" t="s">
        <v>2039</v>
      </c>
      <c r="I1307" t="s">
        <v>560</v>
      </c>
      <c r="J1307" t="s">
        <v>822</v>
      </c>
      <c r="K1307" t="s">
        <v>1532</v>
      </c>
      <c r="L1307" s="552">
        <v>14940</v>
      </c>
      <c r="O1307" t="s">
        <v>961</v>
      </c>
    </row>
    <row r="1308" spans="1:15" hidden="1">
      <c r="A1308" t="s">
        <v>942</v>
      </c>
      <c r="B1308" t="s">
        <v>946</v>
      </c>
      <c r="C1308" s="553">
        <v>44279</v>
      </c>
      <c r="D1308" s="281" t="s">
        <v>4550</v>
      </c>
      <c r="E1308" s="281" t="s">
        <v>3984</v>
      </c>
      <c r="F1308" s="281">
        <v>1</v>
      </c>
      <c r="G1308" s="281">
        <v>5020000000</v>
      </c>
      <c r="H1308" t="s">
        <v>2034</v>
      </c>
      <c r="I1308" t="s">
        <v>581</v>
      </c>
      <c r="J1308" t="s">
        <v>822</v>
      </c>
      <c r="K1308" t="s">
        <v>1532</v>
      </c>
      <c r="L1308" s="552">
        <v>7470</v>
      </c>
      <c r="O1308" t="s">
        <v>961</v>
      </c>
    </row>
    <row r="1309" spans="1:15" hidden="1">
      <c r="A1309" t="s">
        <v>942</v>
      </c>
      <c r="B1309" t="s">
        <v>946</v>
      </c>
      <c r="C1309" s="553">
        <v>44279</v>
      </c>
      <c r="D1309" s="281" t="s">
        <v>4550</v>
      </c>
      <c r="E1309" s="281" t="s">
        <v>3984</v>
      </c>
      <c r="F1309" s="281">
        <v>1</v>
      </c>
      <c r="G1309" s="281">
        <v>5020000000</v>
      </c>
      <c r="H1309" t="s">
        <v>2035</v>
      </c>
      <c r="I1309" t="s">
        <v>596</v>
      </c>
      <c r="J1309" t="s">
        <v>822</v>
      </c>
      <c r="K1309" t="s">
        <v>1532</v>
      </c>
      <c r="L1309" s="552">
        <v>1992</v>
      </c>
      <c r="O1309" t="s">
        <v>961</v>
      </c>
    </row>
    <row r="1310" spans="1:15" hidden="1">
      <c r="A1310" t="s">
        <v>942</v>
      </c>
      <c r="B1310" t="s">
        <v>946</v>
      </c>
      <c r="C1310" s="553">
        <v>44279</v>
      </c>
      <c r="D1310" s="281" t="s">
        <v>4550</v>
      </c>
      <c r="E1310" s="281" t="s">
        <v>3984</v>
      </c>
      <c r="F1310" s="281">
        <v>1</v>
      </c>
      <c r="G1310" s="281">
        <v>5020000000</v>
      </c>
      <c r="H1310" t="s">
        <v>2040</v>
      </c>
      <c r="I1310" t="s">
        <v>598</v>
      </c>
      <c r="J1310" t="s">
        <v>822</v>
      </c>
      <c r="K1310" t="s">
        <v>1532</v>
      </c>
      <c r="L1310" s="552">
        <v>72625</v>
      </c>
      <c r="O1310" t="s">
        <v>961</v>
      </c>
    </row>
    <row r="1311" spans="1:15" hidden="1">
      <c r="A1311" t="s">
        <v>942</v>
      </c>
      <c r="B1311" t="s">
        <v>946</v>
      </c>
      <c r="C1311" s="553">
        <v>44279</v>
      </c>
      <c r="D1311" s="281" t="s">
        <v>4550</v>
      </c>
      <c r="E1311" s="281" t="s">
        <v>3984</v>
      </c>
      <c r="F1311" s="281">
        <v>1</v>
      </c>
      <c r="G1311" s="281">
        <v>5020000000</v>
      </c>
      <c r="H1311" t="s">
        <v>2041</v>
      </c>
      <c r="I1311" t="s">
        <v>601</v>
      </c>
      <c r="J1311" t="s">
        <v>822</v>
      </c>
      <c r="K1311" t="s">
        <v>1532</v>
      </c>
      <c r="L1311" s="552">
        <v>12450</v>
      </c>
      <c r="O1311" t="s">
        <v>961</v>
      </c>
    </row>
    <row r="1312" spans="1:15" hidden="1">
      <c r="A1312" t="s">
        <v>942</v>
      </c>
      <c r="B1312" t="s">
        <v>946</v>
      </c>
      <c r="C1312" s="553">
        <v>44279</v>
      </c>
      <c r="D1312" s="281" t="s">
        <v>4550</v>
      </c>
      <c r="E1312" s="281" t="s">
        <v>3984</v>
      </c>
      <c r="F1312" s="281">
        <v>1</v>
      </c>
      <c r="G1312" s="281">
        <v>5020000000</v>
      </c>
      <c r="H1312" t="s">
        <v>2011</v>
      </c>
      <c r="I1312" t="s">
        <v>605</v>
      </c>
      <c r="J1312" t="s">
        <v>822</v>
      </c>
      <c r="K1312" t="s">
        <v>1532</v>
      </c>
      <c r="L1312" s="552">
        <v>3735</v>
      </c>
      <c r="O1312" t="s">
        <v>961</v>
      </c>
    </row>
    <row r="1313" spans="1:15" hidden="1">
      <c r="A1313" t="s">
        <v>942</v>
      </c>
      <c r="B1313" t="s">
        <v>946</v>
      </c>
      <c r="C1313" s="553">
        <v>44279</v>
      </c>
      <c r="D1313" s="281" t="s">
        <v>4550</v>
      </c>
      <c r="E1313" s="281" t="s">
        <v>3984</v>
      </c>
      <c r="F1313" s="281">
        <v>1</v>
      </c>
      <c r="G1313" s="281">
        <v>5020000000</v>
      </c>
      <c r="H1313" t="s">
        <v>2002</v>
      </c>
      <c r="I1313" t="s">
        <v>603</v>
      </c>
      <c r="J1313" t="s">
        <v>822</v>
      </c>
      <c r="K1313" t="s">
        <v>1532</v>
      </c>
      <c r="L1313" s="552">
        <v>7470</v>
      </c>
      <c r="O1313" t="s">
        <v>961</v>
      </c>
    </row>
    <row r="1314" spans="1:15" hidden="1">
      <c r="A1314" t="s">
        <v>942</v>
      </c>
      <c r="B1314" t="s">
        <v>946</v>
      </c>
      <c r="C1314" s="553">
        <v>44279</v>
      </c>
      <c r="D1314" s="281" t="s">
        <v>4550</v>
      </c>
      <c r="E1314" s="281" t="s">
        <v>3984</v>
      </c>
      <c r="F1314" s="281">
        <v>1</v>
      </c>
      <c r="G1314" s="281">
        <v>5020000000</v>
      </c>
      <c r="H1314" t="s">
        <v>2003</v>
      </c>
      <c r="I1314" t="s">
        <v>609</v>
      </c>
      <c r="J1314" t="s">
        <v>822</v>
      </c>
      <c r="K1314" t="s">
        <v>1532</v>
      </c>
      <c r="L1314" s="552">
        <v>2502.4499999999998</v>
      </c>
      <c r="O1314" t="s">
        <v>961</v>
      </c>
    </row>
    <row r="1315" spans="1:15" hidden="1">
      <c r="A1315" t="s">
        <v>942</v>
      </c>
      <c r="B1315" t="s">
        <v>946</v>
      </c>
      <c r="C1315" s="553">
        <v>44279</v>
      </c>
      <c r="D1315" s="281" t="s">
        <v>4550</v>
      </c>
      <c r="E1315" s="281" t="s">
        <v>3984</v>
      </c>
      <c r="F1315" s="281">
        <v>1</v>
      </c>
      <c r="G1315" s="281">
        <v>5020000000</v>
      </c>
      <c r="H1315" t="s">
        <v>2012</v>
      </c>
      <c r="I1315" t="s">
        <v>627</v>
      </c>
      <c r="J1315" t="s">
        <v>822</v>
      </c>
      <c r="K1315" t="s">
        <v>1532</v>
      </c>
      <c r="L1315" s="552">
        <v>498</v>
      </c>
      <c r="O1315" t="s">
        <v>961</v>
      </c>
    </row>
    <row r="1316" spans="1:15" hidden="1">
      <c r="A1316" t="s">
        <v>942</v>
      </c>
      <c r="B1316" t="s">
        <v>946</v>
      </c>
      <c r="C1316" s="553">
        <v>44279</v>
      </c>
      <c r="D1316" s="281" t="s">
        <v>4550</v>
      </c>
      <c r="E1316" s="281" t="s">
        <v>3984</v>
      </c>
      <c r="F1316" s="281">
        <v>1</v>
      </c>
      <c r="G1316" s="281">
        <v>5020000000</v>
      </c>
      <c r="H1316" t="s">
        <v>2007</v>
      </c>
      <c r="I1316" t="s">
        <v>638</v>
      </c>
      <c r="J1316" t="s">
        <v>822</v>
      </c>
      <c r="K1316" t="s">
        <v>1532</v>
      </c>
      <c r="L1316" s="552">
        <v>41541.5</v>
      </c>
      <c r="O1316" t="s">
        <v>961</v>
      </c>
    </row>
    <row r="1317" spans="1:15" hidden="1">
      <c r="A1317" t="s">
        <v>942</v>
      </c>
      <c r="B1317" t="s">
        <v>946</v>
      </c>
      <c r="C1317" s="553">
        <v>44279</v>
      </c>
      <c r="D1317" s="281" t="s">
        <v>4550</v>
      </c>
      <c r="E1317" s="281" t="s">
        <v>3984</v>
      </c>
      <c r="F1317" s="281">
        <v>2</v>
      </c>
      <c r="G1317" s="281">
        <v>5020000000</v>
      </c>
      <c r="H1317" t="s">
        <v>1997</v>
      </c>
      <c r="I1317" t="s">
        <v>642</v>
      </c>
      <c r="J1317" t="s">
        <v>822</v>
      </c>
      <c r="K1317" t="s">
        <v>1532</v>
      </c>
      <c r="L1317" s="552">
        <v>167342.10999999999</v>
      </c>
      <c r="O1317" t="s">
        <v>965</v>
      </c>
    </row>
    <row r="1318" spans="1:15" hidden="1">
      <c r="A1318" t="s">
        <v>942</v>
      </c>
      <c r="B1318" t="s">
        <v>946</v>
      </c>
      <c r="C1318" s="553">
        <v>44279</v>
      </c>
      <c r="D1318" s="281" t="s">
        <v>4550</v>
      </c>
      <c r="E1318" s="281" t="s">
        <v>3984</v>
      </c>
      <c r="F1318" s="281">
        <v>4</v>
      </c>
      <c r="G1318" s="281">
        <v>5020000000</v>
      </c>
      <c r="H1318" t="s">
        <v>2013</v>
      </c>
      <c r="I1318" t="s">
        <v>311</v>
      </c>
      <c r="J1318" t="s">
        <v>822</v>
      </c>
      <c r="K1318" t="s">
        <v>1532</v>
      </c>
      <c r="L1318" s="552">
        <v>4150</v>
      </c>
      <c r="O1318" t="s">
        <v>971</v>
      </c>
    </row>
    <row r="1319" spans="1:15" hidden="1">
      <c r="A1319" t="s">
        <v>942</v>
      </c>
      <c r="B1319" t="s">
        <v>946</v>
      </c>
      <c r="C1319" s="553">
        <v>44279</v>
      </c>
      <c r="D1319" s="281" t="s">
        <v>4550</v>
      </c>
      <c r="E1319" s="281" t="s">
        <v>3984</v>
      </c>
      <c r="F1319" s="281">
        <v>3</v>
      </c>
      <c r="G1319" s="281">
        <v>5020000000</v>
      </c>
      <c r="H1319" t="s">
        <v>2014</v>
      </c>
      <c r="I1319" t="s">
        <v>651</v>
      </c>
      <c r="J1319" t="s">
        <v>822</v>
      </c>
      <c r="K1319" t="s">
        <v>1532</v>
      </c>
      <c r="L1319" s="552">
        <v>4150</v>
      </c>
      <c r="O1319" t="s">
        <v>968</v>
      </c>
    </row>
    <row r="1320" spans="1:15" hidden="1">
      <c r="A1320" t="s">
        <v>942</v>
      </c>
      <c r="B1320" t="s">
        <v>946</v>
      </c>
      <c r="C1320" s="553">
        <v>44279</v>
      </c>
      <c r="D1320" s="281" t="s">
        <v>4550</v>
      </c>
      <c r="E1320" s="281" t="s">
        <v>3984</v>
      </c>
      <c r="F1320" s="281">
        <v>3</v>
      </c>
      <c r="G1320" s="281">
        <v>5020000000</v>
      </c>
      <c r="H1320" t="s">
        <v>2015</v>
      </c>
      <c r="I1320" t="s">
        <v>662</v>
      </c>
      <c r="J1320" t="s">
        <v>822</v>
      </c>
      <c r="K1320" t="s">
        <v>1532</v>
      </c>
      <c r="L1320" s="552">
        <v>2075</v>
      </c>
      <c r="O1320" t="s">
        <v>968</v>
      </c>
    </row>
    <row r="1321" spans="1:15" hidden="1">
      <c r="A1321" t="s">
        <v>942</v>
      </c>
      <c r="B1321" t="s">
        <v>946</v>
      </c>
      <c r="C1321" s="553">
        <v>44279</v>
      </c>
      <c r="D1321" s="281" t="s">
        <v>4550</v>
      </c>
      <c r="E1321" s="281" t="s">
        <v>3984</v>
      </c>
      <c r="F1321" s="281">
        <v>1</v>
      </c>
      <c r="G1321" s="281">
        <v>5020000000</v>
      </c>
      <c r="H1321" t="s">
        <v>2016</v>
      </c>
      <c r="I1321" t="s">
        <v>319</v>
      </c>
      <c r="J1321" t="s">
        <v>822</v>
      </c>
      <c r="K1321" t="s">
        <v>1532</v>
      </c>
      <c r="L1321" s="552">
        <v>16600</v>
      </c>
      <c r="O1321" t="s">
        <v>961</v>
      </c>
    </row>
    <row r="1322" spans="1:15" hidden="1">
      <c r="A1322" t="s">
        <v>942</v>
      </c>
      <c r="B1322" t="s">
        <v>946</v>
      </c>
      <c r="C1322" s="553">
        <v>44279</v>
      </c>
      <c r="D1322" s="281" t="s">
        <v>4550</v>
      </c>
      <c r="E1322" s="281" t="s">
        <v>3984</v>
      </c>
      <c r="F1322" s="281">
        <v>1</v>
      </c>
      <c r="G1322" s="281">
        <v>5020000000</v>
      </c>
      <c r="H1322" t="s">
        <v>2017</v>
      </c>
      <c r="I1322" t="s">
        <v>665</v>
      </c>
      <c r="J1322" t="s">
        <v>822</v>
      </c>
      <c r="K1322" t="s">
        <v>1532</v>
      </c>
      <c r="L1322" s="552">
        <v>1037.5</v>
      </c>
      <c r="O1322" t="s">
        <v>961</v>
      </c>
    </row>
    <row r="1323" spans="1:15" hidden="1">
      <c r="A1323" t="s">
        <v>942</v>
      </c>
      <c r="B1323" t="s">
        <v>946</v>
      </c>
      <c r="C1323" s="553">
        <v>44279</v>
      </c>
      <c r="D1323" s="281" t="s">
        <v>4550</v>
      </c>
      <c r="E1323" s="281" t="s">
        <v>3984</v>
      </c>
      <c r="F1323" s="281">
        <v>1</v>
      </c>
      <c r="G1323" s="281">
        <v>5020000000</v>
      </c>
      <c r="H1323" t="s">
        <v>2001</v>
      </c>
      <c r="I1323" t="s">
        <v>669</v>
      </c>
      <c r="J1323" t="s">
        <v>822</v>
      </c>
      <c r="K1323" t="s">
        <v>1532</v>
      </c>
      <c r="L1323" s="552">
        <v>2075</v>
      </c>
      <c r="O1323" t="s">
        <v>961</v>
      </c>
    </row>
    <row r="1324" spans="1:15" hidden="1">
      <c r="A1324" t="s">
        <v>942</v>
      </c>
      <c r="B1324" t="s">
        <v>946</v>
      </c>
      <c r="C1324" s="553">
        <v>44279</v>
      </c>
      <c r="D1324" s="281" t="s">
        <v>4550</v>
      </c>
      <c r="E1324" s="281" t="s">
        <v>3984</v>
      </c>
      <c r="F1324" s="281">
        <v>1</v>
      </c>
      <c r="G1324" s="281">
        <v>5020000000</v>
      </c>
      <c r="H1324" t="s">
        <v>2018</v>
      </c>
      <c r="I1324" t="s">
        <v>671</v>
      </c>
      <c r="J1324" t="s">
        <v>822</v>
      </c>
      <c r="K1324" t="s">
        <v>1532</v>
      </c>
      <c r="L1324" s="552">
        <v>4565</v>
      </c>
      <c r="O1324" t="s">
        <v>961</v>
      </c>
    </row>
    <row r="1325" spans="1:15" hidden="1">
      <c r="A1325" t="s">
        <v>942</v>
      </c>
      <c r="B1325" t="s">
        <v>946</v>
      </c>
      <c r="C1325" s="553">
        <v>44279</v>
      </c>
      <c r="D1325" s="281" t="s">
        <v>4550</v>
      </c>
      <c r="E1325" s="281" t="s">
        <v>3984</v>
      </c>
      <c r="F1325" s="281">
        <v>1</v>
      </c>
      <c r="G1325" s="281">
        <v>5020000000</v>
      </c>
      <c r="H1325" t="s">
        <v>2000</v>
      </c>
      <c r="I1325" t="s">
        <v>683</v>
      </c>
      <c r="J1325" t="s">
        <v>822</v>
      </c>
      <c r="K1325" t="s">
        <v>1532</v>
      </c>
      <c r="L1325" s="552">
        <v>123670</v>
      </c>
      <c r="O1325" t="s">
        <v>961</v>
      </c>
    </row>
    <row r="1326" spans="1:15" hidden="1">
      <c r="A1326" t="s">
        <v>942</v>
      </c>
      <c r="B1326" t="s">
        <v>946</v>
      </c>
      <c r="C1326" s="553">
        <v>44279</v>
      </c>
      <c r="D1326" s="281" t="s">
        <v>4550</v>
      </c>
      <c r="E1326" s="281" t="s">
        <v>3984</v>
      </c>
      <c r="F1326" s="281">
        <v>1</v>
      </c>
      <c r="G1326" s="281">
        <v>5020000000</v>
      </c>
      <c r="H1326" t="s">
        <v>2010</v>
      </c>
      <c r="I1326" t="s">
        <v>693</v>
      </c>
      <c r="J1326" t="s">
        <v>822</v>
      </c>
      <c r="K1326" t="s">
        <v>1532</v>
      </c>
      <c r="L1326" s="552">
        <v>2490</v>
      </c>
      <c r="O1326" t="s">
        <v>961</v>
      </c>
    </row>
    <row r="1327" spans="1:15" hidden="1">
      <c r="A1327" t="s">
        <v>942</v>
      </c>
      <c r="B1327" t="s">
        <v>946</v>
      </c>
      <c r="C1327" s="553">
        <v>44279</v>
      </c>
      <c r="D1327" s="281" t="s">
        <v>4550</v>
      </c>
      <c r="E1327" s="281" t="s">
        <v>3984</v>
      </c>
      <c r="F1327" s="281">
        <v>1</v>
      </c>
      <c r="G1327" s="281">
        <v>5020000000</v>
      </c>
      <c r="H1327" t="s">
        <v>2037</v>
      </c>
      <c r="I1327" t="s">
        <v>555</v>
      </c>
      <c r="J1327" t="s">
        <v>822</v>
      </c>
      <c r="K1327" t="s">
        <v>1532</v>
      </c>
      <c r="L1327" s="552">
        <v>2075</v>
      </c>
      <c r="O1327" t="s">
        <v>961</v>
      </c>
    </row>
    <row r="1328" spans="1:15" hidden="1">
      <c r="A1328" t="s">
        <v>942</v>
      </c>
      <c r="B1328" t="s">
        <v>946</v>
      </c>
      <c r="C1328" s="553">
        <v>44279</v>
      </c>
      <c r="D1328" s="281" t="s">
        <v>4550</v>
      </c>
      <c r="E1328" s="281" t="s">
        <v>3984</v>
      </c>
      <c r="F1328" s="281">
        <v>1</v>
      </c>
      <c r="G1328" s="281">
        <v>5020000000</v>
      </c>
      <c r="H1328" t="s">
        <v>2032</v>
      </c>
      <c r="I1328" t="s">
        <v>565</v>
      </c>
      <c r="J1328" t="s">
        <v>822</v>
      </c>
      <c r="K1328" t="s">
        <v>1532</v>
      </c>
      <c r="L1328" s="552">
        <v>10375</v>
      </c>
      <c r="O1328" t="s">
        <v>961</v>
      </c>
    </row>
    <row r="1329" spans="1:15" hidden="1">
      <c r="A1329" t="s">
        <v>942</v>
      </c>
      <c r="B1329" t="s">
        <v>946</v>
      </c>
      <c r="C1329" s="553">
        <v>44279</v>
      </c>
      <c r="D1329" s="281" t="s">
        <v>4550</v>
      </c>
      <c r="E1329" s="281" t="s">
        <v>3984</v>
      </c>
      <c r="F1329" s="281">
        <v>1</v>
      </c>
      <c r="G1329" s="281">
        <v>5020000000</v>
      </c>
      <c r="H1329" t="s">
        <v>1996</v>
      </c>
      <c r="I1329" t="s">
        <v>676</v>
      </c>
      <c r="J1329" t="s">
        <v>822</v>
      </c>
      <c r="K1329" t="s">
        <v>1532</v>
      </c>
      <c r="L1329" s="552">
        <v>2075</v>
      </c>
      <c r="O1329" t="s">
        <v>961</v>
      </c>
    </row>
    <row r="1330" spans="1:15" hidden="1">
      <c r="A1330" t="s">
        <v>942</v>
      </c>
      <c r="B1330" t="s">
        <v>946</v>
      </c>
      <c r="C1330" s="553">
        <v>44279</v>
      </c>
      <c r="D1330" s="281" t="s">
        <v>4550</v>
      </c>
      <c r="E1330" s="281" t="s">
        <v>3984</v>
      </c>
      <c r="F1330" s="281">
        <v>1</v>
      </c>
      <c r="G1330" s="281">
        <v>5020000000</v>
      </c>
      <c r="H1330" t="s">
        <v>2005</v>
      </c>
      <c r="I1330" t="s">
        <v>678</v>
      </c>
      <c r="J1330" t="s">
        <v>822</v>
      </c>
      <c r="K1330" t="s">
        <v>1532</v>
      </c>
      <c r="L1330" s="552">
        <v>5063</v>
      </c>
      <c r="O1330" t="s">
        <v>961</v>
      </c>
    </row>
    <row r="1331" spans="1:15" hidden="1">
      <c r="A1331" t="s">
        <v>942</v>
      </c>
      <c r="B1331" t="s">
        <v>946</v>
      </c>
      <c r="C1331" s="553">
        <v>44279</v>
      </c>
      <c r="D1331" s="281" t="s">
        <v>4550</v>
      </c>
      <c r="E1331" s="281" t="s">
        <v>3984</v>
      </c>
      <c r="F1331" s="281">
        <v>3</v>
      </c>
      <c r="G1331" s="281">
        <v>5020000000</v>
      </c>
      <c r="H1331" t="s">
        <v>2009</v>
      </c>
      <c r="I1331" t="s">
        <v>680</v>
      </c>
      <c r="J1331" t="s">
        <v>822</v>
      </c>
      <c r="K1331" t="s">
        <v>1532</v>
      </c>
      <c r="L1331" s="552">
        <v>4980</v>
      </c>
      <c r="O1331" t="s">
        <v>968</v>
      </c>
    </row>
    <row r="1332" spans="1:15" hidden="1">
      <c r="A1332" t="s">
        <v>942</v>
      </c>
      <c r="B1332" t="s">
        <v>946</v>
      </c>
      <c r="C1332" s="553">
        <v>44279</v>
      </c>
      <c r="D1332" s="281" t="s">
        <v>4550</v>
      </c>
      <c r="E1332" s="281" t="s">
        <v>3984</v>
      </c>
      <c r="F1332" s="281">
        <v>1</v>
      </c>
      <c r="G1332" s="281">
        <v>5020000000</v>
      </c>
      <c r="H1332" t="s">
        <v>1999</v>
      </c>
      <c r="I1332" t="s">
        <v>672</v>
      </c>
      <c r="J1332" t="s">
        <v>822</v>
      </c>
      <c r="K1332" t="s">
        <v>1532</v>
      </c>
      <c r="L1332" s="552">
        <v>11952</v>
      </c>
      <c r="O1332" t="s">
        <v>961</v>
      </c>
    </row>
    <row r="1333" spans="1:15" hidden="1">
      <c r="A1333" t="s">
        <v>942</v>
      </c>
      <c r="B1333" t="s">
        <v>946</v>
      </c>
      <c r="C1333" s="553">
        <v>44279</v>
      </c>
      <c r="D1333" s="281" t="s">
        <v>4551</v>
      </c>
      <c r="E1333" s="281" t="s">
        <v>3986</v>
      </c>
      <c r="F1333" s="281">
        <v>1</v>
      </c>
      <c r="G1333" s="281">
        <v>5020000000</v>
      </c>
      <c r="H1333" t="s">
        <v>2038</v>
      </c>
      <c r="I1333" t="s">
        <v>567</v>
      </c>
      <c r="J1333" t="s">
        <v>823</v>
      </c>
      <c r="K1333" t="s">
        <v>1532</v>
      </c>
      <c r="L1333" s="552">
        <v>1494</v>
      </c>
      <c r="O1333" t="s">
        <v>961</v>
      </c>
    </row>
    <row r="1334" spans="1:15" hidden="1">
      <c r="A1334" t="s">
        <v>942</v>
      </c>
      <c r="B1334" t="s">
        <v>946</v>
      </c>
      <c r="C1334" s="553">
        <v>44279</v>
      </c>
      <c r="D1334" s="281" t="s">
        <v>4551</v>
      </c>
      <c r="E1334" s="281" t="s">
        <v>3986</v>
      </c>
      <c r="F1334" s="281">
        <v>1</v>
      </c>
      <c r="G1334" s="281">
        <v>5020000000</v>
      </c>
      <c r="H1334" t="s">
        <v>2039</v>
      </c>
      <c r="I1334" t="s">
        <v>560</v>
      </c>
      <c r="J1334" t="s">
        <v>823</v>
      </c>
      <c r="K1334" t="s">
        <v>1532</v>
      </c>
      <c r="L1334" s="552">
        <v>11205</v>
      </c>
      <c r="O1334" t="s">
        <v>961</v>
      </c>
    </row>
    <row r="1335" spans="1:15" hidden="1">
      <c r="A1335" t="s">
        <v>942</v>
      </c>
      <c r="B1335" t="s">
        <v>946</v>
      </c>
      <c r="C1335" s="553">
        <v>44279</v>
      </c>
      <c r="D1335" s="281" t="s">
        <v>4551</v>
      </c>
      <c r="E1335" s="281" t="s">
        <v>3986</v>
      </c>
      <c r="F1335" s="281">
        <v>1</v>
      </c>
      <c r="G1335" s="281">
        <v>5020000000</v>
      </c>
      <c r="H1335" t="s">
        <v>2034</v>
      </c>
      <c r="I1335" t="s">
        <v>581</v>
      </c>
      <c r="J1335" t="s">
        <v>823</v>
      </c>
      <c r="K1335" t="s">
        <v>1532</v>
      </c>
      <c r="L1335" s="552">
        <v>6225</v>
      </c>
      <c r="O1335" t="s">
        <v>961</v>
      </c>
    </row>
    <row r="1336" spans="1:15" hidden="1">
      <c r="A1336" t="s">
        <v>942</v>
      </c>
      <c r="B1336" t="s">
        <v>946</v>
      </c>
      <c r="C1336" s="553">
        <v>44279</v>
      </c>
      <c r="D1336" s="281" t="s">
        <v>4551</v>
      </c>
      <c r="E1336" s="281" t="s">
        <v>3986</v>
      </c>
      <c r="F1336" s="281">
        <v>1</v>
      </c>
      <c r="G1336" s="281">
        <v>5020000000</v>
      </c>
      <c r="H1336" t="s">
        <v>2035</v>
      </c>
      <c r="I1336" t="s">
        <v>596</v>
      </c>
      <c r="J1336" t="s">
        <v>823</v>
      </c>
      <c r="K1336" t="s">
        <v>1532</v>
      </c>
      <c r="L1336" s="552">
        <v>2490</v>
      </c>
      <c r="O1336" t="s">
        <v>961</v>
      </c>
    </row>
    <row r="1337" spans="1:15" hidden="1">
      <c r="A1337" t="s">
        <v>942</v>
      </c>
      <c r="B1337" t="s">
        <v>946</v>
      </c>
      <c r="C1337" s="553">
        <v>44279</v>
      </c>
      <c r="D1337" s="281" t="s">
        <v>4551</v>
      </c>
      <c r="E1337" s="281" t="s">
        <v>3986</v>
      </c>
      <c r="F1337" s="281">
        <v>1</v>
      </c>
      <c r="G1337" s="281">
        <v>5020000000</v>
      </c>
      <c r="H1337" t="s">
        <v>2040</v>
      </c>
      <c r="I1337" t="s">
        <v>598</v>
      </c>
      <c r="J1337" t="s">
        <v>823</v>
      </c>
      <c r="K1337" t="s">
        <v>1532</v>
      </c>
      <c r="L1337" s="552">
        <v>9960</v>
      </c>
      <c r="O1337" t="s">
        <v>961</v>
      </c>
    </row>
    <row r="1338" spans="1:15" hidden="1">
      <c r="A1338" t="s">
        <v>942</v>
      </c>
      <c r="B1338" t="s">
        <v>946</v>
      </c>
      <c r="C1338" s="553">
        <v>44279</v>
      </c>
      <c r="D1338" s="281" t="s">
        <v>4551</v>
      </c>
      <c r="E1338" s="281" t="s">
        <v>3986</v>
      </c>
      <c r="F1338" s="281">
        <v>1</v>
      </c>
      <c r="G1338" s="281">
        <v>5020000000</v>
      </c>
      <c r="H1338" t="s">
        <v>2041</v>
      </c>
      <c r="I1338" t="s">
        <v>601</v>
      </c>
      <c r="J1338" t="s">
        <v>823</v>
      </c>
      <c r="K1338" t="s">
        <v>1532</v>
      </c>
      <c r="L1338" s="552">
        <v>4980</v>
      </c>
      <c r="O1338" t="s">
        <v>961</v>
      </c>
    </row>
    <row r="1339" spans="1:15" hidden="1">
      <c r="A1339" t="s">
        <v>942</v>
      </c>
      <c r="B1339" t="s">
        <v>946</v>
      </c>
      <c r="C1339" s="553">
        <v>44279</v>
      </c>
      <c r="D1339" s="281" t="s">
        <v>4551</v>
      </c>
      <c r="E1339" s="281" t="s">
        <v>3986</v>
      </c>
      <c r="F1339" s="281">
        <v>1</v>
      </c>
      <c r="G1339" s="281">
        <v>5020000000</v>
      </c>
      <c r="H1339" t="s">
        <v>2011</v>
      </c>
      <c r="I1339" t="s">
        <v>605</v>
      </c>
      <c r="J1339" t="s">
        <v>823</v>
      </c>
      <c r="K1339" t="s">
        <v>1532</v>
      </c>
      <c r="L1339" s="552">
        <v>2490</v>
      </c>
      <c r="O1339" t="s">
        <v>961</v>
      </c>
    </row>
    <row r="1340" spans="1:15" hidden="1">
      <c r="A1340" t="s">
        <v>942</v>
      </c>
      <c r="B1340" t="s">
        <v>946</v>
      </c>
      <c r="C1340" s="553">
        <v>44279</v>
      </c>
      <c r="D1340" s="281" t="s">
        <v>4551</v>
      </c>
      <c r="E1340" s="281" t="s">
        <v>3986</v>
      </c>
      <c r="F1340" s="281">
        <v>1</v>
      </c>
      <c r="G1340" s="281">
        <v>5020000000</v>
      </c>
      <c r="H1340" t="s">
        <v>2002</v>
      </c>
      <c r="I1340" t="s">
        <v>603</v>
      </c>
      <c r="J1340" t="s">
        <v>823</v>
      </c>
      <c r="K1340" t="s">
        <v>1532</v>
      </c>
      <c r="L1340" s="552">
        <v>4482</v>
      </c>
      <c r="O1340" t="s">
        <v>961</v>
      </c>
    </row>
    <row r="1341" spans="1:15" hidden="1">
      <c r="A1341" t="s">
        <v>942</v>
      </c>
      <c r="B1341" t="s">
        <v>946</v>
      </c>
      <c r="C1341" s="553">
        <v>44279</v>
      </c>
      <c r="D1341" s="281" t="s">
        <v>4551</v>
      </c>
      <c r="E1341" s="281" t="s">
        <v>3986</v>
      </c>
      <c r="F1341" s="281">
        <v>1</v>
      </c>
      <c r="G1341" s="281">
        <v>5020000000</v>
      </c>
      <c r="H1341" t="s">
        <v>2003</v>
      </c>
      <c r="I1341" t="s">
        <v>609</v>
      </c>
      <c r="J1341" t="s">
        <v>823</v>
      </c>
      <c r="K1341" t="s">
        <v>1532</v>
      </c>
      <c r="L1341" s="552">
        <v>871.5</v>
      </c>
      <c r="O1341" t="s">
        <v>961</v>
      </c>
    </row>
    <row r="1342" spans="1:15" hidden="1">
      <c r="A1342" t="s">
        <v>942</v>
      </c>
      <c r="B1342" t="s">
        <v>946</v>
      </c>
      <c r="C1342" s="553">
        <v>44279</v>
      </c>
      <c r="D1342" s="281" t="s">
        <v>4551</v>
      </c>
      <c r="E1342" s="281" t="s">
        <v>3986</v>
      </c>
      <c r="F1342" s="281">
        <v>1</v>
      </c>
      <c r="G1342" s="281">
        <v>5020000000</v>
      </c>
      <c r="H1342" t="s">
        <v>2012</v>
      </c>
      <c r="I1342" t="s">
        <v>627</v>
      </c>
      <c r="J1342" t="s">
        <v>823</v>
      </c>
      <c r="K1342" t="s">
        <v>1532</v>
      </c>
      <c r="L1342" s="552">
        <v>2386.25</v>
      </c>
      <c r="O1342" t="s">
        <v>961</v>
      </c>
    </row>
    <row r="1343" spans="1:15" hidden="1">
      <c r="A1343" t="s">
        <v>942</v>
      </c>
      <c r="B1343" t="s">
        <v>946</v>
      </c>
      <c r="C1343" s="553">
        <v>44279</v>
      </c>
      <c r="D1343" s="281" t="s">
        <v>4551</v>
      </c>
      <c r="E1343" s="281" t="s">
        <v>3986</v>
      </c>
      <c r="F1343" s="281">
        <v>1</v>
      </c>
      <c r="G1343" s="281">
        <v>5020000000</v>
      </c>
      <c r="H1343" t="s">
        <v>2007</v>
      </c>
      <c r="I1343" t="s">
        <v>638</v>
      </c>
      <c r="J1343" t="s">
        <v>823</v>
      </c>
      <c r="K1343" t="s">
        <v>1532</v>
      </c>
      <c r="L1343" s="552">
        <v>23738</v>
      </c>
      <c r="O1343" t="s">
        <v>961</v>
      </c>
    </row>
    <row r="1344" spans="1:15" hidden="1">
      <c r="A1344" t="s">
        <v>942</v>
      </c>
      <c r="B1344" t="s">
        <v>946</v>
      </c>
      <c r="C1344" s="553">
        <v>44279</v>
      </c>
      <c r="D1344" s="281" t="s">
        <v>4551</v>
      </c>
      <c r="E1344" s="281" t="s">
        <v>3986</v>
      </c>
      <c r="F1344" s="281">
        <v>2</v>
      </c>
      <c r="G1344" s="281">
        <v>5020000000</v>
      </c>
      <c r="H1344" t="s">
        <v>1997</v>
      </c>
      <c r="I1344" t="s">
        <v>642</v>
      </c>
      <c r="J1344" t="s">
        <v>823</v>
      </c>
      <c r="K1344" t="s">
        <v>1532</v>
      </c>
      <c r="L1344" s="552">
        <v>129846.86</v>
      </c>
      <c r="O1344" t="s">
        <v>965</v>
      </c>
    </row>
    <row r="1345" spans="1:15" hidden="1">
      <c r="A1345" t="s">
        <v>942</v>
      </c>
      <c r="B1345" t="s">
        <v>946</v>
      </c>
      <c r="C1345" s="553">
        <v>44279</v>
      </c>
      <c r="D1345" s="281" t="s">
        <v>4551</v>
      </c>
      <c r="E1345" s="281" t="s">
        <v>3986</v>
      </c>
      <c r="F1345" s="281">
        <v>4</v>
      </c>
      <c r="G1345" s="281">
        <v>5020000000</v>
      </c>
      <c r="H1345" t="s">
        <v>2013</v>
      </c>
      <c r="I1345" t="s">
        <v>311</v>
      </c>
      <c r="J1345" t="s">
        <v>823</v>
      </c>
      <c r="K1345" t="s">
        <v>1532</v>
      </c>
      <c r="L1345" s="552">
        <v>10375</v>
      </c>
      <c r="O1345" t="s">
        <v>971</v>
      </c>
    </row>
    <row r="1346" spans="1:15" hidden="1">
      <c r="A1346" t="s">
        <v>942</v>
      </c>
      <c r="B1346" t="s">
        <v>946</v>
      </c>
      <c r="C1346" s="553">
        <v>44279</v>
      </c>
      <c r="D1346" s="281" t="s">
        <v>4551</v>
      </c>
      <c r="E1346" s="281" t="s">
        <v>3986</v>
      </c>
      <c r="F1346" s="281">
        <v>3</v>
      </c>
      <c r="G1346" s="281">
        <v>5020000000</v>
      </c>
      <c r="H1346" t="s">
        <v>2014</v>
      </c>
      <c r="I1346" t="s">
        <v>651</v>
      </c>
      <c r="J1346" t="s">
        <v>823</v>
      </c>
      <c r="K1346" t="s">
        <v>1532</v>
      </c>
      <c r="L1346" s="552">
        <v>4150</v>
      </c>
      <c r="O1346" t="s">
        <v>968</v>
      </c>
    </row>
    <row r="1347" spans="1:15" hidden="1">
      <c r="A1347" t="s">
        <v>942</v>
      </c>
      <c r="B1347" t="s">
        <v>946</v>
      </c>
      <c r="C1347" s="553">
        <v>44279</v>
      </c>
      <c r="D1347" s="281" t="s">
        <v>4551</v>
      </c>
      <c r="E1347" s="281" t="s">
        <v>3986</v>
      </c>
      <c r="F1347" s="281">
        <v>3</v>
      </c>
      <c r="G1347" s="281">
        <v>5020000000</v>
      </c>
      <c r="H1347" t="s">
        <v>2015</v>
      </c>
      <c r="I1347" t="s">
        <v>662</v>
      </c>
      <c r="J1347" t="s">
        <v>823</v>
      </c>
      <c r="K1347" t="s">
        <v>1532</v>
      </c>
      <c r="L1347" s="552">
        <v>2075</v>
      </c>
      <c r="O1347" t="s">
        <v>968</v>
      </c>
    </row>
    <row r="1348" spans="1:15" hidden="1">
      <c r="A1348" t="s">
        <v>942</v>
      </c>
      <c r="B1348" t="s">
        <v>946</v>
      </c>
      <c r="C1348" s="553">
        <v>44279</v>
      </c>
      <c r="D1348" s="281" t="s">
        <v>4551</v>
      </c>
      <c r="E1348" s="281" t="s">
        <v>3986</v>
      </c>
      <c r="F1348" s="281">
        <v>1</v>
      </c>
      <c r="G1348" s="281">
        <v>5020000000</v>
      </c>
      <c r="H1348" t="s">
        <v>2016</v>
      </c>
      <c r="I1348" t="s">
        <v>319</v>
      </c>
      <c r="J1348" t="s">
        <v>823</v>
      </c>
      <c r="K1348" t="s">
        <v>1532</v>
      </c>
      <c r="L1348" s="552">
        <v>31125</v>
      </c>
      <c r="O1348" t="s">
        <v>961</v>
      </c>
    </row>
    <row r="1349" spans="1:15" hidden="1">
      <c r="A1349" t="s">
        <v>942</v>
      </c>
      <c r="B1349" t="s">
        <v>946</v>
      </c>
      <c r="C1349" s="553">
        <v>44279</v>
      </c>
      <c r="D1349" s="281" t="s">
        <v>4551</v>
      </c>
      <c r="E1349" s="281" t="s">
        <v>3986</v>
      </c>
      <c r="F1349" s="281">
        <v>1</v>
      </c>
      <c r="G1349" s="281">
        <v>5020000000</v>
      </c>
      <c r="H1349" t="s">
        <v>2017</v>
      </c>
      <c r="I1349" t="s">
        <v>665</v>
      </c>
      <c r="J1349" t="s">
        <v>823</v>
      </c>
      <c r="K1349" t="s">
        <v>1532</v>
      </c>
      <c r="L1349" s="552">
        <v>1037.5</v>
      </c>
      <c r="O1349" t="s">
        <v>961</v>
      </c>
    </row>
    <row r="1350" spans="1:15" hidden="1">
      <c r="A1350" t="s">
        <v>942</v>
      </c>
      <c r="B1350" t="s">
        <v>946</v>
      </c>
      <c r="C1350" s="553">
        <v>44279</v>
      </c>
      <c r="D1350" s="281" t="s">
        <v>4551</v>
      </c>
      <c r="E1350" s="281" t="s">
        <v>3986</v>
      </c>
      <c r="F1350" s="281">
        <v>1</v>
      </c>
      <c r="G1350" s="281">
        <v>5020000000</v>
      </c>
      <c r="H1350" t="s">
        <v>2001</v>
      </c>
      <c r="I1350" t="s">
        <v>669</v>
      </c>
      <c r="J1350" t="s">
        <v>823</v>
      </c>
      <c r="K1350" t="s">
        <v>1532</v>
      </c>
      <c r="L1350" s="552">
        <v>2619.69</v>
      </c>
      <c r="O1350" t="s">
        <v>961</v>
      </c>
    </row>
    <row r="1351" spans="1:15" hidden="1">
      <c r="A1351" t="s">
        <v>942</v>
      </c>
      <c r="B1351" t="s">
        <v>946</v>
      </c>
      <c r="C1351" s="553">
        <v>44279</v>
      </c>
      <c r="D1351" s="281" t="s">
        <v>4551</v>
      </c>
      <c r="E1351" s="281" t="s">
        <v>3986</v>
      </c>
      <c r="F1351" s="281">
        <v>1</v>
      </c>
      <c r="G1351" s="281">
        <v>5020000000</v>
      </c>
      <c r="H1351" t="s">
        <v>2018</v>
      </c>
      <c r="I1351" t="s">
        <v>671</v>
      </c>
      <c r="J1351" t="s">
        <v>823</v>
      </c>
      <c r="K1351" t="s">
        <v>1532</v>
      </c>
      <c r="L1351" s="552">
        <v>4565</v>
      </c>
      <c r="O1351" t="s">
        <v>961</v>
      </c>
    </row>
    <row r="1352" spans="1:15" hidden="1">
      <c r="A1352" t="s">
        <v>942</v>
      </c>
      <c r="B1352" t="s">
        <v>946</v>
      </c>
      <c r="C1352" s="553">
        <v>44279</v>
      </c>
      <c r="D1352" s="281" t="s">
        <v>4551</v>
      </c>
      <c r="E1352" s="281" t="s">
        <v>3986</v>
      </c>
      <c r="F1352" s="281">
        <v>1</v>
      </c>
      <c r="G1352" s="281">
        <v>5020000000</v>
      </c>
      <c r="H1352" t="s">
        <v>2000</v>
      </c>
      <c r="I1352" t="s">
        <v>683</v>
      </c>
      <c r="J1352" t="s">
        <v>823</v>
      </c>
      <c r="K1352" t="s">
        <v>1532</v>
      </c>
      <c r="L1352" s="552">
        <v>54780</v>
      </c>
      <c r="O1352" t="s">
        <v>961</v>
      </c>
    </row>
    <row r="1353" spans="1:15" hidden="1">
      <c r="A1353" t="s">
        <v>942</v>
      </c>
      <c r="B1353" t="s">
        <v>946</v>
      </c>
      <c r="C1353" s="553">
        <v>44279</v>
      </c>
      <c r="D1353" s="281" t="s">
        <v>4551</v>
      </c>
      <c r="E1353" s="281" t="s">
        <v>3986</v>
      </c>
      <c r="F1353" s="281">
        <v>1</v>
      </c>
      <c r="G1353" s="281">
        <v>5020000000</v>
      </c>
      <c r="H1353" t="s">
        <v>2037</v>
      </c>
      <c r="I1353" t="s">
        <v>555</v>
      </c>
      <c r="J1353" t="s">
        <v>823</v>
      </c>
      <c r="K1353" t="s">
        <v>1532</v>
      </c>
      <c r="L1353" s="552">
        <v>2075</v>
      </c>
      <c r="O1353" t="s">
        <v>961</v>
      </c>
    </row>
    <row r="1354" spans="1:15" hidden="1">
      <c r="A1354" t="s">
        <v>942</v>
      </c>
      <c r="B1354" t="s">
        <v>946</v>
      </c>
      <c r="C1354" s="553">
        <v>44279</v>
      </c>
      <c r="D1354" s="281" t="s">
        <v>4551</v>
      </c>
      <c r="E1354" s="281" t="s">
        <v>3986</v>
      </c>
      <c r="F1354" s="281">
        <v>1</v>
      </c>
      <c r="G1354" s="281">
        <v>5020000000</v>
      </c>
      <c r="H1354" t="s">
        <v>2032</v>
      </c>
      <c r="I1354" t="s">
        <v>565</v>
      </c>
      <c r="J1354" t="s">
        <v>823</v>
      </c>
      <c r="K1354" t="s">
        <v>1532</v>
      </c>
      <c r="L1354" s="552">
        <v>10375</v>
      </c>
      <c r="O1354" t="s">
        <v>961</v>
      </c>
    </row>
    <row r="1355" spans="1:15" hidden="1">
      <c r="A1355" t="s">
        <v>942</v>
      </c>
      <c r="B1355" t="s">
        <v>946</v>
      </c>
      <c r="C1355" s="553">
        <v>44279</v>
      </c>
      <c r="D1355" s="281" t="s">
        <v>4551</v>
      </c>
      <c r="E1355" s="281" t="s">
        <v>3986</v>
      </c>
      <c r="F1355" s="281">
        <v>1</v>
      </c>
      <c r="G1355" s="281">
        <v>5020000000</v>
      </c>
      <c r="H1355" t="s">
        <v>1996</v>
      </c>
      <c r="I1355" t="s">
        <v>676</v>
      </c>
      <c r="J1355" t="s">
        <v>823</v>
      </c>
      <c r="K1355" t="s">
        <v>1532</v>
      </c>
      <c r="L1355" s="552">
        <v>1037.5</v>
      </c>
      <c r="O1355" t="s">
        <v>961</v>
      </c>
    </row>
    <row r="1356" spans="1:15" hidden="1">
      <c r="A1356" t="s">
        <v>942</v>
      </c>
      <c r="B1356" t="s">
        <v>946</v>
      </c>
      <c r="C1356" s="553">
        <v>44279</v>
      </c>
      <c r="D1356" s="281" t="s">
        <v>4551</v>
      </c>
      <c r="E1356" s="281" t="s">
        <v>3986</v>
      </c>
      <c r="F1356" s="281">
        <v>1</v>
      </c>
      <c r="G1356" s="281">
        <v>5020000000</v>
      </c>
      <c r="H1356" t="s">
        <v>2005</v>
      </c>
      <c r="I1356" t="s">
        <v>678</v>
      </c>
      <c r="J1356" t="s">
        <v>823</v>
      </c>
      <c r="K1356" t="s">
        <v>1532</v>
      </c>
      <c r="L1356" s="552">
        <v>4316</v>
      </c>
      <c r="O1356" t="s">
        <v>961</v>
      </c>
    </row>
    <row r="1357" spans="1:15" hidden="1">
      <c r="A1357" t="s">
        <v>942</v>
      </c>
      <c r="B1357" t="s">
        <v>946</v>
      </c>
      <c r="C1357" s="553">
        <v>44279</v>
      </c>
      <c r="D1357" s="281" t="s">
        <v>4551</v>
      </c>
      <c r="E1357" s="281" t="s">
        <v>3986</v>
      </c>
      <c r="F1357" s="281">
        <v>3</v>
      </c>
      <c r="G1357" s="281">
        <v>5020000000</v>
      </c>
      <c r="H1357" t="s">
        <v>2009</v>
      </c>
      <c r="I1357" t="s">
        <v>680</v>
      </c>
      <c r="J1357" t="s">
        <v>823</v>
      </c>
      <c r="K1357" t="s">
        <v>1532</v>
      </c>
      <c r="L1357" s="552">
        <v>8300</v>
      </c>
      <c r="O1357" t="s">
        <v>968</v>
      </c>
    </row>
    <row r="1358" spans="1:15" hidden="1">
      <c r="A1358" t="s">
        <v>942</v>
      </c>
      <c r="B1358" t="s">
        <v>946</v>
      </c>
      <c r="C1358" s="553">
        <v>44279</v>
      </c>
      <c r="D1358" s="281" t="s">
        <v>4551</v>
      </c>
      <c r="E1358" s="281" t="s">
        <v>3986</v>
      </c>
      <c r="F1358" s="281">
        <v>1</v>
      </c>
      <c r="G1358" s="281">
        <v>5020000000</v>
      </c>
      <c r="H1358" t="s">
        <v>1999</v>
      </c>
      <c r="I1358" t="s">
        <v>672</v>
      </c>
      <c r="J1358" t="s">
        <v>823</v>
      </c>
      <c r="K1358" t="s">
        <v>1532</v>
      </c>
      <c r="L1358" s="552">
        <v>8964</v>
      </c>
      <c r="O1358" t="s">
        <v>961</v>
      </c>
    </row>
    <row r="1359" spans="1:15" hidden="1">
      <c r="A1359" t="s">
        <v>942</v>
      </c>
      <c r="B1359" t="s">
        <v>946</v>
      </c>
      <c r="C1359" s="553">
        <v>44279</v>
      </c>
      <c r="D1359" s="281" t="s">
        <v>4552</v>
      </c>
      <c r="E1359" s="281" t="s">
        <v>3988</v>
      </c>
      <c r="F1359" s="281">
        <v>11</v>
      </c>
      <c r="G1359" s="281">
        <v>5020000000</v>
      </c>
      <c r="H1359" t="s">
        <v>2037</v>
      </c>
      <c r="I1359" t="s">
        <v>555</v>
      </c>
      <c r="J1359" t="s">
        <v>821</v>
      </c>
      <c r="K1359" t="s">
        <v>1535</v>
      </c>
      <c r="L1359" s="552">
        <v>57498</v>
      </c>
      <c r="O1359" t="s">
        <v>985</v>
      </c>
    </row>
    <row r="1360" spans="1:15" hidden="1">
      <c r="A1360" t="s">
        <v>942</v>
      </c>
      <c r="B1360" t="s">
        <v>946</v>
      </c>
      <c r="C1360" s="553">
        <v>44279</v>
      </c>
      <c r="D1360" s="281" t="s">
        <v>4552</v>
      </c>
      <c r="E1360" s="281" t="s">
        <v>3988</v>
      </c>
      <c r="F1360" s="281">
        <v>11</v>
      </c>
      <c r="G1360" s="281">
        <v>5020000000</v>
      </c>
      <c r="H1360" t="s">
        <v>2039</v>
      </c>
      <c r="I1360" t="s">
        <v>560</v>
      </c>
      <c r="J1360" t="s">
        <v>821</v>
      </c>
      <c r="K1360" t="s">
        <v>1535</v>
      </c>
      <c r="L1360" s="552">
        <v>785004</v>
      </c>
      <c r="O1360" t="s">
        <v>985</v>
      </c>
    </row>
    <row r="1361" spans="1:15" hidden="1">
      <c r="A1361" t="s">
        <v>942</v>
      </c>
      <c r="B1361" t="s">
        <v>946</v>
      </c>
      <c r="C1361" s="553">
        <v>44279</v>
      </c>
      <c r="D1361" s="281" t="s">
        <v>4552</v>
      </c>
      <c r="E1361" s="281" t="s">
        <v>3988</v>
      </c>
      <c r="F1361" s="281">
        <v>11</v>
      </c>
      <c r="G1361" s="281">
        <v>5020000000</v>
      </c>
      <c r="H1361" t="s">
        <v>2002</v>
      </c>
      <c r="I1361" t="s">
        <v>603</v>
      </c>
      <c r="J1361" t="s">
        <v>821</v>
      </c>
      <c r="K1361" t="s">
        <v>1535</v>
      </c>
      <c r="L1361" s="552">
        <v>19166</v>
      </c>
      <c r="O1361" t="s">
        <v>985</v>
      </c>
    </row>
    <row r="1362" spans="1:15" hidden="1">
      <c r="A1362" t="s">
        <v>942</v>
      </c>
      <c r="B1362" t="s">
        <v>946</v>
      </c>
      <c r="C1362" s="553">
        <v>44279</v>
      </c>
      <c r="D1362" s="281" t="s">
        <v>4552</v>
      </c>
      <c r="E1362" s="281" t="s">
        <v>3988</v>
      </c>
      <c r="F1362" s="281">
        <v>11</v>
      </c>
      <c r="G1362" s="281">
        <v>5020000000</v>
      </c>
      <c r="H1362" t="s">
        <v>1998</v>
      </c>
      <c r="I1362" t="s">
        <v>633</v>
      </c>
      <c r="J1362" t="s">
        <v>821</v>
      </c>
      <c r="K1362" t="s">
        <v>1535</v>
      </c>
      <c r="L1362" s="552">
        <v>38332</v>
      </c>
      <c r="O1362" t="s">
        <v>985</v>
      </c>
    </row>
    <row r="1363" spans="1:15" hidden="1">
      <c r="A1363" t="s">
        <v>942</v>
      </c>
      <c r="B1363" t="s">
        <v>946</v>
      </c>
      <c r="C1363" s="553">
        <v>44280</v>
      </c>
      <c r="D1363" s="281" t="s">
        <v>4553</v>
      </c>
      <c r="E1363" s="281" t="s">
        <v>4009</v>
      </c>
      <c r="F1363" s="281">
        <v>5</v>
      </c>
      <c r="G1363" s="281">
        <v>5020000000</v>
      </c>
      <c r="H1363" t="s">
        <v>2037</v>
      </c>
      <c r="I1363" t="s">
        <v>555</v>
      </c>
      <c r="J1363" t="s">
        <v>818</v>
      </c>
      <c r="K1363" t="s">
        <v>1538</v>
      </c>
      <c r="L1363" s="552">
        <v>15000</v>
      </c>
      <c r="O1363" t="s">
        <v>974</v>
      </c>
    </row>
    <row r="1364" spans="1:15" hidden="1">
      <c r="A1364" t="s">
        <v>942</v>
      </c>
      <c r="B1364" t="s">
        <v>946</v>
      </c>
      <c r="C1364" s="553">
        <v>44280</v>
      </c>
      <c r="D1364" s="281" t="s">
        <v>4553</v>
      </c>
      <c r="E1364" s="281" t="s">
        <v>4009</v>
      </c>
      <c r="F1364" s="281">
        <v>5</v>
      </c>
      <c r="G1364" s="281">
        <v>5020000000</v>
      </c>
      <c r="H1364" t="s">
        <v>2039</v>
      </c>
      <c r="I1364" t="s">
        <v>560</v>
      </c>
      <c r="J1364" t="s">
        <v>818</v>
      </c>
      <c r="K1364" t="s">
        <v>1538</v>
      </c>
      <c r="L1364" s="552">
        <v>23000</v>
      </c>
      <c r="O1364" t="s">
        <v>974</v>
      </c>
    </row>
    <row r="1365" spans="1:15" hidden="1">
      <c r="A1365" t="s">
        <v>942</v>
      </c>
      <c r="B1365" t="s">
        <v>946</v>
      </c>
      <c r="C1365" s="553">
        <v>44280</v>
      </c>
      <c r="D1365" s="281" t="s">
        <v>4553</v>
      </c>
      <c r="E1365" s="281" t="s">
        <v>4009</v>
      </c>
      <c r="F1365" s="281">
        <v>5</v>
      </c>
      <c r="G1365" s="281">
        <v>5020000000</v>
      </c>
      <c r="H1365" t="s">
        <v>1998</v>
      </c>
      <c r="I1365" t="s">
        <v>633</v>
      </c>
      <c r="J1365" t="s">
        <v>818</v>
      </c>
      <c r="K1365" t="s">
        <v>1538</v>
      </c>
      <c r="L1365" s="552">
        <v>5000</v>
      </c>
      <c r="O1365" t="s">
        <v>974</v>
      </c>
    </row>
    <row r="1366" spans="1:15" hidden="1">
      <c r="A1366" t="s">
        <v>942</v>
      </c>
      <c r="B1366" t="s">
        <v>946</v>
      </c>
      <c r="C1366" s="553">
        <v>44280</v>
      </c>
      <c r="D1366" s="281" t="s">
        <v>4553</v>
      </c>
      <c r="E1366" s="281" t="s">
        <v>4009</v>
      </c>
      <c r="F1366" s="281">
        <v>6</v>
      </c>
      <c r="G1366" s="281">
        <v>5020000000</v>
      </c>
      <c r="H1366" t="s">
        <v>2037</v>
      </c>
      <c r="I1366" t="s">
        <v>555</v>
      </c>
      <c r="J1366" t="s">
        <v>818</v>
      </c>
      <c r="K1366" t="s">
        <v>1538</v>
      </c>
      <c r="L1366" s="552">
        <v>30000</v>
      </c>
      <c r="O1366" t="s">
        <v>977</v>
      </c>
    </row>
    <row r="1367" spans="1:15" hidden="1">
      <c r="A1367" t="s">
        <v>942</v>
      </c>
      <c r="B1367" t="s">
        <v>946</v>
      </c>
      <c r="C1367" s="553">
        <v>44280</v>
      </c>
      <c r="D1367" s="281" t="s">
        <v>4553</v>
      </c>
      <c r="E1367" s="281" t="s">
        <v>4009</v>
      </c>
      <c r="F1367" s="281">
        <v>6</v>
      </c>
      <c r="G1367" s="281">
        <v>5020000000</v>
      </c>
      <c r="H1367" t="s">
        <v>2039</v>
      </c>
      <c r="I1367" t="s">
        <v>560</v>
      </c>
      <c r="J1367" t="s">
        <v>818</v>
      </c>
      <c r="K1367" t="s">
        <v>1538</v>
      </c>
      <c r="L1367" s="552">
        <v>20000</v>
      </c>
      <c r="O1367" t="s">
        <v>977</v>
      </c>
    </row>
    <row r="1368" spans="1:15" hidden="1">
      <c r="A1368" t="s">
        <v>942</v>
      </c>
      <c r="B1368" t="s">
        <v>946</v>
      </c>
      <c r="C1368" s="553">
        <v>44280</v>
      </c>
      <c r="D1368" s="281" t="s">
        <v>4553</v>
      </c>
      <c r="E1368" s="281" t="s">
        <v>4009</v>
      </c>
      <c r="F1368" s="281">
        <v>6</v>
      </c>
      <c r="G1368" s="281">
        <v>5020000000</v>
      </c>
      <c r="H1368" t="s">
        <v>2005</v>
      </c>
      <c r="I1368" t="s">
        <v>678</v>
      </c>
      <c r="J1368" t="s">
        <v>818</v>
      </c>
      <c r="K1368" t="s">
        <v>1538</v>
      </c>
      <c r="L1368" s="552">
        <v>147500</v>
      </c>
      <c r="O1368" t="s">
        <v>977</v>
      </c>
    </row>
    <row r="1369" spans="1:15" hidden="1">
      <c r="A1369" t="s">
        <v>942</v>
      </c>
      <c r="B1369" t="s">
        <v>946</v>
      </c>
      <c r="C1369" s="553">
        <v>44280</v>
      </c>
      <c r="D1369" s="281" t="s">
        <v>4553</v>
      </c>
      <c r="E1369" s="281" t="s">
        <v>4009</v>
      </c>
      <c r="F1369" s="281">
        <v>7</v>
      </c>
      <c r="G1369" s="281">
        <v>5020000000</v>
      </c>
      <c r="H1369" t="s">
        <v>2037</v>
      </c>
      <c r="I1369" t="s">
        <v>555</v>
      </c>
      <c r="J1369" t="s">
        <v>818</v>
      </c>
      <c r="K1369" t="s">
        <v>1538</v>
      </c>
      <c r="L1369" s="552">
        <v>25000</v>
      </c>
      <c r="O1369" t="s">
        <v>979</v>
      </c>
    </row>
    <row r="1370" spans="1:15" hidden="1">
      <c r="A1370" t="s">
        <v>942</v>
      </c>
      <c r="B1370" t="s">
        <v>946</v>
      </c>
      <c r="C1370" s="553">
        <v>44280</v>
      </c>
      <c r="D1370" s="281" t="s">
        <v>4553</v>
      </c>
      <c r="E1370" s="281" t="s">
        <v>4009</v>
      </c>
      <c r="F1370" s="281">
        <v>7</v>
      </c>
      <c r="G1370" s="281">
        <v>5020000000</v>
      </c>
      <c r="H1370" t="s">
        <v>2039</v>
      </c>
      <c r="I1370" t="s">
        <v>560</v>
      </c>
      <c r="J1370" t="s">
        <v>818</v>
      </c>
      <c r="K1370" t="s">
        <v>1538</v>
      </c>
      <c r="L1370" s="552">
        <v>40000</v>
      </c>
      <c r="O1370" t="s">
        <v>979</v>
      </c>
    </row>
    <row r="1371" spans="1:15" hidden="1">
      <c r="A1371" t="s">
        <v>942</v>
      </c>
      <c r="B1371" t="s">
        <v>946</v>
      </c>
      <c r="C1371" s="553">
        <v>44280</v>
      </c>
      <c r="D1371" s="281" t="s">
        <v>4553</v>
      </c>
      <c r="E1371" s="281" t="s">
        <v>4009</v>
      </c>
      <c r="F1371" s="281">
        <v>7</v>
      </c>
      <c r="G1371" s="281">
        <v>5020000000</v>
      </c>
      <c r="H1371" t="s">
        <v>2005</v>
      </c>
      <c r="I1371" t="s">
        <v>678</v>
      </c>
      <c r="J1371" t="s">
        <v>818</v>
      </c>
      <c r="K1371" t="s">
        <v>1538</v>
      </c>
      <c r="L1371" s="552">
        <v>40000</v>
      </c>
      <c r="O1371" t="s">
        <v>979</v>
      </c>
    </row>
    <row r="1372" spans="1:15" hidden="1">
      <c r="A1372" t="s">
        <v>942</v>
      </c>
      <c r="B1372" t="s">
        <v>946</v>
      </c>
      <c r="C1372" s="553">
        <v>44280</v>
      </c>
      <c r="D1372" s="281" t="s">
        <v>4554</v>
      </c>
      <c r="E1372" s="281" t="s">
        <v>4012</v>
      </c>
      <c r="F1372" s="281">
        <v>5</v>
      </c>
      <c r="G1372" s="281">
        <v>5020000000</v>
      </c>
      <c r="H1372" t="s">
        <v>2037</v>
      </c>
      <c r="I1372" t="s">
        <v>555</v>
      </c>
      <c r="J1372" t="s">
        <v>1539</v>
      </c>
      <c r="K1372" t="s">
        <v>1543</v>
      </c>
      <c r="L1372" s="552">
        <v>30000</v>
      </c>
      <c r="O1372" t="s">
        <v>974</v>
      </c>
    </row>
    <row r="1373" spans="1:15" hidden="1">
      <c r="A1373" t="s">
        <v>942</v>
      </c>
      <c r="B1373" t="s">
        <v>946</v>
      </c>
      <c r="C1373" s="553">
        <v>44280</v>
      </c>
      <c r="D1373" s="281" t="s">
        <v>4554</v>
      </c>
      <c r="E1373" s="281" t="s">
        <v>4012</v>
      </c>
      <c r="F1373" s="281">
        <v>5</v>
      </c>
      <c r="G1373" s="281">
        <v>5020000000</v>
      </c>
      <c r="H1373" t="s">
        <v>2039</v>
      </c>
      <c r="I1373" t="s">
        <v>560</v>
      </c>
      <c r="J1373" t="s">
        <v>1539</v>
      </c>
      <c r="K1373" t="s">
        <v>1543</v>
      </c>
      <c r="L1373" s="552">
        <v>20000</v>
      </c>
      <c r="O1373" t="s">
        <v>974</v>
      </c>
    </row>
    <row r="1374" spans="1:15" hidden="1">
      <c r="A1374" t="s">
        <v>942</v>
      </c>
      <c r="B1374" t="s">
        <v>946</v>
      </c>
      <c r="C1374" s="553">
        <v>44280</v>
      </c>
      <c r="D1374" s="281" t="s">
        <v>4554</v>
      </c>
      <c r="E1374" s="281" t="s">
        <v>4012</v>
      </c>
      <c r="F1374" s="281">
        <v>5</v>
      </c>
      <c r="G1374" s="281">
        <v>5020000000</v>
      </c>
      <c r="H1374" t="s">
        <v>1998</v>
      </c>
      <c r="I1374" t="s">
        <v>633</v>
      </c>
      <c r="J1374" t="s">
        <v>1539</v>
      </c>
      <c r="K1374" t="s">
        <v>1543</v>
      </c>
      <c r="L1374" s="552">
        <v>10000</v>
      </c>
      <c r="O1374" t="s">
        <v>974</v>
      </c>
    </row>
    <row r="1375" spans="1:15" hidden="1">
      <c r="A1375" t="s">
        <v>942</v>
      </c>
      <c r="B1375" t="s">
        <v>946</v>
      </c>
      <c r="C1375" s="553">
        <v>44280</v>
      </c>
      <c r="D1375" s="281" t="s">
        <v>4554</v>
      </c>
      <c r="E1375" s="281" t="s">
        <v>4012</v>
      </c>
      <c r="F1375" s="281">
        <v>6</v>
      </c>
      <c r="G1375" s="281">
        <v>5020000000</v>
      </c>
      <c r="H1375" t="s">
        <v>2037</v>
      </c>
      <c r="I1375" t="s">
        <v>555</v>
      </c>
      <c r="J1375" t="s">
        <v>1539</v>
      </c>
      <c r="K1375" t="s">
        <v>1543</v>
      </c>
      <c r="L1375" s="552">
        <v>25000</v>
      </c>
      <c r="O1375" t="s">
        <v>977</v>
      </c>
    </row>
    <row r="1376" spans="1:15" hidden="1">
      <c r="A1376" t="s">
        <v>942</v>
      </c>
      <c r="B1376" t="s">
        <v>946</v>
      </c>
      <c r="C1376" s="553">
        <v>44280</v>
      </c>
      <c r="D1376" s="281" t="s">
        <v>4554</v>
      </c>
      <c r="E1376" s="281" t="s">
        <v>4012</v>
      </c>
      <c r="F1376" s="281">
        <v>6</v>
      </c>
      <c r="G1376" s="281">
        <v>5020000000</v>
      </c>
      <c r="H1376" t="s">
        <v>2039</v>
      </c>
      <c r="I1376" t="s">
        <v>560</v>
      </c>
      <c r="J1376" t="s">
        <v>1539</v>
      </c>
      <c r="K1376" t="s">
        <v>1543</v>
      </c>
      <c r="L1376" s="552">
        <v>10000</v>
      </c>
      <c r="O1376" t="s">
        <v>977</v>
      </c>
    </row>
    <row r="1377" spans="1:15" hidden="1">
      <c r="A1377" t="s">
        <v>942</v>
      </c>
      <c r="B1377" t="s">
        <v>946</v>
      </c>
      <c r="C1377" s="553">
        <v>44280</v>
      </c>
      <c r="D1377" s="281" t="s">
        <v>4554</v>
      </c>
      <c r="E1377" s="281" t="s">
        <v>4012</v>
      </c>
      <c r="F1377" s="281">
        <v>6</v>
      </c>
      <c r="G1377" s="281">
        <v>5020000000</v>
      </c>
      <c r="H1377" t="s">
        <v>2005</v>
      </c>
      <c r="I1377" t="s">
        <v>678</v>
      </c>
      <c r="J1377" t="s">
        <v>1539</v>
      </c>
      <c r="K1377" t="s">
        <v>1543</v>
      </c>
      <c r="L1377" s="552">
        <v>241200</v>
      </c>
      <c r="O1377" t="s">
        <v>977</v>
      </c>
    </row>
    <row r="1378" spans="1:15" hidden="1">
      <c r="A1378" t="s">
        <v>942</v>
      </c>
      <c r="B1378" t="s">
        <v>946</v>
      </c>
      <c r="C1378" s="553">
        <v>44280</v>
      </c>
      <c r="D1378" s="281" t="s">
        <v>4554</v>
      </c>
      <c r="E1378" s="281" t="s">
        <v>4012</v>
      </c>
      <c r="F1378" s="281">
        <v>7</v>
      </c>
      <c r="G1378" s="281">
        <v>5020000000</v>
      </c>
      <c r="H1378" t="s">
        <v>2037</v>
      </c>
      <c r="I1378" t="s">
        <v>555</v>
      </c>
      <c r="J1378" t="s">
        <v>1539</v>
      </c>
      <c r="K1378" t="s">
        <v>1543</v>
      </c>
      <c r="L1378" s="552">
        <v>30000</v>
      </c>
      <c r="O1378" t="s">
        <v>979</v>
      </c>
    </row>
    <row r="1379" spans="1:15" hidden="1">
      <c r="A1379" t="s">
        <v>942</v>
      </c>
      <c r="B1379" t="s">
        <v>946</v>
      </c>
      <c r="C1379" s="553">
        <v>44280</v>
      </c>
      <c r="D1379" s="281" t="s">
        <v>4554</v>
      </c>
      <c r="E1379" s="281" t="s">
        <v>4012</v>
      </c>
      <c r="F1379" s="281">
        <v>7</v>
      </c>
      <c r="G1379" s="281">
        <v>5020000000</v>
      </c>
      <c r="H1379" t="s">
        <v>2039</v>
      </c>
      <c r="I1379" t="s">
        <v>560</v>
      </c>
      <c r="J1379" t="s">
        <v>1539</v>
      </c>
      <c r="K1379" t="s">
        <v>1543</v>
      </c>
      <c r="L1379" s="552">
        <v>30000</v>
      </c>
      <c r="O1379" t="s">
        <v>979</v>
      </c>
    </row>
    <row r="1380" spans="1:15" hidden="1">
      <c r="A1380" t="s">
        <v>942</v>
      </c>
      <c r="B1380" t="s">
        <v>946</v>
      </c>
      <c r="C1380" s="553">
        <v>44280</v>
      </c>
      <c r="D1380" s="281" t="s">
        <v>4554</v>
      </c>
      <c r="E1380" s="281" t="s">
        <v>4012</v>
      </c>
      <c r="F1380" s="281">
        <v>7</v>
      </c>
      <c r="G1380" s="281">
        <v>5020000000</v>
      </c>
      <c r="H1380" t="s">
        <v>2005</v>
      </c>
      <c r="I1380" t="s">
        <v>678</v>
      </c>
      <c r="J1380" t="s">
        <v>1539</v>
      </c>
      <c r="K1380" t="s">
        <v>1543</v>
      </c>
      <c r="L1380" s="552">
        <v>70000</v>
      </c>
      <c r="O1380" t="s">
        <v>979</v>
      </c>
    </row>
    <row r="1381" spans="1:15" hidden="1">
      <c r="A1381" t="s">
        <v>942</v>
      </c>
      <c r="B1381" t="s">
        <v>946</v>
      </c>
      <c r="C1381" s="553">
        <v>44280</v>
      </c>
      <c r="D1381" s="281" t="s">
        <v>4555</v>
      </c>
      <c r="E1381" s="281" t="s">
        <v>4014</v>
      </c>
      <c r="F1381" s="281">
        <v>5</v>
      </c>
      <c r="G1381" s="281">
        <v>5020000000</v>
      </c>
      <c r="H1381" t="s">
        <v>2037</v>
      </c>
      <c r="I1381" t="s">
        <v>555</v>
      </c>
      <c r="J1381" t="s">
        <v>1540</v>
      </c>
      <c r="K1381" t="s">
        <v>1543</v>
      </c>
      <c r="L1381" s="552">
        <v>10000</v>
      </c>
      <c r="O1381" t="s">
        <v>974</v>
      </c>
    </row>
    <row r="1382" spans="1:15" hidden="1">
      <c r="A1382" t="s">
        <v>942</v>
      </c>
      <c r="B1382" t="s">
        <v>946</v>
      </c>
      <c r="C1382" s="553">
        <v>44280</v>
      </c>
      <c r="D1382" s="281" t="s">
        <v>4555</v>
      </c>
      <c r="E1382" s="281" t="s">
        <v>4014</v>
      </c>
      <c r="F1382" s="281">
        <v>5</v>
      </c>
      <c r="G1382" s="281">
        <v>5020000000</v>
      </c>
      <c r="H1382" t="s">
        <v>2039</v>
      </c>
      <c r="I1382" t="s">
        <v>560</v>
      </c>
      <c r="J1382" t="s">
        <v>1540</v>
      </c>
      <c r="K1382" t="s">
        <v>1543</v>
      </c>
      <c r="L1382" s="552">
        <v>5000</v>
      </c>
      <c r="O1382" t="s">
        <v>974</v>
      </c>
    </row>
    <row r="1383" spans="1:15" hidden="1">
      <c r="A1383" t="s">
        <v>942</v>
      </c>
      <c r="B1383" t="s">
        <v>946</v>
      </c>
      <c r="C1383" s="553">
        <v>44280</v>
      </c>
      <c r="D1383" s="281" t="s">
        <v>4555</v>
      </c>
      <c r="E1383" s="281" t="s">
        <v>4014</v>
      </c>
      <c r="F1383" s="281">
        <v>5</v>
      </c>
      <c r="G1383" s="281">
        <v>5020000000</v>
      </c>
      <c r="H1383" t="s">
        <v>1998</v>
      </c>
      <c r="I1383" t="s">
        <v>633</v>
      </c>
      <c r="J1383" t="s">
        <v>1540</v>
      </c>
      <c r="K1383" t="s">
        <v>1543</v>
      </c>
      <c r="L1383" s="552">
        <v>5000</v>
      </c>
      <c r="O1383" t="s">
        <v>974</v>
      </c>
    </row>
    <row r="1384" spans="1:15" hidden="1">
      <c r="A1384" t="s">
        <v>942</v>
      </c>
      <c r="B1384" t="s">
        <v>946</v>
      </c>
      <c r="C1384" s="553">
        <v>44280</v>
      </c>
      <c r="D1384" s="281" t="s">
        <v>4555</v>
      </c>
      <c r="E1384" s="281" t="s">
        <v>4014</v>
      </c>
      <c r="F1384" s="281">
        <v>6</v>
      </c>
      <c r="G1384" s="281">
        <v>5020000000</v>
      </c>
      <c r="H1384" t="s">
        <v>2037</v>
      </c>
      <c r="I1384" t="s">
        <v>555</v>
      </c>
      <c r="J1384" t="s">
        <v>1540</v>
      </c>
      <c r="K1384" t="s">
        <v>1543</v>
      </c>
      <c r="L1384" s="552">
        <v>20000</v>
      </c>
      <c r="O1384" t="s">
        <v>977</v>
      </c>
    </row>
    <row r="1385" spans="1:15" hidden="1">
      <c r="A1385" t="s">
        <v>942</v>
      </c>
      <c r="B1385" t="s">
        <v>946</v>
      </c>
      <c r="C1385" s="553">
        <v>44280</v>
      </c>
      <c r="D1385" s="281" t="s">
        <v>4555</v>
      </c>
      <c r="E1385" s="281" t="s">
        <v>4014</v>
      </c>
      <c r="F1385" s="281">
        <v>6</v>
      </c>
      <c r="G1385" s="281">
        <v>5020000000</v>
      </c>
      <c r="H1385" t="s">
        <v>2039</v>
      </c>
      <c r="I1385" t="s">
        <v>560</v>
      </c>
      <c r="J1385" t="s">
        <v>1540</v>
      </c>
      <c r="K1385" t="s">
        <v>1543</v>
      </c>
      <c r="L1385" s="552">
        <v>5000</v>
      </c>
      <c r="O1385" t="s">
        <v>977</v>
      </c>
    </row>
    <row r="1386" spans="1:15" hidden="1">
      <c r="A1386" t="s">
        <v>942</v>
      </c>
      <c r="B1386" t="s">
        <v>946</v>
      </c>
      <c r="C1386" s="553">
        <v>44280</v>
      </c>
      <c r="D1386" s="281" t="s">
        <v>4555</v>
      </c>
      <c r="E1386" s="281" t="s">
        <v>4014</v>
      </c>
      <c r="F1386" s="281">
        <v>6</v>
      </c>
      <c r="G1386" s="281">
        <v>5020000000</v>
      </c>
      <c r="H1386" t="s">
        <v>2005</v>
      </c>
      <c r="I1386" t="s">
        <v>678</v>
      </c>
      <c r="J1386" t="s">
        <v>1540</v>
      </c>
      <c r="K1386" t="s">
        <v>1543</v>
      </c>
      <c r="L1386" s="552">
        <v>80000</v>
      </c>
      <c r="O1386" t="s">
        <v>977</v>
      </c>
    </row>
    <row r="1387" spans="1:15" hidden="1">
      <c r="A1387" t="s">
        <v>942</v>
      </c>
      <c r="B1387" t="s">
        <v>946</v>
      </c>
      <c r="C1387" s="553">
        <v>44280</v>
      </c>
      <c r="D1387" s="281" t="s">
        <v>4555</v>
      </c>
      <c r="E1387" s="281" t="s">
        <v>4014</v>
      </c>
      <c r="F1387" s="281">
        <v>7</v>
      </c>
      <c r="G1387" s="281">
        <v>5020000000</v>
      </c>
      <c r="H1387" t="s">
        <v>2037</v>
      </c>
      <c r="I1387" t="s">
        <v>555</v>
      </c>
      <c r="J1387" t="s">
        <v>1540</v>
      </c>
      <c r="K1387" t="s">
        <v>1543</v>
      </c>
      <c r="L1387" s="552">
        <v>20000</v>
      </c>
      <c r="O1387" t="s">
        <v>979</v>
      </c>
    </row>
    <row r="1388" spans="1:15" hidden="1">
      <c r="A1388" t="s">
        <v>942</v>
      </c>
      <c r="B1388" t="s">
        <v>946</v>
      </c>
      <c r="C1388" s="553">
        <v>44280</v>
      </c>
      <c r="D1388" s="281" t="s">
        <v>4555</v>
      </c>
      <c r="E1388" s="281" t="s">
        <v>4014</v>
      </c>
      <c r="F1388" s="281">
        <v>7</v>
      </c>
      <c r="G1388" s="281">
        <v>5020000000</v>
      </c>
      <c r="H1388" t="s">
        <v>2039</v>
      </c>
      <c r="I1388" t="s">
        <v>560</v>
      </c>
      <c r="J1388" t="s">
        <v>1540</v>
      </c>
      <c r="K1388" t="s">
        <v>1543</v>
      </c>
      <c r="L1388" s="552">
        <v>20000</v>
      </c>
      <c r="O1388" t="s">
        <v>979</v>
      </c>
    </row>
    <row r="1389" spans="1:15" hidden="1">
      <c r="A1389" t="s">
        <v>942</v>
      </c>
      <c r="B1389" t="s">
        <v>946</v>
      </c>
      <c r="C1389" s="553">
        <v>44280</v>
      </c>
      <c r="D1389" s="281" t="s">
        <v>4555</v>
      </c>
      <c r="E1389" s="281" t="s">
        <v>4014</v>
      </c>
      <c r="F1389" s="281">
        <v>7</v>
      </c>
      <c r="G1389" s="281">
        <v>5020000000</v>
      </c>
      <c r="H1389" t="s">
        <v>2005</v>
      </c>
      <c r="I1389" t="s">
        <v>678</v>
      </c>
      <c r="J1389" t="s">
        <v>1540</v>
      </c>
      <c r="K1389" t="s">
        <v>1543</v>
      </c>
      <c r="L1389" s="552">
        <v>40000</v>
      </c>
      <c r="O1389" t="s">
        <v>979</v>
      </c>
    </row>
    <row r="1390" spans="1:15" hidden="1">
      <c r="A1390" t="s">
        <v>942</v>
      </c>
      <c r="B1390" t="s">
        <v>946</v>
      </c>
      <c r="C1390" s="553">
        <v>44280</v>
      </c>
      <c r="D1390" s="281" t="s">
        <v>4556</v>
      </c>
      <c r="E1390" s="281" t="s">
        <v>4016</v>
      </c>
      <c r="F1390" s="281">
        <v>10</v>
      </c>
      <c r="G1390" s="281">
        <v>5020000000</v>
      </c>
      <c r="H1390" t="s">
        <v>2037</v>
      </c>
      <c r="I1390" t="s">
        <v>555</v>
      </c>
      <c r="J1390" t="s">
        <v>818</v>
      </c>
      <c r="K1390" t="s">
        <v>1545</v>
      </c>
      <c r="L1390" s="552">
        <v>10000</v>
      </c>
      <c r="O1390" t="s">
        <v>983</v>
      </c>
    </row>
    <row r="1391" spans="1:15" hidden="1">
      <c r="A1391" t="s">
        <v>942</v>
      </c>
      <c r="B1391" t="s">
        <v>946</v>
      </c>
      <c r="C1391" s="553">
        <v>44280</v>
      </c>
      <c r="D1391" s="281" t="s">
        <v>4556</v>
      </c>
      <c r="E1391" s="281" t="s">
        <v>4016</v>
      </c>
      <c r="F1391" s="281">
        <v>10</v>
      </c>
      <c r="G1391" s="281">
        <v>5020000000</v>
      </c>
      <c r="H1391" t="s">
        <v>2039</v>
      </c>
      <c r="I1391" t="s">
        <v>560</v>
      </c>
      <c r="J1391" t="s">
        <v>818</v>
      </c>
      <c r="K1391" t="s">
        <v>1545</v>
      </c>
      <c r="L1391" s="552">
        <v>150000</v>
      </c>
      <c r="O1391" t="s">
        <v>983</v>
      </c>
    </row>
    <row r="1392" spans="1:15" hidden="1">
      <c r="A1392" t="s">
        <v>942</v>
      </c>
      <c r="B1392" t="s">
        <v>946</v>
      </c>
      <c r="C1392" s="553">
        <v>44280</v>
      </c>
      <c r="D1392" s="281" t="s">
        <v>4556</v>
      </c>
      <c r="E1392" s="281" t="s">
        <v>4016</v>
      </c>
      <c r="F1392" s="281">
        <v>10</v>
      </c>
      <c r="G1392" s="281">
        <v>5020000000</v>
      </c>
      <c r="H1392" t="s">
        <v>2021</v>
      </c>
      <c r="I1392" t="s">
        <v>631</v>
      </c>
      <c r="J1392" t="s">
        <v>818</v>
      </c>
      <c r="K1392" t="s">
        <v>1545</v>
      </c>
      <c r="L1392" s="552">
        <v>60000</v>
      </c>
      <c r="O1392" t="s">
        <v>983</v>
      </c>
    </row>
    <row r="1393" spans="1:15" hidden="1">
      <c r="A1393" t="s">
        <v>942</v>
      </c>
      <c r="B1393" t="s">
        <v>946</v>
      </c>
      <c r="C1393" s="553">
        <v>44280</v>
      </c>
      <c r="D1393" s="281" t="s">
        <v>4556</v>
      </c>
      <c r="E1393" s="281" t="s">
        <v>4016</v>
      </c>
      <c r="F1393" s="281">
        <v>10</v>
      </c>
      <c r="G1393" s="281">
        <v>5020000000</v>
      </c>
      <c r="H1393" t="s">
        <v>2005</v>
      </c>
      <c r="I1393" t="s">
        <v>678</v>
      </c>
      <c r="J1393" t="s">
        <v>818</v>
      </c>
      <c r="K1393" t="s">
        <v>1545</v>
      </c>
      <c r="L1393" s="552">
        <v>15000</v>
      </c>
      <c r="O1393" t="s">
        <v>983</v>
      </c>
    </row>
    <row r="1394" spans="1:15" hidden="1">
      <c r="A1394" t="s">
        <v>942</v>
      </c>
      <c r="B1394" t="s">
        <v>946</v>
      </c>
      <c r="C1394" s="553">
        <v>44280</v>
      </c>
      <c r="D1394" s="281" t="s">
        <v>4556</v>
      </c>
      <c r="E1394" s="281" t="s">
        <v>4016</v>
      </c>
      <c r="F1394" s="281">
        <v>10</v>
      </c>
      <c r="G1394" s="281">
        <v>5020000000</v>
      </c>
      <c r="H1394" t="s">
        <v>2008</v>
      </c>
      <c r="I1394" t="s">
        <v>653</v>
      </c>
      <c r="J1394" t="s">
        <v>818</v>
      </c>
      <c r="K1394" t="s">
        <v>1545</v>
      </c>
      <c r="L1394" s="552">
        <v>200000</v>
      </c>
      <c r="O1394" t="s">
        <v>983</v>
      </c>
    </row>
    <row r="1395" spans="1:15" hidden="1">
      <c r="A1395" t="s">
        <v>942</v>
      </c>
      <c r="B1395" t="s">
        <v>946</v>
      </c>
      <c r="C1395" s="553">
        <v>44280</v>
      </c>
      <c r="D1395" s="281" t="s">
        <v>4556</v>
      </c>
      <c r="E1395" s="281" t="s">
        <v>4016</v>
      </c>
      <c r="F1395" s="281">
        <v>10</v>
      </c>
      <c r="G1395" s="281">
        <v>5020000000</v>
      </c>
      <c r="H1395" t="s">
        <v>1999</v>
      </c>
      <c r="I1395" t="s">
        <v>672</v>
      </c>
      <c r="J1395" t="s">
        <v>818</v>
      </c>
      <c r="K1395" t="s">
        <v>1545</v>
      </c>
      <c r="L1395" s="552">
        <v>20476.189999999999</v>
      </c>
      <c r="O1395" t="s">
        <v>983</v>
      </c>
    </row>
    <row r="1396" spans="1:15" hidden="1">
      <c r="A1396" t="s">
        <v>942</v>
      </c>
      <c r="B1396" t="s">
        <v>946</v>
      </c>
      <c r="C1396" s="553">
        <v>44280</v>
      </c>
      <c r="D1396" s="281" t="s">
        <v>4557</v>
      </c>
      <c r="E1396" s="281" t="s">
        <v>4019</v>
      </c>
      <c r="F1396" s="281">
        <v>10</v>
      </c>
      <c r="G1396" s="281">
        <v>5020000000</v>
      </c>
      <c r="H1396" t="s">
        <v>2037</v>
      </c>
      <c r="I1396" t="s">
        <v>555</v>
      </c>
      <c r="J1396" t="s">
        <v>820</v>
      </c>
      <c r="K1396" t="s">
        <v>1545</v>
      </c>
      <c r="L1396" s="552">
        <v>30000</v>
      </c>
      <c r="O1396" t="s">
        <v>983</v>
      </c>
    </row>
    <row r="1397" spans="1:15" hidden="1">
      <c r="A1397" t="s">
        <v>942</v>
      </c>
      <c r="B1397" t="s">
        <v>946</v>
      </c>
      <c r="C1397" s="553">
        <v>44280</v>
      </c>
      <c r="D1397" s="281" t="s">
        <v>4557</v>
      </c>
      <c r="E1397" s="281" t="s">
        <v>4019</v>
      </c>
      <c r="F1397" s="281">
        <v>10</v>
      </c>
      <c r="G1397" s="281">
        <v>5020000000</v>
      </c>
      <c r="H1397" t="s">
        <v>2039</v>
      </c>
      <c r="I1397" t="s">
        <v>560</v>
      </c>
      <c r="J1397" t="s">
        <v>820</v>
      </c>
      <c r="K1397" t="s">
        <v>1545</v>
      </c>
      <c r="L1397" s="552">
        <v>120000</v>
      </c>
      <c r="O1397" t="s">
        <v>983</v>
      </c>
    </row>
    <row r="1398" spans="1:15" hidden="1">
      <c r="A1398" t="s">
        <v>942</v>
      </c>
      <c r="B1398" t="s">
        <v>946</v>
      </c>
      <c r="C1398" s="553">
        <v>44280</v>
      </c>
      <c r="D1398" s="281" t="s">
        <v>4557</v>
      </c>
      <c r="E1398" s="281" t="s">
        <v>4019</v>
      </c>
      <c r="F1398" s="281">
        <v>10</v>
      </c>
      <c r="G1398" s="281">
        <v>5020000000</v>
      </c>
      <c r="H1398" t="s">
        <v>2021</v>
      </c>
      <c r="I1398" t="s">
        <v>631</v>
      </c>
      <c r="J1398" t="s">
        <v>820</v>
      </c>
      <c r="K1398" t="s">
        <v>1545</v>
      </c>
      <c r="L1398" s="552">
        <v>30000</v>
      </c>
      <c r="O1398" t="s">
        <v>983</v>
      </c>
    </row>
    <row r="1399" spans="1:15" hidden="1">
      <c r="A1399" t="s">
        <v>942</v>
      </c>
      <c r="B1399" t="s">
        <v>946</v>
      </c>
      <c r="C1399" s="553">
        <v>44280</v>
      </c>
      <c r="D1399" s="281" t="s">
        <v>4557</v>
      </c>
      <c r="E1399" s="281" t="s">
        <v>4019</v>
      </c>
      <c r="F1399" s="281">
        <v>10</v>
      </c>
      <c r="G1399" s="281">
        <v>5020000000</v>
      </c>
      <c r="H1399" t="s">
        <v>2008</v>
      </c>
      <c r="I1399" t="s">
        <v>653</v>
      </c>
      <c r="J1399" t="s">
        <v>820</v>
      </c>
      <c r="K1399" t="s">
        <v>1545</v>
      </c>
      <c r="L1399" s="552">
        <v>80000</v>
      </c>
      <c r="O1399" t="s">
        <v>983</v>
      </c>
    </row>
    <row r="1400" spans="1:15" hidden="1">
      <c r="A1400" t="s">
        <v>942</v>
      </c>
      <c r="B1400" t="s">
        <v>946</v>
      </c>
      <c r="C1400" s="553">
        <v>44280</v>
      </c>
      <c r="D1400" s="281" t="s">
        <v>4557</v>
      </c>
      <c r="E1400" s="281" t="s">
        <v>4019</v>
      </c>
      <c r="F1400" s="281">
        <v>10</v>
      </c>
      <c r="G1400" s="281">
        <v>5020000000</v>
      </c>
      <c r="H1400" t="s">
        <v>1999</v>
      </c>
      <c r="I1400" t="s">
        <v>672</v>
      </c>
      <c r="J1400" t="s">
        <v>820</v>
      </c>
      <c r="K1400" t="s">
        <v>1545</v>
      </c>
      <c r="L1400" s="552">
        <v>24121.43</v>
      </c>
      <c r="O1400" t="s">
        <v>983</v>
      </c>
    </row>
    <row r="1401" spans="1:15" hidden="1">
      <c r="A1401" t="s">
        <v>942</v>
      </c>
      <c r="B1401" t="s">
        <v>946</v>
      </c>
      <c r="C1401" s="553">
        <v>44280</v>
      </c>
      <c r="D1401" s="281" t="s">
        <v>4558</v>
      </c>
      <c r="E1401" s="281" t="s">
        <v>4022</v>
      </c>
      <c r="F1401" s="281">
        <v>10</v>
      </c>
      <c r="G1401" s="281">
        <v>5020000000</v>
      </c>
      <c r="H1401" t="s">
        <v>2037</v>
      </c>
      <c r="I1401" t="s">
        <v>555</v>
      </c>
      <c r="J1401" t="s">
        <v>1539</v>
      </c>
      <c r="K1401" t="s">
        <v>1545</v>
      </c>
      <c r="L1401" s="552">
        <v>50000</v>
      </c>
      <c r="O1401" t="s">
        <v>983</v>
      </c>
    </row>
    <row r="1402" spans="1:15" hidden="1">
      <c r="A1402" t="s">
        <v>942</v>
      </c>
      <c r="B1402" t="s">
        <v>946</v>
      </c>
      <c r="C1402" s="553">
        <v>44280</v>
      </c>
      <c r="D1402" s="281" t="s">
        <v>4558</v>
      </c>
      <c r="E1402" s="281" t="s">
        <v>4022</v>
      </c>
      <c r="F1402" s="281">
        <v>10</v>
      </c>
      <c r="G1402" s="281">
        <v>5020000000</v>
      </c>
      <c r="H1402" t="s">
        <v>2039</v>
      </c>
      <c r="I1402" t="s">
        <v>560</v>
      </c>
      <c r="J1402" t="s">
        <v>1539</v>
      </c>
      <c r="K1402" t="s">
        <v>1545</v>
      </c>
      <c r="L1402" s="552">
        <v>50000</v>
      </c>
      <c r="O1402" t="s">
        <v>983</v>
      </c>
    </row>
    <row r="1403" spans="1:15" hidden="1">
      <c r="A1403" t="s">
        <v>942</v>
      </c>
      <c r="B1403" t="s">
        <v>946</v>
      </c>
      <c r="C1403" s="553">
        <v>44280</v>
      </c>
      <c r="D1403" s="281" t="s">
        <v>4558</v>
      </c>
      <c r="E1403" s="281" t="s">
        <v>4022</v>
      </c>
      <c r="F1403" s="281">
        <v>10</v>
      </c>
      <c r="G1403" s="281">
        <v>5020000000</v>
      </c>
      <c r="H1403" t="s">
        <v>2021</v>
      </c>
      <c r="I1403" t="s">
        <v>631</v>
      </c>
      <c r="J1403" t="s">
        <v>1539</v>
      </c>
      <c r="K1403" t="s">
        <v>1545</v>
      </c>
      <c r="L1403" s="552">
        <v>50000</v>
      </c>
      <c r="O1403" t="s">
        <v>983</v>
      </c>
    </row>
    <row r="1404" spans="1:15" hidden="1">
      <c r="A1404" t="s">
        <v>942</v>
      </c>
      <c r="B1404" t="s">
        <v>946</v>
      </c>
      <c r="C1404" s="553">
        <v>44280</v>
      </c>
      <c r="D1404" s="281" t="s">
        <v>4558</v>
      </c>
      <c r="E1404" s="281" t="s">
        <v>4022</v>
      </c>
      <c r="F1404" s="281">
        <v>10</v>
      </c>
      <c r="G1404" s="281">
        <v>5020000000</v>
      </c>
      <c r="H1404" t="s">
        <v>2008</v>
      </c>
      <c r="I1404" t="s">
        <v>653</v>
      </c>
      <c r="J1404" t="s">
        <v>1539</v>
      </c>
      <c r="K1404" t="s">
        <v>1545</v>
      </c>
      <c r="L1404" s="552">
        <v>67000</v>
      </c>
      <c r="O1404" t="s">
        <v>983</v>
      </c>
    </row>
    <row r="1405" spans="1:15" hidden="1">
      <c r="A1405" t="s">
        <v>942</v>
      </c>
      <c r="B1405" t="s">
        <v>946</v>
      </c>
      <c r="C1405" s="553">
        <v>44280</v>
      </c>
      <c r="D1405" s="281" t="s">
        <v>4558</v>
      </c>
      <c r="E1405" s="281" t="s">
        <v>4022</v>
      </c>
      <c r="F1405" s="281">
        <v>10</v>
      </c>
      <c r="G1405" s="281">
        <v>5020000000</v>
      </c>
      <c r="H1405" t="s">
        <v>1999</v>
      </c>
      <c r="I1405" t="s">
        <v>672</v>
      </c>
      <c r="J1405" t="s">
        <v>1539</v>
      </c>
      <c r="K1405" t="s">
        <v>1545</v>
      </c>
      <c r="L1405" s="552">
        <v>24007.14</v>
      </c>
      <c r="O1405" t="s">
        <v>983</v>
      </c>
    </row>
    <row r="1406" spans="1:15" hidden="1">
      <c r="A1406" t="s">
        <v>942</v>
      </c>
      <c r="B1406" t="s">
        <v>946</v>
      </c>
      <c r="C1406" s="553">
        <v>44280</v>
      </c>
      <c r="D1406" s="281" t="s">
        <v>4559</v>
      </c>
      <c r="E1406" s="281" t="s">
        <v>4024</v>
      </c>
      <c r="F1406" s="281">
        <v>10</v>
      </c>
      <c r="G1406" s="281">
        <v>5020000000</v>
      </c>
      <c r="H1406" t="s">
        <v>2037</v>
      </c>
      <c r="I1406" t="s">
        <v>555</v>
      </c>
      <c r="J1406" t="s">
        <v>1540</v>
      </c>
      <c r="K1406" t="s">
        <v>1545</v>
      </c>
      <c r="L1406" s="552">
        <v>50000</v>
      </c>
      <c r="O1406" t="s">
        <v>983</v>
      </c>
    </row>
    <row r="1407" spans="1:15" hidden="1">
      <c r="A1407" t="s">
        <v>942</v>
      </c>
      <c r="B1407" t="s">
        <v>946</v>
      </c>
      <c r="C1407" s="553">
        <v>44280</v>
      </c>
      <c r="D1407" s="281" t="s">
        <v>4559</v>
      </c>
      <c r="E1407" s="281" t="s">
        <v>4024</v>
      </c>
      <c r="F1407" s="281">
        <v>10</v>
      </c>
      <c r="G1407" s="281">
        <v>5020000000</v>
      </c>
      <c r="H1407" t="s">
        <v>2039</v>
      </c>
      <c r="I1407" t="s">
        <v>560</v>
      </c>
      <c r="J1407" t="s">
        <v>1540</v>
      </c>
      <c r="K1407" t="s">
        <v>1545</v>
      </c>
      <c r="L1407" s="552">
        <v>50000</v>
      </c>
      <c r="O1407" t="s">
        <v>983</v>
      </c>
    </row>
    <row r="1408" spans="1:15" hidden="1">
      <c r="A1408" t="s">
        <v>942</v>
      </c>
      <c r="B1408" t="s">
        <v>946</v>
      </c>
      <c r="C1408" s="553">
        <v>44280</v>
      </c>
      <c r="D1408" s="281" t="s">
        <v>4559</v>
      </c>
      <c r="E1408" s="281" t="s">
        <v>4024</v>
      </c>
      <c r="F1408" s="281">
        <v>10</v>
      </c>
      <c r="G1408" s="281">
        <v>5020000000</v>
      </c>
      <c r="H1408" t="s">
        <v>2021</v>
      </c>
      <c r="I1408" t="s">
        <v>631</v>
      </c>
      <c r="J1408" t="s">
        <v>1540</v>
      </c>
      <c r="K1408" t="s">
        <v>1545</v>
      </c>
      <c r="L1408" s="552">
        <v>50000</v>
      </c>
      <c r="O1408" t="s">
        <v>983</v>
      </c>
    </row>
    <row r="1409" spans="1:15" hidden="1">
      <c r="A1409" t="s">
        <v>942</v>
      </c>
      <c r="B1409" t="s">
        <v>946</v>
      </c>
      <c r="C1409" s="553">
        <v>44280</v>
      </c>
      <c r="D1409" s="281" t="s">
        <v>4559</v>
      </c>
      <c r="E1409" s="281" t="s">
        <v>4024</v>
      </c>
      <c r="F1409" s="281">
        <v>10</v>
      </c>
      <c r="G1409" s="281">
        <v>5020000000</v>
      </c>
      <c r="H1409" t="s">
        <v>2008</v>
      </c>
      <c r="I1409" t="s">
        <v>653</v>
      </c>
      <c r="J1409" t="s">
        <v>1540</v>
      </c>
      <c r="K1409" t="s">
        <v>1545</v>
      </c>
      <c r="L1409" s="552">
        <v>147000</v>
      </c>
      <c r="O1409" t="s">
        <v>983</v>
      </c>
    </row>
    <row r="1410" spans="1:15" hidden="1">
      <c r="A1410" t="s">
        <v>942</v>
      </c>
      <c r="B1410" t="s">
        <v>946</v>
      </c>
      <c r="C1410" s="553">
        <v>44280</v>
      </c>
      <c r="D1410" s="281" t="s">
        <v>4559</v>
      </c>
      <c r="E1410" s="281" t="s">
        <v>4024</v>
      </c>
      <c r="F1410" s="281">
        <v>10</v>
      </c>
      <c r="G1410" s="281">
        <v>5020000000</v>
      </c>
      <c r="H1410" t="s">
        <v>1999</v>
      </c>
      <c r="I1410" t="s">
        <v>672</v>
      </c>
      <c r="J1410" t="s">
        <v>1540</v>
      </c>
      <c r="K1410" t="s">
        <v>1545</v>
      </c>
      <c r="L1410" s="552">
        <v>24342.85</v>
      </c>
      <c r="O1410" t="s">
        <v>983</v>
      </c>
    </row>
    <row r="1411" spans="1:15" hidden="1">
      <c r="A1411" t="s">
        <v>942</v>
      </c>
      <c r="B1411" t="s">
        <v>946</v>
      </c>
      <c r="C1411" s="553">
        <v>44280</v>
      </c>
      <c r="D1411" s="281" t="s">
        <v>4560</v>
      </c>
      <c r="E1411" s="281" t="s">
        <v>4151</v>
      </c>
      <c r="F1411" s="281">
        <v>1</v>
      </c>
      <c r="G1411" s="281">
        <v>5020000000</v>
      </c>
      <c r="H1411" t="s">
        <v>2007</v>
      </c>
      <c r="I1411" t="s">
        <v>638</v>
      </c>
      <c r="J1411" t="s">
        <v>1075</v>
      </c>
      <c r="K1411" t="s">
        <v>1551</v>
      </c>
      <c r="L1411" s="552">
        <v>10400</v>
      </c>
      <c r="O1411" t="s">
        <v>961</v>
      </c>
    </row>
    <row r="1412" spans="1:15" hidden="1">
      <c r="A1412" t="s">
        <v>942</v>
      </c>
      <c r="B1412" t="s">
        <v>946</v>
      </c>
      <c r="C1412" s="553">
        <v>44280</v>
      </c>
      <c r="D1412" s="281" t="s">
        <v>4560</v>
      </c>
      <c r="E1412" s="281" t="s">
        <v>4151</v>
      </c>
      <c r="F1412" s="281">
        <v>1</v>
      </c>
      <c r="G1412" s="281">
        <v>5020000000</v>
      </c>
      <c r="H1412" t="s">
        <v>1997</v>
      </c>
      <c r="I1412" t="s">
        <v>642</v>
      </c>
      <c r="J1412" t="s">
        <v>1075</v>
      </c>
      <c r="K1412" t="s">
        <v>1551</v>
      </c>
      <c r="L1412" s="552">
        <v>3720</v>
      </c>
      <c r="O1412" t="s">
        <v>961</v>
      </c>
    </row>
    <row r="1413" spans="1:15" hidden="1">
      <c r="A1413" t="s">
        <v>942</v>
      </c>
      <c r="B1413" t="s">
        <v>946</v>
      </c>
      <c r="C1413" s="553">
        <v>44280</v>
      </c>
      <c r="D1413" s="281" t="s">
        <v>4561</v>
      </c>
      <c r="E1413" s="281" t="s">
        <v>4153</v>
      </c>
      <c r="F1413" s="281">
        <v>10</v>
      </c>
      <c r="G1413" s="281">
        <v>5020000000</v>
      </c>
      <c r="H1413" t="s">
        <v>1998</v>
      </c>
      <c r="I1413" t="s">
        <v>633</v>
      </c>
      <c r="J1413" t="s">
        <v>1075</v>
      </c>
      <c r="K1413" t="s">
        <v>1551</v>
      </c>
      <c r="L1413" s="552">
        <v>5534</v>
      </c>
      <c r="O1413" t="s">
        <v>983</v>
      </c>
    </row>
    <row r="1414" spans="1:15" hidden="1">
      <c r="A1414" t="s">
        <v>942</v>
      </c>
      <c r="B1414" t="s">
        <v>946</v>
      </c>
      <c r="C1414" s="553">
        <v>44280</v>
      </c>
      <c r="D1414" s="281" t="s">
        <v>4561</v>
      </c>
      <c r="E1414" s="281" t="s">
        <v>4153</v>
      </c>
      <c r="F1414" s="281">
        <v>1</v>
      </c>
      <c r="G1414" s="281">
        <v>5020000000</v>
      </c>
      <c r="H1414" t="s">
        <v>2004</v>
      </c>
      <c r="I1414" t="s">
        <v>629</v>
      </c>
      <c r="J1414" t="s">
        <v>1075</v>
      </c>
      <c r="K1414" t="s">
        <v>1551</v>
      </c>
      <c r="L1414" s="552">
        <v>5534</v>
      </c>
      <c r="O1414" t="s">
        <v>961</v>
      </c>
    </row>
    <row r="1415" spans="1:15" hidden="1">
      <c r="A1415" t="s">
        <v>942</v>
      </c>
      <c r="B1415" t="s">
        <v>946</v>
      </c>
      <c r="C1415" s="553">
        <v>44280</v>
      </c>
      <c r="D1415" s="281" t="s">
        <v>4561</v>
      </c>
      <c r="E1415" s="281" t="s">
        <v>4153</v>
      </c>
      <c r="F1415" s="281">
        <v>1</v>
      </c>
      <c r="G1415" s="281">
        <v>5020000000</v>
      </c>
      <c r="H1415" t="s">
        <v>1998</v>
      </c>
      <c r="I1415" t="s">
        <v>633</v>
      </c>
      <c r="J1415" t="s">
        <v>1075</v>
      </c>
      <c r="K1415" t="s">
        <v>1551</v>
      </c>
      <c r="L1415" s="552">
        <v>16692</v>
      </c>
      <c r="O1415" t="s">
        <v>961</v>
      </c>
    </row>
    <row r="1416" spans="1:15" hidden="1">
      <c r="A1416" t="s">
        <v>942</v>
      </c>
      <c r="B1416" t="s">
        <v>946</v>
      </c>
      <c r="C1416" s="553">
        <v>44280</v>
      </c>
      <c r="D1416" s="281" t="s">
        <v>4561</v>
      </c>
      <c r="E1416" s="281" t="s">
        <v>4153</v>
      </c>
      <c r="F1416" s="281">
        <v>4</v>
      </c>
      <c r="G1416" s="281">
        <v>5020000000</v>
      </c>
      <c r="H1416" t="s">
        <v>1998</v>
      </c>
      <c r="I1416" t="s">
        <v>633</v>
      </c>
      <c r="J1416" t="s">
        <v>1075</v>
      </c>
      <c r="K1416" t="s">
        <v>1551</v>
      </c>
      <c r="L1416" s="552">
        <v>16026.5</v>
      </c>
      <c r="O1416" t="s">
        <v>971</v>
      </c>
    </row>
    <row r="1417" spans="1:15" hidden="1">
      <c r="A1417" t="s">
        <v>942</v>
      </c>
      <c r="B1417" t="s">
        <v>946</v>
      </c>
      <c r="C1417" s="553">
        <v>44280</v>
      </c>
      <c r="D1417" s="281" t="s">
        <v>4562</v>
      </c>
      <c r="E1417" s="281" t="s">
        <v>4027</v>
      </c>
      <c r="F1417" s="281">
        <v>7</v>
      </c>
      <c r="G1417" s="281">
        <v>5020000000</v>
      </c>
      <c r="H1417" t="s">
        <v>2002</v>
      </c>
      <c r="I1417" t="s">
        <v>603</v>
      </c>
      <c r="J1417" t="s">
        <v>1102</v>
      </c>
      <c r="K1417" t="s">
        <v>1553</v>
      </c>
      <c r="L1417" s="552">
        <v>1200</v>
      </c>
      <c r="O1417" t="s">
        <v>979</v>
      </c>
    </row>
    <row r="1418" spans="1:15" hidden="1">
      <c r="A1418" t="s">
        <v>942</v>
      </c>
      <c r="B1418" t="s">
        <v>946</v>
      </c>
      <c r="C1418" s="553">
        <v>44280</v>
      </c>
      <c r="D1418" s="281" t="s">
        <v>4563</v>
      </c>
      <c r="E1418" s="281" t="s">
        <v>4063</v>
      </c>
      <c r="F1418" s="281">
        <v>4</v>
      </c>
      <c r="G1418" s="281">
        <v>5020000000</v>
      </c>
      <c r="H1418" t="s">
        <v>2037</v>
      </c>
      <c r="I1418" t="s">
        <v>555</v>
      </c>
      <c r="J1418" t="s">
        <v>818</v>
      </c>
      <c r="K1418" t="s">
        <v>1556</v>
      </c>
      <c r="L1418" s="552">
        <v>180000</v>
      </c>
      <c r="O1418" t="s">
        <v>971</v>
      </c>
    </row>
    <row r="1419" spans="1:15" hidden="1">
      <c r="A1419" t="s">
        <v>942</v>
      </c>
      <c r="B1419" t="s">
        <v>946</v>
      </c>
      <c r="C1419" s="553">
        <v>44280</v>
      </c>
      <c r="D1419" s="281" t="s">
        <v>4563</v>
      </c>
      <c r="E1419" s="281" t="s">
        <v>4063</v>
      </c>
      <c r="F1419" s="281">
        <v>4</v>
      </c>
      <c r="G1419" s="281">
        <v>5020000000</v>
      </c>
      <c r="H1419" t="s">
        <v>2032</v>
      </c>
      <c r="I1419" t="s">
        <v>565</v>
      </c>
      <c r="J1419" t="s">
        <v>818</v>
      </c>
      <c r="K1419" t="s">
        <v>1556</v>
      </c>
      <c r="L1419" s="552">
        <v>20000</v>
      </c>
      <c r="O1419" t="s">
        <v>971</v>
      </c>
    </row>
    <row r="1420" spans="1:15" hidden="1">
      <c r="A1420" t="s">
        <v>942</v>
      </c>
      <c r="B1420" t="s">
        <v>946</v>
      </c>
      <c r="C1420" s="553">
        <v>44280</v>
      </c>
      <c r="D1420" s="281" t="s">
        <v>4563</v>
      </c>
      <c r="E1420" s="281" t="s">
        <v>4063</v>
      </c>
      <c r="F1420" s="281">
        <v>4</v>
      </c>
      <c r="G1420" s="281">
        <v>5020000000</v>
      </c>
      <c r="H1420" t="s">
        <v>2041</v>
      </c>
      <c r="I1420" t="s">
        <v>601</v>
      </c>
      <c r="J1420" t="s">
        <v>818</v>
      </c>
      <c r="K1420" t="s">
        <v>1556</v>
      </c>
      <c r="L1420" s="552">
        <v>6000</v>
      </c>
      <c r="O1420" t="s">
        <v>971</v>
      </c>
    </row>
    <row r="1421" spans="1:15" hidden="1">
      <c r="A1421" t="s">
        <v>942</v>
      </c>
      <c r="B1421" t="s">
        <v>946</v>
      </c>
      <c r="C1421" s="553">
        <v>44280</v>
      </c>
      <c r="D1421" s="281" t="s">
        <v>4563</v>
      </c>
      <c r="E1421" s="281" t="s">
        <v>4063</v>
      </c>
      <c r="F1421" s="281">
        <v>4</v>
      </c>
      <c r="G1421" s="281">
        <v>5020000000</v>
      </c>
      <c r="H1421" t="s">
        <v>2002</v>
      </c>
      <c r="I1421" t="s">
        <v>603</v>
      </c>
      <c r="J1421" t="s">
        <v>818</v>
      </c>
      <c r="K1421" t="s">
        <v>1556</v>
      </c>
      <c r="L1421" s="552">
        <v>10000</v>
      </c>
      <c r="O1421" t="s">
        <v>971</v>
      </c>
    </row>
    <row r="1422" spans="1:15" hidden="1">
      <c r="A1422" t="s">
        <v>942</v>
      </c>
      <c r="B1422" t="s">
        <v>946</v>
      </c>
      <c r="C1422" s="553">
        <v>44280</v>
      </c>
      <c r="D1422" s="281" t="s">
        <v>4563</v>
      </c>
      <c r="E1422" s="281" t="s">
        <v>4063</v>
      </c>
      <c r="F1422" s="281">
        <v>4</v>
      </c>
      <c r="G1422" s="281">
        <v>5020000000</v>
      </c>
      <c r="H1422" t="s">
        <v>1998</v>
      </c>
      <c r="I1422" t="s">
        <v>633</v>
      </c>
      <c r="J1422" t="s">
        <v>818</v>
      </c>
      <c r="K1422" t="s">
        <v>1556</v>
      </c>
      <c r="L1422" s="552">
        <v>120000</v>
      </c>
      <c r="O1422" t="s">
        <v>971</v>
      </c>
    </row>
    <row r="1423" spans="1:15" hidden="1">
      <c r="A1423" t="s">
        <v>942</v>
      </c>
      <c r="B1423" t="s">
        <v>946</v>
      </c>
      <c r="C1423" s="553">
        <v>44280</v>
      </c>
      <c r="D1423" s="281" t="s">
        <v>4563</v>
      </c>
      <c r="E1423" s="281" t="s">
        <v>4063</v>
      </c>
      <c r="F1423" s="281">
        <v>4</v>
      </c>
      <c r="G1423" s="281">
        <v>5020000000</v>
      </c>
      <c r="H1423" t="s">
        <v>2005</v>
      </c>
      <c r="I1423" t="s">
        <v>678</v>
      </c>
      <c r="J1423" t="s">
        <v>818</v>
      </c>
      <c r="K1423" t="s">
        <v>1556</v>
      </c>
      <c r="L1423" s="552">
        <v>140000</v>
      </c>
      <c r="O1423" t="s">
        <v>971</v>
      </c>
    </row>
    <row r="1424" spans="1:15" hidden="1">
      <c r="A1424" t="s">
        <v>942</v>
      </c>
      <c r="B1424" t="s">
        <v>946</v>
      </c>
      <c r="C1424" s="553">
        <v>44280</v>
      </c>
      <c r="D1424" s="281" t="s">
        <v>4563</v>
      </c>
      <c r="E1424" s="281" t="s">
        <v>4063</v>
      </c>
      <c r="F1424" s="281">
        <v>4</v>
      </c>
      <c r="G1424" s="281">
        <v>5020000000</v>
      </c>
      <c r="H1424" t="s">
        <v>1997</v>
      </c>
      <c r="I1424" t="s">
        <v>642</v>
      </c>
      <c r="J1424" t="s">
        <v>818</v>
      </c>
      <c r="K1424" t="s">
        <v>1556</v>
      </c>
      <c r="L1424" s="552">
        <v>40000</v>
      </c>
      <c r="O1424" t="s">
        <v>971</v>
      </c>
    </row>
    <row r="1425" spans="1:15" hidden="1">
      <c r="A1425" t="s">
        <v>942</v>
      </c>
      <c r="B1425" t="s">
        <v>946</v>
      </c>
      <c r="C1425" s="553">
        <v>44280</v>
      </c>
      <c r="D1425" s="281" t="s">
        <v>4563</v>
      </c>
      <c r="E1425" s="281" t="s">
        <v>4063</v>
      </c>
      <c r="F1425" s="281">
        <v>4</v>
      </c>
      <c r="G1425" s="281">
        <v>5020000000</v>
      </c>
      <c r="H1425" t="s">
        <v>2007</v>
      </c>
      <c r="I1425" t="s">
        <v>638</v>
      </c>
      <c r="J1425" t="s">
        <v>818</v>
      </c>
      <c r="K1425" t="s">
        <v>1556</v>
      </c>
      <c r="L1425" s="552">
        <v>34000</v>
      </c>
      <c r="O1425" t="s">
        <v>971</v>
      </c>
    </row>
    <row r="1426" spans="1:15" hidden="1">
      <c r="A1426" t="s">
        <v>942</v>
      </c>
      <c r="B1426" t="s">
        <v>946</v>
      </c>
      <c r="C1426" s="553">
        <v>44280</v>
      </c>
      <c r="D1426" s="281" t="s">
        <v>4564</v>
      </c>
      <c r="E1426" s="281" t="s">
        <v>4066</v>
      </c>
      <c r="F1426" s="281">
        <v>4</v>
      </c>
      <c r="G1426" s="281">
        <v>5020000000</v>
      </c>
      <c r="H1426" t="s">
        <v>2037</v>
      </c>
      <c r="I1426" t="s">
        <v>555</v>
      </c>
      <c r="J1426" t="s">
        <v>820</v>
      </c>
      <c r="K1426" t="s">
        <v>1556</v>
      </c>
      <c r="L1426" s="552">
        <v>190000</v>
      </c>
      <c r="O1426" t="s">
        <v>971</v>
      </c>
    </row>
    <row r="1427" spans="1:15" hidden="1">
      <c r="A1427" t="s">
        <v>942</v>
      </c>
      <c r="B1427" t="s">
        <v>946</v>
      </c>
      <c r="C1427" s="553">
        <v>44280</v>
      </c>
      <c r="D1427" s="281" t="s">
        <v>4564</v>
      </c>
      <c r="E1427" s="281" t="s">
        <v>4066</v>
      </c>
      <c r="F1427" s="281">
        <v>4</v>
      </c>
      <c r="G1427" s="281">
        <v>5020000000</v>
      </c>
      <c r="H1427" t="s">
        <v>2032</v>
      </c>
      <c r="I1427" t="s">
        <v>565</v>
      </c>
      <c r="J1427" t="s">
        <v>820</v>
      </c>
      <c r="K1427" t="s">
        <v>1556</v>
      </c>
      <c r="L1427" s="552">
        <v>20000</v>
      </c>
      <c r="O1427" t="s">
        <v>971</v>
      </c>
    </row>
    <row r="1428" spans="1:15" hidden="1">
      <c r="A1428" t="s">
        <v>942</v>
      </c>
      <c r="B1428" t="s">
        <v>946</v>
      </c>
      <c r="C1428" s="553">
        <v>44280</v>
      </c>
      <c r="D1428" s="281" t="s">
        <v>4564</v>
      </c>
      <c r="E1428" s="281" t="s">
        <v>4066</v>
      </c>
      <c r="F1428" s="281">
        <v>4</v>
      </c>
      <c r="G1428" s="281">
        <v>5020000000</v>
      </c>
      <c r="H1428" t="s">
        <v>2041</v>
      </c>
      <c r="I1428" t="s">
        <v>601</v>
      </c>
      <c r="J1428" t="s">
        <v>820</v>
      </c>
      <c r="K1428" t="s">
        <v>1556</v>
      </c>
      <c r="L1428" s="552">
        <v>6000</v>
      </c>
      <c r="O1428" t="s">
        <v>971</v>
      </c>
    </row>
    <row r="1429" spans="1:15" hidden="1">
      <c r="A1429" t="s">
        <v>942</v>
      </c>
      <c r="B1429" t="s">
        <v>946</v>
      </c>
      <c r="C1429" s="553">
        <v>44280</v>
      </c>
      <c r="D1429" s="281" t="s">
        <v>4564</v>
      </c>
      <c r="E1429" s="281" t="s">
        <v>4066</v>
      </c>
      <c r="F1429" s="281">
        <v>4</v>
      </c>
      <c r="G1429" s="281">
        <v>5020000000</v>
      </c>
      <c r="H1429" t="s">
        <v>2002</v>
      </c>
      <c r="I1429" t="s">
        <v>603</v>
      </c>
      <c r="J1429" t="s">
        <v>820</v>
      </c>
      <c r="K1429" t="s">
        <v>1556</v>
      </c>
      <c r="L1429" s="552">
        <v>10000</v>
      </c>
      <c r="O1429" t="s">
        <v>971</v>
      </c>
    </row>
    <row r="1430" spans="1:15" hidden="1">
      <c r="A1430" t="s">
        <v>942</v>
      </c>
      <c r="B1430" t="s">
        <v>946</v>
      </c>
      <c r="C1430" s="553">
        <v>44280</v>
      </c>
      <c r="D1430" s="281" t="s">
        <v>4564</v>
      </c>
      <c r="E1430" s="281" t="s">
        <v>4066</v>
      </c>
      <c r="F1430" s="281">
        <v>4</v>
      </c>
      <c r="G1430" s="281">
        <v>5020000000</v>
      </c>
      <c r="H1430" t="s">
        <v>1998</v>
      </c>
      <c r="I1430" t="s">
        <v>633</v>
      </c>
      <c r="J1430" t="s">
        <v>820</v>
      </c>
      <c r="K1430" t="s">
        <v>1556</v>
      </c>
      <c r="L1430" s="552">
        <v>120000</v>
      </c>
      <c r="O1430" t="s">
        <v>971</v>
      </c>
    </row>
    <row r="1431" spans="1:15" hidden="1">
      <c r="A1431" t="s">
        <v>942</v>
      </c>
      <c r="B1431" t="s">
        <v>946</v>
      </c>
      <c r="C1431" s="553">
        <v>44280</v>
      </c>
      <c r="D1431" s="281" t="s">
        <v>4564</v>
      </c>
      <c r="E1431" s="281" t="s">
        <v>4066</v>
      </c>
      <c r="F1431" s="281">
        <v>4</v>
      </c>
      <c r="G1431" s="281">
        <v>5020000000</v>
      </c>
      <c r="H1431" t="s">
        <v>2005</v>
      </c>
      <c r="I1431" t="s">
        <v>678</v>
      </c>
      <c r="J1431" t="s">
        <v>820</v>
      </c>
      <c r="K1431" t="s">
        <v>1556</v>
      </c>
      <c r="L1431" s="552">
        <v>140000</v>
      </c>
      <c r="O1431" t="s">
        <v>971</v>
      </c>
    </row>
    <row r="1432" spans="1:15" hidden="1">
      <c r="A1432" t="s">
        <v>942</v>
      </c>
      <c r="B1432" t="s">
        <v>946</v>
      </c>
      <c r="C1432" s="553">
        <v>44280</v>
      </c>
      <c r="D1432" s="281" t="s">
        <v>4564</v>
      </c>
      <c r="E1432" s="281" t="s">
        <v>4066</v>
      </c>
      <c r="F1432" s="281">
        <v>4</v>
      </c>
      <c r="G1432" s="281">
        <v>5020000000</v>
      </c>
      <c r="H1432" t="s">
        <v>1997</v>
      </c>
      <c r="I1432" t="s">
        <v>642</v>
      </c>
      <c r="J1432" t="s">
        <v>820</v>
      </c>
      <c r="K1432" t="s">
        <v>1556</v>
      </c>
      <c r="L1432" s="552">
        <v>60000</v>
      </c>
      <c r="O1432" t="s">
        <v>971</v>
      </c>
    </row>
    <row r="1433" spans="1:15" hidden="1">
      <c r="A1433" t="s">
        <v>942</v>
      </c>
      <c r="B1433" t="s">
        <v>946</v>
      </c>
      <c r="C1433" s="553">
        <v>44280</v>
      </c>
      <c r="D1433" s="281" t="s">
        <v>4564</v>
      </c>
      <c r="E1433" s="281" t="s">
        <v>4066</v>
      </c>
      <c r="F1433" s="281">
        <v>4</v>
      </c>
      <c r="G1433" s="281">
        <v>5020000000</v>
      </c>
      <c r="H1433" t="s">
        <v>2007</v>
      </c>
      <c r="I1433" t="s">
        <v>638</v>
      </c>
      <c r="J1433" t="s">
        <v>820</v>
      </c>
      <c r="K1433" t="s">
        <v>1556</v>
      </c>
      <c r="L1433" s="552">
        <v>4000</v>
      </c>
      <c r="O1433" t="s">
        <v>971</v>
      </c>
    </row>
    <row r="1434" spans="1:15" hidden="1">
      <c r="A1434" t="s">
        <v>942</v>
      </c>
      <c r="B1434" t="s">
        <v>946</v>
      </c>
      <c r="C1434" s="553">
        <v>44280</v>
      </c>
      <c r="D1434" s="281" t="s">
        <v>4565</v>
      </c>
      <c r="E1434" s="281" t="s">
        <v>4068</v>
      </c>
      <c r="F1434" s="281">
        <v>4</v>
      </c>
      <c r="G1434" s="281">
        <v>5020000000</v>
      </c>
      <c r="H1434" t="s">
        <v>2037</v>
      </c>
      <c r="I1434" t="s">
        <v>555</v>
      </c>
      <c r="J1434" t="s">
        <v>1539</v>
      </c>
      <c r="K1434" t="s">
        <v>1556</v>
      </c>
      <c r="L1434" s="552">
        <v>200000</v>
      </c>
      <c r="O1434" t="s">
        <v>971</v>
      </c>
    </row>
    <row r="1435" spans="1:15" hidden="1">
      <c r="A1435" t="s">
        <v>942</v>
      </c>
      <c r="B1435" t="s">
        <v>946</v>
      </c>
      <c r="C1435" s="553">
        <v>44280</v>
      </c>
      <c r="D1435" s="281" t="s">
        <v>4565</v>
      </c>
      <c r="E1435" s="281" t="s">
        <v>4068</v>
      </c>
      <c r="F1435" s="281">
        <v>4</v>
      </c>
      <c r="G1435" s="281">
        <v>5020000000</v>
      </c>
      <c r="H1435" t="s">
        <v>2032</v>
      </c>
      <c r="I1435" t="s">
        <v>565</v>
      </c>
      <c r="J1435" t="s">
        <v>1539</v>
      </c>
      <c r="K1435" t="s">
        <v>1556</v>
      </c>
      <c r="L1435" s="552">
        <v>20000</v>
      </c>
      <c r="O1435" t="s">
        <v>971</v>
      </c>
    </row>
    <row r="1436" spans="1:15" hidden="1">
      <c r="A1436" t="s">
        <v>942</v>
      </c>
      <c r="B1436" t="s">
        <v>946</v>
      </c>
      <c r="C1436" s="553">
        <v>44280</v>
      </c>
      <c r="D1436" s="281" t="s">
        <v>4565</v>
      </c>
      <c r="E1436" s="281" t="s">
        <v>4068</v>
      </c>
      <c r="F1436" s="281">
        <v>4</v>
      </c>
      <c r="G1436" s="281">
        <v>5020000000</v>
      </c>
      <c r="H1436" t="s">
        <v>2041</v>
      </c>
      <c r="I1436" t="s">
        <v>601</v>
      </c>
      <c r="J1436" t="s">
        <v>1539</v>
      </c>
      <c r="K1436" t="s">
        <v>1556</v>
      </c>
      <c r="L1436" s="552">
        <v>6000</v>
      </c>
      <c r="O1436" t="s">
        <v>971</v>
      </c>
    </row>
    <row r="1437" spans="1:15" hidden="1">
      <c r="A1437" t="s">
        <v>942</v>
      </c>
      <c r="B1437" t="s">
        <v>946</v>
      </c>
      <c r="C1437" s="553">
        <v>44280</v>
      </c>
      <c r="D1437" s="281" t="s">
        <v>4565</v>
      </c>
      <c r="E1437" s="281" t="s">
        <v>4068</v>
      </c>
      <c r="F1437" s="281">
        <v>4</v>
      </c>
      <c r="G1437" s="281">
        <v>5020000000</v>
      </c>
      <c r="H1437" t="s">
        <v>2002</v>
      </c>
      <c r="I1437" t="s">
        <v>603</v>
      </c>
      <c r="J1437" t="s">
        <v>1539</v>
      </c>
      <c r="K1437" t="s">
        <v>1556</v>
      </c>
      <c r="L1437" s="552">
        <v>10000</v>
      </c>
      <c r="O1437" t="s">
        <v>971</v>
      </c>
    </row>
    <row r="1438" spans="1:15" hidden="1">
      <c r="A1438" t="s">
        <v>942</v>
      </c>
      <c r="B1438" t="s">
        <v>946</v>
      </c>
      <c r="C1438" s="553">
        <v>44280</v>
      </c>
      <c r="D1438" s="281" t="s">
        <v>4565</v>
      </c>
      <c r="E1438" s="281" t="s">
        <v>4068</v>
      </c>
      <c r="F1438" s="281">
        <v>4</v>
      </c>
      <c r="G1438" s="281">
        <v>5020000000</v>
      </c>
      <c r="H1438" t="s">
        <v>1998</v>
      </c>
      <c r="I1438" t="s">
        <v>633</v>
      </c>
      <c r="J1438" t="s">
        <v>1539</v>
      </c>
      <c r="K1438" t="s">
        <v>1556</v>
      </c>
      <c r="L1438" s="552">
        <v>120000</v>
      </c>
      <c r="O1438" t="s">
        <v>971</v>
      </c>
    </row>
    <row r="1439" spans="1:15" hidden="1">
      <c r="A1439" t="s">
        <v>942</v>
      </c>
      <c r="B1439" t="s">
        <v>946</v>
      </c>
      <c r="C1439" s="553">
        <v>44280</v>
      </c>
      <c r="D1439" s="281" t="s">
        <v>4565</v>
      </c>
      <c r="E1439" s="281" t="s">
        <v>4068</v>
      </c>
      <c r="F1439" s="281">
        <v>4</v>
      </c>
      <c r="G1439" s="281">
        <v>5020000000</v>
      </c>
      <c r="H1439" t="s">
        <v>2005</v>
      </c>
      <c r="I1439" t="s">
        <v>678</v>
      </c>
      <c r="J1439" t="s">
        <v>1539</v>
      </c>
      <c r="K1439" t="s">
        <v>1556</v>
      </c>
      <c r="L1439" s="552">
        <v>140000</v>
      </c>
      <c r="O1439" t="s">
        <v>971</v>
      </c>
    </row>
    <row r="1440" spans="1:15" hidden="1">
      <c r="A1440" t="s">
        <v>942</v>
      </c>
      <c r="B1440" t="s">
        <v>946</v>
      </c>
      <c r="C1440" s="553">
        <v>44280</v>
      </c>
      <c r="D1440" s="281" t="s">
        <v>4565</v>
      </c>
      <c r="E1440" s="281" t="s">
        <v>4068</v>
      </c>
      <c r="F1440" s="281">
        <v>4</v>
      </c>
      <c r="G1440" s="281">
        <v>5020000000</v>
      </c>
      <c r="H1440" t="s">
        <v>1997</v>
      </c>
      <c r="I1440" t="s">
        <v>642</v>
      </c>
      <c r="J1440" t="s">
        <v>1539</v>
      </c>
      <c r="K1440" t="s">
        <v>1556</v>
      </c>
      <c r="L1440" s="552">
        <v>40000</v>
      </c>
      <c r="O1440" t="s">
        <v>971</v>
      </c>
    </row>
    <row r="1441" spans="1:15" hidden="1">
      <c r="A1441" t="s">
        <v>942</v>
      </c>
      <c r="B1441" t="s">
        <v>946</v>
      </c>
      <c r="C1441" s="553">
        <v>44280</v>
      </c>
      <c r="D1441" s="281" t="s">
        <v>4565</v>
      </c>
      <c r="E1441" s="281" t="s">
        <v>4068</v>
      </c>
      <c r="F1441" s="281">
        <v>4</v>
      </c>
      <c r="G1441" s="281">
        <v>5020000000</v>
      </c>
      <c r="H1441" t="s">
        <v>2007</v>
      </c>
      <c r="I1441" t="s">
        <v>638</v>
      </c>
      <c r="J1441" t="s">
        <v>1539</v>
      </c>
      <c r="K1441" t="s">
        <v>1556</v>
      </c>
      <c r="L1441" s="552">
        <v>64000</v>
      </c>
      <c r="O1441" t="s">
        <v>971</v>
      </c>
    </row>
    <row r="1442" spans="1:15" hidden="1">
      <c r="A1442" t="s">
        <v>942</v>
      </c>
      <c r="B1442" t="s">
        <v>946</v>
      </c>
      <c r="C1442" s="553">
        <v>44280</v>
      </c>
      <c r="D1442" s="281" t="s">
        <v>4566</v>
      </c>
      <c r="E1442" s="281" t="s">
        <v>4070</v>
      </c>
      <c r="F1442" s="281">
        <v>4</v>
      </c>
      <c r="G1442" s="281">
        <v>5020000000</v>
      </c>
      <c r="H1442" t="s">
        <v>2037</v>
      </c>
      <c r="I1442" t="s">
        <v>555</v>
      </c>
      <c r="J1442" t="s">
        <v>822</v>
      </c>
      <c r="K1442" t="s">
        <v>1556</v>
      </c>
      <c r="L1442" s="552">
        <v>190000</v>
      </c>
      <c r="O1442" t="s">
        <v>971</v>
      </c>
    </row>
    <row r="1443" spans="1:15" hidden="1">
      <c r="A1443" t="s">
        <v>942</v>
      </c>
      <c r="B1443" t="s">
        <v>946</v>
      </c>
      <c r="C1443" s="553">
        <v>44280</v>
      </c>
      <c r="D1443" s="281" t="s">
        <v>4566</v>
      </c>
      <c r="E1443" s="281" t="s">
        <v>4070</v>
      </c>
      <c r="F1443" s="281">
        <v>4</v>
      </c>
      <c r="G1443" s="281">
        <v>5020000000</v>
      </c>
      <c r="H1443" t="s">
        <v>2032</v>
      </c>
      <c r="I1443" t="s">
        <v>565</v>
      </c>
      <c r="J1443" t="s">
        <v>822</v>
      </c>
      <c r="K1443" t="s">
        <v>1556</v>
      </c>
      <c r="L1443" s="552">
        <v>20000</v>
      </c>
      <c r="O1443" t="s">
        <v>971</v>
      </c>
    </row>
    <row r="1444" spans="1:15" hidden="1">
      <c r="A1444" t="s">
        <v>942</v>
      </c>
      <c r="B1444" t="s">
        <v>946</v>
      </c>
      <c r="C1444" s="553">
        <v>44280</v>
      </c>
      <c r="D1444" s="281" t="s">
        <v>4566</v>
      </c>
      <c r="E1444" s="281" t="s">
        <v>4070</v>
      </c>
      <c r="F1444" s="281">
        <v>4</v>
      </c>
      <c r="G1444" s="281">
        <v>5020000000</v>
      </c>
      <c r="H1444" t="s">
        <v>2041</v>
      </c>
      <c r="I1444" t="s">
        <v>601</v>
      </c>
      <c r="J1444" t="s">
        <v>822</v>
      </c>
      <c r="K1444" t="s">
        <v>1556</v>
      </c>
      <c r="L1444" s="552">
        <v>6000</v>
      </c>
      <c r="O1444" t="s">
        <v>971</v>
      </c>
    </row>
    <row r="1445" spans="1:15" hidden="1">
      <c r="A1445" t="s">
        <v>942</v>
      </c>
      <c r="B1445" t="s">
        <v>946</v>
      </c>
      <c r="C1445" s="553">
        <v>44280</v>
      </c>
      <c r="D1445" s="281" t="s">
        <v>4566</v>
      </c>
      <c r="E1445" s="281" t="s">
        <v>4070</v>
      </c>
      <c r="F1445" s="281">
        <v>4</v>
      </c>
      <c r="G1445" s="281">
        <v>5020000000</v>
      </c>
      <c r="H1445" t="s">
        <v>2002</v>
      </c>
      <c r="I1445" t="s">
        <v>603</v>
      </c>
      <c r="J1445" t="s">
        <v>822</v>
      </c>
      <c r="K1445" t="s">
        <v>1556</v>
      </c>
      <c r="L1445" s="552">
        <v>10000</v>
      </c>
      <c r="O1445" t="s">
        <v>971</v>
      </c>
    </row>
    <row r="1446" spans="1:15" hidden="1">
      <c r="A1446" t="s">
        <v>942</v>
      </c>
      <c r="B1446" t="s">
        <v>946</v>
      </c>
      <c r="C1446" s="553">
        <v>44280</v>
      </c>
      <c r="D1446" s="281" t="s">
        <v>4566</v>
      </c>
      <c r="E1446" s="281" t="s">
        <v>4070</v>
      </c>
      <c r="F1446" s="281">
        <v>4</v>
      </c>
      <c r="G1446" s="281">
        <v>5020000000</v>
      </c>
      <c r="H1446" t="s">
        <v>1998</v>
      </c>
      <c r="I1446" t="s">
        <v>633</v>
      </c>
      <c r="J1446" t="s">
        <v>822</v>
      </c>
      <c r="K1446" t="s">
        <v>1556</v>
      </c>
      <c r="L1446" s="552">
        <v>120000</v>
      </c>
      <c r="O1446" t="s">
        <v>971</v>
      </c>
    </row>
    <row r="1447" spans="1:15" hidden="1">
      <c r="A1447" t="s">
        <v>942</v>
      </c>
      <c r="B1447" t="s">
        <v>946</v>
      </c>
      <c r="C1447" s="553">
        <v>44280</v>
      </c>
      <c r="D1447" s="281" t="s">
        <v>4566</v>
      </c>
      <c r="E1447" s="281" t="s">
        <v>4070</v>
      </c>
      <c r="F1447" s="281">
        <v>4</v>
      </c>
      <c r="G1447" s="281">
        <v>5020000000</v>
      </c>
      <c r="H1447" t="s">
        <v>2005</v>
      </c>
      <c r="I1447" t="s">
        <v>678</v>
      </c>
      <c r="J1447" t="s">
        <v>822</v>
      </c>
      <c r="K1447" t="s">
        <v>1556</v>
      </c>
      <c r="L1447" s="552">
        <v>140000</v>
      </c>
      <c r="O1447" t="s">
        <v>971</v>
      </c>
    </row>
    <row r="1448" spans="1:15" hidden="1">
      <c r="A1448" t="s">
        <v>942</v>
      </c>
      <c r="B1448" t="s">
        <v>946</v>
      </c>
      <c r="C1448" s="553">
        <v>44280</v>
      </c>
      <c r="D1448" s="281" t="s">
        <v>4566</v>
      </c>
      <c r="E1448" s="281" t="s">
        <v>4070</v>
      </c>
      <c r="F1448" s="281">
        <v>4</v>
      </c>
      <c r="G1448" s="281">
        <v>5020000000</v>
      </c>
      <c r="H1448" t="s">
        <v>1997</v>
      </c>
      <c r="I1448" t="s">
        <v>642</v>
      </c>
      <c r="J1448" t="s">
        <v>822</v>
      </c>
      <c r="K1448" t="s">
        <v>1556</v>
      </c>
      <c r="L1448" s="552">
        <v>40000</v>
      </c>
      <c r="O1448" t="s">
        <v>971</v>
      </c>
    </row>
    <row r="1449" spans="1:15" hidden="1">
      <c r="A1449" t="s">
        <v>942</v>
      </c>
      <c r="B1449" t="s">
        <v>946</v>
      </c>
      <c r="C1449" s="553">
        <v>44280</v>
      </c>
      <c r="D1449" s="281" t="s">
        <v>4566</v>
      </c>
      <c r="E1449" s="281" t="s">
        <v>4070</v>
      </c>
      <c r="F1449" s="281">
        <v>4</v>
      </c>
      <c r="G1449" s="281">
        <v>5020000000</v>
      </c>
      <c r="H1449" t="s">
        <v>2007</v>
      </c>
      <c r="I1449" t="s">
        <v>638</v>
      </c>
      <c r="J1449" t="s">
        <v>822</v>
      </c>
      <c r="K1449" t="s">
        <v>1556</v>
      </c>
      <c r="L1449" s="552">
        <v>24000</v>
      </c>
      <c r="O1449" t="s">
        <v>971</v>
      </c>
    </row>
    <row r="1450" spans="1:15" hidden="1">
      <c r="A1450" t="s">
        <v>942</v>
      </c>
      <c r="B1450" t="s">
        <v>946</v>
      </c>
      <c r="C1450" s="553">
        <v>44280</v>
      </c>
      <c r="D1450" s="281" t="s">
        <v>4567</v>
      </c>
      <c r="E1450" s="281" t="s">
        <v>4072</v>
      </c>
      <c r="F1450" s="281">
        <v>4</v>
      </c>
      <c r="G1450" s="281">
        <v>5020000000</v>
      </c>
      <c r="H1450" t="s">
        <v>2037</v>
      </c>
      <c r="I1450" t="s">
        <v>555</v>
      </c>
      <c r="J1450" t="s">
        <v>1540</v>
      </c>
      <c r="K1450" t="s">
        <v>1556</v>
      </c>
      <c r="L1450" s="552">
        <v>180000</v>
      </c>
      <c r="O1450" t="s">
        <v>971</v>
      </c>
    </row>
    <row r="1451" spans="1:15" hidden="1">
      <c r="A1451" t="s">
        <v>942</v>
      </c>
      <c r="B1451" t="s">
        <v>946</v>
      </c>
      <c r="C1451" s="553">
        <v>44280</v>
      </c>
      <c r="D1451" s="281" t="s">
        <v>4567</v>
      </c>
      <c r="E1451" s="281" t="s">
        <v>4072</v>
      </c>
      <c r="F1451" s="281">
        <v>4</v>
      </c>
      <c r="G1451" s="281">
        <v>5020000000</v>
      </c>
      <c r="H1451" t="s">
        <v>2032</v>
      </c>
      <c r="I1451" t="s">
        <v>565</v>
      </c>
      <c r="J1451" t="s">
        <v>1540</v>
      </c>
      <c r="K1451" t="s">
        <v>1556</v>
      </c>
      <c r="L1451" s="552">
        <v>20000</v>
      </c>
      <c r="O1451" t="s">
        <v>971</v>
      </c>
    </row>
    <row r="1452" spans="1:15" hidden="1">
      <c r="A1452" t="s">
        <v>942</v>
      </c>
      <c r="B1452" t="s">
        <v>946</v>
      </c>
      <c r="C1452" s="553">
        <v>44280</v>
      </c>
      <c r="D1452" s="281" t="s">
        <v>4567</v>
      </c>
      <c r="E1452" s="281" t="s">
        <v>4072</v>
      </c>
      <c r="F1452" s="281">
        <v>4</v>
      </c>
      <c r="G1452" s="281">
        <v>5020000000</v>
      </c>
      <c r="H1452" t="s">
        <v>2041</v>
      </c>
      <c r="I1452" t="s">
        <v>601</v>
      </c>
      <c r="J1452" t="s">
        <v>1540</v>
      </c>
      <c r="K1452" t="s">
        <v>1556</v>
      </c>
      <c r="L1452" s="552">
        <v>6000</v>
      </c>
      <c r="O1452" t="s">
        <v>971</v>
      </c>
    </row>
    <row r="1453" spans="1:15" hidden="1">
      <c r="A1453" t="s">
        <v>942</v>
      </c>
      <c r="B1453" t="s">
        <v>946</v>
      </c>
      <c r="C1453" s="553">
        <v>44280</v>
      </c>
      <c r="D1453" s="281" t="s">
        <v>4567</v>
      </c>
      <c r="E1453" s="281" t="s">
        <v>4072</v>
      </c>
      <c r="F1453" s="281">
        <v>4</v>
      </c>
      <c r="G1453" s="281">
        <v>5020000000</v>
      </c>
      <c r="H1453" t="s">
        <v>2002</v>
      </c>
      <c r="I1453" t="s">
        <v>603</v>
      </c>
      <c r="J1453" t="s">
        <v>1540</v>
      </c>
      <c r="K1453" t="s">
        <v>1556</v>
      </c>
      <c r="L1453" s="552">
        <v>10000</v>
      </c>
      <c r="O1453" t="s">
        <v>971</v>
      </c>
    </row>
    <row r="1454" spans="1:15" hidden="1">
      <c r="A1454" t="s">
        <v>942</v>
      </c>
      <c r="B1454" t="s">
        <v>946</v>
      </c>
      <c r="C1454" s="553">
        <v>44280</v>
      </c>
      <c r="D1454" s="281" t="s">
        <v>4567</v>
      </c>
      <c r="E1454" s="281" t="s">
        <v>4072</v>
      </c>
      <c r="F1454" s="281">
        <v>4</v>
      </c>
      <c r="G1454" s="281">
        <v>5020000000</v>
      </c>
      <c r="H1454" t="s">
        <v>1998</v>
      </c>
      <c r="I1454" t="s">
        <v>633</v>
      </c>
      <c r="J1454" t="s">
        <v>1540</v>
      </c>
      <c r="K1454" t="s">
        <v>1556</v>
      </c>
      <c r="L1454" s="552">
        <v>120000</v>
      </c>
      <c r="O1454" t="s">
        <v>971</v>
      </c>
    </row>
    <row r="1455" spans="1:15" hidden="1">
      <c r="A1455" t="s">
        <v>942</v>
      </c>
      <c r="B1455" t="s">
        <v>946</v>
      </c>
      <c r="C1455" s="553">
        <v>44280</v>
      </c>
      <c r="D1455" s="281" t="s">
        <v>4567</v>
      </c>
      <c r="E1455" s="281" t="s">
        <v>4072</v>
      </c>
      <c r="F1455" s="281">
        <v>4</v>
      </c>
      <c r="G1455" s="281">
        <v>5020000000</v>
      </c>
      <c r="H1455" t="s">
        <v>2005</v>
      </c>
      <c r="I1455" t="s">
        <v>678</v>
      </c>
      <c r="J1455" t="s">
        <v>1540</v>
      </c>
      <c r="K1455" t="s">
        <v>1556</v>
      </c>
      <c r="L1455" s="552">
        <v>140000</v>
      </c>
      <c r="O1455" t="s">
        <v>971</v>
      </c>
    </row>
    <row r="1456" spans="1:15" hidden="1">
      <c r="A1456" t="s">
        <v>942</v>
      </c>
      <c r="B1456" t="s">
        <v>946</v>
      </c>
      <c r="C1456" s="553">
        <v>44280</v>
      </c>
      <c r="D1456" s="281" t="s">
        <v>4567</v>
      </c>
      <c r="E1456" s="281" t="s">
        <v>4072</v>
      </c>
      <c r="F1456" s="281">
        <v>4</v>
      </c>
      <c r="G1456" s="281">
        <v>5020000000</v>
      </c>
      <c r="H1456" t="s">
        <v>1997</v>
      </c>
      <c r="I1456" t="s">
        <v>642</v>
      </c>
      <c r="J1456" t="s">
        <v>1540</v>
      </c>
      <c r="K1456" t="s">
        <v>1556</v>
      </c>
      <c r="L1456" s="552">
        <v>40000</v>
      </c>
      <c r="O1456" t="s">
        <v>971</v>
      </c>
    </row>
    <row r="1457" spans="1:15" hidden="1">
      <c r="A1457" t="s">
        <v>942</v>
      </c>
      <c r="B1457" t="s">
        <v>946</v>
      </c>
      <c r="C1457" s="553">
        <v>44280</v>
      </c>
      <c r="D1457" s="281" t="s">
        <v>4567</v>
      </c>
      <c r="E1457" s="281" t="s">
        <v>4072</v>
      </c>
      <c r="F1457" s="281">
        <v>4</v>
      </c>
      <c r="G1457" s="281">
        <v>5020000000</v>
      </c>
      <c r="H1457" t="s">
        <v>2007</v>
      </c>
      <c r="I1457" t="s">
        <v>638</v>
      </c>
      <c r="J1457" t="s">
        <v>1540</v>
      </c>
      <c r="K1457" t="s">
        <v>1556</v>
      </c>
      <c r="L1457" s="552">
        <v>34000</v>
      </c>
      <c r="O1457" t="s">
        <v>971</v>
      </c>
    </row>
    <row r="1458" spans="1:15" hidden="1">
      <c r="A1458" t="s">
        <v>942</v>
      </c>
      <c r="B1458" t="s">
        <v>946</v>
      </c>
      <c r="C1458" s="553">
        <v>44280</v>
      </c>
      <c r="D1458" s="281" t="s">
        <v>4568</v>
      </c>
      <c r="E1458" s="281" t="s">
        <v>4030</v>
      </c>
      <c r="F1458" s="281">
        <v>12</v>
      </c>
      <c r="G1458" s="281" t="s">
        <v>2039</v>
      </c>
      <c r="H1458" t="s">
        <v>2039</v>
      </c>
      <c r="I1458" t="s">
        <v>560</v>
      </c>
      <c r="J1458" t="s">
        <v>1562</v>
      </c>
      <c r="K1458" t="s">
        <v>1563</v>
      </c>
      <c r="L1458" s="552">
        <v>20000</v>
      </c>
      <c r="O1458" t="s">
        <v>987</v>
      </c>
    </row>
    <row r="1459" spans="1:15" hidden="1">
      <c r="A1459" t="s">
        <v>942</v>
      </c>
      <c r="B1459" t="s">
        <v>946</v>
      </c>
      <c r="C1459" s="553">
        <v>44280</v>
      </c>
      <c r="D1459" s="281" t="s">
        <v>4569</v>
      </c>
      <c r="E1459" s="281" t="s">
        <v>4243</v>
      </c>
      <c r="F1459" s="281">
        <v>11</v>
      </c>
      <c r="G1459" s="281">
        <v>5020000000</v>
      </c>
      <c r="H1459" t="s">
        <v>2039</v>
      </c>
      <c r="I1459" t="s">
        <v>560</v>
      </c>
      <c r="J1459" t="s">
        <v>1565</v>
      </c>
      <c r="K1459" t="s">
        <v>1566</v>
      </c>
      <c r="L1459" s="552">
        <v>0</v>
      </c>
      <c r="O1459" t="s">
        <v>985</v>
      </c>
    </row>
    <row r="1460" spans="1:15" hidden="1">
      <c r="A1460" t="s">
        <v>942</v>
      </c>
      <c r="B1460" t="s">
        <v>946</v>
      </c>
      <c r="C1460" s="553">
        <v>44280</v>
      </c>
      <c r="D1460" s="281" t="s">
        <v>4570</v>
      </c>
      <c r="E1460" s="281" t="s">
        <v>4098</v>
      </c>
      <c r="F1460" s="281">
        <v>2</v>
      </c>
      <c r="G1460" s="281">
        <v>5020000000</v>
      </c>
      <c r="H1460" t="s">
        <v>2040</v>
      </c>
      <c r="I1460" t="s">
        <v>598</v>
      </c>
      <c r="J1460" t="s">
        <v>1315</v>
      </c>
      <c r="K1460" t="s">
        <v>1568</v>
      </c>
      <c r="L1460" s="552">
        <v>101505.45</v>
      </c>
      <c r="O1460" t="s">
        <v>965</v>
      </c>
    </row>
    <row r="1461" spans="1:15" hidden="1">
      <c r="A1461" t="s">
        <v>942</v>
      </c>
      <c r="B1461" t="s">
        <v>946</v>
      </c>
      <c r="C1461" s="553">
        <v>44280</v>
      </c>
      <c r="D1461" s="281" t="s">
        <v>4571</v>
      </c>
      <c r="E1461" s="281" t="s">
        <v>4091</v>
      </c>
      <c r="F1461" s="281">
        <v>4</v>
      </c>
      <c r="G1461" s="281">
        <v>5020000000</v>
      </c>
      <c r="H1461" t="s">
        <v>1997</v>
      </c>
      <c r="I1461" t="s">
        <v>642</v>
      </c>
      <c r="J1461" t="s">
        <v>1075</v>
      </c>
      <c r="K1461" t="s">
        <v>1570</v>
      </c>
      <c r="L1461" s="552">
        <v>13034</v>
      </c>
      <c r="O1461" t="s">
        <v>971</v>
      </c>
    </row>
    <row r="1462" spans="1:15" hidden="1">
      <c r="A1462" t="s">
        <v>942</v>
      </c>
      <c r="B1462" t="s">
        <v>946</v>
      </c>
      <c r="C1462" s="553">
        <v>44280</v>
      </c>
      <c r="D1462" s="281" t="s">
        <v>4572</v>
      </c>
      <c r="E1462" s="281" t="s">
        <v>4094</v>
      </c>
      <c r="F1462" s="281">
        <v>1</v>
      </c>
      <c r="G1462" s="281">
        <v>5020000000</v>
      </c>
      <c r="H1462" t="s">
        <v>2032</v>
      </c>
      <c r="I1462" t="s">
        <v>565</v>
      </c>
      <c r="J1462" t="s">
        <v>1572</v>
      </c>
      <c r="K1462" t="s">
        <v>1573</v>
      </c>
      <c r="L1462" s="552">
        <v>6850</v>
      </c>
      <c r="O1462" t="s">
        <v>961</v>
      </c>
    </row>
    <row r="1463" spans="1:15" hidden="1">
      <c r="A1463" t="s">
        <v>942</v>
      </c>
      <c r="B1463" t="s">
        <v>946</v>
      </c>
      <c r="C1463" s="553">
        <v>44280</v>
      </c>
      <c r="D1463" s="281" t="s">
        <v>4573</v>
      </c>
      <c r="E1463" s="281" t="s">
        <v>4111</v>
      </c>
      <c r="F1463" s="281">
        <v>1</v>
      </c>
      <c r="G1463" s="281">
        <v>5020000000</v>
      </c>
      <c r="H1463" t="s">
        <v>2002</v>
      </c>
      <c r="I1463" t="s">
        <v>603</v>
      </c>
      <c r="J1463" t="s">
        <v>1102</v>
      </c>
      <c r="K1463" t="s">
        <v>1575</v>
      </c>
      <c r="L1463" s="552">
        <v>2500</v>
      </c>
      <c r="O1463" t="s">
        <v>961</v>
      </c>
    </row>
    <row r="1464" spans="1:15" hidden="1">
      <c r="A1464" t="s">
        <v>942</v>
      </c>
      <c r="B1464" t="s">
        <v>946</v>
      </c>
      <c r="C1464" s="553">
        <v>44280</v>
      </c>
      <c r="D1464" s="281" t="s">
        <v>4574</v>
      </c>
      <c r="E1464" s="281" t="s">
        <v>4114</v>
      </c>
      <c r="F1464" s="281">
        <v>4</v>
      </c>
      <c r="G1464" s="281">
        <v>5020000000</v>
      </c>
      <c r="H1464" t="s">
        <v>2032</v>
      </c>
      <c r="I1464" t="s">
        <v>565</v>
      </c>
      <c r="J1464" t="s">
        <v>1577</v>
      </c>
      <c r="K1464" t="s">
        <v>1578</v>
      </c>
      <c r="L1464" s="552">
        <v>2511.36</v>
      </c>
      <c r="O1464" t="s">
        <v>971</v>
      </c>
    </row>
    <row r="1465" spans="1:15" hidden="1">
      <c r="A1465" t="s">
        <v>942</v>
      </c>
      <c r="B1465" t="s">
        <v>946</v>
      </c>
      <c r="C1465" s="553">
        <v>44280</v>
      </c>
      <c r="D1465" s="281" t="s">
        <v>4575</v>
      </c>
      <c r="E1465" s="281" t="s">
        <v>4117</v>
      </c>
      <c r="F1465" s="281">
        <v>10</v>
      </c>
      <c r="G1465" s="281">
        <v>5020000000</v>
      </c>
      <c r="H1465" t="s">
        <v>1998</v>
      </c>
      <c r="I1465" t="s">
        <v>633</v>
      </c>
      <c r="J1465" t="s">
        <v>1235</v>
      </c>
      <c r="K1465" t="s">
        <v>1570</v>
      </c>
      <c r="L1465" s="552">
        <v>10000</v>
      </c>
      <c r="O1465" t="s">
        <v>983</v>
      </c>
    </row>
    <row r="1466" spans="1:15" hidden="1">
      <c r="A1466" t="s">
        <v>942</v>
      </c>
      <c r="B1466" t="s">
        <v>946</v>
      </c>
      <c r="C1466" s="553">
        <v>44280</v>
      </c>
      <c r="D1466" s="281" t="s">
        <v>4576</v>
      </c>
      <c r="E1466" s="281" t="s">
        <v>4119</v>
      </c>
      <c r="F1466" s="281">
        <v>1</v>
      </c>
      <c r="G1466" s="281">
        <v>5020000000</v>
      </c>
      <c r="H1466" t="s">
        <v>2000</v>
      </c>
      <c r="I1466" t="s">
        <v>683</v>
      </c>
      <c r="J1466" t="s">
        <v>779</v>
      </c>
      <c r="K1466" t="s">
        <v>1581</v>
      </c>
      <c r="L1466" s="552">
        <v>170501.47</v>
      </c>
      <c r="O1466" t="s">
        <v>961</v>
      </c>
    </row>
    <row r="1467" spans="1:15" hidden="1">
      <c r="A1467" t="s">
        <v>942</v>
      </c>
      <c r="B1467" t="s">
        <v>946</v>
      </c>
      <c r="C1467" s="553">
        <v>44280</v>
      </c>
      <c r="D1467" s="281" t="s">
        <v>4577</v>
      </c>
      <c r="E1467" s="281" t="s">
        <v>4122</v>
      </c>
      <c r="F1467" s="281">
        <v>1</v>
      </c>
      <c r="G1467" s="281">
        <v>5020000000</v>
      </c>
      <c r="H1467" t="s">
        <v>2035</v>
      </c>
      <c r="I1467" t="s">
        <v>596</v>
      </c>
      <c r="J1467" t="s">
        <v>839</v>
      </c>
      <c r="K1467" t="s">
        <v>1583</v>
      </c>
      <c r="L1467" s="552">
        <v>7712.46</v>
      </c>
      <c r="O1467" t="s">
        <v>961</v>
      </c>
    </row>
    <row r="1468" spans="1:15" hidden="1">
      <c r="A1468" t="s">
        <v>942</v>
      </c>
      <c r="B1468" t="s">
        <v>946</v>
      </c>
      <c r="C1468" s="553">
        <v>44280</v>
      </c>
      <c r="D1468" s="281" t="s">
        <v>4578</v>
      </c>
      <c r="E1468" s="281" t="s">
        <v>4125</v>
      </c>
      <c r="F1468" s="281">
        <v>2</v>
      </c>
      <c r="G1468" s="281">
        <v>5020000000</v>
      </c>
      <c r="H1468" t="s">
        <v>2040</v>
      </c>
      <c r="I1468" t="s">
        <v>598</v>
      </c>
      <c r="J1468" t="s">
        <v>1315</v>
      </c>
      <c r="K1468" t="s">
        <v>1585</v>
      </c>
      <c r="L1468" s="552">
        <v>9559.2900000000009</v>
      </c>
      <c r="O1468" t="s">
        <v>965</v>
      </c>
    </row>
    <row r="1469" spans="1:15" hidden="1">
      <c r="A1469" t="s">
        <v>942</v>
      </c>
      <c r="B1469" t="s">
        <v>946</v>
      </c>
      <c r="C1469" s="553">
        <v>44280</v>
      </c>
      <c r="D1469" s="281" t="s">
        <v>4579</v>
      </c>
      <c r="E1469" s="281" t="s">
        <v>4082</v>
      </c>
      <c r="F1469" s="281">
        <v>1</v>
      </c>
      <c r="G1469" s="281">
        <v>5020000000</v>
      </c>
      <c r="H1469" t="s">
        <v>2005</v>
      </c>
      <c r="I1469" t="s">
        <v>678</v>
      </c>
      <c r="J1469" t="s">
        <v>818</v>
      </c>
      <c r="K1469" t="s">
        <v>1587</v>
      </c>
      <c r="L1469" s="552">
        <v>51050</v>
      </c>
      <c r="O1469" t="s">
        <v>961</v>
      </c>
    </row>
    <row r="1470" spans="1:15" hidden="1">
      <c r="A1470" t="s">
        <v>942</v>
      </c>
      <c r="B1470" t="s">
        <v>946</v>
      </c>
      <c r="C1470" s="553">
        <v>44280</v>
      </c>
      <c r="D1470" s="281" t="s">
        <v>4580</v>
      </c>
      <c r="E1470" s="281" t="s">
        <v>4085</v>
      </c>
      <c r="F1470" s="281">
        <v>1</v>
      </c>
      <c r="G1470" s="281">
        <v>5020000000</v>
      </c>
      <c r="H1470" t="s">
        <v>2005</v>
      </c>
      <c r="I1470" t="s">
        <v>678</v>
      </c>
      <c r="J1470" t="s">
        <v>820</v>
      </c>
      <c r="K1470" t="s">
        <v>1587</v>
      </c>
      <c r="L1470" s="552">
        <v>100000</v>
      </c>
      <c r="O1470" t="s">
        <v>961</v>
      </c>
    </row>
    <row r="1471" spans="1:15" hidden="1">
      <c r="A1471" t="s">
        <v>942</v>
      </c>
      <c r="B1471" t="s">
        <v>946</v>
      </c>
      <c r="C1471" s="553">
        <v>44280</v>
      </c>
      <c r="D1471" s="281" t="s">
        <v>4581</v>
      </c>
      <c r="E1471" s="281" t="s">
        <v>4087</v>
      </c>
      <c r="F1471" s="281">
        <v>1</v>
      </c>
      <c r="G1471" s="281">
        <v>5020000000</v>
      </c>
      <c r="H1471" t="s">
        <v>2005</v>
      </c>
      <c r="I1471" t="s">
        <v>678</v>
      </c>
      <c r="J1471" t="s">
        <v>1539</v>
      </c>
      <c r="K1471" t="s">
        <v>1587</v>
      </c>
      <c r="L1471" s="552">
        <v>99030</v>
      </c>
      <c r="O1471" t="s">
        <v>961</v>
      </c>
    </row>
    <row r="1472" spans="1:15" hidden="1">
      <c r="A1472" t="s">
        <v>942</v>
      </c>
      <c r="B1472" t="s">
        <v>946</v>
      </c>
      <c r="C1472" s="553">
        <v>44280</v>
      </c>
      <c r="D1472" s="281" t="s">
        <v>4582</v>
      </c>
      <c r="E1472" s="281" t="s">
        <v>4089</v>
      </c>
      <c r="F1472" s="281">
        <v>1</v>
      </c>
      <c r="G1472" s="281">
        <v>5020000000</v>
      </c>
      <c r="H1472" t="s">
        <v>2005</v>
      </c>
      <c r="I1472" t="s">
        <v>678</v>
      </c>
      <c r="J1472" t="s">
        <v>1540</v>
      </c>
      <c r="K1472" t="s">
        <v>1590</v>
      </c>
      <c r="L1472" s="552">
        <v>10250</v>
      </c>
      <c r="O1472" t="s">
        <v>961</v>
      </c>
    </row>
    <row r="1473" spans="1:15">
      <c r="A1473" t="s">
        <v>942</v>
      </c>
      <c r="B1473" t="s">
        <v>946</v>
      </c>
      <c r="C1473" s="553">
        <v>44280</v>
      </c>
      <c r="D1473" s="281" t="s">
        <v>4583</v>
      </c>
      <c r="E1473" s="281" t="s">
        <v>4104</v>
      </c>
      <c r="F1473" s="281">
        <v>1</v>
      </c>
      <c r="G1473" s="281">
        <v>5020000000</v>
      </c>
      <c r="H1473" t="s">
        <v>1999</v>
      </c>
      <c r="I1473" t="s">
        <v>672</v>
      </c>
      <c r="J1473" t="s">
        <v>1030</v>
      </c>
      <c r="K1473" t="s">
        <v>1593</v>
      </c>
      <c r="L1473" s="552">
        <v>11380.25</v>
      </c>
      <c r="O1473" t="s">
        <v>961</v>
      </c>
    </row>
    <row r="1474" spans="1:15">
      <c r="A1474" t="s">
        <v>942</v>
      </c>
      <c r="B1474" t="s">
        <v>946</v>
      </c>
      <c r="C1474" s="553">
        <v>44280</v>
      </c>
      <c r="D1474" s="281" t="s">
        <v>4583</v>
      </c>
      <c r="E1474" s="281" t="s">
        <v>4104</v>
      </c>
      <c r="F1474" s="281">
        <v>5</v>
      </c>
      <c r="G1474" s="281">
        <v>5020000000</v>
      </c>
      <c r="H1474" t="s">
        <v>2005</v>
      </c>
      <c r="I1474" t="s">
        <v>678</v>
      </c>
      <c r="J1474" t="s">
        <v>1030</v>
      </c>
      <c r="K1474" t="s">
        <v>1593</v>
      </c>
      <c r="L1474" s="552">
        <v>75</v>
      </c>
      <c r="O1474" t="s">
        <v>974</v>
      </c>
    </row>
    <row r="1475" spans="1:15" hidden="1">
      <c r="A1475" t="s">
        <v>942</v>
      </c>
      <c r="B1475" t="s">
        <v>946</v>
      </c>
      <c r="C1475" s="553">
        <v>44280</v>
      </c>
      <c r="D1475" s="281" t="s">
        <v>4584</v>
      </c>
      <c r="E1475" s="281" t="s">
        <v>4107</v>
      </c>
      <c r="F1475" s="281">
        <v>14</v>
      </c>
      <c r="G1475" s="281">
        <v>5021199000</v>
      </c>
      <c r="H1475" t="s">
        <v>1998</v>
      </c>
      <c r="I1475" t="s">
        <v>633</v>
      </c>
      <c r="J1475" t="s">
        <v>1342</v>
      </c>
      <c r="K1475" t="s">
        <v>1595</v>
      </c>
      <c r="L1475" s="552">
        <v>8164.75</v>
      </c>
      <c r="O1475" t="s">
        <v>1221</v>
      </c>
    </row>
    <row r="1476" spans="1:15" hidden="1">
      <c r="A1476" t="s">
        <v>942</v>
      </c>
      <c r="B1476" t="s">
        <v>946</v>
      </c>
      <c r="C1476" s="553">
        <v>44284</v>
      </c>
      <c r="D1476" s="281" t="s">
        <v>4585</v>
      </c>
      <c r="E1476" s="281" t="s">
        <v>4148</v>
      </c>
      <c r="F1476" s="281">
        <v>9</v>
      </c>
      <c r="G1476" s="281">
        <v>5020000000</v>
      </c>
      <c r="H1476" t="s">
        <v>1998</v>
      </c>
      <c r="I1476" t="s">
        <v>633</v>
      </c>
      <c r="J1476" t="s">
        <v>1075</v>
      </c>
      <c r="K1476" t="s">
        <v>1597</v>
      </c>
      <c r="L1476" s="552">
        <v>11158</v>
      </c>
      <c r="O1476" t="s">
        <v>982</v>
      </c>
    </row>
    <row r="1477" spans="1:15" hidden="1">
      <c r="A1477" t="s">
        <v>942</v>
      </c>
      <c r="B1477" t="s">
        <v>946</v>
      </c>
      <c r="C1477" s="553">
        <v>44284</v>
      </c>
      <c r="D1477" s="281" t="s">
        <v>4585</v>
      </c>
      <c r="E1477" s="281" t="s">
        <v>4148</v>
      </c>
      <c r="F1477" s="281">
        <v>11</v>
      </c>
      <c r="G1477" s="281">
        <v>5020000000</v>
      </c>
      <c r="H1477" t="s">
        <v>1998</v>
      </c>
      <c r="I1477" t="s">
        <v>633</v>
      </c>
      <c r="J1477" t="s">
        <v>1075</v>
      </c>
      <c r="K1477" t="s">
        <v>1597</v>
      </c>
      <c r="L1477" s="552">
        <v>11158</v>
      </c>
      <c r="O1477" t="s">
        <v>985</v>
      </c>
    </row>
    <row r="1478" spans="1:15" hidden="1">
      <c r="A1478" t="s">
        <v>942</v>
      </c>
      <c r="B1478" t="s">
        <v>946</v>
      </c>
      <c r="C1478" s="553">
        <v>44284</v>
      </c>
      <c r="D1478" s="281" t="s">
        <v>4586</v>
      </c>
      <c r="E1478" s="281" t="s">
        <v>4143</v>
      </c>
      <c r="F1478" s="281">
        <v>12</v>
      </c>
      <c r="G1478" s="281" t="s">
        <v>2037</v>
      </c>
      <c r="H1478" t="s">
        <v>2037</v>
      </c>
      <c r="I1478" t="s">
        <v>555</v>
      </c>
      <c r="J1478" t="s">
        <v>823</v>
      </c>
      <c r="K1478" t="s">
        <v>1600</v>
      </c>
      <c r="L1478" s="552">
        <v>52700</v>
      </c>
      <c r="O1478" t="s">
        <v>986</v>
      </c>
    </row>
    <row r="1479" spans="1:15" hidden="1">
      <c r="A1479" t="s">
        <v>942</v>
      </c>
      <c r="B1479" t="s">
        <v>946</v>
      </c>
      <c r="C1479" s="553">
        <v>44284</v>
      </c>
      <c r="D1479" s="281" t="s">
        <v>4586</v>
      </c>
      <c r="E1479" s="281" t="s">
        <v>4143</v>
      </c>
      <c r="F1479" s="281">
        <v>12</v>
      </c>
      <c r="G1479" s="281" t="s">
        <v>2039</v>
      </c>
      <c r="H1479" t="s">
        <v>2039</v>
      </c>
      <c r="I1479" t="s">
        <v>560</v>
      </c>
      <c r="J1479" t="s">
        <v>823</v>
      </c>
      <c r="K1479" t="s">
        <v>1600</v>
      </c>
      <c r="L1479" s="552">
        <v>86250</v>
      </c>
      <c r="O1479" t="s">
        <v>987</v>
      </c>
    </row>
    <row r="1480" spans="1:15" hidden="1">
      <c r="A1480" t="s">
        <v>942</v>
      </c>
      <c r="B1480" t="s">
        <v>946</v>
      </c>
      <c r="C1480" s="553">
        <v>44284</v>
      </c>
      <c r="D1480" s="281" t="s">
        <v>4586</v>
      </c>
      <c r="E1480" s="281" t="s">
        <v>4143</v>
      </c>
      <c r="F1480" s="281">
        <v>12</v>
      </c>
      <c r="G1480" s="281" t="s">
        <v>2032</v>
      </c>
      <c r="H1480" t="s">
        <v>2032</v>
      </c>
      <c r="I1480" t="s">
        <v>565</v>
      </c>
      <c r="J1480" t="s">
        <v>823</v>
      </c>
      <c r="K1480" t="s">
        <v>1600</v>
      </c>
      <c r="L1480" s="552">
        <v>3750</v>
      </c>
      <c r="O1480" t="s">
        <v>988</v>
      </c>
    </row>
    <row r="1481" spans="1:15" hidden="1">
      <c r="A1481" t="s">
        <v>942</v>
      </c>
      <c r="B1481" t="s">
        <v>946</v>
      </c>
      <c r="C1481" s="553">
        <v>44284</v>
      </c>
      <c r="D1481" s="281" t="s">
        <v>4586</v>
      </c>
      <c r="E1481" s="281" t="s">
        <v>4143</v>
      </c>
      <c r="F1481" s="281">
        <v>12</v>
      </c>
      <c r="G1481" s="281" t="s">
        <v>2002</v>
      </c>
      <c r="H1481" t="s">
        <v>2002</v>
      </c>
      <c r="I1481" t="s">
        <v>603</v>
      </c>
      <c r="J1481" t="s">
        <v>823</v>
      </c>
      <c r="K1481" t="s">
        <v>1600</v>
      </c>
      <c r="L1481" s="552">
        <v>1125</v>
      </c>
      <c r="O1481" t="s">
        <v>991</v>
      </c>
    </row>
    <row r="1482" spans="1:15" hidden="1">
      <c r="A1482" t="s">
        <v>942</v>
      </c>
      <c r="B1482" t="s">
        <v>946</v>
      </c>
      <c r="C1482" s="553">
        <v>44284</v>
      </c>
      <c r="D1482" s="281" t="s">
        <v>4586</v>
      </c>
      <c r="E1482" s="281" t="s">
        <v>4143</v>
      </c>
      <c r="F1482" s="281">
        <v>12</v>
      </c>
      <c r="G1482" s="281" t="s">
        <v>2021</v>
      </c>
      <c r="H1482" t="s">
        <v>2021</v>
      </c>
      <c r="I1482" t="s">
        <v>631</v>
      </c>
      <c r="J1482" t="s">
        <v>823</v>
      </c>
      <c r="K1482" t="s">
        <v>1600</v>
      </c>
      <c r="L1482" s="552">
        <v>400</v>
      </c>
      <c r="O1482" t="s">
        <v>992</v>
      </c>
    </row>
    <row r="1483" spans="1:15" hidden="1">
      <c r="A1483" t="s">
        <v>942</v>
      </c>
      <c r="B1483" t="s">
        <v>946</v>
      </c>
      <c r="C1483" s="553">
        <v>44284</v>
      </c>
      <c r="D1483" s="281" t="s">
        <v>4586</v>
      </c>
      <c r="E1483" s="281" t="s">
        <v>4143</v>
      </c>
      <c r="F1483" s="281">
        <v>12</v>
      </c>
      <c r="G1483" s="281" t="s">
        <v>1998</v>
      </c>
      <c r="H1483" t="s">
        <v>1998</v>
      </c>
      <c r="I1483" t="s">
        <v>633</v>
      </c>
      <c r="J1483" t="s">
        <v>823</v>
      </c>
      <c r="K1483" t="s">
        <v>1600</v>
      </c>
      <c r="L1483" s="552">
        <v>110876</v>
      </c>
      <c r="O1483" t="s">
        <v>993</v>
      </c>
    </row>
    <row r="1484" spans="1:15" hidden="1">
      <c r="A1484" t="s">
        <v>942</v>
      </c>
      <c r="B1484" t="s">
        <v>946</v>
      </c>
      <c r="C1484" s="553">
        <v>44284</v>
      </c>
      <c r="D1484" s="281" t="s">
        <v>4586</v>
      </c>
      <c r="E1484" s="281" t="s">
        <v>4143</v>
      </c>
      <c r="F1484" s="281">
        <v>12</v>
      </c>
      <c r="G1484" s="281" t="s">
        <v>1997</v>
      </c>
      <c r="H1484" t="s">
        <v>1997</v>
      </c>
      <c r="I1484" t="s">
        <v>642</v>
      </c>
      <c r="J1484" t="s">
        <v>823</v>
      </c>
      <c r="K1484" t="s">
        <v>1600</v>
      </c>
      <c r="L1484" s="552">
        <v>1000</v>
      </c>
      <c r="O1484" t="s">
        <v>994</v>
      </c>
    </row>
    <row r="1485" spans="1:15" hidden="1">
      <c r="A1485" t="s">
        <v>942</v>
      </c>
      <c r="B1485" t="s">
        <v>946</v>
      </c>
      <c r="C1485" s="553">
        <v>44284</v>
      </c>
      <c r="D1485" s="281" t="s">
        <v>4587</v>
      </c>
      <c r="E1485" s="281" t="s">
        <v>4146</v>
      </c>
      <c r="F1485" s="281">
        <v>12</v>
      </c>
      <c r="G1485" s="281" t="s">
        <v>2037</v>
      </c>
      <c r="H1485" t="s">
        <v>2037</v>
      </c>
      <c r="I1485" t="s">
        <v>555</v>
      </c>
      <c r="J1485" t="s">
        <v>821</v>
      </c>
      <c r="K1485" t="s">
        <v>1600</v>
      </c>
      <c r="L1485" s="552">
        <v>37300</v>
      </c>
      <c r="O1485" t="s">
        <v>986</v>
      </c>
    </row>
    <row r="1486" spans="1:15" hidden="1">
      <c r="A1486" t="s">
        <v>942</v>
      </c>
      <c r="B1486" t="s">
        <v>946</v>
      </c>
      <c r="C1486" s="553">
        <v>44284</v>
      </c>
      <c r="D1486" s="281" t="s">
        <v>4587</v>
      </c>
      <c r="E1486" s="281" t="s">
        <v>4146</v>
      </c>
      <c r="F1486" s="281">
        <v>12</v>
      </c>
      <c r="G1486" s="281" t="s">
        <v>2039</v>
      </c>
      <c r="H1486" t="s">
        <v>2039</v>
      </c>
      <c r="I1486" t="s">
        <v>560</v>
      </c>
      <c r="J1486" t="s">
        <v>821</v>
      </c>
      <c r="K1486" t="s">
        <v>1600</v>
      </c>
      <c r="L1486" s="552">
        <v>40965</v>
      </c>
      <c r="O1486" t="s">
        <v>987</v>
      </c>
    </row>
    <row r="1487" spans="1:15" hidden="1">
      <c r="A1487" t="s">
        <v>942</v>
      </c>
      <c r="B1487" t="s">
        <v>946</v>
      </c>
      <c r="C1487" s="553">
        <v>44284</v>
      </c>
      <c r="D1487" s="281" t="s">
        <v>4587</v>
      </c>
      <c r="E1487" s="281" t="s">
        <v>4146</v>
      </c>
      <c r="F1487" s="281">
        <v>12</v>
      </c>
      <c r="G1487" s="281" t="s">
        <v>2032</v>
      </c>
      <c r="H1487" t="s">
        <v>2032</v>
      </c>
      <c r="I1487" t="s">
        <v>565</v>
      </c>
      <c r="J1487" t="s">
        <v>821</v>
      </c>
      <c r="K1487" t="s">
        <v>1600</v>
      </c>
      <c r="L1487" s="552">
        <v>5000</v>
      </c>
      <c r="O1487" t="s">
        <v>988</v>
      </c>
    </row>
    <row r="1488" spans="1:15" hidden="1">
      <c r="A1488" t="s">
        <v>942</v>
      </c>
      <c r="B1488" t="s">
        <v>946</v>
      </c>
      <c r="C1488" s="553">
        <v>44284</v>
      </c>
      <c r="D1488" s="281" t="s">
        <v>4587</v>
      </c>
      <c r="E1488" s="281" t="s">
        <v>4146</v>
      </c>
      <c r="F1488" s="281">
        <v>12</v>
      </c>
      <c r="G1488" s="281" t="s">
        <v>2002</v>
      </c>
      <c r="H1488" t="s">
        <v>2002</v>
      </c>
      <c r="I1488" t="s">
        <v>603</v>
      </c>
      <c r="J1488" t="s">
        <v>821</v>
      </c>
      <c r="K1488" t="s">
        <v>1600</v>
      </c>
      <c r="L1488" s="552">
        <v>1500</v>
      </c>
      <c r="O1488" t="s">
        <v>991</v>
      </c>
    </row>
    <row r="1489" spans="1:15" hidden="1">
      <c r="A1489" t="s">
        <v>942</v>
      </c>
      <c r="B1489" t="s">
        <v>946</v>
      </c>
      <c r="C1489" s="553">
        <v>44284</v>
      </c>
      <c r="D1489" s="281" t="s">
        <v>4587</v>
      </c>
      <c r="E1489" s="281" t="s">
        <v>4146</v>
      </c>
      <c r="F1489" s="281">
        <v>12</v>
      </c>
      <c r="G1489" s="281" t="s">
        <v>1997</v>
      </c>
      <c r="H1489" t="s">
        <v>2021</v>
      </c>
      <c r="I1489" t="s">
        <v>631</v>
      </c>
      <c r="J1489" t="s">
        <v>821</v>
      </c>
      <c r="K1489" t="s">
        <v>1600</v>
      </c>
      <c r="L1489" s="552">
        <v>400</v>
      </c>
      <c r="O1489" t="s">
        <v>994</v>
      </c>
    </row>
    <row r="1490" spans="1:15" hidden="1">
      <c r="A1490" t="s">
        <v>942</v>
      </c>
      <c r="B1490" t="s">
        <v>946</v>
      </c>
      <c r="C1490" s="553">
        <v>44284</v>
      </c>
      <c r="D1490" s="281" t="s">
        <v>4587</v>
      </c>
      <c r="E1490" s="281" t="s">
        <v>4146</v>
      </c>
      <c r="F1490" s="281">
        <v>12</v>
      </c>
      <c r="G1490" s="281" t="s">
        <v>1997</v>
      </c>
      <c r="H1490" t="s">
        <v>1998</v>
      </c>
      <c r="I1490" t="s">
        <v>633</v>
      </c>
      <c r="J1490" t="s">
        <v>821</v>
      </c>
      <c r="K1490" t="s">
        <v>1600</v>
      </c>
      <c r="L1490" s="552">
        <v>98299</v>
      </c>
      <c r="O1490" t="s">
        <v>994</v>
      </c>
    </row>
    <row r="1491" spans="1:15" hidden="1">
      <c r="A1491" t="s">
        <v>942</v>
      </c>
      <c r="B1491" t="s">
        <v>946</v>
      </c>
      <c r="C1491" s="553">
        <v>44284</v>
      </c>
      <c r="D1491" s="281" t="s">
        <v>4587</v>
      </c>
      <c r="E1491" s="281" t="s">
        <v>4146</v>
      </c>
      <c r="F1491" s="281">
        <v>12</v>
      </c>
      <c r="G1491" s="281" t="s">
        <v>1997</v>
      </c>
      <c r="H1491" t="s">
        <v>1997</v>
      </c>
      <c r="I1491" t="s">
        <v>642</v>
      </c>
      <c r="J1491" t="s">
        <v>821</v>
      </c>
      <c r="K1491" t="s">
        <v>1600</v>
      </c>
      <c r="L1491" s="552">
        <v>1000</v>
      </c>
      <c r="O1491" t="s">
        <v>994</v>
      </c>
    </row>
    <row r="1492" spans="1:15" hidden="1">
      <c r="A1492" t="s">
        <v>942</v>
      </c>
      <c r="B1492" t="s">
        <v>946</v>
      </c>
      <c r="C1492" s="553">
        <v>44284</v>
      </c>
      <c r="D1492" s="281" t="s">
        <v>4588</v>
      </c>
      <c r="E1492" s="281" t="s">
        <v>4156</v>
      </c>
      <c r="F1492" s="281">
        <v>8</v>
      </c>
      <c r="G1492" s="281">
        <v>5020000000</v>
      </c>
      <c r="H1492" t="s">
        <v>2037</v>
      </c>
      <c r="I1492" t="s">
        <v>555</v>
      </c>
      <c r="J1492" t="s">
        <v>820</v>
      </c>
      <c r="K1492" t="s">
        <v>1602</v>
      </c>
      <c r="L1492" s="552">
        <v>100000</v>
      </c>
      <c r="O1492" t="s">
        <v>980</v>
      </c>
    </row>
    <row r="1493" spans="1:15" hidden="1">
      <c r="A1493" t="s">
        <v>942</v>
      </c>
      <c r="B1493" t="s">
        <v>946</v>
      </c>
      <c r="C1493" s="553">
        <v>44284</v>
      </c>
      <c r="D1493" s="281" t="s">
        <v>4588</v>
      </c>
      <c r="E1493" s="281" t="s">
        <v>4156</v>
      </c>
      <c r="F1493" s="281">
        <v>8</v>
      </c>
      <c r="G1493" s="281">
        <v>5020000000</v>
      </c>
      <c r="H1493" t="s">
        <v>2039</v>
      </c>
      <c r="I1493" t="s">
        <v>560</v>
      </c>
      <c r="J1493" t="s">
        <v>820</v>
      </c>
      <c r="K1493" t="s">
        <v>1602</v>
      </c>
      <c r="L1493" s="552">
        <v>300000</v>
      </c>
      <c r="O1493" t="s">
        <v>980</v>
      </c>
    </row>
    <row r="1494" spans="1:15" hidden="1">
      <c r="A1494" t="s">
        <v>942</v>
      </c>
      <c r="B1494" t="s">
        <v>946</v>
      </c>
      <c r="C1494" s="553">
        <v>44284</v>
      </c>
      <c r="D1494" s="281" t="s">
        <v>4588</v>
      </c>
      <c r="E1494" s="281" t="s">
        <v>4156</v>
      </c>
      <c r="F1494" s="281">
        <v>8</v>
      </c>
      <c r="G1494" s="281">
        <v>5020000000</v>
      </c>
      <c r="H1494" t="s">
        <v>2005</v>
      </c>
      <c r="I1494" t="s">
        <v>678</v>
      </c>
      <c r="J1494" t="s">
        <v>820</v>
      </c>
      <c r="K1494" t="s">
        <v>1602</v>
      </c>
      <c r="L1494" s="552">
        <v>50000</v>
      </c>
      <c r="O1494" t="s">
        <v>980</v>
      </c>
    </row>
    <row r="1495" spans="1:15" hidden="1">
      <c r="A1495" t="s">
        <v>942</v>
      </c>
      <c r="B1495" t="s">
        <v>946</v>
      </c>
      <c r="C1495" s="553">
        <v>44284</v>
      </c>
      <c r="D1495" s="281" t="s">
        <v>4588</v>
      </c>
      <c r="E1495" s="281" t="s">
        <v>4156</v>
      </c>
      <c r="F1495" s="281">
        <v>8</v>
      </c>
      <c r="G1495" s="281">
        <v>5020000000</v>
      </c>
      <c r="H1495" t="s">
        <v>1998</v>
      </c>
      <c r="I1495" t="s">
        <v>633</v>
      </c>
      <c r="J1495" t="s">
        <v>820</v>
      </c>
      <c r="K1495" t="s">
        <v>1602</v>
      </c>
      <c r="L1495" s="552">
        <v>914950</v>
      </c>
      <c r="O1495" t="s">
        <v>980</v>
      </c>
    </row>
    <row r="1496" spans="1:15" hidden="1">
      <c r="A1496" t="s">
        <v>942</v>
      </c>
      <c r="B1496" t="s">
        <v>946</v>
      </c>
      <c r="C1496" s="553">
        <v>44284</v>
      </c>
      <c r="D1496" s="281" t="s">
        <v>4588</v>
      </c>
      <c r="E1496" s="281" t="s">
        <v>4156</v>
      </c>
      <c r="F1496" s="281">
        <v>8</v>
      </c>
      <c r="G1496" s="281">
        <v>5020000000</v>
      </c>
      <c r="H1496" t="s">
        <v>2000</v>
      </c>
      <c r="I1496" t="s">
        <v>683</v>
      </c>
      <c r="J1496" t="s">
        <v>820</v>
      </c>
      <c r="K1496" t="s">
        <v>1602</v>
      </c>
      <c r="L1496" s="552">
        <v>100000</v>
      </c>
      <c r="O1496" t="s">
        <v>980</v>
      </c>
    </row>
    <row r="1497" spans="1:15" hidden="1">
      <c r="A1497" t="s">
        <v>942</v>
      </c>
      <c r="B1497" t="s">
        <v>946</v>
      </c>
      <c r="C1497" s="553">
        <v>44284</v>
      </c>
      <c r="D1497" s="281" t="s">
        <v>4589</v>
      </c>
      <c r="E1497" s="281" t="s">
        <v>4159</v>
      </c>
      <c r="F1497" s="281">
        <v>8</v>
      </c>
      <c r="G1497" s="281">
        <v>5020000000</v>
      </c>
      <c r="H1497" t="s">
        <v>2037</v>
      </c>
      <c r="I1497" t="s">
        <v>555</v>
      </c>
      <c r="J1497" t="s">
        <v>1539</v>
      </c>
      <c r="K1497" t="s">
        <v>1602</v>
      </c>
      <c r="L1497" s="552">
        <v>50000</v>
      </c>
      <c r="O1497" t="s">
        <v>980</v>
      </c>
    </row>
    <row r="1498" spans="1:15" hidden="1">
      <c r="A1498" t="s">
        <v>942</v>
      </c>
      <c r="B1498" t="s">
        <v>946</v>
      </c>
      <c r="C1498" s="553">
        <v>44284</v>
      </c>
      <c r="D1498" s="281" t="s">
        <v>4589</v>
      </c>
      <c r="E1498" s="281" t="s">
        <v>4159</v>
      </c>
      <c r="F1498" s="281">
        <v>8</v>
      </c>
      <c r="G1498" s="281">
        <v>5020000000</v>
      </c>
      <c r="H1498" t="s">
        <v>2039</v>
      </c>
      <c r="I1498" t="s">
        <v>560</v>
      </c>
      <c r="J1498" t="s">
        <v>1539</v>
      </c>
      <c r="K1498" t="s">
        <v>1602</v>
      </c>
      <c r="L1498" s="552">
        <v>150000</v>
      </c>
      <c r="O1498" t="s">
        <v>980</v>
      </c>
    </row>
    <row r="1499" spans="1:15" hidden="1">
      <c r="A1499" t="s">
        <v>942</v>
      </c>
      <c r="B1499" t="s">
        <v>946</v>
      </c>
      <c r="C1499" s="553">
        <v>44284</v>
      </c>
      <c r="D1499" s="281" t="s">
        <v>4589</v>
      </c>
      <c r="E1499" s="281" t="s">
        <v>4159</v>
      </c>
      <c r="F1499" s="281">
        <v>8</v>
      </c>
      <c r="G1499" s="281">
        <v>5020000000</v>
      </c>
      <c r="H1499" t="s">
        <v>2005</v>
      </c>
      <c r="I1499" t="s">
        <v>678</v>
      </c>
      <c r="J1499" t="s">
        <v>1539</v>
      </c>
      <c r="K1499" t="s">
        <v>1602</v>
      </c>
      <c r="L1499" s="552">
        <v>25000</v>
      </c>
      <c r="O1499" t="s">
        <v>980</v>
      </c>
    </row>
    <row r="1500" spans="1:15" hidden="1">
      <c r="A1500" t="s">
        <v>942</v>
      </c>
      <c r="B1500" t="s">
        <v>946</v>
      </c>
      <c r="C1500" s="553">
        <v>44284</v>
      </c>
      <c r="D1500" s="281" t="s">
        <v>4589</v>
      </c>
      <c r="E1500" s="281" t="s">
        <v>4159</v>
      </c>
      <c r="F1500" s="281">
        <v>8</v>
      </c>
      <c r="G1500" s="281">
        <v>5020000000</v>
      </c>
      <c r="H1500" t="s">
        <v>1998</v>
      </c>
      <c r="I1500" t="s">
        <v>633</v>
      </c>
      <c r="J1500" t="s">
        <v>1539</v>
      </c>
      <c r="K1500" t="s">
        <v>1602</v>
      </c>
      <c r="L1500" s="552">
        <v>1016031.21</v>
      </c>
      <c r="O1500" t="s">
        <v>980</v>
      </c>
    </row>
    <row r="1501" spans="1:15" hidden="1">
      <c r="A1501" t="s">
        <v>942</v>
      </c>
      <c r="B1501" t="s">
        <v>946</v>
      </c>
      <c r="C1501" s="553">
        <v>44284</v>
      </c>
      <c r="D1501" s="281" t="s">
        <v>4589</v>
      </c>
      <c r="E1501" s="281" t="s">
        <v>4159</v>
      </c>
      <c r="F1501" s="281">
        <v>8</v>
      </c>
      <c r="G1501" s="281">
        <v>5020000000</v>
      </c>
      <c r="H1501" t="s">
        <v>2000</v>
      </c>
      <c r="I1501" t="s">
        <v>683</v>
      </c>
      <c r="J1501" t="s">
        <v>1539</v>
      </c>
      <c r="K1501" t="s">
        <v>1602</v>
      </c>
      <c r="L1501" s="552">
        <v>25000</v>
      </c>
      <c r="O1501" t="s">
        <v>980</v>
      </c>
    </row>
    <row r="1502" spans="1:15" hidden="1">
      <c r="A1502" t="s">
        <v>942</v>
      </c>
      <c r="B1502" t="s">
        <v>946</v>
      </c>
      <c r="C1502" s="553">
        <v>44284</v>
      </c>
      <c r="D1502" s="281" t="s">
        <v>4590</v>
      </c>
      <c r="E1502" s="281" t="s">
        <v>4162</v>
      </c>
      <c r="F1502" s="281">
        <v>9</v>
      </c>
      <c r="G1502" s="281">
        <v>5020000000</v>
      </c>
      <c r="H1502" t="s">
        <v>2037</v>
      </c>
      <c r="I1502" t="s">
        <v>555</v>
      </c>
      <c r="J1502" t="s">
        <v>818</v>
      </c>
      <c r="K1502" t="s">
        <v>1605</v>
      </c>
      <c r="L1502" s="552">
        <v>70000</v>
      </c>
      <c r="O1502" t="s">
        <v>982</v>
      </c>
    </row>
    <row r="1503" spans="1:15" hidden="1">
      <c r="A1503" t="s">
        <v>942</v>
      </c>
      <c r="B1503" t="s">
        <v>946</v>
      </c>
      <c r="C1503" s="553">
        <v>44284</v>
      </c>
      <c r="D1503" s="281" t="s">
        <v>4590</v>
      </c>
      <c r="E1503" s="281" t="s">
        <v>4162</v>
      </c>
      <c r="F1503" s="281">
        <v>9</v>
      </c>
      <c r="G1503" s="281">
        <v>5020000000</v>
      </c>
      <c r="H1503" t="s">
        <v>2039</v>
      </c>
      <c r="I1503" t="s">
        <v>560</v>
      </c>
      <c r="J1503" t="s">
        <v>818</v>
      </c>
      <c r="K1503" t="s">
        <v>1605</v>
      </c>
      <c r="L1503" s="552">
        <v>15000</v>
      </c>
      <c r="O1503" t="s">
        <v>982</v>
      </c>
    </row>
    <row r="1504" spans="1:15" hidden="1">
      <c r="A1504" t="s">
        <v>942</v>
      </c>
      <c r="B1504" t="s">
        <v>946</v>
      </c>
      <c r="C1504" s="553">
        <v>44284</v>
      </c>
      <c r="D1504" s="281" t="s">
        <v>4590</v>
      </c>
      <c r="E1504" s="281" t="s">
        <v>4162</v>
      </c>
      <c r="F1504" s="281">
        <v>9</v>
      </c>
      <c r="G1504" s="281">
        <v>5020000000</v>
      </c>
      <c r="H1504" t="s">
        <v>2032</v>
      </c>
      <c r="I1504" t="s">
        <v>565</v>
      </c>
      <c r="J1504" t="s">
        <v>818</v>
      </c>
      <c r="K1504" t="s">
        <v>1605</v>
      </c>
      <c r="L1504" s="552">
        <v>10000</v>
      </c>
      <c r="O1504" t="s">
        <v>982</v>
      </c>
    </row>
    <row r="1505" spans="1:15" hidden="1">
      <c r="A1505" t="s">
        <v>942</v>
      </c>
      <c r="B1505" t="s">
        <v>946</v>
      </c>
      <c r="C1505" s="553">
        <v>44284</v>
      </c>
      <c r="D1505" s="281" t="s">
        <v>4590</v>
      </c>
      <c r="E1505" s="281" t="s">
        <v>4162</v>
      </c>
      <c r="F1505" s="281">
        <v>9</v>
      </c>
      <c r="G1505" s="281">
        <v>5020000000</v>
      </c>
      <c r="H1505" t="s">
        <v>2021</v>
      </c>
      <c r="I1505" t="s">
        <v>631</v>
      </c>
      <c r="J1505" t="s">
        <v>818</v>
      </c>
      <c r="K1505" t="s">
        <v>1605</v>
      </c>
      <c r="L1505" s="552">
        <v>50000</v>
      </c>
      <c r="O1505" t="s">
        <v>982</v>
      </c>
    </row>
    <row r="1506" spans="1:15" hidden="1">
      <c r="A1506" t="s">
        <v>942</v>
      </c>
      <c r="B1506" t="s">
        <v>946</v>
      </c>
      <c r="C1506" s="553">
        <v>44284</v>
      </c>
      <c r="D1506" s="281" t="s">
        <v>4590</v>
      </c>
      <c r="E1506" s="281" t="s">
        <v>4162</v>
      </c>
      <c r="F1506" s="281">
        <v>9</v>
      </c>
      <c r="G1506" s="281">
        <v>5020000000</v>
      </c>
      <c r="H1506" t="s">
        <v>1998</v>
      </c>
      <c r="I1506" t="s">
        <v>633</v>
      </c>
      <c r="J1506" t="s">
        <v>818</v>
      </c>
      <c r="K1506" t="s">
        <v>1605</v>
      </c>
      <c r="L1506" s="552">
        <v>40000</v>
      </c>
      <c r="O1506" t="s">
        <v>982</v>
      </c>
    </row>
    <row r="1507" spans="1:15" hidden="1">
      <c r="A1507" t="s">
        <v>942</v>
      </c>
      <c r="B1507" t="s">
        <v>946</v>
      </c>
      <c r="C1507" s="553">
        <v>44284</v>
      </c>
      <c r="D1507" s="281" t="s">
        <v>4590</v>
      </c>
      <c r="E1507" s="281" t="s">
        <v>4162</v>
      </c>
      <c r="F1507" s="281">
        <v>9</v>
      </c>
      <c r="G1507" s="281">
        <v>5020000000</v>
      </c>
      <c r="H1507" t="s">
        <v>2023</v>
      </c>
      <c r="I1507" t="s">
        <v>674</v>
      </c>
      <c r="J1507" t="s">
        <v>818</v>
      </c>
      <c r="K1507" t="s">
        <v>1605</v>
      </c>
      <c r="L1507" s="552">
        <v>63243.76</v>
      </c>
      <c r="O1507" t="s">
        <v>982</v>
      </c>
    </row>
    <row r="1508" spans="1:15" hidden="1">
      <c r="A1508" t="s">
        <v>942</v>
      </c>
      <c r="B1508" t="s">
        <v>946</v>
      </c>
      <c r="C1508" s="553">
        <v>44284</v>
      </c>
      <c r="D1508" s="281" t="s">
        <v>4590</v>
      </c>
      <c r="E1508" s="281" t="s">
        <v>4162</v>
      </c>
      <c r="F1508" s="281">
        <v>9</v>
      </c>
      <c r="G1508" s="281">
        <v>5020000000</v>
      </c>
      <c r="H1508" t="s">
        <v>1996</v>
      </c>
      <c r="I1508" t="s">
        <v>676</v>
      </c>
      <c r="J1508" t="s">
        <v>818</v>
      </c>
      <c r="K1508" t="s">
        <v>1605</v>
      </c>
      <c r="L1508" s="552">
        <v>25000</v>
      </c>
      <c r="O1508" t="s">
        <v>982</v>
      </c>
    </row>
    <row r="1509" spans="1:15" hidden="1">
      <c r="A1509" t="s">
        <v>942</v>
      </c>
      <c r="B1509" t="s">
        <v>946</v>
      </c>
      <c r="C1509" s="553">
        <v>44284</v>
      </c>
      <c r="D1509" s="281" t="s">
        <v>4590</v>
      </c>
      <c r="E1509" s="281" t="s">
        <v>4162</v>
      </c>
      <c r="F1509" s="281">
        <v>9</v>
      </c>
      <c r="G1509" s="281">
        <v>5020000000</v>
      </c>
      <c r="H1509" t="s">
        <v>2005</v>
      </c>
      <c r="I1509" t="s">
        <v>678</v>
      </c>
      <c r="J1509" t="s">
        <v>818</v>
      </c>
      <c r="K1509" t="s">
        <v>1605</v>
      </c>
      <c r="L1509" s="552">
        <v>25000</v>
      </c>
      <c r="O1509" t="s">
        <v>982</v>
      </c>
    </row>
    <row r="1510" spans="1:15" hidden="1">
      <c r="A1510" t="s">
        <v>942</v>
      </c>
      <c r="B1510" t="s">
        <v>946</v>
      </c>
      <c r="C1510" s="553">
        <v>44284</v>
      </c>
      <c r="D1510" s="281" t="s">
        <v>4590</v>
      </c>
      <c r="E1510" s="281" t="s">
        <v>4162</v>
      </c>
      <c r="F1510" s="281">
        <v>9</v>
      </c>
      <c r="G1510" s="281">
        <v>5020000000</v>
      </c>
      <c r="H1510" t="s">
        <v>2009</v>
      </c>
      <c r="I1510" t="s">
        <v>680</v>
      </c>
      <c r="J1510" t="s">
        <v>818</v>
      </c>
      <c r="K1510" t="s">
        <v>1605</v>
      </c>
      <c r="L1510" s="552">
        <v>50000</v>
      </c>
      <c r="O1510" t="s">
        <v>982</v>
      </c>
    </row>
    <row r="1511" spans="1:15" hidden="1">
      <c r="A1511" t="s">
        <v>942</v>
      </c>
      <c r="B1511" t="s">
        <v>946</v>
      </c>
      <c r="C1511" s="553">
        <v>44284</v>
      </c>
      <c r="D1511" s="281" t="s">
        <v>4591</v>
      </c>
      <c r="E1511" s="281" t="s">
        <v>4166</v>
      </c>
      <c r="F1511" s="281">
        <v>9</v>
      </c>
      <c r="G1511" s="281">
        <v>5020000000</v>
      </c>
      <c r="H1511" t="s">
        <v>2037</v>
      </c>
      <c r="I1511" t="s">
        <v>555</v>
      </c>
      <c r="J1511" t="s">
        <v>1539</v>
      </c>
      <c r="K1511" t="s">
        <v>1605</v>
      </c>
      <c r="L1511" s="552">
        <v>70000</v>
      </c>
      <c r="O1511" t="s">
        <v>982</v>
      </c>
    </row>
    <row r="1512" spans="1:15" hidden="1">
      <c r="A1512" t="s">
        <v>942</v>
      </c>
      <c r="B1512" t="s">
        <v>946</v>
      </c>
      <c r="C1512" s="553">
        <v>44284</v>
      </c>
      <c r="D1512" s="281" t="s">
        <v>4591</v>
      </c>
      <c r="E1512" s="281" t="s">
        <v>4166</v>
      </c>
      <c r="F1512" s="281">
        <v>9</v>
      </c>
      <c r="G1512" s="281">
        <v>5020000000</v>
      </c>
      <c r="H1512" t="s">
        <v>2039</v>
      </c>
      <c r="I1512" t="s">
        <v>560</v>
      </c>
      <c r="J1512" t="s">
        <v>1539</v>
      </c>
      <c r="K1512" t="s">
        <v>1605</v>
      </c>
      <c r="L1512" s="552">
        <v>15000</v>
      </c>
      <c r="O1512" t="s">
        <v>982</v>
      </c>
    </row>
    <row r="1513" spans="1:15" hidden="1">
      <c r="A1513" t="s">
        <v>942</v>
      </c>
      <c r="B1513" t="s">
        <v>946</v>
      </c>
      <c r="C1513" s="553">
        <v>44284</v>
      </c>
      <c r="D1513" s="281" t="s">
        <v>4591</v>
      </c>
      <c r="E1513" s="281" t="s">
        <v>4166</v>
      </c>
      <c r="F1513" s="281">
        <v>9</v>
      </c>
      <c r="G1513" s="281">
        <v>5020000000</v>
      </c>
      <c r="H1513" t="s">
        <v>2032</v>
      </c>
      <c r="I1513" t="s">
        <v>565</v>
      </c>
      <c r="J1513" t="s">
        <v>1539</v>
      </c>
      <c r="K1513" t="s">
        <v>1605</v>
      </c>
      <c r="L1513" s="552">
        <v>10000</v>
      </c>
      <c r="O1513" t="s">
        <v>982</v>
      </c>
    </row>
    <row r="1514" spans="1:15" hidden="1">
      <c r="A1514" t="s">
        <v>942</v>
      </c>
      <c r="B1514" t="s">
        <v>946</v>
      </c>
      <c r="C1514" s="553">
        <v>44284</v>
      </c>
      <c r="D1514" s="281" t="s">
        <v>4591</v>
      </c>
      <c r="E1514" s="281" t="s">
        <v>4166</v>
      </c>
      <c r="F1514" s="281">
        <v>9</v>
      </c>
      <c r="G1514" s="281">
        <v>5020000000</v>
      </c>
      <c r="H1514" t="s">
        <v>2021</v>
      </c>
      <c r="I1514" t="s">
        <v>631</v>
      </c>
      <c r="J1514" t="s">
        <v>1539</v>
      </c>
      <c r="K1514" t="s">
        <v>1605</v>
      </c>
      <c r="L1514" s="552">
        <v>50000</v>
      </c>
      <c r="O1514" t="s">
        <v>982</v>
      </c>
    </row>
    <row r="1515" spans="1:15" hidden="1">
      <c r="A1515" t="s">
        <v>942</v>
      </c>
      <c r="B1515" t="s">
        <v>946</v>
      </c>
      <c r="C1515" s="553">
        <v>44284</v>
      </c>
      <c r="D1515" s="281" t="s">
        <v>4591</v>
      </c>
      <c r="E1515" s="281" t="s">
        <v>4166</v>
      </c>
      <c r="F1515" s="281">
        <v>9</v>
      </c>
      <c r="G1515" s="281">
        <v>5020000000</v>
      </c>
      <c r="H1515" t="s">
        <v>1998</v>
      </c>
      <c r="I1515" t="s">
        <v>633</v>
      </c>
      <c r="J1515" t="s">
        <v>1539</v>
      </c>
      <c r="K1515" t="s">
        <v>1605</v>
      </c>
      <c r="L1515" s="552">
        <v>40000</v>
      </c>
      <c r="O1515" t="s">
        <v>982</v>
      </c>
    </row>
    <row r="1516" spans="1:15" hidden="1">
      <c r="A1516" t="s">
        <v>942</v>
      </c>
      <c r="B1516" t="s">
        <v>946</v>
      </c>
      <c r="C1516" s="553">
        <v>44284</v>
      </c>
      <c r="D1516" s="281" t="s">
        <v>4591</v>
      </c>
      <c r="E1516" s="281" t="s">
        <v>4166</v>
      </c>
      <c r="F1516" s="281">
        <v>9</v>
      </c>
      <c r="G1516" s="281">
        <v>5020000000</v>
      </c>
      <c r="H1516" t="s">
        <v>2023</v>
      </c>
      <c r="I1516" t="s">
        <v>674</v>
      </c>
      <c r="J1516" t="s">
        <v>1539</v>
      </c>
      <c r="K1516" t="s">
        <v>1605</v>
      </c>
      <c r="L1516" s="552">
        <v>48817.760000000002</v>
      </c>
      <c r="O1516" t="s">
        <v>982</v>
      </c>
    </row>
    <row r="1517" spans="1:15" hidden="1">
      <c r="A1517" t="s">
        <v>942</v>
      </c>
      <c r="B1517" t="s">
        <v>946</v>
      </c>
      <c r="C1517" s="553">
        <v>44284</v>
      </c>
      <c r="D1517" s="281" t="s">
        <v>4591</v>
      </c>
      <c r="E1517" s="281" t="s">
        <v>4166</v>
      </c>
      <c r="F1517" s="281">
        <v>9</v>
      </c>
      <c r="G1517" s="281">
        <v>5020000000</v>
      </c>
      <c r="H1517" t="s">
        <v>1996</v>
      </c>
      <c r="I1517" t="s">
        <v>676</v>
      </c>
      <c r="J1517" t="s">
        <v>1539</v>
      </c>
      <c r="K1517" t="s">
        <v>1605</v>
      </c>
      <c r="L1517" s="552">
        <v>25000</v>
      </c>
      <c r="O1517" t="s">
        <v>982</v>
      </c>
    </row>
    <row r="1518" spans="1:15" hidden="1">
      <c r="A1518" t="s">
        <v>942</v>
      </c>
      <c r="B1518" t="s">
        <v>946</v>
      </c>
      <c r="C1518" s="553">
        <v>44284</v>
      </c>
      <c r="D1518" s="281" t="s">
        <v>4591</v>
      </c>
      <c r="E1518" s="281" t="s">
        <v>4166</v>
      </c>
      <c r="F1518" s="281">
        <v>9</v>
      </c>
      <c r="G1518" s="281">
        <v>5020000000</v>
      </c>
      <c r="H1518" t="s">
        <v>2005</v>
      </c>
      <c r="I1518" t="s">
        <v>678</v>
      </c>
      <c r="J1518" t="s">
        <v>1539</v>
      </c>
      <c r="K1518" t="s">
        <v>1605</v>
      </c>
      <c r="L1518" s="552">
        <v>25000</v>
      </c>
      <c r="O1518" t="s">
        <v>982</v>
      </c>
    </row>
    <row r="1519" spans="1:15" hidden="1">
      <c r="A1519" t="s">
        <v>942</v>
      </c>
      <c r="B1519" t="s">
        <v>946</v>
      </c>
      <c r="C1519" s="553">
        <v>44284</v>
      </c>
      <c r="D1519" s="281" t="s">
        <v>4591</v>
      </c>
      <c r="E1519" s="281" t="s">
        <v>4166</v>
      </c>
      <c r="F1519" s="281">
        <v>9</v>
      </c>
      <c r="G1519" s="281">
        <v>5020000000</v>
      </c>
      <c r="H1519" t="s">
        <v>2009</v>
      </c>
      <c r="I1519" t="s">
        <v>680</v>
      </c>
      <c r="J1519" t="s">
        <v>1539</v>
      </c>
      <c r="K1519" t="s">
        <v>1605</v>
      </c>
      <c r="L1519" s="552">
        <v>50000</v>
      </c>
      <c r="O1519" t="s">
        <v>982</v>
      </c>
    </row>
    <row r="1520" spans="1:15" hidden="1">
      <c r="A1520" t="s">
        <v>942</v>
      </c>
      <c r="B1520" t="s">
        <v>946</v>
      </c>
      <c r="C1520" s="553">
        <v>44284</v>
      </c>
      <c r="D1520" s="281" t="s">
        <v>4592</v>
      </c>
      <c r="E1520" s="281" t="s">
        <v>4168</v>
      </c>
      <c r="F1520" s="281">
        <v>9</v>
      </c>
      <c r="G1520" s="281">
        <v>5020000000</v>
      </c>
      <c r="H1520" t="s">
        <v>2037</v>
      </c>
      <c r="I1520" t="s">
        <v>555</v>
      </c>
      <c r="J1520" t="s">
        <v>1540</v>
      </c>
      <c r="K1520" t="s">
        <v>1605</v>
      </c>
      <c r="L1520" s="552">
        <v>70000</v>
      </c>
      <c r="O1520" t="s">
        <v>982</v>
      </c>
    </row>
    <row r="1521" spans="1:15" hidden="1">
      <c r="A1521" t="s">
        <v>942</v>
      </c>
      <c r="B1521" t="s">
        <v>946</v>
      </c>
      <c r="C1521" s="553">
        <v>44284</v>
      </c>
      <c r="D1521" s="281" t="s">
        <v>4592</v>
      </c>
      <c r="E1521" s="281" t="s">
        <v>4168</v>
      </c>
      <c r="F1521" s="281">
        <v>9</v>
      </c>
      <c r="G1521" s="281">
        <v>5020000000</v>
      </c>
      <c r="H1521" t="s">
        <v>2039</v>
      </c>
      <c r="I1521" t="s">
        <v>560</v>
      </c>
      <c r="J1521" t="s">
        <v>1540</v>
      </c>
      <c r="K1521" t="s">
        <v>1605</v>
      </c>
      <c r="L1521" s="552">
        <v>15000</v>
      </c>
      <c r="O1521" t="s">
        <v>982</v>
      </c>
    </row>
    <row r="1522" spans="1:15" hidden="1">
      <c r="A1522" t="s">
        <v>942</v>
      </c>
      <c r="B1522" t="s">
        <v>946</v>
      </c>
      <c r="C1522" s="553">
        <v>44284</v>
      </c>
      <c r="D1522" s="281" t="s">
        <v>4592</v>
      </c>
      <c r="E1522" s="281" t="s">
        <v>4168</v>
      </c>
      <c r="F1522" s="281">
        <v>9</v>
      </c>
      <c r="G1522" s="281">
        <v>5020000000</v>
      </c>
      <c r="H1522" t="s">
        <v>2032</v>
      </c>
      <c r="I1522" t="s">
        <v>565</v>
      </c>
      <c r="J1522" t="s">
        <v>1540</v>
      </c>
      <c r="K1522" t="s">
        <v>1605</v>
      </c>
      <c r="L1522" s="552">
        <v>10000</v>
      </c>
      <c r="O1522" t="s">
        <v>982</v>
      </c>
    </row>
    <row r="1523" spans="1:15" hidden="1">
      <c r="A1523" t="s">
        <v>942</v>
      </c>
      <c r="B1523" t="s">
        <v>946</v>
      </c>
      <c r="C1523" s="553">
        <v>44284</v>
      </c>
      <c r="D1523" s="281" t="s">
        <v>4592</v>
      </c>
      <c r="E1523" s="281" t="s">
        <v>4168</v>
      </c>
      <c r="F1523" s="281">
        <v>9</v>
      </c>
      <c r="G1523" s="281">
        <v>5020000000</v>
      </c>
      <c r="H1523" t="s">
        <v>2021</v>
      </c>
      <c r="I1523" t="s">
        <v>631</v>
      </c>
      <c r="J1523" t="s">
        <v>1540</v>
      </c>
      <c r="K1523" t="s">
        <v>1605</v>
      </c>
      <c r="L1523" s="552">
        <v>50000</v>
      </c>
      <c r="O1523" t="s">
        <v>982</v>
      </c>
    </row>
    <row r="1524" spans="1:15" hidden="1">
      <c r="A1524" t="s">
        <v>942</v>
      </c>
      <c r="B1524" t="s">
        <v>946</v>
      </c>
      <c r="C1524" s="553">
        <v>44284</v>
      </c>
      <c r="D1524" s="281" t="s">
        <v>4592</v>
      </c>
      <c r="E1524" s="281" t="s">
        <v>4168</v>
      </c>
      <c r="F1524" s="281">
        <v>9</v>
      </c>
      <c r="G1524" s="281">
        <v>5020000000</v>
      </c>
      <c r="H1524" t="s">
        <v>1998</v>
      </c>
      <c r="I1524" t="s">
        <v>633</v>
      </c>
      <c r="J1524" t="s">
        <v>1540</v>
      </c>
      <c r="K1524" t="s">
        <v>1605</v>
      </c>
      <c r="L1524" s="552">
        <v>40000</v>
      </c>
      <c r="O1524" t="s">
        <v>982</v>
      </c>
    </row>
    <row r="1525" spans="1:15" hidden="1">
      <c r="A1525" t="s">
        <v>942</v>
      </c>
      <c r="B1525" t="s">
        <v>946</v>
      </c>
      <c r="C1525" s="553">
        <v>44284</v>
      </c>
      <c r="D1525" s="281" t="s">
        <v>4592</v>
      </c>
      <c r="E1525" s="281" t="s">
        <v>4168</v>
      </c>
      <c r="F1525" s="281">
        <v>9</v>
      </c>
      <c r="G1525" s="281">
        <v>5020000000</v>
      </c>
      <c r="H1525" t="s">
        <v>2023</v>
      </c>
      <c r="I1525" t="s">
        <v>674</v>
      </c>
      <c r="J1525" t="s">
        <v>1540</v>
      </c>
      <c r="K1525" t="s">
        <v>1605</v>
      </c>
      <c r="L1525" s="552">
        <v>63243.76</v>
      </c>
      <c r="O1525" t="s">
        <v>982</v>
      </c>
    </row>
    <row r="1526" spans="1:15" hidden="1">
      <c r="A1526" t="s">
        <v>942</v>
      </c>
      <c r="B1526" t="s">
        <v>946</v>
      </c>
      <c r="C1526" s="553">
        <v>44284</v>
      </c>
      <c r="D1526" s="281" t="s">
        <v>4592</v>
      </c>
      <c r="E1526" s="281" t="s">
        <v>4168</v>
      </c>
      <c r="F1526" s="281">
        <v>9</v>
      </c>
      <c r="G1526" s="281">
        <v>5020000000</v>
      </c>
      <c r="H1526" t="s">
        <v>1996</v>
      </c>
      <c r="I1526" t="s">
        <v>676</v>
      </c>
      <c r="J1526" t="s">
        <v>1540</v>
      </c>
      <c r="K1526" t="s">
        <v>1605</v>
      </c>
      <c r="L1526" s="552">
        <v>25000</v>
      </c>
      <c r="O1526" t="s">
        <v>982</v>
      </c>
    </row>
    <row r="1527" spans="1:15" hidden="1">
      <c r="A1527" t="s">
        <v>942</v>
      </c>
      <c r="B1527" t="s">
        <v>946</v>
      </c>
      <c r="C1527" s="553">
        <v>44284</v>
      </c>
      <c r="D1527" s="281" t="s">
        <v>4592</v>
      </c>
      <c r="E1527" s="281" t="s">
        <v>4168</v>
      </c>
      <c r="F1527" s="281">
        <v>9</v>
      </c>
      <c r="G1527" s="281">
        <v>5020000000</v>
      </c>
      <c r="H1527" t="s">
        <v>2005</v>
      </c>
      <c r="I1527" t="s">
        <v>678</v>
      </c>
      <c r="J1527" t="s">
        <v>1540</v>
      </c>
      <c r="K1527" t="s">
        <v>1605</v>
      </c>
      <c r="L1527" s="552">
        <v>25000</v>
      </c>
      <c r="O1527" t="s">
        <v>982</v>
      </c>
    </row>
    <row r="1528" spans="1:15" hidden="1">
      <c r="A1528" t="s">
        <v>942</v>
      </c>
      <c r="B1528" t="s">
        <v>946</v>
      </c>
      <c r="C1528" s="553">
        <v>44284</v>
      </c>
      <c r="D1528" s="281" t="s">
        <v>4592</v>
      </c>
      <c r="E1528" s="281" t="s">
        <v>4168</v>
      </c>
      <c r="F1528" s="281">
        <v>9</v>
      </c>
      <c r="G1528" s="281">
        <v>5020000000</v>
      </c>
      <c r="H1528" t="s">
        <v>2009</v>
      </c>
      <c r="I1528" t="s">
        <v>680</v>
      </c>
      <c r="J1528" t="s">
        <v>1540</v>
      </c>
      <c r="K1528" t="s">
        <v>1605</v>
      </c>
      <c r="L1528" s="552">
        <v>50000</v>
      </c>
      <c r="O1528" t="s">
        <v>982</v>
      </c>
    </row>
    <row r="1529" spans="1:15" hidden="1">
      <c r="A1529" t="s">
        <v>942</v>
      </c>
      <c r="B1529" t="s">
        <v>946</v>
      </c>
      <c r="C1529" s="553">
        <v>44284</v>
      </c>
      <c r="D1529" s="281" t="s">
        <v>4593</v>
      </c>
      <c r="E1529" s="281" t="s">
        <v>4173</v>
      </c>
      <c r="F1529" s="281">
        <v>8</v>
      </c>
      <c r="G1529" s="281">
        <v>5020000000</v>
      </c>
      <c r="H1529" t="s">
        <v>2037</v>
      </c>
      <c r="I1529" t="s">
        <v>555</v>
      </c>
      <c r="J1529" t="s">
        <v>822</v>
      </c>
      <c r="K1529" t="s">
        <v>1602</v>
      </c>
      <c r="L1529" s="552">
        <v>100000</v>
      </c>
      <c r="O1529" t="s">
        <v>980</v>
      </c>
    </row>
    <row r="1530" spans="1:15" hidden="1">
      <c r="A1530" t="s">
        <v>942</v>
      </c>
      <c r="B1530" t="s">
        <v>946</v>
      </c>
      <c r="C1530" s="553">
        <v>44284</v>
      </c>
      <c r="D1530" s="281" t="s">
        <v>4593</v>
      </c>
      <c r="E1530" s="281" t="s">
        <v>4173</v>
      </c>
      <c r="F1530" s="281">
        <v>8</v>
      </c>
      <c r="G1530" s="281">
        <v>5020000000</v>
      </c>
      <c r="H1530" t="s">
        <v>2039</v>
      </c>
      <c r="I1530" t="s">
        <v>560</v>
      </c>
      <c r="J1530" t="s">
        <v>822</v>
      </c>
      <c r="K1530" t="s">
        <v>1602</v>
      </c>
      <c r="L1530" s="552">
        <v>200000</v>
      </c>
      <c r="O1530" t="s">
        <v>980</v>
      </c>
    </row>
    <row r="1531" spans="1:15" hidden="1">
      <c r="A1531" t="s">
        <v>942</v>
      </c>
      <c r="B1531" t="s">
        <v>946</v>
      </c>
      <c r="C1531" s="553">
        <v>44284</v>
      </c>
      <c r="D1531" s="281" t="s">
        <v>4593</v>
      </c>
      <c r="E1531" s="281" t="s">
        <v>4173</v>
      </c>
      <c r="F1531" s="281">
        <v>8</v>
      </c>
      <c r="G1531" s="281">
        <v>5020000000</v>
      </c>
      <c r="H1531" t="s">
        <v>2005</v>
      </c>
      <c r="I1531" t="s">
        <v>678</v>
      </c>
      <c r="J1531" t="s">
        <v>822</v>
      </c>
      <c r="K1531" t="s">
        <v>1602</v>
      </c>
      <c r="L1531" s="552">
        <v>50000</v>
      </c>
      <c r="O1531" t="s">
        <v>980</v>
      </c>
    </row>
    <row r="1532" spans="1:15" hidden="1">
      <c r="A1532" t="s">
        <v>942</v>
      </c>
      <c r="B1532" t="s">
        <v>946</v>
      </c>
      <c r="C1532" s="553">
        <v>44284</v>
      </c>
      <c r="D1532" s="281" t="s">
        <v>4593</v>
      </c>
      <c r="E1532" s="281" t="s">
        <v>4173</v>
      </c>
      <c r="F1532" s="281">
        <v>8</v>
      </c>
      <c r="G1532" s="281">
        <v>5020000000</v>
      </c>
      <c r="H1532" t="s">
        <v>1998</v>
      </c>
      <c r="I1532" t="s">
        <v>633</v>
      </c>
      <c r="J1532" t="s">
        <v>822</v>
      </c>
      <c r="K1532" t="s">
        <v>1602</v>
      </c>
      <c r="L1532" s="552">
        <v>360350</v>
      </c>
      <c r="O1532" t="s">
        <v>980</v>
      </c>
    </row>
    <row r="1533" spans="1:15" hidden="1">
      <c r="A1533" t="s">
        <v>942</v>
      </c>
      <c r="B1533" t="s">
        <v>946</v>
      </c>
      <c r="C1533" s="553">
        <v>44284</v>
      </c>
      <c r="D1533" s="281" t="s">
        <v>4593</v>
      </c>
      <c r="E1533" s="281" t="s">
        <v>4173</v>
      </c>
      <c r="F1533" s="281">
        <v>8</v>
      </c>
      <c r="G1533" s="281">
        <v>5020000000</v>
      </c>
      <c r="H1533" t="s">
        <v>2000</v>
      </c>
      <c r="I1533" t="s">
        <v>683</v>
      </c>
      <c r="J1533" t="s">
        <v>822</v>
      </c>
      <c r="K1533" t="s">
        <v>1602</v>
      </c>
      <c r="L1533" s="552">
        <v>50000</v>
      </c>
      <c r="O1533" t="s">
        <v>980</v>
      </c>
    </row>
    <row r="1534" spans="1:15" hidden="1">
      <c r="A1534" t="s">
        <v>942</v>
      </c>
      <c r="B1534" t="s">
        <v>946</v>
      </c>
      <c r="C1534" s="553">
        <v>44284</v>
      </c>
      <c r="D1534" s="281" t="s">
        <v>4594</v>
      </c>
      <c r="E1534" s="281" t="s">
        <v>4176</v>
      </c>
      <c r="F1534" s="281">
        <v>3</v>
      </c>
      <c r="G1534" s="281">
        <v>5020000000</v>
      </c>
      <c r="H1534" t="s">
        <v>2037</v>
      </c>
      <c r="I1534" t="s">
        <v>555</v>
      </c>
      <c r="J1534" t="s">
        <v>818</v>
      </c>
      <c r="K1534" t="s">
        <v>1610</v>
      </c>
      <c r="L1534" s="552">
        <v>30000</v>
      </c>
      <c r="O1534" t="s">
        <v>968</v>
      </c>
    </row>
    <row r="1535" spans="1:15" hidden="1">
      <c r="A1535" t="s">
        <v>942</v>
      </c>
      <c r="B1535" t="s">
        <v>946</v>
      </c>
      <c r="C1535" s="553">
        <v>44284</v>
      </c>
      <c r="D1535" s="281" t="s">
        <v>4594</v>
      </c>
      <c r="E1535" s="281" t="s">
        <v>4176</v>
      </c>
      <c r="F1535" s="281">
        <v>3</v>
      </c>
      <c r="G1535" s="281">
        <v>5020000000</v>
      </c>
      <c r="H1535" t="s">
        <v>2039</v>
      </c>
      <c r="I1535" t="s">
        <v>560</v>
      </c>
      <c r="J1535" t="s">
        <v>818</v>
      </c>
      <c r="K1535" t="s">
        <v>1610</v>
      </c>
      <c r="L1535" s="552">
        <v>50000</v>
      </c>
      <c r="O1535" t="s">
        <v>968</v>
      </c>
    </row>
    <row r="1536" spans="1:15" hidden="1">
      <c r="A1536" t="s">
        <v>942</v>
      </c>
      <c r="B1536" t="s">
        <v>946</v>
      </c>
      <c r="C1536" s="553">
        <v>44284</v>
      </c>
      <c r="D1536" s="281" t="s">
        <v>4594</v>
      </c>
      <c r="E1536" s="281" t="s">
        <v>4176</v>
      </c>
      <c r="F1536" s="281">
        <v>3</v>
      </c>
      <c r="G1536" s="281">
        <v>5020000000</v>
      </c>
      <c r="H1536" t="s">
        <v>2032</v>
      </c>
      <c r="I1536" t="s">
        <v>565</v>
      </c>
      <c r="J1536" t="s">
        <v>818</v>
      </c>
      <c r="K1536" t="s">
        <v>1610</v>
      </c>
      <c r="L1536" s="552">
        <v>10000</v>
      </c>
      <c r="O1536" t="s">
        <v>968</v>
      </c>
    </row>
    <row r="1537" spans="1:15" hidden="1">
      <c r="A1537" t="s">
        <v>942</v>
      </c>
      <c r="B1537" t="s">
        <v>946</v>
      </c>
      <c r="C1537" s="553">
        <v>44284</v>
      </c>
      <c r="D1537" s="281" t="s">
        <v>4594</v>
      </c>
      <c r="E1537" s="281" t="s">
        <v>4176</v>
      </c>
      <c r="F1537" s="281">
        <v>3</v>
      </c>
      <c r="G1537" s="281">
        <v>5020000000</v>
      </c>
      <c r="H1537" t="s">
        <v>2005</v>
      </c>
      <c r="I1537" t="s">
        <v>678</v>
      </c>
      <c r="J1537" t="s">
        <v>818</v>
      </c>
      <c r="K1537" t="s">
        <v>1610</v>
      </c>
      <c r="L1537" s="552">
        <v>104400</v>
      </c>
      <c r="O1537" t="s">
        <v>968</v>
      </c>
    </row>
    <row r="1538" spans="1:15" hidden="1">
      <c r="A1538" t="s">
        <v>942</v>
      </c>
      <c r="B1538" t="s">
        <v>946</v>
      </c>
      <c r="C1538" s="553">
        <v>44284</v>
      </c>
      <c r="D1538" s="281" t="s">
        <v>4595</v>
      </c>
      <c r="E1538" s="281" t="s">
        <v>4179</v>
      </c>
      <c r="F1538" s="281">
        <v>3</v>
      </c>
      <c r="G1538" s="281">
        <v>5020000000</v>
      </c>
      <c r="H1538" t="s">
        <v>2037</v>
      </c>
      <c r="I1538" t="s">
        <v>555</v>
      </c>
      <c r="J1538" t="s">
        <v>1539</v>
      </c>
      <c r="K1538" t="s">
        <v>1610</v>
      </c>
      <c r="L1538" s="552">
        <v>30000</v>
      </c>
      <c r="O1538" t="s">
        <v>968</v>
      </c>
    </row>
    <row r="1539" spans="1:15" hidden="1">
      <c r="A1539" t="s">
        <v>942</v>
      </c>
      <c r="B1539" t="s">
        <v>946</v>
      </c>
      <c r="C1539" s="553">
        <v>44284</v>
      </c>
      <c r="D1539" s="281" t="s">
        <v>4595</v>
      </c>
      <c r="E1539" s="281" t="s">
        <v>4179</v>
      </c>
      <c r="F1539" s="281">
        <v>3</v>
      </c>
      <c r="G1539" s="281">
        <v>5020000000</v>
      </c>
      <c r="H1539" t="s">
        <v>2039</v>
      </c>
      <c r="I1539" t="s">
        <v>560</v>
      </c>
      <c r="J1539" t="s">
        <v>1539</v>
      </c>
      <c r="K1539" t="s">
        <v>1610</v>
      </c>
      <c r="L1539" s="552">
        <v>50000</v>
      </c>
      <c r="O1539" t="s">
        <v>968</v>
      </c>
    </row>
    <row r="1540" spans="1:15" hidden="1">
      <c r="A1540" t="s">
        <v>942</v>
      </c>
      <c r="B1540" t="s">
        <v>946</v>
      </c>
      <c r="C1540" s="553">
        <v>44284</v>
      </c>
      <c r="D1540" s="281" t="s">
        <v>4595</v>
      </c>
      <c r="E1540" s="281" t="s">
        <v>4179</v>
      </c>
      <c r="F1540" s="281">
        <v>3</v>
      </c>
      <c r="G1540" s="281">
        <v>5020000000</v>
      </c>
      <c r="H1540" t="s">
        <v>2032</v>
      </c>
      <c r="I1540" t="s">
        <v>565</v>
      </c>
      <c r="J1540" t="s">
        <v>1539</v>
      </c>
      <c r="K1540" t="s">
        <v>1610</v>
      </c>
      <c r="L1540" s="552">
        <v>10000</v>
      </c>
      <c r="O1540" t="s">
        <v>968</v>
      </c>
    </row>
    <row r="1541" spans="1:15" hidden="1">
      <c r="A1541" t="s">
        <v>942</v>
      </c>
      <c r="B1541" t="s">
        <v>946</v>
      </c>
      <c r="C1541" s="553">
        <v>44284</v>
      </c>
      <c r="D1541" s="281" t="s">
        <v>4595</v>
      </c>
      <c r="E1541" s="281" t="s">
        <v>4179</v>
      </c>
      <c r="F1541" s="281">
        <v>3</v>
      </c>
      <c r="G1541" s="281">
        <v>5020000000</v>
      </c>
      <c r="H1541" t="s">
        <v>2005</v>
      </c>
      <c r="I1541" t="s">
        <v>678</v>
      </c>
      <c r="J1541" t="s">
        <v>1539</v>
      </c>
      <c r="K1541" t="s">
        <v>1610</v>
      </c>
      <c r="L1541" s="552">
        <v>104400</v>
      </c>
      <c r="O1541" t="s">
        <v>968</v>
      </c>
    </row>
    <row r="1542" spans="1:15" hidden="1">
      <c r="A1542" t="s">
        <v>942</v>
      </c>
      <c r="B1542" t="s">
        <v>946</v>
      </c>
      <c r="C1542" s="553">
        <v>44284</v>
      </c>
      <c r="D1542" s="281" t="s">
        <v>4596</v>
      </c>
      <c r="E1542" s="281" t="s">
        <v>4181</v>
      </c>
      <c r="F1542" s="281">
        <v>3</v>
      </c>
      <c r="G1542" s="281">
        <v>5020000000</v>
      </c>
      <c r="H1542" t="s">
        <v>2037</v>
      </c>
      <c r="I1542" t="s">
        <v>555</v>
      </c>
      <c r="J1542" t="s">
        <v>1540</v>
      </c>
      <c r="K1542" t="s">
        <v>1610</v>
      </c>
      <c r="L1542" s="552">
        <v>30000</v>
      </c>
      <c r="O1542" t="s">
        <v>968</v>
      </c>
    </row>
    <row r="1543" spans="1:15" hidden="1">
      <c r="A1543" t="s">
        <v>942</v>
      </c>
      <c r="B1543" t="s">
        <v>946</v>
      </c>
      <c r="C1543" s="553">
        <v>44284</v>
      </c>
      <c r="D1543" s="281" t="s">
        <v>4596</v>
      </c>
      <c r="E1543" s="281" t="s">
        <v>4181</v>
      </c>
      <c r="F1543" s="281">
        <v>3</v>
      </c>
      <c r="G1543" s="281">
        <v>5020000000</v>
      </c>
      <c r="H1543" t="s">
        <v>2039</v>
      </c>
      <c r="I1543" t="s">
        <v>560</v>
      </c>
      <c r="J1543" t="s">
        <v>1540</v>
      </c>
      <c r="K1543" t="s">
        <v>1610</v>
      </c>
      <c r="L1543" s="552">
        <v>50000</v>
      </c>
      <c r="O1543" t="s">
        <v>968</v>
      </c>
    </row>
    <row r="1544" spans="1:15" hidden="1">
      <c r="A1544" t="s">
        <v>942</v>
      </c>
      <c r="B1544" t="s">
        <v>946</v>
      </c>
      <c r="C1544" s="553">
        <v>44284</v>
      </c>
      <c r="D1544" s="281" t="s">
        <v>4596</v>
      </c>
      <c r="E1544" s="281" t="s">
        <v>4181</v>
      </c>
      <c r="F1544" s="281">
        <v>3</v>
      </c>
      <c r="G1544" s="281">
        <v>5020000000</v>
      </c>
      <c r="H1544" t="s">
        <v>2032</v>
      </c>
      <c r="I1544" t="s">
        <v>565</v>
      </c>
      <c r="J1544" t="s">
        <v>1540</v>
      </c>
      <c r="K1544" t="s">
        <v>1610</v>
      </c>
      <c r="L1544" s="552">
        <v>10000</v>
      </c>
      <c r="O1544" t="s">
        <v>968</v>
      </c>
    </row>
    <row r="1545" spans="1:15" hidden="1">
      <c r="A1545" t="s">
        <v>942</v>
      </c>
      <c r="B1545" t="s">
        <v>946</v>
      </c>
      <c r="C1545" s="553">
        <v>44284</v>
      </c>
      <c r="D1545" s="281" t="s">
        <v>4596</v>
      </c>
      <c r="E1545" s="281" t="s">
        <v>4181</v>
      </c>
      <c r="F1545" s="281">
        <v>3</v>
      </c>
      <c r="G1545" s="281">
        <v>5020000000</v>
      </c>
      <c r="H1545" t="s">
        <v>2005</v>
      </c>
      <c r="I1545" t="s">
        <v>678</v>
      </c>
      <c r="J1545" t="s">
        <v>1540</v>
      </c>
      <c r="K1545" t="s">
        <v>1610</v>
      </c>
      <c r="L1545" s="552">
        <v>104400</v>
      </c>
      <c r="O1545" t="s">
        <v>968</v>
      </c>
    </row>
    <row r="1546" spans="1:15" hidden="1">
      <c r="A1546" t="s">
        <v>942</v>
      </c>
      <c r="B1546" t="s">
        <v>946</v>
      </c>
      <c r="C1546" s="553">
        <v>44285</v>
      </c>
      <c r="D1546" s="281" t="s">
        <v>4597</v>
      </c>
      <c r="E1546" s="281" t="s">
        <v>4183</v>
      </c>
      <c r="F1546" s="281">
        <v>11</v>
      </c>
      <c r="G1546" s="281">
        <v>5020000000</v>
      </c>
      <c r="H1546" t="s">
        <v>2037</v>
      </c>
      <c r="I1546" t="s">
        <v>555</v>
      </c>
      <c r="J1546" t="s">
        <v>822</v>
      </c>
      <c r="K1546" t="s">
        <v>1615</v>
      </c>
      <c r="L1546" s="552">
        <v>57498</v>
      </c>
      <c r="O1546" t="s">
        <v>985</v>
      </c>
    </row>
    <row r="1547" spans="1:15" hidden="1">
      <c r="A1547" t="s">
        <v>942</v>
      </c>
      <c r="B1547" t="s">
        <v>946</v>
      </c>
      <c r="C1547" s="553">
        <v>44285</v>
      </c>
      <c r="D1547" s="281" t="s">
        <v>4597</v>
      </c>
      <c r="E1547" s="281" t="s">
        <v>4183</v>
      </c>
      <c r="F1547" s="281">
        <v>11</v>
      </c>
      <c r="G1547" s="281">
        <v>5020000000</v>
      </c>
      <c r="H1547" t="s">
        <v>2039</v>
      </c>
      <c r="I1547" t="s">
        <v>560</v>
      </c>
      <c r="J1547" t="s">
        <v>822</v>
      </c>
      <c r="K1547" t="s">
        <v>1615</v>
      </c>
      <c r="L1547" s="552">
        <v>525004</v>
      </c>
      <c r="O1547" t="s">
        <v>985</v>
      </c>
    </row>
    <row r="1548" spans="1:15" hidden="1">
      <c r="A1548" t="s">
        <v>942</v>
      </c>
      <c r="B1548" t="s">
        <v>946</v>
      </c>
      <c r="C1548" s="553">
        <v>44285</v>
      </c>
      <c r="D1548" s="281" t="s">
        <v>4597</v>
      </c>
      <c r="E1548" s="281" t="s">
        <v>4183</v>
      </c>
      <c r="F1548" s="281">
        <v>11</v>
      </c>
      <c r="G1548" s="281">
        <v>5020000000</v>
      </c>
      <c r="H1548" t="s">
        <v>2002</v>
      </c>
      <c r="I1548" t="s">
        <v>603</v>
      </c>
      <c r="J1548" t="s">
        <v>822</v>
      </c>
      <c r="K1548" t="s">
        <v>1615</v>
      </c>
      <c r="L1548" s="552">
        <v>19166</v>
      </c>
      <c r="O1548" t="s">
        <v>985</v>
      </c>
    </row>
    <row r="1549" spans="1:15" hidden="1">
      <c r="A1549" t="s">
        <v>942</v>
      </c>
      <c r="B1549" t="s">
        <v>946</v>
      </c>
      <c r="C1549" s="553">
        <v>44285</v>
      </c>
      <c r="D1549" s="281" t="s">
        <v>4597</v>
      </c>
      <c r="E1549" s="281" t="s">
        <v>4183</v>
      </c>
      <c r="F1549" s="281">
        <v>11</v>
      </c>
      <c r="G1549" s="281">
        <v>5020000000</v>
      </c>
      <c r="H1549" t="s">
        <v>1998</v>
      </c>
      <c r="I1549" t="s">
        <v>633</v>
      </c>
      <c r="J1549" t="s">
        <v>822</v>
      </c>
      <c r="K1549" t="s">
        <v>1615</v>
      </c>
      <c r="L1549" s="552">
        <v>38332</v>
      </c>
      <c r="O1549" t="s">
        <v>985</v>
      </c>
    </row>
    <row r="1550" spans="1:15" hidden="1">
      <c r="A1550" t="s">
        <v>942</v>
      </c>
      <c r="B1550" t="s">
        <v>946</v>
      </c>
      <c r="C1550" s="553">
        <v>44285</v>
      </c>
      <c r="D1550" s="281" t="s">
        <v>4598</v>
      </c>
      <c r="E1550" s="281" t="s">
        <v>4186</v>
      </c>
      <c r="F1550" s="281">
        <v>10</v>
      </c>
      <c r="G1550" s="281">
        <v>5020000000</v>
      </c>
      <c r="H1550" t="s">
        <v>2037</v>
      </c>
      <c r="I1550" t="s">
        <v>555</v>
      </c>
      <c r="J1550" t="s">
        <v>822</v>
      </c>
      <c r="K1550" t="s">
        <v>1145</v>
      </c>
      <c r="L1550" s="552">
        <v>10000</v>
      </c>
      <c r="O1550" t="s">
        <v>983</v>
      </c>
    </row>
    <row r="1551" spans="1:15" hidden="1">
      <c r="A1551" t="s">
        <v>942</v>
      </c>
      <c r="B1551" t="s">
        <v>946</v>
      </c>
      <c r="C1551" s="553">
        <v>44285</v>
      </c>
      <c r="D1551" s="281" t="s">
        <v>4598</v>
      </c>
      <c r="E1551" s="281" t="s">
        <v>4186</v>
      </c>
      <c r="F1551" s="281">
        <v>10</v>
      </c>
      <c r="G1551" s="281">
        <v>5020000000</v>
      </c>
      <c r="H1551" t="s">
        <v>2039</v>
      </c>
      <c r="I1551" t="s">
        <v>560</v>
      </c>
      <c r="J1551" t="s">
        <v>822</v>
      </c>
      <c r="K1551" t="s">
        <v>1145</v>
      </c>
      <c r="L1551" s="552">
        <v>80000</v>
      </c>
      <c r="O1551" t="s">
        <v>983</v>
      </c>
    </row>
    <row r="1552" spans="1:15" hidden="1">
      <c r="A1552" t="s">
        <v>942</v>
      </c>
      <c r="B1552" t="s">
        <v>946</v>
      </c>
      <c r="C1552" s="553">
        <v>44285</v>
      </c>
      <c r="D1552" s="281" t="s">
        <v>4598</v>
      </c>
      <c r="E1552" s="281" t="s">
        <v>4186</v>
      </c>
      <c r="F1552" s="281">
        <v>10</v>
      </c>
      <c r="G1552" s="281">
        <v>5020000000</v>
      </c>
      <c r="H1552" t="s">
        <v>2032</v>
      </c>
      <c r="I1552" t="s">
        <v>565</v>
      </c>
      <c r="J1552" t="s">
        <v>822</v>
      </c>
      <c r="K1552" t="s">
        <v>1145</v>
      </c>
      <c r="L1552" s="552">
        <v>30000</v>
      </c>
      <c r="O1552" t="s">
        <v>983</v>
      </c>
    </row>
    <row r="1553" spans="1:15" hidden="1">
      <c r="A1553" t="s">
        <v>942</v>
      </c>
      <c r="B1553" t="s">
        <v>946</v>
      </c>
      <c r="C1553" s="553">
        <v>44285</v>
      </c>
      <c r="D1553" s="281" t="s">
        <v>4598</v>
      </c>
      <c r="E1553" s="281" t="s">
        <v>4186</v>
      </c>
      <c r="F1553" s="281">
        <v>10</v>
      </c>
      <c r="G1553" s="281">
        <v>5020000000</v>
      </c>
      <c r="H1553" t="s">
        <v>2005</v>
      </c>
      <c r="I1553" t="s">
        <v>678</v>
      </c>
      <c r="J1553" t="s">
        <v>822</v>
      </c>
      <c r="K1553" t="s">
        <v>1145</v>
      </c>
      <c r="L1553" s="552">
        <v>20000</v>
      </c>
      <c r="O1553" t="s">
        <v>983</v>
      </c>
    </row>
    <row r="1554" spans="1:15" hidden="1">
      <c r="A1554" t="s">
        <v>942</v>
      </c>
      <c r="B1554" t="s">
        <v>946</v>
      </c>
      <c r="C1554" s="553">
        <v>44285</v>
      </c>
      <c r="D1554" s="281" t="s">
        <v>4598</v>
      </c>
      <c r="E1554" s="281" t="s">
        <v>4186</v>
      </c>
      <c r="F1554" s="281">
        <v>10</v>
      </c>
      <c r="G1554" s="281">
        <v>5020000000</v>
      </c>
      <c r="H1554" t="s">
        <v>2021</v>
      </c>
      <c r="I1554" t="s">
        <v>631</v>
      </c>
      <c r="J1554" t="s">
        <v>822</v>
      </c>
      <c r="K1554" t="s">
        <v>1145</v>
      </c>
      <c r="L1554" s="552">
        <v>147809.53</v>
      </c>
      <c r="O1554" t="s">
        <v>983</v>
      </c>
    </row>
    <row r="1555" spans="1:15" hidden="1">
      <c r="A1555" t="s">
        <v>942</v>
      </c>
      <c r="B1555" t="s">
        <v>946</v>
      </c>
      <c r="C1555" s="553">
        <v>44285</v>
      </c>
      <c r="D1555" s="281" t="s">
        <v>4599</v>
      </c>
      <c r="E1555" s="281" t="s">
        <v>4195</v>
      </c>
      <c r="F1555" s="281">
        <v>1</v>
      </c>
      <c r="G1555" s="281">
        <v>5020000000</v>
      </c>
      <c r="H1555" t="s">
        <v>2002</v>
      </c>
      <c r="I1555" t="s">
        <v>603</v>
      </c>
      <c r="J1555" t="s">
        <v>1102</v>
      </c>
      <c r="K1555" t="s">
        <v>1617</v>
      </c>
      <c r="L1555" s="552">
        <v>3500</v>
      </c>
      <c r="O1555" t="s">
        <v>961</v>
      </c>
    </row>
    <row r="1556" spans="1:15" hidden="1">
      <c r="A1556" t="s">
        <v>942</v>
      </c>
      <c r="B1556" t="s">
        <v>946</v>
      </c>
      <c r="C1556" s="553">
        <v>44285</v>
      </c>
      <c r="D1556" s="281" t="s">
        <v>4600</v>
      </c>
      <c r="E1556" s="281" t="s">
        <v>4198</v>
      </c>
      <c r="F1556" s="281">
        <v>1</v>
      </c>
      <c r="G1556" s="281">
        <v>5020000000</v>
      </c>
      <c r="H1556" t="s">
        <v>1999</v>
      </c>
      <c r="I1556" t="s">
        <v>672</v>
      </c>
      <c r="J1556" t="s">
        <v>6</v>
      </c>
      <c r="K1556" t="s">
        <v>1620</v>
      </c>
      <c r="L1556" s="552">
        <v>12000</v>
      </c>
      <c r="O1556" t="s">
        <v>961</v>
      </c>
    </row>
    <row r="1557" spans="1:15" hidden="1">
      <c r="A1557" t="s">
        <v>942</v>
      </c>
      <c r="B1557" t="s">
        <v>946</v>
      </c>
      <c r="C1557" s="553">
        <v>44285</v>
      </c>
      <c r="D1557" s="281" t="s">
        <v>4601</v>
      </c>
      <c r="E1557" s="281" t="s">
        <v>4201</v>
      </c>
      <c r="F1557" s="281">
        <v>1</v>
      </c>
      <c r="G1557" s="281">
        <v>5020000000</v>
      </c>
      <c r="H1557" t="s">
        <v>2002</v>
      </c>
      <c r="I1557" t="s">
        <v>603</v>
      </c>
      <c r="J1557" t="s">
        <v>797</v>
      </c>
      <c r="K1557" t="s">
        <v>1621</v>
      </c>
      <c r="L1557" s="552">
        <v>4800</v>
      </c>
      <c r="O1557" t="s">
        <v>961</v>
      </c>
    </row>
    <row r="1558" spans="1:15" hidden="1">
      <c r="G1558"/>
    </row>
    <row r="1559" spans="1:15" hidden="1">
      <c r="G1559"/>
    </row>
    <row r="1560" spans="1:15" hidden="1">
      <c r="G1560"/>
    </row>
    <row r="1561" spans="1:15" hidden="1">
      <c r="G1561"/>
    </row>
    <row r="1562" spans="1:15" hidden="1">
      <c r="G1562"/>
    </row>
    <row r="1563" spans="1:15" hidden="1">
      <c r="G1563"/>
    </row>
    <row r="1564" spans="1:15" hidden="1">
      <c r="G1564"/>
    </row>
    <row r="1565" spans="1:15" hidden="1">
      <c r="G1565"/>
    </row>
    <row r="1566" spans="1:15" hidden="1">
      <c r="G1566"/>
    </row>
    <row r="1567" spans="1:15" hidden="1">
      <c r="G1567"/>
    </row>
    <row r="1568" spans="1:15" hidden="1">
      <c r="G1568"/>
    </row>
    <row r="1569" spans="7:7" hidden="1">
      <c r="G1569"/>
    </row>
    <row r="1570" spans="7:7" hidden="1">
      <c r="G1570"/>
    </row>
    <row r="1571" spans="7:7" hidden="1">
      <c r="G1571"/>
    </row>
    <row r="1572" spans="7:7" hidden="1">
      <c r="G1572"/>
    </row>
    <row r="1573" spans="7:7" hidden="1">
      <c r="G1573"/>
    </row>
    <row r="1574" spans="7:7" hidden="1">
      <c r="G1574"/>
    </row>
    <row r="1575" spans="7:7" hidden="1">
      <c r="G1575"/>
    </row>
    <row r="1576" spans="7:7" hidden="1">
      <c r="G1576"/>
    </row>
    <row r="1577" spans="7:7" hidden="1">
      <c r="G1577"/>
    </row>
    <row r="1578" spans="7:7" hidden="1">
      <c r="G1578"/>
    </row>
    <row r="1579" spans="7:7" hidden="1">
      <c r="G1579"/>
    </row>
    <row r="1580" spans="7:7" hidden="1">
      <c r="G1580"/>
    </row>
    <row r="1581" spans="7:7" hidden="1">
      <c r="G1581"/>
    </row>
    <row r="1582" spans="7:7" hidden="1">
      <c r="G1582"/>
    </row>
    <row r="1583" spans="7:7" hidden="1">
      <c r="G1583"/>
    </row>
    <row r="1584" spans="7:7" hidden="1">
      <c r="G1584"/>
    </row>
    <row r="1585" spans="7:7" hidden="1">
      <c r="G1585"/>
    </row>
    <row r="1586" spans="7:7" hidden="1">
      <c r="G1586"/>
    </row>
    <row r="1587" spans="7:7" hidden="1">
      <c r="G1587"/>
    </row>
    <row r="1588" spans="7:7" hidden="1">
      <c r="G1588"/>
    </row>
    <row r="1589" spans="7:7" hidden="1">
      <c r="G1589"/>
    </row>
    <row r="1590" spans="7:7" hidden="1">
      <c r="G1590"/>
    </row>
    <row r="1591" spans="7:7" hidden="1">
      <c r="G1591"/>
    </row>
    <row r="1592" spans="7:7" hidden="1">
      <c r="G1592"/>
    </row>
    <row r="1593" spans="7:7" hidden="1">
      <c r="G1593"/>
    </row>
    <row r="1594" spans="7:7" hidden="1">
      <c r="G1594"/>
    </row>
    <row r="1595" spans="7:7" hidden="1">
      <c r="G1595"/>
    </row>
    <row r="1596" spans="7:7" hidden="1">
      <c r="G1596"/>
    </row>
    <row r="1597" spans="7:7" hidden="1">
      <c r="G1597"/>
    </row>
    <row r="1598" spans="7:7" hidden="1">
      <c r="G1598"/>
    </row>
    <row r="1599" spans="7:7" hidden="1">
      <c r="G1599"/>
    </row>
    <row r="1600" spans="7:7" hidden="1">
      <c r="G1600"/>
    </row>
    <row r="1601" spans="7:7" hidden="1">
      <c r="G1601"/>
    </row>
    <row r="1602" spans="7:7" hidden="1">
      <c r="G1602"/>
    </row>
  </sheetData>
  <autoFilter ref="A3:L1602" xr:uid="{00000000-0009-0000-0000-000006000000}">
    <filterColumn colId="9">
      <filters>
        <filter val="LAND BANK OF THE PHILIPPINES"/>
      </filters>
    </filterColumn>
  </autoFilter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18D05-BC63-4486-A61C-A06CCA80E5D5}">
  <dimension ref="A1:L169"/>
  <sheetViews>
    <sheetView topLeftCell="A141" workbookViewId="0">
      <selection activeCell="F3" sqref="F3"/>
    </sheetView>
  </sheetViews>
  <sheetFormatPr defaultRowHeight="14.4"/>
  <cols>
    <col min="1" max="1" width="10.88671875" bestFit="1" customWidth="1"/>
    <col min="2" max="2" width="6.5546875" bestFit="1" customWidth="1"/>
    <col min="3" max="3" width="20.33203125" bestFit="1" customWidth="1"/>
    <col min="4" max="4" width="35" bestFit="1" customWidth="1"/>
    <col min="5" max="5" width="13.5546875" bestFit="1" customWidth="1"/>
    <col min="6" max="6" width="16.88671875" customWidth="1"/>
    <col min="7" max="7" width="16.44140625" customWidth="1"/>
    <col min="8" max="8" width="15.88671875" customWidth="1"/>
    <col min="9" max="9" width="16.109375" customWidth="1"/>
    <col min="10" max="10" width="15" customWidth="1"/>
    <col min="12" max="12" width="10.5546875" bestFit="1" customWidth="1"/>
  </cols>
  <sheetData>
    <row r="1" spans="1:10">
      <c r="E1" s="276">
        <f t="shared" ref="E1:J1" si="0">SUBTOTAL(9,E3:E169)</f>
        <v>4460219.7100000009</v>
      </c>
      <c r="F1" s="276">
        <f t="shared" si="0"/>
        <v>179366.58285714287</v>
      </c>
      <c r="G1" s="276">
        <f t="shared" si="0"/>
        <v>68896.172767857148</v>
      </c>
      <c r="H1" s="276">
        <f t="shared" si="0"/>
        <v>0</v>
      </c>
      <c r="I1" s="276">
        <f t="shared" si="0"/>
        <v>248262.75562499996</v>
      </c>
      <c r="J1" s="276">
        <f t="shared" si="0"/>
        <v>4211956.9543749997</v>
      </c>
    </row>
    <row r="2" spans="1:10" ht="43.2">
      <c r="A2" s="567" t="s">
        <v>4603</v>
      </c>
      <c r="B2" s="567" t="s">
        <v>1646</v>
      </c>
      <c r="C2" s="567" t="s">
        <v>2375</v>
      </c>
      <c r="D2" s="567" t="s">
        <v>4604</v>
      </c>
      <c r="E2" s="567" t="s">
        <v>4605</v>
      </c>
      <c r="F2" s="567" t="s">
        <v>4203</v>
      </c>
      <c r="G2" s="568" t="s">
        <v>4204</v>
      </c>
      <c r="H2" s="568" t="s">
        <v>4205</v>
      </c>
      <c r="I2" s="568" t="s">
        <v>4206</v>
      </c>
      <c r="J2" s="568" t="s">
        <v>4606</v>
      </c>
    </row>
    <row r="3" spans="1:10">
      <c r="A3" t="s">
        <v>4607</v>
      </c>
      <c r="B3">
        <v>1</v>
      </c>
      <c r="C3" t="str">
        <f>VLOOKUP(B3,Sheet3!$B$3:$H$169,7,FALSE)</f>
        <v>Fund 01-2021-01-0091</v>
      </c>
      <c r="D3" t="s">
        <v>1762</v>
      </c>
      <c r="E3" s="571">
        <v>3675</v>
      </c>
      <c r="F3" s="571">
        <v>164.06</v>
      </c>
      <c r="G3" s="571">
        <v>32.81</v>
      </c>
      <c r="I3" s="571">
        <f>F3+G3+H3</f>
        <v>196.87</v>
      </c>
      <c r="J3" s="571">
        <f>E3-I3</f>
        <v>3478.13</v>
      </c>
    </row>
    <row r="4" spans="1:10">
      <c r="A4" t="s">
        <v>4607</v>
      </c>
      <c r="B4">
        <v>2</v>
      </c>
      <c r="C4" t="str">
        <f>VLOOKUP(B4,Sheet3!$B$3:$H$169,7,FALSE)</f>
        <v>Fund 01-2021-01-0019</v>
      </c>
      <c r="D4" t="s">
        <v>2736</v>
      </c>
      <c r="E4" s="571">
        <v>4836</v>
      </c>
      <c r="F4" s="571">
        <v>215.89</v>
      </c>
      <c r="G4" s="571">
        <v>43.18</v>
      </c>
      <c r="I4" s="571">
        <f t="shared" ref="I4:I67" si="1">F4+G4+H4</f>
        <v>259.07</v>
      </c>
      <c r="J4" s="571">
        <f t="shared" ref="J4:J67" si="2">E4-I4</f>
        <v>4576.93</v>
      </c>
    </row>
    <row r="5" spans="1:10">
      <c r="A5" t="s">
        <v>4607</v>
      </c>
      <c r="B5">
        <v>3</v>
      </c>
      <c r="C5" t="str">
        <f>VLOOKUP(B5,Sheet3!$B$3:$H$169,7,FALSE)</f>
        <v>Fund 01-2021-01-0067</v>
      </c>
      <c r="D5" t="s">
        <v>1677</v>
      </c>
      <c r="E5" s="571">
        <v>1269</v>
      </c>
      <c r="F5" s="571">
        <v>38.07</v>
      </c>
      <c r="G5" s="571">
        <v>12.69</v>
      </c>
      <c r="I5" s="571">
        <f t="shared" si="1"/>
        <v>50.76</v>
      </c>
      <c r="J5" s="571">
        <f t="shared" si="2"/>
        <v>1218.24</v>
      </c>
    </row>
    <row r="6" spans="1:10">
      <c r="A6" t="s">
        <v>4607</v>
      </c>
      <c r="B6">
        <v>4</v>
      </c>
      <c r="C6" t="str">
        <f>VLOOKUP(B6,Sheet3!$B$3:$H$169,7,FALSE)</f>
        <v>Fund 01-2021-01-0020</v>
      </c>
      <c r="D6" t="s">
        <v>2739</v>
      </c>
      <c r="E6" s="571">
        <v>2960</v>
      </c>
      <c r="F6" s="571">
        <v>132.13999999999999</v>
      </c>
      <c r="G6" s="571">
        <v>26.43</v>
      </c>
      <c r="I6" s="571">
        <f t="shared" si="1"/>
        <v>158.57</v>
      </c>
      <c r="J6" s="571">
        <f t="shared" si="2"/>
        <v>2801.43</v>
      </c>
    </row>
    <row r="7" spans="1:10">
      <c r="A7" t="s">
        <v>4607</v>
      </c>
      <c r="B7">
        <v>5</v>
      </c>
      <c r="C7" t="str">
        <f>VLOOKUP(B7,Sheet3!$B$3:$H$169,7,FALSE)</f>
        <v>Fund 01-2021-01-0031</v>
      </c>
      <c r="D7" t="s">
        <v>2739</v>
      </c>
      <c r="E7" s="571">
        <v>8775</v>
      </c>
      <c r="F7" s="571">
        <v>391.74</v>
      </c>
      <c r="G7" s="571">
        <v>78.349999999999994</v>
      </c>
      <c r="I7" s="571">
        <f t="shared" si="1"/>
        <v>470.09000000000003</v>
      </c>
      <c r="J7" s="571">
        <f t="shared" si="2"/>
        <v>8304.91</v>
      </c>
    </row>
    <row r="8" spans="1:10">
      <c r="A8" t="s">
        <v>4607</v>
      </c>
      <c r="B8">
        <v>6</v>
      </c>
      <c r="C8" t="str">
        <f>VLOOKUP(B8,Sheet3!$B$3:$H$169,7,FALSE)</f>
        <v>Fund 01-2021-01-0072</v>
      </c>
      <c r="D8" t="s">
        <v>2739</v>
      </c>
      <c r="E8" s="571">
        <v>9259</v>
      </c>
      <c r="F8" s="571">
        <v>413.35</v>
      </c>
      <c r="G8" s="571">
        <v>82.67</v>
      </c>
      <c r="I8" s="571">
        <f t="shared" si="1"/>
        <v>496.02000000000004</v>
      </c>
      <c r="J8" s="571">
        <f t="shared" si="2"/>
        <v>8762.98</v>
      </c>
    </row>
    <row r="9" spans="1:10">
      <c r="A9" t="s">
        <v>4607</v>
      </c>
      <c r="B9">
        <v>7</v>
      </c>
      <c r="C9" t="str">
        <f>VLOOKUP(B9,Sheet3!$B$3:$H$169,7,FALSE)</f>
        <v>Fund 01-2021-01-0073</v>
      </c>
      <c r="D9" t="s">
        <v>2739</v>
      </c>
      <c r="E9" s="571">
        <v>18000</v>
      </c>
      <c r="F9" s="571">
        <v>803.57</v>
      </c>
      <c r="G9" s="571">
        <v>160.71</v>
      </c>
      <c r="I9" s="571">
        <f t="shared" si="1"/>
        <v>964.28000000000009</v>
      </c>
      <c r="J9" s="571">
        <f t="shared" si="2"/>
        <v>17035.72</v>
      </c>
    </row>
    <row r="10" spans="1:10">
      <c r="A10" t="s">
        <v>4607</v>
      </c>
      <c r="B10">
        <v>8</v>
      </c>
      <c r="C10" t="str">
        <f>VLOOKUP(B10,Sheet3!$B$3:$H$169,7,FALSE)</f>
        <v>Fund 01-2021-01-0074</v>
      </c>
      <c r="D10" t="s">
        <v>2871</v>
      </c>
      <c r="E10" s="571">
        <v>8500</v>
      </c>
      <c r="F10" s="571">
        <v>379.46</v>
      </c>
      <c r="G10" s="571">
        <v>75.89</v>
      </c>
      <c r="I10" s="571">
        <f t="shared" si="1"/>
        <v>455.34999999999997</v>
      </c>
      <c r="J10" s="571">
        <f t="shared" si="2"/>
        <v>8044.65</v>
      </c>
    </row>
    <row r="11" spans="1:10">
      <c r="A11" t="s">
        <v>4607</v>
      </c>
      <c r="B11">
        <v>9</v>
      </c>
      <c r="C11" t="str">
        <f>VLOOKUP(B11,Sheet3!$B$3:$H$169,7,FALSE)</f>
        <v>Fund 01-2021-01-0075</v>
      </c>
      <c r="D11" t="s">
        <v>2871</v>
      </c>
      <c r="E11" s="571">
        <v>46600</v>
      </c>
      <c r="F11" s="571">
        <v>2080.36</v>
      </c>
      <c r="G11" s="571">
        <v>416.07</v>
      </c>
      <c r="I11" s="571">
        <f t="shared" si="1"/>
        <v>2496.4300000000003</v>
      </c>
      <c r="J11" s="571">
        <f t="shared" si="2"/>
        <v>44103.57</v>
      </c>
    </row>
    <row r="12" spans="1:10">
      <c r="A12" t="s">
        <v>4607</v>
      </c>
      <c r="B12">
        <v>10</v>
      </c>
      <c r="C12" t="str">
        <f>VLOOKUP(B12,Sheet3!$B$3:$H$169,7,FALSE)</f>
        <v>Fund 01-2021-01-0014</v>
      </c>
      <c r="D12" t="s">
        <v>2723</v>
      </c>
      <c r="E12" s="571">
        <v>540</v>
      </c>
      <c r="F12" s="571">
        <v>24.11</v>
      </c>
      <c r="G12" s="571">
        <v>9.64</v>
      </c>
      <c r="I12" s="571">
        <f t="shared" si="1"/>
        <v>33.75</v>
      </c>
      <c r="J12" s="571">
        <f t="shared" si="2"/>
        <v>506.25</v>
      </c>
    </row>
    <row r="13" spans="1:10">
      <c r="A13" t="s">
        <v>4607</v>
      </c>
      <c r="B13">
        <v>11</v>
      </c>
      <c r="C13" t="str">
        <f>VLOOKUP(B13,Sheet3!$B$3:$H$169,7,FALSE)</f>
        <v>Fund 01-2021-01-0017</v>
      </c>
      <c r="D13" t="s">
        <v>2731</v>
      </c>
      <c r="E13" s="571">
        <v>2500</v>
      </c>
      <c r="F13" s="571">
        <v>111.61</v>
      </c>
      <c r="G13" s="571">
        <v>44.64</v>
      </c>
      <c r="I13" s="571">
        <f t="shared" si="1"/>
        <v>156.25</v>
      </c>
      <c r="J13" s="571">
        <f t="shared" si="2"/>
        <v>2343.75</v>
      </c>
    </row>
    <row r="14" spans="1:10">
      <c r="A14" t="s">
        <v>4607</v>
      </c>
      <c r="B14">
        <v>12</v>
      </c>
      <c r="C14" t="str">
        <f>VLOOKUP(B14,Sheet3!$B$3:$H$169,7,FALSE)</f>
        <v>Fund 01-2021-01-0018</v>
      </c>
      <c r="D14" t="s">
        <v>2731</v>
      </c>
      <c r="E14" s="571">
        <v>2400</v>
      </c>
      <c r="F14" s="571">
        <v>107.14</v>
      </c>
      <c r="G14" s="571">
        <v>42.86</v>
      </c>
      <c r="I14" s="571">
        <f t="shared" si="1"/>
        <v>150</v>
      </c>
      <c r="J14" s="571">
        <f t="shared" si="2"/>
        <v>2250</v>
      </c>
    </row>
    <row r="15" spans="1:10">
      <c r="A15" t="s">
        <v>4607</v>
      </c>
      <c r="B15">
        <v>13</v>
      </c>
      <c r="C15" t="str">
        <f>VLOOKUP(B15,Sheet3!$B$3:$H$169,7,FALSE)</f>
        <v>Fund 01-2021-01-0013</v>
      </c>
      <c r="D15" t="s">
        <v>2720</v>
      </c>
      <c r="E15" s="571">
        <v>2980</v>
      </c>
      <c r="F15" s="571">
        <v>133.04</v>
      </c>
      <c r="G15" s="571">
        <v>53.21</v>
      </c>
      <c r="I15" s="571">
        <f t="shared" si="1"/>
        <v>186.25</v>
      </c>
      <c r="J15" s="571">
        <f t="shared" si="2"/>
        <v>2793.75</v>
      </c>
    </row>
    <row r="16" spans="1:10">
      <c r="A16" t="s">
        <v>4607</v>
      </c>
      <c r="B16">
        <v>14</v>
      </c>
      <c r="C16" t="str">
        <f>VLOOKUP(B16,Sheet3!$B$3:$H$169,7,FALSE)</f>
        <v>Fund 01-2021-01-0035</v>
      </c>
      <c r="D16" t="s">
        <v>2720</v>
      </c>
      <c r="E16" s="571">
        <v>1500</v>
      </c>
      <c r="F16" s="571">
        <v>66.959999999999994</v>
      </c>
      <c r="G16" s="571">
        <v>26.79</v>
      </c>
      <c r="I16" s="571">
        <f t="shared" si="1"/>
        <v>93.75</v>
      </c>
      <c r="J16" s="571">
        <f t="shared" si="2"/>
        <v>1406.25</v>
      </c>
    </row>
    <row r="17" spans="1:10">
      <c r="A17" t="s">
        <v>4607</v>
      </c>
      <c r="B17">
        <v>15</v>
      </c>
      <c r="C17" t="str">
        <f>VLOOKUP(B17,Sheet3!$B$3:$H$169,7,FALSE)</f>
        <v>Fund 01-2021-01-0032</v>
      </c>
      <c r="D17" t="s">
        <v>2772</v>
      </c>
      <c r="E17" s="571">
        <v>30000</v>
      </c>
      <c r="F17" s="571">
        <v>900</v>
      </c>
      <c r="G17" s="571">
        <v>600</v>
      </c>
      <c r="I17" s="571">
        <f t="shared" si="1"/>
        <v>1500</v>
      </c>
      <c r="J17" s="571">
        <f t="shared" si="2"/>
        <v>28500</v>
      </c>
    </row>
    <row r="18" spans="1:10">
      <c r="A18" t="s">
        <v>4607</v>
      </c>
      <c r="B18">
        <v>16</v>
      </c>
      <c r="C18" t="str">
        <f>VLOOKUP(B18,Sheet3!$B$3:$H$169,7,FALSE)</f>
        <v>Fund 01-2021-01-0033</v>
      </c>
      <c r="D18" t="s">
        <v>2775</v>
      </c>
      <c r="E18" s="571">
        <v>3920</v>
      </c>
      <c r="F18" s="571">
        <v>175</v>
      </c>
      <c r="G18" s="571">
        <v>35</v>
      </c>
      <c r="I18" s="571">
        <f t="shared" si="1"/>
        <v>210</v>
      </c>
      <c r="J18" s="571">
        <f t="shared" si="2"/>
        <v>3710</v>
      </c>
    </row>
    <row r="19" spans="1:10">
      <c r="A19" t="s">
        <v>4607</v>
      </c>
      <c r="B19">
        <v>17</v>
      </c>
      <c r="C19" t="str">
        <f>VLOOKUP(B19,Sheet3!$B$3:$H$169,7,FALSE)</f>
        <v>Fund 01-2021-01-0065</v>
      </c>
      <c r="D19" t="s">
        <v>2849</v>
      </c>
      <c r="E19" s="571">
        <v>9846</v>
      </c>
      <c r="F19" s="571">
        <v>439.55</v>
      </c>
      <c r="G19" s="571">
        <v>175.82</v>
      </c>
      <c r="I19" s="571">
        <f t="shared" si="1"/>
        <v>615.37</v>
      </c>
      <c r="J19" s="571">
        <f t="shared" si="2"/>
        <v>9230.6299999999992</v>
      </c>
    </row>
    <row r="20" spans="1:10">
      <c r="A20" t="s">
        <v>4607</v>
      </c>
      <c r="B20">
        <v>18</v>
      </c>
      <c r="C20" t="str">
        <f>VLOOKUP(B20,Sheet3!$B$3:$H$169,7,FALSE)</f>
        <v>Fund 01-2021-01-0048</v>
      </c>
      <c r="D20" t="s">
        <v>2811</v>
      </c>
      <c r="E20" s="571">
        <v>22550.49</v>
      </c>
      <c r="F20" s="571">
        <v>1006.72</v>
      </c>
      <c r="G20" s="571">
        <v>201.34</v>
      </c>
      <c r="I20" s="571">
        <f t="shared" si="1"/>
        <v>1208.06</v>
      </c>
      <c r="J20" s="571">
        <f t="shared" si="2"/>
        <v>21342.43</v>
      </c>
    </row>
    <row r="21" spans="1:10">
      <c r="A21" t="s">
        <v>4607</v>
      </c>
      <c r="B21">
        <v>19</v>
      </c>
      <c r="C21" t="str">
        <f>VLOOKUP(B21,Sheet3!$B$3:$H$169,7,FALSE)</f>
        <v>Fund 01-2021-01-0021</v>
      </c>
      <c r="D21" t="s">
        <v>2742</v>
      </c>
      <c r="E21" s="571">
        <v>5525</v>
      </c>
      <c r="F21" s="571">
        <v>246.65</v>
      </c>
      <c r="G21" s="571">
        <v>49.33</v>
      </c>
      <c r="I21" s="571">
        <f t="shared" si="1"/>
        <v>295.98</v>
      </c>
      <c r="J21" s="571">
        <f t="shared" si="2"/>
        <v>5229.0200000000004</v>
      </c>
    </row>
    <row r="22" spans="1:10">
      <c r="A22" t="s">
        <v>4607</v>
      </c>
      <c r="B22">
        <v>20</v>
      </c>
      <c r="C22" t="str">
        <f>VLOOKUP(B22,Sheet3!$B$3:$H$169,7,FALSE)</f>
        <v>Fund 01-2021-01-0025</v>
      </c>
      <c r="D22" t="s">
        <v>2751</v>
      </c>
      <c r="E22" s="571">
        <v>6320</v>
      </c>
      <c r="F22" s="571">
        <v>189.6</v>
      </c>
      <c r="G22" s="571">
        <v>63.2</v>
      </c>
      <c r="I22" s="571">
        <f t="shared" si="1"/>
        <v>252.8</v>
      </c>
      <c r="J22" s="571">
        <f t="shared" si="2"/>
        <v>6067.2</v>
      </c>
    </row>
    <row r="23" spans="1:10">
      <c r="A23" t="s">
        <v>4607</v>
      </c>
      <c r="B23">
        <v>21</v>
      </c>
      <c r="C23" t="str">
        <f>VLOOKUP(B23,Sheet3!$B$3:$H$169,7,FALSE)</f>
        <v>Fund 01-2021-01-0068</v>
      </c>
      <c r="D23" t="s">
        <v>2751</v>
      </c>
      <c r="E23" s="571">
        <v>59500</v>
      </c>
      <c r="F23" s="571">
        <v>1785</v>
      </c>
      <c r="G23" s="571">
        <v>595</v>
      </c>
      <c r="I23" s="571">
        <f t="shared" si="1"/>
        <v>2380</v>
      </c>
      <c r="J23" s="571">
        <f t="shared" si="2"/>
        <v>57120</v>
      </c>
    </row>
    <row r="24" spans="1:10">
      <c r="A24" t="s">
        <v>4607</v>
      </c>
      <c r="B24">
        <v>22</v>
      </c>
      <c r="C24" t="str">
        <f>VLOOKUP(B24,Sheet3!$B$3:$H$169,7,FALSE)</f>
        <v>Fund 01-2021-01-0015</v>
      </c>
      <c r="D24" t="s">
        <v>2726</v>
      </c>
      <c r="E24" s="571">
        <v>23750</v>
      </c>
      <c r="F24" s="571">
        <v>1060.27</v>
      </c>
      <c r="G24" s="571">
        <v>424.11</v>
      </c>
      <c r="I24" s="571">
        <f t="shared" si="1"/>
        <v>1484.38</v>
      </c>
      <c r="J24" s="571">
        <f t="shared" si="2"/>
        <v>22265.62</v>
      </c>
    </row>
    <row r="25" spans="1:10">
      <c r="A25" t="s">
        <v>4607</v>
      </c>
      <c r="B25">
        <v>23</v>
      </c>
      <c r="C25" t="str">
        <f>VLOOKUP(B25,Sheet3!$B$3:$H$169,7,FALSE)</f>
        <v>Fund 01-2021-01-0022</v>
      </c>
      <c r="D25" t="s">
        <v>2726</v>
      </c>
      <c r="E25" s="571">
        <v>4200</v>
      </c>
      <c r="F25" s="571">
        <v>187.5</v>
      </c>
      <c r="G25" s="571">
        <v>75</v>
      </c>
      <c r="I25" s="571">
        <f t="shared" si="1"/>
        <v>262.5</v>
      </c>
      <c r="J25" s="571">
        <f t="shared" si="2"/>
        <v>3937.5</v>
      </c>
    </row>
    <row r="26" spans="1:10">
      <c r="A26" t="s">
        <v>4607</v>
      </c>
      <c r="B26">
        <v>24</v>
      </c>
      <c r="C26" t="str">
        <f>VLOOKUP(B26,Sheet3!$B$3:$H$169,7,FALSE)</f>
        <v>Fund 01-2021-01-0024</v>
      </c>
      <c r="D26" t="s">
        <v>2726</v>
      </c>
      <c r="E26" s="571">
        <v>26125</v>
      </c>
      <c r="F26" s="571">
        <v>1166.29</v>
      </c>
      <c r="G26" s="571">
        <v>466.52</v>
      </c>
      <c r="I26" s="571">
        <f t="shared" si="1"/>
        <v>1632.81</v>
      </c>
      <c r="J26" s="571">
        <f t="shared" si="2"/>
        <v>24492.19</v>
      </c>
    </row>
    <row r="27" spans="1:10">
      <c r="A27" t="s">
        <v>4607</v>
      </c>
      <c r="B27">
        <v>25</v>
      </c>
      <c r="C27" t="str">
        <f>VLOOKUP(B27,Sheet3!$B$3:$H$169,7,FALSE)</f>
        <v>Fund 01-2021-01-0036</v>
      </c>
      <c r="D27" t="s">
        <v>2782</v>
      </c>
      <c r="E27" s="571">
        <v>18000</v>
      </c>
      <c r="F27" s="571">
        <v>803.57</v>
      </c>
      <c r="G27" s="571">
        <v>321.43</v>
      </c>
      <c r="I27" s="571">
        <f t="shared" si="1"/>
        <v>1125</v>
      </c>
      <c r="J27" s="571">
        <f t="shared" si="2"/>
        <v>16875</v>
      </c>
    </row>
    <row r="28" spans="1:10">
      <c r="A28" t="s">
        <v>4607</v>
      </c>
      <c r="B28">
        <v>26</v>
      </c>
      <c r="C28" t="str">
        <f>VLOOKUP(B28,Sheet3!$B$3:$H$169,7,FALSE)</f>
        <v>Fund 01-2021-01-0030</v>
      </c>
      <c r="D28" t="s">
        <v>2767</v>
      </c>
      <c r="E28" s="571">
        <v>17987.04</v>
      </c>
      <c r="F28" s="571">
        <v>802.99285714285713</v>
      </c>
      <c r="G28" s="571">
        <v>321.2</v>
      </c>
      <c r="I28" s="571">
        <f t="shared" si="1"/>
        <v>1124.1928571428571</v>
      </c>
      <c r="J28" s="571">
        <f t="shared" si="2"/>
        <v>16862.847142857143</v>
      </c>
    </row>
    <row r="29" spans="1:10">
      <c r="A29" t="s">
        <v>4607</v>
      </c>
      <c r="B29">
        <v>27</v>
      </c>
      <c r="C29" t="str">
        <f>VLOOKUP(B29,Sheet3!$B$3:$H$169,7,FALSE)</f>
        <v>Fund 01-2021-01-0037</v>
      </c>
      <c r="D29" t="s">
        <v>2746</v>
      </c>
      <c r="E29" s="571">
        <v>8000</v>
      </c>
      <c r="F29" s="571">
        <v>357.14</v>
      </c>
      <c r="G29" s="571">
        <v>142.86000000000001</v>
      </c>
      <c r="I29" s="571">
        <f t="shared" si="1"/>
        <v>500</v>
      </c>
      <c r="J29" s="571">
        <f t="shared" si="2"/>
        <v>7500</v>
      </c>
    </row>
    <row r="30" spans="1:10">
      <c r="A30" t="s">
        <v>4607</v>
      </c>
      <c r="B30">
        <v>28</v>
      </c>
      <c r="C30" t="str">
        <f>VLOOKUP(B30,Sheet3!$B$3:$H$169,7,FALSE)</f>
        <v>Fund 01-2021-01-0038</v>
      </c>
      <c r="D30" t="s">
        <v>2746</v>
      </c>
      <c r="E30" s="571">
        <v>4800</v>
      </c>
      <c r="F30" s="571">
        <v>214.29</v>
      </c>
      <c r="G30" s="571">
        <v>85.71</v>
      </c>
      <c r="I30" s="571">
        <f t="shared" si="1"/>
        <v>300</v>
      </c>
      <c r="J30" s="571">
        <f t="shared" si="2"/>
        <v>4500</v>
      </c>
    </row>
    <row r="31" spans="1:10">
      <c r="A31" t="s">
        <v>4607</v>
      </c>
      <c r="B31">
        <v>29</v>
      </c>
      <c r="C31" t="str">
        <f>VLOOKUP(B31,Sheet3!$B$3:$H$169,7,FALSE)</f>
        <v>Fund 01-2021-01-0062</v>
      </c>
      <c r="D31" t="s">
        <v>2746</v>
      </c>
      <c r="E31" s="571">
        <v>8000</v>
      </c>
      <c r="F31" s="571">
        <v>357.14</v>
      </c>
      <c r="G31" s="571">
        <v>142.86000000000001</v>
      </c>
      <c r="I31" s="571">
        <f t="shared" si="1"/>
        <v>500</v>
      </c>
      <c r="J31" s="571">
        <f t="shared" si="2"/>
        <v>7500</v>
      </c>
    </row>
    <row r="32" spans="1:10">
      <c r="A32" t="s">
        <v>4608</v>
      </c>
      <c r="B32">
        <v>30</v>
      </c>
      <c r="C32" t="str">
        <f>VLOOKUP(B32,Sheet3!$B$3:$H$169,7,FALSE)</f>
        <v>Fund 01-2021-02-0239</v>
      </c>
      <c r="D32" t="s">
        <v>3296</v>
      </c>
      <c r="E32" s="571">
        <v>1990</v>
      </c>
      <c r="F32" s="571">
        <v>88.84</v>
      </c>
      <c r="G32" s="571">
        <v>17.77</v>
      </c>
      <c r="I32" s="571">
        <f t="shared" si="1"/>
        <v>106.61</v>
      </c>
      <c r="J32" s="571">
        <f t="shared" si="2"/>
        <v>1883.39</v>
      </c>
    </row>
    <row r="33" spans="1:10">
      <c r="A33" t="s">
        <v>4608</v>
      </c>
      <c r="B33">
        <v>31</v>
      </c>
      <c r="C33" t="str">
        <f>VLOOKUP(B33,Sheet3!$B$3:$H$169,7,FALSE)</f>
        <v>Fund 01-2021-02-0126</v>
      </c>
      <c r="D33" t="s">
        <v>3012</v>
      </c>
      <c r="E33" s="571">
        <v>17500</v>
      </c>
      <c r="F33" s="571">
        <v>781.25</v>
      </c>
      <c r="G33" s="571">
        <v>312.5</v>
      </c>
      <c r="I33" s="571">
        <f t="shared" si="1"/>
        <v>1093.75</v>
      </c>
      <c r="J33" s="571">
        <f t="shared" si="2"/>
        <v>16406.25</v>
      </c>
    </row>
    <row r="34" spans="1:10">
      <c r="A34" t="s">
        <v>4608</v>
      </c>
      <c r="B34">
        <v>32</v>
      </c>
      <c r="D34" t="s">
        <v>4609</v>
      </c>
      <c r="E34" s="571">
        <v>3000</v>
      </c>
      <c r="F34" s="571"/>
      <c r="G34" s="571"/>
      <c r="I34" s="571">
        <f t="shared" si="1"/>
        <v>0</v>
      </c>
      <c r="J34" s="571">
        <f t="shared" si="2"/>
        <v>3000</v>
      </c>
    </row>
    <row r="35" spans="1:10">
      <c r="A35" t="s">
        <v>4608</v>
      </c>
      <c r="B35">
        <v>33</v>
      </c>
      <c r="C35" t="str">
        <f>VLOOKUP(B35,Sheet3!$B$3:$H$169,7,FALSE)</f>
        <v>Fund 01-2021-02-0113C</v>
      </c>
      <c r="D35" t="s">
        <v>2792</v>
      </c>
      <c r="E35" s="571">
        <v>2000</v>
      </c>
      <c r="F35" s="571">
        <v>60</v>
      </c>
      <c r="G35" s="571">
        <v>40</v>
      </c>
      <c r="I35" s="571">
        <f t="shared" si="1"/>
        <v>100</v>
      </c>
      <c r="J35" s="571">
        <f t="shared" si="2"/>
        <v>1900</v>
      </c>
    </row>
    <row r="36" spans="1:10">
      <c r="A36" t="s">
        <v>4608</v>
      </c>
      <c r="B36">
        <v>34</v>
      </c>
      <c r="C36" t="str">
        <f>VLOOKUP(B36,Sheet3!$B$3:$H$169,7,FALSE)</f>
        <v>Fund 01-2021-02-0154</v>
      </c>
      <c r="D36" t="s">
        <v>2876</v>
      </c>
      <c r="E36" s="571">
        <v>35750</v>
      </c>
      <c r="F36" s="571">
        <v>1072.5</v>
      </c>
      <c r="G36" s="571">
        <v>357.5</v>
      </c>
      <c r="I36" s="571">
        <f t="shared" si="1"/>
        <v>1430</v>
      </c>
      <c r="J36" s="571">
        <f t="shared" si="2"/>
        <v>34320</v>
      </c>
    </row>
    <row r="37" spans="1:10">
      <c r="A37" t="s">
        <v>4608</v>
      </c>
      <c r="B37">
        <v>35</v>
      </c>
      <c r="C37">
        <f>VLOOKUP(B37,Sheet3!$B$3:$H$169,7,FALSE)</f>
        <v>0</v>
      </c>
      <c r="D37" t="s">
        <v>4610</v>
      </c>
      <c r="E37" s="571">
        <v>3000</v>
      </c>
      <c r="F37" s="571"/>
      <c r="G37" s="571"/>
      <c r="I37" s="571">
        <f t="shared" si="1"/>
        <v>0</v>
      </c>
      <c r="J37" s="571">
        <f t="shared" si="2"/>
        <v>3000</v>
      </c>
    </row>
    <row r="38" spans="1:10">
      <c r="A38" t="s">
        <v>4608</v>
      </c>
      <c r="B38">
        <v>36</v>
      </c>
      <c r="C38">
        <f>VLOOKUP(B38,Sheet3!$B$3:$H$169,7,FALSE)</f>
        <v>0</v>
      </c>
      <c r="D38" t="s">
        <v>4611</v>
      </c>
      <c r="E38" s="571">
        <v>3000</v>
      </c>
      <c r="F38" s="571"/>
      <c r="G38" s="571"/>
      <c r="I38" s="571">
        <f t="shared" si="1"/>
        <v>0</v>
      </c>
      <c r="J38" s="571">
        <f t="shared" si="2"/>
        <v>3000</v>
      </c>
    </row>
    <row r="39" spans="1:10">
      <c r="A39" t="s">
        <v>4608</v>
      </c>
      <c r="B39">
        <v>37</v>
      </c>
      <c r="C39" t="str">
        <f>VLOOKUP(B39,Sheet3!$B$3:$H$169,7,FALSE)</f>
        <v>Fund 01-2021-02-0161</v>
      </c>
      <c r="D39" t="s">
        <v>1677</v>
      </c>
      <c r="E39" s="571">
        <v>1350</v>
      </c>
      <c r="F39" s="571">
        <v>40.5</v>
      </c>
      <c r="G39" s="571">
        <v>13.5</v>
      </c>
      <c r="I39" s="571">
        <f t="shared" si="1"/>
        <v>54</v>
      </c>
      <c r="J39" s="571">
        <f t="shared" si="2"/>
        <v>1296</v>
      </c>
    </row>
    <row r="40" spans="1:10">
      <c r="A40" t="s">
        <v>4608</v>
      </c>
      <c r="B40">
        <v>38</v>
      </c>
      <c r="C40">
        <f>VLOOKUP(B40,Sheet3!$B$3:$H$169,7,FALSE)</f>
        <v>0</v>
      </c>
      <c r="D40" t="s">
        <v>4612</v>
      </c>
      <c r="E40" s="571">
        <v>3000</v>
      </c>
      <c r="F40" s="571"/>
      <c r="G40" s="571"/>
      <c r="I40" s="571">
        <f t="shared" si="1"/>
        <v>0</v>
      </c>
      <c r="J40" s="571">
        <f t="shared" si="2"/>
        <v>3000</v>
      </c>
    </row>
    <row r="41" spans="1:10">
      <c r="A41" t="s">
        <v>4608</v>
      </c>
      <c r="B41">
        <v>39</v>
      </c>
      <c r="C41">
        <f>VLOOKUP(B41,Sheet3!$B$3:$H$169,7,FALSE)</f>
        <v>0</v>
      </c>
      <c r="D41" t="s">
        <v>4613</v>
      </c>
      <c r="E41" s="571">
        <v>1000</v>
      </c>
      <c r="F41" s="571"/>
      <c r="G41" s="571"/>
      <c r="I41" s="571">
        <f t="shared" si="1"/>
        <v>0</v>
      </c>
      <c r="J41" s="571">
        <f t="shared" si="2"/>
        <v>1000</v>
      </c>
    </row>
    <row r="42" spans="1:10">
      <c r="A42" t="s">
        <v>4608</v>
      </c>
      <c r="B42">
        <v>40</v>
      </c>
      <c r="C42">
        <f>VLOOKUP(B42,Sheet3!$B$3:$H$169,7,FALSE)</f>
        <v>0</v>
      </c>
      <c r="D42" t="s">
        <v>4614</v>
      </c>
      <c r="E42" s="571">
        <v>1000</v>
      </c>
      <c r="F42" s="571"/>
      <c r="G42" s="571"/>
      <c r="I42" s="571">
        <f t="shared" si="1"/>
        <v>0</v>
      </c>
      <c r="J42" s="571">
        <f t="shared" si="2"/>
        <v>1000</v>
      </c>
    </row>
    <row r="43" spans="1:10">
      <c r="A43" t="s">
        <v>4608</v>
      </c>
      <c r="B43">
        <v>41</v>
      </c>
      <c r="C43" t="str">
        <f>VLOOKUP(B43,Sheet3!$B$3:$H$169,7,FALSE)</f>
        <v>Fund 01-2021-01-0044</v>
      </c>
      <c r="D43" t="s">
        <v>2801</v>
      </c>
      <c r="E43" s="571">
        <v>3000</v>
      </c>
      <c r="F43" s="571">
        <v>90</v>
      </c>
      <c r="G43" s="571">
        <v>60</v>
      </c>
      <c r="I43" s="571">
        <f t="shared" si="1"/>
        <v>150</v>
      </c>
      <c r="J43" s="571">
        <f t="shared" si="2"/>
        <v>2850</v>
      </c>
    </row>
    <row r="44" spans="1:10">
      <c r="A44" t="s">
        <v>4608</v>
      </c>
      <c r="B44">
        <v>42</v>
      </c>
      <c r="C44" t="str">
        <f>VLOOKUP(B44,Sheet3!$B$3:$H$169,7,FALSE)</f>
        <v>Fund 01-2021-02-0155</v>
      </c>
      <c r="D44" t="s">
        <v>2882</v>
      </c>
      <c r="E44" s="571">
        <v>11785</v>
      </c>
      <c r="F44" s="571">
        <v>353.55</v>
      </c>
      <c r="G44" s="571">
        <v>117.85</v>
      </c>
      <c r="I44" s="571">
        <f t="shared" si="1"/>
        <v>471.4</v>
      </c>
      <c r="J44" s="571">
        <f t="shared" si="2"/>
        <v>11313.6</v>
      </c>
    </row>
    <row r="45" spans="1:10">
      <c r="A45" t="s">
        <v>4608</v>
      </c>
      <c r="B45">
        <v>43</v>
      </c>
      <c r="C45" t="str">
        <f>VLOOKUP(B45,Sheet3!$B$3:$H$169,7,FALSE)</f>
        <v>Fund 01-2021-03-0362</v>
      </c>
      <c r="D45" t="s">
        <v>2844</v>
      </c>
      <c r="E45" s="571">
        <v>170501.47</v>
      </c>
      <c r="F45" s="571">
        <v>7611.67</v>
      </c>
      <c r="G45" s="571">
        <v>7611.67</v>
      </c>
      <c r="I45" s="571">
        <f t="shared" si="1"/>
        <v>15223.34</v>
      </c>
      <c r="J45" s="571">
        <f t="shared" si="2"/>
        <v>155278.13</v>
      </c>
    </row>
    <row r="46" spans="1:10">
      <c r="A46" t="s">
        <v>4608</v>
      </c>
      <c r="B46">
        <v>44</v>
      </c>
      <c r="C46">
        <f>VLOOKUP(B46,Sheet3!$B$3:$H$169,7,FALSE)</f>
        <v>0</v>
      </c>
      <c r="D46" t="s">
        <v>4615</v>
      </c>
      <c r="E46" s="571">
        <v>3000</v>
      </c>
      <c r="F46" s="571"/>
      <c r="G46" s="571"/>
      <c r="I46" s="571">
        <f t="shared" si="1"/>
        <v>0</v>
      </c>
      <c r="J46" s="571">
        <f t="shared" si="2"/>
        <v>3000</v>
      </c>
    </row>
    <row r="47" spans="1:10">
      <c r="A47" t="s">
        <v>4608</v>
      </c>
      <c r="B47">
        <v>45</v>
      </c>
      <c r="C47" t="str">
        <f>VLOOKUP(B47,Sheet3!$B$3:$H$169,7,FALSE)</f>
        <v>Fund 01-2021-02-0113B</v>
      </c>
      <c r="D47" t="s">
        <v>2789</v>
      </c>
      <c r="E47" s="571">
        <v>1000</v>
      </c>
      <c r="F47" s="571">
        <v>30</v>
      </c>
      <c r="G47" s="571">
        <v>20</v>
      </c>
      <c r="I47" s="571">
        <f t="shared" si="1"/>
        <v>50</v>
      </c>
      <c r="J47" s="571">
        <f t="shared" si="2"/>
        <v>950</v>
      </c>
    </row>
    <row r="48" spans="1:10">
      <c r="A48" t="s">
        <v>4608</v>
      </c>
      <c r="B48">
        <v>46</v>
      </c>
      <c r="C48" t="str">
        <f>VLOOKUP(B48,Sheet3!$B$3:$H$169,7,FALSE)</f>
        <v>Fund 01-2021-02-0114</v>
      </c>
      <c r="D48" t="s">
        <v>2888</v>
      </c>
      <c r="E48" s="571">
        <v>45000</v>
      </c>
      <c r="F48" s="571">
        <v>1350</v>
      </c>
      <c r="G48" s="571">
        <v>900</v>
      </c>
      <c r="I48" s="571">
        <f t="shared" si="1"/>
        <v>2250</v>
      </c>
      <c r="J48" s="571">
        <f t="shared" si="2"/>
        <v>42750</v>
      </c>
    </row>
    <row r="49" spans="1:10">
      <c r="A49" t="s">
        <v>4608</v>
      </c>
      <c r="B49">
        <v>47</v>
      </c>
      <c r="C49" t="str">
        <f>VLOOKUP(B49,Sheet3!$B$3:$H$169,7,FALSE)</f>
        <v>Fund 01-2021-02-0238</v>
      </c>
      <c r="D49" t="s">
        <v>3292</v>
      </c>
      <c r="E49" s="571">
        <v>25000</v>
      </c>
      <c r="F49" s="571">
        <v>1116.07</v>
      </c>
      <c r="G49" s="571">
        <v>446.43</v>
      </c>
      <c r="I49" s="571">
        <f t="shared" si="1"/>
        <v>1562.5</v>
      </c>
      <c r="J49" s="571">
        <f t="shared" si="2"/>
        <v>23437.5</v>
      </c>
    </row>
    <row r="50" spans="1:10">
      <c r="A50" t="s">
        <v>4608</v>
      </c>
      <c r="B50">
        <v>48</v>
      </c>
      <c r="C50" t="str">
        <f>VLOOKUP(B50,Sheet3!$B$3:$H$169,7,FALSE)</f>
        <v>Fund 01-2021-02-0113G</v>
      </c>
      <c r="D50" t="s">
        <v>2805</v>
      </c>
      <c r="E50" s="571">
        <v>2000</v>
      </c>
      <c r="F50" s="571">
        <v>60</v>
      </c>
      <c r="G50" s="571">
        <v>40</v>
      </c>
      <c r="I50" s="571">
        <f t="shared" si="1"/>
        <v>100</v>
      </c>
      <c r="J50" s="571">
        <f t="shared" si="2"/>
        <v>1900</v>
      </c>
    </row>
    <row r="51" spans="1:10">
      <c r="A51" t="s">
        <v>4608</v>
      </c>
      <c r="B51">
        <v>49</v>
      </c>
      <c r="C51" t="str">
        <f>VLOOKUP(B51,Sheet3!$B$3:$H$169,7,FALSE)</f>
        <v>Fund 01-2021-02-0191</v>
      </c>
      <c r="D51" t="s">
        <v>3162</v>
      </c>
      <c r="E51" s="571">
        <v>1200</v>
      </c>
      <c r="F51" s="571">
        <v>53.57</v>
      </c>
      <c r="G51" s="571">
        <v>21.43</v>
      </c>
      <c r="I51" s="571">
        <f t="shared" si="1"/>
        <v>75</v>
      </c>
      <c r="J51" s="571">
        <f t="shared" si="2"/>
        <v>1125</v>
      </c>
    </row>
    <row r="52" spans="1:10">
      <c r="A52" t="s">
        <v>4608</v>
      </c>
      <c r="B52">
        <v>50</v>
      </c>
      <c r="C52" t="str">
        <f>VLOOKUP(B52,Sheet3!$B$3:$H$169,7,FALSE)</f>
        <v>Fund 01-2021-02-0193</v>
      </c>
      <c r="D52" t="s">
        <v>3162</v>
      </c>
      <c r="E52" s="571">
        <v>2400</v>
      </c>
      <c r="F52" s="571">
        <v>107.14</v>
      </c>
      <c r="G52" s="571">
        <v>42.86</v>
      </c>
      <c r="I52" s="571">
        <f t="shared" si="1"/>
        <v>150</v>
      </c>
      <c r="J52" s="571">
        <f t="shared" si="2"/>
        <v>2250</v>
      </c>
    </row>
    <row r="53" spans="1:10">
      <c r="A53" t="s">
        <v>4608</v>
      </c>
      <c r="B53">
        <v>51</v>
      </c>
      <c r="C53" t="str">
        <f>VLOOKUP(B53,Sheet3!$B$3:$H$169,7,FALSE)</f>
        <v>Fund 01-2021-02-0184</v>
      </c>
      <c r="D53" t="s">
        <v>2720</v>
      </c>
      <c r="E53" s="571">
        <v>1200</v>
      </c>
      <c r="F53" s="571">
        <v>53.57</v>
      </c>
      <c r="G53" s="571">
        <v>21.43</v>
      </c>
      <c r="I53" s="571">
        <f t="shared" si="1"/>
        <v>75</v>
      </c>
      <c r="J53" s="571">
        <f t="shared" si="2"/>
        <v>1125</v>
      </c>
    </row>
    <row r="54" spans="1:10">
      <c r="A54" t="s">
        <v>4608</v>
      </c>
      <c r="B54">
        <v>52</v>
      </c>
      <c r="C54" t="str">
        <f>VLOOKUP(B54,Sheet3!$B$3:$H$169,7,FALSE)</f>
        <v>Fund 01-2021-02-0235</v>
      </c>
      <c r="D54" t="s">
        <v>2971</v>
      </c>
      <c r="E54" s="571">
        <v>19165.03</v>
      </c>
      <c r="F54" s="571">
        <v>855.58</v>
      </c>
      <c r="G54" s="571">
        <v>342.23</v>
      </c>
      <c r="I54" s="571">
        <f t="shared" si="1"/>
        <v>1197.81</v>
      </c>
      <c r="J54" s="571">
        <f t="shared" si="2"/>
        <v>17967.219999999998</v>
      </c>
    </row>
    <row r="55" spans="1:10">
      <c r="A55" t="s">
        <v>4608</v>
      </c>
      <c r="B55">
        <v>53</v>
      </c>
      <c r="C55">
        <f>VLOOKUP(B55,Sheet3!$B$3:$H$169,7,FALSE)</f>
        <v>0</v>
      </c>
      <c r="D55" t="s">
        <v>4616</v>
      </c>
      <c r="E55" s="571">
        <v>1000</v>
      </c>
      <c r="F55" s="571"/>
      <c r="G55" s="571"/>
      <c r="I55" s="571">
        <f t="shared" si="1"/>
        <v>0</v>
      </c>
      <c r="J55" s="571">
        <f t="shared" si="2"/>
        <v>1000</v>
      </c>
    </row>
    <row r="56" spans="1:10">
      <c r="A56" t="s">
        <v>4608</v>
      </c>
      <c r="B56">
        <v>54</v>
      </c>
      <c r="C56" t="str">
        <f>VLOOKUP(B56,Sheet3!$B$3:$H$169,7,FALSE)</f>
        <v>Fund 01-2021-02-0230</v>
      </c>
      <c r="D56" t="s">
        <v>3269</v>
      </c>
      <c r="E56" s="571">
        <v>14000</v>
      </c>
      <c r="F56" s="571">
        <v>625</v>
      </c>
      <c r="G56" s="571">
        <v>250</v>
      </c>
      <c r="I56" s="571">
        <f t="shared" si="1"/>
        <v>875</v>
      </c>
      <c r="J56" s="571">
        <f t="shared" si="2"/>
        <v>13125</v>
      </c>
    </row>
    <row r="57" spans="1:10">
      <c r="A57" t="s">
        <v>4608</v>
      </c>
      <c r="B57">
        <v>55</v>
      </c>
      <c r="C57" t="str">
        <f>VLOOKUP(B57,Sheet3!$B$3:$H$169,7,FALSE)</f>
        <v>Fund 01-2021-02-0117</v>
      </c>
      <c r="D57" t="s">
        <v>2894</v>
      </c>
      <c r="E57" s="571">
        <v>6500</v>
      </c>
      <c r="F57" s="571">
        <v>195</v>
      </c>
      <c r="G57" s="571">
        <v>130</v>
      </c>
      <c r="I57" s="571">
        <f t="shared" si="1"/>
        <v>325</v>
      </c>
      <c r="J57" s="571">
        <f t="shared" si="2"/>
        <v>6175</v>
      </c>
    </row>
    <row r="58" spans="1:10">
      <c r="A58" t="s">
        <v>4608</v>
      </c>
      <c r="B58">
        <v>56</v>
      </c>
      <c r="C58" t="str">
        <f>VLOOKUP(B58,Sheet3!$B$3:$H$169,7,FALSE)</f>
        <v>Fund 01-2021-02-0165</v>
      </c>
      <c r="D58" t="s">
        <v>2894</v>
      </c>
      <c r="E58" s="571">
        <v>15000</v>
      </c>
      <c r="F58" s="571">
        <v>450</v>
      </c>
      <c r="G58" s="571">
        <v>300</v>
      </c>
      <c r="I58" s="571">
        <f t="shared" si="1"/>
        <v>750</v>
      </c>
      <c r="J58" s="571">
        <f t="shared" si="2"/>
        <v>14250</v>
      </c>
    </row>
    <row r="59" spans="1:10">
      <c r="A59" t="s">
        <v>4608</v>
      </c>
      <c r="B59">
        <v>57</v>
      </c>
      <c r="C59" t="str">
        <f>VLOOKUP(B59,Sheet3!$B$3:$H$169,7,FALSE)</f>
        <v>Fund 01-2021-02-0113A</v>
      </c>
      <c r="D59" t="s">
        <v>2912</v>
      </c>
      <c r="E59" s="571">
        <v>17600</v>
      </c>
      <c r="F59" s="571">
        <v>785.71</v>
      </c>
      <c r="G59" s="571">
        <v>785.71</v>
      </c>
      <c r="I59" s="571">
        <f t="shared" si="1"/>
        <v>1571.42</v>
      </c>
      <c r="J59" s="571">
        <f t="shared" si="2"/>
        <v>16028.58</v>
      </c>
    </row>
    <row r="60" spans="1:10">
      <c r="A60" t="s">
        <v>4608</v>
      </c>
      <c r="B60">
        <v>58</v>
      </c>
      <c r="C60" t="str">
        <f>VLOOKUP(B60,Sheet3!$B$3:$H$169,7,FALSE)</f>
        <v>Fund 01-2021-02-0113E</v>
      </c>
      <c r="D60" t="s">
        <v>2797</v>
      </c>
      <c r="E60" s="571">
        <v>1000</v>
      </c>
      <c r="F60" s="571">
        <v>30</v>
      </c>
      <c r="G60" s="571">
        <v>20</v>
      </c>
      <c r="I60" s="571">
        <f t="shared" si="1"/>
        <v>50</v>
      </c>
      <c r="J60" s="571">
        <f t="shared" si="2"/>
        <v>950</v>
      </c>
    </row>
    <row r="61" spans="1:10">
      <c r="A61" t="s">
        <v>4608</v>
      </c>
      <c r="B61">
        <v>59</v>
      </c>
      <c r="C61">
        <f>VLOOKUP(B61,Sheet3!$B$3:$H$169,7,FALSE)</f>
        <v>0</v>
      </c>
      <c r="D61" t="s">
        <v>4617</v>
      </c>
      <c r="E61" s="571">
        <v>2000</v>
      </c>
      <c r="F61" s="571"/>
      <c r="G61" s="571"/>
      <c r="I61" s="571">
        <f t="shared" si="1"/>
        <v>0</v>
      </c>
      <c r="J61" s="571">
        <f t="shared" si="2"/>
        <v>2000</v>
      </c>
    </row>
    <row r="62" spans="1:10">
      <c r="A62" t="s">
        <v>4608</v>
      </c>
      <c r="B62">
        <v>60</v>
      </c>
      <c r="C62">
        <f>VLOOKUP(B62,Sheet3!$B$3:$H$169,7,FALSE)</f>
        <v>0</v>
      </c>
      <c r="D62" t="s">
        <v>4618</v>
      </c>
      <c r="E62" s="571">
        <v>3000</v>
      </c>
      <c r="F62" s="571"/>
      <c r="G62" s="571"/>
      <c r="I62" s="571">
        <f t="shared" si="1"/>
        <v>0</v>
      </c>
      <c r="J62" s="571">
        <f t="shared" si="2"/>
        <v>3000</v>
      </c>
    </row>
    <row r="63" spans="1:10">
      <c r="A63" t="s">
        <v>4608</v>
      </c>
      <c r="B63">
        <v>61</v>
      </c>
      <c r="C63" t="str">
        <f>VLOOKUP(B63,Sheet3!$B$3:$H$169,7,FALSE)</f>
        <v>Fund 01-2021-02-0231</v>
      </c>
      <c r="D63" t="s">
        <v>3273</v>
      </c>
      <c r="E63" s="571">
        <v>8774</v>
      </c>
      <c r="F63" s="571">
        <v>391.7</v>
      </c>
      <c r="G63" s="571">
        <v>156.68</v>
      </c>
      <c r="I63" s="571">
        <f t="shared" si="1"/>
        <v>548.38</v>
      </c>
      <c r="J63" s="571">
        <f t="shared" si="2"/>
        <v>8225.6200000000008</v>
      </c>
    </row>
    <row r="64" spans="1:10">
      <c r="A64" t="s">
        <v>4608</v>
      </c>
      <c r="B64">
        <v>62</v>
      </c>
      <c r="C64" t="str">
        <f>VLOOKUP(B64,Sheet3!$B$3:$H$169,7,FALSE)</f>
        <v>Fund 01-2021-02-0113D</v>
      </c>
      <c r="D64" t="s">
        <v>2795</v>
      </c>
      <c r="E64" s="571">
        <v>1000</v>
      </c>
      <c r="F64" s="571">
        <v>30</v>
      </c>
      <c r="G64" s="571">
        <v>20</v>
      </c>
      <c r="I64" s="571">
        <f t="shared" si="1"/>
        <v>50</v>
      </c>
      <c r="J64" s="571">
        <f t="shared" si="2"/>
        <v>950</v>
      </c>
    </row>
    <row r="65" spans="1:10">
      <c r="A65" t="s">
        <v>4608</v>
      </c>
      <c r="B65">
        <v>63</v>
      </c>
      <c r="C65" t="str">
        <f>VLOOKUP(B65,Sheet3!$B$3:$H$169,7,FALSE)</f>
        <v>Fund 01-2021-02-0115</v>
      </c>
      <c r="D65" t="s">
        <v>2879</v>
      </c>
      <c r="E65" s="571">
        <v>6250</v>
      </c>
      <c r="F65" s="571">
        <v>187.5</v>
      </c>
      <c r="G65" s="571">
        <v>62.5</v>
      </c>
      <c r="I65" s="571">
        <f t="shared" si="1"/>
        <v>250</v>
      </c>
      <c r="J65" s="571">
        <f t="shared" si="2"/>
        <v>6000</v>
      </c>
    </row>
    <row r="66" spans="1:10">
      <c r="A66" t="s">
        <v>4608</v>
      </c>
      <c r="B66">
        <v>64</v>
      </c>
      <c r="C66">
        <f>VLOOKUP(B66,Sheet3!$B$3:$H$169,7,FALSE)</f>
        <v>0</v>
      </c>
      <c r="D66" t="s">
        <v>4619</v>
      </c>
      <c r="E66" s="571">
        <v>3000</v>
      </c>
      <c r="F66" s="571"/>
      <c r="G66" s="571"/>
      <c r="I66" s="571">
        <f t="shared" si="1"/>
        <v>0</v>
      </c>
      <c r="J66" s="571">
        <f t="shared" si="2"/>
        <v>3000</v>
      </c>
    </row>
    <row r="67" spans="1:10">
      <c r="A67" t="s">
        <v>4608</v>
      </c>
      <c r="B67">
        <v>65</v>
      </c>
      <c r="C67">
        <f>VLOOKUP(B67,Sheet3!$B$3:$H$169,7,FALSE)</f>
        <v>0</v>
      </c>
      <c r="D67" t="s">
        <v>4620</v>
      </c>
      <c r="E67" s="571">
        <v>2000</v>
      </c>
      <c r="F67" s="571"/>
      <c r="G67" s="571"/>
      <c r="I67" s="571">
        <f t="shared" si="1"/>
        <v>0</v>
      </c>
      <c r="J67" s="571">
        <f t="shared" si="2"/>
        <v>2000</v>
      </c>
    </row>
    <row r="68" spans="1:10">
      <c r="A68" t="s">
        <v>4608</v>
      </c>
      <c r="B68">
        <v>66</v>
      </c>
      <c r="C68" t="str">
        <f>VLOOKUP(B68,Sheet3!$B$3:$H$169,7,FALSE)</f>
        <v>Fund 01-2021-02-0167</v>
      </c>
      <c r="D68" t="s">
        <v>1680</v>
      </c>
      <c r="E68" s="571">
        <v>7440</v>
      </c>
      <c r="F68" s="571">
        <v>332.14</v>
      </c>
      <c r="G68" s="571">
        <v>66.430000000000007</v>
      </c>
      <c r="I68" s="571">
        <f t="shared" ref="I68:I131" si="3">F68+G68+H68</f>
        <v>398.57</v>
      </c>
      <c r="J68" s="571">
        <f t="shared" ref="J68:J131" si="4">E68-I68</f>
        <v>7041.43</v>
      </c>
    </row>
    <row r="69" spans="1:10">
      <c r="A69" t="s">
        <v>4608</v>
      </c>
      <c r="B69">
        <v>67</v>
      </c>
      <c r="C69" t="str">
        <f>VLOOKUP(B69,Sheet3!$B$3:$H$169,7,FALSE)</f>
        <v>Fund 01-2021-02-0234</v>
      </c>
      <c r="D69" t="s">
        <v>1680</v>
      </c>
      <c r="E69" s="571">
        <v>22320</v>
      </c>
      <c r="F69" s="571">
        <v>996.43</v>
      </c>
      <c r="G69" s="571">
        <v>199.29</v>
      </c>
      <c r="I69" s="571">
        <f t="shared" si="3"/>
        <v>1195.72</v>
      </c>
      <c r="J69" s="571">
        <f t="shared" si="4"/>
        <v>21124.28</v>
      </c>
    </row>
    <row r="70" spans="1:10">
      <c r="A70" t="s">
        <v>4608</v>
      </c>
      <c r="B70">
        <v>68</v>
      </c>
      <c r="C70" t="str">
        <f>VLOOKUP(B70,Sheet3!$B$3:$H$169,7,FALSE)</f>
        <v>Fund 01-2021-02-0225</v>
      </c>
      <c r="D70" t="s">
        <v>3252</v>
      </c>
      <c r="E70" s="571">
        <v>11500</v>
      </c>
      <c r="F70" s="571">
        <v>513.39</v>
      </c>
      <c r="G70" s="571">
        <v>513.39</v>
      </c>
      <c r="I70" s="571">
        <f t="shared" si="3"/>
        <v>1026.78</v>
      </c>
      <c r="J70" s="571">
        <f t="shared" si="4"/>
        <v>10473.219999999999</v>
      </c>
    </row>
    <row r="71" spans="1:10">
      <c r="A71" t="s">
        <v>4608</v>
      </c>
      <c r="B71">
        <v>69</v>
      </c>
      <c r="C71" t="str">
        <f>VLOOKUP(B71,Sheet3!$B$3:$H$169,7,FALSE)</f>
        <v>Fund 01-2021-02-0116</v>
      </c>
      <c r="D71" t="s">
        <v>2891</v>
      </c>
      <c r="E71" s="571">
        <v>7500</v>
      </c>
      <c r="F71" s="571">
        <v>225</v>
      </c>
      <c r="G71" s="571">
        <v>150</v>
      </c>
      <c r="I71" s="571">
        <f t="shared" si="3"/>
        <v>375</v>
      </c>
      <c r="J71" s="571">
        <f t="shared" si="4"/>
        <v>7125</v>
      </c>
    </row>
    <row r="72" spans="1:10">
      <c r="A72" t="s">
        <v>4608</v>
      </c>
      <c r="B72">
        <v>70</v>
      </c>
      <c r="C72">
        <f>VLOOKUP(B72,Sheet3!$B$3:$H$169,7,FALSE)</f>
        <v>0</v>
      </c>
      <c r="D72" t="s">
        <v>4621</v>
      </c>
      <c r="E72" s="571">
        <v>3000</v>
      </c>
      <c r="F72" s="571"/>
      <c r="G72" s="571"/>
      <c r="I72" s="571">
        <f t="shared" si="3"/>
        <v>0</v>
      </c>
      <c r="J72" s="571">
        <f t="shared" si="4"/>
        <v>3000</v>
      </c>
    </row>
    <row r="73" spans="1:10">
      <c r="A73" t="s">
        <v>4608</v>
      </c>
      <c r="B73">
        <v>71</v>
      </c>
      <c r="C73" t="str">
        <f>VLOOKUP(B73,Sheet3!$B$3:$H$169,7,FALSE)</f>
        <v>Fund 01-2021-02-0159</v>
      </c>
      <c r="D73" t="s">
        <v>3084</v>
      </c>
      <c r="E73" s="571">
        <v>18000</v>
      </c>
      <c r="F73" s="571">
        <v>540</v>
      </c>
      <c r="G73" s="571">
        <v>360</v>
      </c>
      <c r="I73" s="571">
        <f t="shared" si="3"/>
        <v>900</v>
      </c>
      <c r="J73" s="571">
        <f t="shared" si="4"/>
        <v>17100</v>
      </c>
    </row>
    <row r="74" spans="1:10">
      <c r="A74" t="s">
        <v>4608</v>
      </c>
      <c r="B74">
        <v>72</v>
      </c>
      <c r="C74" t="str">
        <f>VLOOKUP(B74,Sheet3!$B$3:$H$169,7,FALSE)</f>
        <v>Fund 01-2021-02-0226</v>
      </c>
      <c r="D74" t="s">
        <v>3256</v>
      </c>
      <c r="E74" s="571">
        <v>28839.81</v>
      </c>
      <c r="F74" s="571">
        <v>1287.49</v>
      </c>
      <c r="G74" s="571">
        <v>515</v>
      </c>
      <c r="I74" s="571">
        <f t="shared" si="3"/>
        <v>1802.49</v>
      </c>
      <c r="J74" s="571">
        <f t="shared" si="4"/>
        <v>27037.32</v>
      </c>
    </row>
    <row r="75" spans="1:10">
      <c r="A75" t="s">
        <v>4608</v>
      </c>
      <c r="B75">
        <v>73</v>
      </c>
      <c r="C75" t="str">
        <f>VLOOKUP(B75,Sheet3!$B$3:$H$169,7,FALSE)</f>
        <v>Fund 01-2021-02-0227</v>
      </c>
      <c r="D75" t="s">
        <v>3256</v>
      </c>
      <c r="E75" s="571">
        <v>18000</v>
      </c>
      <c r="F75" s="571">
        <v>803.57</v>
      </c>
      <c r="G75" s="571">
        <v>321.43</v>
      </c>
      <c r="I75" s="571">
        <f t="shared" si="3"/>
        <v>1125</v>
      </c>
      <c r="J75" s="571">
        <f t="shared" si="4"/>
        <v>16875</v>
      </c>
    </row>
    <row r="76" spans="1:10">
      <c r="A76" t="s">
        <v>4608</v>
      </c>
      <c r="B76">
        <v>74</v>
      </c>
      <c r="C76" t="str">
        <f>VLOOKUP(B76,Sheet3!$B$3:$H$169,7,FALSE)</f>
        <v>Fund 01-2021-02-0228</v>
      </c>
      <c r="D76" t="s">
        <v>3256</v>
      </c>
      <c r="E76" s="571">
        <v>560</v>
      </c>
      <c r="F76" s="571">
        <v>25</v>
      </c>
      <c r="G76" s="571">
        <v>10</v>
      </c>
      <c r="I76" s="571">
        <f t="shared" si="3"/>
        <v>35</v>
      </c>
      <c r="J76" s="571">
        <f t="shared" si="4"/>
        <v>525</v>
      </c>
    </row>
    <row r="77" spans="1:10">
      <c r="A77" t="s">
        <v>4608</v>
      </c>
      <c r="B77">
        <v>75</v>
      </c>
      <c r="C77" t="str">
        <f>VLOOKUP(B77,Sheet3!$B$3:$H$169,7,FALSE)</f>
        <v>Fund 01-2021-02-0229</v>
      </c>
      <c r="D77" t="s">
        <v>3256</v>
      </c>
      <c r="E77" s="571">
        <v>918.4</v>
      </c>
      <c r="F77" s="571">
        <v>41</v>
      </c>
      <c r="G77" s="571">
        <v>16.399999999999999</v>
      </c>
      <c r="I77" s="571">
        <f t="shared" si="3"/>
        <v>57.4</v>
      </c>
      <c r="J77" s="571">
        <f t="shared" si="4"/>
        <v>861</v>
      </c>
    </row>
    <row r="78" spans="1:10">
      <c r="A78" t="s">
        <v>4608</v>
      </c>
      <c r="B78">
        <v>76</v>
      </c>
      <c r="C78" t="str">
        <f>VLOOKUP(B78,Sheet3!$B$3:$H$169,7,FALSE)</f>
        <v>Fund 01-2021-02-0210A</v>
      </c>
      <c r="D78" t="s">
        <v>2799</v>
      </c>
      <c r="E78" s="571">
        <v>1000</v>
      </c>
      <c r="F78" s="571">
        <v>30</v>
      </c>
      <c r="G78" s="571">
        <v>20</v>
      </c>
      <c r="I78" s="571">
        <f t="shared" si="3"/>
        <v>50</v>
      </c>
      <c r="J78" s="571">
        <f t="shared" si="4"/>
        <v>950</v>
      </c>
    </row>
    <row r="79" spans="1:10">
      <c r="A79" t="s">
        <v>4608</v>
      </c>
      <c r="B79">
        <v>77</v>
      </c>
      <c r="C79" t="str">
        <f>VLOOKUP(B79,Sheet3!$B$3:$H$169,7,FALSE)</f>
        <v>Fund 01-2021-02-0182</v>
      </c>
      <c r="D79" t="s">
        <v>2885</v>
      </c>
      <c r="E79" s="571">
        <v>8000</v>
      </c>
      <c r="F79" s="571">
        <v>240</v>
      </c>
      <c r="G79" s="571">
        <v>80</v>
      </c>
      <c r="I79" s="571">
        <f t="shared" si="3"/>
        <v>320</v>
      </c>
      <c r="J79" s="571">
        <f t="shared" si="4"/>
        <v>7680</v>
      </c>
    </row>
    <row r="80" spans="1:10">
      <c r="A80" t="s">
        <v>4608</v>
      </c>
      <c r="B80">
        <v>78</v>
      </c>
      <c r="C80" t="str">
        <f>VLOOKUP(B80,Sheet3!$B$3:$H$169,7,FALSE)</f>
        <v>Fund 01-2021-02-0169</v>
      </c>
      <c r="D80" t="s">
        <v>1684</v>
      </c>
      <c r="E80" s="571">
        <v>5924</v>
      </c>
      <c r="F80" s="571">
        <v>264.45999999999998</v>
      </c>
      <c r="G80" s="571">
        <v>52.89</v>
      </c>
      <c r="I80" s="571">
        <f t="shared" si="3"/>
        <v>317.34999999999997</v>
      </c>
      <c r="J80" s="571">
        <f t="shared" si="4"/>
        <v>5606.65</v>
      </c>
    </row>
    <row r="81" spans="1:10">
      <c r="A81" t="s">
        <v>4608</v>
      </c>
      <c r="B81">
        <v>79</v>
      </c>
      <c r="C81" t="str">
        <f>VLOOKUP(B81,Sheet3!$B$3:$H$169,7,FALSE)</f>
        <v>Fund 01-2021-02-0240</v>
      </c>
      <c r="D81" t="s">
        <v>3299</v>
      </c>
      <c r="E81" s="571">
        <v>11300</v>
      </c>
      <c r="F81" s="571">
        <v>339</v>
      </c>
      <c r="G81" s="571">
        <v>226</v>
      </c>
      <c r="I81" s="571">
        <f t="shared" si="3"/>
        <v>565</v>
      </c>
      <c r="J81" s="571">
        <f t="shared" si="4"/>
        <v>10735</v>
      </c>
    </row>
    <row r="82" spans="1:10">
      <c r="A82" t="s">
        <v>4608</v>
      </c>
      <c r="B82">
        <v>80</v>
      </c>
      <c r="C82" t="str">
        <f>VLOOKUP(B82,Sheet3!$B$3:$H$169,7,FALSE)</f>
        <v>Fund 01-2021-02-0194</v>
      </c>
      <c r="D82" t="s">
        <v>2746</v>
      </c>
      <c r="E82" s="571">
        <v>10600</v>
      </c>
      <c r="F82" s="571">
        <v>473.21</v>
      </c>
      <c r="G82" s="571">
        <v>189.29</v>
      </c>
      <c r="I82" s="571">
        <f t="shared" si="3"/>
        <v>662.5</v>
      </c>
      <c r="J82" s="571">
        <f t="shared" si="4"/>
        <v>9937.5</v>
      </c>
    </row>
    <row r="83" spans="1:10">
      <c r="A83" t="s">
        <v>4608</v>
      </c>
      <c r="B83">
        <v>81</v>
      </c>
      <c r="C83" t="str">
        <f>VLOOKUP(B83,Sheet3!$B$3:$H$169,7,FALSE)</f>
        <v>Fund 01-2021-02-0236</v>
      </c>
      <c r="D83" t="s">
        <v>2746</v>
      </c>
      <c r="E83" s="571">
        <v>12400</v>
      </c>
      <c r="F83" s="571">
        <v>553.57000000000005</v>
      </c>
      <c r="G83" s="571">
        <v>221.43</v>
      </c>
      <c r="I83" s="571">
        <f t="shared" si="3"/>
        <v>775</v>
      </c>
      <c r="J83" s="571">
        <f t="shared" si="4"/>
        <v>11625</v>
      </c>
    </row>
    <row r="84" spans="1:10">
      <c r="A84" t="s">
        <v>4608</v>
      </c>
      <c r="B84">
        <v>82</v>
      </c>
      <c r="C84">
        <f>VLOOKUP(B84,Sheet3!$B$3:$H$169,7,FALSE)</f>
        <v>0</v>
      </c>
      <c r="D84" t="s">
        <v>4622</v>
      </c>
      <c r="E84" s="571">
        <v>2000</v>
      </c>
      <c r="F84" s="571"/>
      <c r="G84" s="571"/>
      <c r="I84" s="571">
        <f t="shared" si="3"/>
        <v>0</v>
      </c>
      <c r="J84" s="571">
        <f t="shared" si="4"/>
        <v>2000</v>
      </c>
    </row>
    <row r="85" spans="1:10">
      <c r="A85" t="s">
        <v>4608</v>
      </c>
      <c r="B85">
        <v>83</v>
      </c>
      <c r="C85" t="str">
        <f>VLOOKUP(B85,Sheet3!$B$3:$H$169,7,FALSE)</f>
        <v>Fund 01-2021-02-0113F</v>
      </c>
      <c r="D85" t="s">
        <v>2803</v>
      </c>
      <c r="E85" s="571">
        <v>3000</v>
      </c>
      <c r="F85" s="571">
        <v>90</v>
      </c>
      <c r="G85" s="571">
        <v>60</v>
      </c>
      <c r="I85" s="571">
        <f t="shared" si="3"/>
        <v>150</v>
      </c>
      <c r="J85" s="571">
        <f t="shared" si="4"/>
        <v>2850</v>
      </c>
    </row>
    <row r="86" spans="1:10">
      <c r="A86" t="s">
        <v>4608</v>
      </c>
      <c r="B86">
        <v>84</v>
      </c>
      <c r="C86" t="str">
        <f>VLOOKUP(B86,Sheet3!$B$3:$H$169,7,FALSE)</f>
        <v>Fund 01-2021-02-0168</v>
      </c>
      <c r="D86" t="s">
        <v>3106</v>
      </c>
      <c r="E86" s="571">
        <v>20071</v>
      </c>
      <c r="F86" s="571">
        <v>602.13</v>
      </c>
      <c r="G86" s="571">
        <v>200.71</v>
      </c>
      <c r="I86" s="571">
        <f t="shared" si="3"/>
        <v>802.84</v>
      </c>
      <c r="J86" s="571">
        <f t="shared" si="4"/>
        <v>19268.16</v>
      </c>
    </row>
    <row r="87" spans="1:10">
      <c r="A87" t="s">
        <v>4623</v>
      </c>
      <c r="B87">
        <v>85</v>
      </c>
      <c r="C87" t="str">
        <f>VLOOKUP(B87,Sheet3!$B$3:$H$169,7,FALSE)</f>
        <v>Fund 01-2021-03-0292</v>
      </c>
      <c r="D87" t="s">
        <v>2775</v>
      </c>
      <c r="E87" s="571">
        <v>4032</v>
      </c>
      <c r="F87" s="571">
        <v>180</v>
      </c>
      <c r="G87" s="571">
        <v>36</v>
      </c>
      <c r="I87" s="571">
        <f t="shared" si="3"/>
        <v>216</v>
      </c>
      <c r="J87" s="571">
        <f t="shared" si="4"/>
        <v>3816</v>
      </c>
    </row>
    <row r="88" spans="1:10">
      <c r="A88" t="s">
        <v>4623</v>
      </c>
      <c r="B88">
        <v>86</v>
      </c>
      <c r="C88" t="str">
        <f>VLOOKUP(B88,Sheet3!$B$3:$H$169,7,FALSE)</f>
        <v>Fund 01-2021-03-0316</v>
      </c>
      <c r="D88" t="s">
        <v>3381</v>
      </c>
      <c r="E88" s="571">
        <v>11000</v>
      </c>
      <c r="F88" s="571">
        <v>491.07</v>
      </c>
      <c r="G88" s="571">
        <v>196.43</v>
      </c>
      <c r="I88" s="571">
        <f t="shared" si="3"/>
        <v>687.5</v>
      </c>
      <c r="J88" s="571">
        <f t="shared" si="4"/>
        <v>10312.5</v>
      </c>
    </row>
    <row r="89" spans="1:10">
      <c r="A89" t="s">
        <v>4623</v>
      </c>
      <c r="B89">
        <v>87</v>
      </c>
      <c r="C89" t="str">
        <f>VLOOKUP(B89,Sheet3!$B$3:$H$169,7,FALSE)</f>
        <v>Fund 01-2021-03-0317</v>
      </c>
      <c r="D89" t="s">
        <v>3162</v>
      </c>
      <c r="E89" s="571">
        <v>2500</v>
      </c>
      <c r="F89" s="571">
        <v>111.61</v>
      </c>
      <c r="G89" s="571">
        <v>44.64</v>
      </c>
      <c r="I89" s="571">
        <f t="shared" si="3"/>
        <v>156.25</v>
      </c>
      <c r="J89" s="571">
        <f t="shared" si="4"/>
        <v>2343.75</v>
      </c>
    </row>
    <row r="90" spans="1:10">
      <c r="A90" t="s">
        <v>4623</v>
      </c>
      <c r="B90">
        <v>88</v>
      </c>
      <c r="C90" t="str">
        <f>VLOOKUP(B90,Sheet3!$B$3:$H$169,7,FALSE)</f>
        <v>Fund 01-2021-03-0335</v>
      </c>
      <c r="D90" t="s">
        <v>2775</v>
      </c>
      <c r="E90" s="571">
        <v>3048</v>
      </c>
      <c r="F90" s="571">
        <v>136.07</v>
      </c>
      <c r="G90" s="571">
        <v>27.21</v>
      </c>
      <c r="I90" s="571">
        <f t="shared" si="3"/>
        <v>163.28</v>
      </c>
      <c r="J90" s="571">
        <f t="shared" si="4"/>
        <v>2884.72</v>
      </c>
    </row>
    <row r="91" spans="1:10">
      <c r="A91" t="s">
        <v>4623</v>
      </c>
      <c r="B91">
        <v>89</v>
      </c>
      <c r="C91" t="str">
        <f>VLOOKUP(B91,Sheet3!$B$3:$H$169,7,FALSE)</f>
        <v>Fund 01-2021-03-0336</v>
      </c>
      <c r="D91" t="s">
        <v>1676</v>
      </c>
      <c r="E91" s="571">
        <v>1080</v>
      </c>
      <c r="F91" s="571">
        <v>48.21</v>
      </c>
      <c r="G91" s="571">
        <v>19.29</v>
      </c>
      <c r="I91" s="571">
        <f t="shared" si="3"/>
        <v>67.5</v>
      </c>
      <c r="J91" s="571">
        <f t="shared" si="4"/>
        <v>1012.5</v>
      </c>
    </row>
    <row r="92" spans="1:10">
      <c r="A92" t="s">
        <v>4623</v>
      </c>
      <c r="B92">
        <v>90</v>
      </c>
      <c r="C92" t="str">
        <f>VLOOKUP(B92,Sheet3!$B$3:$H$169,7,FALSE)</f>
        <v>Fund 01-2021-03-0337</v>
      </c>
      <c r="D92" t="s">
        <v>3531</v>
      </c>
      <c r="E92" s="571">
        <v>8800</v>
      </c>
      <c r="F92" s="571">
        <v>392.86</v>
      </c>
      <c r="G92" s="571">
        <v>392.86</v>
      </c>
      <c r="I92" s="571">
        <f t="shared" si="3"/>
        <v>785.72</v>
      </c>
      <c r="J92" s="571">
        <f t="shared" si="4"/>
        <v>8014.28</v>
      </c>
    </row>
    <row r="93" spans="1:10">
      <c r="A93" t="s">
        <v>4623</v>
      </c>
      <c r="B93">
        <v>91</v>
      </c>
      <c r="C93" t="str">
        <f>VLOOKUP(B93,Sheet3!$B$3:$H$169,7,FALSE)</f>
        <v>Fund 01-2021-03-0339</v>
      </c>
      <c r="D93" t="s">
        <v>3538</v>
      </c>
      <c r="E93" s="571">
        <v>9565</v>
      </c>
      <c r="F93" s="571">
        <v>427.01</v>
      </c>
      <c r="G93" s="571">
        <v>85.4</v>
      </c>
      <c r="I93" s="571">
        <f t="shared" si="3"/>
        <v>512.41</v>
      </c>
      <c r="J93" s="571">
        <f t="shared" si="4"/>
        <v>9052.59</v>
      </c>
    </row>
    <row r="94" spans="1:10">
      <c r="A94" t="s">
        <v>4623</v>
      </c>
      <c r="B94">
        <v>92</v>
      </c>
      <c r="C94" t="str">
        <f>VLOOKUP(B94,Sheet3!$B$3:$H$169,7,FALSE)</f>
        <v>Fund 01-2021-03-0340</v>
      </c>
      <c r="D94" t="s">
        <v>2739</v>
      </c>
      <c r="E94" s="571">
        <v>1560</v>
      </c>
      <c r="F94" s="571">
        <v>69.64</v>
      </c>
      <c r="G94" s="571">
        <v>13.93</v>
      </c>
      <c r="I94" s="571">
        <f t="shared" si="3"/>
        <v>83.57</v>
      </c>
      <c r="J94" s="571">
        <f t="shared" si="4"/>
        <v>1476.43</v>
      </c>
    </row>
    <row r="95" spans="1:10">
      <c r="A95" t="s">
        <v>4623</v>
      </c>
      <c r="B95">
        <v>93</v>
      </c>
      <c r="C95" t="str">
        <f>VLOOKUP(B95,Sheet3!$B$3:$H$169,7,FALSE)</f>
        <v>Fund 01-2021-03-0341</v>
      </c>
      <c r="D95" t="s">
        <v>1684</v>
      </c>
      <c r="E95" s="571">
        <v>17820</v>
      </c>
      <c r="F95" s="571">
        <v>795.54</v>
      </c>
      <c r="G95" s="571">
        <v>159.11000000000001</v>
      </c>
      <c r="I95" s="571">
        <f t="shared" si="3"/>
        <v>954.65</v>
      </c>
      <c r="J95" s="571">
        <f t="shared" si="4"/>
        <v>16865.349999999999</v>
      </c>
    </row>
    <row r="96" spans="1:10">
      <c r="A96" t="s">
        <v>4623</v>
      </c>
      <c r="B96">
        <v>94</v>
      </c>
      <c r="C96" t="str">
        <f>VLOOKUP(B96,Sheet3!$B$3:$H$169,7,FALSE)</f>
        <v>Fund 01-2021-03-0342</v>
      </c>
      <c r="D96" t="s">
        <v>3546</v>
      </c>
      <c r="E96" s="571">
        <v>11547.23</v>
      </c>
      <c r="F96" s="571">
        <v>515.5</v>
      </c>
      <c r="G96" s="571">
        <v>206.2</v>
      </c>
      <c r="I96" s="571">
        <f t="shared" si="3"/>
        <v>721.7</v>
      </c>
      <c r="J96" s="571">
        <f t="shared" si="4"/>
        <v>10825.529999999999</v>
      </c>
    </row>
    <row r="97" spans="1:10">
      <c r="A97" t="s">
        <v>4623</v>
      </c>
      <c r="B97">
        <v>95</v>
      </c>
      <c r="C97" t="str">
        <f>VLOOKUP(B97,Sheet3!$B$3:$H$169,7,FALSE)</f>
        <v>Fund 01-2021-03-0343</v>
      </c>
      <c r="D97" t="s">
        <v>3550</v>
      </c>
      <c r="E97" s="571">
        <v>9900</v>
      </c>
      <c r="F97" s="571">
        <v>297</v>
      </c>
      <c r="G97" s="571">
        <v>198</v>
      </c>
      <c r="I97" s="571">
        <f t="shared" si="3"/>
        <v>495</v>
      </c>
      <c r="J97" s="571">
        <f t="shared" si="4"/>
        <v>9405</v>
      </c>
    </row>
    <row r="98" spans="1:10">
      <c r="A98" t="s">
        <v>4623</v>
      </c>
      <c r="B98">
        <v>96</v>
      </c>
      <c r="C98" t="str">
        <f>VLOOKUP(B98,Sheet3!$B$3:$H$169,7,FALSE)</f>
        <v>Fund 01-2021-03-0345</v>
      </c>
      <c r="D98" t="s">
        <v>3557</v>
      </c>
      <c r="E98" s="571">
        <v>17500</v>
      </c>
      <c r="F98" s="571">
        <v>525</v>
      </c>
      <c r="G98" s="571">
        <v>175</v>
      </c>
      <c r="I98" s="571">
        <f t="shared" si="3"/>
        <v>700</v>
      </c>
      <c r="J98" s="571">
        <f t="shared" si="4"/>
        <v>16800</v>
      </c>
    </row>
    <row r="99" spans="1:10">
      <c r="A99" t="s">
        <v>4623</v>
      </c>
      <c r="B99">
        <v>97</v>
      </c>
      <c r="C99" t="str">
        <f>VLOOKUP(B99,Sheet3!$B$3:$H$169,7,FALSE)</f>
        <v>Fund 01-2021-03-0350</v>
      </c>
      <c r="D99" t="s">
        <v>2746</v>
      </c>
      <c r="E99" s="571">
        <v>12900</v>
      </c>
      <c r="F99" s="571">
        <v>575.89</v>
      </c>
      <c r="G99" s="571">
        <v>230.36</v>
      </c>
      <c r="I99" s="571">
        <f t="shared" si="3"/>
        <v>806.25</v>
      </c>
      <c r="J99" s="571">
        <f t="shared" si="4"/>
        <v>12093.75</v>
      </c>
    </row>
    <row r="100" spans="1:10">
      <c r="A100" t="s">
        <v>4623</v>
      </c>
      <c r="B100">
        <v>98</v>
      </c>
      <c r="C100" t="str">
        <f>VLOOKUP(B100,Sheet3!$B$3:$H$169,7,FALSE)</f>
        <v>Fund 01-2021-03-0351</v>
      </c>
      <c r="D100" t="s">
        <v>2746</v>
      </c>
      <c r="E100" s="571">
        <v>4950</v>
      </c>
      <c r="F100" s="571">
        <v>220.98</v>
      </c>
      <c r="G100" s="571">
        <v>88.39</v>
      </c>
      <c r="I100" s="571">
        <f t="shared" si="3"/>
        <v>309.37</v>
      </c>
      <c r="J100" s="571">
        <f t="shared" si="4"/>
        <v>4640.63</v>
      </c>
    </row>
    <row r="101" spans="1:10">
      <c r="A101" t="s">
        <v>4623</v>
      </c>
      <c r="B101">
        <v>99</v>
      </c>
      <c r="C101" t="str">
        <f>VLOOKUP(B101,Sheet3!$B$3:$H$169,7,FALSE)</f>
        <v>Fund 01-2021-03-0352</v>
      </c>
      <c r="D101" t="s">
        <v>1684</v>
      </c>
      <c r="E101" s="571">
        <v>7830</v>
      </c>
      <c r="F101" s="571">
        <v>349.55</v>
      </c>
      <c r="G101" s="571">
        <v>69.91</v>
      </c>
      <c r="I101" s="571">
        <f t="shared" si="3"/>
        <v>419.46000000000004</v>
      </c>
      <c r="J101" s="571">
        <f t="shared" si="4"/>
        <v>7410.54</v>
      </c>
    </row>
    <row r="102" spans="1:10">
      <c r="A102" t="s">
        <v>4623</v>
      </c>
      <c r="B102">
        <v>100</v>
      </c>
      <c r="C102" t="str">
        <f>VLOOKUP(B102,Sheet3!$B$3:$H$169,7,FALSE)</f>
        <v>Fund 01-2021-03-0353</v>
      </c>
      <c r="D102" t="s">
        <v>3586</v>
      </c>
      <c r="E102" s="571">
        <v>27000</v>
      </c>
      <c r="F102" s="571">
        <v>1205.3599999999999</v>
      </c>
      <c r="G102" s="571">
        <v>241.07</v>
      </c>
      <c r="I102" s="571">
        <f t="shared" si="3"/>
        <v>1446.4299999999998</v>
      </c>
      <c r="J102" s="571">
        <f t="shared" si="4"/>
        <v>25553.57</v>
      </c>
    </row>
    <row r="103" spans="1:10">
      <c r="A103" t="s">
        <v>4623</v>
      </c>
      <c r="B103">
        <v>101</v>
      </c>
      <c r="C103" t="str">
        <f>VLOOKUP(B103,Sheet3!$B$3:$H$169,7,FALSE)</f>
        <v>Fund 01-2021-03-0355</v>
      </c>
      <c r="D103" t="s">
        <v>3592</v>
      </c>
      <c r="E103" s="571">
        <v>3400</v>
      </c>
      <c r="F103" s="571">
        <v>151.79</v>
      </c>
      <c r="G103" s="571">
        <v>60.71</v>
      </c>
      <c r="I103" s="571">
        <f t="shared" si="3"/>
        <v>212.5</v>
      </c>
      <c r="J103" s="571">
        <f t="shared" si="4"/>
        <v>3187.5</v>
      </c>
    </row>
    <row r="104" spans="1:10">
      <c r="A104" t="s">
        <v>4623</v>
      </c>
      <c r="B104">
        <v>102</v>
      </c>
      <c r="C104" t="str">
        <f>VLOOKUP(B104,Sheet3!$B$3:$H$169,7,FALSE)</f>
        <v>Fund 01-2021-03-0357</v>
      </c>
      <c r="D104" t="s">
        <v>3598</v>
      </c>
      <c r="E104" s="571">
        <v>5600</v>
      </c>
      <c r="F104" s="571">
        <v>250</v>
      </c>
      <c r="G104" s="571">
        <v>100</v>
      </c>
      <c r="I104" s="571">
        <f t="shared" si="3"/>
        <v>350</v>
      </c>
      <c r="J104" s="571">
        <f t="shared" si="4"/>
        <v>5250</v>
      </c>
    </row>
    <row r="105" spans="1:10">
      <c r="A105" t="s">
        <v>4623</v>
      </c>
      <c r="B105">
        <v>103</v>
      </c>
      <c r="C105" t="str">
        <f>VLOOKUP(B105,Sheet3!$B$3:$H$169,7,FALSE)</f>
        <v>Fund 01-2021-03-0358</v>
      </c>
      <c r="D105" t="s">
        <v>2811</v>
      </c>
      <c r="E105" s="571">
        <v>22882.23</v>
      </c>
      <c r="F105" s="571">
        <v>1021.53</v>
      </c>
      <c r="G105" s="571">
        <v>408.61</v>
      </c>
      <c r="I105" s="571">
        <f t="shared" si="3"/>
        <v>1430.1399999999999</v>
      </c>
      <c r="J105" s="571">
        <f t="shared" si="4"/>
        <v>21452.09</v>
      </c>
    </row>
    <row r="106" spans="1:10">
      <c r="A106" t="s">
        <v>4623</v>
      </c>
      <c r="B106">
        <v>104</v>
      </c>
      <c r="C106" t="str">
        <f>VLOOKUP(B106,Sheet3!$B$3:$H$169,7,FALSE)</f>
        <v>Fund 01-2021-03-0359</v>
      </c>
      <c r="D106" t="s">
        <v>3605</v>
      </c>
      <c r="E106" s="571">
        <v>2275</v>
      </c>
      <c r="F106" s="571">
        <v>101.56</v>
      </c>
      <c r="G106" s="571">
        <v>20.309999999999999</v>
      </c>
      <c r="I106" s="571">
        <f t="shared" si="3"/>
        <v>121.87</v>
      </c>
      <c r="J106" s="571">
        <f t="shared" si="4"/>
        <v>2153.13</v>
      </c>
    </row>
    <row r="107" spans="1:10">
      <c r="A107" t="s">
        <v>4623</v>
      </c>
      <c r="B107">
        <v>105</v>
      </c>
      <c r="C107" t="str">
        <f>VLOOKUP(B107,Sheet3!$B$3:$H$169,7,FALSE)</f>
        <v>Fund 01-2021-03-0360</v>
      </c>
      <c r="D107" t="s">
        <v>3609</v>
      </c>
      <c r="E107" s="571">
        <v>6323</v>
      </c>
      <c r="F107" s="571">
        <v>282.27999999999997</v>
      </c>
      <c r="G107" s="571">
        <v>112.91</v>
      </c>
      <c r="I107" s="571">
        <f t="shared" si="3"/>
        <v>395.18999999999994</v>
      </c>
      <c r="J107" s="571">
        <f t="shared" si="4"/>
        <v>5927.81</v>
      </c>
    </row>
    <row r="108" spans="1:10">
      <c r="A108" t="s">
        <v>4623</v>
      </c>
      <c r="B108">
        <v>106</v>
      </c>
      <c r="C108" t="str">
        <f>VLOOKUP(B108,Sheet3!$B$3:$H$169,7,FALSE)</f>
        <v>Fund 01-2021-03-0361</v>
      </c>
      <c r="D108" t="s">
        <v>3613</v>
      </c>
      <c r="E108" s="571">
        <v>1242</v>
      </c>
      <c r="F108" s="571">
        <v>37.26</v>
      </c>
      <c r="G108" s="571">
        <v>12.42</v>
      </c>
      <c r="I108" s="571">
        <f t="shared" si="3"/>
        <v>49.68</v>
      </c>
      <c r="J108" s="571">
        <f t="shared" si="4"/>
        <v>1192.32</v>
      </c>
    </row>
    <row r="109" spans="1:10">
      <c r="A109" t="s">
        <v>4623</v>
      </c>
      <c r="B109">
        <v>107</v>
      </c>
      <c r="C109" t="str">
        <f>VLOOKUP(B109,Sheet3!$B$3:$H$169,7,FALSE)</f>
        <v>Fund 01-2021-03-0565</v>
      </c>
      <c r="D109" t="s">
        <v>2844</v>
      </c>
      <c r="E109" s="571">
        <v>170501.47</v>
      </c>
      <c r="F109" s="571">
        <v>7611.67</v>
      </c>
      <c r="G109" s="571">
        <v>7611.67</v>
      </c>
      <c r="I109" s="571">
        <f t="shared" si="3"/>
        <v>15223.34</v>
      </c>
      <c r="J109" s="571">
        <f t="shared" si="4"/>
        <v>155278.13</v>
      </c>
    </row>
    <row r="110" spans="1:10">
      <c r="A110" t="s">
        <v>4623</v>
      </c>
      <c r="B110">
        <v>108</v>
      </c>
      <c r="C110" t="str">
        <f>VLOOKUP(B110,Sheet3!$B$3:$H$169,7,FALSE)</f>
        <v>Fund 01-2021-03-0379</v>
      </c>
      <c r="D110" t="s">
        <v>3550</v>
      </c>
      <c r="E110" s="571">
        <v>39600</v>
      </c>
      <c r="F110" s="571">
        <v>1188</v>
      </c>
      <c r="G110" s="571">
        <v>792</v>
      </c>
      <c r="I110" s="571">
        <f t="shared" si="3"/>
        <v>1980</v>
      </c>
      <c r="J110" s="571">
        <f t="shared" si="4"/>
        <v>37620</v>
      </c>
    </row>
    <row r="111" spans="1:10">
      <c r="A111" t="s">
        <v>4623</v>
      </c>
      <c r="B111">
        <v>109</v>
      </c>
      <c r="C111" t="str">
        <f>VLOOKUP(B111,Sheet3!$B$3:$H$169,7,FALSE)</f>
        <v>Fund 01-2021-03-0386</v>
      </c>
      <c r="D111" t="s">
        <v>2775</v>
      </c>
      <c r="E111" s="571">
        <v>2016</v>
      </c>
      <c r="F111" s="571">
        <v>90</v>
      </c>
      <c r="G111" s="571">
        <v>18</v>
      </c>
      <c r="I111" s="571">
        <f t="shared" si="3"/>
        <v>108</v>
      </c>
      <c r="J111" s="571">
        <f t="shared" si="4"/>
        <v>1908</v>
      </c>
    </row>
    <row r="112" spans="1:10">
      <c r="A112" t="s">
        <v>4623</v>
      </c>
      <c r="B112">
        <v>110</v>
      </c>
      <c r="C112" t="str">
        <f>VLOOKUP(B112,Sheet3!$B$3:$H$169,7,FALSE)</f>
        <v>Fund 01-2021-03-0387</v>
      </c>
      <c r="D112" t="s">
        <v>2775</v>
      </c>
      <c r="E112" s="571">
        <v>1344</v>
      </c>
      <c r="F112" s="571">
        <v>60</v>
      </c>
      <c r="G112" s="571">
        <v>12</v>
      </c>
      <c r="I112" s="571">
        <f t="shared" si="3"/>
        <v>72</v>
      </c>
      <c r="J112" s="571">
        <f t="shared" si="4"/>
        <v>1272</v>
      </c>
    </row>
    <row r="113" spans="1:10">
      <c r="A113" t="s">
        <v>4623</v>
      </c>
      <c r="B113">
        <v>111</v>
      </c>
      <c r="C113" t="str">
        <f>VLOOKUP(B113,Sheet3!$B$3:$H$169,7,FALSE)</f>
        <v>Fund 01-2021-03-0389</v>
      </c>
      <c r="D113" t="s">
        <v>3687</v>
      </c>
      <c r="E113" s="571">
        <v>22000</v>
      </c>
      <c r="F113" s="571">
        <v>982.14</v>
      </c>
      <c r="G113" s="571">
        <v>196.43</v>
      </c>
      <c r="I113" s="571">
        <f t="shared" si="3"/>
        <v>1178.57</v>
      </c>
      <c r="J113" s="571">
        <f t="shared" si="4"/>
        <v>20821.43</v>
      </c>
    </row>
    <row r="114" spans="1:10">
      <c r="A114" t="s">
        <v>4623</v>
      </c>
      <c r="B114">
        <v>112</v>
      </c>
      <c r="C114" t="str">
        <f>VLOOKUP(B114,Sheet3!$B$3:$H$169,7,FALSE)</f>
        <v>Fund 01-2021-03-0440</v>
      </c>
      <c r="D114" t="s">
        <v>3799</v>
      </c>
      <c r="E114" s="571">
        <v>69809.75</v>
      </c>
      <c r="F114" s="571">
        <v>3116.51</v>
      </c>
      <c r="G114" s="571">
        <v>3116.51</v>
      </c>
      <c r="I114" s="571">
        <f t="shared" si="3"/>
        <v>6233.02</v>
      </c>
      <c r="J114" s="571">
        <f t="shared" si="4"/>
        <v>63576.729999999996</v>
      </c>
    </row>
    <row r="115" spans="1:10">
      <c r="A115" t="s">
        <v>4623</v>
      </c>
      <c r="B115">
        <v>113</v>
      </c>
      <c r="C115" t="str">
        <f>VLOOKUP(B115,Sheet3!$B$3:$H$169,7,FALSE)</f>
        <v>Fund 01-2021-03-0441</v>
      </c>
      <c r="D115" t="s">
        <v>3802</v>
      </c>
      <c r="E115" s="571">
        <v>2500</v>
      </c>
      <c r="F115" s="571">
        <v>75</v>
      </c>
      <c r="G115" s="571">
        <v>50</v>
      </c>
      <c r="I115" s="571">
        <f t="shared" si="3"/>
        <v>125</v>
      </c>
      <c r="J115" s="571">
        <f t="shared" si="4"/>
        <v>2375</v>
      </c>
    </row>
    <row r="116" spans="1:10">
      <c r="A116" t="s">
        <v>4623</v>
      </c>
      <c r="B116">
        <v>114</v>
      </c>
      <c r="C116" t="str">
        <f>VLOOKUP(B116,Sheet3!$B$3:$H$169,7,FALSE)</f>
        <v>Fund 01-2021-03-0442</v>
      </c>
      <c r="D116" t="s">
        <v>3805</v>
      </c>
      <c r="E116" s="571">
        <v>3383</v>
      </c>
      <c r="F116" s="571">
        <v>151.03</v>
      </c>
      <c r="G116" s="571">
        <v>60.41</v>
      </c>
      <c r="I116" s="571">
        <f t="shared" si="3"/>
        <v>211.44</v>
      </c>
      <c r="J116" s="571">
        <f t="shared" si="4"/>
        <v>3171.56</v>
      </c>
    </row>
    <row r="117" spans="1:10">
      <c r="A117" t="s">
        <v>4623</v>
      </c>
      <c r="B117">
        <v>115</v>
      </c>
      <c r="C117" t="str">
        <f>VLOOKUP(B117,Sheet3!$B$3:$H$169,7,FALSE)</f>
        <v>Fund 01-2021-03-0446</v>
      </c>
      <c r="D117" t="s">
        <v>3162</v>
      </c>
      <c r="E117" s="571">
        <v>1485.07</v>
      </c>
      <c r="F117" s="571">
        <v>66.3</v>
      </c>
      <c r="G117" s="571">
        <v>26.52</v>
      </c>
      <c r="I117" s="571">
        <f t="shared" si="3"/>
        <v>92.82</v>
      </c>
      <c r="J117" s="571">
        <f t="shared" si="4"/>
        <v>1392.25</v>
      </c>
    </row>
    <row r="118" spans="1:10">
      <c r="A118" t="s">
        <v>4623</v>
      </c>
      <c r="B118">
        <v>116</v>
      </c>
      <c r="C118">
        <f>VLOOKUP(B118,Sheet3!$B$3:$H$169,7,FALSE)</f>
        <v>0</v>
      </c>
      <c r="D118" t="s">
        <v>3819</v>
      </c>
      <c r="E118" s="571">
        <v>38772</v>
      </c>
      <c r="F118" s="571"/>
      <c r="G118" s="571"/>
      <c r="I118" s="571">
        <f t="shared" si="3"/>
        <v>0</v>
      </c>
      <c r="J118" s="571">
        <f t="shared" si="4"/>
        <v>38772</v>
      </c>
    </row>
    <row r="119" spans="1:10">
      <c r="A119" t="s">
        <v>4623</v>
      </c>
      <c r="B119">
        <v>117</v>
      </c>
      <c r="C119">
        <f>VLOOKUP(B119,Sheet3!$B$3:$H$169,7,FALSE)</f>
        <v>0</v>
      </c>
      <c r="D119" t="s">
        <v>3822</v>
      </c>
      <c r="E119" s="571">
        <v>39500</v>
      </c>
      <c r="F119" s="571"/>
      <c r="G119" s="571"/>
      <c r="I119" s="571">
        <f t="shared" si="3"/>
        <v>0</v>
      </c>
      <c r="J119" s="571">
        <f t="shared" si="4"/>
        <v>39500</v>
      </c>
    </row>
    <row r="120" spans="1:10">
      <c r="A120" t="s">
        <v>4623</v>
      </c>
      <c r="B120">
        <v>118</v>
      </c>
      <c r="C120" t="str">
        <f>VLOOKUP(B120,Sheet3!$B$3:$H$169,7,FALSE)</f>
        <v>Fund 01-2021-03-0449</v>
      </c>
      <c r="D120" t="s">
        <v>2720</v>
      </c>
      <c r="E120" s="571">
        <v>800</v>
      </c>
      <c r="F120" s="571">
        <v>35.71</v>
      </c>
      <c r="G120" s="571">
        <v>14.29</v>
      </c>
      <c r="I120" s="571">
        <f t="shared" si="3"/>
        <v>50</v>
      </c>
      <c r="J120" s="571">
        <f t="shared" si="4"/>
        <v>750</v>
      </c>
    </row>
    <row r="121" spans="1:10">
      <c r="A121" t="s">
        <v>4623</v>
      </c>
      <c r="B121">
        <v>119</v>
      </c>
      <c r="C121" t="str">
        <f>VLOOKUP(B121,Sheet3!$B$3:$H$169,7,FALSE)</f>
        <v>Fund 01-2021-03-0451</v>
      </c>
      <c r="D121" t="s">
        <v>3830</v>
      </c>
      <c r="E121" s="571">
        <v>42998</v>
      </c>
      <c r="F121" s="571">
        <v>1919.55</v>
      </c>
      <c r="G121" s="571">
        <v>383.91</v>
      </c>
      <c r="I121" s="571">
        <f t="shared" si="3"/>
        <v>2303.46</v>
      </c>
      <c r="J121" s="571">
        <f t="shared" si="4"/>
        <v>40694.54</v>
      </c>
    </row>
    <row r="122" spans="1:10">
      <c r="A122" t="s">
        <v>4623</v>
      </c>
      <c r="B122">
        <v>120</v>
      </c>
      <c r="C122">
        <f>VLOOKUP(B122,Sheet3!$B$3:$H$169,7,FALSE)</f>
        <v>0</v>
      </c>
      <c r="D122" t="s">
        <v>3833</v>
      </c>
      <c r="E122" s="571">
        <v>45000</v>
      </c>
      <c r="F122" s="571"/>
      <c r="G122" s="571"/>
      <c r="I122" s="571">
        <f t="shared" si="3"/>
        <v>0</v>
      </c>
      <c r="J122" s="571">
        <f t="shared" si="4"/>
        <v>45000</v>
      </c>
    </row>
    <row r="123" spans="1:10">
      <c r="A123" t="s">
        <v>4623</v>
      </c>
      <c r="B123">
        <v>121</v>
      </c>
      <c r="C123" t="str">
        <f>VLOOKUP(B123,Sheet3!$B$3:$H$169,7,FALSE)</f>
        <v>Fund 01-2021-03-0453</v>
      </c>
      <c r="D123" t="s">
        <v>2864</v>
      </c>
      <c r="E123" s="571">
        <v>10000</v>
      </c>
      <c r="F123" s="571">
        <v>300</v>
      </c>
      <c r="G123" s="571">
        <v>200</v>
      </c>
      <c r="I123" s="571">
        <f t="shared" si="3"/>
        <v>500</v>
      </c>
      <c r="J123" s="571">
        <f t="shared" si="4"/>
        <v>9500</v>
      </c>
    </row>
    <row r="124" spans="1:10">
      <c r="A124" t="s">
        <v>4623</v>
      </c>
      <c r="B124">
        <v>122</v>
      </c>
      <c r="C124" t="str">
        <f>VLOOKUP(B124,Sheet3!$B$3:$H$169,7,FALSE)</f>
        <v>Fund 01-2021-03-0454</v>
      </c>
      <c r="D124" t="s">
        <v>2739</v>
      </c>
      <c r="E124" s="571">
        <v>3760</v>
      </c>
      <c r="F124" s="571">
        <v>167.86</v>
      </c>
      <c r="G124" s="571">
        <v>33.57</v>
      </c>
      <c r="I124" s="571">
        <f t="shared" si="3"/>
        <v>201.43</v>
      </c>
      <c r="J124" s="571">
        <f t="shared" si="4"/>
        <v>3558.57</v>
      </c>
    </row>
    <row r="125" spans="1:10">
      <c r="A125" t="s">
        <v>4623</v>
      </c>
      <c r="B125">
        <v>123</v>
      </c>
      <c r="C125" t="str">
        <f>VLOOKUP(B125,Sheet3!$B$3:$H$169,7,FALSE)</f>
        <v>Fund 01-2021-03-0455</v>
      </c>
      <c r="D125" t="s">
        <v>3841</v>
      </c>
      <c r="E125" s="571">
        <v>30000</v>
      </c>
      <c r="F125" s="571">
        <v>1339.29</v>
      </c>
      <c r="G125" s="571">
        <v>535.71</v>
      </c>
      <c r="I125" s="571">
        <f t="shared" si="3"/>
        <v>1875</v>
      </c>
      <c r="J125" s="571">
        <f t="shared" si="4"/>
        <v>28125</v>
      </c>
    </row>
    <row r="126" spans="1:10">
      <c r="A126" t="s">
        <v>4623</v>
      </c>
      <c r="B126">
        <v>124</v>
      </c>
      <c r="C126" t="str">
        <f>VLOOKUP(B126,Sheet3!$B$3:$H$169,7,FALSE)</f>
        <v>Fund 01-2021-03-0456</v>
      </c>
      <c r="D126" t="s">
        <v>3844</v>
      </c>
      <c r="E126" s="571">
        <v>4795</v>
      </c>
      <c r="F126" s="571">
        <v>214.06</v>
      </c>
      <c r="G126" s="571">
        <v>85.63</v>
      </c>
      <c r="I126" s="571">
        <f t="shared" si="3"/>
        <v>299.69</v>
      </c>
      <c r="J126" s="571">
        <f t="shared" si="4"/>
        <v>4495.3100000000004</v>
      </c>
    </row>
    <row r="127" spans="1:10">
      <c r="A127" t="s">
        <v>4623</v>
      </c>
      <c r="B127">
        <v>125</v>
      </c>
      <c r="C127" t="str">
        <f>VLOOKUP(B127,Sheet3!$B$3:$H$169,7,FALSE)</f>
        <v>Fund 01-2021-03-0460</v>
      </c>
      <c r="D127" t="s">
        <v>3858</v>
      </c>
      <c r="E127" s="571">
        <v>3500</v>
      </c>
      <c r="F127" s="571">
        <v>156.25</v>
      </c>
      <c r="G127" s="571">
        <v>62.5</v>
      </c>
      <c r="I127" s="571">
        <f t="shared" si="3"/>
        <v>218.75</v>
      </c>
      <c r="J127" s="571">
        <f t="shared" si="4"/>
        <v>3281.25</v>
      </c>
    </row>
    <row r="128" spans="1:10">
      <c r="A128" t="s">
        <v>4623</v>
      </c>
      <c r="B128">
        <v>126</v>
      </c>
      <c r="C128" t="str">
        <f>VLOOKUP(B128,Sheet3!$B$3:$H$169,7,FALSE)</f>
        <v>Fund 01-2021-03-0462</v>
      </c>
      <c r="D128" t="s">
        <v>3609</v>
      </c>
      <c r="E128" s="571">
        <v>7873</v>
      </c>
      <c r="F128" s="571">
        <v>351.47</v>
      </c>
      <c r="G128" s="571">
        <v>140.59</v>
      </c>
      <c r="I128" s="571">
        <f t="shared" si="3"/>
        <v>492.06000000000006</v>
      </c>
      <c r="J128" s="571">
        <f t="shared" si="4"/>
        <v>7380.94</v>
      </c>
    </row>
    <row r="129" spans="1:12">
      <c r="A129" t="s">
        <v>4623</v>
      </c>
      <c r="B129">
        <v>127</v>
      </c>
      <c r="C129" t="str">
        <f>VLOOKUP(B129,Sheet3!$B$3:$H$169,7,FALSE)</f>
        <v>Fund 01-2021-03-0463</v>
      </c>
      <c r="D129" t="s">
        <v>3269</v>
      </c>
      <c r="E129" s="571">
        <v>11000</v>
      </c>
      <c r="F129" s="571">
        <v>491.07</v>
      </c>
      <c r="G129" s="571">
        <v>196.43</v>
      </c>
      <c r="I129" s="571">
        <f t="shared" si="3"/>
        <v>687.5</v>
      </c>
      <c r="J129" s="571">
        <f t="shared" si="4"/>
        <v>10312.5</v>
      </c>
    </row>
    <row r="130" spans="1:12">
      <c r="A130" t="s">
        <v>4623</v>
      </c>
      <c r="B130">
        <v>128</v>
      </c>
      <c r="C130" t="str">
        <f>VLOOKUP(B130,Sheet3!$B$3:$H$169,7,FALSE)</f>
        <v>Fund 01-2021-03-0464</v>
      </c>
      <c r="D130" t="s">
        <v>2775</v>
      </c>
      <c r="E130" s="571">
        <v>508</v>
      </c>
      <c r="F130" s="571">
        <v>22.68</v>
      </c>
      <c r="G130" s="571">
        <v>4.54</v>
      </c>
      <c r="I130" s="571">
        <f t="shared" si="3"/>
        <v>27.22</v>
      </c>
      <c r="J130" s="571">
        <f t="shared" si="4"/>
        <v>480.78</v>
      </c>
    </row>
    <row r="131" spans="1:12">
      <c r="A131" t="s">
        <v>4623</v>
      </c>
      <c r="B131">
        <v>129</v>
      </c>
      <c r="C131" t="str">
        <f>VLOOKUP(B131,Sheet3!$B$3:$H$169,7,FALSE)</f>
        <v>Fund 01-2021-03-0465</v>
      </c>
      <c r="D131" t="s">
        <v>3844</v>
      </c>
      <c r="E131" s="571">
        <v>4795</v>
      </c>
      <c r="F131" s="571">
        <v>214.06</v>
      </c>
      <c r="G131" s="571">
        <v>85.63</v>
      </c>
      <c r="I131" s="571">
        <f t="shared" si="3"/>
        <v>299.69</v>
      </c>
      <c r="J131" s="571">
        <f t="shared" si="4"/>
        <v>4495.3100000000004</v>
      </c>
    </row>
    <row r="132" spans="1:12">
      <c r="A132" t="s">
        <v>4623</v>
      </c>
      <c r="B132">
        <v>130</v>
      </c>
      <c r="C132" t="str">
        <f>VLOOKUP(B132,Sheet3!$B$3:$H$169,7,FALSE)</f>
        <v>Fund 01-2021-03-0466</v>
      </c>
      <c r="D132" t="s">
        <v>2782</v>
      </c>
      <c r="E132" s="571">
        <v>27500</v>
      </c>
      <c r="F132" s="571">
        <v>1227.68</v>
      </c>
      <c r="G132" s="571">
        <v>491.07</v>
      </c>
      <c r="I132" s="571">
        <f t="shared" ref="I132:I169" si="5">F132+G132+H132</f>
        <v>1718.75</v>
      </c>
      <c r="J132" s="571">
        <f t="shared" ref="J132:J169" si="6">E132-I132</f>
        <v>25781.25</v>
      </c>
    </row>
    <row r="133" spans="1:12">
      <c r="A133" t="s">
        <v>4623</v>
      </c>
      <c r="B133">
        <v>131</v>
      </c>
      <c r="C133" t="str">
        <f>VLOOKUP(B133,Sheet3!$B$3:$H$169,7,FALSE)</f>
        <v>Fund 01-2021-03-0467</v>
      </c>
      <c r="D133" t="s">
        <v>3877</v>
      </c>
      <c r="E133" s="571">
        <v>976560</v>
      </c>
      <c r="F133" s="571">
        <v>43596.43</v>
      </c>
      <c r="G133" s="571">
        <v>8719.2900000000009</v>
      </c>
      <c r="I133" s="571">
        <f t="shared" si="5"/>
        <v>52315.72</v>
      </c>
      <c r="J133" s="571">
        <f t="shared" si="6"/>
        <v>924244.28</v>
      </c>
    </row>
    <row r="134" spans="1:12">
      <c r="A134" t="s">
        <v>4623</v>
      </c>
      <c r="B134">
        <v>132</v>
      </c>
      <c r="C134" t="str">
        <f>VLOOKUP(B134,Sheet3!$B$3:$H$169,7,FALSE)</f>
        <v>Fund 01-2021-03-0468</v>
      </c>
      <c r="D134" t="s">
        <v>3880</v>
      </c>
      <c r="E134" s="571">
        <v>9120</v>
      </c>
      <c r="F134" s="571">
        <v>273.60000000000002</v>
      </c>
      <c r="G134" s="571">
        <v>91.2</v>
      </c>
      <c r="I134" s="571">
        <f t="shared" si="5"/>
        <v>364.8</v>
      </c>
      <c r="J134" s="571">
        <f t="shared" si="6"/>
        <v>8755.2000000000007</v>
      </c>
    </row>
    <row r="135" spans="1:12">
      <c r="A135" t="s">
        <v>4623</v>
      </c>
      <c r="B135">
        <v>133</v>
      </c>
      <c r="C135" t="str">
        <f>VLOOKUP(B135,Sheet3!$B$3:$H$169,7,FALSE)</f>
        <v>Fund 01-2021-03-0470</v>
      </c>
      <c r="D135" t="s">
        <v>2775</v>
      </c>
      <c r="E135" s="571">
        <v>6320</v>
      </c>
      <c r="F135" s="571">
        <v>282.14</v>
      </c>
      <c r="G135" s="571">
        <v>56.43</v>
      </c>
      <c r="I135" s="571">
        <f t="shared" si="5"/>
        <v>338.57</v>
      </c>
      <c r="J135" s="571">
        <f t="shared" si="6"/>
        <v>5981.43</v>
      </c>
    </row>
    <row r="136" spans="1:12">
      <c r="A136" t="s">
        <v>4623</v>
      </c>
      <c r="B136">
        <v>134</v>
      </c>
      <c r="C136" t="str">
        <f>VLOOKUP(B136,Sheet3!$B$3:$H$169,7,FALSE)</f>
        <v>Fund 01-2021-03-0471</v>
      </c>
      <c r="D136" t="s">
        <v>3890</v>
      </c>
      <c r="E136" s="571">
        <v>2800</v>
      </c>
      <c r="F136" s="571">
        <v>84</v>
      </c>
      <c r="G136" s="571">
        <v>28</v>
      </c>
      <c r="I136" s="571">
        <f t="shared" si="5"/>
        <v>112</v>
      </c>
      <c r="J136" s="571">
        <f t="shared" si="6"/>
        <v>2688</v>
      </c>
    </row>
    <row r="137" spans="1:12">
      <c r="A137" t="s">
        <v>4623</v>
      </c>
      <c r="B137">
        <v>135</v>
      </c>
      <c r="C137" t="str">
        <f>VLOOKUP(B137,Sheet3!$B$3:$H$169,7,FALSE)</f>
        <v>Fund 01-2021-03-0472</v>
      </c>
      <c r="D137" t="s">
        <v>2882</v>
      </c>
      <c r="E137" s="571">
        <v>2486</v>
      </c>
      <c r="F137" s="571">
        <v>74.58</v>
      </c>
      <c r="G137" s="571">
        <v>24.86</v>
      </c>
      <c r="I137" s="571">
        <f t="shared" si="5"/>
        <v>99.44</v>
      </c>
      <c r="J137" s="571">
        <f t="shared" si="6"/>
        <v>2386.56</v>
      </c>
    </row>
    <row r="138" spans="1:12">
      <c r="A138" t="s">
        <v>4623</v>
      </c>
      <c r="B138">
        <v>136</v>
      </c>
      <c r="C138" t="str">
        <f>VLOOKUP(B138,Sheet3!$B$3:$H$169,7,FALSE)</f>
        <v>Fund 01-2021-03-0473</v>
      </c>
      <c r="D138" t="s">
        <v>2731</v>
      </c>
      <c r="E138" s="571">
        <v>1200</v>
      </c>
      <c r="F138" s="571">
        <v>53.57</v>
      </c>
      <c r="G138" s="571">
        <v>21.43</v>
      </c>
      <c r="I138" s="571">
        <f t="shared" si="5"/>
        <v>75</v>
      </c>
      <c r="J138" s="571">
        <f t="shared" si="6"/>
        <v>1125</v>
      </c>
    </row>
    <row r="139" spans="1:12">
      <c r="A139" t="s">
        <v>4623</v>
      </c>
      <c r="B139">
        <v>137</v>
      </c>
      <c r="C139" t="str">
        <f>VLOOKUP(B139,Sheet3!$B$3:$H$169,7,FALSE)</f>
        <v>Fund 01-2021-03-0476</v>
      </c>
      <c r="D139" t="s">
        <v>2731</v>
      </c>
      <c r="E139" s="571">
        <v>1200</v>
      </c>
      <c r="F139" s="571">
        <v>53.57</v>
      </c>
      <c r="G139" s="571">
        <v>21.43</v>
      </c>
      <c r="I139" s="571">
        <f t="shared" si="5"/>
        <v>75</v>
      </c>
      <c r="J139" s="571">
        <f t="shared" si="6"/>
        <v>1125</v>
      </c>
    </row>
    <row r="140" spans="1:12">
      <c r="A140" t="s">
        <v>4623</v>
      </c>
      <c r="B140">
        <v>138</v>
      </c>
      <c r="C140" t="str">
        <f>VLOOKUP(B140,Sheet3!$B$3:$H$169,7,FALSE)</f>
        <v>Fund 01-2021-03-0477</v>
      </c>
      <c r="D140" t="s">
        <v>2811</v>
      </c>
      <c r="E140" s="571">
        <v>18421.13</v>
      </c>
      <c r="F140" s="571">
        <v>822.37</v>
      </c>
      <c r="G140" s="571">
        <v>164.47</v>
      </c>
      <c r="I140" s="571">
        <f t="shared" si="5"/>
        <v>986.84</v>
      </c>
      <c r="J140" s="571">
        <f t="shared" si="6"/>
        <v>17434.29</v>
      </c>
      <c r="L140" s="276"/>
    </row>
    <row r="141" spans="1:12">
      <c r="A141" t="s">
        <v>4623</v>
      </c>
      <c r="B141">
        <v>139</v>
      </c>
      <c r="C141" t="str">
        <f>VLOOKUP(B141,Sheet3!$B$3:$H$169,7,FALSE)</f>
        <v>Fund 01-2021-03-0480</v>
      </c>
      <c r="D141" t="s">
        <v>2731</v>
      </c>
      <c r="E141" s="571">
        <v>5390.81</v>
      </c>
      <c r="F141" s="571">
        <v>240.66</v>
      </c>
      <c r="G141" s="571">
        <v>96.26</v>
      </c>
      <c r="I141" s="571">
        <f t="shared" si="5"/>
        <v>336.92</v>
      </c>
      <c r="J141" s="571">
        <f t="shared" si="6"/>
        <v>5053.8900000000003</v>
      </c>
    </row>
    <row r="142" spans="1:12">
      <c r="A142" t="s">
        <v>4623</v>
      </c>
      <c r="B142">
        <v>140</v>
      </c>
      <c r="C142" t="str">
        <f>VLOOKUP(B142,Sheet3!$B$3:$H$169,7,FALSE)</f>
        <v>Fund 01-2021-03-0481</v>
      </c>
      <c r="D142" t="s">
        <v>2720</v>
      </c>
      <c r="E142" s="571">
        <v>920</v>
      </c>
      <c r="F142" s="571">
        <v>41.07</v>
      </c>
      <c r="G142" s="571">
        <v>16.43</v>
      </c>
      <c r="I142" s="571">
        <f t="shared" si="5"/>
        <v>57.5</v>
      </c>
      <c r="J142" s="571">
        <f t="shared" si="6"/>
        <v>862.5</v>
      </c>
    </row>
    <row r="143" spans="1:12">
      <c r="A143" t="s">
        <v>4623</v>
      </c>
      <c r="B143">
        <v>141</v>
      </c>
      <c r="C143" t="str">
        <f>VLOOKUP(B143,Sheet3!$B$3:$H$169,7,FALSE)</f>
        <v>Fund 01-2021-03-0482</v>
      </c>
      <c r="D143" t="s">
        <v>3921</v>
      </c>
      <c r="E143" s="571">
        <v>1000</v>
      </c>
      <c r="F143" s="571">
        <v>30</v>
      </c>
      <c r="G143" s="571">
        <v>20</v>
      </c>
      <c r="I143" s="571">
        <f t="shared" si="5"/>
        <v>50</v>
      </c>
      <c r="J143" s="571">
        <f t="shared" si="6"/>
        <v>950</v>
      </c>
    </row>
    <row r="144" spans="1:12">
      <c r="A144" t="s">
        <v>4623</v>
      </c>
      <c r="B144">
        <v>142</v>
      </c>
      <c r="C144" t="str">
        <f>VLOOKUP(B144,Sheet3!$B$3:$H$169,7,FALSE)</f>
        <v>Fund 01-2021-03-0483</v>
      </c>
      <c r="D144" t="s">
        <v>3924</v>
      </c>
      <c r="E144" s="571">
        <v>1000</v>
      </c>
      <c r="F144" s="571">
        <v>30</v>
      </c>
      <c r="G144" s="571">
        <v>20</v>
      </c>
      <c r="I144" s="571">
        <f t="shared" si="5"/>
        <v>50</v>
      </c>
      <c r="J144" s="571">
        <f t="shared" si="6"/>
        <v>950</v>
      </c>
    </row>
    <row r="145" spans="1:10">
      <c r="A145" t="s">
        <v>4623</v>
      </c>
      <c r="B145">
        <v>143</v>
      </c>
      <c r="C145" t="str">
        <f>VLOOKUP(B145,Sheet3!$B$3:$H$169,7,FALSE)</f>
        <v>Fund 01-2021-03-0484</v>
      </c>
      <c r="D145" t="s">
        <v>2807</v>
      </c>
      <c r="E145" s="571">
        <v>10000</v>
      </c>
      <c r="F145" s="571">
        <v>300</v>
      </c>
      <c r="G145" s="571">
        <v>200</v>
      </c>
      <c r="I145" s="571">
        <f t="shared" si="5"/>
        <v>500</v>
      </c>
      <c r="J145" s="571">
        <f t="shared" si="6"/>
        <v>9500</v>
      </c>
    </row>
    <row r="146" spans="1:10">
      <c r="A146" t="s">
        <v>4623</v>
      </c>
      <c r="B146">
        <v>144</v>
      </c>
      <c r="C146" t="str">
        <f>VLOOKUP(B146,Sheet3!$B$3:$H$169,7,FALSE)</f>
        <v>Fund 01-2021-03-0485</v>
      </c>
      <c r="D146" t="s">
        <v>3927</v>
      </c>
      <c r="E146" s="571">
        <v>1000</v>
      </c>
      <c r="F146" s="571">
        <v>30</v>
      </c>
      <c r="G146" s="571">
        <v>20</v>
      </c>
      <c r="I146" s="571">
        <f t="shared" si="5"/>
        <v>50</v>
      </c>
      <c r="J146" s="571">
        <f t="shared" si="6"/>
        <v>950</v>
      </c>
    </row>
    <row r="147" spans="1:10">
      <c r="A147" t="s">
        <v>4623</v>
      </c>
      <c r="B147">
        <v>145</v>
      </c>
      <c r="C147" t="str">
        <f>VLOOKUP(B147,Sheet3!$B$3:$H$169,7,FALSE)</f>
        <v>Fund 01-2021-03-0486</v>
      </c>
      <c r="D147" t="s">
        <v>2739</v>
      </c>
      <c r="E147" s="571">
        <v>13600</v>
      </c>
      <c r="F147" s="571">
        <v>607.14</v>
      </c>
      <c r="G147" s="571">
        <v>121.43</v>
      </c>
      <c r="I147" s="571">
        <f t="shared" si="5"/>
        <v>728.56999999999994</v>
      </c>
      <c r="J147" s="571">
        <f t="shared" si="6"/>
        <v>12871.43</v>
      </c>
    </row>
    <row r="148" spans="1:10">
      <c r="A148" t="s">
        <v>4623</v>
      </c>
      <c r="B148">
        <v>146</v>
      </c>
      <c r="C148" t="str">
        <f>VLOOKUP(B148,Sheet3!$B$3:$H$169,7,FALSE)</f>
        <v>Fund 01-2021-03-0489</v>
      </c>
      <c r="D148" t="s">
        <v>2746</v>
      </c>
      <c r="E148" s="571">
        <v>31800</v>
      </c>
      <c r="F148" s="571">
        <v>1419.64</v>
      </c>
      <c r="G148" s="571">
        <v>567.86</v>
      </c>
      <c r="I148" s="571">
        <f t="shared" si="5"/>
        <v>1987.5</v>
      </c>
      <c r="J148" s="571">
        <f t="shared" si="6"/>
        <v>29812.5</v>
      </c>
    </row>
    <row r="149" spans="1:10">
      <c r="A149" t="s">
        <v>4623</v>
      </c>
      <c r="B149">
        <v>147</v>
      </c>
      <c r="C149" t="str">
        <f>VLOOKUP(B149,Sheet3!$B$3:$H$169,7,FALSE)</f>
        <v>Fund 01-2021-03-0490</v>
      </c>
      <c r="D149" t="s">
        <v>2720</v>
      </c>
      <c r="E149" s="571">
        <v>480</v>
      </c>
      <c r="F149" s="571">
        <v>21.43</v>
      </c>
      <c r="G149" s="571">
        <v>8.57</v>
      </c>
      <c r="I149" s="571">
        <f t="shared" si="5"/>
        <v>30</v>
      </c>
      <c r="J149" s="571">
        <f t="shared" si="6"/>
        <v>450</v>
      </c>
    </row>
    <row r="150" spans="1:10">
      <c r="A150" t="s">
        <v>4623</v>
      </c>
      <c r="B150">
        <v>148</v>
      </c>
      <c r="C150" t="str">
        <f>VLOOKUP(B150,Sheet3!$B$3:$H$169,7,FALSE)</f>
        <v>Fund 01-2021-03-0518</v>
      </c>
      <c r="D150" t="s">
        <v>2731</v>
      </c>
      <c r="E150" s="571">
        <v>1705.48</v>
      </c>
      <c r="F150" s="571">
        <v>76.14</v>
      </c>
      <c r="G150" s="571">
        <v>30.46</v>
      </c>
      <c r="I150" s="571">
        <f t="shared" si="5"/>
        <v>106.6</v>
      </c>
      <c r="J150" s="571">
        <f t="shared" si="6"/>
        <v>1598.88</v>
      </c>
    </row>
    <row r="151" spans="1:10">
      <c r="A151" t="s">
        <v>4623</v>
      </c>
      <c r="B151">
        <v>149</v>
      </c>
      <c r="C151" t="str">
        <f>VLOOKUP(B151,Sheet3!$B$3:$H$169,7,FALSE)</f>
        <v>Fund 01-2021-03-0519</v>
      </c>
      <c r="D151" t="s">
        <v>2731</v>
      </c>
      <c r="E151" s="571">
        <v>1922.83</v>
      </c>
      <c r="F151" s="571">
        <v>85.84</v>
      </c>
      <c r="G151" s="571">
        <v>34.340000000000003</v>
      </c>
      <c r="I151" s="571">
        <f t="shared" si="5"/>
        <v>120.18</v>
      </c>
      <c r="J151" s="571">
        <f t="shared" si="6"/>
        <v>1802.6499999999999</v>
      </c>
    </row>
    <row r="152" spans="1:10">
      <c r="A152" t="s">
        <v>4623</v>
      </c>
      <c r="B152">
        <v>150</v>
      </c>
      <c r="C152" t="str">
        <f>VLOOKUP(B152,Sheet3!$B$3:$H$169,7,FALSE)</f>
        <v>Fund 01-2021-03-0523</v>
      </c>
      <c r="D152" t="s">
        <v>2775</v>
      </c>
      <c r="E152" s="571">
        <v>1143</v>
      </c>
      <c r="F152" s="571">
        <v>51.03</v>
      </c>
      <c r="G152" s="571">
        <v>10.210000000000001</v>
      </c>
      <c r="I152" s="571">
        <f t="shared" si="5"/>
        <v>61.24</v>
      </c>
      <c r="J152" s="571">
        <f t="shared" si="6"/>
        <v>1081.76</v>
      </c>
    </row>
    <row r="153" spans="1:10">
      <c r="A153" t="s">
        <v>4623</v>
      </c>
      <c r="B153">
        <v>151</v>
      </c>
      <c r="C153" t="str">
        <f>VLOOKUP(B153,Sheet3!$B$3:$H$169,7,FALSE)</f>
        <v>Fund 01-2021-03-0524</v>
      </c>
      <c r="D153" t="s">
        <v>3586</v>
      </c>
      <c r="E153" s="571">
        <v>17500</v>
      </c>
      <c r="F153" s="571">
        <v>781.25</v>
      </c>
      <c r="G153" s="571">
        <v>156.25</v>
      </c>
      <c r="I153" s="571">
        <f t="shared" si="5"/>
        <v>937.5</v>
      </c>
      <c r="J153" s="571">
        <f t="shared" si="6"/>
        <v>16562.5</v>
      </c>
    </row>
    <row r="154" spans="1:10">
      <c r="A154" t="s">
        <v>4623</v>
      </c>
      <c r="B154">
        <v>152</v>
      </c>
      <c r="C154" t="str">
        <f>VLOOKUP(B154,Sheet3!$B$3:$H$169,7,FALSE)</f>
        <v>Fund 01-2021-03-0532</v>
      </c>
      <c r="D154" t="s">
        <v>2731</v>
      </c>
      <c r="E154" s="571">
        <v>1200</v>
      </c>
      <c r="F154" s="571">
        <v>53.57</v>
      </c>
      <c r="G154" s="571">
        <v>21.43</v>
      </c>
      <c r="I154" s="571">
        <f t="shared" si="5"/>
        <v>75</v>
      </c>
      <c r="J154" s="571">
        <f t="shared" si="6"/>
        <v>1125</v>
      </c>
    </row>
    <row r="155" spans="1:10">
      <c r="A155" t="s">
        <v>4623</v>
      </c>
      <c r="B155">
        <v>153</v>
      </c>
      <c r="C155" t="str">
        <f>VLOOKUP(B155,Sheet3!$B$3:$H$169,7,FALSE)</f>
        <v>Fund 01-2021-03-0533</v>
      </c>
      <c r="D155" t="s">
        <v>4031</v>
      </c>
      <c r="E155" s="571">
        <v>20000</v>
      </c>
      <c r="F155" s="571">
        <v>892.86</v>
      </c>
      <c r="G155" s="571">
        <v>357.14</v>
      </c>
      <c r="I155" s="571">
        <f t="shared" si="5"/>
        <v>1250</v>
      </c>
      <c r="J155" s="571">
        <f t="shared" si="6"/>
        <v>18750</v>
      </c>
    </row>
    <row r="156" spans="1:10">
      <c r="A156" t="s">
        <v>4623</v>
      </c>
      <c r="B156">
        <v>154</v>
      </c>
      <c r="C156" t="str">
        <f>VLOOKUP(B156,Sheet3!$B$3:$H$169,7,FALSE)</f>
        <v>Fund 01-2021-03-0534</v>
      </c>
      <c r="D156" t="s">
        <v>4035</v>
      </c>
      <c r="E156" s="571">
        <v>76000</v>
      </c>
      <c r="F156" s="571">
        <v>3392.86</v>
      </c>
      <c r="G156" s="571">
        <v>678.57</v>
      </c>
      <c r="I156" s="571">
        <f t="shared" si="5"/>
        <v>4071.4300000000003</v>
      </c>
      <c r="J156" s="571">
        <f t="shared" si="6"/>
        <v>71928.570000000007</v>
      </c>
    </row>
    <row r="157" spans="1:10">
      <c r="A157" t="s">
        <v>4623</v>
      </c>
      <c r="B157">
        <v>155</v>
      </c>
      <c r="C157" t="str">
        <f>VLOOKUP(B157,Sheet3!$B$3:$H$169,7,FALSE)</f>
        <v>Fund 01-2021-03-0538</v>
      </c>
      <c r="D157" t="s">
        <v>2775</v>
      </c>
      <c r="E157" s="571">
        <v>2688</v>
      </c>
      <c r="F157" s="571">
        <v>120</v>
      </c>
      <c r="G157" s="571">
        <v>24</v>
      </c>
      <c r="I157" s="571">
        <f t="shared" si="5"/>
        <v>144</v>
      </c>
      <c r="J157" s="571">
        <f t="shared" si="6"/>
        <v>2544</v>
      </c>
    </row>
    <row r="158" spans="1:10">
      <c r="A158" t="s">
        <v>4623</v>
      </c>
      <c r="B158">
        <v>156</v>
      </c>
      <c r="C158" t="str">
        <f>VLOOKUP(B158,Sheet3!$B$3:$H$169,7,FALSE)</f>
        <v>Fund 01-2021-03-0539</v>
      </c>
      <c r="D158" t="s">
        <v>3598</v>
      </c>
      <c r="E158" s="571">
        <v>2500</v>
      </c>
      <c r="F158" s="571">
        <v>111.61</v>
      </c>
      <c r="G158" s="571">
        <v>22.32</v>
      </c>
      <c r="I158" s="571">
        <f t="shared" si="5"/>
        <v>133.93</v>
      </c>
      <c r="J158" s="571">
        <f t="shared" si="6"/>
        <v>2366.0700000000002</v>
      </c>
    </row>
    <row r="159" spans="1:10">
      <c r="A159" t="s">
        <v>4623</v>
      </c>
      <c r="B159">
        <v>157</v>
      </c>
      <c r="C159" t="str">
        <f>VLOOKUP(B159,Sheet3!$B$3:$H$169,7,FALSE)</f>
        <v>Fund 01-2021-03-0540</v>
      </c>
      <c r="D159" t="s">
        <v>2720</v>
      </c>
      <c r="E159" s="571">
        <v>640</v>
      </c>
      <c r="F159" s="571">
        <v>28.57</v>
      </c>
      <c r="G159" s="571">
        <v>11.29</v>
      </c>
      <c r="I159" s="571">
        <f t="shared" si="5"/>
        <v>39.86</v>
      </c>
      <c r="J159" s="571">
        <f t="shared" si="6"/>
        <v>600.14</v>
      </c>
    </row>
    <row r="160" spans="1:10">
      <c r="A160" t="s">
        <v>4623</v>
      </c>
      <c r="B160">
        <v>158</v>
      </c>
      <c r="C160" t="str">
        <f>VLOOKUP(B160,Sheet3!$B$3:$H$169,7,FALSE)</f>
        <v>Fund 01-2021-03-0541</v>
      </c>
      <c r="D160" t="s">
        <v>4058</v>
      </c>
      <c r="E160" s="571">
        <v>33180</v>
      </c>
      <c r="F160" s="571">
        <v>995.4</v>
      </c>
      <c r="G160" s="571">
        <v>663.6</v>
      </c>
      <c r="I160" s="571">
        <f t="shared" si="5"/>
        <v>1659</v>
      </c>
      <c r="J160" s="571">
        <f t="shared" si="6"/>
        <v>31521</v>
      </c>
    </row>
    <row r="161" spans="1:10">
      <c r="A161" t="s">
        <v>4623</v>
      </c>
      <c r="B161">
        <v>159</v>
      </c>
      <c r="C161" t="str">
        <f>VLOOKUP(B161,Sheet3!$B$3:$H$169,7,FALSE)</f>
        <v>Fund 01-2021-03-0542</v>
      </c>
      <c r="D161" t="s">
        <v>2751</v>
      </c>
      <c r="E161" s="571">
        <v>17440</v>
      </c>
      <c r="F161" s="571">
        <v>523.19999999999993</v>
      </c>
      <c r="G161" s="571">
        <v>174.4</v>
      </c>
      <c r="I161" s="571">
        <f t="shared" si="5"/>
        <v>697.59999999999991</v>
      </c>
      <c r="J161" s="571">
        <f t="shared" si="6"/>
        <v>16742.400000000001</v>
      </c>
    </row>
    <row r="162" spans="1:10">
      <c r="A162" t="s">
        <v>4623</v>
      </c>
      <c r="B162">
        <v>160</v>
      </c>
      <c r="C162" t="str">
        <f>VLOOKUP(B162,Sheet3!$B$3:$H$169,7,FALSE)</f>
        <v>Fund 01-2021-03-0557</v>
      </c>
      <c r="D162" t="s">
        <v>4095</v>
      </c>
      <c r="E162" s="571">
        <v>6850</v>
      </c>
      <c r="F162" s="571">
        <v>305.8</v>
      </c>
      <c r="G162" s="571">
        <v>61.16</v>
      </c>
      <c r="I162" s="571">
        <f t="shared" si="5"/>
        <v>366.96000000000004</v>
      </c>
      <c r="J162" s="571">
        <f t="shared" si="6"/>
        <v>6483.04</v>
      </c>
    </row>
    <row r="163" spans="1:10">
      <c r="A163" t="s">
        <v>4623</v>
      </c>
      <c r="B163">
        <v>161</v>
      </c>
      <c r="C163" t="str">
        <f>VLOOKUP(B163,Sheet3!$B$3:$H$169,7,FALSE)</f>
        <v>Fund 01-2021-03-0562</v>
      </c>
      <c r="D163" t="s">
        <v>2731</v>
      </c>
      <c r="E163" s="571">
        <v>2500</v>
      </c>
      <c r="F163" s="571">
        <v>111.61</v>
      </c>
      <c r="G163" s="571">
        <v>44.64</v>
      </c>
      <c r="I163" s="571">
        <f t="shared" si="5"/>
        <v>156.25</v>
      </c>
      <c r="J163" s="571">
        <f t="shared" si="6"/>
        <v>2343.75</v>
      </c>
    </row>
    <row r="164" spans="1:10">
      <c r="A164" t="s">
        <v>4623</v>
      </c>
      <c r="B164">
        <v>162</v>
      </c>
      <c r="C164" t="str">
        <f>VLOOKUP(B164,Sheet3!$B$3:$H$169,7,FALSE)</f>
        <v>Fund 01-2021-02-0224</v>
      </c>
      <c r="D164" t="s">
        <v>2844</v>
      </c>
      <c r="E164" s="571">
        <v>170501.47</v>
      </c>
      <c r="F164" s="571">
        <v>7611.67</v>
      </c>
      <c r="G164" s="571">
        <v>7611.6727678571424</v>
      </c>
      <c r="I164" s="571">
        <f t="shared" si="5"/>
        <v>15223.342767857142</v>
      </c>
      <c r="J164" s="571">
        <f t="shared" si="6"/>
        <v>155278.12723214287</v>
      </c>
    </row>
    <row r="165" spans="1:10">
      <c r="A165" t="s">
        <v>4623</v>
      </c>
      <c r="B165">
        <v>163</v>
      </c>
      <c r="C165" t="str">
        <f>VLOOKUP(B165,Sheet3!$B$3:$H$169,7,FALSE)</f>
        <v>Fund 01-2021-03-0570</v>
      </c>
      <c r="D165" t="s">
        <v>2720</v>
      </c>
      <c r="E165" s="571">
        <v>3800</v>
      </c>
      <c r="F165" s="571">
        <v>169.64</v>
      </c>
      <c r="G165" s="571">
        <v>67.86</v>
      </c>
      <c r="I165" s="571">
        <f t="shared" si="5"/>
        <v>237.5</v>
      </c>
      <c r="J165" s="571">
        <f t="shared" si="6"/>
        <v>3562.5</v>
      </c>
    </row>
    <row r="166" spans="1:10">
      <c r="A166" t="s">
        <v>4623</v>
      </c>
      <c r="B166">
        <v>164</v>
      </c>
      <c r="C166" t="str">
        <f>VLOOKUP(B166,Sheet3!$B$3:$H$169,7,FALSE)</f>
        <v>Fund 01-2021-03-0572</v>
      </c>
      <c r="D166" t="s">
        <v>4137</v>
      </c>
      <c r="E166" s="571">
        <v>416000</v>
      </c>
      <c r="F166" s="571">
        <v>12480</v>
      </c>
      <c r="G166" s="571">
        <v>4160</v>
      </c>
      <c r="I166" s="571">
        <f t="shared" si="5"/>
        <v>16640</v>
      </c>
      <c r="J166" s="571">
        <f t="shared" si="6"/>
        <v>399360</v>
      </c>
    </row>
    <row r="167" spans="1:10">
      <c r="A167" t="s">
        <v>4623</v>
      </c>
      <c r="B167">
        <v>165</v>
      </c>
      <c r="C167" t="str">
        <f>VLOOKUP(B167,Sheet3!$B$3:$H$169,7,FALSE)</f>
        <v>Fund 01-2021-03-0573</v>
      </c>
      <c r="D167" t="s">
        <v>4140</v>
      </c>
      <c r="E167" s="571">
        <v>560000</v>
      </c>
      <c r="F167" s="571">
        <v>25000</v>
      </c>
      <c r="G167" s="571">
        <v>5000</v>
      </c>
      <c r="I167" s="571">
        <f t="shared" si="5"/>
        <v>30000</v>
      </c>
      <c r="J167" s="571">
        <f t="shared" si="6"/>
        <v>530000</v>
      </c>
    </row>
    <row r="168" spans="1:10">
      <c r="A168" t="s">
        <v>4623</v>
      </c>
      <c r="B168">
        <v>166</v>
      </c>
      <c r="C168" t="str">
        <f>VLOOKUP(B168,Sheet3!$B$3:$H$169,7,FALSE)</f>
        <v>Fund 01-2021-03-0592</v>
      </c>
      <c r="D168" t="s">
        <v>4189</v>
      </c>
      <c r="E168" s="571">
        <v>268000</v>
      </c>
      <c r="F168" s="571">
        <v>11964.29</v>
      </c>
      <c r="G168" s="571">
        <v>2392.86</v>
      </c>
      <c r="I168" s="571">
        <f t="shared" si="5"/>
        <v>14357.150000000001</v>
      </c>
      <c r="J168" s="571">
        <f t="shared" si="6"/>
        <v>253642.85</v>
      </c>
    </row>
    <row r="169" spans="1:10">
      <c r="A169" t="s">
        <v>4623</v>
      </c>
      <c r="B169">
        <v>167</v>
      </c>
      <c r="C169" t="str">
        <f>VLOOKUP(B169,Sheet3!$B$3:$H$169,7,FALSE)</f>
        <v>Fund 01-2021-03-0594</v>
      </c>
      <c r="D169" t="s">
        <v>2731</v>
      </c>
      <c r="E169" s="571">
        <v>3500</v>
      </c>
      <c r="F169" s="571">
        <v>156.25</v>
      </c>
      <c r="G169" s="571">
        <v>62.5</v>
      </c>
      <c r="I169" s="571">
        <f t="shared" si="5"/>
        <v>218.75</v>
      </c>
      <c r="J169" s="571">
        <f t="shared" si="6"/>
        <v>3281.25</v>
      </c>
    </row>
  </sheetData>
  <autoFilter ref="A2:L169" xr:uid="{00000000-0009-0000-0000-000007000000}"/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FC002-1AFA-4B1A-B761-5260EBD9F03E}">
  <sheetPr filterMode="1">
    <pageSetUpPr fitToPage="1"/>
  </sheetPr>
  <dimension ref="A1:L169"/>
  <sheetViews>
    <sheetView workbookViewId="0">
      <pane ySplit="2" topLeftCell="A40" activePane="bottomLeft" state="frozen"/>
      <selection pane="bottomLeft" activeCell="H174" sqref="H174"/>
    </sheetView>
  </sheetViews>
  <sheetFormatPr defaultRowHeight="14.4"/>
  <cols>
    <col min="3" max="3" width="48.6640625" customWidth="1"/>
    <col min="4" max="4" width="13" customWidth="1"/>
    <col min="5" max="5" width="7" customWidth="1"/>
    <col min="6" max="6" width="12.33203125" customWidth="1"/>
    <col min="7" max="7" width="10.5546875" customWidth="1"/>
    <col min="8" max="8" width="21.6640625" bestFit="1" customWidth="1"/>
    <col min="9" max="9" width="16.109375" bestFit="1" customWidth="1"/>
    <col min="10" max="10" width="26.88671875" customWidth="1"/>
    <col min="11" max="11" width="13.33203125" bestFit="1" customWidth="1"/>
  </cols>
  <sheetData>
    <row r="1" spans="1:11">
      <c r="A1" s="8" t="s">
        <v>4624</v>
      </c>
      <c r="B1" s="8"/>
      <c r="C1" s="8"/>
      <c r="D1" s="8"/>
    </row>
    <row r="2" spans="1:11">
      <c r="H2" t="s">
        <v>2052</v>
      </c>
      <c r="I2" t="s">
        <v>940</v>
      </c>
      <c r="J2" t="s">
        <v>155</v>
      </c>
      <c r="K2" s="571" t="s">
        <v>2377</v>
      </c>
    </row>
    <row r="3" spans="1:11" hidden="1">
      <c r="A3" t="s">
        <v>4623</v>
      </c>
      <c r="B3">
        <v>147</v>
      </c>
      <c r="C3" t="s">
        <v>2720</v>
      </c>
      <c r="D3" s="571">
        <v>450</v>
      </c>
      <c r="E3" t="str">
        <f>IF(C3=J3,"ok","not ok")</f>
        <v>ok</v>
      </c>
      <c r="F3" s="276">
        <f>D3-K3</f>
        <v>0</v>
      </c>
      <c r="G3" s="276">
        <f>COUNTIFS($H$3:$H$169,H3)</f>
        <v>1</v>
      </c>
      <c r="H3" t="s">
        <v>3941</v>
      </c>
      <c r="I3" t="s">
        <v>2676</v>
      </c>
      <c r="J3" t="s">
        <v>2720</v>
      </c>
      <c r="K3" s="571">
        <v>450</v>
      </c>
    </row>
    <row r="4" spans="1:11" hidden="1">
      <c r="A4" t="s">
        <v>4623</v>
      </c>
      <c r="B4">
        <v>128</v>
      </c>
      <c r="C4" t="s">
        <v>2775</v>
      </c>
      <c r="D4" s="571">
        <v>480.78</v>
      </c>
      <c r="E4" t="str">
        <f t="shared" ref="E4:E67" si="0">IF(C4=J4,"ok","not ok")</f>
        <v>ok</v>
      </c>
      <c r="F4" s="276">
        <f t="shared" ref="F4:F67" si="1">D4-K4</f>
        <v>0</v>
      </c>
      <c r="G4" s="276">
        <f t="shared" ref="G4:G67" si="2">COUNTIFS($H$3:$H$169,H4)</f>
        <v>1</v>
      </c>
      <c r="H4" t="s">
        <v>3869</v>
      </c>
      <c r="I4" t="s">
        <v>2676</v>
      </c>
      <c r="J4" t="s">
        <v>2775</v>
      </c>
      <c r="K4" s="571">
        <v>480.78</v>
      </c>
    </row>
    <row r="5" spans="1:11" hidden="1">
      <c r="A5" t="s">
        <v>4607</v>
      </c>
      <c r="B5">
        <v>10</v>
      </c>
      <c r="C5" t="s">
        <v>2723</v>
      </c>
      <c r="D5" s="571">
        <v>506.25</v>
      </c>
      <c r="E5" t="str">
        <f t="shared" si="0"/>
        <v>ok</v>
      </c>
      <c r="F5" s="276">
        <f t="shared" si="1"/>
        <v>0</v>
      </c>
      <c r="G5" s="276">
        <f t="shared" si="2"/>
        <v>1</v>
      </c>
      <c r="H5" t="s">
        <v>2722</v>
      </c>
      <c r="I5" t="s">
        <v>2674</v>
      </c>
      <c r="J5" t="s">
        <v>2723</v>
      </c>
      <c r="K5" s="571">
        <v>506.25</v>
      </c>
    </row>
    <row r="6" spans="1:11" hidden="1">
      <c r="A6" t="s">
        <v>4608</v>
      </c>
      <c r="B6">
        <v>74</v>
      </c>
      <c r="C6" t="s">
        <v>3256</v>
      </c>
      <c r="D6" s="571">
        <v>525</v>
      </c>
      <c r="E6" t="str">
        <f t="shared" si="0"/>
        <v>ok</v>
      </c>
      <c r="F6" s="276">
        <f t="shared" si="1"/>
        <v>0</v>
      </c>
      <c r="G6" s="276">
        <f t="shared" si="2"/>
        <v>1</v>
      </c>
      <c r="H6" t="s">
        <v>3261</v>
      </c>
      <c r="I6" t="s">
        <v>2675</v>
      </c>
      <c r="J6" t="s">
        <v>3256</v>
      </c>
      <c r="K6" s="571">
        <v>525</v>
      </c>
    </row>
    <row r="7" spans="1:11" hidden="1">
      <c r="A7" t="s">
        <v>4623</v>
      </c>
      <c r="B7">
        <v>157</v>
      </c>
      <c r="C7" t="s">
        <v>2720</v>
      </c>
      <c r="D7" s="571">
        <v>600.14</v>
      </c>
      <c r="E7" t="str">
        <f t="shared" si="0"/>
        <v>ok</v>
      </c>
      <c r="F7" s="276">
        <f t="shared" si="1"/>
        <v>0</v>
      </c>
      <c r="G7" s="276">
        <f t="shared" si="2"/>
        <v>1</v>
      </c>
      <c r="H7" t="s">
        <v>4053</v>
      </c>
      <c r="I7" t="s">
        <v>2676</v>
      </c>
      <c r="J7" t="s">
        <v>2720</v>
      </c>
      <c r="K7" s="571">
        <v>600.14</v>
      </c>
    </row>
    <row r="8" spans="1:11" hidden="1">
      <c r="A8" t="s">
        <v>4623</v>
      </c>
      <c r="B8">
        <v>118</v>
      </c>
      <c r="C8" t="s">
        <v>2720</v>
      </c>
      <c r="D8" s="571">
        <v>750</v>
      </c>
      <c r="E8" t="str">
        <f t="shared" si="0"/>
        <v>ok</v>
      </c>
      <c r="F8" s="276">
        <f t="shared" si="1"/>
        <v>0</v>
      </c>
      <c r="G8" s="276">
        <f t="shared" si="2"/>
        <v>1</v>
      </c>
      <c r="H8" t="s">
        <v>3824</v>
      </c>
      <c r="I8" t="s">
        <v>2676</v>
      </c>
      <c r="J8" t="s">
        <v>2720</v>
      </c>
      <c r="K8" s="571">
        <v>750</v>
      </c>
    </row>
    <row r="9" spans="1:11" hidden="1">
      <c r="A9" t="s">
        <v>4608</v>
      </c>
      <c r="B9">
        <v>75</v>
      </c>
      <c r="C9" t="s">
        <v>3256</v>
      </c>
      <c r="D9" s="571">
        <v>861</v>
      </c>
      <c r="E9" t="str">
        <f t="shared" si="0"/>
        <v>ok</v>
      </c>
      <c r="F9" s="276">
        <f t="shared" si="1"/>
        <v>0</v>
      </c>
      <c r="G9" s="276">
        <f t="shared" si="2"/>
        <v>1</v>
      </c>
      <c r="H9" t="s">
        <v>3264</v>
      </c>
      <c r="I9" t="s">
        <v>2675</v>
      </c>
      <c r="J9" t="s">
        <v>3256</v>
      </c>
      <c r="K9" s="571">
        <v>861</v>
      </c>
    </row>
    <row r="10" spans="1:11" hidden="1">
      <c r="A10" t="s">
        <v>4623</v>
      </c>
      <c r="B10">
        <v>140</v>
      </c>
      <c r="C10" t="s">
        <v>2720</v>
      </c>
      <c r="D10" s="571">
        <v>862.5</v>
      </c>
      <c r="E10" t="str">
        <f t="shared" si="0"/>
        <v>ok</v>
      </c>
      <c r="F10" s="276">
        <f t="shared" si="1"/>
        <v>0</v>
      </c>
      <c r="G10" s="276">
        <f t="shared" si="2"/>
        <v>1</v>
      </c>
      <c r="H10" t="s">
        <v>3917</v>
      </c>
      <c r="I10" t="s">
        <v>2676</v>
      </c>
      <c r="J10" t="s">
        <v>2720</v>
      </c>
      <c r="K10" s="571">
        <v>862.5</v>
      </c>
    </row>
    <row r="11" spans="1:11">
      <c r="A11" t="s">
        <v>4608</v>
      </c>
      <c r="B11">
        <v>39</v>
      </c>
      <c r="C11" t="s">
        <v>4613</v>
      </c>
      <c r="D11" s="571">
        <v>950</v>
      </c>
      <c r="E11" t="str">
        <f t="shared" si="0"/>
        <v>not ok</v>
      </c>
      <c r="F11" s="276">
        <f t="shared" si="1"/>
        <v>950</v>
      </c>
      <c r="G11" s="276">
        <f t="shared" si="2"/>
        <v>0</v>
      </c>
      <c r="H11" s="548"/>
      <c r="I11" s="548"/>
      <c r="J11" s="548"/>
      <c r="K11" s="572"/>
    </row>
    <row r="12" spans="1:11">
      <c r="A12" t="s">
        <v>4608</v>
      </c>
      <c r="B12">
        <v>40</v>
      </c>
      <c r="C12" t="s">
        <v>4614</v>
      </c>
      <c r="D12" s="571">
        <v>950</v>
      </c>
      <c r="E12" t="str">
        <f t="shared" si="0"/>
        <v>not ok</v>
      </c>
      <c r="F12" s="276">
        <f t="shared" si="1"/>
        <v>950</v>
      </c>
      <c r="G12" s="276">
        <f t="shared" si="2"/>
        <v>0</v>
      </c>
      <c r="H12" s="548"/>
      <c r="I12" s="548"/>
      <c r="J12" s="548"/>
      <c r="K12" s="572"/>
    </row>
    <row r="13" spans="1:11" hidden="1">
      <c r="A13" t="s">
        <v>4608</v>
      </c>
      <c r="B13">
        <v>45</v>
      </c>
      <c r="C13" t="s">
        <v>2789</v>
      </c>
      <c r="D13" s="571">
        <v>950</v>
      </c>
      <c r="E13" t="str">
        <f t="shared" si="0"/>
        <v>ok</v>
      </c>
      <c r="F13" s="276">
        <f t="shared" si="1"/>
        <v>0</v>
      </c>
      <c r="G13" s="276">
        <f t="shared" si="2"/>
        <v>1</v>
      </c>
      <c r="H13" t="s">
        <v>2983</v>
      </c>
      <c r="I13" t="s">
        <v>2675</v>
      </c>
      <c r="J13" t="s">
        <v>2789</v>
      </c>
      <c r="K13" s="571">
        <v>950</v>
      </c>
    </row>
    <row r="14" spans="1:11">
      <c r="A14" t="s">
        <v>4608</v>
      </c>
      <c r="B14">
        <v>53</v>
      </c>
      <c r="C14" t="s">
        <v>4616</v>
      </c>
      <c r="D14" s="571">
        <v>950</v>
      </c>
      <c r="E14" t="str">
        <f t="shared" si="0"/>
        <v>not ok</v>
      </c>
      <c r="F14" s="276">
        <f t="shared" si="1"/>
        <v>950</v>
      </c>
      <c r="G14" s="276">
        <f t="shared" si="2"/>
        <v>0</v>
      </c>
      <c r="H14" s="548"/>
      <c r="I14" s="548"/>
      <c r="J14" s="548"/>
      <c r="K14" s="572"/>
    </row>
    <row r="15" spans="1:11" hidden="1">
      <c r="A15" t="s">
        <v>4623</v>
      </c>
      <c r="B15">
        <v>141</v>
      </c>
      <c r="C15" t="s">
        <v>3921</v>
      </c>
      <c r="D15" s="571">
        <v>950</v>
      </c>
      <c r="E15" t="str">
        <f t="shared" si="0"/>
        <v>ok</v>
      </c>
      <c r="F15" s="276">
        <f t="shared" si="1"/>
        <v>0</v>
      </c>
      <c r="G15" s="276">
        <f t="shared" si="2"/>
        <v>1</v>
      </c>
      <c r="H15" t="s">
        <v>3920</v>
      </c>
      <c r="I15" t="s">
        <v>2676</v>
      </c>
      <c r="J15" t="s">
        <v>3921</v>
      </c>
      <c r="K15" s="571">
        <v>950</v>
      </c>
    </row>
    <row r="16" spans="1:11" hidden="1">
      <c r="A16" t="s">
        <v>4608</v>
      </c>
      <c r="B16">
        <v>58</v>
      </c>
      <c r="C16" t="s">
        <v>2797</v>
      </c>
      <c r="D16" s="571">
        <v>950</v>
      </c>
      <c r="E16" t="str">
        <f t="shared" si="0"/>
        <v>ok</v>
      </c>
      <c r="F16" s="276">
        <f t="shared" si="1"/>
        <v>0</v>
      </c>
      <c r="G16" s="276">
        <f t="shared" si="2"/>
        <v>1</v>
      </c>
      <c r="H16" t="s">
        <v>2986</v>
      </c>
      <c r="I16" t="s">
        <v>2675</v>
      </c>
      <c r="J16" t="s">
        <v>2797</v>
      </c>
      <c r="K16" s="571">
        <v>950</v>
      </c>
    </row>
    <row r="17" spans="1:11" hidden="1">
      <c r="A17" t="s">
        <v>4623</v>
      </c>
      <c r="B17">
        <v>144</v>
      </c>
      <c r="C17" t="s">
        <v>3927</v>
      </c>
      <c r="D17" s="571">
        <v>950</v>
      </c>
      <c r="E17" t="str">
        <f t="shared" si="0"/>
        <v>ok</v>
      </c>
      <c r="F17" s="276">
        <f t="shared" si="1"/>
        <v>0</v>
      </c>
      <c r="G17" s="276">
        <f t="shared" si="2"/>
        <v>1</v>
      </c>
      <c r="H17" t="s">
        <v>3926</v>
      </c>
      <c r="I17" t="s">
        <v>2676</v>
      </c>
      <c r="J17" t="s">
        <v>3927</v>
      </c>
      <c r="K17" s="571">
        <v>950</v>
      </c>
    </row>
    <row r="18" spans="1:11" hidden="1">
      <c r="A18" t="s">
        <v>4608</v>
      </c>
      <c r="B18">
        <v>62</v>
      </c>
      <c r="C18" t="s">
        <v>2795</v>
      </c>
      <c r="D18" s="571">
        <v>950</v>
      </c>
      <c r="E18" t="str">
        <f t="shared" si="0"/>
        <v>ok</v>
      </c>
      <c r="F18" s="276">
        <f t="shared" si="1"/>
        <v>0</v>
      </c>
      <c r="G18" s="276">
        <f t="shared" si="2"/>
        <v>1</v>
      </c>
      <c r="H18" t="s">
        <v>2985</v>
      </c>
      <c r="I18" t="s">
        <v>2675</v>
      </c>
      <c r="J18" t="s">
        <v>2795</v>
      </c>
      <c r="K18" s="571">
        <v>950</v>
      </c>
    </row>
    <row r="19" spans="1:11" hidden="1">
      <c r="A19" t="s">
        <v>4608</v>
      </c>
      <c r="B19">
        <v>76</v>
      </c>
      <c r="C19" t="s">
        <v>2799</v>
      </c>
      <c r="D19" s="571">
        <v>950</v>
      </c>
      <c r="E19" t="str">
        <f t="shared" si="0"/>
        <v>ok</v>
      </c>
      <c r="F19" s="276">
        <f t="shared" si="1"/>
        <v>0</v>
      </c>
      <c r="G19" s="276">
        <f t="shared" si="2"/>
        <v>1</v>
      </c>
      <c r="H19" t="s">
        <v>3210</v>
      </c>
      <c r="I19" t="s">
        <v>2675</v>
      </c>
      <c r="J19" t="s">
        <v>2799</v>
      </c>
      <c r="K19" s="571">
        <v>950</v>
      </c>
    </row>
    <row r="20" spans="1:11" hidden="1">
      <c r="A20" t="s">
        <v>4623</v>
      </c>
      <c r="B20">
        <v>142</v>
      </c>
      <c r="C20" t="s">
        <v>3924</v>
      </c>
      <c r="D20" s="571">
        <v>950</v>
      </c>
      <c r="E20" t="str">
        <f t="shared" si="0"/>
        <v>ok</v>
      </c>
      <c r="F20" s="276">
        <f t="shared" si="1"/>
        <v>0</v>
      </c>
      <c r="G20" s="276">
        <f t="shared" si="2"/>
        <v>1</v>
      </c>
      <c r="H20" t="s">
        <v>3923</v>
      </c>
      <c r="I20" t="s">
        <v>2676</v>
      </c>
      <c r="J20" t="s">
        <v>3924</v>
      </c>
      <c r="K20" s="571">
        <v>950</v>
      </c>
    </row>
    <row r="21" spans="1:11" hidden="1">
      <c r="A21" t="s">
        <v>4623</v>
      </c>
      <c r="B21">
        <v>89</v>
      </c>
      <c r="C21" t="s">
        <v>1676</v>
      </c>
      <c r="D21" s="571">
        <v>1012.5</v>
      </c>
      <c r="E21" t="str">
        <f t="shared" si="0"/>
        <v>ok</v>
      </c>
      <c r="F21" s="276">
        <f t="shared" si="1"/>
        <v>0</v>
      </c>
      <c r="G21" s="276">
        <f t="shared" si="2"/>
        <v>1</v>
      </c>
      <c r="H21" t="s">
        <v>3526</v>
      </c>
      <c r="I21" t="s">
        <v>2676</v>
      </c>
      <c r="J21" t="s">
        <v>1676</v>
      </c>
      <c r="K21" s="571">
        <v>1012.5</v>
      </c>
    </row>
    <row r="22" spans="1:11" hidden="1">
      <c r="A22" t="s">
        <v>4623</v>
      </c>
      <c r="B22">
        <v>150</v>
      </c>
      <c r="C22" t="s">
        <v>2775</v>
      </c>
      <c r="D22" s="571">
        <v>1081.76</v>
      </c>
      <c r="E22" t="str">
        <f t="shared" si="0"/>
        <v>ok</v>
      </c>
      <c r="F22" s="276">
        <f t="shared" si="1"/>
        <v>0</v>
      </c>
      <c r="G22" s="276">
        <f t="shared" si="2"/>
        <v>1</v>
      </c>
      <c r="H22" t="s">
        <v>4004</v>
      </c>
      <c r="I22" t="s">
        <v>2676</v>
      </c>
      <c r="J22" t="s">
        <v>2775</v>
      </c>
      <c r="K22" s="571">
        <v>1081.76</v>
      </c>
    </row>
    <row r="23" spans="1:11" hidden="1">
      <c r="A23" t="s">
        <v>4623</v>
      </c>
      <c r="B23">
        <v>136</v>
      </c>
      <c r="C23" t="s">
        <v>2731</v>
      </c>
      <c r="D23" s="571">
        <v>1125</v>
      </c>
      <c r="E23" t="str">
        <f t="shared" si="0"/>
        <v>ok</v>
      </c>
      <c r="F23" s="276">
        <f t="shared" si="1"/>
        <v>0</v>
      </c>
      <c r="G23" s="276">
        <f t="shared" si="2"/>
        <v>1</v>
      </c>
      <c r="H23" t="s">
        <v>3895</v>
      </c>
      <c r="I23" t="s">
        <v>2676</v>
      </c>
      <c r="J23" t="s">
        <v>2731</v>
      </c>
      <c r="K23" s="571">
        <v>1125</v>
      </c>
    </row>
    <row r="24" spans="1:11" hidden="1">
      <c r="A24" t="s">
        <v>4623</v>
      </c>
      <c r="B24">
        <v>137</v>
      </c>
      <c r="C24" t="s">
        <v>2731</v>
      </c>
      <c r="D24" s="571">
        <v>1125</v>
      </c>
      <c r="E24" t="str">
        <f t="shared" si="0"/>
        <v>ok</v>
      </c>
      <c r="F24" s="276">
        <f t="shared" si="1"/>
        <v>0</v>
      </c>
      <c r="G24" s="276">
        <f t="shared" si="2"/>
        <v>1</v>
      </c>
      <c r="H24" t="s">
        <v>3903</v>
      </c>
      <c r="I24" t="s">
        <v>2676</v>
      </c>
      <c r="J24" t="s">
        <v>2731</v>
      </c>
      <c r="K24" s="571">
        <v>1125</v>
      </c>
    </row>
    <row r="25" spans="1:11" hidden="1">
      <c r="A25" t="s">
        <v>4623</v>
      </c>
      <c r="B25">
        <v>152</v>
      </c>
      <c r="C25" t="s">
        <v>2731</v>
      </c>
      <c r="D25" s="571">
        <v>1125</v>
      </c>
      <c r="E25" t="str">
        <f t="shared" si="0"/>
        <v>ok</v>
      </c>
      <c r="F25" s="276">
        <f t="shared" si="1"/>
        <v>0</v>
      </c>
      <c r="G25" s="276">
        <f t="shared" si="2"/>
        <v>1</v>
      </c>
      <c r="H25" t="s">
        <v>4026</v>
      </c>
      <c r="I25" t="s">
        <v>2676</v>
      </c>
      <c r="J25" t="s">
        <v>2731</v>
      </c>
      <c r="K25" s="571">
        <v>1125</v>
      </c>
    </row>
    <row r="26" spans="1:11" hidden="1">
      <c r="A26" t="s">
        <v>4608</v>
      </c>
      <c r="B26">
        <v>49</v>
      </c>
      <c r="C26" t="s">
        <v>3162</v>
      </c>
      <c r="D26" s="571">
        <v>1125</v>
      </c>
      <c r="E26" t="str">
        <f t="shared" si="0"/>
        <v>ok</v>
      </c>
      <c r="F26" s="276">
        <f t="shared" si="1"/>
        <v>0</v>
      </c>
      <c r="G26" s="276">
        <f t="shared" si="2"/>
        <v>1</v>
      </c>
      <c r="H26" t="s">
        <v>3160</v>
      </c>
      <c r="I26" t="s">
        <v>2675</v>
      </c>
      <c r="J26" t="s">
        <v>3162</v>
      </c>
      <c r="K26" s="571">
        <v>1125</v>
      </c>
    </row>
    <row r="27" spans="1:11" hidden="1">
      <c r="A27" t="s">
        <v>4608</v>
      </c>
      <c r="B27">
        <v>51</v>
      </c>
      <c r="C27" t="s">
        <v>2720</v>
      </c>
      <c r="D27" s="571">
        <v>1125</v>
      </c>
      <c r="E27" t="str">
        <f t="shared" si="0"/>
        <v>ok</v>
      </c>
      <c r="F27" s="276">
        <f t="shared" si="1"/>
        <v>0</v>
      </c>
      <c r="G27" s="276">
        <f t="shared" si="2"/>
        <v>1</v>
      </c>
      <c r="H27" t="s">
        <v>3145</v>
      </c>
      <c r="I27" t="s">
        <v>2675</v>
      </c>
      <c r="J27" t="s">
        <v>2720</v>
      </c>
      <c r="K27" s="571">
        <v>1125</v>
      </c>
    </row>
    <row r="28" spans="1:11" hidden="1">
      <c r="A28" t="s">
        <v>4623</v>
      </c>
      <c r="B28">
        <v>106</v>
      </c>
      <c r="C28" t="s">
        <v>3613</v>
      </c>
      <c r="D28" s="571">
        <v>1192.32</v>
      </c>
      <c r="E28" t="str">
        <f t="shared" si="0"/>
        <v>ok</v>
      </c>
      <c r="F28" s="276">
        <f t="shared" si="1"/>
        <v>0</v>
      </c>
      <c r="G28" s="276">
        <f t="shared" si="2"/>
        <v>1</v>
      </c>
      <c r="H28" t="s">
        <v>3611</v>
      </c>
      <c r="I28" t="s">
        <v>2676</v>
      </c>
      <c r="J28" t="s">
        <v>3613</v>
      </c>
      <c r="K28" s="571">
        <v>1192.32</v>
      </c>
    </row>
    <row r="29" spans="1:11" hidden="1">
      <c r="A29" t="s">
        <v>4607</v>
      </c>
      <c r="B29">
        <v>3</v>
      </c>
      <c r="C29" t="s">
        <v>1677</v>
      </c>
      <c r="D29" s="571">
        <v>1218.24</v>
      </c>
      <c r="E29" t="str">
        <f t="shared" si="0"/>
        <v>ok</v>
      </c>
      <c r="F29" s="276">
        <f t="shared" si="1"/>
        <v>0</v>
      </c>
      <c r="G29" s="276">
        <f t="shared" si="2"/>
        <v>1</v>
      </c>
      <c r="H29" t="s">
        <v>2853</v>
      </c>
      <c r="I29" t="s">
        <v>2674</v>
      </c>
      <c r="J29" t="s">
        <v>1677</v>
      </c>
      <c r="K29" s="571">
        <v>1218.24</v>
      </c>
    </row>
    <row r="30" spans="1:11" hidden="1">
      <c r="A30" t="s">
        <v>4623</v>
      </c>
      <c r="B30">
        <v>110</v>
      </c>
      <c r="C30" t="s">
        <v>2775</v>
      </c>
      <c r="D30" s="571">
        <v>1272</v>
      </c>
      <c r="E30" t="str">
        <f t="shared" si="0"/>
        <v>ok</v>
      </c>
      <c r="F30" s="276">
        <f t="shared" si="1"/>
        <v>0</v>
      </c>
      <c r="G30" s="276">
        <f t="shared" si="2"/>
        <v>1</v>
      </c>
      <c r="H30" t="s">
        <v>3679</v>
      </c>
      <c r="I30" t="s">
        <v>2676</v>
      </c>
      <c r="J30" t="s">
        <v>2775</v>
      </c>
      <c r="K30" s="571">
        <v>1272</v>
      </c>
    </row>
    <row r="31" spans="1:11" hidden="1">
      <c r="A31" t="s">
        <v>4608</v>
      </c>
      <c r="B31">
        <v>37</v>
      </c>
      <c r="C31" t="s">
        <v>1677</v>
      </c>
      <c r="D31" s="571">
        <v>1296</v>
      </c>
      <c r="E31" t="str">
        <f t="shared" si="0"/>
        <v>ok</v>
      </c>
      <c r="F31" s="276">
        <f t="shared" si="1"/>
        <v>0</v>
      </c>
      <c r="G31" s="276">
        <f t="shared" si="2"/>
        <v>1</v>
      </c>
      <c r="H31" t="s">
        <v>3088</v>
      </c>
      <c r="I31" t="s">
        <v>2675</v>
      </c>
      <c r="J31" t="s">
        <v>1677</v>
      </c>
      <c r="K31" s="571">
        <v>1296</v>
      </c>
    </row>
    <row r="32" spans="1:11" hidden="1">
      <c r="A32" t="s">
        <v>4623</v>
      </c>
      <c r="B32">
        <v>115</v>
      </c>
      <c r="C32" t="s">
        <v>3162</v>
      </c>
      <c r="D32" s="571">
        <v>1392.25</v>
      </c>
      <c r="E32" t="str">
        <f t="shared" si="0"/>
        <v>ok</v>
      </c>
      <c r="F32" s="276">
        <f t="shared" si="1"/>
        <v>0</v>
      </c>
      <c r="G32" s="276">
        <f t="shared" si="2"/>
        <v>1</v>
      </c>
      <c r="H32" t="s">
        <v>3816</v>
      </c>
      <c r="I32" t="s">
        <v>2676</v>
      </c>
      <c r="J32" t="s">
        <v>3162</v>
      </c>
      <c r="K32" s="571">
        <v>1392.25</v>
      </c>
    </row>
    <row r="33" spans="1:11" hidden="1">
      <c r="A33" t="s">
        <v>4607</v>
      </c>
      <c r="B33">
        <v>14</v>
      </c>
      <c r="C33" t="s">
        <v>2720</v>
      </c>
      <c r="D33" s="571">
        <v>1406.25</v>
      </c>
      <c r="E33" t="str">
        <f t="shared" si="0"/>
        <v>ok</v>
      </c>
      <c r="F33" s="276">
        <f t="shared" si="1"/>
        <v>0</v>
      </c>
      <c r="G33" s="276">
        <f t="shared" si="2"/>
        <v>1</v>
      </c>
      <c r="H33" t="s">
        <v>2779</v>
      </c>
      <c r="I33" t="s">
        <v>2674</v>
      </c>
      <c r="J33" t="s">
        <v>2720</v>
      </c>
      <c r="K33" s="571">
        <v>1406.25</v>
      </c>
    </row>
    <row r="34" spans="1:11" hidden="1">
      <c r="A34" t="s">
        <v>4623</v>
      </c>
      <c r="B34">
        <v>92</v>
      </c>
      <c r="C34" t="s">
        <v>2739</v>
      </c>
      <c r="D34" s="571">
        <v>1476.43</v>
      </c>
      <c r="E34" t="str">
        <f t="shared" si="0"/>
        <v>ok</v>
      </c>
      <c r="F34" s="276">
        <f t="shared" si="1"/>
        <v>0</v>
      </c>
      <c r="G34" s="276">
        <f t="shared" si="2"/>
        <v>1</v>
      </c>
      <c r="H34" t="s">
        <v>3540</v>
      </c>
      <c r="I34" t="s">
        <v>2676</v>
      </c>
      <c r="J34" t="s">
        <v>2739</v>
      </c>
      <c r="K34" s="571">
        <v>1476.43</v>
      </c>
    </row>
    <row r="35" spans="1:11" hidden="1">
      <c r="A35" t="s">
        <v>4623</v>
      </c>
      <c r="B35">
        <v>148</v>
      </c>
      <c r="C35" t="s">
        <v>2731</v>
      </c>
      <c r="D35" s="571">
        <v>1598.88</v>
      </c>
      <c r="E35" t="str">
        <f t="shared" si="0"/>
        <v>ok</v>
      </c>
      <c r="F35" s="276">
        <f t="shared" si="1"/>
        <v>0</v>
      </c>
      <c r="G35" s="276">
        <f t="shared" si="2"/>
        <v>1</v>
      </c>
      <c r="H35" t="s">
        <v>3991</v>
      </c>
      <c r="I35" t="s">
        <v>2676</v>
      </c>
      <c r="J35" t="s">
        <v>2731</v>
      </c>
      <c r="K35" s="571">
        <v>1598.88</v>
      </c>
    </row>
    <row r="36" spans="1:11" hidden="1">
      <c r="A36" t="s">
        <v>4623</v>
      </c>
      <c r="B36">
        <v>149</v>
      </c>
      <c r="C36" t="s">
        <v>2731</v>
      </c>
      <c r="D36" s="571">
        <v>1802.6499999999999</v>
      </c>
      <c r="E36" t="str">
        <f t="shared" si="0"/>
        <v>ok</v>
      </c>
      <c r="F36" s="276">
        <f t="shared" si="1"/>
        <v>0</v>
      </c>
      <c r="G36" s="276">
        <f t="shared" si="2"/>
        <v>1</v>
      </c>
      <c r="H36" t="s">
        <v>3993</v>
      </c>
      <c r="I36" t="s">
        <v>2676</v>
      </c>
      <c r="J36" t="s">
        <v>2731</v>
      </c>
      <c r="K36" s="571">
        <v>1802.6499999999999</v>
      </c>
    </row>
    <row r="37" spans="1:11" hidden="1">
      <c r="A37" t="s">
        <v>4608</v>
      </c>
      <c r="B37">
        <v>30</v>
      </c>
      <c r="C37" t="s">
        <v>3296</v>
      </c>
      <c r="D37" s="571">
        <v>1883.39</v>
      </c>
      <c r="E37" t="str">
        <f t="shared" si="0"/>
        <v>ok</v>
      </c>
      <c r="F37" s="276">
        <f t="shared" si="1"/>
        <v>0</v>
      </c>
      <c r="G37" s="276">
        <f t="shared" si="2"/>
        <v>1</v>
      </c>
      <c r="H37" t="s">
        <v>3294</v>
      </c>
      <c r="I37" t="s">
        <v>2675</v>
      </c>
      <c r="J37" t="s">
        <v>3296</v>
      </c>
      <c r="K37" s="571">
        <v>1883.39</v>
      </c>
    </row>
    <row r="38" spans="1:11" hidden="1">
      <c r="A38" t="s">
        <v>4608</v>
      </c>
      <c r="B38">
        <v>33</v>
      </c>
      <c r="C38" t="s">
        <v>2792</v>
      </c>
      <c r="D38" s="571">
        <v>1900</v>
      </c>
      <c r="E38" t="str">
        <f t="shared" si="0"/>
        <v>ok</v>
      </c>
      <c r="F38" s="276">
        <f t="shared" si="1"/>
        <v>0</v>
      </c>
      <c r="G38" s="276">
        <f t="shared" si="2"/>
        <v>1</v>
      </c>
      <c r="H38" t="s">
        <v>2984</v>
      </c>
      <c r="I38" t="s">
        <v>2675</v>
      </c>
      <c r="J38" t="s">
        <v>2792</v>
      </c>
      <c r="K38" s="571">
        <v>1900</v>
      </c>
    </row>
    <row r="39" spans="1:11" hidden="1">
      <c r="A39" t="s">
        <v>4608</v>
      </c>
      <c r="B39">
        <v>48</v>
      </c>
      <c r="C39" t="s">
        <v>2805</v>
      </c>
      <c r="D39" s="571">
        <v>1900</v>
      </c>
      <c r="E39" t="str">
        <f t="shared" si="0"/>
        <v>ok</v>
      </c>
      <c r="F39" s="276">
        <f t="shared" si="1"/>
        <v>0</v>
      </c>
      <c r="G39" s="276">
        <f t="shared" si="2"/>
        <v>1</v>
      </c>
      <c r="H39" t="s">
        <v>2988</v>
      </c>
      <c r="I39" t="s">
        <v>2675</v>
      </c>
      <c r="J39" t="s">
        <v>2805</v>
      </c>
      <c r="K39" s="571">
        <v>1900</v>
      </c>
    </row>
    <row r="40" spans="1:11">
      <c r="A40" t="s">
        <v>4608</v>
      </c>
      <c r="B40">
        <v>59</v>
      </c>
      <c r="C40" t="s">
        <v>4617</v>
      </c>
      <c r="D40" s="571">
        <v>1900</v>
      </c>
      <c r="E40" t="str">
        <f t="shared" si="0"/>
        <v>not ok</v>
      </c>
      <c r="F40" s="276">
        <f t="shared" si="1"/>
        <v>1900</v>
      </c>
      <c r="G40" s="276">
        <f t="shared" si="2"/>
        <v>0</v>
      </c>
      <c r="H40" s="548"/>
      <c r="I40" s="548"/>
      <c r="J40" s="548"/>
      <c r="K40" s="572"/>
    </row>
    <row r="41" spans="1:11">
      <c r="A41" t="s">
        <v>4608</v>
      </c>
      <c r="B41">
        <v>65</v>
      </c>
      <c r="C41" t="s">
        <v>4620</v>
      </c>
      <c r="D41" s="571">
        <v>1900</v>
      </c>
      <c r="E41" t="str">
        <f t="shared" si="0"/>
        <v>not ok</v>
      </c>
      <c r="F41" s="276">
        <f t="shared" si="1"/>
        <v>1900</v>
      </c>
      <c r="G41" s="276">
        <f t="shared" si="2"/>
        <v>0</v>
      </c>
      <c r="H41" s="548"/>
      <c r="I41" s="548"/>
      <c r="J41" s="548"/>
      <c r="K41" s="572"/>
    </row>
    <row r="42" spans="1:11">
      <c r="A42" t="s">
        <v>4608</v>
      </c>
      <c r="B42">
        <v>82</v>
      </c>
      <c r="C42" t="s">
        <v>4622</v>
      </c>
      <c r="D42" s="571">
        <v>1900</v>
      </c>
      <c r="E42" t="str">
        <f t="shared" si="0"/>
        <v>not ok</v>
      </c>
      <c r="F42" s="276">
        <f t="shared" si="1"/>
        <v>1900</v>
      </c>
      <c r="G42" s="276">
        <f t="shared" si="2"/>
        <v>0</v>
      </c>
      <c r="H42" s="548"/>
      <c r="I42" s="548"/>
      <c r="J42" s="548"/>
      <c r="K42" s="572"/>
    </row>
    <row r="43" spans="1:11" hidden="1">
      <c r="A43" t="s">
        <v>4623</v>
      </c>
      <c r="B43">
        <v>109</v>
      </c>
      <c r="C43" t="s">
        <v>2775</v>
      </c>
      <c r="D43" s="571">
        <v>1908</v>
      </c>
      <c r="E43" t="str">
        <f t="shared" si="0"/>
        <v>ok</v>
      </c>
      <c r="F43" s="276">
        <f t="shared" si="1"/>
        <v>0</v>
      </c>
      <c r="G43" s="276">
        <f t="shared" si="2"/>
        <v>1</v>
      </c>
      <c r="H43" t="s">
        <v>3676</v>
      </c>
      <c r="I43" t="s">
        <v>2676</v>
      </c>
      <c r="J43" t="s">
        <v>2775</v>
      </c>
      <c r="K43" s="571">
        <v>1908</v>
      </c>
    </row>
    <row r="44" spans="1:11" hidden="1">
      <c r="A44" t="s">
        <v>4623</v>
      </c>
      <c r="B44">
        <v>104</v>
      </c>
      <c r="C44" t="s">
        <v>3605</v>
      </c>
      <c r="D44" s="571">
        <v>2153.13</v>
      </c>
      <c r="E44" t="str">
        <f t="shared" si="0"/>
        <v>ok</v>
      </c>
      <c r="F44" s="276">
        <f t="shared" si="1"/>
        <v>0</v>
      </c>
      <c r="G44" s="276">
        <f t="shared" si="2"/>
        <v>1</v>
      </c>
      <c r="H44" t="s">
        <v>3603</v>
      </c>
      <c r="I44" t="s">
        <v>2676</v>
      </c>
      <c r="J44" t="s">
        <v>3605</v>
      </c>
      <c r="K44" s="571">
        <v>2153.13</v>
      </c>
    </row>
    <row r="45" spans="1:11" hidden="1">
      <c r="A45" t="s">
        <v>4607</v>
      </c>
      <c r="B45">
        <v>12</v>
      </c>
      <c r="C45" t="s">
        <v>2731</v>
      </c>
      <c r="D45" s="571">
        <v>2250</v>
      </c>
      <c r="E45" t="str">
        <f t="shared" si="0"/>
        <v>ok</v>
      </c>
      <c r="F45" s="276">
        <f t="shared" si="1"/>
        <v>0</v>
      </c>
      <c r="G45" s="276">
        <f t="shared" si="2"/>
        <v>1</v>
      </c>
      <c r="H45" t="s">
        <v>2733</v>
      </c>
      <c r="I45" t="s">
        <v>2674</v>
      </c>
      <c r="J45" t="s">
        <v>2731</v>
      </c>
      <c r="K45" s="571">
        <v>2250</v>
      </c>
    </row>
    <row r="46" spans="1:11" hidden="1">
      <c r="A46" t="s">
        <v>4608</v>
      </c>
      <c r="B46">
        <v>50</v>
      </c>
      <c r="C46" t="s">
        <v>3162</v>
      </c>
      <c r="D46" s="571">
        <v>2250</v>
      </c>
      <c r="E46" t="str">
        <f t="shared" si="0"/>
        <v>ok</v>
      </c>
      <c r="F46" s="276">
        <f t="shared" si="1"/>
        <v>0</v>
      </c>
      <c r="G46" s="276">
        <f t="shared" si="2"/>
        <v>1</v>
      </c>
      <c r="H46" t="s">
        <v>3167</v>
      </c>
      <c r="I46" t="s">
        <v>2675</v>
      </c>
      <c r="J46" t="s">
        <v>3162</v>
      </c>
      <c r="K46" s="571">
        <v>2250</v>
      </c>
    </row>
    <row r="47" spans="1:11" hidden="1">
      <c r="A47" t="s">
        <v>4607</v>
      </c>
      <c r="B47">
        <v>11</v>
      </c>
      <c r="C47" t="s">
        <v>2731</v>
      </c>
      <c r="D47" s="571">
        <v>2343.75</v>
      </c>
      <c r="E47" t="str">
        <f t="shared" si="0"/>
        <v>ok</v>
      </c>
      <c r="F47" s="276">
        <f t="shared" si="1"/>
        <v>0</v>
      </c>
      <c r="G47" s="276">
        <f t="shared" si="2"/>
        <v>1</v>
      </c>
      <c r="H47" t="s">
        <v>2730</v>
      </c>
      <c r="I47" t="s">
        <v>2674</v>
      </c>
      <c r="J47" t="s">
        <v>2731</v>
      </c>
      <c r="K47" s="571">
        <v>2343.75</v>
      </c>
    </row>
    <row r="48" spans="1:11" hidden="1">
      <c r="A48" t="s">
        <v>4623</v>
      </c>
      <c r="B48">
        <v>161</v>
      </c>
      <c r="C48" t="s">
        <v>2731</v>
      </c>
      <c r="D48" s="571">
        <v>2343.75</v>
      </c>
      <c r="E48" t="str">
        <f t="shared" si="0"/>
        <v>ok</v>
      </c>
      <c r="F48" s="276">
        <f t="shared" si="1"/>
        <v>0</v>
      </c>
      <c r="G48" s="276">
        <f t="shared" si="2"/>
        <v>1</v>
      </c>
      <c r="H48" t="s">
        <v>4110</v>
      </c>
      <c r="I48" t="s">
        <v>2676</v>
      </c>
      <c r="J48" t="s">
        <v>2731</v>
      </c>
      <c r="K48" s="571">
        <v>2343.75</v>
      </c>
    </row>
    <row r="49" spans="1:11" hidden="1">
      <c r="A49" t="s">
        <v>4623</v>
      </c>
      <c r="B49">
        <v>87</v>
      </c>
      <c r="C49" t="s">
        <v>3162</v>
      </c>
      <c r="D49" s="571">
        <v>2343.75</v>
      </c>
      <c r="E49" t="str">
        <f t="shared" si="0"/>
        <v>ok</v>
      </c>
      <c r="F49" s="276">
        <f t="shared" si="1"/>
        <v>0</v>
      </c>
      <c r="G49" s="276">
        <f t="shared" si="2"/>
        <v>1</v>
      </c>
      <c r="H49" t="s">
        <v>3471</v>
      </c>
      <c r="I49" t="s">
        <v>2676</v>
      </c>
      <c r="J49" t="s">
        <v>3162</v>
      </c>
      <c r="K49" s="571">
        <v>2343.75</v>
      </c>
    </row>
    <row r="50" spans="1:11" hidden="1">
      <c r="A50" t="s">
        <v>4623</v>
      </c>
      <c r="B50">
        <v>156</v>
      </c>
      <c r="C50" t="s">
        <v>3598</v>
      </c>
      <c r="D50" s="571">
        <v>2366.0700000000002</v>
      </c>
      <c r="E50" t="str">
        <f t="shared" si="0"/>
        <v>ok</v>
      </c>
      <c r="F50" s="276">
        <f t="shared" si="1"/>
        <v>0</v>
      </c>
      <c r="G50" s="276">
        <f t="shared" si="2"/>
        <v>1</v>
      </c>
      <c r="H50" t="s">
        <v>4050</v>
      </c>
      <c r="I50" t="s">
        <v>2676</v>
      </c>
      <c r="J50" t="s">
        <v>3598</v>
      </c>
      <c r="K50" s="571">
        <v>2366.0700000000002</v>
      </c>
    </row>
    <row r="51" spans="1:11" hidden="1">
      <c r="A51" t="s">
        <v>4623</v>
      </c>
      <c r="B51">
        <v>113</v>
      </c>
      <c r="C51" t="s">
        <v>3802</v>
      </c>
      <c r="D51" s="571">
        <v>2375</v>
      </c>
      <c r="E51" t="str">
        <f t="shared" si="0"/>
        <v>ok</v>
      </c>
      <c r="F51" s="276">
        <f t="shared" si="1"/>
        <v>0</v>
      </c>
      <c r="G51" s="276">
        <f t="shared" si="2"/>
        <v>1</v>
      </c>
      <c r="H51" t="s">
        <v>3801</v>
      </c>
      <c r="I51" t="s">
        <v>2676</v>
      </c>
      <c r="J51" t="s">
        <v>3802</v>
      </c>
      <c r="K51" s="571">
        <v>2375</v>
      </c>
    </row>
    <row r="52" spans="1:11" hidden="1">
      <c r="A52" t="s">
        <v>4623</v>
      </c>
      <c r="B52">
        <v>135</v>
      </c>
      <c r="C52" t="s">
        <v>2882</v>
      </c>
      <c r="D52" s="571">
        <v>2386.56</v>
      </c>
      <c r="E52" t="str">
        <f t="shared" si="0"/>
        <v>ok</v>
      </c>
      <c r="F52" s="276">
        <f t="shared" si="1"/>
        <v>0</v>
      </c>
      <c r="G52" s="276">
        <f t="shared" si="2"/>
        <v>1</v>
      </c>
      <c r="H52" t="s">
        <v>3892</v>
      </c>
      <c r="I52" t="s">
        <v>2676</v>
      </c>
      <c r="J52" t="s">
        <v>2882</v>
      </c>
      <c r="K52" s="571">
        <v>2386.56</v>
      </c>
    </row>
    <row r="53" spans="1:11" hidden="1">
      <c r="A53" t="s">
        <v>4623</v>
      </c>
      <c r="B53">
        <v>155</v>
      </c>
      <c r="C53" t="s">
        <v>2775</v>
      </c>
      <c r="D53" s="571">
        <v>2544</v>
      </c>
      <c r="E53" t="str">
        <f t="shared" si="0"/>
        <v>ok</v>
      </c>
      <c r="F53" s="276">
        <f t="shared" si="1"/>
        <v>0</v>
      </c>
      <c r="G53" s="276">
        <f t="shared" si="2"/>
        <v>1</v>
      </c>
      <c r="H53" t="s">
        <v>4047</v>
      </c>
      <c r="I53" t="s">
        <v>2676</v>
      </c>
      <c r="J53" t="s">
        <v>2775</v>
      </c>
      <c r="K53" s="571">
        <v>2544</v>
      </c>
    </row>
    <row r="54" spans="1:11" hidden="1">
      <c r="A54" t="s">
        <v>4623</v>
      </c>
      <c r="B54">
        <v>134</v>
      </c>
      <c r="C54" t="s">
        <v>3890</v>
      </c>
      <c r="D54" s="571">
        <v>2688</v>
      </c>
      <c r="E54" t="str">
        <f t="shared" si="0"/>
        <v>ok</v>
      </c>
      <c r="F54" s="276">
        <f t="shared" si="1"/>
        <v>0</v>
      </c>
      <c r="G54" s="276">
        <f t="shared" si="2"/>
        <v>1</v>
      </c>
      <c r="H54" t="s">
        <v>3888</v>
      </c>
      <c r="I54" t="s">
        <v>2676</v>
      </c>
      <c r="J54" t="s">
        <v>3890</v>
      </c>
      <c r="K54" s="571">
        <v>2688</v>
      </c>
    </row>
    <row r="55" spans="1:11" hidden="1">
      <c r="A55" t="s">
        <v>4607</v>
      </c>
      <c r="B55">
        <v>13</v>
      </c>
      <c r="C55" t="s">
        <v>2720</v>
      </c>
      <c r="D55" s="571">
        <v>2793.75</v>
      </c>
      <c r="E55" t="str">
        <f t="shared" si="0"/>
        <v>ok</v>
      </c>
      <c r="F55" s="276">
        <f t="shared" si="1"/>
        <v>0</v>
      </c>
      <c r="G55" s="276">
        <f t="shared" si="2"/>
        <v>1</v>
      </c>
      <c r="H55" t="s">
        <v>2719</v>
      </c>
      <c r="I55" t="s">
        <v>2674</v>
      </c>
      <c r="J55" t="s">
        <v>2720</v>
      </c>
      <c r="K55" s="571">
        <v>2793.75</v>
      </c>
    </row>
    <row r="56" spans="1:11" hidden="1">
      <c r="A56" t="s">
        <v>4607</v>
      </c>
      <c r="B56">
        <v>4</v>
      </c>
      <c r="C56" t="s">
        <v>2739</v>
      </c>
      <c r="D56" s="571">
        <v>2801.43</v>
      </c>
      <c r="E56" t="str">
        <f t="shared" si="0"/>
        <v>ok</v>
      </c>
      <c r="F56" s="276">
        <f t="shared" si="1"/>
        <v>0</v>
      </c>
      <c r="G56" s="276">
        <f t="shared" si="2"/>
        <v>1</v>
      </c>
      <c r="H56" t="s">
        <v>2738</v>
      </c>
      <c r="I56" t="s">
        <v>2674</v>
      </c>
      <c r="J56" t="s">
        <v>2739</v>
      </c>
      <c r="K56" s="571">
        <v>2801.43</v>
      </c>
    </row>
    <row r="57" spans="1:11">
      <c r="A57" t="s">
        <v>4608</v>
      </c>
      <c r="B57">
        <v>32</v>
      </c>
      <c r="C57" t="s">
        <v>4609</v>
      </c>
      <c r="D57" s="571">
        <v>2850</v>
      </c>
      <c r="E57" t="str">
        <f>IF(C57=J61,"ok","not ok")</f>
        <v>not ok</v>
      </c>
      <c r="F57" s="276">
        <f t="shared" si="1"/>
        <v>2850</v>
      </c>
      <c r="G57" s="276">
        <f t="shared" si="2"/>
        <v>0</v>
      </c>
      <c r="H57" s="548"/>
      <c r="I57" s="548"/>
      <c r="J57" s="548"/>
      <c r="K57" s="572"/>
    </row>
    <row r="58" spans="1:11">
      <c r="A58" t="s">
        <v>4608</v>
      </c>
      <c r="B58">
        <v>35</v>
      </c>
      <c r="C58" t="s">
        <v>4610</v>
      </c>
      <c r="D58" s="571">
        <v>2850</v>
      </c>
      <c r="E58" t="str">
        <f t="shared" si="0"/>
        <v>not ok</v>
      </c>
      <c r="F58" s="276">
        <f t="shared" si="1"/>
        <v>2850</v>
      </c>
      <c r="G58" s="276">
        <f t="shared" si="2"/>
        <v>0</v>
      </c>
      <c r="H58" s="548"/>
      <c r="I58" s="548"/>
      <c r="J58" s="548"/>
      <c r="K58" s="572"/>
    </row>
    <row r="59" spans="1:11">
      <c r="A59" t="s">
        <v>4608</v>
      </c>
      <c r="B59">
        <v>36</v>
      </c>
      <c r="C59" t="s">
        <v>4611</v>
      </c>
      <c r="D59" s="571">
        <v>2850</v>
      </c>
      <c r="E59" t="str">
        <f>IF(C59=J66,"ok","not ok")</f>
        <v>not ok</v>
      </c>
      <c r="F59" s="276">
        <f t="shared" si="1"/>
        <v>2850</v>
      </c>
      <c r="G59" s="276">
        <f t="shared" si="2"/>
        <v>0</v>
      </c>
      <c r="H59" s="548"/>
      <c r="I59" s="548"/>
      <c r="J59" s="548"/>
      <c r="K59" s="572"/>
    </row>
    <row r="60" spans="1:11">
      <c r="A60" t="s">
        <v>4608</v>
      </c>
      <c r="B60">
        <v>38</v>
      </c>
      <c r="C60" t="s">
        <v>4612</v>
      </c>
      <c r="D60" s="571">
        <v>2850</v>
      </c>
      <c r="E60" t="str">
        <f t="shared" si="0"/>
        <v>not ok</v>
      </c>
      <c r="F60" s="276">
        <f t="shared" si="1"/>
        <v>2850</v>
      </c>
      <c r="G60" s="276">
        <f t="shared" si="2"/>
        <v>0</v>
      </c>
      <c r="H60" s="548"/>
      <c r="I60" s="548"/>
      <c r="J60" s="548"/>
      <c r="K60" s="572"/>
    </row>
    <row r="61" spans="1:11" hidden="1">
      <c r="A61" t="s">
        <v>4608</v>
      </c>
      <c r="B61">
        <v>41</v>
      </c>
      <c r="C61" t="s">
        <v>2801</v>
      </c>
      <c r="D61" s="571">
        <v>2850</v>
      </c>
      <c r="E61" t="str">
        <f>IF(C61=J61,"ok","not ok")</f>
        <v>ok</v>
      </c>
      <c r="F61" s="276">
        <f>D61-K61</f>
        <v>0</v>
      </c>
      <c r="G61" s="276">
        <f t="shared" si="2"/>
        <v>1</v>
      </c>
      <c r="H61" t="s">
        <v>2800</v>
      </c>
      <c r="I61" t="s">
        <v>2674</v>
      </c>
      <c r="J61" t="s">
        <v>2801</v>
      </c>
      <c r="K61" s="571">
        <v>2850</v>
      </c>
    </row>
    <row r="62" spans="1:11">
      <c r="A62" t="s">
        <v>4608</v>
      </c>
      <c r="B62">
        <v>44</v>
      </c>
      <c r="C62" t="s">
        <v>4615</v>
      </c>
      <c r="D62" s="571">
        <v>2850</v>
      </c>
      <c r="E62" t="str">
        <f t="shared" si="0"/>
        <v>not ok</v>
      </c>
      <c r="F62" s="276">
        <f t="shared" si="1"/>
        <v>2850</v>
      </c>
      <c r="G62" s="276">
        <f t="shared" si="2"/>
        <v>0</v>
      </c>
      <c r="H62" s="548"/>
      <c r="I62" s="548"/>
      <c r="J62" s="548"/>
      <c r="K62" s="572"/>
    </row>
    <row r="63" spans="1:11">
      <c r="A63" t="s">
        <v>4608</v>
      </c>
      <c r="B63">
        <v>60</v>
      </c>
      <c r="C63" t="s">
        <v>4618</v>
      </c>
      <c r="D63" s="571">
        <v>2850</v>
      </c>
      <c r="E63" t="str">
        <f t="shared" si="0"/>
        <v>not ok</v>
      </c>
      <c r="F63" s="276">
        <f t="shared" si="1"/>
        <v>2850</v>
      </c>
      <c r="G63" s="276">
        <f t="shared" si="2"/>
        <v>0</v>
      </c>
      <c r="H63" s="548"/>
      <c r="I63" s="548"/>
      <c r="J63" s="548"/>
      <c r="K63" s="572"/>
    </row>
    <row r="64" spans="1:11">
      <c r="A64" t="s">
        <v>4608</v>
      </c>
      <c r="B64">
        <v>64</v>
      </c>
      <c r="C64" t="s">
        <v>4619</v>
      </c>
      <c r="D64" s="571">
        <v>2850</v>
      </c>
      <c r="E64" t="str">
        <f t="shared" si="0"/>
        <v>not ok</v>
      </c>
      <c r="F64" s="276">
        <f t="shared" si="1"/>
        <v>2850</v>
      </c>
      <c r="G64" s="276">
        <f t="shared" si="2"/>
        <v>0</v>
      </c>
      <c r="H64" s="548"/>
      <c r="I64" s="548"/>
      <c r="J64" s="548"/>
      <c r="K64" s="572"/>
    </row>
    <row r="65" spans="1:11">
      <c r="A65" t="s">
        <v>4608</v>
      </c>
      <c r="B65">
        <v>70</v>
      </c>
      <c r="C65" t="s">
        <v>4621</v>
      </c>
      <c r="D65" s="571">
        <v>2850</v>
      </c>
      <c r="E65" t="str">
        <f t="shared" si="0"/>
        <v>not ok</v>
      </c>
      <c r="F65" s="276">
        <f t="shared" si="1"/>
        <v>2850</v>
      </c>
      <c r="G65" s="276">
        <f t="shared" si="2"/>
        <v>0</v>
      </c>
      <c r="H65" s="548"/>
      <c r="I65" s="548"/>
      <c r="J65" s="548"/>
      <c r="K65" s="572"/>
    </row>
    <row r="66" spans="1:11" hidden="1">
      <c r="A66" t="s">
        <v>4608</v>
      </c>
      <c r="B66">
        <v>83</v>
      </c>
      <c r="C66" t="s">
        <v>2803</v>
      </c>
      <c r="D66" s="571">
        <v>2850</v>
      </c>
      <c r="E66" t="str">
        <f>IF(C66=J66,"ok","not ok")</f>
        <v>ok</v>
      </c>
      <c r="F66" s="276">
        <f>D66-K66</f>
        <v>0</v>
      </c>
      <c r="G66" s="276">
        <f t="shared" si="2"/>
        <v>1</v>
      </c>
      <c r="H66" t="s">
        <v>2987</v>
      </c>
      <c r="I66" t="s">
        <v>2675</v>
      </c>
      <c r="J66" t="s">
        <v>2803</v>
      </c>
      <c r="K66" s="571">
        <v>2850</v>
      </c>
    </row>
    <row r="67" spans="1:11" hidden="1">
      <c r="A67" t="s">
        <v>4623</v>
      </c>
      <c r="B67">
        <v>88</v>
      </c>
      <c r="C67" t="s">
        <v>2775</v>
      </c>
      <c r="D67" s="571">
        <v>2884.72</v>
      </c>
      <c r="E67" t="str">
        <f t="shared" si="0"/>
        <v>ok</v>
      </c>
      <c r="F67" s="276">
        <f t="shared" si="1"/>
        <v>0</v>
      </c>
      <c r="G67" s="276">
        <f t="shared" si="2"/>
        <v>1</v>
      </c>
      <c r="H67" t="s">
        <v>3523</v>
      </c>
      <c r="I67" t="s">
        <v>2676</v>
      </c>
      <c r="J67" t="s">
        <v>2775</v>
      </c>
      <c r="K67" s="571">
        <v>2884.72</v>
      </c>
    </row>
    <row r="68" spans="1:11" hidden="1">
      <c r="A68" t="s">
        <v>4623</v>
      </c>
      <c r="B68">
        <v>114</v>
      </c>
      <c r="C68" t="s">
        <v>3805</v>
      </c>
      <c r="D68" s="571">
        <v>3171.56</v>
      </c>
      <c r="E68" t="str">
        <f t="shared" ref="E68:E131" si="3">IF(C68=J68,"ok","not ok")</f>
        <v>ok</v>
      </c>
      <c r="F68" s="276">
        <f t="shared" ref="F68:F131" si="4">D68-K68</f>
        <v>0</v>
      </c>
      <c r="G68" s="276">
        <f t="shared" ref="G68:G131" si="5">COUNTIFS($H$3:$H$169,H68)</f>
        <v>1</v>
      </c>
      <c r="H68" t="s">
        <v>3804</v>
      </c>
      <c r="I68" t="s">
        <v>2676</v>
      </c>
      <c r="J68" t="s">
        <v>3805</v>
      </c>
      <c r="K68" s="571">
        <v>3171.56</v>
      </c>
    </row>
    <row r="69" spans="1:11" hidden="1">
      <c r="A69" t="s">
        <v>4623</v>
      </c>
      <c r="B69">
        <v>101</v>
      </c>
      <c r="C69" t="s">
        <v>3592</v>
      </c>
      <c r="D69" s="571">
        <v>3187.5</v>
      </c>
      <c r="E69" t="str">
        <f t="shared" si="3"/>
        <v>ok</v>
      </c>
      <c r="F69" s="276">
        <f t="shared" si="4"/>
        <v>0</v>
      </c>
      <c r="G69" s="276">
        <f t="shared" si="5"/>
        <v>1</v>
      </c>
      <c r="H69" t="s">
        <v>3590</v>
      </c>
      <c r="I69" t="s">
        <v>2676</v>
      </c>
      <c r="J69" t="s">
        <v>3592</v>
      </c>
      <c r="K69" s="571">
        <v>3187.5</v>
      </c>
    </row>
    <row r="70" spans="1:11" hidden="1">
      <c r="A70" t="s">
        <v>4623</v>
      </c>
      <c r="B70">
        <v>167</v>
      </c>
      <c r="C70" t="s">
        <v>2731</v>
      </c>
      <c r="D70" s="571">
        <v>3281.25</v>
      </c>
      <c r="E70" t="str">
        <f t="shared" si="3"/>
        <v>ok</v>
      </c>
      <c r="F70" s="276">
        <f t="shared" si="4"/>
        <v>0</v>
      </c>
      <c r="G70" s="276">
        <f t="shared" si="5"/>
        <v>1</v>
      </c>
      <c r="H70" t="s">
        <v>4194</v>
      </c>
      <c r="I70" t="s">
        <v>2676</v>
      </c>
      <c r="J70" t="s">
        <v>2731</v>
      </c>
      <c r="K70" s="571">
        <v>3281.25</v>
      </c>
    </row>
    <row r="71" spans="1:11" hidden="1">
      <c r="A71" t="s">
        <v>4623</v>
      </c>
      <c r="B71">
        <v>125</v>
      </c>
      <c r="C71" t="s">
        <v>3858</v>
      </c>
      <c r="D71" s="571">
        <v>3281.25</v>
      </c>
      <c r="E71" t="str">
        <f t="shared" si="3"/>
        <v>ok</v>
      </c>
      <c r="F71" s="276">
        <f t="shared" si="4"/>
        <v>0</v>
      </c>
      <c r="G71" s="276">
        <f t="shared" si="5"/>
        <v>1</v>
      </c>
      <c r="H71" t="s">
        <v>3856</v>
      </c>
      <c r="I71" t="s">
        <v>2676</v>
      </c>
      <c r="J71" t="s">
        <v>3858</v>
      </c>
      <c r="K71" s="571">
        <v>3281.25</v>
      </c>
    </row>
    <row r="72" spans="1:11" hidden="1">
      <c r="A72" t="s">
        <v>4607</v>
      </c>
      <c r="B72">
        <v>1</v>
      </c>
      <c r="C72" t="s">
        <v>1762</v>
      </c>
      <c r="D72" s="571">
        <v>3478.13</v>
      </c>
      <c r="E72" t="str">
        <f t="shared" si="3"/>
        <v>ok</v>
      </c>
      <c r="F72" s="276">
        <f t="shared" si="4"/>
        <v>0</v>
      </c>
      <c r="G72" s="276">
        <f t="shared" si="5"/>
        <v>1</v>
      </c>
      <c r="H72" t="s">
        <v>2918</v>
      </c>
      <c r="I72" t="s">
        <v>2674</v>
      </c>
      <c r="J72" t="s">
        <v>1762</v>
      </c>
      <c r="K72" s="571">
        <v>3478.13</v>
      </c>
    </row>
    <row r="73" spans="1:11" hidden="1">
      <c r="A73" t="s">
        <v>4623</v>
      </c>
      <c r="B73">
        <v>122</v>
      </c>
      <c r="C73" t="s">
        <v>2739</v>
      </c>
      <c r="D73" s="571">
        <v>3558.57</v>
      </c>
      <c r="E73" t="str">
        <f t="shared" si="3"/>
        <v>ok</v>
      </c>
      <c r="F73" s="276">
        <f t="shared" si="4"/>
        <v>0</v>
      </c>
      <c r="G73" s="276">
        <f t="shared" si="5"/>
        <v>1</v>
      </c>
      <c r="H73" t="s">
        <v>3836</v>
      </c>
      <c r="I73" t="s">
        <v>2676</v>
      </c>
      <c r="J73" t="s">
        <v>2739</v>
      </c>
      <c r="K73" s="571">
        <v>3558.57</v>
      </c>
    </row>
    <row r="74" spans="1:11" hidden="1">
      <c r="A74" t="s">
        <v>4623</v>
      </c>
      <c r="B74">
        <v>163</v>
      </c>
      <c r="C74" t="s">
        <v>2720</v>
      </c>
      <c r="D74" s="571">
        <v>3562.5</v>
      </c>
      <c r="E74" t="str">
        <f t="shared" si="3"/>
        <v>ok</v>
      </c>
      <c r="F74" s="276">
        <f t="shared" si="4"/>
        <v>0</v>
      </c>
      <c r="G74" s="276">
        <f t="shared" si="5"/>
        <v>1</v>
      </c>
      <c r="H74" t="s">
        <v>4130</v>
      </c>
      <c r="I74" t="s">
        <v>2676</v>
      </c>
      <c r="J74" t="s">
        <v>2720</v>
      </c>
      <c r="K74" s="571">
        <v>3562.5</v>
      </c>
    </row>
    <row r="75" spans="1:11" hidden="1">
      <c r="A75" t="s">
        <v>4607</v>
      </c>
      <c r="B75">
        <v>16</v>
      </c>
      <c r="C75" t="s">
        <v>2775</v>
      </c>
      <c r="D75" s="571">
        <v>3710</v>
      </c>
      <c r="E75" t="str">
        <f t="shared" si="3"/>
        <v>ok</v>
      </c>
      <c r="F75" s="276">
        <f t="shared" si="4"/>
        <v>0</v>
      </c>
      <c r="G75" s="276">
        <f t="shared" si="5"/>
        <v>1</v>
      </c>
      <c r="H75" t="s">
        <v>2774</v>
      </c>
      <c r="I75" t="s">
        <v>2674</v>
      </c>
      <c r="J75" t="s">
        <v>2775</v>
      </c>
      <c r="K75" s="571">
        <v>3710</v>
      </c>
    </row>
    <row r="76" spans="1:11" hidden="1">
      <c r="A76" t="s">
        <v>4623</v>
      </c>
      <c r="B76">
        <v>85</v>
      </c>
      <c r="C76" t="s">
        <v>2775</v>
      </c>
      <c r="D76" s="571">
        <v>3816</v>
      </c>
      <c r="E76" t="str">
        <f t="shared" si="3"/>
        <v>ok</v>
      </c>
      <c r="F76" s="276">
        <f t="shared" si="4"/>
        <v>0</v>
      </c>
      <c r="G76" s="276">
        <f t="shared" si="5"/>
        <v>1</v>
      </c>
      <c r="H76" t="s">
        <v>3409</v>
      </c>
      <c r="I76" t="s">
        <v>2676</v>
      </c>
      <c r="J76" t="s">
        <v>2775</v>
      </c>
      <c r="K76" s="571">
        <v>3816</v>
      </c>
    </row>
    <row r="77" spans="1:11" hidden="1">
      <c r="A77" t="s">
        <v>4607</v>
      </c>
      <c r="B77">
        <v>23</v>
      </c>
      <c r="C77" t="s">
        <v>2726</v>
      </c>
      <c r="D77" s="571">
        <v>3937.5</v>
      </c>
      <c r="E77" t="str">
        <f t="shared" si="3"/>
        <v>ok</v>
      </c>
      <c r="F77" s="276">
        <f t="shared" si="4"/>
        <v>0</v>
      </c>
      <c r="G77" s="276">
        <f t="shared" si="5"/>
        <v>1</v>
      </c>
      <c r="H77" t="s">
        <v>2743</v>
      </c>
      <c r="I77" t="s">
        <v>2674</v>
      </c>
      <c r="J77" t="s">
        <v>2726</v>
      </c>
      <c r="K77" s="571">
        <v>3937.5</v>
      </c>
    </row>
    <row r="78" spans="1:11" hidden="1">
      <c r="A78" t="s">
        <v>4623</v>
      </c>
      <c r="B78">
        <v>124</v>
      </c>
      <c r="C78" t="s">
        <v>3844</v>
      </c>
      <c r="D78" s="571">
        <v>4495.3100000000004</v>
      </c>
      <c r="E78" t="str">
        <f t="shared" si="3"/>
        <v>ok</v>
      </c>
      <c r="F78" s="276">
        <f t="shared" si="4"/>
        <v>0</v>
      </c>
      <c r="G78" s="276">
        <f t="shared" si="5"/>
        <v>1</v>
      </c>
      <c r="H78" t="s">
        <v>3843</v>
      </c>
      <c r="I78" t="s">
        <v>2676</v>
      </c>
      <c r="J78" t="s">
        <v>3844</v>
      </c>
      <c r="K78" s="571">
        <v>4495.3100000000004</v>
      </c>
    </row>
    <row r="79" spans="1:11" hidden="1">
      <c r="A79" t="s">
        <v>4623</v>
      </c>
      <c r="B79">
        <v>129</v>
      </c>
      <c r="C79" t="s">
        <v>3844</v>
      </c>
      <c r="D79" s="571">
        <v>4495.3100000000004</v>
      </c>
      <c r="E79" t="str">
        <f t="shared" si="3"/>
        <v>ok</v>
      </c>
      <c r="F79" s="276">
        <f t="shared" si="4"/>
        <v>0</v>
      </c>
      <c r="G79" s="276">
        <f t="shared" si="5"/>
        <v>1</v>
      </c>
      <c r="H79" t="s">
        <v>3871</v>
      </c>
      <c r="I79" t="s">
        <v>2676</v>
      </c>
      <c r="J79" t="s">
        <v>3844</v>
      </c>
      <c r="K79" s="571">
        <v>4495.3100000000004</v>
      </c>
    </row>
    <row r="80" spans="1:11" hidden="1">
      <c r="A80" t="s">
        <v>4607</v>
      </c>
      <c r="B80">
        <v>28</v>
      </c>
      <c r="C80" t="s">
        <v>2746</v>
      </c>
      <c r="D80" s="571">
        <v>4500</v>
      </c>
      <c r="E80" t="str">
        <f t="shared" si="3"/>
        <v>ok</v>
      </c>
      <c r="F80" s="276">
        <f t="shared" si="4"/>
        <v>0</v>
      </c>
      <c r="G80" s="276">
        <f t="shared" si="5"/>
        <v>1</v>
      </c>
      <c r="H80" t="s">
        <v>2786</v>
      </c>
      <c r="I80" t="s">
        <v>2674</v>
      </c>
      <c r="J80" t="s">
        <v>2746</v>
      </c>
      <c r="K80" s="571">
        <v>4500</v>
      </c>
    </row>
    <row r="81" spans="1:11" hidden="1">
      <c r="A81" t="s">
        <v>4607</v>
      </c>
      <c r="B81">
        <v>2</v>
      </c>
      <c r="C81" t="s">
        <v>2736</v>
      </c>
      <c r="D81" s="571">
        <v>4576.93</v>
      </c>
      <c r="E81" t="str">
        <f t="shared" si="3"/>
        <v>ok</v>
      </c>
      <c r="F81" s="276">
        <f t="shared" si="4"/>
        <v>0</v>
      </c>
      <c r="G81" s="276">
        <f t="shared" si="5"/>
        <v>1</v>
      </c>
      <c r="H81" t="s">
        <v>2735</v>
      </c>
      <c r="I81" t="s">
        <v>2674</v>
      </c>
      <c r="J81" t="s">
        <v>2736</v>
      </c>
      <c r="K81" s="571">
        <v>4576.93</v>
      </c>
    </row>
    <row r="82" spans="1:11" hidden="1">
      <c r="A82" t="s">
        <v>4623</v>
      </c>
      <c r="B82">
        <v>98</v>
      </c>
      <c r="C82" t="s">
        <v>2746</v>
      </c>
      <c r="D82" s="571">
        <v>4640.63</v>
      </c>
      <c r="E82" t="str">
        <f t="shared" si="3"/>
        <v>ok</v>
      </c>
      <c r="F82" s="276">
        <f t="shared" si="4"/>
        <v>0</v>
      </c>
      <c r="G82" s="276">
        <f t="shared" si="5"/>
        <v>1</v>
      </c>
      <c r="H82" t="s">
        <v>3578</v>
      </c>
      <c r="I82" t="s">
        <v>2676</v>
      </c>
      <c r="J82" t="s">
        <v>2746</v>
      </c>
      <c r="K82" s="571">
        <v>4640.63</v>
      </c>
    </row>
    <row r="83" spans="1:11" hidden="1">
      <c r="A83" t="s">
        <v>4623</v>
      </c>
      <c r="B83">
        <v>139</v>
      </c>
      <c r="C83" t="s">
        <v>2731</v>
      </c>
      <c r="D83" s="571">
        <v>5053.8900000000003</v>
      </c>
      <c r="E83" t="str">
        <f t="shared" si="3"/>
        <v>ok</v>
      </c>
      <c r="F83" s="276">
        <f t="shared" si="4"/>
        <v>0</v>
      </c>
      <c r="G83" s="276">
        <f t="shared" si="5"/>
        <v>1</v>
      </c>
      <c r="H83" t="s">
        <v>3914</v>
      </c>
      <c r="I83" t="s">
        <v>2676</v>
      </c>
      <c r="J83" t="s">
        <v>2731</v>
      </c>
      <c r="K83" s="571">
        <v>5053.8900000000003</v>
      </c>
    </row>
    <row r="84" spans="1:11" hidden="1">
      <c r="A84" t="s">
        <v>4607</v>
      </c>
      <c r="B84">
        <v>19</v>
      </c>
      <c r="C84" t="s">
        <v>2742</v>
      </c>
      <c r="D84" s="571">
        <v>5229.0200000000004</v>
      </c>
      <c r="E84" t="str">
        <f t="shared" si="3"/>
        <v>ok</v>
      </c>
      <c r="F84" s="276">
        <f t="shared" si="4"/>
        <v>0</v>
      </c>
      <c r="G84" s="276">
        <f t="shared" si="5"/>
        <v>1</v>
      </c>
      <c r="H84" t="s">
        <v>2741</v>
      </c>
      <c r="I84" t="s">
        <v>2674</v>
      </c>
      <c r="J84" t="s">
        <v>2742</v>
      </c>
      <c r="K84" s="571">
        <v>5229.0200000000004</v>
      </c>
    </row>
    <row r="85" spans="1:11" hidden="1">
      <c r="A85" t="s">
        <v>4623</v>
      </c>
      <c r="B85">
        <v>102</v>
      </c>
      <c r="C85" t="s">
        <v>3598</v>
      </c>
      <c r="D85" s="571">
        <v>5250</v>
      </c>
      <c r="E85" t="str">
        <f t="shared" si="3"/>
        <v>ok</v>
      </c>
      <c r="F85" s="276">
        <f t="shared" si="4"/>
        <v>0</v>
      </c>
      <c r="G85" s="276">
        <f t="shared" si="5"/>
        <v>1</v>
      </c>
      <c r="H85" t="s">
        <v>3596</v>
      </c>
      <c r="I85" t="s">
        <v>2676</v>
      </c>
      <c r="J85" t="s">
        <v>3598</v>
      </c>
      <c r="K85" s="571">
        <v>5250</v>
      </c>
    </row>
    <row r="86" spans="1:11" hidden="1">
      <c r="A86" t="s">
        <v>4608</v>
      </c>
      <c r="B86">
        <v>78</v>
      </c>
      <c r="C86" t="s">
        <v>1684</v>
      </c>
      <c r="D86" s="571">
        <v>5606.65</v>
      </c>
      <c r="E86" t="str">
        <f t="shared" si="3"/>
        <v>ok</v>
      </c>
      <c r="F86" s="276">
        <f t="shared" si="4"/>
        <v>0</v>
      </c>
      <c r="G86" s="276">
        <f t="shared" si="5"/>
        <v>1</v>
      </c>
      <c r="H86" t="s">
        <v>3108</v>
      </c>
      <c r="I86" t="s">
        <v>2675</v>
      </c>
      <c r="J86" t="s">
        <v>1684</v>
      </c>
      <c r="K86" s="571">
        <v>5606.65</v>
      </c>
    </row>
    <row r="87" spans="1:11" hidden="1">
      <c r="A87" t="s">
        <v>4623</v>
      </c>
      <c r="B87">
        <v>105</v>
      </c>
      <c r="C87" t="s">
        <v>3609</v>
      </c>
      <c r="D87" s="571">
        <v>5927.81</v>
      </c>
      <c r="E87" t="str">
        <f t="shared" si="3"/>
        <v>ok</v>
      </c>
      <c r="F87" s="276">
        <f t="shared" si="4"/>
        <v>0</v>
      </c>
      <c r="G87" s="276">
        <f t="shared" si="5"/>
        <v>1</v>
      </c>
      <c r="H87" t="s">
        <v>3607</v>
      </c>
      <c r="I87" t="s">
        <v>2676</v>
      </c>
      <c r="J87" t="s">
        <v>3609</v>
      </c>
      <c r="K87" s="571">
        <v>5927.81</v>
      </c>
    </row>
    <row r="88" spans="1:11" hidden="1">
      <c r="A88" t="s">
        <v>4623</v>
      </c>
      <c r="B88">
        <v>133</v>
      </c>
      <c r="C88" t="s">
        <v>2775</v>
      </c>
      <c r="D88" s="571">
        <v>5981.43</v>
      </c>
      <c r="E88" t="str">
        <f t="shared" si="3"/>
        <v>ok</v>
      </c>
      <c r="F88" s="276">
        <f t="shared" si="4"/>
        <v>0</v>
      </c>
      <c r="G88" s="276">
        <f t="shared" si="5"/>
        <v>1</v>
      </c>
      <c r="H88" t="s">
        <v>3885</v>
      </c>
      <c r="I88" t="s">
        <v>2676</v>
      </c>
      <c r="J88" t="s">
        <v>2775</v>
      </c>
      <c r="K88" s="571">
        <v>5981.43</v>
      </c>
    </row>
    <row r="89" spans="1:11" hidden="1">
      <c r="A89" t="s">
        <v>4608</v>
      </c>
      <c r="B89">
        <v>63</v>
      </c>
      <c r="C89" t="s">
        <v>2879</v>
      </c>
      <c r="D89" s="571">
        <v>6000</v>
      </c>
      <c r="E89" t="str">
        <f t="shared" si="3"/>
        <v>ok</v>
      </c>
      <c r="F89" s="276">
        <f t="shared" si="4"/>
        <v>0</v>
      </c>
      <c r="G89" s="276">
        <f t="shared" si="5"/>
        <v>1</v>
      </c>
      <c r="H89" t="s">
        <v>2990</v>
      </c>
      <c r="I89" t="s">
        <v>2675</v>
      </c>
      <c r="J89" t="s">
        <v>2879</v>
      </c>
      <c r="K89" s="571">
        <v>6000</v>
      </c>
    </row>
    <row r="90" spans="1:11" hidden="1">
      <c r="A90" t="s">
        <v>4607</v>
      </c>
      <c r="B90">
        <v>20</v>
      </c>
      <c r="C90" t="s">
        <v>2751</v>
      </c>
      <c r="D90" s="571">
        <v>6067.2</v>
      </c>
      <c r="E90" t="str">
        <f t="shared" si="3"/>
        <v>ok</v>
      </c>
      <c r="F90" s="276">
        <f t="shared" si="4"/>
        <v>0</v>
      </c>
      <c r="G90" s="276">
        <f t="shared" si="5"/>
        <v>1</v>
      </c>
      <c r="H90" t="s">
        <v>2750</v>
      </c>
      <c r="I90" t="s">
        <v>2674</v>
      </c>
      <c r="J90" t="s">
        <v>2751</v>
      </c>
      <c r="K90" s="571">
        <v>6067.2</v>
      </c>
    </row>
    <row r="91" spans="1:11" hidden="1">
      <c r="A91" t="s">
        <v>4608</v>
      </c>
      <c r="B91">
        <v>55</v>
      </c>
      <c r="C91" t="s">
        <v>2894</v>
      </c>
      <c r="D91" s="571">
        <v>6175</v>
      </c>
      <c r="E91" t="str">
        <f t="shared" si="3"/>
        <v>ok</v>
      </c>
      <c r="F91" s="276">
        <f t="shared" si="4"/>
        <v>0</v>
      </c>
      <c r="G91" s="276">
        <f t="shared" si="5"/>
        <v>1</v>
      </c>
      <c r="H91" t="s">
        <v>2992</v>
      </c>
      <c r="I91" t="s">
        <v>2675</v>
      </c>
      <c r="J91" t="s">
        <v>2894</v>
      </c>
      <c r="K91" s="571">
        <v>6175</v>
      </c>
    </row>
    <row r="92" spans="1:11" hidden="1">
      <c r="A92" t="s">
        <v>4623</v>
      </c>
      <c r="B92">
        <v>160</v>
      </c>
      <c r="C92" t="s">
        <v>4095</v>
      </c>
      <c r="D92" s="571">
        <v>6483.04</v>
      </c>
      <c r="E92" t="str">
        <f t="shared" si="3"/>
        <v>ok</v>
      </c>
      <c r="F92" s="276">
        <f t="shared" si="4"/>
        <v>0</v>
      </c>
      <c r="G92" s="276">
        <f t="shared" si="5"/>
        <v>1</v>
      </c>
      <c r="H92" t="s">
        <v>4093</v>
      </c>
      <c r="I92" t="s">
        <v>2676</v>
      </c>
      <c r="J92" t="s">
        <v>4095</v>
      </c>
      <c r="K92" s="571">
        <v>6483.04</v>
      </c>
    </row>
    <row r="93" spans="1:11" hidden="1">
      <c r="A93" t="s">
        <v>4608</v>
      </c>
      <c r="B93">
        <v>66</v>
      </c>
      <c r="C93" t="s">
        <v>1680</v>
      </c>
      <c r="D93" s="571">
        <v>7041.43</v>
      </c>
      <c r="E93" t="str">
        <f t="shared" si="3"/>
        <v>ok</v>
      </c>
      <c r="F93" s="276">
        <f t="shared" si="4"/>
        <v>0</v>
      </c>
      <c r="G93" s="276">
        <f t="shared" si="5"/>
        <v>1</v>
      </c>
      <c r="H93" t="s">
        <v>3103</v>
      </c>
      <c r="I93" t="s">
        <v>2675</v>
      </c>
      <c r="J93" t="s">
        <v>1680</v>
      </c>
      <c r="K93" s="571">
        <v>7041.43</v>
      </c>
    </row>
    <row r="94" spans="1:11" hidden="1">
      <c r="A94" t="s">
        <v>4608</v>
      </c>
      <c r="B94">
        <v>69</v>
      </c>
      <c r="C94" t="s">
        <v>2891</v>
      </c>
      <c r="D94" s="571">
        <v>7125</v>
      </c>
      <c r="E94" t="str">
        <f t="shared" si="3"/>
        <v>ok</v>
      </c>
      <c r="F94" s="276">
        <f t="shared" si="4"/>
        <v>0</v>
      </c>
      <c r="G94" s="276">
        <f t="shared" si="5"/>
        <v>1</v>
      </c>
      <c r="H94" t="s">
        <v>2991</v>
      </c>
      <c r="I94" t="s">
        <v>2675</v>
      </c>
      <c r="J94" t="s">
        <v>2891</v>
      </c>
      <c r="K94" s="571">
        <v>7125</v>
      </c>
    </row>
    <row r="95" spans="1:11" hidden="1">
      <c r="A95" t="s">
        <v>4623</v>
      </c>
      <c r="B95">
        <v>126</v>
      </c>
      <c r="C95" t="s">
        <v>3609</v>
      </c>
      <c r="D95" s="571">
        <v>7380.94</v>
      </c>
      <c r="E95" t="str">
        <f t="shared" si="3"/>
        <v>ok</v>
      </c>
      <c r="F95" s="276">
        <f t="shared" si="4"/>
        <v>0</v>
      </c>
      <c r="G95" s="276">
        <f t="shared" si="5"/>
        <v>1</v>
      </c>
      <c r="H95" t="s">
        <v>3863</v>
      </c>
      <c r="I95" t="s">
        <v>2676</v>
      </c>
      <c r="J95" t="s">
        <v>3609</v>
      </c>
      <c r="K95" s="571">
        <v>7380.94</v>
      </c>
    </row>
    <row r="96" spans="1:11" hidden="1">
      <c r="A96" t="s">
        <v>4623</v>
      </c>
      <c r="B96">
        <v>99</v>
      </c>
      <c r="C96" t="s">
        <v>1684</v>
      </c>
      <c r="D96" s="571">
        <v>7410.54</v>
      </c>
      <c r="E96" t="str">
        <f t="shared" si="3"/>
        <v>ok</v>
      </c>
      <c r="F96" s="276">
        <f t="shared" si="4"/>
        <v>0</v>
      </c>
      <c r="G96" s="276">
        <f t="shared" si="5"/>
        <v>1</v>
      </c>
      <c r="H96" t="s">
        <v>3581</v>
      </c>
      <c r="I96" t="s">
        <v>2676</v>
      </c>
      <c r="J96" t="s">
        <v>1684</v>
      </c>
      <c r="K96" s="571">
        <v>7410.54</v>
      </c>
    </row>
    <row r="97" spans="1:11" hidden="1">
      <c r="A97" t="s">
        <v>4607</v>
      </c>
      <c r="B97">
        <v>27</v>
      </c>
      <c r="C97" t="s">
        <v>2746</v>
      </c>
      <c r="D97" s="571">
        <v>7500</v>
      </c>
      <c r="E97" t="str">
        <f t="shared" si="3"/>
        <v>ok</v>
      </c>
      <c r="F97" s="276">
        <f t="shared" si="4"/>
        <v>0</v>
      </c>
      <c r="G97" s="276">
        <f t="shared" si="5"/>
        <v>1</v>
      </c>
      <c r="H97" t="s">
        <v>2784</v>
      </c>
      <c r="I97" t="s">
        <v>2674</v>
      </c>
      <c r="J97" t="s">
        <v>2746</v>
      </c>
      <c r="K97" s="571">
        <v>7500</v>
      </c>
    </row>
    <row r="98" spans="1:11" hidden="1">
      <c r="A98" t="s">
        <v>4607</v>
      </c>
      <c r="B98">
        <v>29</v>
      </c>
      <c r="C98" t="s">
        <v>2746</v>
      </c>
      <c r="D98" s="571">
        <v>7500</v>
      </c>
      <c r="E98" t="str">
        <f t="shared" si="3"/>
        <v>ok</v>
      </c>
      <c r="F98" s="276">
        <f t="shared" si="4"/>
        <v>0</v>
      </c>
      <c r="G98" s="276">
        <f t="shared" si="5"/>
        <v>1</v>
      </c>
      <c r="H98" t="s">
        <v>2841</v>
      </c>
      <c r="I98" t="s">
        <v>2674</v>
      </c>
      <c r="J98" t="s">
        <v>2746</v>
      </c>
      <c r="K98" s="571">
        <v>7500</v>
      </c>
    </row>
    <row r="99" spans="1:11" hidden="1">
      <c r="A99" t="s">
        <v>4608</v>
      </c>
      <c r="B99">
        <v>77</v>
      </c>
      <c r="C99" t="s">
        <v>2885</v>
      </c>
      <c r="D99" s="571">
        <v>7680</v>
      </c>
      <c r="E99" t="str">
        <f t="shared" si="3"/>
        <v>ok</v>
      </c>
      <c r="F99" s="276">
        <f t="shared" si="4"/>
        <v>0</v>
      </c>
      <c r="G99" s="276">
        <f t="shared" si="5"/>
        <v>1</v>
      </c>
      <c r="H99" t="s">
        <v>3141</v>
      </c>
      <c r="I99" t="s">
        <v>2675</v>
      </c>
      <c r="J99" t="s">
        <v>2885</v>
      </c>
      <c r="K99" s="571">
        <v>7680</v>
      </c>
    </row>
    <row r="100" spans="1:11" hidden="1">
      <c r="A100" t="s">
        <v>4623</v>
      </c>
      <c r="B100">
        <v>90</v>
      </c>
      <c r="C100" t="s">
        <v>3531</v>
      </c>
      <c r="D100" s="571">
        <v>8014.28</v>
      </c>
      <c r="E100" t="str">
        <f t="shared" si="3"/>
        <v>ok</v>
      </c>
      <c r="F100" s="276">
        <f t="shared" si="4"/>
        <v>0</v>
      </c>
      <c r="G100" s="276">
        <f t="shared" si="5"/>
        <v>1</v>
      </c>
      <c r="H100" t="s">
        <v>3529</v>
      </c>
      <c r="I100" t="s">
        <v>2676</v>
      </c>
      <c r="J100" t="s">
        <v>3531</v>
      </c>
      <c r="K100" s="571">
        <v>8014.28</v>
      </c>
    </row>
    <row r="101" spans="1:11" hidden="1">
      <c r="A101" t="s">
        <v>4607</v>
      </c>
      <c r="B101">
        <v>8</v>
      </c>
      <c r="C101" t="s">
        <v>2871</v>
      </c>
      <c r="D101" s="571">
        <v>8044.65</v>
      </c>
      <c r="E101" t="str">
        <f t="shared" si="3"/>
        <v>ok</v>
      </c>
      <c r="F101" s="276">
        <f t="shared" si="4"/>
        <v>0</v>
      </c>
      <c r="G101" s="276">
        <f t="shared" si="5"/>
        <v>1</v>
      </c>
      <c r="H101" t="s">
        <v>2870</v>
      </c>
      <c r="I101" t="s">
        <v>2674</v>
      </c>
      <c r="J101" t="s">
        <v>2871</v>
      </c>
      <c r="K101" s="571">
        <v>8044.65</v>
      </c>
    </row>
    <row r="102" spans="1:11" hidden="1">
      <c r="A102" t="s">
        <v>4608</v>
      </c>
      <c r="B102">
        <v>61</v>
      </c>
      <c r="C102" t="s">
        <v>3273</v>
      </c>
      <c r="D102" s="571">
        <v>8225.6200000000008</v>
      </c>
      <c r="E102" t="str">
        <f t="shared" si="3"/>
        <v>ok</v>
      </c>
      <c r="F102" s="276">
        <f t="shared" si="4"/>
        <v>0</v>
      </c>
      <c r="G102" s="276">
        <f t="shared" si="5"/>
        <v>1</v>
      </c>
      <c r="H102" t="s">
        <v>3271</v>
      </c>
      <c r="I102" t="s">
        <v>2675</v>
      </c>
      <c r="J102" t="s">
        <v>3273</v>
      </c>
      <c r="K102" s="571">
        <v>8225.6200000000008</v>
      </c>
    </row>
    <row r="103" spans="1:11" hidden="1">
      <c r="A103" t="s">
        <v>4607</v>
      </c>
      <c r="B103">
        <v>5</v>
      </c>
      <c r="C103" t="s">
        <v>2739</v>
      </c>
      <c r="D103" s="571">
        <v>8304.91</v>
      </c>
      <c r="E103" t="str">
        <f t="shared" si="3"/>
        <v>ok</v>
      </c>
      <c r="F103" s="276">
        <f t="shared" si="4"/>
        <v>0</v>
      </c>
      <c r="G103" s="276">
        <f t="shared" si="5"/>
        <v>1</v>
      </c>
      <c r="H103" t="s">
        <v>2769</v>
      </c>
      <c r="I103" t="s">
        <v>2674</v>
      </c>
      <c r="J103" t="s">
        <v>2739</v>
      </c>
      <c r="K103" s="571">
        <v>8304.91</v>
      </c>
    </row>
    <row r="104" spans="1:11" hidden="1">
      <c r="A104" t="s">
        <v>4623</v>
      </c>
      <c r="B104">
        <v>132</v>
      </c>
      <c r="C104" t="s">
        <v>3880</v>
      </c>
      <c r="D104" s="571">
        <v>8755.2000000000007</v>
      </c>
      <c r="E104" t="str">
        <f t="shared" si="3"/>
        <v>ok</v>
      </c>
      <c r="F104" s="276">
        <f t="shared" si="4"/>
        <v>0</v>
      </c>
      <c r="G104" s="276">
        <f t="shared" si="5"/>
        <v>1</v>
      </c>
      <c r="H104" t="s">
        <v>3879</v>
      </c>
      <c r="I104" t="s">
        <v>2676</v>
      </c>
      <c r="J104" t="s">
        <v>3880</v>
      </c>
      <c r="K104" s="571">
        <v>8755.2000000000007</v>
      </c>
    </row>
    <row r="105" spans="1:11" hidden="1">
      <c r="A105" t="s">
        <v>4607</v>
      </c>
      <c r="B105">
        <v>6</v>
      </c>
      <c r="C105" t="s">
        <v>2739</v>
      </c>
      <c r="D105" s="571">
        <v>8762.98</v>
      </c>
      <c r="E105" t="str">
        <f t="shared" si="3"/>
        <v>ok</v>
      </c>
      <c r="F105" s="276">
        <f t="shared" si="4"/>
        <v>0</v>
      </c>
      <c r="G105" s="276">
        <f t="shared" si="5"/>
        <v>1</v>
      </c>
      <c r="H105" t="s">
        <v>2866</v>
      </c>
      <c r="I105" t="s">
        <v>2674</v>
      </c>
      <c r="J105" t="s">
        <v>2739</v>
      </c>
      <c r="K105" s="571">
        <v>8762.98</v>
      </c>
    </row>
    <row r="106" spans="1:11" hidden="1">
      <c r="A106" t="s">
        <v>4623</v>
      </c>
      <c r="B106">
        <v>91</v>
      </c>
      <c r="C106" t="s">
        <v>3538</v>
      </c>
      <c r="D106" s="571">
        <v>9052.59</v>
      </c>
      <c r="E106" t="str">
        <f t="shared" si="3"/>
        <v>ok</v>
      </c>
      <c r="F106" s="276">
        <f t="shared" si="4"/>
        <v>0</v>
      </c>
      <c r="G106" s="276">
        <f t="shared" si="5"/>
        <v>1</v>
      </c>
      <c r="H106" t="s">
        <v>3536</v>
      </c>
      <c r="I106" t="s">
        <v>2676</v>
      </c>
      <c r="J106" t="s">
        <v>3538</v>
      </c>
      <c r="K106" s="571">
        <v>9052.59</v>
      </c>
    </row>
    <row r="107" spans="1:11" hidden="1">
      <c r="A107" t="s">
        <v>4607</v>
      </c>
      <c r="B107">
        <v>17</v>
      </c>
      <c r="C107" t="s">
        <v>2849</v>
      </c>
      <c r="D107" s="571">
        <v>9230.6299999999992</v>
      </c>
      <c r="E107" t="str">
        <f t="shared" si="3"/>
        <v>ok</v>
      </c>
      <c r="F107" s="276">
        <f t="shared" si="4"/>
        <v>0</v>
      </c>
      <c r="G107" s="276">
        <f t="shared" si="5"/>
        <v>1</v>
      </c>
      <c r="H107" t="s">
        <v>2848</v>
      </c>
      <c r="I107" t="s">
        <v>2674</v>
      </c>
      <c r="J107" t="s">
        <v>2849</v>
      </c>
      <c r="K107" s="571">
        <v>9230.6299999999992</v>
      </c>
    </row>
    <row r="108" spans="1:11" hidden="1">
      <c r="A108" t="s">
        <v>4623</v>
      </c>
      <c r="B108">
        <v>95</v>
      </c>
      <c r="C108" t="s">
        <v>3550</v>
      </c>
      <c r="D108" s="571">
        <v>9405</v>
      </c>
      <c r="E108" t="str">
        <f t="shared" si="3"/>
        <v>ok</v>
      </c>
      <c r="F108" s="276">
        <f t="shared" si="4"/>
        <v>0</v>
      </c>
      <c r="G108" s="276">
        <f t="shared" si="5"/>
        <v>1</v>
      </c>
      <c r="H108" t="s">
        <v>3548</v>
      </c>
      <c r="I108" t="s">
        <v>2676</v>
      </c>
      <c r="J108" t="s">
        <v>3550</v>
      </c>
      <c r="K108" s="571">
        <v>9405</v>
      </c>
    </row>
    <row r="109" spans="1:11" hidden="1">
      <c r="A109" t="s">
        <v>4623</v>
      </c>
      <c r="B109">
        <v>143</v>
      </c>
      <c r="C109" t="s">
        <v>2807</v>
      </c>
      <c r="D109" s="571">
        <v>9500</v>
      </c>
      <c r="E109" t="str">
        <f t="shared" si="3"/>
        <v>ok</v>
      </c>
      <c r="F109" s="276">
        <f t="shared" si="4"/>
        <v>0</v>
      </c>
      <c r="G109" s="276">
        <f t="shared" si="5"/>
        <v>1</v>
      </c>
      <c r="H109" t="s">
        <v>3925</v>
      </c>
      <c r="I109" t="s">
        <v>2676</v>
      </c>
      <c r="J109" t="s">
        <v>2807</v>
      </c>
      <c r="K109" s="571">
        <v>9500</v>
      </c>
    </row>
    <row r="110" spans="1:11" hidden="1">
      <c r="A110" t="s">
        <v>4623</v>
      </c>
      <c r="B110">
        <v>121</v>
      </c>
      <c r="C110" t="s">
        <v>2864</v>
      </c>
      <c r="D110" s="571">
        <v>9500</v>
      </c>
      <c r="E110" t="str">
        <f t="shared" si="3"/>
        <v>ok</v>
      </c>
      <c r="F110" s="276">
        <f t="shared" si="4"/>
        <v>0</v>
      </c>
      <c r="G110" s="276">
        <f t="shared" si="5"/>
        <v>1</v>
      </c>
      <c r="H110" t="s">
        <v>3835</v>
      </c>
      <c r="I110" t="s">
        <v>2676</v>
      </c>
      <c r="J110" t="s">
        <v>2864</v>
      </c>
      <c r="K110" s="571">
        <v>9500</v>
      </c>
    </row>
    <row r="111" spans="1:11" hidden="1">
      <c r="A111" t="s">
        <v>4608</v>
      </c>
      <c r="B111">
        <v>80</v>
      </c>
      <c r="C111" t="s">
        <v>2746</v>
      </c>
      <c r="D111" s="571">
        <v>9937.5</v>
      </c>
      <c r="E111" t="str">
        <f t="shared" si="3"/>
        <v>ok</v>
      </c>
      <c r="F111" s="276">
        <f t="shared" si="4"/>
        <v>0</v>
      </c>
      <c r="G111" s="276">
        <f t="shared" si="5"/>
        <v>1</v>
      </c>
      <c r="H111" t="s">
        <v>3170</v>
      </c>
      <c r="I111" t="s">
        <v>2675</v>
      </c>
      <c r="J111" t="s">
        <v>2746</v>
      </c>
      <c r="K111" s="571">
        <v>9937.5</v>
      </c>
    </row>
    <row r="112" spans="1:11" hidden="1">
      <c r="A112" t="s">
        <v>4623</v>
      </c>
      <c r="B112">
        <v>127</v>
      </c>
      <c r="C112" t="s">
        <v>3269</v>
      </c>
      <c r="D112" s="571">
        <v>10312.5</v>
      </c>
      <c r="E112" t="str">
        <f t="shared" si="3"/>
        <v>ok</v>
      </c>
      <c r="F112" s="276">
        <f t="shared" si="4"/>
        <v>0</v>
      </c>
      <c r="G112" s="276">
        <f t="shared" si="5"/>
        <v>1</v>
      </c>
      <c r="H112" t="s">
        <v>3866</v>
      </c>
      <c r="I112" t="s">
        <v>2676</v>
      </c>
      <c r="J112" t="s">
        <v>3269</v>
      </c>
      <c r="K112" s="571">
        <v>10312.5</v>
      </c>
    </row>
    <row r="113" spans="1:11" hidden="1">
      <c r="A113" t="s">
        <v>4623</v>
      </c>
      <c r="B113">
        <v>86</v>
      </c>
      <c r="C113" t="s">
        <v>3381</v>
      </c>
      <c r="D113" s="571">
        <v>10312.5</v>
      </c>
      <c r="E113" t="str">
        <f t="shared" si="3"/>
        <v>ok</v>
      </c>
      <c r="F113" s="276">
        <f t="shared" si="4"/>
        <v>0</v>
      </c>
      <c r="G113" s="276">
        <f t="shared" si="5"/>
        <v>1</v>
      </c>
      <c r="H113" t="s">
        <v>3469</v>
      </c>
      <c r="I113" t="s">
        <v>2676</v>
      </c>
      <c r="J113" t="s">
        <v>3381</v>
      </c>
      <c r="K113" s="571">
        <v>10312.5</v>
      </c>
    </row>
    <row r="114" spans="1:11" hidden="1">
      <c r="A114" t="s">
        <v>4608</v>
      </c>
      <c r="B114">
        <v>68</v>
      </c>
      <c r="C114" t="s">
        <v>3252</v>
      </c>
      <c r="D114" s="571">
        <v>10473.219999999999</v>
      </c>
      <c r="E114" t="str">
        <f t="shared" si="3"/>
        <v>ok</v>
      </c>
      <c r="F114" s="276">
        <f t="shared" si="4"/>
        <v>0</v>
      </c>
      <c r="G114" s="276">
        <f t="shared" si="5"/>
        <v>1</v>
      </c>
      <c r="H114" t="s">
        <v>3250</v>
      </c>
      <c r="I114" t="s">
        <v>2675</v>
      </c>
      <c r="J114" t="s">
        <v>3252</v>
      </c>
      <c r="K114" s="571">
        <v>10473.219999999999</v>
      </c>
    </row>
    <row r="115" spans="1:11" hidden="1">
      <c r="A115" t="s">
        <v>4608</v>
      </c>
      <c r="B115">
        <v>79</v>
      </c>
      <c r="C115" t="s">
        <v>3299</v>
      </c>
      <c r="D115" s="571">
        <v>10735</v>
      </c>
      <c r="E115" t="str">
        <f t="shared" si="3"/>
        <v>ok</v>
      </c>
      <c r="F115" s="276">
        <f t="shared" si="4"/>
        <v>0</v>
      </c>
      <c r="G115" s="276">
        <f t="shared" si="5"/>
        <v>1</v>
      </c>
      <c r="H115" t="s">
        <v>3298</v>
      </c>
      <c r="I115" t="s">
        <v>2675</v>
      </c>
      <c r="J115" t="s">
        <v>3299</v>
      </c>
      <c r="K115" s="571">
        <v>10735</v>
      </c>
    </row>
    <row r="116" spans="1:11" hidden="1">
      <c r="A116" t="s">
        <v>4623</v>
      </c>
      <c r="B116">
        <v>94</v>
      </c>
      <c r="C116" t="s">
        <v>3546</v>
      </c>
      <c r="D116" s="571">
        <v>10825.529999999999</v>
      </c>
      <c r="E116" t="str">
        <f t="shared" si="3"/>
        <v>ok</v>
      </c>
      <c r="F116" s="276">
        <f t="shared" si="4"/>
        <v>0</v>
      </c>
      <c r="G116" s="276">
        <f t="shared" si="5"/>
        <v>1</v>
      </c>
      <c r="H116" t="s">
        <v>3544</v>
      </c>
      <c r="I116" t="s">
        <v>2676</v>
      </c>
      <c r="J116" t="s">
        <v>3546</v>
      </c>
      <c r="K116" s="571">
        <v>10825.529999999999</v>
      </c>
    </row>
    <row r="117" spans="1:11" hidden="1">
      <c r="A117" t="s">
        <v>4608</v>
      </c>
      <c r="B117">
        <v>42</v>
      </c>
      <c r="C117" t="s">
        <v>2882</v>
      </c>
      <c r="D117" s="571">
        <v>11313.6</v>
      </c>
      <c r="E117" t="str">
        <f t="shared" si="3"/>
        <v>ok</v>
      </c>
      <c r="F117" s="276">
        <f t="shared" si="4"/>
        <v>0</v>
      </c>
      <c r="G117" s="276">
        <f t="shared" si="5"/>
        <v>1</v>
      </c>
      <c r="H117" t="s">
        <v>3073</v>
      </c>
      <c r="I117" t="s">
        <v>2675</v>
      </c>
      <c r="J117" t="s">
        <v>2882</v>
      </c>
      <c r="K117" s="571">
        <v>11313.6</v>
      </c>
    </row>
    <row r="118" spans="1:11" hidden="1">
      <c r="A118" t="s">
        <v>4608</v>
      </c>
      <c r="B118">
        <v>81</v>
      </c>
      <c r="C118" t="s">
        <v>2746</v>
      </c>
      <c r="D118" s="571">
        <v>11625</v>
      </c>
      <c r="E118" t="str">
        <f t="shared" si="3"/>
        <v>ok</v>
      </c>
      <c r="F118" s="276">
        <f t="shared" si="4"/>
        <v>0</v>
      </c>
      <c r="G118" s="276">
        <f t="shared" si="5"/>
        <v>1</v>
      </c>
      <c r="H118" t="s">
        <v>3286</v>
      </c>
      <c r="I118" t="s">
        <v>2675</v>
      </c>
      <c r="J118" t="s">
        <v>2746</v>
      </c>
      <c r="K118" s="571">
        <v>11625</v>
      </c>
    </row>
    <row r="119" spans="1:11" hidden="1">
      <c r="A119" t="s">
        <v>4623</v>
      </c>
      <c r="B119">
        <v>97</v>
      </c>
      <c r="C119" t="s">
        <v>2746</v>
      </c>
      <c r="D119" s="571">
        <v>12093.75</v>
      </c>
      <c r="E119" t="str">
        <f t="shared" si="3"/>
        <v>ok</v>
      </c>
      <c r="F119" s="276">
        <f t="shared" si="4"/>
        <v>0</v>
      </c>
      <c r="G119" s="276">
        <f t="shared" si="5"/>
        <v>1</v>
      </c>
      <c r="H119" t="s">
        <v>3575</v>
      </c>
      <c r="I119" t="s">
        <v>2676</v>
      </c>
      <c r="J119" t="s">
        <v>2746</v>
      </c>
      <c r="K119" s="571">
        <v>12093.75</v>
      </c>
    </row>
    <row r="120" spans="1:11" hidden="1">
      <c r="A120" t="s">
        <v>4623</v>
      </c>
      <c r="B120">
        <v>145</v>
      </c>
      <c r="C120" t="s">
        <v>2739</v>
      </c>
      <c r="D120" s="571">
        <v>12871.43</v>
      </c>
      <c r="E120" t="str">
        <f t="shared" si="3"/>
        <v>ok</v>
      </c>
      <c r="F120" s="276">
        <f t="shared" si="4"/>
        <v>0</v>
      </c>
      <c r="G120" s="276">
        <f t="shared" si="5"/>
        <v>1</v>
      </c>
      <c r="H120" t="s">
        <v>3928</v>
      </c>
      <c r="I120" t="s">
        <v>2676</v>
      </c>
      <c r="J120" t="s">
        <v>2739</v>
      </c>
      <c r="K120" s="571">
        <v>12871.43</v>
      </c>
    </row>
    <row r="121" spans="1:11" hidden="1">
      <c r="A121" t="s">
        <v>4608</v>
      </c>
      <c r="B121">
        <v>54</v>
      </c>
      <c r="C121" t="s">
        <v>3269</v>
      </c>
      <c r="D121" s="571">
        <v>13125</v>
      </c>
      <c r="E121" t="str">
        <f t="shared" si="3"/>
        <v>ok</v>
      </c>
      <c r="F121" s="276">
        <f t="shared" si="4"/>
        <v>0</v>
      </c>
      <c r="G121" s="276">
        <f t="shared" si="5"/>
        <v>1</v>
      </c>
      <c r="H121" t="s">
        <v>3267</v>
      </c>
      <c r="I121" t="s">
        <v>2675</v>
      </c>
      <c r="J121" t="s">
        <v>3269</v>
      </c>
      <c r="K121" s="571">
        <v>13125</v>
      </c>
    </row>
    <row r="122" spans="1:11" hidden="1">
      <c r="A122" t="s">
        <v>4608</v>
      </c>
      <c r="B122">
        <v>56</v>
      </c>
      <c r="C122" t="s">
        <v>2894</v>
      </c>
      <c r="D122" s="571">
        <v>14250</v>
      </c>
      <c r="E122" t="str">
        <f t="shared" si="3"/>
        <v>ok</v>
      </c>
      <c r="F122" s="276">
        <f t="shared" si="4"/>
        <v>0</v>
      </c>
      <c r="G122" s="276">
        <f t="shared" si="5"/>
        <v>1</v>
      </c>
      <c r="H122" t="s">
        <v>3101</v>
      </c>
      <c r="I122" t="s">
        <v>2675</v>
      </c>
      <c r="J122" t="s">
        <v>2894</v>
      </c>
      <c r="K122" s="571">
        <v>14250</v>
      </c>
    </row>
    <row r="123" spans="1:11" hidden="1">
      <c r="A123" t="s">
        <v>4608</v>
      </c>
      <c r="B123">
        <v>57</v>
      </c>
      <c r="C123" t="s">
        <v>2912</v>
      </c>
      <c r="D123" s="571">
        <v>16028.58</v>
      </c>
      <c r="E123" t="str">
        <f t="shared" si="3"/>
        <v>ok</v>
      </c>
      <c r="F123" s="276">
        <f t="shared" si="4"/>
        <v>0</v>
      </c>
      <c r="G123" s="276">
        <f t="shared" si="5"/>
        <v>1</v>
      </c>
      <c r="H123" t="s">
        <v>2981</v>
      </c>
      <c r="I123" t="s">
        <v>2675</v>
      </c>
      <c r="J123" t="s">
        <v>2912</v>
      </c>
      <c r="K123" s="571">
        <v>16028.58</v>
      </c>
    </row>
    <row r="124" spans="1:11" hidden="1">
      <c r="A124" t="s">
        <v>4608</v>
      </c>
      <c r="B124">
        <v>31</v>
      </c>
      <c r="C124" t="s">
        <v>3012</v>
      </c>
      <c r="D124" s="571">
        <v>16406.25</v>
      </c>
      <c r="E124" t="str">
        <f t="shared" si="3"/>
        <v>ok</v>
      </c>
      <c r="F124" s="276">
        <f t="shared" si="4"/>
        <v>0</v>
      </c>
      <c r="G124" s="276">
        <f t="shared" si="5"/>
        <v>1</v>
      </c>
      <c r="H124" t="s">
        <v>3011</v>
      </c>
      <c r="I124" t="s">
        <v>2675</v>
      </c>
      <c r="J124" t="s">
        <v>3012</v>
      </c>
      <c r="K124" s="571">
        <v>16406.25</v>
      </c>
    </row>
    <row r="125" spans="1:11" hidden="1">
      <c r="A125" t="s">
        <v>4623</v>
      </c>
      <c r="B125">
        <v>151</v>
      </c>
      <c r="C125" t="s">
        <v>3586</v>
      </c>
      <c r="D125" s="571">
        <v>16562.5</v>
      </c>
      <c r="E125" t="str">
        <f t="shared" si="3"/>
        <v>ok</v>
      </c>
      <c r="F125" s="276">
        <f t="shared" si="4"/>
        <v>0</v>
      </c>
      <c r="G125" s="276">
        <f t="shared" si="5"/>
        <v>1</v>
      </c>
      <c r="H125" t="s">
        <v>4006</v>
      </c>
      <c r="I125" t="s">
        <v>2676</v>
      </c>
      <c r="J125" t="s">
        <v>3586</v>
      </c>
      <c r="K125" s="571">
        <v>16562.5</v>
      </c>
    </row>
    <row r="126" spans="1:11" hidden="1">
      <c r="A126" t="s">
        <v>4623</v>
      </c>
      <c r="B126">
        <v>159</v>
      </c>
      <c r="C126" t="s">
        <v>2751</v>
      </c>
      <c r="D126" s="571">
        <v>16742.400000000001</v>
      </c>
      <c r="E126" t="str">
        <f t="shared" si="3"/>
        <v>ok</v>
      </c>
      <c r="F126" s="276">
        <f t="shared" si="4"/>
        <v>0</v>
      </c>
      <c r="G126" s="276">
        <f t="shared" si="5"/>
        <v>1</v>
      </c>
      <c r="H126" t="s">
        <v>4060</v>
      </c>
      <c r="I126" t="s">
        <v>2676</v>
      </c>
      <c r="J126" t="s">
        <v>2751</v>
      </c>
      <c r="K126" s="571">
        <v>16742.400000000001</v>
      </c>
    </row>
    <row r="127" spans="1:11" hidden="1">
      <c r="A127" t="s">
        <v>4623</v>
      </c>
      <c r="B127">
        <v>96</v>
      </c>
      <c r="C127" t="s">
        <v>3557</v>
      </c>
      <c r="D127" s="571">
        <v>16800</v>
      </c>
      <c r="E127" t="str">
        <f t="shared" si="3"/>
        <v>ok</v>
      </c>
      <c r="F127" s="276">
        <f t="shared" si="4"/>
        <v>0</v>
      </c>
      <c r="G127" s="276">
        <f t="shared" si="5"/>
        <v>1</v>
      </c>
      <c r="H127" t="s">
        <v>3555</v>
      </c>
      <c r="I127" t="s">
        <v>2676</v>
      </c>
      <c r="J127" t="s">
        <v>3557</v>
      </c>
      <c r="K127" s="571">
        <v>16800</v>
      </c>
    </row>
    <row r="128" spans="1:11" hidden="1">
      <c r="A128" t="s">
        <v>4607</v>
      </c>
      <c r="B128">
        <v>26</v>
      </c>
      <c r="C128" t="s">
        <v>2767</v>
      </c>
      <c r="D128" s="571">
        <v>16862.847142857143</v>
      </c>
      <c r="E128" t="str">
        <f t="shared" si="3"/>
        <v>ok</v>
      </c>
      <c r="F128" s="276">
        <f t="shared" si="4"/>
        <v>-2.8571428556460887E-3</v>
      </c>
      <c r="G128" s="276">
        <f t="shared" si="5"/>
        <v>1</v>
      </c>
      <c r="H128" t="s">
        <v>2766</v>
      </c>
      <c r="I128" t="s">
        <v>2674</v>
      </c>
      <c r="J128" t="s">
        <v>2767</v>
      </c>
      <c r="K128" s="571">
        <v>16862.849999999999</v>
      </c>
    </row>
    <row r="129" spans="1:12" hidden="1">
      <c r="A129" t="s">
        <v>4623</v>
      </c>
      <c r="B129">
        <v>93</v>
      </c>
      <c r="C129" t="s">
        <v>1684</v>
      </c>
      <c r="D129" s="571">
        <v>16865.349999999999</v>
      </c>
      <c r="E129" t="str">
        <f t="shared" si="3"/>
        <v>ok</v>
      </c>
      <c r="F129" s="276">
        <f t="shared" si="4"/>
        <v>0</v>
      </c>
      <c r="G129" s="276">
        <f t="shared" si="5"/>
        <v>1</v>
      </c>
      <c r="H129" t="s">
        <v>3542</v>
      </c>
      <c r="I129" t="s">
        <v>2676</v>
      </c>
      <c r="J129" t="s">
        <v>1684</v>
      </c>
      <c r="K129" s="571">
        <v>16865.349999999999</v>
      </c>
    </row>
    <row r="130" spans="1:12" hidden="1">
      <c r="A130" t="s">
        <v>4607</v>
      </c>
      <c r="B130">
        <v>25</v>
      </c>
      <c r="C130" t="s">
        <v>2782</v>
      </c>
      <c r="D130" s="571">
        <v>16875</v>
      </c>
      <c r="E130" t="str">
        <f t="shared" si="3"/>
        <v>ok</v>
      </c>
      <c r="F130" s="276">
        <f t="shared" si="4"/>
        <v>0</v>
      </c>
      <c r="G130" s="276">
        <f t="shared" si="5"/>
        <v>1</v>
      </c>
      <c r="H130" t="s">
        <v>2781</v>
      </c>
      <c r="I130" t="s">
        <v>2674</v>
      </c>
      <c r="J130" t="s">
        <v>2782</v>
      </c>
      <c r="K130" s="571">
        <v>16875</v>
      </c>
    </row>
    <row r="131" spans="1:12" hidden="1">
      <c r="A131" t="s">
        <v>4608</v>
      </c>
      <c r="B131">
        <v>73</v>
      </c>
      <c r="C131" t="s">
        <v>3256</v>
      </c>
      <c r="D131" s="571">
        <v>16875</v>
      </c>
      <c r="E131" t="str">
        <f t="shared" si="3"/>
        <v>ok</v>
      </c>
      <c r="F131" s="276">
        <f t="shared" si="4"/>
        <v>0</v>
      </c>
      <c r="G131" s="276">
        <f t="shared" si="5"/>
        <v>1</v>
      </c>
      <c r="H131" t="s">
        <v>3258</v>
      </c>
      <c r="I131" t="s">
        <v>2675</v>
      </c>
      <c r="J131" t="s">
        <v>3256</v>
      </c>
      <c r="K131" s="571">
        <v>16875</v>
      </c>
    </row>
    <row r="132" spans="1:12" hidden="1">
      <c r="A132" t="s">
        <v>4607</v>
      </c>
      <c r="B132">
        <v>7</v>
      </c>
      <c r="C132" t="s">
        <v>2739</v>
      </c>
      <c r="D132" s="571">
        <v>17035.72</v>
      </c>
      <c r="E132" t="str">
        <f>IF(C132=J132,"ok","not ok")</f>
        <v>ok</v>
      </c>
      <c r="F132" s="276">
        <f t="shared" ref="F132:F169" si="6">D132-K132</f>
        <v>0</v>
      </c>
      <c r="G132" s="276">
        <f t="shared" ref="G132:G169" si="7">COUNTIFS($H$3:$H$169,H132)</f>
        <v>1</v>
      </c>
      <c r="H132" t="s">
        <v>2868</v>
      </c>
      <c r="I132" t="s">
        <v>2674</v>
      </c>
      <c r="J132" t="s">
        <v>2739</v>
      </c>
      <c r="K132" s="571">
        <v>17035.72</v>
      </c>
    </row>
    <row r="133" spans="1:12" hidden="1">
      <c r="A133" t="s">
        <v>4608</v>
      </c>
      <c r="B133">
        <v>71</v>
      </c>
      <c r="C133" t="s">
        <v>3084</v>
      </c>
      <c r="D133" s="571">
        <v>17100</v>
      </c>
      <c r="E133" t="str">
        <f>IF(C133=J133,"ok","not ok")</f>
        <v>ok</v>
      </c>
      <c r="F133" s="276">
        <f t="shared" si="6"/>
        <v>0</v>
      </c>
      <c r="G133" s="276">
        <f t="shared" si="7"/>
        <v>1</v>
      </c>
      <c r="H133" t="s">
        <v>3083</v>
      </c>
      <c r="I133" t="s">
        <v>2675</v>
      </c>
      <c r="J133" t="s">
        <v>3084</v>
      </c>
      <c r="K133" s="571">
        <v>17100</v>
      </c>
    </row>
    <row r="134" spans="1:12">
      <c r="A134" t="s">
        <v>4623</v>
      </c>
      <c r="B134">
        <v>138</v>
      </c>
      <c r="C134" t="s">
        <v>2811</v>
      </c>
      <c r="D134" s="571">
        <v>17434.29</v>
      </c>
      <c r="E134" t="s">
        <v>4625</v>
      </c>
      <c r="F134" s="276">
        <f t="shared" si="6"/>
        <v>-204.29999999999927</v>
      </c>
      <c r="G134" s="276">
        <f t="shared" si="7"/>
        <v>1</v>
      </c>
      <c r="H134" s="548" t="s">
        <v>3906</v>
      </c>
      <c r="I134" s="548" t="s">
        <v>2676</v>
      </c>
      <c r="J134" s="548" t="s">
        <v>2811</v>
      </c>
      <c r="K134" s="572">
        <v>17638.59</v>
      </c>
      <c r="L134" s="548" t="s">
        <v>4627</v>
      </c>
    </row>
    <row r="135" spans="1:12" hidden="1">
      <c r="A135" t="s">
        <v>4608</v>
      </c>
      <c r="B135">
        <v>52</v>
      </c>
      <c r="C135" t="s">
        <v>2971</v>
      </c>
      <c r="D135" s="571">
        <v>17967.219999999998</v>
      </c>
      <c r="E135" t="str">
        <f t="shared" ref="E135:E169" si="8">IF(C135=J135,"ok","not ok")</f>
        <v>ok</v>
      </c>
      <c r="F135" s="276">
        <f t="shared" si="6"/>
        <v>0</v>
      </c>
      <c r="G135" s="276">
        <f t="shared" si="7"/>
        <v>1</v>
      </c>
      <c r="H135" t="s">
        <v>3284</v>
      </c>
      <c r="I135" t="s">
        <v>2675</v>
      </c>
      <c r="J135" t="s">
        <v>2971</v>
      </c>
      <c r="K135" s="571">
        <v>17967.22</v>
      </c>
    </row>
    <row r="136" spans="1:12" hidden="1">
      <c r="A136" t="s">
        <v>4623</v>
      </c>
      <c r="B136">
        <v>153</v>
      </c>
      <c r="C136" t="s">
        <v>4031</v>
      </c>
      <c r="D136" s="571">
        <v>18750</v>
      </c>
      <c r="E136" t="str">
        <f t="shared" si="8"/>
        <v>ok</v>
      </c>
      <c r="F136" s="276">
        <f t="shared" si="6"/>
        <v>0</v>
      </c>
      <c r="G136" s="276">
        <f t="shared" si="7"/>
        <v>1</v>
      </c>
      <c r="H136" t="s">
        <v>4029</v>
      </c>
      <c r="I136" t="s">
        <v>2676</v>
      </c>
      <c r="J136" t="s">
        <v>4031</v>
      </c>
      <c r="K136" s="571">
        <v>18750</v>
      </c>
    </row>
    <row r="137" spans="1:12" hidden="1">
      <c r="A137" t="s">
        <v>4608</v>
      </c>
      <c r="B137">
        <v>84</v>
      </c>
      <c r="C137" t="s">
        <v>3106</v>
      </c>
      <c r="D137" s="571">
        <v>19268.16</v>
      </c>
      <c r="E137" t="str">
        <f t="shared" si="8"/>
        <v>ok</v>
      </c>
      <c r="F137" s="276">
        <f t="shared" si="6"/>
        <v>0</v>
      </c>
      <c r="G137" s="276">
        <f t="shared" si="7"/>
        <v>1</v>
      </c>
      <c r="H137" t="s">
        <v>3105</v>
      </c>
      <c r="I137" t="s">
        <v>2675</v>
      </c>
      <c r="J137" t="s">
        <v>3106</v>
      </c>
      <c r="K137" s="571">
        <v>19268.16</v>
      </c>
    </row>
    <row r="138" spans="1:12" hidden="1">
      <c r="A138" t="s">
        <v>4623</v>
      </c>
      <c r="B138">
        <v>111</v>
      </c>
      <c r="C138" t="s">
        <v>3687</v>
      </c>
      <c r="D138" s="571">
        <v>20821.43</v>
      </c>
      <c r="E138" t="str">
        <f t="shared" si="8"/>
        <v>ok</v>
      </c>
      <c r="F138" s="276">
        <f t="shared" si="6"/>
        <v>0</v>
      </c>
      <c r="G138" s="276">
        <f t="shared" si="7"/>
        <v>1</v>
      </c>
      <c r="H138" t="s">
        <v>3685</v>
      </c>
      <c r="I138" t="s">
        <v>2676</v>
      </c>
      <c r="J138" t="s">
        <v>3687</v>
      </c>
      <c r="K138" s="571">
        <v>20821.43</v>
      </c>
    </row>
    <row r="139" spans="1:12" hidden="1">
      <c r="A139" t="s">
        <v>4608</v>
      </c>
      <c r="B139">
        <v>67</v>
      </c>
      <c r="C139" t="s">
        <v>1680</v>
      </c>
      <c r="D139" s="571">
        <v>21124.28</v>
      </c>
      <c r="E139" t="str">
        <f t="shared" si="8"/>
        <v>ok</v>
      </c>
      <c r="F139" s="276">
        <f t="shared" si="6"/>
        <v>0</v>
      </c>
      <c r="G139" s="276">
        <f t="shared" si="7"/>
        <v>1</v>
      </c>
      <c r="H139" t="s">
        <v>3281</v>
      </c>
      <c r="I139" t="s">
        <v>2675</v>
      </c>
      <c r="J139" t="s">
        <v>1680</v>
      </c>
      <c r="K139" s="571">
        <v>21124.28</v>
      </c>
    </row>
    <row r="140" spans="1:12" hidden="1">
      <c r="A140" t="s">
        <v>4607</v>
      </c>
      <c r="B140">
        <v>18</v>
      </c>
      <c r="C140" t="s">
        <v>2811</v>
      </c>
      <c r="D140" s="571">
        <v>21342.43</v>
      </c>
      <c r="E140" t="str">
        <f t="shared" si="8"/>
        <v>ok</v>
      </c>
      <c r="F140" s="276">
        <f t="shared" si="6"/>
        <v>0</v>
      </c>
      <c r="G140" s="276">
        <f t="shared" si="7"/>
        <v>1</v>
      </c>
      <c r="H140" t="s">
        <v>2809</v>
      </c>
      <c r="I140" t="s">
        <v>2674</v>
      </c>
      <c r="J140" t="s">
        <v>2811</v>
      </c>
      <c r="K140" s="571">
        <v>21342.43</v>
      </c>
    </row>
    <row r="141" spans="1:12" hidden="1">
      <c r="A141" t="s">
        <v>4623</v>
      </c>
      <c r="B141">
        <v>103</v>
      </c>
      <c r="C141" t="s">
        <v>2811</v>
      </c>
      <c r="D141" s="571">
        <v>21452.09</v>
      </c>
      <c r="E141" t="str">
        <f t="shared" si="8"/>
        <v>ok</v>
      </c>
      <c r="F141" s="276">
        <f t="shared" si="6"/>
        <v>0</v>
      </c>
      <c r="G141" s="276">
        <f t="shared" si="7"/>
        <v>1</v>
      </c>
      <c r="H141" t="s">
        <v>3600</v>
      </c>
      <c r="I141" t="s">
        <v>2676</v>
      </c>
      <c r="J141" t="s">
        <v>2811</v>
      </c>
      <c r="K141" s="571">
        <v>21452.09</v>
      </c>
    </row>
    <row r="142" spans="1:12" hidden="1">
      <c r="A142" t="s">
        <v>4607</v>
      </c>
      <c r="B142">
        <v>22</v>
      </c>
      <c r="C142" t="s">
        <v>2726</v>
      </c>
      <c r="D142" s="571">
        <v>22265.62</v>
      </c>
      <c r="E142" t="str">
        <f t="shared" si="8"/>
        <v>ok</v>
      </c>
      <c r="F142" s="276">
        <f t="shared" si="6"/>
        <v>0</v>
      </c>
      <c r="G142" s="276">
        <f t="shared" si="7"/>
        <v>1</v>
      </c>
      <c r="H142" t="s">
        <v>2725</v>
      </c>
      <c r="I142" t="s">
        <v>2674</v>
      </c>
      <c r="J142" t="s">
        <v>2726</v>
      </c>
      <c r="K142" s="571">
        <v>22265.62</v>
      </c>
    </row>
    <row r="143" spans="1:12" hidden="1">
      <c r="A143" t="s">
        <v>4608</v>
      </c>
      <c r="B143">
        <v>47</v>
      </c>
      <c r="C143" t="s">
        <v>3292</v>
      </c>
      <c r="D143" s="571">
        <v>23437.5</v>
      </c>
      <c r="E143" t="str">
        <f t="shared" si="8"/>
        <v>ok</v>
      </c>
      <c r="F143" s="276">
        <f t="shared" si="6"/>
        <v>0</v>
      </c>
      <c r="G143" s="276">
        <f t="shared" si="7"/>
        <v>1</v>
      </c>
      <c r="H143" t="s">
        <v>3290</v>
      </c>
      <c r="I143" t="s">
        <v>2675</v>
      </c>
      <c r="J143" t="s">
        <v>3292</v>
      </c>
      <c r="K143" s="571">
        <v>23437.5</v>
      </c>
    </row>
    <row r="144" spans="1:12" hidden="1">
      <c r="A144" t="s">
        <v>4607</v>
      </c>
      <c r="B144">
        <v>24</v>
      </c>
      <c r="C144" t="s">
        <v>2726</v>
      </c>
      <c r="D144" s="571">
        <v>24492.19</v>
      </c>
      <c r="E144" t="str">
        <f t="shared" si="8"/>
        <v>ok</v>
      </c>
      <c r="F144" s="276">
        <f t="shared" si="6"/>
        <v>0</v>
      </c>
      <c r="G144" s="276">
        <f t="shared" si="7"/>
        <v>1</v>
      </c>
      <c r="H144" t="s">
        <v>2748</v>
      </c>
      <c r="I144" t="s">
        <v>2674</v>
      </c>
      <c r="J144" t="s">
        <v>2726</v>
      </c>
      <c r="K144" s="571">
        <v>24492.19</v>
      </c>
    </row>
    <row r="145" spans="1:12" hidden="1">
      <c r="A145" t="s">
        <v>4623</v>
      </c>
      <c r="B145">
        <v>100</v>
      </c>
      <c r="C145" t="s">
        <v>3586</v>
      </c>
      <c r="D145" s="571">
        <v>25553.57</v>
      </c>
      <c r="E145" t="str">
        <f t="shared" si="8"/>
        <v>ok</v>
      </c>
      <c r="F145" s="276">
        <f t="shared" si="6"/>
        <v>0</v>
      </c>
      <c r="G145" s="276">
        <f t="shared" si="7"/>
        <v>1</v>
      </c>
      <c r="H145" t="s">
        <v>3584</v>
      </c>
      <c r="I145" t="s">
        <v>2676</v>
      </c>
      <c r="J145" t="s">
        <v>3586</v>
      </c>
      <c r="K145" s="571">
        <v>25553.57</v>
      </c>
    </row>
    <row r="146" spans="1:12" hidden="1">
      <c r="A146" t="s">
        <v>4623</v>
      </c>
      <c r="B146">
        <v>130</v>
      </c>
      <c r="C146" t="s">
        <v>2782</v>
      </c>
      <c r="D146" s="571">
        <v>25781.25</v>
      </c>
      <c r="E146" t="str">
        <f t="shared" si="8"/>
        <v>ok</v>
      </c>
      <c r="F146" s="276">
        <f t="shared" si="6"/>
        <v>0</v>
      </c>
      <c r="G146" s="276">
        <f t="shared" si="7"/>
        <v>1</v>
      </c>
      <c r="H146" t="s">
        <v>3873</v>
      </c>
      <c r="I146" t="s">
        <v>2676</v>
      </c>
      <c r="J146" t="s">
        <v>2782</v>
      </c>
      <c r="K146" s="571">
        <v>25781.25</v>
      </c>
    </row>
    <row r="147" spans="1:12" hidden="1">
      <c r="A147" t="s">
        <v>4608</v>
      </c>
      <c r="B147">
        <v>72</v>
      </c>
      <c r="C147" t="s">
        <v>3256</v>
      </c>
      <c r="D147" s="571">
        <v>27037.32</v>
      </c>
      <c r="E147" t="str">
        <f t="shared" si="8"/>
        <v>ok</v>
      </c>
      <c r="F147" s="276">
        <f t="shared" si="6"/>
        <v>0</v>
      </c>
      <c r="G147" s="276">
        <f t="shared" si="7"/>
        <v>1</v>
      </c>
      <c r="H147" t="s">
        <v>3254</v>
      </c>
      <c r="I147" t="s">
        <v>2675</v>
      </c>
      <c r="J147" t="s">
        <v>3256</v>
      </c>
      <c r="K147" s="571">
        <v>27037.32</v>
      </c>
    </row>
    <row r="148" spans="1:12" hidden="1">
      <c r="A148" t="s">
        <v>4623</v>
      </c>
      <c r="B148">
        <v>123</v>
      </c>
      <c r="C148" t="s">
        <v>3841</v>
      </c>
      <c r="D148" s="571">
        <v>28125</v>
      </c>
      <c r="E148" t="str">
        <f t="shared" si="8"/>
        <v>ok</v>
      </c>
      <c r="F148" s="276">
        <f t="shared" si="6"/>
        <v>0</v>
      </c>
      <c r="G148" s="276">
        <f t="shared" si="7"/>
        <v>1</v>
      </c>
      <c r="H148" t="s">
        <v>3839</v>
      </c>
      <c r="I148" t="s">
        <v>2676</v>
      </c>
      <c r="J148" t="s">
        <v>3841</v>
      </c>
      <c r="K148" s="571">
        <v>28125</v>
      </c>
    </row>
    <row r="149" spans="1:12" hidden="1">
      <c r="A149" t="s">
        <v>4607</v>
      </c>
      <c r="B149">
        <v>15</v>
      </c>
      <c r="C149" t="s">
        <v>2772</v>
      </c>
      <c r="D149" s="571">
        <v>28500</v>
      </c>
      <c r="E149" t="str">
        <f t="shared" si="8"/>
        <v>ok</v>
      </c>
      <c r="F149" s="276">
        <f t="shared" si="6"/>
        <v>0</v>
      </c>
      <c r="G149" s="276">
        <f t="shared" si="7"/>
        <v>1</v>
      </c>
      <c r="H149" t="s">
        <v>2771</v>
      </c>
      <c r="I149" t="s">
        <v>2674</v>
      </c>
      <c r="J149" t="s">
        <v>2772</v>
      </c>
      <c r="K149" s="571">
        <v>28500</v>
      </c>
    </row>
    <row r="150" spans="1:12" hidden="1">
      <c r="A150" t="s">
        <v>4623</v>
      </c>
      <c r="B150">
        <v>146</v>
      </c>
      <c r="C150" t="s">
        <v>2746</v>
      </c>
      <c r="D150" s="571">
        <v>29812.5</v>
      </c>
      <c r="E150" t="str">
        <f t="shared" si="8"/>
        <v>ok</v>
      </c>
      <c r="F150" s="276">
        <f t="shared" si="6"/>
        <v>0</v>
      </c>
      <c r="G150" s="276">
        <f t="shared" si="7"/>
        <v>1</v>
      </c>
      <c r="H150" t="s">
        <v>3938</v>
      </c>
      <c r="I150" t="s">
        <v>2676</v>
      </c>
      <c r="J150" t="s">
        <v>2746</v>
      </c>
      <c r="K150" s="571">
        <v>29812.5</v>
      </c>
    </row>
    <row r="151" spans="1:12" hidden="1">
      <c r="A151" t="s">
        <v>4623</v>
      </c>
      <c r="B151">
        <v>158</v>
      </c>
      <c r="C151" t="s">
        <v>4058</v>
      </c>
      <c r="D151" s="571">
        <v>31521</v>
      </c>
      <c r="E151" t="str">
        <f t="shared" si="8"/>
        <v>ok</v>
      </c>
      <c r="F151" s="276">
        <f t="shared" si="6"/>
        <v>0</v>
      </c>
      <c r="G151" s="276">
        <f t="shared" si="7"/>
        <v>1</v>
      </c>
      <c r="H151" t="s">
        <v>4056</v>
      </c>
      <c r="I151" t="s">
        <v>2676</v>
      </c>
      <c r="J151" t="s">
        <v>4058</v>
      </c>
      <c r="K151" s="571">
        <v>31521</v>
      </c>
    </row>
    <row r="152" spans="1:12" hidden="1">
      <c r="A152" t="s">
        <v>4608</v>
      </c>
      <c r="B152">
        <v>34</v>
      </c>
      <c r="C152" t="s">
        <v>2876</v>
      </c>
      <c r="D152" s="571">
        <v>34320</v>
      </c>
      <c r="E152" t="str">
        <f t="shared" si="8"/>
        <v>ok</v>
      </c>
      <c r="F152" s="276">
        <f t="shared" si="6"/>
        <v>0</v>
      </c>
      <c r="G152" s="276">
        <f t="shared" si="7"/>
        <v>1</v>
      </c>
      <c r="H152" t="s">
        <v>3072</v>
      </c>
      <c r="I152" t="s">
        <v>2675</v>
      </c>
      <c r="J152" t="s">
        <v>2876</v>
      </c>
      <c r="K152" s="571">
        <v>34320</v>
      </c>
    </row>
    <row r="153" spans="1:12">
      <c r="A153" t="s">
        <v>4623</v>
      </c>
      <c r="B153">
        <v>116</v>
      </c>
      <c r="C153" t="s">
        <v>3819</v>
      </c>
      <c r="D153" s="571">
        <v>36694.93</v>
      </c>
      <c r="E153" t="str">
        <f t="shared" si="8"/>
        <v>not ok</v>
      </c>
      <c r="F153" s="276">
        <f t="shared" si="6"/>
        <v>36694.93</v>
      </c>
      <c r="G153" s="276">
        <f t="shared" si="7"/>
        <v>0</v>
      </c>
      <c r="H153" s="548"/>
      <c r="I153" s="548"/>
      <c r="J153" s="548"/>
      <c r="K153" s="572"/>
      <c r="L153" t="s">
        <v>4628</v>
      </c>
    </row>
    <row r="154" spans="1:12" hidden="1">
      <c r="A154" t="s">
        <v>4623</v>
      </c>
      <c r="B154">
        <v>108</v>
      </c>
      <c r="C154" t="s">
        <v>3550</v>
      </c>
      <c r="D154" s="571">
        <v>37620</v>
      </c>
      <c r="E154" t="str">
        <f t="shared" si="8"/>
        <v>ok</v>
      </c>
      <c r="F154" s="276">
        <f t="shared" si="6"/>
        <v>0</v>
      </c>
      <c r="G154" s="276">
        <f t="shared" si="7"/>
        <v>1</v>
      </c>
      <c r="H154" t="s">
        <v>3657</v>
      </c>
      <c r="I154" t="s">
        <v>2676</v>
      </c>
      <c r="J154" t="s">
        <v>3550</v>
      </c>
      <c r="K154" s="571">
        <v>37620</v>
      </c>
    </row>
    <row r="155" spans="1:12">
      <c r="A155" t="s">
        <v>4623</v>
      </c>
      <c r="B155">
        <v>117</v>
      </c>
      <c r="C155" t="s">
        <v>3822</v>
      </c>
      <c r="D155" s="571">
        <v>37920</v>
      </c>
      <c r="E155" t="str">
        <f t="shared" si="8"/>
        <v>not ok</v>
      </c>
      <c r="F155" s="276">
        <f t="shared" si="6"/>
        <v>37920</v>
      </c>
      <c r="G155" s="276">
        <f t="shared" si="7"/>
        <v>0</v>
      </c>
      <c r="H155" s="548"/>
      <c r="I155" s="548"/>
      <c r="J155" s="548"/>
      <c r="K155" s="572"/>
      <c r="L155" t="s">
        <v>4629</v>
      </c>
    </row>
    <row r="156" spans="1:12">
      <c r="A156" t="s">
        <v>4623</v>
      </c>
      <c r="B156">
        <v>120</v>
      </c>
      <c r="C156" t="s">
        <v>3833</v>
      </c>
      <c r="D156" s="571">
        <v>40500</v>
      </c>
      <c r="E156" t="str">
        <f t="shared" si="8"/>
        <v>not ok</v>
      </c>
      <c r="F156" s="276">
        <f t="shared" si="6"/>
        <v>40500</v>
      </c>
      <c r="G156" s="276">
        <f t="shared" si="7"/>
        <v>0</v>
      </c>
      <c r="H156" s="548"/>
      <c r="I156" s="548"/>
      <c r="J156" s="548"/>
      <c r="K156" s="572"/>
      <c r="L156" t="s">
        <v>4630</v>
      </c>
    </row>
    <row r="157" spans="1:12" hidden="1">
      <c r="A157" t="s">
        <v>4623</v>
      </c>
      <c r="B157">
        <v>119</v>
      </c>
      <c r="C157" t="s">
        <v>3830</v>
      </c>
      <c r="D157" s="571">
        <v>40694.54</v>
      </c>
      <c r="E157" t="str">
        <f t="shared" si="8"/>
        <v>ok</v>
      </c>
      <c r="F157" s="276">
        <f t="shared" si="6"/>
        <v>0</v>
      </c>
      <c r="G157" s="276">
        <f t="shared" si="7"/>
        <v>1</v>
      </c>
      <c r="H157" t="s">
        <v>3829</v>
      </c>
      <c r="I157" t="s">
        <v>2676</v>
      </c>
      <c r="J157" t="s">
        <v>3830</v>
      </c>
      <c r="K157" s="571">
        <v>40694.54</v>
      </c>
    </row>
    <row r="158" spans="1:12" hidden="1">
      <c r="A158" t="s">
        <v>4608</v>
      </c>
      <c r="B158">
        <v>46</v>
      </c>
      <c r="C158" t="s">
        <v>2888</v>
      </c>
      <c r="D158" s="571">
        <v>42750</v>
      </c>
      <c r="E158" t="str">
        <f t="shared" si="8"/>
        <v>ok</v>
      </c>
      <c r="F158" s="276">
        <f t="shared" si="6"/>
        <v>0</v>
      </c>
      <c r="G158" s="276">
        <f t="shared" si="7"/>
        <v>1</v>
      </c>
      <c r="H158" t="s">
        <v>2989</v>
      </c>
      <c r="I158" t="s">
        <v>2675</v>
      </c>
      <c r="J158" t="s">
        <v>2888</v>
      </c>
      <c r="K158" s="571">
        <v>42750</v>
      </c>
    </row>
    <row r="159" spans="1:12" hidden="1">
      <c r="A159" t="s">
        <v>4607</v>
      </c>
      <c r="B159">
        <v>9</v>
      </c>
      <c r="C159" t="s">
        <v>2871</v>
      </c>
      <c r="D159" s="571">
        <v>44103.57</v>
      </c>
      <c r="E159" t="str">
        <f t="shared" si="8"/>
        <v>ok</v>
      </c>
      <c r="F159" s="276">
        <f t="shared" si="6"/>
        <v>0</v>
      </c>
      <c r="G159" s="276">
        <f t="shared" si="7"/>
        <v>1</v>
      </c>
      <c r="H159" t="s">
        <v>2873</v>
      </c>
      <c r="I159" t="s">
        <v>2674</v>
      </c>
      <c r="J159" t="s">
        <v>2871</v>
      </c>
      <c r="K159" s="571">
        <v>44103.57</v>
      </c>
    </row>
    <row r="160" spans="1:12" hidden="1">
      <c r="A160" t="s">
        <v>4607</v>
      </c>
      <c r="B160">
        <v>21</v>
      </c>
      <c r="C160" t="s">
        <v>2751</v>
      </c>
      <c r="D160" s="571">
        <v>57120</v>
      </c>
      <c r="E160" t="str">
        <f t="shared" si="8"/>
        <v>ok</v>
      </c>
      <c r="F160" s="276">
        <f t="shared" si="6"/>
        <v>0</v>
      </c>
      <c r="G160" s="276">
        <f t="shared" si="7"/>
        <v>1</v>
      </c>
      <c r="H160" t="s">
        <v>2855</v>
      </c>
      <c r="I160" t="s">
        <v>2674</v>
      </c>
      <c r="J160" t="s">
        <v>2751</v>
      </c>
      <c r="K160" s="571">
        <v>57120</v>
      </c>
    </row>
    <row r="161" spans="1:11" hidden="1">
      <c r="A161" t="s">
        <v>4623</v>
      </c>
      <c r="B161">
        <v>112</v>
      </c>
      <c r="C161" t="s">
        <v>3799</v>
      </c>
      <c r="D161" s="571">
        <v>63576.729999999996</v>
      </c>
      <c r="E161" t="str">
        <f t="shared" si="8"/>
        <v>ok</v>
      </c>
      <c r="F161" s="276">
        <f t="shared" si="6"/>
        <v>0</v>
      </c>
      <c r="G161" s="276">
        <f t="shared" si="7"/>
        <v>1</v>
      </c>
      <c r="H161" t="s">
        <v>3798</v>
      </c>
      <c r="I161" t="s">
        <v>2676</v>
      </c>
      <c r="J161" t="s">
        <v>3799</v>
      </c>
      <c r="K161" s="571">
        <v>63576.729999999996</v>
      </c>
    </row>
    <row r="162" spans="1:11" hidden="1">
      <c r="A162" t="s">
        <v>4623</v>
      </c>
      <c r="B162">
        <v>154</v>
      </c>
      <c r="C162" t="s">
        <v>4035</v>
      </c>
      <c r="D162" s="571">
        <v>71928.570000000007</v>
      </c>
      <c r="E162" t="str">
        <f t="shared" si="8"/>
        <v>ok</v>
      </c>
      <c r="F162" s="276">
        <f t="shared" si="6"/>
        <v>0</v>
      </c>
      <c r="G162" s="276">
        <f t="shared" si="7"/>
        <v>1</v>
      </c>
      <c r="H162" t="s">
        <v>4033</v>
      </c>
      <c r="I162" t="s">
        <v>2676</v>
      </c>
      <c r="J162" t="s">
        <v>4035</v>
      </c>
      <c r="K162" s="571">
        <v>71928.570000000007</v>
      </c>
    </row>
    <row r="163" spans="1:11" hidden="1">
      <c r="A163" t="s">
        <v>4623</v>
      </c>
      <c r="B163">
        <v>162</v>
      </c>
      <c r="C163" t="s">
        <v>2844</v>
      </c>
      <c r="D163" s="571">
        <v>155278.12723214287</v>
      </c>
      <c r="E163" t="str">
        <f t="shared" si="8"/>
        <v>ok</v>
      </c>
      <c r="F163" s="276">
        <f t="shared" si="6"/>
        <v>-2.7678571350406855E-3</v>
      </c>
      <c r="G163" s="276">
        <f t="shared" si="7"/>
        <v>1</v>
      </c>
      <c r="H163" t="s">
        <v>3247</v>
      </c>
      <c r="I163" t="s">
        <v>2675</v>
      </c>
      <c r="J163" t="s">
        <v>2844</v>
      </c>
      <c r="K163" s="571">
        <v>155278.13</v>
      </c>
    </row>
    <row r="164" spans="1:11" hidden="1">
      <c r="A164" t="s">
        <v>4608</v>
      </c>
      <c r="B164">
        <v>43</v>
      </c>
      <c r="C164" t="s">
        <v>2844</v>
      </c>
      <c r="D164" s="571">
        <v>155278.13</v>
      </c>
      <c r="E164" t="str">
        <f t="shared" si="8"/>
        <v>ok</v>
      </c>
      <c r="F164" s="276">
        <f t="shared" si="6"/>
        <v>0</v>
      </c>
      <c r="G164" s="276">
        <f t="shared" si="7"/>
        <v>1</v>
      </c>
      <c r="H164" t="s">
        <v>3615</v>
      </c>
      <c r="I164" t="s">
        <v>2676</v>
      </c>
      <c r="J164" t="s">
        <v>2844</v>
      </c>
      <c r="K164" s="571">
        <v>155278.13</v>
      </c>
    </row>
    <row r="165" spans="1:11" hidden="1">
      <c r="A165" t="s">
        <v>4623</v>
      </c>
      <c r="B165">
        <v>107</v>
      </c>
      <c r="C165" t="s">
        <v>2844</v>
      </c>
      <c r="D165" s="571">
        <v>155278.13</v>
      </c>
      <c r="E165" t="str">
        <f t="shared" si="8"/>
        <v>ok</v>
      </c>
      <c r="F165" s="276">
        <f t="shared" si="6"/>
        <v>0</v>
      </c>
      <c r="G165" s="276">
        <f t="shared" si="7"/>
        <v>1</v>
      </c>
      <c r="H165" t="s">
        <v>4118</v>
      </c>
      <c r="I165" t="s">
        <v>2676</v>
      </c>
      <c r="J165" t="s">
        <v>2844</v>
      </c>
      <c r="K165" s="571">
        <v>155278.13</v>
      </c>
    </row>
    <row r="166" spans="1:11" hidden="1">
      <c r="A166" t="s">
        <v>4623</v>
      </c>
      <c r="B166">
        <v>166</v>
      </c>
      <c r="C166" t="s">
        <v>4189</v>
      </c>
      <c r="D166" s="571">
        <v>253642.85</v>
      </c>
      <c r="E166" t="str">
        <f t="shared" si="8"/>
        <v>ok</v>
      </c>
      <c r="F166" s="276">
        <f t="shared" si="6"/>
        <v>0</v>
      </c>
      <c r="G166" s="276">
        <f t="shared" si="7"/>
        <v>1</v>
      </c>
      <c r="H166" t="s">
        <v>4188</v>
      </c>
      <c r="I166" t="s">
        <v>2676</v>
      </c>
      <c r="J166" t="s">
        <v>4189</v>
      </c>
      <c r="K166" s="571">
        <v>253642.85</v>
      </c>
    </row>
    <row r="167" spans="1:11" hidden="1">
      <c r="A167" t="s">
        <v>4623</v>
      </c>
      <c r="B167">
        <v>164</v>
      </c>
      <c r="C167" t="s">
        <v>4137</v>
      </c>
      <c r="D167" s="571">
        <v>399360</v>
      </c>
      <c r="E167" t="str">
        <f t="shared" si="8"/>
        <v>ok</v>
      </c>
      <c r="F167" s="276">
        <f t="shared" si="6"/>
        <v>0</v>
      </c>
      <c r="G167" s="276">
        <f t="shared" si="7"/>
        <v>1</v>
      </c>
      <c r="H167" t="s">
        <v>4136</v>
      </c>
      <c r="I167" t="s">
        <v>2676</v>
      </c>
      <c r="J167" t="s">
        <v>4137</v>
      </c>
      <c r="K167" s="571">
        <v>399360</v>
      </c>
    </row>
    <row r="168" spans="1:11" hidden="1">
      <c r="A168" t="s">
        <v>4623</v>
      </c>
      <c r="B168">
        <v>165</v>
      </c>
      <c r="C168" t="s">
        <v>4140</v>
      </c>
      <c r="D168" s="571">
        <v>530000</v>
      </c>
      <c r="E168" t="str">
        <f t="shared" si="8"/>
        <v>ok</v>
      </c>
      <c r="F168" s="276">
        <f t="shared" si="6"/>
        <v>0</v>
      </c>
      <c r="G168" s="276">
        <f t="shared" si="7"/>
        <v>1</v>
      </c>
      <c r="H168" t="s">
        <v>4139</v>
      </c>
      <c r="I168" t="s">
        <v>2676</v>
      </c>
      <c r="J168" t="s">
        <v>4140</v>
      </c>
      <c r="K168" s="571">
        <v>530000</v>
      </c>
    </row>
    <row r="169" spans="1:11" hidden="1">
      <c r="A169" t="s">
        <v>4623</v>
      </c>
      <c r="B169">
        <v>131</v>
      </c>
      <c r="C169" t="s">
        <v>3877</v>
      </c>
      <c r="D169" s="571">
        <v>924244.28</v>
      </c>
      <c r="E169" t="str">
        <f t="shared" si="8"/>
        <v>ok</v>
      </c>
      <c r="F169" s="276">
        <f t="shared" si="6"/>
        <v>0</v>
      </c>
      <c r="G169" s="276">
        <f t="shared" si="7"/>
        <v>1</v>
      </c>
      <c r="H169" t="s">
        <v>3875</v>
      </c>
      <c r="I169" t="s">
        <v>2676</v>
      </c>
      <c r="J169" t="s">
        <v>3877</v>
      </c>
      <c r="K169" s="571">
        <v>924244.28</v>
      </c>
    </row>
  </sheetData>
  <autoFilter ref="A2:K169" xr:uid="{00000000-0009-0000-0000-000008000000}">
    <filterColumn colId="4">
      <filters>
        <filter val="not ok"/>
      </filters>
    </filterColumn>
  </autoFilter>
  <mergeCells count="1">
    <mergeCell ref="A1:D1"/>
  </mergeCells>
  <pageMargins left="0.7" right="0.7" top="0.75" bottom="0.75" header="0.3" footer="0.3"/>
  <pageSetup paperSize="9" scale="69" fitToHeight="0" orientation="landscape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15FC3-C1CE-4BAD-A8A4-5B15D7A21CD2}">
  <dimension ref="A2:Q607"/>
  <sheetViews>
    <sheetView topLeftCell="A589" workbookViewId="0">
      <selection activeCell="P606" sqref="P606"/>
    </sheetView>
  </sheetViews>
  <sheetFormatPr defaultRowHeight="14.4"/>
  <cols>
    <col min="2" max="2" width="20.33203125" bestFit="1" customWidth="1"/>
    <col min="3" max="3" width="23.5546875" style="562" customWidth="1"/>
    <col min="4" max="4" width="15.33203125" style="562" customWidth="1"/>
    <col min="5" max="5" width="20.33203125" customWidth="1"/>
    <col min="6" max="6" width="27" bestFit="1" customWidth="1"/>
    <col min="7" max="7" width="90.33203125" customWidth="1"/>
    <col min="8" max="8" width="14.33203125" style="562" bestFit="1" customWidth="1"/>
    <col min="9" max="9" width="24.109375" style="562" bestFit="1" customWidth="1"/>
    <col min="10" max="10" width="28" customWidth="1"/>
    <col min="11" max="11" width="20.33203125" customWidth="1"/>
    <col min="12" max="12" width="14.33203125" style="562" customWidth="1"/>
    <col min="13" max="13" width="14.33203125" bestFit="1" customWidth="1"/>
    <col min="14" max="14" width="13.5546875" customWidth="1"/>
    <col min="15" max="15" width="17.109375" customWidth="1"/>
  </cols>
  <sheetData>
    <row r="2" spans="1:17">
      <c r="B2" t="str">
        <f>CONCATENATE("Fund 01-2021-01-",A2)</f>
        <v>Fund 01-2021-01-</v>
      </c>
      <c r="H2" s="562" t="e">
        <f>SUM(H4:H607)</f>
        <v>#VALUE!</v>
      </c>
      <c r="M2" s="562" t="e">
        <f>SUM(M4:M607)</f>
        <v>#VALUE!</v>
      </c>
      <c r="N2" s="276"/>
    </row>
    <row r="3" spans="1:17" ht="21.75" customHeight="1">
      <c r="A3" s="565" t="s">
        <v>2673</v>
      </c>
      <c r="B3" s="565" t="s">
        <v>2052</v>
      </c>
      <c r="C3" s="566" t="s">
        <v>2665</v>
      </c>
      <c r="D3" s="566" t="s">
        <v>2376</v>
      </c>
      <c r="E3" s="565" t="s">
        <v>940</v>
      </c>
      <c r="F3" s="565" t="s">
        <v>155</v>
      </c>
      <c r="G3" s="565" t="s">
        <v>156</v>
      </c>
      <c r="H3" s="566" t="s">
        <v>2377</v>
      </c>
      <c r="I3" s="566" t="s">
        <v>2684</v>
      </c>
      <c r="J3" s="565" t="s">
        <v>2682</v>
      </c>
      <c r="K3" s="565" t="s">
        <v>2677</v>
      </c>
      <c r="L3" s="566" t="s">
        <v>2665</v>
      </c>
      <c r="M3" s="562"/>
      <c r="N3" s="276"/>
      <c r="Q3">
        <v>1</v>
      </c>
    </row>
    <row r="4" spans="1:17">
      <c r="A4" t="s">
        <v>2054</v>
      </c>
      <c r="B4" t="str">
        <f>CONCATENATE("Fund 01-2021-01-",A4)</f>
        <v>Fund 01-2021-01-0001</v>
      </c>
      <c r="C4" s="562" t="e">
        <f>VLOOKUP(L4,'Import Process ORS'!$D$4:$E$1557,2,FALSE)</f>
        <v>#N/A</v>
      </c>
      <c r="D4" s="562">
        <f>SUMIFS('Import Process ORS'!L:L,'Import Process ORS'!E:E,'DV List for import'!C4)</f>
        <v>0</v>
      </c>
      <c r="E4" t="s">
        <v>2674</v>
      </c>
      <c r="F4" t="str">
        <f>VLOOKUP(A4,'[1]MAIN-101'!$B$13:$M$787,4,FALSE)</f>
        <v>Land Bank of the Philippines</v>
      </c>
      <c r="G4" t="str">
        <f>VLOOKUP(A4,'[1]MAIN-101'!$B$13:$M$787,12,FALSE)</f>
        <v>Payment for RATA for January 2021</v>
      </c>
      <c r="H4" s="562" t="e">
        <f>SUMIFS('[1]MAIN-101'!$Z$1:$Z$3000,'[1]MAIN-101'!$X$1:$X$3000,A4)</f>
        <v>#VALUE!</v>
      </c>
      <c r="I4" s="562" t="s">
        <v>2687</v>
      </c>
      <c r="J4" t="s">
        <v>2683</v>
      </c>
      <c r="K4" t="s">
        <v>2678</v>
      </c>
      <c r="L4" s="562" t="str">
        <f>VLOOKUP(A4,'Format for Import of DV'!$A$3:$S$1556,3,FALSE)</f>
        <v>001</v>
      </c>
      <c r="M4" s="562" t="e">
        <f>SUMIFS('Recon of ORS and DV'!D:D,'Recon of ORS and DV'!B:B,'DV List for import'!A4)</f>
        <v>#VALUE!</v>
      </c>
      <c r="N4" s="276" t="e">
        <f t="shared" ref="N4:N67" si="0">H4-M4</f>
        <v>#VALUE!</v>
      </c>
    </row>
    <row r="5" spans="1:17">
      <c r="A5" t="s">
        <v>2055</v>
      </c>
      <c r="B5" t="str">
        <f t="shared" ref="B5:B68" si="1">CONCATENATE("Fund 01-2021-01-",A5)</f>
        <v>Fund 01-2021-01-0002</v>
      </c>
      <c r="C5" s="562" t="e">
        <f>VLOOKUP(L5,'Import Process ORS'!$D$4:$E$1557,2,FALSE)</f>
        <v>#N/A</v>
      </c>
      <c r="D5" s="562">
        <f>SUMIFS('Import Process ORS'!L:L,'Import Process ORS'!E:E,'DV List for import'!C5)</f>
        <v>0</v>
      </c>
      <c r="E5" t="s">
        <v>2674</v>
      </c>
      <c r="F5" t="str">
        <f>VLOOKUP(A5,'[1]MAIN-101'!$B$13:$M$787,4,FALSE)</f>
        <v>Edwin O. Banquerigo</v>
      </c>
      <c r="G5" t="str">
        <f>VLOOKUP(A5,'[1]MAIN-101'!$B$13:$M$787,12,FALSE)</f>
        <v>Payment for extradordinary expenses</v>
      </c>
      <c r="H5" s="562" t="e">
        <f>SUMIFS('[1]MAIN-101'!$Z$1:$Z$3000,'[1]MAIN-101'!$X$1:$X$3000,A5)</f>
        <v>#VALUE!</v>
      </c>
      <c r="I5" s="562" t="s">
        <v>2687</v>
      </c>
      <c r="J5" t="s">
        <v>2683</v>
      </c>
      <c r="K5" t="s">
        <v>2678</v>
      </c>
      <c r="L5" s="562" t="str">
        <f>VLOOKUP(A5,'Format for Import of DV'!$A$3:$S$1556,3,FALSE)</f>
        <v>002</v>
      </c>
      <c r="M5" s="562" t="e">
        <f>SUMIFS('Recon of ORS and DV'!D:D,'Recon of ORS and DV'!B:B,'DV List for import'!A5)</f>
        <v>#VALUE!</v>
      </c>
      <c r="N5" s="276" t="e">
        <f t="shared" si="0"/>
        <v>#VALUE!</v>
      </c>
    </row>
    <row r="6" spans="1:17">
      <c r="A6" t="s">
        <v>2378</v>
      </c>
      <c r="B6" t="str">
        <f t="shared" si="1"/>
        <v>Fund 01-2021-01-0003</v>
      </c>
      <c r="C6" s="564" t="str">
        <f>L6</f>
        <v>0000-00-0000</v>
      </c>
      <c r="D6" s="562">
        <f>SUMIFS('Import Process ORS'!L:L,'Import Process ORS'!E:E,'DV List for import'!C6)</f>
        <v>0</v>
      </c>
      <c r="E6" t="s">
        <v>2674</v>
      </c>
      <c r="F6" t="str">
        <f>VLOOKUP(A6,'[1]MAIN-101'!$B$13:$M$787,4,FALSE)</f>
        <v>DREAMCO</v>
      </c>
      <c r="G6" t="str">
        <f>VLOOKUP(A6,'[1]MAIN-101'!$B$13:$M$787,12,FALSE)</f>
        <v>Remittance coop deductions from RATA for January 2021</v>
      </c>
      <c r="H6" s="562" t="e">
        <f>SUMIFS('[1]MAIN-101'!$Z$1:$Z$3000,'[1]MAIN-101'!$X$1:$X$3000,A6)</f>
        <v>#VALUE!</v>
      </c>
      <c r="I6" s="562" t="s">
        <v>2662</v>
      </c>
      <c r="J6" t="s">
        <v>2053</v>
      </c>
      <c r="K6" t="s">
        <v>2680</v>
      </c>
      <c r="L6" s="564" t="s">
        <v>2666</v>
      </c>
      <c r="M6" s="562">
        <f>SUMIFS('Recon of ORS and DV'!D:D,'Recon of ORS and DV'!B:B,'DV List for import'!A6)</f>
        <v>0</v>
      </c>
      <c r="N6" s="276" t="e">
        <f t="shared" si="0"/>
        <v>#VALUE!</v>
      </c>
      <c r="O6" t="s">
        <v>2662</v>
      </c>
    </row>
    <row r="7" spans="1:17">
      <c r="A7" t="s">
        <v>2379</v>
      </c>
      <c r="B7" t="str">
        <f t="shared" si="1"/>
        <v>Fund 01-2021-01-0004</v>
      </c>
      <c r="C7" s="564" t="str">
        <f>L7</f>
        <v>0000-00-0000</v>
      </c>
      <c r="D7" s="562">
        <f>SUMIFS('Import Process ORS'!L:L,'Import Process ORS'!E:E,'DV List for import'!C7)</f>
        <v>0</v>
      </c>
      <c r="E7" t="s">
        <v>2674</v>
      </c>
      <c r="F7" t="str">
        <f>VLOOKUP(A7,'[1]MAIN-101'!$B$13:$M$787,4,FALSE)</f>
        <v>DREAMCO</v>
      </c>
      <c r="G7" t="str">
        <f>VLOOKUP(A7,'[1]MAIN-101'!$B$13:$M$787,12,FALSE)</f>
        <v>Remittance, JO coop deductions forr the period December 16-31, 2020</v>
      </c>
      <c r="H7" s="562" t="e">
        <f>SUMIFS('[1]MAIN-101'!$Z$1:$Z$3000,'[1]MAIN-101'!$X$1:$X$3000,A7)</f>
        <v>#VALUE!</v>
      </c>
      <c r="I7" s="562" t="s">
        <v>2662</v>
      </c>
      <c r="J7" t="s">
        <v>2053</v>
      </c>
      <c r="K7" t="s">
        <v>2680</v>
      </c>
      <c r="L7" s="564" t="s">
        <v>2666</v>
      </c>
      <c r="M7" s="562">
        <f>SUMIFS('Recon of ORS and DV'!D:D,'Recon of ORS and DV'!B:B,'DV List for import'!A7)</f>
        <v>0</v>
      </c>
      <c r="N7" s="276" t="e">
        <f t="shared" si="0"/>
        <v>#VALUE!</v>
      </c>
      <c r="O7" t="s">
        <v>2662</v>
      </c>
    </row>
    <row r="8" spans="1:17">
      <c r="A8" t="s">
        <v>2056</v>
      </c>
      <c r="B8" t="str">
        <f t="shared" si="1"/>
        <v>Fund 01-2021-01-0005</v>
      </c>
      <c r="C8" s="562" t="e">
        <f>VLOOKUP(L8,'Import Process ORS'!$D$4:$E$1557,2,FALSE)</f>
        <v>#N/A</v>
      </c>
      <c r="D8" s="562">
        <f>SUMIFS('Import Process ORS'!L:L,'Import Process ORS'!E:E,'DV List for import'!C8)</f>
        <v>0</v>
      </c>
      <c r="E8" t="s">
        <v>2674</v>
      </c>
      <c r="F8" t="str">
        <f>VLOOKUP(A8,'[1]MAIN-101'!$B$13:$M$787,4,FALSE)</f>
        <v>LBP F/O DTI-RO</v>
      </c>
      <c r="G8" t="str">
        <f>VLOOKUP(A8,'[1]MAIN-101'!$B$13:$M$787,12,FALSE)</f>
        <v>Payment for the salaries and allowances of regular employees for the period of January 1-15, 2021</v>
      </c>
      <c r="H8" s="562" t="e">
        <f>SUMIFS('[1]MAIN-101'!$Z$1:$Z$3000,'[1]MAIN-101'!$X$1:$X$3000,A8)</f>
        <v>#VALUE!</v>
      </c>
      <c r="I8" s="562" t="s">
        <v>2687</v>
      </c>
      <c r="J8" t="s">
        <v>2683</v>
      </c>
      <c r="K8" t="s">
        <v>2678</v>
      </c>
      <c r="L8" s="562" t="str">
        <f>VLOOKUP(A8,'Format for Import of DV'!$A$3:$S$1556,3,FALSE)</f>
        <v>003</v>
      </c>
      <c r="M8" s="562" t="e">
        <f>SUMIFS('Recon of ORS and DV'!D:D,'Recon of ORS and DV'!B:B,'DV List for import'!A8)</f>
        <v>#VALUE!</v>
      </c>
      <c r="N8" s="276" t="e">
        <f t="shared" si="0"/>
        <v>#VALUE!</v>
      </c>
    </row>
    <row r="9" spans="1:17">
      <c r="A9" t="s">
        <v>2380</v>
      </c>
      <c r="B9" t="str">
        <f t="shared" si="1"/>
        <v>Fund 01-2021-01-0006</v>
      </c>
      <c r="C9" s="564" t="str">
        <f>L9</f>
        <v>0000-00-0000</v>
      </c>
      <c r="D9" s="562">
        <f>SUMIFS('Import Process ORS'!L:L,'Import Process ORS'!E:E,'DV List for import'!C9)</f>
        <v>0</v>
      </c>
      <c r="E9" t="s">
        <v>2674</v>
      </c>
      <c r="F9" t="str">
        <f>VLOOKUP(A9,'[1]MAIN-101'!$B$13:$M$787,4,FALSE)</f>
        <v>DREAMCO- MPC</v>
      </c>
      <c r="G9" t="str">
        <f>VLOOKUP(A9,'[1]MAIN-101'!$B$13:$M$787,12,FALSE)</f>
        <v>Remittance coop deductions for the month of Januray 2021</v>
      </c>
      <c r="H9" s="562" t="e">
        <f>SUMIFS('[1]MAIN-101'!$Z$1:$Z$3000,'[1]MAIN-101'!$X$1:$X$3000,A9)</f>
        <v>#VALUE!</v>
      </c>
      <c r="I9" s="562" t="s">
        <v>2662</v>
      </c>
      <c r="J9" t="s">
        <v>2053</v>
      </c>
      <c r="K9" t="s">
        <v>2680</v>
      </c>
      <c r="L9" s="564" t="s">
        <v>2666</v>
      </c>
      <c r="M9" s="562">
        <f>SUMIFS('Recon of ORS and DV'!D:D,'Recon of ORS and DV'!B:B,'DV List for import'!A9)</f>
        <v>0</v>
      </c>
      <c r="N9" s="276" t="e">
        <f t="shared" si="0"/>
        <v>#VALUE!</v>
      </c>
      <c r="O9" t="s">
        <v>2662</v>
      </c>
    </row>
    <row r="10" spans="1:17">
      <c r="A10" t="s">
        <v>2057</v>
      </c>
      <c r="B10" t="str">
        <f t="shared" si="1"/>
        <v>Fund 01-2021-01-0007</v>
      </c>
      <c r="C10" s="562" t="e">
        <f>VLOOKUP(L10,'Import Process ORS'!$D$4:$E$1557,2,FALSE)</f>
        <v>#N/A</v>
      </c>
      <c r="D10" s="562">
        <f>SUMIFS('Import Process ORS'!L:L,'Import Process ORS'!E:E,'DV List for import'!C10)</f>
        <v>0</v>
      </c>
      <c r="E10" t="s">
        <v>2674</v>
      </c>
      <c r="F10" t="str">
        <f>VLOOKUP(A10,'[1]MAIN-101'!$B$13:$M$787,4,FALSE)</f>
        <v>LBP F/O DTI-SDN</v>
      </c>
      <c r="G10" t="str">
        <f>VLOOKUP(A10,'[1]MAIN-101'!$B$13:$M$787,12,FALSE)</f>
        <v>Payment for the salaries and allowances of regular employees for the period of January 1-15, 2021</v>
      </c>
      <c r="H10" s="562" t="e">
        <f>SUMIFS('[1]MAIN-101'!$Z$1:$Z$3000,'[1]MAIN-101'!$X$1:$X$3000,A10)</f>
        <v>#VALUE!</v>
      </c>
      <c r="I10" s="562" t="s">
        <v>2687</v>
      </c>
      <c r="J10" t="s">
        <v>2683</v>
      </c>
      <c r="K10" t="s">
        <v>2678</v>
      </c>
      <c r="L10" s="562" t="str">
        <f>VLOOKUP(A10,'Format for Import of DV'!$A$3:$S$1556,3,FALSE)</f>
        <v>004</v>
      </c>
      <c r="M10" s="562" t="e">
        <f>SUMIFS('Recon of ORS and DV'!D:D,'Recon of ORS and DV'!B:B,'DV List for import'!A10)</f>
        <v>#VALUE!</v>
      </c>
      <c r="N10" s="276" t="e">
        <f t="shared" si="0"/>
        <v>#VALUE!</v>
      </c>
    </row>
    <row r="11" spans="1:17">
      <c r="A11" t="s">
        <v>2060</v>
      </c>
      <c r="B11" t="str">
        <f t="shared" si="1"/>
        <v>Fund 01-2021-01-0008</v>
      </c>
      <c r="C11" s="562" t="e">
        <f>VLOOKUP(L11,'Import Process ORS'!$D$4:$E$1557,2,FALSE)</f>
        <v>#N/A</v>
      </c>
      <c r="D11" s="562">
        <f>SUMIFS('Import Process ORS'!L:L,'Import Process ORS'!E:E,'DV List for import'!C11)</f>
        <v>0</v>
      </c>
      <c r="E11" t="s">
        <v>2674</v>
      </c>
      <c r="F11" t="str">
        <f>VLOOKUP(A11,'[1]MAIN-101'!$B$13:$M$787,4,FALSE)</f>
        <v>Arleen P. Pahamtang</v>
      </c>
      <c r="G11" t="str">
        <f>VLOOKUP(A11,'[1]MAIN-101'!$B$13:$M$787,12,FALSE)</f>
        <v>Set up the Petty Cash Fund, 2021</v>
      </c>
      <c r="H11" s="562" t="e">
        <f>SUMIFS('[1]MAIN-101'!$Z$1:$Z$3000,'[1]MAIN-101'!$X$1:$X$3000,A11)</f>
        <v>#VALUE!</v>
      </c>
      <c r="I11" s="562" t="s">
        <v>2687</v>
      </c>
      <c r="J11" t="s">
        <v>2683</v>
      </c>
      <c r="K11" t="s">
        <v>2678</v>
      </c>
      <c r="L11" s="562" t="str">
        <f>VLOOKUP(A11,'Format for Import of DV'!$A$3:$S$1556,3,FALSE)</f>
        <v>007</v>
      </c>
      <c r="M11" s="562" t="e">
        <f>SUMIFS('Recon of ORS and DV'!D:D,'Recon of ORS and DV'!B:B,'DV List for import'!A11)</f>
        <v>#VALUE!</v>
      </c>
      <c r="N11" s="276" t="e">
        <f t="shared" si="0"/>
        <v>#VALUE!</v>
      </c>
    </row>
    <row r="12" spans="1:17">
      <c r="A12" t="s">
        <v>2059</v>
      </c>
      <c r="B12" t="str">
        <f t="shared" si="1"/>
        <v>Fund 01-2021-01-0009</v>
      </c>
      <c r="C12" s="562" t="e">
        <f>VLOOKUP(L12,'Import Process ORS'!$D$4:$E$1557,2,FALSE)</f>
        <v>#N/A</v>
      </c>
      <c r="D12" s="562">
        <f>SUMIFS('Import Process ORS'!L:L,'Import Process ORS'!E:E,'DV List for import'!C12)</f>
        <v>0</v>
      </c>
      <c r="E12" t="s">
        <v>2674</v>
      </c>
      <c r="F12" t="str">
        <f>VLOOKUP(A12,'[1]MAIN-101'!$B$13:$M$787,4,FALSE)</f>
        <v>LBP F/O DTI-SDS</v>
      </c>
      <c r="G12" t="str">
        <f>VLOOKUP(A12,'[1]MAIN-101'!$B$13:$M$787,12,FALSE)</f>
        <v>Payment for the salaries and allowances of regular employees for the period of January 1-15, 2021</v>
      </c>
      <c r="H12" s="562" t="e">
        <f>SUMIFS('[1]MAIN-101'!$Z$1:$Z$3000,'[1]MAIN-101'!$X$1:$X$3000,A12)</f>
        <v>#VALUE!</v>
      </c>
      <c r="I12" s="562" t="s">
        <v>2687</v>
      </c>
      <c r="J12" t="s">
        <v>2683</v>
      </c>
      <c r="K12" t="s">
        <v>2678</v>
      </c>
      <c r="L12" s="562" t="str">
        <f>VLOOKUP(A12,'Format for Import of DV'!$A$3:$S$1556,3,FALSE)</f>
        <v>006</v>
      </c>
      <c r="M12" s="562" t="e">
        <f>SUMIFS('Recon of ORS and DV'!D:D,'Recon of ORS and DV'!B:B,'DV List for import'!A12)</f>
        <v>#VALUE!</v>
      </c>
      <c r="N12" s="276" t="e">
        <f t="shared" si="0"/>
        <v>#VALUE!</v>
      </c>
    </row>
    <row r="13" spans="1:17">
      <c r="A13" t="s">
        <v>2058</v>
      </c>
      <c r="B13" t="str">
        <f t="shared" si="1"/>
        <v>Fund 01-2021-01-0010</v>
      </c>
      <c r="C13" s="562" t="e">
        <f>VLOOKUP(L13,'Import Process ORS'!$D$4:$E$1557,2,FALSE)</f>
        <v>#N/A</v>
      </c>
      <c r="D13" s="562">
        <f>SUMIFS('Import Process ORS'!L:L,'Import Process ORS'!E:E,'DV List for import'!C13)</f>
        <v>0</v>
      </c>
      <c r="E13" t="s">
        <v>2674</v>
      </c>
      <c r="F13" t="str">
        <f>VLOOKUP(A13,'[1]MAIN-101'!$B$13:$M$787,4,FALSE)</f>
        <v>LBP F/O DTI-PDI</v>
      </c>
      <c r="G13" t="str">
        <f>VLOOKUP(A13,'[1]MAIN-101'!$B$13:$M$787,12,FALSE)</f>
        <v>Payment for the salaries and allowances of regular employees for the period of January 1-15, 2021</v>
      </c>
      <c r="H13" s="562" t="e">
        <f>SUMIFS('[1]MAIN-101'!$Z$1:$Z$3000,'[1]MAIN-101'!$X$1:$X$3000,A13)</f>
        <v>#VALUE!</v>
      </c>
      <c r="I13" s="562" t="s">
        <v>2687</v>
      </c>
      <c r="J13" t="s">
        <v>2683</v>
      </c>
      <c r="K13" t="s">
        <v>2678</v>
      </c>
      <c r="L13" s="562" t="str">
        <f>VLOOKUP(A13,'Format for Import of DV'!$A$3:$S$1556,3,FALSE)</f>
        <v>005</v>
      </c>
      <c r="M13" s="562" t="e">
        <f>SUMIFS('Recon of ORS and DV'!D:D,'Recon of ORS and DV'!B:B,'DV List for import'!A13)</f>
        <v>#VALUE!</v>
      </c>
      <c r="N13" s="276" t="e">
        <f t="shared" si="0"/>
        <v>#VALUE!</v>
      </c>
    </row>
    <row r="14" spans="1:17">
      <c r="A14" t="s">
        <v>2381</v>
      </c>
      <c r="B14" t="str">
        <f t="shared" si="1"/>
        <v>Fund 01-2021-01-0011</v>
      </c>
      <c r="C14" s="564" t="str">
        <f>L14</f>
        <v>0000-00-0000</v>
      </c>
      <c r="D14" s="562">
        <f>SUMIFS('Import Process ORS'!L:L,'Import Process ORS'!E:E,'DV List for import'!C14)</f>
        <v>0</v>
      </c>
      <c r="E14" t="s">
        <v>2674</v>
      </c>
      <c r="F14" t="str">
        <f>VLOOKUP(A14,'[1]MAIN-101'!$B$13:$M$787,4,FALSE)</f>
        <v>DREAMCO</v>
      </c>
      <c r="G14" t="str">
        <f>VLOOKUP(A14,'[1]MAIN-101'!$B$13:$M$787,12,FALSE)</f>
        <v>Remittance of Coop deductions from RATA for the month of October &amp; December 2020</v>
      </c>
      <c r="H14" s="562" t="e">
        <f>SUMIFS('[1]MAIN-101'!$Z$1:$Z$3000,'[1]MAIN-101'!$X$1:$X$3000,A14)</f>
        <v>#VALUE!</v>
      </c>
      <c r="I14" s="562" t="s">
        <v>2662</v>
      </c>
      <c r="J14" t="s">
        <v>2053</v>
      </c>
      <c r="K14" t="s">
        <v>2680</v>
      </c>
      <c r="L14" s="564" t="s">
        <v>2666</v>
      </c>
      <c r="M14" s="562">
        <f>SUMIFS('Recon of ORS and DV'!D:D,'Recon of ORS and DV'!B:B,'DV List for import'!A14)</f>
        <v>0</v>
      </c>
      <c r="N14" s="276" t="e">
        <f t="shared" si="0"/>
        <v>#VALUE!</v>
      </c>
      <c r="O14" t="s">
        <v>2662</v>
      </c>
    </row>
    <row r="15" spans="1:17">
      <c r="A15" t="s">
        <v>2061</v>
      </c>
      <c r="B15" t="str">
        <f t="shared" si="1"/>
        <v>Fund 01-2021-01-0012</v>
      </c>
      <c r="C15" s="562" t="e">
        <f>VLOOKUP(L15,'Import Process ORS'!$D$4:$E$1557,2,FALSE)</f>
        <v>#N/A</v>
      </c>
      <c r="D15" s="562">
        <f>SUMIFS('Import Process ORS'!L:L,'Import Process ORS'!E:E,'DV List for import'!C15)</f>
        <v>0</v>
      </c>
      <c r="E15" t="s">
        <v>2674</v>
      </c>
      <c r="F15" t="str">
        <f>VLOOKUP(A15,'[1]MAIN-101'!$B$13:$M$787,4,FALSE)</f>
        <v>LBP F/O DTI-PDI</v>
      </c>
      <c r="G15" t="str">
        <f>VLOOKUP(A15,'[1]MAIN-101'!$B$13:$M$787,12,FALSE)</f>
        <v>Payment for the salaries and allowances of regular employees for the period of January 1-15, 2021</v>
      </c>
      <c r="H15" s="562" t="e">
        <f>SUMIFS('[1]MAIN-101'!$Z$1:$Z$3000,'[1]MAIN-101'!$X$1:$X$3000,A15)</f>
        <v>#VALUE!</v>
      </c>
      <c r="I15" s="562" t="s">
        <v>2687</v>
      </c>
      <c r="J15" t="s">
        <v>2683</v>
      </c>
      <c r="K15" t="s">
        <v>2678</v>
      </c>
      <c r="L15" s="562" t="str">
        <f>VLOOKUP(A15,'Format for Import of DV'!$A$3:$S$1556,3,FALSE)</f>
        <v>008</v>
      </c>
      <c r="M15" s="562" t="e">
        <f>SUMIFS('Recon of ORS and DV'!D:D,'Recon of ORS and DV'!B:B,'DV List for import'!A15)</f>
        <v>#VALUE!</v>
      </c>
      <c r="N15" s="276" t="e">
        <f t="shared" si="0"/>
        <v>#VALUE!</v>
      </c>
    </row>
    <row r="16" spans="1:17">
      <c r="A16" t="s">
        <v>2382</v>
      </c>
      <c r="B16" t="str">
        <f t="shared" si="1"/>
        <v>Fund 01-2021-01-0013</v>
      </c>
      <c r="C16" s="564" t="str">
        <f t="shared" ref="C16:C28" si="2">L16</f>
        <v>0000-00-0000</v>
      </c>
      <c r="D16" s="562">
        <f>SUMIFS('Import Process ORS'!L:L,'Import Process ORS'!E:E,'DV List for import'!C16)</f>
        <v>0</v>
      </c>
      <c r="E16" t="s">
        <v>2674</v>
      </c>
      <c r="F16" t="str">
        <f>VLOOKUP(A16,'[1]MAIN-101'!$B$13:$M$787,4,FALSE)</f>
        <v>Hi-5 Signages Fabricator</v>
      </c>
      <c r="G16" t="str">
        <f>VLOOKUP(A16,'[1]MAIN-101'!$B$13:$M$787,12,FALSE)</f>
        <v>DTI- Caraga Motor Vehicle Marketing and Trapaulin Printing(ISOand Deaf awareness Week Campaign)</v>
      </c>
      <c r="H16" s="562" t="e">
        <f>SUMIFS('[1]MAIN-101'!$Z$1:$Z$3000,'[1]MAIN-101'!$X$1:$X$3000,A16)</f>
        <v>#VALUE!</v>
      </c>
      <c r="I16" s="562" t="s">
        <v>392</v>
      </c>
      <c r="J16" t="s">
        <v>2681</v>
      </c>
      <c r="K16" t="s">
        <v>2679</v>
      </c>
      <c r="L16" s="564" t="s">
        <v>2666</v>
      </c>
      <c r="M16" s="562">
        <f>SUMIFS('Recon of ORS and DV'!D:D,'Recon of ORS and DV'!B:B,'DV List for import'!A16)</f>
        <v>0</v>
      </c>
      <c r="N16" s="276" t="e">
        <f t="shared" si="0"/>
        <v>#VALUE!</v>
      </c>
      <c r="O16" t="s">
        <v>392</v>
      </c>
      <c r="P16" t="str">
        <f>VLOOKUP(A16,'[1]MAIN-101'!$B$8:$D$783,2,FALSE)</f>
        <v>12</v>
      </c>
      <c r="Q16" t="str">
        <f>VLOOKUP(A16,'[1]MAIN-101'!$B$8:$D$783,3,FALSE)</f>
        <v>1845</v>
      </c>
    </row>
    <row r="17" spans="1:17">
      <c r="A17" t="s">
        <v>2383</v>
      </c>
      <c r="B17" t="str">
        <f t="shared" si="1"/>
        <v>Fund 01-2021-01-0014</v>
      </c>
      <c r="C17" s="564" t="str">
        <f t="shared" si="2"/>
        <v>0000-00-0000</v>
      </c>
      <c r="D17" s="562">
        <f>SUMIFS('Import Process ORS'!L:L,'Import Process ORS'!E:E,'DV List for import'!C17)</f>
        <v>0</v>
      </c>
      <c r="E17" t="s">
        <v>2674</v>
      </c>
      <c r="F17" t="str">
        <f>VLOOKUP(A17,'[1]MAIN-101'!$B$13:$M$787,4,FALSE)</f>
        <v>Fil Products Service TV Butuan, Inc</v>
      </c>
      <c r="G17" t="str">
        <f>VLOOKUP(A17,'[1]MAIN-101'!$B$13:$M$787,12,FALSE)</f>
        <v>Payment for subscription expense- cable TV subscription for the period November 28- December 27, 2020</v>
      </c>
      <c r="H17" s="562" t="e">
        <f>SUMIFS('[1]MAIN-101'!$Z$1:$Z$3000,'[1]MAIN-101'!$X$1:$X$3000,A17)</f>
        <v>#VALUE!</v>
      </c>
      <c r="I17" s="562" t="s">
        <v>392</v>
      </c>
      <c r="J17" t="s">
        <v>2681</v>
      </c>
      <c r="K17" t="s">
        <v>2679</v>
      </c>
      <c r="L17" s="564" t="s">
        <v>2666</v>
      </c>
      <c r="M17" s="562">
        <f>SUMIFS('Recon of ORS and DV'!D:D,'Recon of ORS and DV'!B:B,'DV List for import'!A17)</f>
        <v>0</v>
      </c>
      <c r="N17" s="276" t="e">
        <f t="shared" si="0"/>
        <v>#VALUE!</v>
      </c>
      <c r="O17" t="s">
        <v>392</v>
      </c>
      <c r="P17" t="str">
        <f>VLOOKUP(A17,'[1]MAIN-101'!$B$8:$D$783,2,FALSE)</f>
        <v>12</v>
      </c>
      <c r="Q17" t="str">
        <f>VLOOKUP(A17,'[1]MAIN-101'!$B$8:$D$783,3,FALSE)</f>
        <v>1985</v>
      </c>
    </row>
    <row r="18" spans="1:17">
      <c r="A18" t="s">
        <v>2384</v>
      </c>
      <c r="B18" t="str">
        <f t="shared" si="1"/>
        <v>Fund 01-2021-01-0015</v>
      </c>
      <c r="C18" s="564" t="str">
        <f t="shared" si="2"/>
        <v>0000-00-0000</v>
      </c>
      <c r="D18" s="562">
        <f>SUMIFS('Import Process ORS'!L:L,'Import Process ORS'!E:E,'DV List for import'!C18)</f>
        <v>0</v>
      </c>
      <c r="E18" t="s">
        <v>2674</v>
      </c>
      <c r="F18" t="str">
        <f>VLOOKUP(A18,'[1]MAIN-101'!$B$13:$M$787,4,FALSE)</f>
        <v>Lime &amp; Zest Kitchen</v>
      </c>
      <c r="G18" t="str">
        <f>VLOOKUP(A18,'[1]MAIN-101'!$B$13:$M$787,12,FALSE)</f>
        <v>Payment for the provision of snacks and meal for the Salamat Mabuhay Awardee</v>
      </c>
      <c r="H18" s="562" t="e">
        <f>SUMIFS('[1]MAIN-101'!$Z$1:$Z$3000,'[1]MAIN-101'!$X$1:$X$3000,A18)</f>
        <v>#VALUE!</v>
      </c>
      <c r="I18" s="562" t="s">
        <v>392</v>
      </c>
      <c r="J18" t="s">
        <v>2681</v>
      </c>
      <c r="K18" t="s">
        <v>2679</v>
      </c>
      <c r="L18" s="564" t="s">
        <v>2666</v>
      </c>
      <c r="M18" s="562">
        <f>SUMIFS('Recon of ORS and DV'!D:D,'Recon of ORS and DV'!B:B,'DV List for import'!A18)</f>
        <v>0</v>
      </c>
      <c r="N18" s="276" t="e">
        <f t="shared" si="0"/>
        <v>#VALUE!</v>
      </c>
      <c r="O18" t="s">
        <v>392</v>
      </c>
      <c r="P18" t="str">
        <f>VLOOKUP(A18,'[1]MAIN-101'!$B$8:$D$783,2,FALSE)</f>
        <v>12</v>
      </c>
      <c r="Q18" t="str">
        <f>VLOOKUP(A18,'[1]MAIN-101'!$B$8:$D$783,3,FALSE)</f>
        <v>1921</v>
      </c>
    </row>
    <row r="19" spans="1:17">
      <c r="A19" t="s">
        <v>2385</v>
      </c>
      <c r="B19" t="str">
        <f t="shared" si="1"/>
        <v>Fund 01-2021-01-0016</v>
      </c>
      <c r="C19" s="564" t="str">
        <f t="shared" si="2"/>
        <v>0000-00-0000</v>
      </c>
      <c r="D19" s="562">
        <f>SUMIFS('Import Process ORS'!L:L,'Import Process ORS'!E:E,'DV List for import'!C19)</f>
        <v>0</v>
      </c>
      <c r="E19" t="s">
        <v>2674</v>
      </c>
      <c r="F19" t="str">
        <f>VLOOKUP(A19,'[1]MAIN-101'!$B$13:$M$787,4,FALSE)</f>
        <v>Bureau of Treasury</v>
      </c>
      <c r="G19" t="str">
        <f>VLOOKUP(A19,'[1]MAIN-101'!$B$13:$M$787,12,FALSE)</f>
        <v>Reversion of tax withheld on 2020 salaries of RAPID Growth Project Staff</v>
      </c>
      <c r="H19" s="562" t="e">
        <f>SUMIFS('[1]MAIN-101'!$Z$1:$Z$3000,'[1]MAIN-101'!$X$1:$X$3000,A19)</f>
        <v>#VALUE!</v>
      </c>
      <c r="I19" s="562" t="s">
        <v>392</v>
      </c>
      <c r="J19" t="s">
        <v>2681</v>
      </c>
      <c r="K19" t="s">
        <v>2679</v>
      </c>
      <c r="L19" s="564" t="s">
        <v>2666</v>
      </c>
      <c r="M19" s="562">
        <f>SUMIFS('Recon of ORS and DV'!D:D,'Recon of ORS and DV'!B:B,'DV List for import'!A19)</f>
        <v>0</v>
      </c>
      <c r="N19" s="276" t="e">
        <f t="shared" si="0"/>
        <v>#VALUE!</v>
      </c>
      <c r="O19" t="s">
        <v>392</v>
      </c>
      <c r="P19" t="str">
        <f>VLOOKUP(A19,'[1]MAIN-101'!$B$8:$D$783,2,FALSE)</f>
        <v>12</v>
      </c>
      <c r="Q19">
        <f>VLOOKUP(A19,'[1]MAIN-101'!$B$8:$D$783,3,FALSE)</f>
        <v>0</v>
      </c>
    </row>
    <row r="20" spans="1:17">
      <c r="A20" t="s">
        <v>2386</v>
      </c>
      <c r="B20" t="str">
        <f t="shared" si="1"/>
        <v>Fund 01-2021-01-0017</v>
      </c>
      <c r="C20" s="564" t="str">
        <f t="shared" si="2"/>
        <v>0000-00-0000</v>
      </c>
      <c r="D20" s="562">
        <f>SUMIFS('Import Process ORS'!L:L,'Import Process ORS'!E:E,'DV List for import'!C20)</f>
        <v>0</v>
      </c>
      <c r="E20" t="s">
        <v>2674</v>
      </c>
      <c r="F20" t="str">
        <f>VLOOKUP(A20,'[1]MAIN-101'!$B$13:$M$787,4,FALSE)</f>
        <v>Globe Telecom, Inc</v>
      </c>
      <c r="G20" t="str">
        <f>VLOOKUP(A20,'[1]MAIN-101'!$B$13:$M$787,12,FALSE)</f>
        <v>Payment of Globe Postpaid Plan Subscription for the month of December 16-January 15, 2021</v>
      </c>
      <c r="H20" s="562" t="e">
        <f>SUMIFS('[1]MAIN-101'!$Z$1:$Z$3000,'[1]MAIN-101'!$X$1:$X$3000,A20)</f>
        <v>#VALUE!</v>
      </c>
      <c r="I20" s="562" t="s">
        <v>392</v>
      </c>
      <c r="J20" t="s">
        <v>2681</v>
      </c>
      <c r="K20" t="s">
        <v>2679</v>
      </c>
      <c r="L20" s="564" t="s">
        <v>2666</v>
      </c>
      <c r="M20" s="562">
        <f>SUMIFS('Recon of ORS and DV'!D:D,'Recon of ORS and DV'!B:B,'DV List for import'!A20)</f>
        <v>0</v>
      </c>
      <c r="N20" s="276" t="e">
        <f t="shared" si="0"/>
        <v>#VALUE!</v>
      </c>
      <c r="O20" t="s">
        <v>392</v>
      </c>
      <c r="P20" t="str">
        <f>VLOOKUP(A20,'[1]MAIN-101'!$B$8:$D$783,2,FALSE)</f>
        <v>12</v>
      </c>
      <c r="Q20" t="str">
        <f>VLOOKUP(A20,'[1]MAIN-101'!$B$8:$D$783,3,FALSE)</f>
        <v>1991</v>
      </c>
    </row>
    <row r="21" spans="1:17">
      <c r="A21" t="s">
        <v>2387</v>
      </c>
      <c r="B21" t="str">
        <f t="shared" si="1"/>
        <v>Fund 01-2021-01-0018</v>
      </c>
      <c r="C21" s="564" t="str">
        <f t="shared" si="2"/>
        <v>0000-00-0000</v>
      </c>
      <c r="D21" s="562">
        <f>SUMIFS('Import Process ORS'!L:L,'Import Process ORS'!E:E,'DV List for import'!C21)</f>
        <v>0</v>
      </c>
      <c r="E21" t="s">
        <v>2674</v>
      </c>
      <c r="F21" t="str">
        <f>VLOOKUP(A21,'[1]MAIN-101'!$B$13:$M$787,4,FALSE)</f>
        <v>Globe Telecom, Inc</v>
      </c>
      <c r="G21" t="str">
        <f>VLOOKUP(A21,'[1]MAIN-101'!$B$13:$M$787,12,FALSE)</f>
        <v>Payment for postpaid plan subscription with cell no. 09177036798 acct. 49017022 for the period October- November 2020</v>
      </c>
      <c r="H21" s="562" t="e">
        <f>SUMIFS('[1]MAIN-101'!$Z$1:$Z$3000,'[1]MAIN-101'!$X$1:$X$3000,A21)</f>
        <v>#VALUE!</v>
      </c>
      <c r="I21" s="562" t="s">
        <v>392</v>
      </c>
      <c r="J21" t="s">
        <v>2681</v>
      </c>
      <c r="K21" t="s">
        <v>2679</v>
      </c>
      <c r="L21" s="564" t="s">
        <v>2666</v>
      </c>
      <c r="M21" s="562">
        <f>SUMIFS('Recon of ORS and DV'!D:D,'Recon of ORS and DV'!B:B,'DV List for import'!A21)</f>
        <v>0</v>
      </c>
      <c r="N21" s="276" t="e">
        <f t="shared" si="0"/>
        <v>#VALUE!</v>
      </c>
      <c r="O21" t="s">
        <v>392</v>
      </c>
      <c r="P21" t="str">
        <f>VLOOKUP(A21,'[1]MAIN-101'!$B$8:$D$783,2,FALSE)</f>
        <v>12</v>
      </c>
      <c r="Q21" t="str">
        <f>VLOOKUP(A21,'[1]MAIN-101'!$B$8:$D$783,3,FALSE)</f>
        <v>1976</v>
      </c>
    </row>
    <row r="22" spans="1:17">
      <c r="A22" t="s">
        <v>2388</v>
      </c>
      <c r="B22" t="str">
        <f t="shared" si="1"/>
        <v>Fund 01-2021-01-0019</v>
      </c>
      <c r="C22" s="564" t="str">
        <f t="shared" si="2"/>
        <v>0000-00-0000</v>
      </c>
      <c r="D22" s="562">
        <f>SUMIFS('Import Process ORS'!L:L,'Import Process ORS'!E:E,'DV List for import'!C22)</f>
        <v>0</v>
      </c>
      <c r="E22" t="s">
        <v>2674</v>
      </c>
      <c r="F22" t="str">
        <f>VLOOKUP(A22,'[1]MAIN-101'!$B$13:$M$787,4,FALSE)</f>
        <v>Atoy Paint Center</v>
      </c>
      <c r="G22" t="str">
        <f>VLOOKUP(A22,'[1]MAIN-101'!$B$13:$M$787,12,FALSE)</f>
        <v>Payment of paint materials for repainting of IDD office shelves and cabinets.</v>
      </c>
      <c r="H22" s="562" t="e">
        <f>SUMIFS('[1]MAIN-101'!$Z$1:$Z$3000,'[1]MAIN-101'!$X$1:$X$3000,A22)</f>
        <v>#VALUE!</v>
      </c>
      <c r="I22" s="562" t="s">
        <v>392</v>
      </c>
      <c r="J22" t="s">
        <v>2681</v>
      </c>
      <c r="K22" t="s">
        <v>2679</v>
      </c>
      <c r="L22" s="564" t="s">
        <v>2666</v>
      </c>
      <c r="M22" s="562">
        <f>SUMIFS('Recon of ORS and DV'!D:D,'Recon of ORS and DV'!B:B,'DV List for import'!A22)</f>
        <v>0</v>
      </c>
      <c r="N22" s="276" t="e">
        <f t="shared" si="0"/>
        <v>#VALUE!</v>
      </c>
      <c r="O22" t="s">
        <v>392</v>
      </c>
      <c r="P22" t="str">
        <f>VLOOKUP(A22,'[1]MAIN-101'!$B$8:$D$783,2,FALSE)</f>
        <v>12</v>
      </c>
      <c r="Q22" t="str">
        <f>VLOOKUP(A22,'[1]MAIN-101'!$B$8:$D$783,3,FALSE)</f>
        <v>1984</v>
      </c>
    </row>
    <row r="23" spans="1:17">
      <c r="A23" t="s">
        <v>2389</v>
      </c>
      <c r="B23" t="str">
        <f t="shared" si="1"/>
        <v>Fund 01-2021-01-0020</v>
      </c>
      <c r="C23" s="564" t="str">
        <f t="shared" si="2"/>
        <v>0000-00-0000</v>
      </c>
      <c r="D23" s="562">
        <f>SUMIFS('Import Process ORS'!L:L,'Import Process ORS'!E:E,'DV List for import'!C23)</f>
        <v>0</v>
      </c>
      <c r="E23" t="s">
        <v>2674</v>
      </c>
      <c r="F23" t="str">
        <f>VLOOKUP(A23,'[1]MAIN-101'!$B$13:$M$787,4,FALSE)</f>
        <v>Compañero Commercial</v>
      </c>
      <c r="G23" t="str">
        <f>VLOOKUP(A23,'[1]MAIN-101'!$B$13:$M$787,12,FALSE)</f>
        <v>Payment of  IDD office supplies- 4th quarter 2020</v>
      </c>
      <c r="H23" s="562" t="e">
        <f>SUMIFS('[1]MAIN-101'!$Z$1:$Z$3000,'[1]MAIN-101'!$X$1:$X$3000,A23)</f>
        <v>#VALUE!</v>
      </c>
      <c r="I23" s="562" t="s">
        <v>392</v>
      </c>
      <c r="J23" t="s">
        <v>2681</v>
      </c>
      <c r="K23" t="s">
        <v>2679</v>
      </c>
      <c r="L23" s="564" t="s">
        <v>2666</v>
      </c>
      <c r="M23" s="562">
        <f>SUMIFS('Recon of ORS and DV'!D:D,'Recon of ORS and DV'!B:B,'DV List for import'!A23)</f>
        <v>0</v>
      </c>
      <c r="N23" s="276" t="e">
        <f t="shared" si="0"/>
        <v>#VALUE!</v>
      </c>
      <c r="O23" t="s">
        <v>392</v>
      </c>
      <c r="P23" t="str">
        <f>VLOOKUP(A23,'[1]MAIN-101'!$B$8:$D$783,2,FALSE)</f>
        <v>12</v>
      </c>
      <c r="Q23" t="str">
        <f>VLOOKUP(A23,'[1]MAIN-101'!$B$8:$D$783,3,FALSE)</f>
        <v>1988</v>
      </c>
    </row>
    <row r="24" spans="1:17">
      <c r="A24" t="s">
        <v>2390</v>
      </c>
      <c r="B24" t="str">
        <f t="shared" si="1"/>
        <v>Fund 01-2021-01-0021</v>
      </c>
      <c r="C24" s="564" t="str">
        <f t="shared" si="2"/>
        <v>0000-00-0000</v>
      </c>
      <c r="D24" s="562">
        <f>SUMIFS('Import Process ORS'!L:L,'Import Process ORS'!E:E,'DV List for import'!C24)</f>
        <v>0</v>
      </c>
      <c r="E24" t="s">
        <v>2674</v>
      </c>
      <c r="F24" t="str">
        <f>VLOOKUP(A24,'[1]MAIN-101'!$B$13:$M$787,4,FALSE)</f>
        <v>Kimson Commercial</v>
      </c>
      <c r="G24" t="str">
        <f>VLOOKUP(A24,'[1]MAIN-101'!$B$13:$M$787,12,FALSE)</f>
        <v>Payment of  IDD office supplies- 4th quarter 2020</v>
      </c>
      <c r="H24" s="562" t="e">
        <f>SUMIFS('[1]MAIN-101'!$Z$1:$Z$3000,'[1]MAIN-101'!$X$1:$X$3000,A24)</f>
        <v>#VALUE!</v>
      </c>
      <c r="I24" s="562" t="s">
        <v>392</v>
      </c>
      <c r="J24" t="s">
        <v>2681</v>
      </c>
      <c r="K24" t="s">
        <v>2679</v>
      </c>
      <c r="L24" s="564" t="s">
        <v>2666</v>
      </c>
      <c r="M24" s="562">
        <f>SUMIFS('Recon of ORS and DV'!D:D,'Recon of ORS and DV'!B:B,'DV List for import'!A24)</f>
        <v>0</v>
      </c>
      <c r="N24" s="276" t="e">
        <f t="shared" si="0"/>
        <v>#VALUE!</v>
      </c>
      <c r="O24" t="s">
        <v>392</v>
      </c>
      <c r="P24" t="str">
        <f>VLOOKUP(A24,'[1]MAIN-101'!$B$8:$D$783,2,FALSE)</f>
        <v>12</v>
      </c>
      <c r="Q24" t="str">
        <f>VLOOKUP(A24,'[1]MAIN-101'!$B$8:$D$783,3,FALSE)</f>
        <v>1989</v>
      </c>
    </row>
    <row r="25" spans="1:17">
      <c r="A25" t="s">
        <v>2391</v>
      </c>
      <c r="B25" t="str">
        <f t="shared" si="1"/>
        <v>Fund 01-2021-01-0022</v>
      </c>
      <c r="C25" s="564" t="str">
        <f t="shared" si="2"/>
        <v>0000-00-0000</v>
      </c>
      <c r="D25" s="562">
        <f>SUMIFS('Import Process ORS'!L:L,'Import Process ORS'!E:E,'DV List for import'!C25)</f>
        <v>0</v>
      </c>
      <c r="E25" t="s">
        <v>2674</v>
      </c>
      <c r="F25" t="str">
        <f>VLOOKUP(A25,'[1]MAIN-101'!$B$13:$M$787,4,FALSE)</f>
        <v>Lime &amp; Zest Kitchen</v>
      </c>
      <c r="G25" t="str">
        <f>VLOOKUP(A25,'[1]MAIN-101'!$B$13:$M$787,12,FALSE)</f>
        <v>Payment for the meals during the SSF RTWG Deliberation on November 26, 2020</v>
      </c>
      <c r="H25" s="562" t="e">
        <f>SUMIFS('[1]MAIN-101'!$Z$1:$Z$3000,'[1]MAIN-101'!$X$1:$X$3000,A25)</f>
        <v>#VALUE!</v>
      </c>
      <c r="I25" s="562" t="s">
        <v>392</v>
      </c>
      <c r="J25" t="s">
        <v>2681</v>
      </c>
      <c r="K25" t="s">
        <v>2679</v>
      </c>
      <c r="L25" s="564" t="s">
        <v>2666</v>
      </c>
      <c r="M25" s="562">
        <f>SUMIFS('Recon of ORS and DV'!D:D,'Recon of ORS and DV'!B:B,'DV List for import'!A25)</f>
        <v>0</v>
      </c>
      <c r="N25" s="276" t="e">
        <f t="shared" si="0"/>
        <v>#VALUE!</v>
      </c>
      <c r="O25" t="s">
        <v>392</v>
      </c>
      <c r="P25" t="str">
        <f>VLOOKUP(A25,'[1]MAIN-101'!$B$8:$D$783,2,FALSE)</f>
        <v>12</v>
      </c>
      <c r="Q25" t="str">
        <f>VLOOKUP(A25,'[1]MAIN-101'!$B$8:$D$783,3,FALSE)</f>
        <v>1809</v>
      </c>
    </row>
    <row r="26" spans="1:17">
      <c r="A26" t="s">
        <v>2392</v>
      </c>
      <c r="B26" t="str">
        <f t="shared" si="1"/>
        <v>Fund 01-2021-01-0023</v>
      </c>
      <c r="C26" s="564" t="str">
        <f t="shared" si="2"/>
        <v>0000-00-0000</v>
      </c>
      <c r="D26" s="562">
        <f>SUMIFS('Import Process ORS'!L:L,'Import Process ORS'!E:E,'DV List for import'!C26)</f>
        <v>0</v>
      </c>
      <c r="E26" t="s">
        <v>2674</v>
      </c>
      <c r="F26" t="str">
        <f>VLOOKUP(A26,'[1]MAIN-101'!$B$13:$M$787,4,FALSE)</f>
        <v>True Brew Gourmet Coffee Shop</v>
      </c>
      <c r="G26" t="str">
        <f>VLOOKUP(A26,'[1]MAIN-101'!$B$13:$M$787,12,FALSE)</f>
        <v>Payment for the provision of meals during level 1 planning on December 10, 2020</v>
      </c>
      <c r="H26" s="562" t="e">
        <f>SUMIFS('[1]MAIN-101'!$Z$1:$Z$3000,'[1]MAIN-101'!$X$1:$X$3000,A26)</f>
        <v>#VALUE!</v>
      </c>
      <c r="I26" s="562" t="s">
        <v>2687</v>
      </c>
      <c r="J26" t="s">
        <v>2683</v>
      </c>
      <c r="K26" t="s">
        <v>2678</v>
      </c>
      <c r="L26" s="564" t="s">
        <v>2666</v>
      </c>
      <c r="M26" s="562">
        <f>SUMIFS('Recon of ORS and DV'!D:D,'Recon of ORS and DV'!B:B,'DV List for import'!A26)</f>
        <v>0</v>
      </c>
      <c r="N26" s="276" t="e">
        <f t="shared" si="0"/>
        <v>#VALUE!</v>
      </c>
    </row>
    <row r="27" spans="1:17">
      <c r="A27" t="s">
        <v>2393</v>
      </c>
      <c r="B27" t="str">
        <f t="shared" si="1"/>
        <v>Fund 01-2021-01-0024</v>
      </c>
      <c r="C27" s="564" t="str">
        <f t="shared" si="2"/>
        <v>0000-00-0000</v>
      </c>
      <c r="D27" s="562">
        <f>SUMIFS('Import Process ORS'!L:L,'Import Process ORS'!E:E,'DV List for import'!C27)</f>
        <v>0</v>
      </c>
      <c r="E27" t="s">
        <v>2674</v>
      </c>
      <c r="F27" t="str">
        <f>VLOOKUP(A27,'[1]MAIN-101'!$B$13:$M$787,4,FALSE)</f>
        <v>Lime &amp; Zest Kitchen</v>
      </c>
      <c r="G27" t="str">
        <f>VLOOKUP(A27,'[1]MAIN-101'!$B$13:$M$787,12,FALSE)</f>
        <v>Payment for the provision of meals during level 0 planning on December 04, 2020</v>
      </c>
      <c r="H27" s="562" t="e">
        <f>SUMIFS('[1]MAIN-101'!$Z$1:$Z$3000,'[1]MAIN-101'!$X$1:$X$3000,A27)</f>
        <v>#VALUE!</v>
      </c>
      <c r="I27" s="562" t="s">
        <v>392</v>
      </c>
      <c r="J27" t="s">
        <v>2681</v>
      </c>
      <c r="K27" t="s">
        <v>2679</v>
      </c>
      <c r="L27" s="564" t="s">
        <v>2666</v>
      </c>
      <c r="M27" s="562">
        <f>SUMIFS('Recon of ORS and DV'!D:D,'Recon of ORS and DV'!B:B,'DV List for import'!A27)</f>
        <v>0</v>
      </c>
      <c r="N27" s="276" t="e">
        <f t="shared" si="0"/>
        <v>#VALUE!</v>
      </c>
      <c r="O27" t="s">
        <v>392</v>
      </c>
      <c r="P27" t="str">
        <f>VLOOKUP(A27,'[1]MAIN-101'!$B$8:$D$783,2,FALSE)</f>
        <v>12</v>
      </c>
      <c r="Q27" t="str">
        <f>VLOOKUP(A27,'[1]MAIN-101'!$B$8:$D$783,3,FALSE)</f>
        <v>1939</v>
      </c>
    </row>
    <row r="28" spans="1:17">
      <c r="A28" t="s">
        <v>2394</v>
      </c>
      <c r="B28" t="str">
        <f t="shared" si="1"/>
        <v>Fund 01-2021-01-0025</v>
      </c>
      <c r="C28" s="564" t="str">
        <f t="shared" si="2"/>
        <v>0000-00-0000</v>
      </c>
      <c r="D28" s="562">
        <f>SUMIFS('Import Process ORS'!L:L,'Import Process ORS'!E:E,'DV List for import'!C28)</f>
        <v>0</v>
      </c>
      <c r="E28" t="s">
        <v>2674</v>
      </c>
      <c r="F28" t="str">
        <f>VLOOKUP(A28,'[1]MAIN-101'!$B$13:$M$787,4,FALSE)</f>
        <v>LG Supplies and General Merchandise</v>
      </c>
      <c r="G28" t="str">
        <f>VLOOKUP(A28,'[1]MAIN-101'!$B$13:$M$787,12,FALSE)</f>
        <v>Payment for IT Supplies for ORD use.</v>
      </c>
      <c r="H28" s="562" t="e">
        <f>SUMIFS('[1]MAIN-101'!$Z$1:$Z$3000,'[1]MAIN-101'!$X$1:$X$3000,A28)</f>
        <v>#VALUE!</v>
      </c>
      <c r="I28" s="562" t="s">
        <v>392</v>
      </c>
      <c r="J28" t="s">
        <v>2681</v>
      </c>
      <c r="K28" t="s">
        <v>2679</v>
      </c>
      <c r="L28" s="564" t="s">
        <v>2666</v>
      </c>
      <c r="M28" s="562">
        <f>SUMIFS('Recon of ORS and DV'!D:D,'Recon of ORS and DV'!B:B,'DV List for import'!A28)</f>
        <v>0</v>
      </c>
      <c r="N28" s="276" t="e">
        <f t="shared" si="0"/>
        <v>#VALUE!</v>
      </c>
      <c r="O28" t="s">
        <v>392</v>
      </c>
      <c r="P28" t="str">
        <f>VLOOKUP(A28,'[1]MAIN-101'!$B$8:$D$783,2,FALSE)</f>
        <v>12</v>
      </c>
      <c r="Q28" t="str">
        <f>VLOOKUP(A28,'[1]MAIN-101'!$B$8:$D$783,3,FALSE)</f>
        <v>1964</v>
      </c>
    </row>
    <row r="29" spans="1:17">
      <c r="A29" t="s">
        <v>2064</v>
      </c>
      <c r="B29" t="str">
        <f t="shared" si="1"/>
        <v>Fund 01-2021-01-0026</v>
      </c>
      <c r="C29" s="562" t="e">
        <f>VLOOKUP(L29,'Import Process ORS'!$D$4:$E$1557,2,FALSE)</f>
        <v>#N/A</v>
      </c>
      <c r="D29" s="562">
        <f>SUMIFS('Import Process ORS'!L:L,'Import Process ORS'!E:E,'DV List for import'!C29)</f>
        <v>0</v>
      </c>
      <c r="E29" t="s">
        <v>2674</v>
      </c>
      <c r="F29" t="str">
        <f>VLOOKUP(A29,'[1]MAIN-101'!$B$13:$M$787,4,FALSE)</f>
        <v>Bureau of Treasury</v>
      </c>
      <c r="G29" t="str">
        <f>VLOOKUP(A29,'[1]MAIN-101'!$B$13:$M$787,12,FALSE)</f>
        <v>Bond Premium for the renewal of Application for bond of accountable officers and employees- Marry Ann L. Pascual</v>
      </c>
      <c r="H29" s="562" t="e">
        <f>SUMIFS('[1]MAIN-101'!$Z$1:$Z$3000,'[1]MAIN-101'!$X$1:$X$3000,A29)</f>
        <v>#VALUE!</v>
      </c>
      <c r="I29" s="562" t="s">
        <v>2687</v>
      </c>
      <c r="J29" t="s">
        <v>2683</v>
      </c>
      <c r="K29" t="s">
        <v>2678</v>
      </c>
      <c r="L29" s="562" t="str">
        <f>VLOOKUP(A29,'Format for Import of DV'!$A$3:$S$1556,3,FALSE)</f>
        <v>010</v>
      </c>
      <c r="M29" s="562" t="e">
        <f>SUMIFS('Recon of ORS and DV'!D:D,'Recon of ORS and DV'!B:B,'DV List for import'!A29)</f>
        <v>#VALUE!</v>
      </c>
      <c r="N29" s="276" t="e">
        <f t="shared" si="0"/>
        <v>#VALUE!</v>
      </c>
    </row>
    <row r="30" spans="1:17">
      <c r="A30" t="s">
        <v>2065</v>
      </c>
      <c r="B30" t="str">
        <f t="shared" si="1"/>
        <v>Fund 01-2021-01-0027</v>
      </c>
      <c r="C30" s="562" t="e">
        <f>VLOOKUP(L30,'Import Process ORS'!$D$4:$E$1557,2,FALSE)</f>
        <v>#N/A</v>
      </c>
      <c r="D30" s="562">
        <f>SUMIFS('Import Process ORS'!L:L,'Import Process ORS'!E:E,'DV List for import'!C30)</f>
        <v>0</v>
      </c>
      <c r="E30" t="s">
        <v>2674</v>
      </c>
      <c r="F30" t="str">
        <f>VLOOKUP(A30,'[1]MAIN-101'!$B$13:$M$787,4,FALSE)</f>
        <v>LBPF/O DTI-AD N</v>
      </c>
      <c r="G30" t="str">
        <f>VLOOKUP(A30,'[1]MAIN-101'!$B$13:$M$787,12,FALSE)</f>
        <v>Payment for the salaries and allowances of regular employees for the period of January 1-15, 2021</v>
      </c>
      <c r="H30" s="562" t="e">
        <f>SUMIFS('[1]MAIN-101'!$Z$1:$Z$3000,'[1]MAIN-101'!$X$1:$X$3000,A30)</f>
        <v>#VALUE!</v>
      </c>
      <c r="I30" s="562" t="s">
        <v>2687</v>
      </c>
      <c r="J30" t="s">
        <v>2683</v>
      </c>
      <c r="K30" t="s">
        <v>2678</v>
      </c>
      <c r="L30" s="562" t="str">
        <f>VLOOKUP(A30,'Format for Import of DV'!$A$3:$S$1556,3,FALSE)</f>
        <v>011</v>
      </c>
      <c r="M30" s="562" t="e">
        <f>SUMIFS('Recon of ORS and DV'!D:D,'Recon of ORS and DV'!B:B,'DV List for import'!A30)</f>
        <v>#VALUE!</v>
      </c>
      <c r="N30" s="276" t="e">
        <f t="shared" si="0"/>
        <v>#VALUE!</v>
      </c>
    </row>
    <row r="31" spans="1:17">
      <c r="A31" t="s">
        <v>2066</v>
      </c>
      <c r="B31" t="str">
        <f t="shared" si="1"/>
        <v>Fund 01-2021-01-0028</v>
      </c>
      <c r="C31" s="562" t="e">
        <f>VLOOKUP(L31,'Import Process ORS'!$D$4:$E$1557,2,FALSE)</f>
        <v>#N/A</v>
      </c>
      <c r="D31" s="562">
        <f>SUMIFS('Import Process ORS'!L:L,'Import Process ORS'!E:E,'DV List for import'!C31)</f>
        <v>0</v>
      </c>
      <c r="E31" t="s">
        <v>2674</v>
      </c>
      <c r="F31" t="str">
        <f>VLOOKUP(A31,'[1]MAIN-101'!$B$13:$M$787,4,FALSE)</f>
        <v>Gay A. Tidalgo</v>
      </c>
      <c r="G31" t="str">
        <f>VLOOKUP(A31,'[1]MAIN-101'!$B$13:$M$787,12,FALSE)</f>
        <v>To reimburse the payment for globe postpaid plan subscription for the month of November 16- December 15, 2020 for the acct # 65087463</v>
      </c>
      <c r="H31" s="562" t="e">
        <f>SUMIFS('[1]MAIN-101'!$Z$1:$Z$3000,'[1]MAIN-101'!$X$1:$X$3000,A31)</f>
        <v>#VALUE!</v>
      </c>
      <c r="I31" s="562" t="s">
        <v>2687</v>
      </c>
      <c r="J31" t="s">
        <v>2683</v>
      </c>
      <c r="K31" t="s">
        <v>2678</v>
      </c>
      <c r="L31" s="562" t="str">
        <f>VLOOKUP(A31,'Format for Import of DV'!$A$3:$S$1556,3,FALSE)</f>
        <v>012</v>
      </c>
      <c r="M31" s="562" t="e">
        <f>SUMIFS('Recon of ORS and DV'!D:D,'Recon of ORS and DV'!B:B,'DV List for import'!A31)</f>
        <v>#VALUE!</v>
      </c>
      <c r="N31" s="276" t="e">
        <f t="shared" si="0"/>
        <v>#VALUE!</v>
      </c>
    </row>
    <row r="32" spans="1:17">
      <c r="A32" t="s">
        <v>2067</v>
      </c>
      <c r="B32" t="str">
        <f t="shared" si="1"/>
        <v>Fund 01-2021-01-0029</v>
      </c>
      <c r="C32" s="562" t="e">
        <f>VLOOKUP(L32,'Import Process ORS'!$D$4:$E$1557,2,FALSE)</f>
        <v>#N/A</v>
      </c>
      <c r="D32" s="562">
        <f>SUMIFS('Import Process ORS'!L:L,'Import Process ORS'!E:E,'DV List for import'!C32)</f>
        <v>0</v>
      </c>
      <c r="E32" t="s">
        <v>2674</v>
      </c>
      <c r="F32" t="str">
        <f>VLOOKUP(A32,'[1]MAIN-101'!$B$13:$M$787,4,FALSE)</f>
        <v>Fil Products Service TV Butuan, Inc</v>
      </c>
      <c r="G32" t="str">
        <f>VLOOKUP(A32,'[1]MAIN-101'!$B$13:$M$787,12,FALSE)</f>
        <v>Payment for subscription expense- cable TV subscription for the period December 28- January 27, 2021</v>
      </c>
      <c r="H32" s="562" t="e">
        <f>SUMIFS('[1]MAIN-101'!$Z$1:$Z$3000,'[1]MAIN-101'!$X$1:$X$3000,A32)</f>
        <v>#VALUE!</v>
      </c>
      <c r="I32" s="562" t="s">
        <v>2687</v>
      </c>
      <c r="J32" t="s">
        <v>2683</v>
      </c>
      <c r="K32" t="s">
        <v>2678</v>
      </c>
      <c r="L32" s="562" t="str">
        <f>VLOOKUP(A32,'Format for Import of DV'!$A$3:$S$1556,3,FALSE)</f>
        <v>013</v>
      </c>
      <c r="M32" s="562" t="e">
        <f>SUMIFS('Recon of ORS and DV'!D:D,'Recon of ORS and DV'!B:B,'DV List for import'!A32)</f>
        <v>#VALUE!</v>
      </c>
      <c r="N32" s="276" t="e">
        <f t="shared" si="0"/>
        <v>#VALUE!</v>
      </c>
    </row>
    <row r="33" spans="1:17">
      <c r="A33" t="s">
        <v>2395</v>
      </c>
      <c r="B33" t="str">
        <f t="shared" si="1"/>
        <v>Fund 01-2021-01-0030</v>
      </c>
      <c r="C33" s="564" t="str">
        <f t="shared" ref="C33:C50" si="3">L33</f>
        <v>0000-00-0000</v>
      </c>
      <c r="D33" s="562">
        <f>SUMIFS('Import Process ORS'!L:L,'Import Process ORS'!E:E,'DV List for import'!C33)</f>
        <v>0</v>
      </c>
      <c r="E33" t="s">
        <v>2674</v>
      </c>
      <c r="F33" t="str">
        <f>VLOOKUP(A33,'[1]MAIN-101'!$B$13:$M$787,4,FALSE)</f>
        <v>Toyota Butuan City</v>
      </c>
      <c r="G33" t="str">
        <f>VLOOKUP(A33,'[1]MAIN-101'!$B$13:$M$787,12,FALSE)</f>
        <v>Labor and materials for the DTI- Caraga Motor Vehicle 50km periodic maintenance- toyota Hilux</v>
      </c>
      <c r="H33" s="562" t="e">
        <f>SUMIFS('[1]MAIN-101'!$Z$1:$Z$3000,'[1]MAIN-101'!$X$1:$X$3000,A33)</f>
        <v>#VALUE!</v>
      </c>
      <c r="I33" s="562" t="s">
        <v>392</v>
      </c>
      <c r="J33" t="s">
        <v>2681</v>
      </c>
      <c r="K33" t="s">
        <v>2679</v>
      </c>
      <c r="L33" s="564" t="s">
        <v>2666</v>
      </c>
      <c r="M33" s="562">
        <f>SUMIFS('Recon of ORS and DV'!D:D,'Recon of ORS and DV'!B:B,'DV List for import'!A33)</f>
        <v>0</v>
      </c>
      <c r="N33" s="276" t="e">
        <f t="shared" si="0"/>
        <v>#VALUE!</v>
      </c>
      <c r="O33" t="s">
        <v>392</v>
      </c>
      <c r="P33" t="str">
        <f>VLOOKUP(A33,'[1]MAIN-101'!$B$8:$D$783,2,FALSE)</f>
        <v>12</v>
      </c>
      <c r="Q33" t="str">
        <f>VLOOKUP(A33,'[1]MAIN-101'!$B$8:$D$783,3,FALSE)</f>
        <v>1847</v>
      </c>
    </row>
    <row r="34" spans="1:17">
      <c r="A34" t="s">
        <v>2396</v>
      </c>
      <c r="B34" t="str">
        <f t="shared" si="1"/>
        <v>Fund 01-2021-01-0031</v>
      </c>
      <c r="C34" s="564" t="str">
        <f t="shared" si="3"/>
        <v>0000-00-0000</v>
      </c>
      <c r="D34" s="562">
        <f>SUMIFS('Import Process ORS'!L:L,'Import Process ORS'!E:E,'DV List for import'!C34)</f>
        <v>0</v>
      </c>
      <c r="E34" t="s">
        <v>2674</v>
      </c>
      <c r="F34" t="str">
        <f>VLOOKUP(A34,'[1]MAIN-101'!$B$13:$M$787,4,FALSE)</f>
        <v>Compañero Commercial</v>
      </c>
      <c r="G34" t="str">
        <f>VLOOKUP(A34,'[1]MAIN-101'!$B$13:$M$787,12,FALSE)</f>
        <v>Payment for the 4th quarter 2020 FAD Office supplies</v>
      </c>
      <c r="H34" s="562" t="e">
        <f>SUMIFS('[1]MAIN-101'!$Z$1:$Z$3000,'[1]MAIN-101'!$X$1:$X$3000,A34)</f>
        <v>#VALUE!</v>
      </c>
      <c r="I34" s="562" t="s">
        <v>392</v>
      </c>
      <c r="J34" t="s">
        <v>2681</v>
      </c>
      <c r="K34" t="s">
        <v>2679</v>
      </c>
      <c r="L34" s="564" t="s">
        <v>2666</v>
      </c>
      <c r="M34" s="562">
        <f>SUMIFS('Recon of ORS and DV'!D:D,'Recon of ORS and DV'!B:B,'DV List for import'!A34)</f>
        <v>0</v>
      </c>
      <c r="N34" s="276" t="e">
        <f t="shared" si="0"/>
        <v>#VALUE!</v>
      </c>
      <c r="O34" t="s">
        <v>392</v>
      </c>
      <c r="P34" t="str">
        <f>VLOOKUP(A34,'[1]MAIN-101'!$B$8:$D$783,2,FALSE)</f>
        <v>12</v>
      </c>
      <c r="Q34" t="str">
        <f>VLOOKUP(A34,'[1]MAIN-101'!$B$8:$D$783,3,FALSE)</f>
        <v>1981</v>
      </c>
    </row>
    <row r="35" spans="1:17">
      <c r="A35" t="s">
        <v>2397</v>
      </c>
      <c r="B35" t="str">
        <f t="shared" si="1"/>
        <v>Fund 01-2021-01-0032</v>
      </c>
      <c r="C35" s="564" t="str">
        <f t="shared" si="3"/>
        <v>0000-00-0000</v>
      </c>
      <c r="D35" s="562">
        <f>SUMIFS('Import Process ORS'!L:L,'Import Process ORS'!E:E,'DV List for import'!C35)</f>
        <v>0</v>
      </c>
      <c r="E35" t="s">
        <v>2674</v>
      </c>
      <c r="F35" t="str">
        <f>VLOOKUP(A35,'[1]MAIN-101'!$B$13:$M$787,4,FALSE)</f>
        <v>Hope Radio Phils DXHR Inc.</v>
      </c>
      <c r="G35" t="str">
        <f>VLOOKUP(A35,'[1]MAIN-101'!$B$13:$M$787,12,FALSE)</f>
        <v>Payment for radio subscription for the month of October to December 2020</v>
      </c>
      <c r="H35" s="562" t="e">
        <f>SUMIFS('[1]MAIN-101'!$Z$1:$Z$3000,'[1]MAIN-101'!$X$1:$X$3000,A35)</f>
        <v>#VALUE!</v>
      </c>
      <c r="I35" s="562" t="s">
        <v>392</v>
      </c>
      <c r="J35" t="s">
        <v>2681</v>
      </c>
      <c r="K35" t="s">
        <v>2679</v>
      </c>
      <c r="L35" s="564" t="s">
        <v>2666</v>
      </c>
      <c r="M35" s="562">
        <f>SUMIFS('Recon of ORS and DV'!D:D,'Recon of ORS and DV'!B:B,'DV List for import'!A35)</f>
        <v>0</v>
      </c>
      <c r="N35" s="276" t="e">
        <f t="shared" si="0"/>
        <v>#VALUE!</v>
      </c>
      <c r="O35" t="s">
        <v>392</v>
      </c>
      <c r="P35" t="str">
        <f>VLOOKUP(A35,'[1]MAIN-101'!$B$8:$D$783,2,FALSE)</f>
        <v>12</v>
      </c>
      <c r="Q35" t="str">
        <f>VLOOKUP(A35,'[1]MAIN-101'!$B$8:$D$783,3,FALSE)</f>
        <v>1945</v>
      </c>
    </row>
    <row r="36" spans="1:17">
      <c r="A36" t="s">
        <v>2398</v>
      </c>
      <c r="B36" t="str">
        <f t="shared" si="1"/>
        <v>Fund 01-2021-01-0033</v>
      </c>
      <c r="C36" s="564" t="str">
        <f t="shared" si="3"/>
        <v>0000-00-0000</v>
      </c>
      <c r="D36" s="562">
        <f>SUMIFS('Import Process ORS'!L:L,'Import Process ORS'!E:E,'DV List for import'!C36)</f>
        <v>0</v>
      </c>
      <c r="E36" t="s">
        <v>2674</v>
      </c>
      <c r="F36" t="str">
        <f>VLOOKUP(A36,'[1]MAIN-101'!$B$13:$M$787,4,FALSE)</f>
        <v>JMN Multimedia Sales and Services</v>
      </c>
      <c r="G36" t="str">
        <f>VLOOKUP(A36,'[1]MAIN-101'!$B$13:$M$787,12,FALSE)</f>
        <v>Payment for IT Supplies for ORD use.</v>
      </c>
      <c r="H36" s="562" t="e">
        <f>SUMIFS('[1]MAIN-101'!$Z$1:$Z$3000,'[1]MAIN-101'!$X$1:$X$3000,A36)</f>
        <v>#VALUE!</v>
      </c>
      <c r="I36" s="562" t="s">
        <v>392</v>
      </c>
      <c r="J36" t="s">
        <v>2681</v>
      </c>
      <c r="K36" t="s">
        <v>2679</v>
      </c>
      <c r="L36" s="564" t="s">
        <v>2666</v>
      </c>
      <c r="M36" s="562">
        <f>SUMIFS('Recon of ORS and DV'!D:D,'Recon of ORS and DV'!B:B,'DV List for import'!A36)</f>
        <v>0</v>
      </c>
      <c r="N36" s="276" t="e">
        <f t="shared" si="0"/>
        <v>#VALUE!</v>
      </c>
      <c r="O36" t="s">
        <v>392</v>
      </c>
      <c r="P36" t="str">
        <f>VLOOKUP(A36,'[1]MAIN-101'!$B$8:$D$783,2,FALSE)</f>
        <v>12</v>
      </c>
      <c r="Q36" t="str">
        <f>VLOOKUP(A36,'[1]MAIN-101'!$B$8:$D$783,3,FALSE)</f>
        <v>1849</v>
      </c>
    </row>
    <row r="37" spans="1:17">
      <c r="A37" t="s">
        <v>2399</v>
      </c>
      <c r="B37" t="str">
        <f t="shared" si="1"/>
        <v>Fund 01-2021-01-0034</v>
      </c>
      <c r="C37" s="564" t="str">
        <f t="shared" si="3"/>
        <v>0000-00-0000</v>
      </c>
      <c r="D37" s="562">
        <f>SUMIFS('Import Process ORS'!L:L,'Import Process ORS'!E:E,'DV List for import'!C37)</f>
        <v>0</v>
      </c>
      <c r="E37" t="s">
        <v>2674</v>
      </c>
      <c r="F37" t="str">
        <f>VLOOKUP(A37,'[1]MAIN-101'!$B$13:$M$787,4,FALSE)</f>
        <v>Ramil J. Leongas</v>
      </c>
      <c r="G37" t="str">
        <f>VLOOKUP(A37,'[1]MAIN-101'!$B$13:$M$787,12,FALSE)</f>
        <v>Full payment of Terminal Leave Benefits of Mr. Ramil J. Leongas</v>
      </c>
      <c r="H37" s="562" t="e">
        <f>SUMIFS('[1]MAIN-101'!$Z$1:$Z$3000,'[1]MAIN-101'!$X$1:$X$3000,A37)</f>
        <v>#VALUE!</v>
      </c>
      <c r="I37" s="562" t="s">
        <v>392</v>
      </c>
      <c r="J37" t="s">
        <v>2681</v>
      </c>
      <c r="K37" t="s">
        <v>2679</v>
      </c>
      <c r="L37" s="564" t="s">
        <v>2666</v>
      </c>
      <c r="M37" s="562">
        <f>SUMIFS('Recon of ORS and DV'!D:D,'Recon of ORS and DV'!B:B,'DV List for import'!A37)</f>
        <v>0</v>
      </c>
      <c r="N37" s="276" t="e">
        <f t="shared" si="0"/>
        <v>#VALUE!</v>
      </c>
      <c r="O37" t="s">
        <v>392</v>
      </c>
      <c r="P37" t="str">
        <f>VLOOKUP(A37,'[1]MAIN-101'!$B$8:$D$783,2,FALSE)</f>
        <v>01</v>
      </c>
      <c r="Q37">
        <f>VLOOKUP(A37,'[1]MAIN-101'!$B$8:$D$783,3,FALSE)</f>
        <v>0</v>
      </c>
    </row>
    <row r="38" spans="1:17">
      <c r="A38" t="s">
        <v>2400</v>
      </c>
      <c r="B38" t="str">
        <f t="shared" si="1"/>
        <v>Fund 01-2021-01-0035</v>
      </c>
      <c r="C38" s="564" t="str">
        <f t="shared" si="3"/>
        <v>0000-00-0000</v>
      </c>
      <c r="D38" s="562">
        <f>SUMIFS('Import Process ORS'!L:L,'Import Process ORS'!E:E,'DV List for import'!C38)</f>
        <v>0</v>
      </c>
      <c r="E38" t="s">
        <v>2674</v>
      </c>
      <c r="F38" t="str">
        <f>VLOOKUP(A38,'[1]MAIN-101'!$B$13:$M$787,4,FALSE)</f>
        <v>Hi-5 Signages Fabricator</v>
      </c>
      <c r="G38" t="str">
        <f>VLOOKUP(A38,'[1]MAIN-101'!$B$13:$M$787,12,FALSE)</f>
        <v>Payment for the tarpaulins during the conduct of Cooperative Month, 18-day campaign to end VAW and International Day of PWD's</v>
      </c>
      <c r="H38" s="562" t="e">
        <f>SUMIFS('[1]MAIN-101'!$Z$1:$Z$3000,'[1]MAIN-101'!$X$1:$X$3000,A38)</f>
        <v>#VALUE!</v>
      </c>
      <c r="I38" s="562" t="s">
        <v>392</v>
      </c>
      <c r="J38" t="s">
        <v>2681</v>
      </c>
      <c r="K38" t="s">
        <v>2679</v>
      </c>
      <c r="L38" s="564" t="s">
        <v>2666</v>
      </c>
      <c r="M38" s="562">
        <f>SUMIFS('Recon of ORS and DV'!D:D,'Recon of ORS and DV'!B:B,'DV List for import'!A38)</f>
        <v>0</v>
      </c>
      <c r="N38" s="276" t="e">
        <f t="shared" si="0"/>
        <v>#VALUE!</v>
      </c>
      <c r="O38" t="s">
        <v>392</v>
      </c>
      <c r="P38" t="str">
        <f>VLOOKUP(A38,'[1]MAIN-101'!$B$8:$D$783,2,FALSE)</f>
        <v>12</v>
      </c>
      <c r="Q38" t="str">
        <f>VLOOKUP(A38,'[1]MAIN-101'!$B$8:$D$783,3,FALSE)</f>
        <v>1940</v>
      </c>
    </row>
    <row r="39" spans="1:17">
      <c r="A39" t="s">
        <v>2401</v>
      </c>
      <c r="B39" t="str">
        <f t="shared" si="1"/>
        <v>Fund 01-2021-01-0036</v>
      </c>
      <c r="C39" s="564" t="str">
        <f t="shared" si="3"/>
        <v>0000-00-0000</v>
      </c>
      <c r="D39" s="562">
        <f>SUMIFS('Import Process ORS'!L:L,'Import Process ORS'!E:E,'DV List for import'!C39)</f>
        <v>0</v>
      </c>
      <c r="E39" t="s">
        <v>2674</v>
      </c>
      <c r="F39" t="str">
        <f>VLOOKUP(A39,'[1]MAIN-101'!$B$13:$M$787,4,FALSE)</f>
        <v>Mahaneh Garments</v>
      </c>
      <c r="G39" t="str">
        <f>VLOOKUP(A39,'[1]MAIN-101'!$B$13:$M$787,12,FALSE)</f>
        <v>Payment for customized poloshirt during KMME Online sesssion batch 2 tokens for graduation</v>
      </c>
      <c r="H39" s="562" t="e">
        <f>SUMIFS('[1]MAIN-101'!$Z$1:$Z$3000,'[1]MAIN-101'!$X$1:$X$3000,A39)</f>
        <v>#VALUE!</v>
      </c>
      <c r="I39" s="562" t="s">
        <v>392</v>
      </c>
      <c r="J39" t="s">
        <v>2681</v>
      </c>
      <c r="K39" t="s">
        <v>2679</v>
      </c>
      <c r="L39" s="564" t="s">
        <v>2666</v>
      </c>
      <c r="M39" s="562">
        <f>SUMIFS('Recon of ORS and DV'!D:D,'Recon of ORS and DV'!B:B,'DV List for import'!A39)</f>
        <v>0</v>
      </c>
      <c r="N39" s="276" t="e">
        <f t="shared" si="0"/>
        <v>#VALUE!</v>
      </c>
      <c r="O39" t="s">
        <v>392</v>
      </c>
      <c r="P39" t="str">
        <f>VLOOKUP(A39,'[1]MAIN-101'!$B$8:$D$783,2,FALSE)</f>
        <v>12</v>
      </c>
      <c r="Q39" t="str">
        <f>VLOOKUP(A39,'[1]MAIN-101'!$B$8:$D$783,3,FALSE)</f>
        <v>1790</v>
      </c>
    </row>
    <row r="40" spans="1:17">
      <c r="A40" t="s">
        <v>2402</v>
      </c>
      <c r="B40" t="str">
        <f t="shared" si="1"/>
        <v>Fund 01-2021-01-0037</v>
      </c>
      <c r="C40" s="564" t="str">
        <f t="shared" si="3"/>
        <v>0000-00-0000</v>
      </c>
      <c r="D40" s="562">
        <f>SUMIFS('Import Process ORS'!L:L,'Import Process ORS'!E:E,'DV List for import'!C40)</f>
        <v>0</v>
      </c>
      <c r="E40" t="s">
        <v>2674</v>
      </c>
      <c r="F40" t="str">
        <f>VLOOKUP(A40,'[1]MAIN-101'!$B$13:$M$787,4,FALSE)</f>
        <v>True Brew Gourmet Coffee Shop</v>
      </c>
      <c r="G40" t="str">
        <f>VLOOKUP(A40,'[1]MAIN-101'!$B$13:$M$787,12,FALSE)</f>
        <v>Payment of meals during LSP-NSB and PPG Year end assessment on December 22, 2020</v>
      </c>
      <c r="H40" s="562" t="e">
        <f>SUMIFS('[1]MAIN-101'!$Z$1:$Z$3000,'[1]MAIN-101'!$X$1:$X$3000,A40)</f>
        <v>#VALUE!</v>
      </c>
      <c r="I40" s="562" t="s">
        <v>392</v>
      </c>
      <c r="J40" t="s">
        <v>2681</v>
      </c>
      <c r="K40" t="s">
        <v>2679</v>
      </c>
      <c r="L40" s="564" t="s">
        <v>2666</v>
      </c>
      <c r="M40" s="562">
        <f>SUMIFS('Recon of ORS and DV'!D:D,'Recon of ORS and DV'!B:B,'DV List for import'!A40)</f>
        <v>0</v>
      </c>
      <c r="N40" s="276" t="e">
        <f t="shared" si="0"/>
        <v>#VALUE!</v>
      </c>
      <c r="O40" t="s">
        <v>392</v>
      </c>
      <c r="P40" t="str">
        <f>VLOOKUP(A40,'[1]MAIN-101'!$B$8:$D$783,2,FALSE)</f>
        <v>12</v>
      </c>
      <c r="Q40" t="str">
        <f>VLOOKUP(A40,'[1]MAIN-101'!$B$8:$D$783,3,FALSE)</f>
        <v>1980</v>
      </c>
    </row>
    <row r="41" spans="1:17">
      <c r="A41" t="s">
        <v>2403</v>
      </c>
      <c r="B41" t="str">
        <f t="shared" si="1"/>
        <v>Fund 01-2021-01-0038</v>
      </c>
      <c r="C41" s="564" t="str">
        <f t="shared" si="3"/>
        <v>0000-00-0000</v>
      </c>
      <c r="D41" s="562">
        <f>SUMIFS('Import Process ORS'!L:L,'Import Process ORS'!E:E,'DV List for import'!C41)</f>
        <v>0</v>
      </c>
      <c r="E41" t="s">
        <v>2674</v>
      </c>
      <c r="F41" t="str">
        <f>VLOOKUP(A41,'[1]MAIN-101'!$B$13:$M$787,4,FALSE)</f>
        <v>True Brew Gourmet Coffee Shop</v>
      </c>
      <c r="G41" t="str">
        <f>VLOOKUP(A41,'[1]MAIN-101'!$B$13:$M$787,12,FALSE)</f>
        <v>Payment of meals during NC Year end Assessment and planning on December 9, 2020</v>
      </c>
      <c r="H41" s="562" t="e">
        <f>SUMIFS('[1]MAIN-101'!$Z$1:$Z$3000,'[1]MAIN-101'!$X$1:$X$3000,A41)</f>
        <v>#VALUE!</v>
      </c>
      <c r="I41" s="562" t="s">
        <v>392</v>
      </c>
      <c r="J41" t="s">
        <v>2681</v>
      </c>
      <c r="K41" t="s">
        <v>2679</v>
      </c>
      <c r="L41" s="564" t="s">
        <v>2666</v>
      </c>
      <c r="M41" s="562">
        <f>SUMIFS('Recon of ORS and DV'!D:D,'Recon of ORS and DV'!B:B,'DV List for import'!A41)</f>
        <v>0</v>
      </c>
      <c r="N41" s="276" t="e">
        <f t="shared" si="0"/>
        <v>#VALUE!</v>
      </c>
      <c r="O41" t="s">
        <v>392</v>
      </c>
      <c r="P41" t="str">
        <f>VLOOKUP(A41,'[1]MAIN-101'!$B$8:$D$783,2,FALSE)</f>
        <v>12</v>
      </c>
      <c r="Q41" t="str">
        <f>VLOOKUP(A41,'[1]MAIN-101'!$B$8:$D$783,3,FALSE)</f>
        <v>1960</v>
      </c>
    </row>
    <row r="42" spans="1:17">
      <c r="A42" t="s">
        <v>2404</v>
      </c>
      <c r="B42" t="str">
        <f t="shared" si="1"/>
        <v>Fund 01-2021-01-0039</v>
      </c>
      <c r="C42" s="564" t="str">
        <f t="shared" si="3"/>
        <v>0000-00-0000</v>
      </c>
      <c r="D42" s="562">
        <f>SUMIFS('Import Process ORS'!L:L,'Import Process ORS'!E:E,'DV List for import'!C42)</f>
        <v>0</v>
      </c>
      <c r="E42" t="s">
        <v>2674</v>
      </c>
      <c r="F42" t="str">
        <f>VLOOKUP(A42,'[1]MAIN-101'!$B$13:$M$787,4,FALSE)</f>
        <v>Efren Sotto</v>
      </c>
      <c r="G42" t="str">
        <f>VLOOKUP(A42,'[1]MAIN-101'!$B$13:$M$787,12,FALSE)</f>
        <v>Payment of Honorariumj of panelist during BIP Presentation on September 21-23, 2020(KMME Online Session Batch 1</v>
      </c>
      <c r="H42" s="562" t="e">
        <f>SUMIFS('[1]MAIN-101'!$Z$1:$Z$3000,'[1]MAIN-101'!$X$1:$X$3000,A42)</f>
        <v>#VALUE!</v>
      </c>
      <c r="I42" s="562" t="s">
        <v>2687</v>
      </c>
      <c r="J42" t="s">
        <v>2683</v>
      </c>
      <c r="K42" t="s">
        <v>2678</v>
      </c>
      <c r="L42" s="564" t="s">
        <v>2666</v>
      </c>
      <c r="M42" s="562">
        <f>SUMIFS('Recon of ORS and DV'!D:D,'Recon of ORS and DV'!B:B,'DV List for import'!A42)</f>
        <v>0</v>
      </c>
      <c r="N42" s="276" t="e">
        <f t="shared" si="0"/>
        <v>#VALUE!</v>
      </c>
    </row>
    <row r="43" spans="1:17">
      <c r="A43" t="s">
        <v>2405</v>
      </c>
      <c r="B43" t="str">
        <f t="shared" si="1"/>
        <v>Fund 01-2021-01-0040</v>
      </c>
      <c r="C43" s="564" t="str">
        <f t="shared" si="3"/>
        <v>0000-00-0000</v>
      </c>
      <c r="D43" s="562">
        <f>SUMIFS('Import Process ORS'!L:L,'Import Process ORS'!E:E,'DV List for import'!C43)</f>
        <v>0</v>
      </c>
      <c r="E43" t="s">
        <v>2674</v>
      </c>
      <c r="F43" t="str">
        <f>VLOOKUP(A43,'[1]MAIN-101'!$B$13:$M$787,4,FALSE)</f>
        <v>Angelito Cagulada</v>
      </c>
      <c r="G43" t="str">
        <f>VLOOKUP(A43,'[1]MAIN-101'!$B$13:$M$787,12,FALSE)</f>
        <v>Payment of Honorarium of panelist during BIP Presentation on September 21-23, 2020(KMME Online Session Batch 1</v>
      </c>
      <c r="H43" s="562" t="e">
        <f>SUMIFS('[1]MAIN-101'!$Z$1:$Z$3000,'[1]MAIN-101'!$X$1:$X$3000,A43)</f>
        <v>#VALUE!</v>
      </c>
      <c r="I43" s="562" t="s">
        <v>2687</v>
      </c>
      <c r="J43" t="s">
        <v>2683</v>
      </c>
      <c r="K43" t="s">
        <v>2678</v>
      </c>
      <c r="L43" s="564" t="s">
        <v>2666</v>
      </c>
      <c r="M43" s="562">
        <f>SUMIFS('Recon of ORS and DV'!D:D,'Recon of ORS and DV'!B:B,'DV List for import'!A43)</f>
        <v>0</v>
      </c>
      <c r="N43" s="276" t="e">
        <f t="shared" si="0"/>
        <v>#VALUE!</v>
      </c>
    </row>
    <row r="44" spans="1:17">
      <c r="A44" t="s">
        <v>2406</v>
      </c>
      <c r="B44" t="str">
        <f t="shared" si="1"/>
        <v>Fund 01-2021-01-0041</v>
      </c>
      <c r="C44" s="564" t="str">
        <f t="shared" si="3"/>
        <v>0000-00-0000</v>
      </c>
      <c r="D44" s="562">
        <f>SUMIFS('Import Process ORS'!L:L,'Import Process ORS'!E:E,'DV List for import'!C44)</f>
        <v>0</v>
      </c>
      <c r="E44" t="s">
        <v>2674</v>
      </c>
      <c r="F44" t="str">
        <f>VLOOKUP(A44,'[1]MAIN-101'!$B$13:$M$787,4,FALSE)</f>
        <v>Maximo R. Yap</v>
      </c>
      <c r="G44" t="str">
        <f>VLOOKUP(A44,'[1]MAIN-101'!$B$13:$M$787,12,FALSE)</f>
        <v>Payment of Honorarium of panelist during BIP Presentation on September 21-23, 2020(KMME Online Session Batch 1</v>
      </c>
      <c r="H44" s="562" t="e">
        <f>SUMIFS('[1]MAIN-101'!$Z$1:$Z$3000,'[1]MAIN-101'!$X$1:$X$3000,A44)</f>
        <v>#VALUE!</v>
      </c>
      <c r="I44" s="562" t="s">
        <v>2687</v>
      </c>
      <c r="J44" t="s">
        <v>2683</v>
      </c>
      <c r="K44" t="s">
        <v>2678</v>
      </c>
      <c r="L44" s="564" t="s">
        <v>2666</v>
      </c>
      <c r="M44" s="562">
        <f>SUMIFS('Recon of ORS and DV'!D:D,'Recon of ORS and DV'!B:B,'DV List for import'!A44)</f>
        <v>0</v>
      </c>
      <c r="N44" s="276" t="e">
        <f t="shared" si="0"/>
        <v>#VALUE!</v>
      </c>
    </row>
    <row r="45" spans="1:17">
      <c r="A45" t="s">
        <v>2407</v>
      </c>
      <c r="B45" t="str">
        <f t="shared" si="1"/>
        <v>Fund 01-2021-01-0042</v>
      </c>
      <c r="C45" s="564" t="str">
        <f t="shared" si="3"/>
        <v>0000-00-0000</v>
      </c>
      <c r="D45" s="562">
        <f>SUMIFS('Import Process ORS'!L:L,'Import Process ORS'!E:E,'DV List for import'!C45)</f>
        <v>0</v>
      </c>
      <c r="E45" t="s">
        <v>2674</v>
      </c>
      <c r="F45" t="str">
        <f>VLOOKUP(A45,'[1]MAIN-101'!$B$13:$M$787,4,FALSE)</f>
        <v>Kamile Angelie  Mabano</v>
      </c>
      <c r="G45" t="str">
        <f>VLOOKUP(A45,'[1]MAIN-101'!$B$13:$M$787,12,FALSE)</f>
        <v>Payment of Honorarium of panelist during BIP Presentation on September 21-23, 2020(KMME Online Session Batch 1</v>
      </c>
      <c r="H45" s="562" t="e">
        <f>SUMIFS('[1]MAIN-101'!$Z$1:$Z$3000,'[1]MAIN-101'!$X$1:$X$3000,A45)</f>
        <v>#VALUE!</v>
      </c>
      <c r="I45" s="562" t="s">
        <v>2687</v>
      </c>
      <c r="J45" t="s">
        <v>2683</v>
      </c>
      <c r="K45" t="s">
        <v>2678</v>
      </c>
      <c r="L45" s="564" t="s">
        <v>2666</v>
      </c>
      <c r="M45" s="562">
        <f>SUMIFS('Recon of ORS and DV'!D:D,'Recon of ORS and DV'!B:B,'DV List for import'!A45)</f>
        <v>0</v>
      </c>
      <c r="N45" s="276" t="e">
        <f t="shared" si="0"/>
        <v>#VALUE!</v>
      </c>
    </row>
    <row r="46" spans="1:17">
      <c r="A46" t="s">
        <v>2408</v>
      </c>
      <c r="B46" t="str">
        <f t="shared" si="1"/>
        <v>Fund 01-2021-01-0043</v>
      </c>
      <c r="C46" s="564" t="str">
        <f t="shared" si="3"/>
        <v>0000-00-0000</v>
      </c>
      <c r="D46" s="562">
        <f>SUMIFS('Import Process ORS'!L:L,'Import Process ORS'!E:E,'DV List for import'!C46)</f>
        <v>0</v>
      </c>
      <c r="E46" t="s">
        <v>2674</v>
      </c>
      <c r="F46" t="str">
        <f>VLOOKUP(A46,'[1]MAIN-101'!$B$13:$M$787,4,FALSE)</f>
        <v>Renato Gatchalian</v>
      </c>
      <c r="G46" t="str">
        <f>VLOOKUP(A46,'[1]MAIN-101'!$B$13:$M$787,12,FALSE)</f>
        <v>Payment of Honorarium of panelist during BIP Presentation on September 21-23, 2020(KMME Online Session Batch 1</v>
      </c>
      <c r="H46" s="562" t="e">
        <f>SUMIFS('[1]MAIN-101'!$Z$1:$Z$3000,'[1]MAIN-101'!$X$1:$X$3000,A46)</f>
        <v>#VALUE!</v>
      </c>
      <c r="I46" s="562" t="s">
        <v>2687</v>
      </c>
      <c r="J46" t="s">
        <v>2683</v>
      </c>
      <c r="K46" t="s">
        <v>2678</v>
      </c>
      <c r="L46" s="564" t="s">
        <v>2666</v>
      </c>
      <c r="M46" s="562">
        <f>SUMIFS('Recon of ORS and DV'!D:D,'Recon of ORS and DV'!B:B,'DV List for import'!A46)</f>
        <v>0</v>
      </c>
      <c r="N46" s="276" t="e">
        <f t="shared" si="0"/>
        <v>#VALUE!</v>
      </c>
    </row>
    <row r="47" spans="1:17">
      <c r="A47" t="s">
        <v>2409</v>
      </c>
      <c r="B47" t="str">
        <f t="shared" si="1"/>
        <v>Fund 01-2021-01-0044</v>
      </c>
      <c r="C47" s="564" t="str">
        <f t="shared" si="3"/>
        <v>0000-00-0000</v>
      </c>
      <c r="D47" s="562">
        <f>SUMIFS('Import Process ORS'!L:L,'Import Process ORS'!E:E,'DV List for import'!C47)</f>
        <v>0</v>
      </c>
      <c r="E47" t="s">
        <v>2674</v>
      </c>
      <c r="F47" t="str">
        <f>VLOOKUP(A47,'[1]MAIN-101'!$B$13:$M$787,4,FALSE)</f>
        <v>Cherille Ann Marie Mulawan</v>
      </c>
      <c r="G47" t="str">
        <f>VLOOKUP(A47,'[1]MAIN-101'!$B$13:$M$787,12,FALSE)</f>
        <v>Payment of Honorarium of panelist during BIP Presentation on September 21-23, 2020(KMME Online Session Batch 1</v>
      </c>
      <c r="H47" s="562" t="e">
        <f>SUMIFS('[1]MAIN-101'!$Z$1:$Z$3000,'[1]MAIN-101'!$X$1:$X$3000,A47)</f>
        <v>#VALUE!</v>
      </c>
      <c r="I47" s="562" t="s">
        <v>392</v>
      </c>
      <c r="J47" t="s">
        <v>2681</v>
      </c>
      <c r="K47" t="s">
        <v>2679</v>
      </c>
      <c r="L47" s="564" t="s">
        <v>2666</v>
      </c>
      <c r="M47" s="562">
        <f>SUMIFS('Recon of ORS and DV'!D:D,'Recon of ORS and DV'!B:B,'DV List for import'!A47)</f>
        <v>0</v>
      </c>
      <c r="N47" s="276" t="e">
        <f t="shared" si="0"/>
        <v>#VALUE!</v>
      </c>
      <c r="O47" t="s">
        <v>392</v>
      </c>
      <c r="P47" t="str">
        <f>VLOOKUP(A47,'[1]MAIN-101'!$B$8:$D$783,2,FALSE)</f>
        <v>12</v>
      </c>
      <c r="Q47" t="str">
        <f>VLOOKUP(A47,'[1]MAIN-101'!$B$8:$D$783,3,FALSE)</f>
        <v>1900</v>
      </c>
    </row>
    <row r="48" spans="1:17">
      <c r="A48" t="s">
        <v>2410</v>
      </c>
      <c r="B48" t="str">
        <f t="shared" si="1"/>
        <v>Fund 01-2021-01-0045</v>
      </c>
      <c r="C48" s="564" t="str">
        <f t="shared" si="3"/>
        <v>0000-00-0000</v>
      </c>
      <c r="D48" s="562">
        <f>SUMIFS('Import Process ORS'!L:L,'Import Process ORS'!E:E,'DV List for import'!C48)</f>
        <v>0</v>
      </c>
      <c r="E48" t="s">
        <v>2674</v>
      </c>
      <c r="F48" t="str">
        <f>VLOOKUP(A48,'[1]MAIN-101'!$B$13:$M$787,4,FALSE)</f>
        <v>Vonne Vincent Gador</v>
      </c>
      <c r="G48" t="str">
        <f>VLOOKUP(A48,'[1]MAIN-101'!$B$13:$M$787,12,FALSE)</f>
        <v>Payment of Honorarium of panelist during BIP Presentation on September 21-23, 2020(KMME Online Session Batch 1</v>
      </c>
      <c r="H48" s="562" t="e">
        <f>SUMIFS('[1]MAIN-101'!$Z$1:$Z$3000,'[1]MAIN-101'!$X$1:$X$3000,A48)</f>
        <v>#VALUE!</v>
      </c>
      <c r="I48" s="562" t="s">
        <v>2687</v>
      </c>
      <c r="J48" t="s">
        <v>2683</v>
      </c>
      <c r="K48" t="s">
        <v>2678</v>
      </c>
      <c r="L48" s="564" t="s">
        <v>2666</v>
      </c>
      <c r="M48" s="562">
        <f>SUMIFS('Recon of ORS and DV'!D:D,'Recon of ORS and DV'!B:B,'DV List for import'!A48)</f>
        <v>0</v>
      </c>
      <c r="N48" s="276" t="e">
        <f t="shared" si="0"/>
        <v>#VALUE!</v>
      </c>
    </row>
    <row r="49" spans="1:17">
      <c r="A49" t="s">
        <v>2411</v>
      </c>
      <c r="B49" t="str">
        <f t="shared" si="1"/>
        <v>Fund 01-2021-01-0046</v>
      </c>
      <c r="C49" s="564" t="str">
        <f t="shared" si="3"/>
        <v>0000-00-0000</v>
      </c>
      <c r="D49" s="562">
        <f>SUMIFS('Import Process ORS'!L:L,'Import Process ORS'!E:E,'DV List for import'!C49)</f>
        <v>0</v>
      </c>
      <c r="E49" t="s">
        <v>2674</v>
      </c>
      <c r="F49" t="str">
        <f>VLOOKUP(A49,'[1]MAIN-101'!$B$13:$M$787,4,FALSE)</f>
        <v>Gesila Laput</v>
      </c>
      <c r="G49" t="str">
        <f>VLOOKUP(A49,'[1]MAIN-101'!$B$13:$M$787,12,FALSE)</f>
        <v>Payment of Honorarium of panelist during BIP Presentation on September 21-23, 2020(KMME Online Session Batch 1</v>
      </c>
      <c r="H49" s="562" t="e">
        <f>SUMIFS('[1]MAIN-101'!$Z$1:$Z$3000,'[1]MAIN-101'!$X$1:$X$3000,A49)</f>
        <v>#VALUE!</v>
      </c>
      <c r="I49" s="562" t="s">
        <v>2687</v>
      </c>
      <c r="J49" t="s">
        <v>2683</v>
      </c>
      <c r="K49" t="s">
        <v>2678</v>
      </c>
      <c r="L49" s="564" t="s">
        <v>2666</v>
      </c>
      <c r="M49" s="562">
        <f>SUMIFS('Recon of ORS and DV'!D:D,'Recon of ORS and DV'!B:B,'DV List for import'!A49)</f>
        <v>0</v>
      </c>
      <c r="N49" s="276" t="e">
        <f t="shared" si="0"/>
        <v>#VALUE!</v>
      </c>
    </row>
    <row r="50" spans="1:17">
      <c r="A50" t="s">
        <v>2412</v>
      </c>
      <c r="B50" t="str">
        <f t="shared" si="1"/>
        <v>Fund 01-2021-01-0047</v>
      </c>
      <c r="C50" s="564" t="str">
        <f t="shared" si="3"/>
        <v>0000-00-0000</v>
      </c>
      <c r="D50" s="562">
        <f>SUMIFS('Import Process ORS'!L:L,'Import Process ORS'!E:E,'DV List for import'!C50)</f>
        <v>0</v>
      </c>
      <c r="E50" t="s">
        <v>2674</v>
      </c>
      <c r="F50" t="str">
        <f>VLOOKUP(A50,'[1]MAIN-101'!$B$13:$M$787,4,FALSE)</f>
        <v>April Dabalos</v>
      </c>
      <c r="G50" t="str">
        <f>VLOOKUP(A50,'[1]MAIN-101'!$B$13:$M$787,12,FALSE)</f>
        <v>Payment of coaching session during KMME Online session batch 2(mentees: Ladlad, Galinato, Ranoa) on November 16-27, 2020</v>
      </c>
      <c r="H50" s="562" t="e">
        <f>SUMIFS('[1]MAIN-101'!$Z$1:$Z$3000,'[1]MAIN-101'!$X$1:$X$3000,A50)</f>
        <v>#VALUE!</v>
      </c>
      <c r="I50" s="562" t="s">
        <v>2687</v>
      </c>
      <c r="J50" t="s">
        <v>2683</v>
      </c>
      <c r="K50" t="s">
        <v>2678</v>
      </c>
      <c r="L50" s="564" t="s">
        <v>2666</v>
      </c>
      <c r="M50" s="562">
        <f>SUMIFS('Recon of ORS and DV'!D:D,'Recon of ORS and DV'!B:B,'DV List for import'!A50)</f>
        <v>0</v>
      </c>
      <c r="N50" s="276" t="e">
        <f t="shared" si="0"/>
        <v>#VALUE!</v>
      </c>
    </row>
    <row r="51" spans="1:17">
      <c r="A51" t="s">
        <v>2068</v>
      </c>
      <c r="B51" t="str">
        <f t="shared" si="1"/>
        <v>Fund 01-2021-01-0048</v>
      </c>
      <c r="C51" s="562" t="e">
        <f>VLOOKUP(L51,'Import Process ORS'!$D$4:$E$1557,2,FALSE)</f>
        <v>#N/A</v>
      </c>
      <c r="D51" s="562">
        <f>SUMIFS('Import Process ORS'!L:L,'Import Process ORS'!E:E,'DV List for import'!C51)</f>
        <v>0</v>
      </c>
      <c r="E51" t="s">
        <v>2674</v>
      </c>
      <c r="F51" t="str">
        <f>VLOOKUP(A51,'[1]MAIN-101'!$B$13:$M$787,4,FALSE)</f>
        <v>JWL Sourcing Group, Inc</v>
      </c>
      <c r="G51" t="str">
        <f>VLOOKUP(A51,'[1]MAIN-101'!$B$13:$M$787,12,FALSE)</f>
        <v>Fuel comsumption for the period December 1-31, 2020</v>
      </c>
      <c r="H51" s="562" t="e">
        <f>SUMIFS('[1]MAIN-101'!$Z$1:$Z$3000,'[1]MAIN-101'!$X$1:$X$3000,A51)</f>
        <v>#VALUE!</v>
      </c>
      <c r="I51" s="562" t="s">
        <v>2687</v>
      </c>
      <c r="J51" t="s">
        <v>2683</v>
      </c>
      <c r="K51" t="s">
        <v>2678</v>
      </c>
      <c r="L51" s="562" t="str">
        <f>VLOOKUP(A51,'Format for Import of DV'!$A$3:$S$1556,3,FALSE)</f>
        <v>015</v>
      </c>
      <c r="M51" s="562" t="e">
        <f>SUMIFS('Recon of ORS and DV'!D:D,'Recon of ORS and DV'!B:B,'DV List for import'!A51)</f>
        <v>#VALUE!</v>
      </c>
      <c r="N51" s="276" t="e">
        <f t="shared" si="0"/>
        <v>#VALUE!</v>
      </c>
    </row>
    <row r="52" spans="1:17">
      <c r="A52" t="s">
        <v>2069</v>
      </c>
      <c r="B52" t="str">
        <f t="shared" si="1"/>
        <v>Fund 01-2021-01-0049</v>
      </c>
      <c r="C52" s="562" t="e">
        <f>VLOOKUP(L52,'Import Process ORS'!$D$4:$E$1557,2,FALSE)</f>
        <v>#N/A</v>
      </c>
      <c r="D52" s="562">
        <f>SUMIFS('Import Process ORS'!L:L,'Import Process ORS'!E:E,'DV List for import'!C52)</f>
        <v>0</v>
      </c>
      <c r="E52" t="s">
        <v>2674</v>
      </c>
      <c r="F52" t="str">
        <f>VLOOKUP(A52,'[1]MAIN-101'!$B$13:$M$787,4,FALSE)</f>
        <v>OIC, DTI-ADS</v>
      </c>
      <c r="G52" t="str">
        <f>VLOOKUP(A52,'[1]MAIN-101'!$B$13:$M$787,12,FALSE)</f>
        <v>Advances for the conduct of FAD Functional Team Meeting on January 25, 2021</v>
      </c>
      <c r="H52" s="562" t="e">
        <f>SUMIFS('[1]MAIN-101'!$Z$1:$Z$3000,'[1]MAIN-101'!$X$1:$X$3000,A52)</f>
        <v>#VALUE!</v>
      </c>
      <c r="I52" s="562" t="s">
        <v>2685</v>
      </c>
      <c r="J52" t="s">
        <v>2683</v>
      </c>
      <c r="K52" t="s">
        <v>2678</v>
      </c>
      <c r="L52" s="562" t="str">
        <f>VLOOKUP(A52,'Format for Import of DV'!$A$3:$S$1556,3,FALSE)</f>
        <v>017</v>
      </c>
      <c r="M52" s="562" t="e">
        <f>SUMIFS('Recon of ORS and DV'!D:D,'Recon of ORS and DV'!B:B,'DV List for import'!A52)</f>
        <v>#VALUE!</v>
      </c>
      <c r="N52" s="276" t="e">
        <f t="shared" si="0"/>
        <v>#VALUE!</v>
      </c>
    </row>
    <row r="53" spans="1:17">
      <c r="A53" t="s">
        <v>2070</v>
      </c>
      <c r="B53" t="str">
        <f t="shared" si="1"/>
        <v>Fund 01-2021-01-0050</v>
      </c>
      <c r="C53" s="562" t="e">
        <f>VLOOKUP(L53,'Import Process ORS'!$D$4:$E$1557,2,FALSE)</f>
        <v>#N/A</v>
      </c>
      <c r="D53" s="562">
        <f>SUMIFS('Import Process ORS'!L:L,'Import Process ORS'!E:E,'DV List for import'!C53)</f>
        <v>0</v>
      </c>
      <c r="E53" t="s">
        <v>2674</v>
      </c>
      <c r="F53" t="str">
        <f>VLOOKUP(A53,'[1]MAIN-101'!$B$13:$M$787,4,FALSE)</f>
        <v>OIC, DTI-SDN</v>
      </c>
      <c r="G53" t="str">
        <f>VLOOKUP(A53,'[1]MAIN-101'!$B$13:$M$787,12,FALSE)</f>
        <v>Advances for the conduct of FAD Functional Team Meeting on January 25, 2021</v>
      </c>
      <c r="H53" s="562" t="e">
        <f>SUMIFS('[1]MAIN-101'!$Z$1:$Z$3000,'[1]MAIN-101'!$X$1:$X$3000,A53)</f>
        <v>#VALUE!</v>
      </c>
      <c r="I53" s="562" t="s">
        <v>2685</v>
      </c>
      <c r="J53" t="s">
        <v>2683</v>
      </c>
      <c r="K53" t="s">
        <v>2678</v>
      </c>
      <c r="L53" s="562" t="str">
        <f>VLOOKUP(A53,'Format for Import of DV'!$A$3:$S$1556,3,FALSE)</f>
        <v>018</v>
      </c>
      <c r="M53" s="562" t="e">
        <f>SUMIFS('Recon of ORS and DV'!D:D,'Recon of ORS and DV'!B:B,'DV List for import'!A53)</f>
        <v>#VALUE!</v>
      </c>
      <c r="N53" s="276" t="e">
        <f t="shared" si="0"/>
        <v>#VALUE!</v>
      </c>
    </row>
    <row r="54" spans="1:17">
      <c r="A54" t="s">
        <v>2071</v>
      </c>
      <c r="B54" t="str">
        <f t="shared" si="1"/>
        <v>Fund 01-2021-01-0051</v>
      </c>
      <c r="C54" s="562" t="e">
        <f>VLOOKUP(L54,'Import Process ORS'!$D$4:$E$1557,2,FALSE)</f>
        <v>#N/A</v>
      </c>
      <c r="D54" s="562">
        <f>SUMIFS('Import Process ORS'!L:L,'Import Process ORS'!E:E,'DV List for import'!C54)</f>
        <v>0</v>
      </c>
      <c r="E54" t="s">
        <v>2674</v>
      </c>
      <c r="F54" t="str">
        <f>VLOOKUP(A54,'[1]MAIN-101'!$B$13:$M$787,4,FALSE)</f>
        <v>OIC, DTI-SDS</v>
      </c>
      <c r="G54" t="str">
        <f>VLOOKUP(A54,'[1]MAIN-101'!$B$13:$M$787,12,FALSE)</f>
        <v>Advances for the conduct of FAD Functional Team Meeting on January 25, 2021</v>
      </c>
      <c r="H54" s="562" t="e">
        <f>SUMIFS('[1]MAIN-101'!$Z$1:$Z$3000,'[1]MAIN-101'!$X$1:$X$3000,A54)</f>
        <v>#VALUE!</v>
      </c>
      <c r="I54" s="562" t="s">
        <v>2685</v>
      </c>
      <c r="J54" t="s">
        <v>2683</v>
      </c>
      <c r="K54" t="s">
        <v>2678</v>
      </c>
      <c r="L54" s="562" t="str">
        <f>VLOOKUP(A54,'Format for Import of DV'!$A$3:$S$1556,3,FALSE)</f>
        <v>019</v>
      </c>
      <c r="M54" s="562" t="e">
        <f>SUMIFS('Recon of ORS and DV'!D:D,'Recon of ORS and DV'!B:B,'DV List for import'!A54)</f>
        <v>#VALUE!</v>
      </c>
      <c r="N54" s="276" t="e">
        <f t="shared" si="0"/>
        <v>#VALUE!</v>
      </c>
    </row>
    <row r="55" spans="1:17">
      <c r="A55" t="s">
        <v>2072</v>
      </c>
      <c r="B55" t="str">
        <f t="shared" si="1"/>
        <v>Fund 01-2021-01-0052</v>
      </c>
      <c r="C55" s="562" t="e">
        <f>VLOOKUP(L55,'Import Process ORS'!$D$4:$E$1557,2,FALSE)</f>
        <v>#N/A</v>
      </c>
      <c r="D55" s="562">
        <f>SUMIFS('Import Process ORS'!L:L,'Import Process ORS'!E:E,'DV List for import'!C55)</f>
        <v>0</v>
      </c>
      <c r="E55" t="s">
        <v>2674</v>
      </c>
      <c r="F55" t="str">
        <f>VLOOKUP(A55,'[1]MAIN-101'!$B$13:$M$787,4,FALSE)</f>
        <v>PD,DTI-PDI</v>
      </c>
      <c r="G55" t="str">
        <f>VLOOKUP(A55,'[1]MAIN-101'!$B$13:$M$787,12,FALSE)</f>
        <v>Advances for the conduct of FAD Functional Team Meeting on January 25, 2021</v>
      </c>
      <c r="H55" s="562" t="e">
        <f>SUMIFS('[1]MAIN-101'!$Z$1:$Z$3000,'[1]MAIN-101'!$X$1:$X$3000,A55)</f>
        <v>#VALUE!</v>
      </c>
      <c r="I55" s="562" t="s">
        <v>2685</v>
      </c>
      <c r="J55" t="s">
        <v>2683</v>
      </c>
      <c r="K55" t="s">
        <v>2678</v>
      </c>
      <c r="L55" s="562" t="str">
        <f>VLOOKUP(A55,'Format for Import of DV'!$A$3:$S$1556,3,FALSE)</f>
        <v>020</v>
      </c>
      <c r="M55" s="562" t="e">
        <f>SUMIFS('Recon of ORS and DV'!D:D,'Recon of ORS and DV'!B:B,'DV List for import'!A55)</f>
        <v>#VALUE!</v>
      </c>
      <c r="N55" s="276" t="e">
        <f t="shared" si="0"/>
        <v>#VALUE!</v>
      </c>
    </row>
    <row r="56" spans="1:17">
      <c r="A56" t="s">
        <v>2073</v>
      </c>
      <c r="B56" t="str">
        <f t="shared" si="1"/>
        <v>Fund 01-2021-01-0053</v>
      </c>
      <c r="C56" s="562" t="e">
        <f>VLOOKUP(L56,'Import Process ORS'!$D$4:$E$1557,2,FALSE)</f>
        <v>#N/A</v>
      </c>
      <c r="D56" s="562">
        <f>SUMIFS('Import Process ORS'!L:L,'Import Process ORS'!E:E,'DV List for import'!C56)</f>
        <v>0</v>
      </c>
      <c r="E56" t="s">
        <v>2674</v>
      </c>
      <c r="F56" t="str">
        <f>VLOOKUP(A56,'[1]MAIN-101'!$B$13:$M$787,4,FALSE)</f>
        <v>PD,DTI-AND</v>
      </c>
      <c r="G56" t="str">
        <f>VLOOKUP(A56,'[1]MAIN-101'!$B$13:$M$787,12,FALSE)</f>
        <v>Advances for the conduct of FAD Functional Team Meeting on January 25, 2021</v>
      </c>
      <c r="H56" s="562" t="e">
        <f>SUMIFS('[1]MAIN-101'!$Z$1:$Z$3000,'[1]MAIN-101'!$X$1:$X$3000,A56)</f>
        <v>#VALUE!</v>
      </c>
      <c r="I56" s="562" t="s">
        <v>2685</v>
      </c>
      <c r="J56" t="s">
        <v>2683</v>
      </c>
      <c r="K56" t="s">
        <v>2678</v>
      </c>
      <c r="L56" s="562" t="str">
        <f>VLOOKUP(A56,'Format for Import of DV'!$A$3:$S$1556,3,FALSE)</f>
        <v>016</v>
      </c>
      <c r="M56" s="562" t="e">
        <f>SUMIFS('Recon of ORS and DV'!D:D,'Recon of ORS and DV'!B:B,'DV List for import'!A56)</f>
        <v>#VALUE!</v>
      </c>
      <c r="N56" s="276" t="e">
        <f t="shared" si="0"/>
        <v>#VALUE!</v>
      </c>
    </row>
    <row r="57" spans="1:17">
      <c r="A57" t="s">
        <v>2413</v>
      </c>
      <c r="B57" t="str">
        <f t="shared" si="1"/>
        <v>Fund 01-2021-01-0054</v>
      </c>
      <c r="C57" s="564" t="str">
        <f t="shared" ref="C57:C62" si="4">L57</f>
        <v>0000-00-0000</v>
      </c>
      <c r="D57" s="562">
        <f>SUMIFS('Import Process ORS'!L:L,'Import Process ORS'!E:E,'DV List for import'!C57)</f>
        <v>0</v>
      </c>
      <c r="E57" t="s">
        <v>2674</v>
      </c>
      <c r="F57" t="str">
        <f>VLOOKUP(A57,'[1]MAIN-101'!$B$13:$M$787,4,FALSE)</f>
        <v>LBP F/O DTI-RO</v>
      </c>
      <c r="G57" t="str">
        <f>VLOOKUP(A57,'[1]MAIN-101'!$B$13:$M$787,12,FALSE)</f>
        <v>Payment for the salaries and allowances of regular employees for the period of January 16-31, 2021</v>
      </c>
      <c r="H57" s="562" t="e">
        <f>SUMIFS('[1]MAIN-101'!$Z$1:$Z$3000,'[1]MAIN-101'!$X$1:$X$3000,A57)</f>
        <v>#VALUE!</v>
      </c>
      <c r="I57" s="562" t="s">
        <v>2662</v>
      </c>
      <c r="J57" t="s">
        <v>2053</v>
      </c>
      <c r="K57" t="s">
        <v>2680</v>
      </c>
      <c r="L57" s="564" t="s">
        <v>2666</v>
      </c>
      <c r="M57" s="562">
        <f>SUMIFS('Recon of ORS and DV'!D:D,'Recon of ORS and DV'!B:B,'DV List for import'!A57)</f>
        <v>0</v>
      </c>
      <c r="N57" s="276" t="e">
        <f t="shared" si="0"/>
        <v>#VALUE!</v>
      </c>
      <c r="O57" t="s">
        <v>2664</v>
      </c>
    </row>
    <row r="58" spans="1:17">
      <c r="A58" t="s">
        <v>2414</v>
      </c>
      <c r="B58" t="str">
        <f t="shared" si="1"/>
        <v>Fund 01-2021-01-0055</v>
      </c>
      <c r="C58" s="564" t="str">
        <f t="shared" si="4"/>
        <v>0000-00-0000</v>
      </c>
      <c r="D58" s="562">
        <f>SUMIFS('Import Process ORS'!L:L,'Import Process ORS'!E:E,'DV List for import'!C58)</f>
        <v>0</v>
      </c>
      <c r="E58" t="s">
        <v>2674</v>
      </c>
      <c r="F58" t="str">
        <f>VLOOKUP(A58,'[1]MAIN-101'!$B$13:$M$787,4,FALSE)</f>
        <v>LBP F/O DTI-ADS</v>
      </c>
      <c r="G58" t="str">
        <f>VLOOKUP(A58,'[1]MAIN-101'!$B$13:$M$787,12,FALSE)</f>
        <v>Payment for the salaries and allowances of regular employees for the period of January 16-31, 2021</v>
      </c>
      <c r="H58" s="562" t="e">
        <f>SUMIFS('[1]MAIN-101'!$Z$1:$Z$3000,'[1]MAIN-101'!$X$1:$X$3000,A58)</f>
        <v>#VALUE!</v>
      </c>
      <c r="I58" s="562" t="s">
        <v>2662</v>
      </c>
      <c r="J58" t="s">
        <v>2053</v>
      </c>
      <c r="K58" t="s">
        <v>2680</v>
      </c>
      <c r="L58" s="564" t="s">
        <v>2666</v>
      </c>
      <c r="M58" s="562">
        <f>SUMIFS('Recon of ORS and DV'!D:D,'Recon of ORS and DV'!B:B,'DV List for import'!A58)</f>
        <v>0</v>
      </c>
      <c r="N58" s="276" t="e">
        <f t="shared" si="0"/>
        <v>#VALUE!</v>
      </c>
      <c r="O58" t="s">
        <v>2664</v>
      </c>
    </row>
    <row r="59" spans="1:17">
      <c r="A59" t="s">
        <v>2415</v>
      </c>
      <c r="B59" t="str">
        <f t="shared" si="1"/>
        <v>Fund 01-2021-01-0056</v>
      </c>
      <c r="C59" s="564" t="str">
        <f t="shared" si="4"/>
        <v>0000-00-0000</v>
      </c>
      <c r="D59" s="562">
        <f>SUMIFS('Import Process ORS'!L:L,'Import Process ORS'!E:E,'DV List for import'!C59)</f>
        <v>0</v>
      </c>
      <c r="E59" t="s">
        <v>2674</v>
      </c>
      <c r="F59" t="str">
        <f>VLOOKUP(A59,'[1]MAIN-101'!$B$13:$M$787,4,FALSE)</f>
        <v>LBP F/O DTI-SDN</v>
      </c>
      <c r="G59" t="str">
        <f>VLOOKUP(A59,'[1]MAIN-101'!$B$13:$M$787,12,FALSE)</f>
        <v>Payment for the salaries and allowances of regular employees for the period of January 16-31, 2021</v>
      </c>
      <c r="H59" s="562" t="e">
        <f>SUMIFS('[1]MAIN-101'!$Z$1:$Z$3000,'[1]MAIN-101'!$X$1:$X$3000,A59)</f>
        <v>#VALUE!</v>
      </c>
      <c r="I59" s="562" t="s">
        <v>2662</v>
      </c>
      <c r="J59" t="s">
        <v>2053</v>
      </c>
      <c r="K59" t="s">
        <v>2680</v>
      </c>
      <c r="L59" s="564" t="s">
        <v>2666</v>
      </c>
      <c r="M59" s="562">
        <f>SUMIFS('Recon of ORS and DV'!D:D,'Recon of ORS and DV'!B:B,'DV List for import'!A59)</f>
        <v>0</v>
      </c>
      <c r="N59" s="276" t="e">
        <f t="shared" si="0"/>
        <v>#VALUE!</v>
      </c>
      <c r="O59" t="s">
        <v>2664</v>
      </c>
    </row>
    <row r="60" spans="1:17">
      <c r="A60" t="s">
        <v>2416</v>
      </c>
      <c r="B60" t="str">
        <f t="shared" si="1"/>
        <v>Fund 01-2021-01-0057</v>
      </c>
      <c r="C60" s="564" t="str">
        <f t="shared" si="4"/>
        <v>0000-00-0000</v>
      </c>
      <c r="D60" s="562">
        <f>SUMIFS('Import Process ORS'!L:L,'Import Process ORS'!E:E,'DV List for import'!C60)</f>
        <v>0</v>
      </c>
      <c r="E60" t="s">
        <v>2674</v>
      </c>
      <c r="F60" t="str">
        <f>VLOOKUP(A60,'[1]MAIN-101'!$B$13:$M$787,4,FALSE)</f>
        <v>LBP F/O DTI-SDS</v>
      </c>
      <c r="G60" t="str">
        <f>VLOOKUP(A60,'[1]MAIN-101'!$B$13:$M$787,12,FALSE)</f>
        <v>Payment for the salaries and allowances of regular employees for the period of January 16-31, 2021</v>
      </c>
      <c r="H60" s="562" t="e">
        <f>SUMIFS('[1]MAIN-101'!$Z$1:$Z$3000,'[1]MAIN-101'!$X$1:$X$3000,A60)</f>
        <v>#VALUE!</v>
      </c>
      <c r="I60" s="562" t="s">
        <v>2662</v>
      </c>
      <c r="J60" t="s">
        <v>2053</v>
      </c>
      <c r="K60" t="s">
        <v>2680</v>
      </c>
      <c r="L60" s="564" t="s">
        <v>2666</v>
      </c>
      <c r="M60" s="562">
        <f>SUMIFS('Recon of ORS and DV'!D:D,'Recon of ORS and DV'!B:B,'DV List for import'!A60)</f>
        <v>0</v>
      </c>
      <c r="N60" s="276" t="e">
        <f t="shared" si="0"/>
        <v>#VALUE!</v>
      </c>
      <c r="O60" t="s">
        <v>2664</v>
      </c>
    </row>
    <row r="61" spans="1:17">
      <c r="A61" t="s">
        <v>2417</v>
      </c>
      <c r="B61" t="str">
        <f t="shared" si="1"/>
        <v>Fund 01-2021-01-0058</v>
      </c>
      <c r="C61" s="564" t="str">
        <f t="shared" si="4"/>
        <v>0000-00-0000</v>
      </c>
      <c r="D61" s="562">
        <f>SUMIFS('Import Process ORS'!L:L,'Import Process ORS'!E:E,'DV List for import'!C61)</f>
        <v>0</v>
      </c>
      <c r="E61" t="s">
        <v>2674</v>
      </c>
      <c r="F61" t="str">
        <f>VLOOKUP(A61,'[1]MAIN-101'!$B$13:$M$787,4,FALSE)</f>
        <v>LBP F/O DTI-PDI</v>
      </c>
      <c r="G61" t="str">
        <f>VLOOKUP(A61,'[1]MAIN-101'!$B$13:$M$787,12,FALSE)</f>
        <v>Payment for the salaries and allowances of regular employees for the period of January 16-31, 2021</v>
      </c>
      <c r="H61" s="562" t="e">
        <f>SUMIFS('[1]MAIN-101'!$Z$1:$Z$3000,'[1]MAIN-101'!$X$1:$X$3000,A61)</f>
        <v>#VALUE!</v>
      </c>
      <c r="I61" s="562" t="s">
        <v>2662</v>
      </c>
      <c r="J61" t="s">
        <v>2053</v>
      </c>
      <c r="K61" t="s">
        <v>2680</v>
      </c>
      <c r="L61" s="564" t="s">
        <v>2666</v>
      </c>
      <c r="M61" s="562">
        <f>SUMIFS('Recon of ORS and DV'!D:D,'Recon of ORS and DV'!B:B,'DV List for import'!A61)</f>
        <v>0</v>
      </c>
      <c r="N61" s="276" t="e">
        <f t="shared" si="0"/>
        <v>#VALUE!</v>
      </c>
      <c r="O61" t="s">
        <v>2664</v>
      </c>
    </row>
    <row r="62" spans="1:17">
      <c r="A62" t="s">
        <v>2418</v>
      </c>
      <c r="B62" t="str">
        <f t="shared" si="1"/>
        <v>Fund 01-2021-01-0059</v>
      </c>
      <c r="C62" s="564" t="str">
        <f t="shared" si="4"/>
        <v>0000-00-0000</v>
      </c>
      <c r="D62" s="562">
        <f>SUMIFS('Import Process ORS'!L:L,'Import Process ORS'!E:E,'DV List for import'!C62)</f>
        <v>0</v>
      </c>
      <c r="E62" t="s">
        <v>2674</v>
      </c>
      <c r="F62" t="str">
        <f>VLOOKUP(A62,'[1]MAIN-101'!$B$13:$M$787,4,FALSE)</f>
        <v>LBP F/O DTI-AD N</v>
      </c>
      <c r="G62" t="str">
        <f>VLOOKUP(A62,'[1]MAIN-101'!$B$13:$M$787,12,FALSE)</f>
        <v>Payment for the salaries and allowances of regular employees for the period of January 16-31, 2021</v>
      </c>
      <c r="H62" s="562" t="e">
        <f>SUMIFS('[1]MAIN-101'!$Z$1:$Z$3000,'[1]MAIN-101'!$X$1:$X$3000,A62)</f>
        <v>#VALUE!</v>
      </c>
      <c r="I62" s="562" t="s">
        <v>2662</v>
      </c>
      <c r="J62" t="s">
        <v>2053</v>
      </c>
      <c r="K62" t="s">
        <v>2680</v>
      </c>
      <c r="L62" s="564" t="s">
        <v>2666</v>
      </c>
      <c r="M62" s="562">
        <f>SUMIFS('Recon of ORS and DV'!D:D,'Recon of ORS and DV'!B:B,'DV List for import'!A62)</f>
        <v>0</v>
      </c>
      <c r="N62" s="276" t="e">
        <f t="shared" si="0"/>
        <v>#VALUE!</v>
      </c>
      <c r="O62" t="s">
        <v>2664</v>
      </c>
    </row>
    <row r="63" spans="1:17">
      <c r="A63" t="s">
        <v>2419</v>
      </c>
      <c r="B63" t="str">
        <f t="shared" si="1"/>
        <v>Fund 01-2021-01-0060</v>
      </c>
      <c r="C63" s="562" t="e">
        <f>VLOOKUP(L63,'Import Process ORS'!$D$4:$E$1557,2,FALSE)</f>
        <v>#N/A</v>
      </c>
      <c r="D63" s="562">
        <f>SUMIFS('Import Process ORS'!L:L,'Import Process ORS'!E:E,'DV List for import'!C63)</f>
        <v>0</v>
      </c>
      <c r="E63" t="s">
        <v>2674</v>
      </c>
      <c r="F63" t="str">
        <f>VLOOKUP(A63,'[1]MAIN-101'!$B$13:$M$787,4,FALSE)</f>
        <v>Arleen P. Pahamtang</v>
      </c>
      <c r="G63" t="str">
        <f>VLOOKUP(A63,'[1]MAIN-101'!$B$13:$M$787,12,FALSE)</f>
        <v>Petty cash Fund Replenishment (2021-01-001, Jan 18-20, 2021</v>
      </c>
      <c r="H63" s="562" t="e">
        <f>SUMIFS('[1]MAIN-101'!$Z$1:$Z$3000,'[1]MAIN-101'!$X$1:$X$3000,A63)</f>
        <v>#VALUE!</v>
      </c>
      <c r="I63" s="562" t="s">
        <v>2687</v>
      </c>
      <c r="J63" t="s">
        <v>2683</v>
      </c>
      <c r="K63" t="s">
        <v>2678</v>
      </c>
      <c r="L63" s="562" t="str">
        <f>VLOOKUP(A63,'Format for Import of DV'!$A$3:$S$1556,3,FALSE)</f>
        <v>014</v>
      </c>
      <c r="M63" s="562" t="e">
        <f>SUMIFS('Recon of ORS and DV'!D:D,'Recon of ORS and DV'!B:B,'DV List for import'!A63)</f>
        <v>#VALUE!</v>
      </c>
      <c r="N63" s="276" t="e">
        <f t="shared" si="0"/>
        <v>#VALUE!</v>
      </c>
      <c r="P63" t="str">
        <f>VLOOKUP(A63,'[1]MAIN-101'!$B$8:$D$783,2,FALSE)</f>
        <v>01</v>
      </c>
      <c r="Q63" t="str">
        <f>VLOOKUP(A63,'[1]MAIN-101'!$B$8:$D$783,3,FALSE)</f>
        <v>014</v>
      </c>
    </row>
    <row r="64" spans="1:17">
      <c r="A64" t="s">
        <v>2420</v>
      </c>
      <c r="B64" t="str">
        <f t="shared" si="1"/>
        <v>Fund 01-2021-01-0061</v>
      </c>
      <c r="C64" s="564" t="str">
        <f>L64</f>
        <v>0000-00-0000</v>
      </c>
      <c r="D64" s="562">
        <f>SUMIFS('Import Process ORS'!L:L,'Import Process ORS'!E:E,'DV List for import'!C64)</f>
        <v>0</v>
      </c>
      <c r="E64" t="s">
        <v>2674</v>
      </c>
      <c r="F64" t="str">
        <f>VLOOKUP(A64,'[1]MAIN-101'!$B$13:$M$787,4,FALSE)</f>
        <v>ANECO, Inc.</v>
      </c>
      <c r="G64" t="str">
        <f>VLOOKUP(A64,'[1]MAIN-101'!$B$13:$M$787,12,FALSE)</f>
        <v>Payment for utilities expense- electricity for the period September 20- October 19, 2020</v>
      </c>
      <c r="H64" s="562" t="e">
        <f>SUMIFS('[1]MAIN-101'!$Z$1:$Z$3000,'[1]MAIN-101'!$X$1:$X$3000,A64)</f>
        <v>#VALUE!</v>
      </c>
      <c r="I64" s="562" t="s">
        <v>392</v>
      </c>
      <c r="J64" t="s">
        <v>2681</v>
      </c>
      <c r="K64" t="s">
        <v>2679</v>
      </c>
      <c r="L64" s="564" t="s">
        <v>2666</v>
      </c>
      <c r="M64" s="562">
        <f>SUMIFS('Recon of ORS and DV'!D:D,'Recon of ORS and DV'!B:B,'DV List for import'!A64)</f>
        <v>0</v>
      </c>
      <c r="N64" s="276" t="e">
        <f t="shared" si="0"/>
        <v>#VALUE!</v>
      </c>
      <c r="O64" t="s">
        <v>392</v>
      </c>
      <c r="P64" t="str">
        <f>VLOOKUP(A64,'[1]MAIN-101'!$B$8:$D$783,2,FALSE)</f>
        <v>12</v>
      </c>
      <c r="Q64" t="str">
        <f>VLOOKUP(A64,'[1]MAIN-101'!$B$8:$D$783,3,FALSE)</f>
        <v>2052</v>
      </c>
    </row>
    <row r="65" spans="1:17">
      <c r="A65" t="s">
        <v>2421</v>
      </c>
      <c r="B65" t="str">
        <f t="shared" si="1"/>
        <v>Fund 01-2021-01-0062</v>
      </c>
      <c r="C65" s="564" t="str">
        <f>L65</f>
        <v>0000-00-0000</v>
      </c>
      <c r="D65" s="562">
        <f>SUMIFS('Import Process ORS'!L:L,'Import Process ORS'!E:E,'DV List for import'!C65)</f>
        <v>0</v>
      </c>
      <c r="E65" t="s">
        <v>2674</v>
      </c>
      <c r="F65" t="str">
        <f>VLOOKUP(A65,'[1]MAIN-101'!$B$13:$M$787,4,FALSE)</f>
        <v>True Brew Gourmet Coffee Shop</v>
      </c>
      <c r="G65" t="str">
        <f>VLOOKUP(A65,'[1]MAIN-101'!$B$13:$M$787,12,FALSE)</f>
        <v>Payment for the lunch during the soft launching of OTOP PH Hub at SM City Butuan on November 13, 2020.</v>
      </c>
      <c r="H65" s="562" t="e">
        <f>SUMIFS('[1]MAIN-101'!$Z$1:$Z$3000,'[1]MAIN-101'!$X$1:$X$3000,A65)</f>
        <v>#VALUE!</v>
      </c>
      <c r="I65" s="562" t="s">
        <v>392</v>
      </c>
      <c r="J65" t="s">
        <v>2681</v>
      </c>
      <c r="K65" t="s">
        <v>2679</v>
      </c>
      <c r="L65" s="564" t="s">
        <v>2666</v>
      </c>
      <c r="M65" s="562">
        <f>SUMIFS('Recon of ORS and DV'!D:D,'Recon of ORS and DV'!B:B,'DV List for import'!A65)</f>
        <v>0</v>
      </c>
      <c r="N65" s="276" t="e">
        <f t="shared" si="0"/>
        <v>#VALUE!</v>
      </c>
      <c r="O65" t="s">
        <v>392</v>
      </c>
      <c r="P65" t="str">
        <f>VLOOKUP(A65,'[1]MAIN-101'!$B$8:$D$783,2,FALSE)</f>
        <v>12</v>
      </c>
      <c r="Q65" t="str">
        <f>VLOOKUP(A65,'[1]MAIN-101'!$B$8:$D$783,3,FALSE)</f>
        <v>1886</v>
      </c>
    </row>
    <row r="66" spans="1:17">
      <c r="A66" t="s">
        <v>2062</v>
      </c>
      <c r="B66" t="str">
        <f t="shared" si="1"/>
        <v>Fund 01-2021-01-0063</v>
      </c>
      <c r="C66" s="562" t="e">
        <f>VLOOKUP(L66,'Import Process ORS'!$D$4:$E$1557,2,FALSE)</f>
        <v>#N/A</v>
      </c>
      <c r="D66" s="562">
        <f>SUMIFS('Import Process ORS'!L:L,'Import Process ORS'!E:E,'DV List for import'!C66)</f>
        <v>0</v>
      </c>
      <c r="E66" t="s">
        <v>2674</v>
      </c>
      <c r="F66" t="str">
        <f>VLOOKUP(A66,'[1]MAIN-101'!$B$13:$M$787,4,FALSE)</f>
        <v>D.O Plaza Holdings Corp.</v>
      </c>
      <c r="G66" t="str">
        <f>VLOOKUP(A66,'[1]MAIN-101'!$B$13:$M$787,12,FALSE)</f>
        <v>Partial payment for office rental for the month of January 2021</v>
      </c>
      <c r="H66" s="562" t="e">
        <f>SUMIFS('[1]MAIN-101'!$Z$1:$Z$3000,'[1]MAIN-101'!$X$1:$X$3000,A66)</f>
        <v>#VALUE!</v>
      </c>
      <c r="I66" s="562" t="s">
        <v>2687</v>
      </c>
      <c r="J66" t="s">
        <v>2683</v>
      </c>
      <c r="K66" t="s">
        <v>2678</v>
      </c>
      <c r="L66" s="562" t="str">
        <f>VLOOKUP(A66,'Format for Import of DV'!$A$3:$S$1556,3,FALSE)</f>
        <v>009</v>
      </c>
      <c r="M66" s="562" t="e">
        <f>SUMIFS('Recon of ORS and DV'!D:D,'Recon of ORS and DV'!B:B,'DV List for import'!A66)</f>
        <v>#VALUE!</v>
      </c>
      <c r="N66" s="276" t="e">
        <f t="shared" si="0"/>
        <v>#VALUE!</v>
      </c>
    </row>
    <row r="67" spans="1:17">
      <c r="A67" t="s">
        <v>2063</v>
      </c>
      <c r="B67" t="str">
        <f t="shared" si="1"/>
        <v>Fund 01-2021-01-0064</v>
      </c>
      <c r="C67" s="562" t="e">
        <f>VLOOKUP(L67,'Import Process ORS'!$D$4:$E$1557,2,FALSE)</f>
        <v>#N/A</v>
      </c>
      <c r="D67" s="562">
        <f>SUMIFS('Import Process ORS'!L:L,'Import Process ORS'!E:E,'DV List for import'!C67)</f>
        <v>0</v>
      </c>
      <c r="E67" t="s">
        <v>2674</v>
      </c>
      <c r="F67" t="str">
        <f>VLOOKUP(A67,'[1]MAIN-101'!$B$13:$M$787,4,FALSE)</f>
        <v>D.O Plaza Holdings Corp.</v>
      </c>
      <c r="G67" t="str">
        <f>VLOOKUP(A67,'[1]MAIN-101'!$B$13:$M$787,12,FALSE)</f>
        <v>Full payment for office rental for the month of January 2021</v>
      </c>
      <c r="H67" s="562" t="e">
        <f>SUMIFS('[1]MAIN-101'!$Z$1:$Z$3000,'[1]MAIN-101'!$X$1:$X$3000,A67)</f>
        <v>#VALUE!</v>
      </c>
      <c r="I67" s="562" t="s">
        <v>2687</v>
      </c>
      <c r="J67" t="s">
        <v>2683</v>
      </c>
      <c r="K67" t="s">
        <v>2678</v>
      </c>
      <c r="L67" s="562" t="str">
        <f>VLOOKUP(A67,'Format for Import of DV'!$A$3:$S$1556,3,FALSE)</f>
        <v>009A</v>
      </c>
      <c r="M67" s="562" t="e">
        <f>SUMIFS('Recon of ORS and DV'!D:D,'Recon of ORS and DV'!B:B,'DV List for import'!A67)</f>
        <v>#VALUE!</v>
      </c>
      <c r="N67" s="276" t="e">
        <f t="shared" si="0"/>
        <v>#VALUE!</v>
      </c>
    </row>
    <row r="68" spans="1:17">
      <c r="A68" t="s">
        <v>2422</v>
      </c>
      <c r="B68" t="str">
        <f t="shared" si="1"/>
        <v>Fund 01-2021-01-0065</v>
      </c>
      <c r="C68" s="564" t="str">
        <f>L68</f>
        <v>0000-00-0000</v>
      </c>
      <c r="D68" s="562">
        <f>SUMIFS('Import Process ORS'!L:L,'Import Process ORS'!E:E,'DV List for import'!C68)</f>
        <v>0</v>
      </c>
      <c r="E68" t="s">
        <v>2674</v>
      </c>
      <c r="F68" t="str">
        <f>VLOOKUP(A68,'[1]MAIN-101'!$B$13:$M$787,4,FALSE)</f>
        <v>JRS Business Corporation</v>
      </c>
      <c r="G68" t="str">
        <f>VLOOKUP(A68,'[1]MAIN-101'!$B$13:$M$787,12,FALSE)</f>
        <v>Payment for courier services for the month December 2020</v>
      </c>
      <c r="H68" s="562" t="e">
        <f>SUMIFS('[1]MAIN-101'!$Z$1:$Z$3000,'[1]MAIN-101'!$X$1:$X$3000,A68)</f>
        <v>#VALUE!</v>
      </c>
      <c r="I68" s="562" t="s">
        <v>392</v>
      </c>
      <c r="J68" t="s">
        <v>2681</v>
      </c>
      <c r="K68" t="s">
        <v>2679</v>
      </c>
      <c r="L68" s="564" t="s">
        <v>2666</v>
      </c>
      <c r="M68" s="562">
        <f>SUMIFS('Recon of ORS and DV'!D:D,'Recon of ORS and DV'!B:B,'DV List for import'!A68)</f>
        <v>0</v>
      </c>
      <c r="N68" s="276" t="e">
        <f t="shared" ref="N68:N131" si="5">H68-M68</f>
        <v>#VALUE!</v>
      </c>
      <c r="O68" t="s">
        <v>392</v>
      </c>
      <c r="P68" t="str">
        <f>VLOOKUP(A68,'[1]MAIN-101'!$B$8:$D$783,2,FALSE)</f>
        <v>12</v>
      </c>
      <c r="Q68" t="str">
        <f>VLOOKUP(A68,'[1]MAIN-101'!$B$8:$D$783,3,FALSE)</f>
        <v>2053</v>
      </c>
    </row>
    <row r="69" spans="1:17">
      <c r="A69" t="s">
        <v>2423</v>
      </c>
      <c r="B69" t="str">
        <f t="shared" ref="B69:B114" si="6">CONCATENATE("Fund 01-2021-01-",A69)</f>
        <v>Fund 01-2021-01-0066</v>
      </c>
      <c r="C69" s="564" t="str">
        <f>L69</f>
        <v>0000-00-0000</v>
      </c>
      <c r="D69" s="562">
        <f>SUMIFS('Import Process ORS'!L:L,'Import Process ORS'!E:E,'DV List for import'!C69)</f>
        <v>0</v>
      </c>
      <c r="E69" t="s">
        <v>2674</v>
      </c>
      <c r="F69" t="str">
        <f>VLOOKUP(A69,'[1]MAIN-101'!$B$13:$M$787,4,FALSE)</f>
        <v>Hi-5 Signages Fabricator</v>
      </c>
      <c r="G69" t="str">
        <f>VLOOKUP(A69,'[1]MAIN-101'!$B$13:$M$787,12,FALSE)</f>
        <v>Payment for the plaque of recognition for Salamat Mabuhay Awardee</v>
      </c>
      <c r="H69" s="562" t="e">
        <f>SUMIFS('[1]MAIN-101'!$Z$1:$Z$3000,'[1]MAIN-101'!$X$1:$X$3000,A69)</f>
        <v>#VALUE!</v>
      </c>
      <c r="I69" s="562" t="s">
        <v>2687</v>
      </c>
      <c r="J69" t="s">
        <v>2683</v>
      </c>
      <c r="K69" t="s">
        <v>2678</v>
      </c>
      <c r="L69" s="564" t="s">
        <v>2666</v>
      </c>
      <c r="M69" s="562">
        <f>SUMIFS('Recon of ORS and DV'!D:D,'Recon of ORS and DV'!B:B,'DV List for import'!A69)</f>
        <v>0</v>
      </c>
      <c r="N69" s="276" t="e">
        <f t="shared" si="5"/>
        <v>#VALUE!</v>
      </c>
    </row>
    <row r="70" spans="1:17">
      <c r="A70" t="s">
        <v>2424</v>
      </c>
      <c r="B70" t="str">
        <f t="shared" si="6"/>
        <v>Fund 01-2021-01-0067</v>
      </c>
      <c r="C70" s="564" t="str">
        <f>L70</f>
        <v>0000-00-0000</v>
      </c>
      <c r="D70" s="562">
        <f>SUMIFS('Import Process ORS'!L:L,'Import Process ORS'!E:E,'DV List for import'!C70)</f>
        <v>0</v>
      </c>
      <c r="E70" t="s">
        <v>2674</v>
      </c>
      <c r="F70" t="str">
        <f>VLOOKUP(A70,'[1]MAIN-101'!$B$13:$M$787,4,FALSE)</f>
        <v>Busa Interbiz Center</v>
      </c>
      <c r="G70" t="str">
        <f>VLOOKUP(A70,'[1]MAIN-101'!$B$13:$M$787,12,FALSE)</f>
        <v>Payment for subscription expense- Newspaper for the period December 2020</v>
      </c>
      <c r="H70" s="562" t="e">
        <f>SUMIFS('[1]MAIN-101'!$Z$1:$Z$3000,'[1]MAIN-101'!$X$1:$X$3000,A70)</f>
        <v>#VALUE!</v>
      </c>
      <c r="I70" s="562" t="s">
        <v>392</v>
      </c>
      <c r="J70" t="s">
        <v>2681</v>
      </c>
      <c r="K70" t="s">
        <v>2679</v>
      </c>
      <c r="L70" s="564" t="s">
        <v>2666</v>
      </c>
      <c r="M70" s="562">
        <f>SUMIFS('Recon of ORS and DV'!D:D,'Recon of ORS and DV'!B:B,'DV List for import'!A70)</f>
        <v>0</v>
      </c>
      <c r="N70" s="276" t="e">
        <f t="shared" si="5"/>
        <v>#VALUE!</v>
      </c>
      <c r="O70" t="s">
        <v>392</v>
      </c>
      <c r="P70" t="str">
        <f>VLOOKUP(A70,'[1]MAIN-101'!$B$8:$D$783,2,FALSE)</f>
        <v>12</v>
      </c>
      <c r="Q70" t="str">
        <f>VLOOKUP(A70,'[1]MAIN-101'!$B$8:$D$783,3,FALSE)</f>
        <v>2049</v>
      </c>
    </row>
    <row r="71" spans="1:17">
      <c r="A71" t="s">
        <v>2425</v>
      </c>
      <c r="B71" t="str">
        <f t="shared" si="6"/>
        <v>Fund 01-2021-01-0068</v>
      </c>
      <c r="C71" s="562" t="e">
        <f>VLOOKUP(L71,'Import Process ORS'!$D$4:$E$1557,2,FALSE)</f>
        <v>#N/A</v>
      </c>
      <c r="D71" s="562">
        <f>SUMIFS('Import Process ORS'!L:L,'Import Process ORS'!E:E,'DV List for import'!C71)</f>
        <v>0</v>
      </c>
      <c r="E71" t="s">
        <v>2674</v>
      </c>
      <c r="F71" t="str">
        <f>VLOOKUP(A71,'[1]MAIN-101'!$B$13:$M$787,4,FALSE)</f>
        <v>LG Supplies and General Merchandise</v>
      </c>
      <c r="G71" t="str">
        <f>VLOOKUP(A71,'[1]MAIN-101'!$B$13:$M$787,12,FALSE)</f>
        <v>Payment of Laptop (JPPA) for IDD office use.</v>
      </c>
      <c r="H71" s="562" t="e">
        <f>SUMIFS('[1]MAIN-101'!$Z$1:$Z$3000,'[1]MAIN-101'!$X$1:$X$3000,A71)</f>
        <v>#VALUE!</v>
      </c>
      <c r="I71" s="562" t="s">
        <v>2687</v>
      </c>
      <c r="J71" t="s">
        <v>2683</v>
      </c>
      <c r="K71" t="s">
        <v>2678</v>
      </c>
      <c r="L71" s="562" t="str">
        <f>VLOOKUP(A71,'Format for Import of DV'!$A$3:$S$1556,3,FALSE)</f>
        <v>021</v>
      </c>
      <c r="M71" s="562" t="e">
        <f>SUMIFS('Recon of ORS and DV'!D:D,'Recon of ORS and DV'!B:B,'DV List for import'!A71)</f>
        <v>#VALUE!</v>
      </c>
      <c r="N71" s="276" t="e">
        <f t="shared" si="5"/>
        <v>#VALUE!</v>
      </c>
      <c r="P71" t="str">
        <f>VLOOKUP(A71,'[1]MAIN-101'!$B$8:$D$783,2,FALSE)</f>
        <v>01</v>
      </c>
      <c r="Q71" t="str">
        <f>VLOOKUP(A71,'[1]MAIN-101'!$B$8:$D$783,3,FALSE)</f>
        <v>021</v>
      </c>
    </row>
    <row r="72" spans="1:17">
      <c r="A72" t="s">
        <v>2074</v>
      </c>
      <c r="B72" t="str">
        <f t="shared" si="6"/>
        <v>Fund 01-2021-01-0069</v>
      </c>
      <c r="C72" s="562" t="e">
        <f>VLOOKUP(L72,'Import Process ORS'!$D$4:$E$1557,2,FALSE)</f>
        <v>#N/A</v>
      </c>
      <c r="D72" s="562">
        <f>SUMIFS('Import Process ORS'!L:L,'Import Process ORS'!E:E,'DV List for import'!C72)</f>
        <v>0</v>
      </c>
      <c r="E72" t="s">
        <v>2674</v>
      </c>
      <c r="F72" t="str">
        <f>VLOOKUP(A72,'[1]MAIN-101'!$B$13:$M$787,4,FALSE)</f>
        <v>Maribel P. Timogan</v>
      </c>
      <c r="G72" t="str">
        <f>VLOOKUP(A72,'[1]MAIN-101'!$B$13:$M$787,12,FALSE)</f>
        <v>Payment for initial salary as Admin Aide VI of DTI-RO for the period Jan 4-31, 2021</v>
      </c>
      <c r="H72" s="562" t="e">
        <f>SUMIFS('[1]MAIN-101'!$Z$1:$Z$3000,'[1]MAIN-101'!$X$1:$X$3000,A72)</f>
        <v>#VALUE!</v>
      </c>
      <c r="I72" s="562" t="s">
        <v>2687</v>
      </c>
      <c r="J72" t="s">
        <v>2683</v>
      </c>
      <c r="K72" t="s">
        <v>2678</v>
      </c>
      <c r="L72" s="562" t="str">
        <f>VLOOKUP(A72,'Format for Import of DV'!$A$3:$S$1556,3,FALSE)</f>
        <v>022</v>
      </c>
      <c r="M72" s="562" t="e">
        <f>SUMIFS('Recon of ORS and DV'!D:D,'Recon of ORS and DV'!B:B,'DV List for import'!A72)</f>
        <v>#VALUE!</v>
      </c>
      <c r="N72" s="276" t="e">
        <f t="shared" si="5"/>
        <v>#VALUE!</v>
      </c>
    </row>
    <row r="73" spans="1:17">
      <c r="A73" t="s">
        <v>2426</v>
      </c>
      <c r="B73" t="str">
        <f t="shared" si="6"/>
        <v>Fund 01-2021-01-0070</v>
      </c>
      <c r="C73" s="564" t="str">
        <f t="shared" ref="C73:C87" si="7">L73</f>
        <v>0000-00-0000</v>
      </c>
      <c r="D73" s="562">
        <f>SUMIFS('Import Process ORS'!L:L,'Import Process ORS'!E:E,'DV List for import'!C73)</f>
        <v>0</v>
      </c>
      <c r="E73" t="s">
        <v>2674</v>
      </c>
      <c r="F73" t="str">
        <f>VLOOKUP(A73,'[1]MAIN-101'!$B$13:$M$787,4,FALSE)</f>
        <v>Visual Arts &amp; scenography</v>
      </c>
      <c r="G73" t="str">
        <f>VLOOKUP(A73,'[1]MAIN-101'!$B$13:$M$787,12,FALSE)</f>
        <v>Payment for the tokens during the soft launching of OTOP PH Hub at SM City Butuan on November 13, 2020</v>
      </c>
      <c r="H73" s="562" t="e">
        <f>SUMIFS('[1]MAIN-101'!$Z$1:$Z$3000,'[1]MAIN-101'!$X$1:$X$3000,A73)</f>
        <v>#VALUE!</v>
      </c>
      <c r="I73" s="562" t="s">
        <v>2687</v>
      </c>
      <c r="J73" t="s">
        <v>2683</v>
      </c>
      <c r="K73" t="s">
        <v>2678</v>
      </c>
      <c r="L73" s="564" t="s">
        <v>2666</v>
      </c>
      <c r="M73" s="562">
        <f>SUMIFS('Recon of ORS and DV'!D:D,'Recon of ORS and DV'!B:B,'DV List for import'!A73)</f>
        <v>0</v>
      </c>
      <c r="N73" s="276" t="e">
        <f t="shared" si="5"/>
        <v>#VALUE!</v>
      </c>
    </row>
    <row r="74" spans="1:17">
      <c r="A74" t="s">
        <v>2427</v>
      </c>
      <c r="B74" t="str">
        <f t="shared" si="6"/>
        <v>Fund 01-2021-01-0071</v>
      </c>
      <c r="C74" s="564" t="str">
        <f t="shared" si="7"/>
        <v>0000-00-0000</v>
      </c>
      <c r="D74" s="562">
        <f>SUMIFS('Import Process ORS'!L:L,'Import Process ORS'!E:E,'DV List for import'!C74)</f>
        <v>0</v>
      </c>
      <c r="E74" t="s">
        <v>2674</v>
      </c>
      <c r="F74" t="str">
        <f>VLOOKUP(A74,'[1]MAIN-101'!$B$13:$M$787,4,FALSE)</f>
        <v>Joseph Arnold de Guzman</v>
      </c>
      <c r="G74" t="str">
        <f>VLOOKUP(A74,'[1]MAIN-101'!$B$13:$M$787,12,FALSE)</f>
        <v>Payment of coaching session during KMME Online session batch 2(mentees:Ragas, Magtibay, Nojara) on November 16-27, 2020</v>
      </c>
      <c r="H74" s="562" t="e">
        <f>SUMIFS('[1]MAIN-101'!$Z$1:$Z$3000,'[1]MAIN-101'!$X$1:$X$3000,A74)</f>
        <v>#VALUE!</v>
      </c>
      <c r="I74" s="562" t="s">
        <v>2687</v>
      </c>
      <c r="J74" t="s">
        <v>2683</v>
      </c>
      <c r="K74" t="s">
        <v>2678</v>
      </c>
      <c r="L74" s="564" t="s">
        <v>2666</v>
      </c>
      <c r="M74" s="562">
        <f>SUMIFS('Recon of ORS and DV'!D:D,'Recon of ORS and DV'!B:B,'DV List for import'!A74)</f>
        <v>0</v>
      </c>
      <c r="N74" s="276" t="e">
        <f t="shared" si="5"/>
        <v>#VALUE!</v>
      </c>
    </row>
    <row r="75" spans="1:17">
      <c r="A75" t="s">
        <v>2428</v>
      </c>
      <c r="B75" t="str">
        <f t="shared" si="6"/>
        <v>Fund 01-2021-01-0072</v>
      </c>
      <c r="C75" s="564" t="str">
        <f t="shared" si="7"/>
        <v>0000-00-0000</v>
      </c>
      <c r="D75" s="562">
        <f>SUMIFS('Import Process ORS'!L:L,'Import Process ORS'!E:E,'DV List for import'!C75)</f>
        <v>0</v>
      </c>
      <c r="E75" t="s">
        <v>2674</v>
      </c>
      <c r="F75" t="str">
        <f>VLOOKUP(A75,'[1]MAIN-101'!$B$13:$M$787,4,FALSE)</f>
        <v>Compañero Commercial</v>
      </c>
      <c r="G75" t="str">
        <f>VLOOKUP(A75,'[1]MAIN-101'!$B$13:$M$787,12,FALSE)</f>
        <v>Payment for 4th quarter 2020 office supplies for ORD office use</v>
      </c>
      <c r="H75" s="562" t="e">
        <f>SUMIFS('[1]MAIN-101'!$Z$1:$Z$3000,'[1]MAIN-101'!$X$1:$X$3000,A75)</f>
        <v>#VALUE!</v>
      </c>
      <c r="I75" s="562" t="s">
        <v>392</v>
      </c>
      <c r="J75" t="s">
        <v>2681</v>
      </c>
      <c r="K75" t="s">
        <v>2679</v>
      </c>
      <c r="L75" s="564" t="s">
        <v>2666</v>
      </c>
      <c r="M75" s="562">
        <f>SUMIFS('Recon of ORS and DV'!D:D,'Recon of ORS and DV'!B:B,'DV List for import'!A75)</f>
        <v>0</v>
      </c>
      <c r="N75" s="276" t="e">
        <f t="shared" si="5"/>
        <v>#VALUE!</v>
      </c>
      <c r="O75" t="s">
        <v>392</v>
      </c>
      <c r="P75" t="str">
        <f>VLOOKUP(A75,'[1]MAIN-101'!$B$8:$D$783,2,FALSE)</f>
        <v>12</v>
      </c>
      <c r="Q75" t="str">
        <f>VLOOKUP(A75,'[1]MAIN-101'!$B$8:$D$783,3,FALSE)</f>
        <v>2047</v>
      </c>
    </row>
    <row r="76" spans="1:17">
      <c r="A76" t="s">
        <v>2429</v>
      </c>
      <c r="B76" t="str">
        <f t="shared" si="6"/>
        <v>Fund 01-2021-01-0073</v>
      </c>
      <c r="C76" s="564" t="str">
        <f t="shared" si="7"/>
        <v>0000-00-0000</v>
      </c>
      <c r="D76" s="562">
        <f>SUMIFS('Import Process ORS'!L:L,'Import Process ORS'!E:E,'DV List for import'!C76)</f>
        <v>0</v>
      </c>
      <c r="E76" t="s">
        <v>2674</v>
      </c>
      <c r="F76" t="str">
        <f>VLOOKUP(A76,'[1]MAIN-101'!$B$13:$M$787,4,FALSE)</f>
        <v>Compañero Commercial</v>
      </c>
      <c r="G76" t="str">
        <f>VLOOKUP(A76,'[1]MAIN-101'!$B$13:$M$787,12,FALSE)</f>
        <v>Payment for RAPID office supplies-4th quarter</v>
      </c>
      <c r="H76" s="562" t="e">
        <f>SUMIFS('[1]MAIN-101'!$Z$1:$Z$3000,'[1]MAIN-101'!$X$1:$X$3000,A76)</f>
        <v>#VALUE!</v>
      </c>
      <c r="I76" s="562" t="s">
        <v>392</v>
      </c>
      <c r="J76" t="s">
        <v>2681</v>
      </c>
      <c r="K76" t="s">
        <v>2679</v>
      </c>
      <c r="L76" s="564" t="s">
        <v>2666</v>
      </c>
      <c r="M76" s="562">
        <f>SUMIFS('Recon of ORS and DV'!D:D,'Recon of ORS and DV'!B:B,'DV List for import'!A76)</f>
        <v>0</v>
      </c>
      <c r="N76" s="276" t="e">
        <f t="shared" si="5"/>
        <v>#VALUE!</v>
      </c>
      <c r="O76" t="s">
        <v>392</v>
      </c>
      <c r="P76" t="str">
        <f>VLOOKUP(A76,'[1]MAIN-101'!$B$8:$D$783,2,FALSE)</f>
        <v>12</v>
      </c>
      <c r="Q76" t="str">
        <f>VLOOKUP(A76,'[1]MAIN-101'!$B$8:$D$783,3,FALSE)</f>
        <v>2014</v>
      </c>
    </row>
    <row r="77" spans="1:17">
      <c r="A77" t="s">
        <v>2430</v>
      </c>
      <c r="B77" t="str">
        <f t="shared" si="6"/>
        <v>Fund 01-2021-01-0074</v>
      </c>
      <c r="C77" s="564" t="str">
        <f t="shared" si="7"/>
        <v>0000-00-0000</v>
      </c>
      <c r="D77" s="562">
        <f>SUMIFS('Import Process ORS'!L:L,'Import Process ORS'!E:E,'DV List for import'!C77)</f>
        <v>0</v>
      </c>
      <c r="E77" t="s">
        <v>2674</v>
      </c>
      <c r="F77" t="str">
        <f>VLOOKUP(A77,'[1]MAIN-101'!$B$13:$M$787,4,FALSE)</f>
        <v>Datalan Communications</v>
      </c>
      <c r="G77" t="str">
        <f>VLOOKUP(A77,'[1]MAIN-101'!$B$13:$M$787,12,FALSE)</f>
        <v>Payment for wifi adapter, usb 2.0 for ORD and RAPID Office</v>
      </c>
      <c r="H77" s="562" t="e">
        <f>SUMIFS('[1]MAIN-101'!$Z$1:$Z$3000,'[1]MAIN-101'!$X$1:$X$3000,A77)</f>
        <v>#VALUE!</v>
      </c>
      <c r="I77" s="562" t="s">
        <v>392</v>
      </c>
      <c r="J77" t="s">
        <v>2681</v>
      </c>
      <c r="K77" t="s">
        <v>2679</v>
      </c>
      <c r="L77" s="564" t="s">
        <v>2666</v>
      </c>
      <c r="M77" s="562">
        <f>SUMIFS('Recon of ORS and DV'!D:D,'Recon of ORS and DV'!B:B,'DV List for import'!A77)</f>
        <v>0</v>
      </c>
      <c r="N77" s="276" t="e">
        <f t="shared" si="5"/>
        <v>#VALUE!</v>
      </c>
      <c r="O77" t="s">
        <v>392</v>
      </c>
      <c r="P77" t="str">
        <f>VLOOKUP(A77,'[1]MAIN-101'!$B$8:$D$783,2,FALSE)</f>
        <v>12</v>
      </c>
      <c r="Q77" t="str">
        <f>VLOOKUP(A77,'[1]MAIN-101'!$B$8:$D$783,3,FALSE)</f>
        <v>2017</v>
      </c>
    </row>
    <row r="78" spans="1:17">
      <c r="A78" t="s">
        <v>2431</v>
      </c>
      <c r="B78" t="str">
        <f t="shared" si="6"/>
        <v>Fund 01-2021-01-0075</v>
      </c>
      <c r="C78" s="564" t="str">
        <f t="shared" si="7"/>
        <v>0000-00-0000</v>
      </c>
      <c r="D78" s="562">
        <f>SUMIFS('Import Process ORS'!L:L,'Import Process ORS'!E:E,'DV List for import'!C78)</f>
        <v>0</v>
      </c>
      <c r="E78" t="s">
        <v>2674</v>
      </c>
      <c r="F78" t="str">
        <f>VLOOKUP(A78,'[1]MAIN-101'!$B$13:$M$787,4,FALSE)</f>
        <v>Datalan Communications</v>
      </c>
      <c r="G78" t="str">
        <f>VLOOKUP(A78,'[1]MAIN-101'!$B$13:$M$787,12,FALSE)</f>
        <v>Payment for the purchase of laptop computer for CPD Office use</v>
      </c>
      <c r="H78" s="562" t="e">
        <f>SUMIFS('[1]MAIN-101'!$Z$1:$Z$3000,'[1]MAIN-101'!$X$1:$X$3000,A78)</f>
        <v>#VALUE!</v>
      </c>
      <c r="I78" s="562" t="s">
        <v>392</v>
      </c>
      <c r="J78" t="s">
        <v>2681</v>
      </c>
      <c r="K78" t="s">
        <v>2679</v>
      </c>
      <c r="L78" s="564" t="s">
        <v>2666</v>
      </c>
      <c r="M78" s="562">
        <f>SUMIFS('Recon of ORS and DV'!D:D,'Recon of ORS and DV'!B:B,'DV List for import'!A78)</f>
        <v>0</v>
      </c>
      <c r="N78" s="276" t="e">
        <f t="shared" si="5"/>
        <v>#VALUE!</v>
      </c>
      <c r="O78" t="s">
        <v>392</v>
      </c>
      <c r="P78" t="str">
        <f>VLOOKUP(A78,'[1]MAIN-101'!$B$8:$D$783,2,FALSE)</f>
        <v>12</v>
      </c>
      <c r="Q78" t="str">
        <f>VLOOKUP(A78,'[1]MAIN-101'!$B$8:$D$783,3,FALSE)</f>
        <v>2006</v>
      </c>
    </row>
    <row r="79" spans="1:17">
      <c r="A79" t="s">
        <v>2432</v>
      </c>
      <c r="B79" t="str">
        <f t="shared" si="6"/>
        <v>Fund 01-2021-01-0076</v>
      </c>
      <c r="C79" s="564" t="str">
        <f t="shared" si="7"/>
        <v>0000-00-0000</v>
      </c>
      <c r="D79" s="562">
        <f>SUMIFS('Import Process ORS'!L:L,'Import Process ORS'!E:E,'DV List for import'!C79)</f>
        <v>0</v>
      </c>
      <c r="E79" t="s">
        <v>2674</v>
      </c>
      <c r="F79" t="str">
        <f>VLOOKUP(A79,'[1]MAIN-101'!$B$13:$M$787,4,FALSE)</f>
        <v>Berfabs Arts and Crafts Manufacturing</v>
      </c>
      <c r="G79" t="str">
        <f>VLOOKUP(A79,'[1]MAIN-101'!$B$13:$M$787,12,FALSE)</f>
        <v>Payment of token (customized tumbler) for mentees during the KMME Graduation Batch 2 on December 7, 2020.</v>
      </c>
      <c r="H79" s="562" t="e">
        <f>SUMIFS('[1]MAIN-101'!$Z$1:$Z$3000,'[1]MAIN-101'!$X$1:$X$3000,A79)</f>
        <v>#VALUE!</v>
      </c>
      <c r="I79" s="562" t="s">
        <v>2687</v>
      </c>
      <c r="J79" t="s">
        <v>2683</v>
      </c>
      <c r="K79" t="s">
        <v>2678</v>
      </c>
      <c r="L79" s="564" t="s">
        <v>2666</v>
      </c>
      <c r="M79" s="562">
        <f>SUMIFS('Recon of ORS and DV'!D:D,'Recon of ORS and DV'!B:B,'DV List for import'!A79)</f>
        <v>0</v>
      </c>
      <c r="N79" s="276" t="e">
        <f t="shared" si="5"/>
        <v>#VALUE!</v>
      </c>
    </row>
    <row r="80" spans="1:17">
      <c r="A80" t="s">
        <v>2433</v>
      </c>
      <c r="B80" t="str">
        <f t="shared" si="6"/>
        <v>Fund 01-2021-01-0077</v>
      </c>
      <c r="C80" s="564" t="str">
        <f t="shared" si="7"/>
        <v>0000-00-0000</v>
      </c>
      <c r="D80" s="562">
        <f>SUMIFS('Import Process ORS'!L:L,'Import Process ORS'!E:E,'DV List for import'!C80)</f>
        <v>0</v>
      </c>
      <c r="E80" t="s">
        <v>2674</v>
      </c>
      <c r="F80" t="str">
        <f>VLOOKUP(A80,'[1]MAIN-101'!$B$13:$M$787,4,FALSE)</f>
        <v>Mercado's Sudlanan Atbp</v>
      </c>
      <c r="G80" t="str">
        <f>VLOOKUP(A80,'[1]MAIN-101'!$B$13:$M$787,12,FALSE)</f>
        <v>Payment for the committee tshirts during the grand launching of OTOP PH Hub at SM City Butuan on December 18, 2020</v>
      </c>
      <c r="H80" s="562" t="e">
        <f>SUMIFS('[1]MAIN-101'!$Z$1:$Z$3000,'[1]MAIN-101'!$X$1:$X$3000,A80)</f>
        <v>#VALUE!</v>
      </c>
      <c r="I80" s="562" t="s">
        <v>2687</v>
      </c>
      <c r="J80" t="s">
        <v>2683</v>
      </c>
      <c r="K80" t="s">
        <v>2678</v>
      </c>
      <c r="L80" s="564" t="s">
        <v>2666</v>
      </c>
      <c r="M80" s="562">
        <f>SUMIFS('Recon of ORS and DV'!D:D,'Recon of ORS and DV'!B:B,'DV List for import'!A80)</f>
        <v>0</v>
      </c>
      <c r="N80" s="276" t="e">
        <f t="shared" si="5"/>
        <v>#VALUE!</v>
      </c>
    </row>
    <row r="81" spans="1:15">
      <c r="A81" t="s">
        <v>2434</v>
      </c>
      <c r="B81" t="str">
        <f t="shared" si="6"/>
        <v>Fund 01-2021-01-0078</v>
      </c>
      <c r="C81" s="564" t="str">
        <f t="shared" si="7"/>
        <v>0000-00-0000</v>
      </c>
      <c r="D81" s="562">
        <f>SUMIFS('Import Process ORS'!L:L,'Import Process ORS'!E:E,'DV List for import'!C81)</f>
        <v>0</v>
      </c>
      <c r="E81" t="s">
        <v>2674</v>
      </c>
      <c r="F81" t="str">
        <f>VLOOKUP(A81,'[1]MAIN-101'!$B$13:$M$787,4,FALSE)</f>
        <v>Create Food, Inc</v>
      </c>
      <c r="G81" t="str">
        <f>VLOOKUP(A81,'[1]MAIN-101'!$B$13:$M$787,12,FALSE)</f>
        <v>Payment for the tokens during the conduct of grand launching of OTOP PH Hub at SM City Butuan on December 18, 2020</v>
      </c>
      <c r="H81" s="562" t="e">
        <f>SUMIFS('[1]MAIN-101'!$Z$1:$Z$3000,'[1]MAIN-101'!$X$1:$X$3000,A81)</f>
        <v>#VALUE!</v>
      </c>
      <c r="I81" s="562" t="s">
        <v>2687</v>
      </c>
      <c r="J81" t="s">
        <v>2683</v>
      </c>
      <c r="K81" t="s">
        <v>2678</v>
      </c>
      <c r="L81" s="564" t="s">
        <v>2666</v>
      </c>
      <c r="M81" s="562">
        <f>SUMIFS('Recon of ORS and DV'!D:D,'Recon of ORS and DV'!B:B,'DV List for import'!A81)</f>
        <v>0</v>
      </c>
      <c r="N81" s="276" t="e">
        <f t="shared" si="5"/>
        <v>#VALUE!</v>
      </c>
    </row>
    <row r="82" spans="1:15">
      <c r="A82" t="s">
        <v>2435</v>
      </c>
      <c r="B82" t="str">
        <f t="shared" si="6"/>
        <v>Fund 01-2021-01-0079</v>
      </c>
      <c r="C82" s="564" t="str">
        <f t="shared" si="7"/>
        <v>0000-00-0000</v>
      </c>
      <c r="D82" s="562">
        <f>SUMIFS('Import Process ORS'!L:L,'Import Process ORS'!E:E,'DV List for import'!C82)</f>
        <v>0</v>
      </c>
      <c r="E82" t="s">
        <v>2674</v>
      </c>
      <c r="F82" t="str">
        <f>VLOOKUP(A82,'[1]MAIN-101'!$B$13:$M$787,4,FALSE)</f>
        <v>Sinograpiko Art Services</v>
      </c>
      <c r="G82" t="str">
        <f>VLOOKUP(A82,'[1]MAIN-101'!$B$13:$M$787,12,FALSE)</f>
        <v>Payment for the customized leis during the grand launching of OTOP PH Hub at SM City Butuan on December 18, 2020</v>
      </c>
      <c r="H82" s="562" t="e">
        <f>SUMIFS('[1]MAIN-101'!$Z$1:$Z$3000,'[1]MAIN-101'!$X$1:$X$3000,A82)</f>
        <v>#VALUE!</v>
      </c>
      <c r="I82" s="562" t="s">
        <v>2687</v>
      </c>
      <c r="J82" t="s">
        <v>2683</v>
      </c>
      <c r="K82" t="s">
        <v>2678</v>
      </c>
      <c r="L82" s="564" t="s">
        <v>2666</v>
      </c>
      <c r="M82" s="562">
        <f>SUMIFS('Recon of ORS and DV'!D:D,'Recon of ORS and DV'!B:B,'DV List for import'!A82)</f>
        <v>0</v>
      </c>
      <c r="N82" s="276" t="e">
        <f t="shared" si="5"/>
        <v>#VALUE!</v>
      </c>
    </row>
    <row r="83" spans="1:15">
      <c r="A83" t="s">
        <v>2436</v>
      </c>
      <c r="B83" t="str">
        <f t="shared" si="6"/>
        <v>Fund 01-2021-01-0080</v>
      </c>
      <c r="C83" s="564" t="str">
        <f t="shared" si="7"/>
        <v>0000-00-0000</v>
      </c>
      <c r="D83" s="562">
        <f>SUMIFS('Import Process ORS'!L:L,'Import Process ORS'!E:E,'DV List for import'!C83)</f>
        <v>0</v>
      </c>
      <c r="E83" t="s">
        <v>2674</v>
      </c>
      <c r="F83" t="str">
        <f>VLOOKUP(A83,'[1]MAIN-101'!$B$13:$M$787,4,FALSE)</f>
        <v>Essential Vows Weddings &amp; Events</v>
      </c>
      <c r="G83" t="str">
        <f>VLOOKUP(A83,'[1]MAIN-101'!$B$13:$M$787,12,FALSE)</f>
        <v>Payment for the event organizer during the conduct of Grand Launching of OTOP PH Hub at SM City Butuan on December 18, 2020</v>
      </c>
      <c r="H83" s="562" t="e">
        <f>SUMIFS('[1]MAIN-101'!$Z$1:$Z$3000,'[1]MAIN-101'!$X$1:$X$3000,A83)</f>
        <v>#VALUE!</v>
      </c>
      <c r="I83" s="562" t="s">
        <v>2687</v>
      </c>
      <c r="J83" t="s">
        <v>2683</v>
      </c>
      <c r="K83" t="s">
        <v>2678</v>
      </c>
      <c r="L83" s="564" t="s">
        <v>2666</v>
      </c>
      <c r="M83" s="562">
        <f>SUMIFS('Recon of ORS and DV'!D:D,'Recon of ORS and DV'!B:B,'DV List for import'!A83)</f>
        <v>0</v>
      </c>
      <c r="N83" s="276" t="e">
        <f t="shared" si="5"/>
        <v>#VALUE!</v>
      </c>
    </row>
    <row r="84" spans="1:15">
      <c r="A84" t="s">
        <v>2437</v>
      </c>
      <c r="B84" t="str">
        <f t="shared" si="6"/>
        <v>Fund 01-2021-01-0081</v>
      </c>
      <c r="C84" s="564" t="str">
        <f t="shared" si="7"/>
        <v>0000-00-0000</v>
      </c>
      <c r="D84" s="562">
        <f>SUMIFS('Import Process ORS'!L:L,'Import Process ORS'!E:E,'DV List for import'!C84)</f>
        <v>0</v>
      </c>
      <c r="E84" t="s">
        <v>2674</v>
      </c>
      <c r="F84" t="str">
        <f>VLOOKUP(A84,'[1]MAIN-101'!$B$13:$M$787,4,FALSE)</f>
        <v>New Era Audio and Light Sales &amp; Rental</v>
      </c>
      <c r="G84" t="str">
        <f>VLOOKUP(A84,'[1]MAIN-101'!$B$13:$M$787,12,FALSE)</f>
        <v>Payment for the sounds and lights during the conduct of grand launching of OTOP PH Hub at SM City Butuan on Dec 18, 2020.</v>
      </c>
      <c r="H84" s="562" t="e">
        <f>SUMIFS('[1]MAIN-101'!$Z$1:$Z$3000,'[1]MAIN-101'!$X$1:$X$3000,A84)</f>
        <v>#VALUE!</v>
      </c>
      <c r="I84" s="562" t="s">
        <v>2687</v>
      </c>
      <c r="J84" t="s">
        <v>2683</v>
      </c>
      <c r="K84" t="s">
        <v>2678</v>
      </c>
      <c r="L84" s="564" t="s">
        <v>2666</v>
      </c>
      <c r="M84" s="562">
        <f>SUMIFS('Recon of ORS and DV'!D:D,'Recon of ORS and DV'!B:B,'DV List for import'!A84)</f>
        <v>0</v>
      </c>
      <c r="N84" s="276" t="e">
        <f t="shared" si="5"/>
        <v>#VALUE!</v>
      </c>
    </row>
    <row r="85" spans="1:15">
      <c r="A85" t="s">
        <v>2438</v>
      </c>
      <c r="B85" t="str">
        <f t="shared" si="6"/>
        <v>Fund 01-2021-01-0082</v>
      </c>
      <c r="C85" s="564" t="str">
        <f t="shared" si="7"/>
        <v>0000-00-0000</v>
      </c>
      <c r="D85" s="562">
        <f>SUMIFS('Import Process ORS'!L:L,'Import Process ORS'!E:E,'DV List for import'!C85)</f>
        <v>0</v>
      </c>
      <c r="E85" t="s">
        <v>2674</v>
      </c>
      <c r="F85" t="str">
        <f>VLOOKUP(A85,'[1]MAIN-101'!$B$13:$M$787,4,FALSE)</f>
        <v>JCB Express Solution</v>
      </c>
      <c r="G85" t="str">
        <f>VLOOKUP(A85,'[1]MAIN-101'!$B$13:$M$787,12,FALSE)</f>
        <v>Payment for the tarpaulins during the grand launching of OTOP PH Hub at SM City Butuan Cityon December 18, 2020</v>
      </c>
      <c r="H85" s="562" t="e">
        <f>SUMIFS('[1]MAIN-101'!$Z$1:$Z$3000,'[1]MAIN-101'!$X$1:$X$3000,A85)</f>
        <v>#VALUE!</v>
      </c>
      <c r="I85" s="562" t="s">
        <v>2687</v>
      </c>
      <c r="J85" t="s">
        <v>2683</v>
      </c>
      <c r="K85" t="s">
        <v>2678</v>
      </c>
      <c r="L85" s="564" t="s">
        <v>2666</v>
      </c>
      <c r="M85" s="562">
        <f>SUMIFS('Recon of ORS and DV'!D:D,'Recon of ORS and DV'!B:B,'DV List for import'!A85)</f>
        <v>0</v>
      </c>
      <c r="N85" s="276" t="e">
        <f t="shared" si="5"/>
        <v>#VALUE!</v>
      </c>
    </row>
    <row r="86" spans="1:15">
      <c r="A86" t="s">
        <v>2439</v>
      </c>
      <c r="B86" t="str">
        <f t="shared" si="6"/>
        <v>Fund 01-2021-01-0083</v>
      </c>
      <c r="C86" s="564" t="str">
        <f t="shared" si="7"/>
        <v>0000-00-0000</v>
      </c>
      <c r="D86" s="562">
        <f>SUMIFS('Import Process ORS'!L:L,'Import Process ORS'!E:E,'DV List for import'!C86)</f>
        <v>0</v>
      </c>
      <c r="E86" t="s">
        <v>2674</v>
      </c>
      <c r="F86" t="str">
        <f>VLOOKUP(A86,'[1]MAIN-101'!$B$13:$M$787,4,FALSE)</f>
        <v>JCB Express Solution</v>
      </c>
      <c r="G86" t="str">
        <f>VLOOKUP(A86,'[1]MAIN-101'!$B$13:$M$787,12,FALSE)</f>
        <v>Payment for customized invitations for the OTOP PH Hub Launching last December 18, 2020</v>
      </c>
      <c r="H86" s="562" t="e">
        <f>SUMIFS('[1]MAIN-101'!$Z$1:$Z$3000,'[1]MAIN-101'!$X$1:$X$3000,A86)</f>
        <v>#VALUE!</v>
      </c>
      <c r="I86" s="562" t="s">
        <v>2687</v>
      </c>
      <c r="J86" t="s">
        <v>2683</v>
      </c>
      <c r="K86" t="s">
        <v>2678</v>
      </c>
      <c r="L86" s="564" t="s">
        <v>2666</v>
      </c>
      <c r="M86" s="562">
        <f>SUMIFS('Recon of ORS and DV'!D:D,'Recon of ORS and DV'!B:B,'DV List for import'!A86)</f>
        <v>0</v>
      </c>
      <c r="N86" s="276" t="e">
        <f t="shared" si="5"/>
        <v>#VALUE!</v>
      </c>
    </row>
    <row r="87" spans="1:15">
      <c r="A87" t="s">
        <v>2440</v>
      </c>
      <c r="B87" t="str">
        <f t="shared" si="6"/>
        <v>Fund 01-2021-01-0084</v>
      </c>
      <c r="C87" s="564" t="str">
        <f t="shared" si="7"/>
        <v>0000-00-0000</v>
      </c>
      <c r="D87" s="562">
        <f>SUMIFS('Import Process ORS'!L:L,'Import Process ORS'!E:E,'DV List for import'!C87)</f>
        <v>0</v>
      </c>
      <c r="E87" t="s">
        <v>2674</v>
      </c>
      <c r="F87" t="str">
        <f>VLOOKUP(A87,'[1]MAIN-101'!$B$13:$M$787,4,FALSE)</f>
        <v>Ralph O. Gorgonio</v>
      </c>
      <c r="G87" t="str">
        <f>VLOOKUP(A87,'[1]MAIN-101'!$B$13:$M$787,12,FALSE)</f>
        <v>Reimbursement  portable wifi modem for office of the RD</v>
      </c>
      <c r="H87" s="562" t="e">
        <f>SUMIFS('[1]MAIN-101'!$Z$1:$Z$3000,'[1]MAIN-101'!$X$1:$X$3000,A87)</f>
        <v>#VALUE!</v>
      </c>
      <c r="I87" s="562" t="s">
        <v>2687</v>
      </c>
      <c r="J87" t="s">
        <v>2683</v>
      </c>
      <c r="K87" t="s">
        <v>2678</v>
      </c>
      <c r="L87" s="564" t="s">
        <v>2666</v>
      </c>
      <c r="M87" s="562">
        <f>SUMIFS('Recon of ORS and DV'!D:D,'Recon of ORS and DV'!B:B,'DV List for import'!A87)</f>
        <v>0</v>
      </c>
      <c r="N87" s="276" t="e">
        <f t="shared" si="5"/>
        <v>#VALUE!</v>
      </c>
    </row>
    <row r="88" spans="1:15">
      <c r="A88" t="s">
        <v>2080</v>
      </c>
      <c r="B88" t="str">
        <f t="shared" si="6"/>
        <v>Fund 01-2021-01-0085</v>
      </c>
      <c r="C88" s="562" t="e">
        <f>VLOOKUP(L88,'Import Process ORS'!$D$4:$E$1557,2,FALSE)</f>
        <v>#N/A</v>
      </c>
      <c r="D88" s="562">
        <f>SUMIFS('Import Process ORS'!L:L,'Import Process ORS'!E:E,'DV List for import'!C88)</f>
        <v>0</v>
      </c>
      <c r="E88" t="s">
        <v>2674</v>
      </c>
      <c r="F88" t="str">
        <f>VLOOKUP(A88,'[1]MAIN-101'!$B$13:$M$787,4,FALSE)</f>
        <v>LBP, F/O DTI- JO</v>
      </c>
      <c r="G88" t="str">
        <f>VLOOKUP(A88,'[1]MAIN-101'!$B$13:$M$787,12,FALSE)</f>
        <v>Payment of Jor orders for the period January 5-15, 2021</v>
      </c>
      <c r="H88" s="562" t="e">
        <f>SUMIFS('[1]MAIN-101'!$Z$1:$Z$3000,'[1]MAIN-101'!$X$1:$X$3000,A88)</f>
        <v>#VALUE!</v>
      </c>
      <c r="I88" s="562" t="s">
        <v>2687</v>
      </c>
      <c r="J88" t="s">
        <v>2683</v>
      </c>
      <c r="K88" t="s">
        <v>2678</v>
      </c>
      <c r="L88" s="562" t="str">
        <f>VLOOKUP(A88,'Format for Import of DV'!$A$3:$S$1556,3,FALSE)</f>
        <v>028</v>
      </c>
      <c r="M88" s="562" t="e">
        <f>SUMIFS('Recon of ORS and DV'!D:D,'Recon of ORS and DV'!B:B,'DV List for import'!A88)</f>
        <v>#VALUE!</v>
      </c>
      <c r="N88" s="276" t="e">
        <f t="shared" si="5"/>
        <v>#VALUE!</v>
      </c>
    </row>
    <row r="89" spans="1:15">
      <c r="A89" t="s">
        <v>2081</v>
      </c>
      <c r="B89" t="str">
        <f t="shared" si="6"/>
        <v>Fund 01-2021-01-0086</v>
      </c>
      <c r="C89" s="562" t="e">
        <f>VLOOKUP(L89,'Import Process ORS'!$D$4:$E$1557,2,FALSE)</f>
        <v>#N/A</v>
      </c>
      <c r="D89" s="562">
        <f>SUMIFS('Import Process ORS'!L:L,'Import Process ORS'!E:E,'DV List for import'!C89)</f>
        <v>0</v>
      </c>
      <c r="E89" t="s">
        <v>2674</v>
      </c>
      <c r="F89" t="str">
        <f>VLOOKUP(A89,'[1]MAIN-101'!$B$13:$M$787,4,FALSE)</f>
        <v>LBP, F/O DTI- JO</v>
      </c>
      <c r="G89" t="str">
        <f>VLOOKUP(A89,'[1]MAIN-101'!$B$13:$M$787,12,FALSE)</f>
        <v>Payment of Jor orders for the period January 5-15, 2021</v>
      </c>
      <c r="H89" s="562" t="e">
        <f>SUMIFS('[1]MAIN-101'!$Z$1:$Z$3000,'[1]MAIN-101'!$X$1:$X$3000,A89)</f>
        <v>#VALUE!</v>
      </c>
      <c r="I89" s="562" t="s">
        <v>2687</v>
      </c>
      <c r="J89" t="s">
        <v>2683</v>
      </c>
      <c r="K89" t="s">
        <v>2678</v>
      </c>
      <c r="L89" s="562" t="str">
        <f>VLOOKUP(A89,'Format for Import of DV'!$A$3:$S$1556,3,FALSE)</f>
        <v>029</v>
      </c>
      <c r="M89" s="562" t="e">
        <f>SUMIFS('Recon of ORS and DV'!D:D,'Recon of ORS and DV'!B:B,'DV List for import'!A89)</f>
        <v>#VALUE!</v>
      </c>
      <c r="N89" s="276" t="e">
        <f t="shared" si="5"/>
        <v>#VALUE!</v>
      </c>
    </row>
    <row r="90" spans="1:15">
      <c r="A90" t="s">
        <v>2077</v>
      </c>
      <c r="B90" t="str">
        <f t="shared" si="6"/>
        <v>Fund 01-2021-01-0087</v>
      </c>
      <c r="C90" s="562" t="e">
        <f>VLOOKUP(L90,'Import Process ORS'!$D$4:$E$1557,2,FALSE)</f>
        <v>#N/A</v>
      </c>
      <c r="D90" s="562">
        <f>SUMIFS('Import Process ORS'!L:L,'Import Process ORS'!E:E,'DV List for import'!C90)</f>
        <v>0</v>
      </c>
      <c r="E90" t="s">
        <v>2674</v>
      </c>
      <c r="F90" t="str">
        <f>VLOOKUP(A90,'[1]MAIN-101'!$B$13:$M$787,4,FALSE)</f>
        <v>LBP, F/O DTI- JO</v>
      </c>
      <c r="G90" t="str">
        <f>VLOOKUP(A90,'[1]MAIN-101'!$B$13:$M$787,12,FALSE)</f>
        <v>Payment of Jor orders for the period January 5-15, 2021</v>
      </c>
      <c r="H90" s="562" t="e">
        <f>SUMIFS('[1]MAIN-101'!$Z$1:$Z$3000,'[1]MAIN-101'!$X$1:$X$3000,A90)</f>
        <v>#VALUE!</v>
      </c>
      <c r="I90" s="562" t="s">
        <v>2687</v>
      </c>
      <c r="J90" t="s">
        <v>2683</v>
      </c>
      <c r="K90" t="s">
        <v>2678</v>
      </c>
      <c r="L90" s="562" t="str">
        <f>VLOOKUP(A90,'Format for Import of DV'!$A$3:$S$1556,3,FALSE)</f>
        <v>025</v>
      </c>
      <c r="M90" s="562" t="e">
        <f>SUMIFS('Recon of ORS and DV'!D:D,'Recon of ORS and DV'!B:B,'DV List for import'!A90)</f>
        <v>#VALUE!</v>
      </c>
      <c r="N90" s="276" t="e">
        <f t="shared" si="5"/>
        <v>#VALUE!</v>
      </c>
    </row>
    <row r="91" spans="1:15">
      <c r="A91" t="s">
        <v>2441</v>
      </c>
      <c r="B91" t="str">
        <f t="shared" si="6"/>
        <v>Fund 01-2021-01-0088</v>
      </c>
      <c r="C91" s="564" t="str">
        <f>L91</f>
        <v>0000-00-0000</v>
      </c>
      <c r="D91" s="562">
        <f>SUMIFS('Import Process ORS'!L:L,'Import Process ORS'!E:E,'DV List for import'!C91)</f>
        <v>0</v>
      </c>
      <c r="E91" t="s">
        <v>2674</v>
      </c>
      <c r="F91" t="str">
        <f>VLOOKUP(A91,'[1]MAIN-101'!$B$13:$M$787,4,FALSE)</f>
        <v>PHIC-Butuan City</v>
      </c>
      <c r="G91" t="str">
        <f>VLOOKUP(A91,'[1]MAIN-101'!$B$13:$M$787,12,FALSE)</f>
        <v>Remittance of PHIC premiums (EE &amp; ER) for the month of January 2021</v>
      </c>
      <c r="H91" s="562" t="e">
        <f>SUMIFS('[1]MAIN-101'!$Z$1:$Z$3000,'[1]MAIN-101'!$X$1:$X$3000,A91)</f>
        <v>#VALUE!</v>
      </c>
      <c r="I91" s="562" t="s">
        <v>2662</v>
      </c>
      <c r="J91" t="s">
        <v>2053</v>
      </c>
      <c r="K91" t="s">
        <v>2680</v>
      </c>
      <c r="L91" s="564" t="s">
        <v>2666</v>
      </c>
      <c r="M91" s="562">
        <f>SUMIFS('Recon of ORS and DV'!D:D,'Recon of ORS and DV'!B:B,'DV List for import'!A91)</f>
        <v>0</v>
      </c>
      <c r="N91" s="276" t="e">
        <f t="shared" si="5"/>
        <v>#VALUE!</v>
      </c>
      <c r="O91" t="s">
        <v>2662</v>
      </c>
    </row>
    <row r="92" spans="1:15">
      <c r="A92" t="s">
        <v>2079</v>
      </c>
      <c r="B92" t="str">
        <f t="shared" si="6"/>
        <v>Fund 01-2021-01-0089</v>
      </c>
      <c r="C92" s="562" t="e">
        <f>VLOOKUP(L92,'Import Process ORS'!$D$4:$E$1557,2,FALSE)</f>
        <v>#N/A</v>
      </c>
      <c r="D92" s="562">
        <f>SUMIFS('Import Process ORS'!L:L,'Import Process ORS'!E:E,'DV List for import'!C92)</f>
        <v>0</v>
      </c>
      <c r="E92" t="s">
        <v>2674</v>
      </c>
      <c r="F92" t="str">
        <f>VLOOKUP(A92,'[1]MAIN-101'!$B$13:$M$787,4,FALSE)</f>
        <v>Joselyn  Ang</v>
      </c>
      <c r="G92" t="str">
        <f>VLOOKUP(A92,'[1]MAIN-101'!$B$13:$M$787,12,FALSE)</f>
        <v>Space rental DTI Storage area</v>
      </c>
      <c r="H92" s="562" t="e">
        <f>SUMIFS('[1]MAIN-101'!$Z$1:$Z$3000,'[1]MAIN-101'!$X$1:$X$3000,A92)</f>
        <v>#VALUE!</v>
      </c>
      <c r="I92" s="562" t="s">
        <v>2687</v>
      </c>
      <c r="J92" t="s">
        <v>2683</v>
      </c>
      <c r="K92" t="s">
        <v>2678</v>
      </c>
      <c r="L92" s="562" t="str">
        <f>VLOOKUP(A92,'Format for Import of DV'!$A$3:$S$1556,3,FALSE)</f>
        <v>027</v>
      </c>
      <c r="M92" s="562" t="e">
        <f>SUMIFS('Recon of ORS and DV'!D:D,'Recon of ORS and DV'!B:B,'DV List for import'!A92)</f>
        <v>#VALUE!</v>
      </c>
      <c r="N92" s="276" t="e">
        <f t="shared" si="5"/>
        <v>#VALUE!</v>
      </c>
    </row>
    <row r="93" spans="1:15">
      <c r="A93" t="s">
        <v>2076</v>
      </c>
      <c r="B93" t="str">
        <f t="shared" si="6"/>
        <v>Fund 01-2021-01-0090</v>
      </c>
      <c r="C93" s="562" t="e">
        <f>VLOOKUP(L93,'Import Process ORS'!$D$4:$E$1557,2,FALSE)</f>
        <v>#N/A</v>
      </c>
      <c r="D93" s="562">
        <f>SUMIFS('Import Process ORS'!L:L,'Import Process ORS'!E:E,'DV List for import'!C93)</f>
        <v>0</v>
      </c>
      <c r="E93" t="s">
        <v>2674</v>
      </c>
      <c r="F93" t="str">
        <f>VLOOKUP(A93,'[1]MAIN-101'!$B$13:$M$787,4,FALSE)</f>
        <v>Butuan City Water District</v>
      </c>
      <c r="G93" t="str">
        <f>VLOOKUP(A93,'[1]MAIN-101'!$B$13:$M$787,12,FALSE)</f>
        <v>Payment for utilities expense- water for the period December ,2020- January 2021</v>
      </c>
      <c r="H93" s="562" t="e">
        <f>SUMIFS('[1]MAIN-101'!$Z$1:$Z$3000,'[1]MAIN-101'!$X$1:$X$3000,A93)</f>
        <v>#VALUE!</v>
      </c>
      <c r="I93" s="562" t="s">
        <v>2687</v>
      </c>
      <c r="J93" t="s">
        <v>2683</v>
      </c>
      <c r="K93" t="s">
        <v>2678</v>
      </c>
      <c r="L93" s="562" t="str">
        <f>VLOOKUP(A93,'Format for Import of DV'!$A$3:$S$1556,3,FALSE)</f>
        <v>024</v>
      </c>
      <c r="M93" s="562" t="e">
        <f>SUMIFS('Recon of ORS and DV'!D:D,'Recon of ORS and DV'!B:B,'DV List for import'!A93)</f>
        <v>#VALUE!</v>
      </c>
      <c r="N93" s="276" t="e">
        <f t="shared" si="5"/>
        <v>#VALUE!</v>
      </c>
    </row>
    <row r="94" spans="1:15">
      <c r="A94" t="s">
        <v>2075</v>
      </c>
      <c r="B94" t="str">
        <f t="shared" si="6"/>
        <v>Fund 01-2021-01-0091</v>
      </c>
      <c r="C94" s="562" t="e">
        <f>VLOOKUP(L94,'Import Process ORS'!$D$4:$E$1557,2,FALSE)</f>
        <v>#N/A</v>
      </c>
      <c r="D94" s="562">
        <f>SUMIFS('Import Process ORS'!L:L,'Import Process ORS'!E:E,'DV List for import'!C94)</f>
        <v>0</v>
      </c>
      <c r="E94" t="s">
        <v>2674</v>
      </c>
      <c r="F94" t="str">
        <f>VLOOKUP(A94,'[1]MAIN-101'!$B$13:$M$787,4,FALSE)</f>
        <v>A &amp; C Yelo Submarine Corporation</v>
      </c>
      <c r="G94" t="str">
        <f>VLOOKUP(A94,'[1]MAIN-101'!$B$13:$M$787,12,FALSE)</f>
        <v>Payment of drinking water for the period November to December 2020</v>
      </c>
      <c r="H94" s="562" t="e">
        <f>SUMIFS('[1]MAIN-101'!$Z$1:$Z$3000,'[1]MAIN-101'!$X$1:$X$3000,A94)</f>
        <v>#VALUE!</v>
      </c>
      <c r="I94" s="562" t="s">
        <v>2687</v>
      </c>
      <c r="J94" t="s">
        <v>2683</v>
      </c>
      <c r="K94" t="s">
        <v>2678</v>
      </c>
      <c r="L94" s="562" t="str">
        <f>VLOOKUP(A94,'Format for Import of DV'!$A$3:$S$1556,3,FALSE)</f>
        <v>023</v>
      </c>
      <c r="M94" s="562" t="e">
        <f>SUMIFS('Recon of ORS and DV'!D:D,'Recon of ORS and DV'!B:B,'DV List for import'!A94)</f>
        <v>#VALUE!</v>
      </c>
      <c r="N94" s="276" t="e">
        <f t="shared" si="5"/>
        <v>#VALUE!</v>
      </c>
    </row>
    <row r="95" spans="1:15">
      <c r="A95" t="s">
        <v>2078</v>
      </c>
      <c r="B95" t="str">
        <f t="shared" si="6"/>
        <v>Fund 01-2021-01-0092</v>
      </c>
      <c r="C95" s="562" t="e">
        <f>VLOOKUP(L95,'Import Process ORS'!$D$4:$E$1557,2,FALSE)</f>
        <v>#N/A</v>
      </c>
      <c r="D95" s="562">
        <f>SUMIFS('Import Process ORS'!L:L,'Import Process ORS'!E:E,'DV List for import'!C95)</f>
        <v>0</v>
      </c>
      <c r="E95" t="s">
        <v>2674</v>
      </c>
      <c r="F95" t="str">
        <f>VLOOKUP(A95,'[1]MAIN-101'!$B$13:$M$787,4,FALSE)</f>
        <v>Marry Ann L. Pascual</v>
      </c>
      <c r="G95" t="str">
        <f>VLOOKUP(A95,'[1]MAIN-101'!$B$13:$M$787,12,FALSE)</f>
        <v>Reimbursement  for the decorations and supplies during the oath taking ceremony cum orientation for newly hired and promoted employees on Januray 11, 2021</v>
      </c>
      <c r="H95" s="562" t="e">
        <f>SUMIFS('[1]MAIN-101'!$Z$1:$Z$3000,'[1]MAIN-101'!$X$1:$X$3000,A95)</f>
        <v>#VALUE!</v>
      </c>
      <c r="I95" s="562" t="s">
        <v>2687</v>
      </c>
      <c r="J95" t="s">
        <v>2683</v>
      </c>
      <c r="K95" t="s">
        <v>2678</v>
      </c>
      <c r="L95" s="562" t="str">
        <f>VLOOKUP(A95,'Format for Import of DV'!$A$3:$S$1556,3,FALSE)</f>
        <v>026</v>
      </c>
      <c r="M95" s="562" t="e">
        <f>SUMIFS('Recon of ORS and DV'!D:D,'Recon of ORS and DV'!B:B,'DV List for import'!A95)</f>
        <v>#VALUE!</v>
      </c>
      <c r="N95" s="276" t="e">
        <f t="shared" si="5"/>
        <v>#VALUE!</v>
      </c>
    </row>
    <row r="96" spans="1:15">
      <c r="A96" t="s">
        <v>2442</v>
      </c>
      <c r="B96" t="str">
        <f t="shared" si="6"/>
        <v>Fund 01-2021-01-0093</v>
      </c>
      <c r="C96" s="564" t="str">
        <f t="shared" ref="C96:C106" si="8">L96</f>
        <v>0000-00-0000</v>
      </c>
      <c r="D96" s="562">
        <f>SUMIFS('Import Process ORS'!L:L,'Import Process ORS'!E:E,'DV List for import'!C96)</f>
        <v>0</v>
      </c>
      <c r="E96" t="s">
        <v>2674</v>
      </c>
      <c r="F96" t="str">
        <f>VLOOKUP(A96,'[1]MAIN-101'!$B$13:$M$787,4,FALSE)</f>
        <v>Bureau of Treasury</v>
      </c>
      <c r="G96" t="str">
        <f>VLOOKUP(A96,'[1]MAIN-101'!$B$13:$M$787,12,FALSE)</f>
        <v>Remittance of refund on disallowance of Mr. JonathanLagang for the month of January 2021</v>
      </c>
      <c r="H96" s="562" t="e">
        <f>SUMIFS('[1]MAIN-101'!$Z$1:$Z$3000,'[1]MAIN-101'!$X$1:$X$3000,A96)</f>
        <v>#VALUE!</v>
      </c>
      <c r="I96" s="562" t="s">
        <v>2662</v>
      </c>
      <c r="J96" t="s">
        <v>2053</v>
      </c>
      <c r="K96" t="s">
        <v>2680</v>
      </c>
      <c r="L96" s="564" t="s">
        <v>2666</v>
      </c>
      <c r="M96" s="562">
        <f>SUMIFS('Recon of ORS and DV'!D:D,'Recon of ORS and DV'!B:B,'DV List for import'!A96)</f>
        <v>0</v>
      </c>
      <c r="N96" s="276" t="e">
        <f t="shared" si="5"/>
        <v>#VALUE!</v>
      </c>
      <c r="O96" t="s">
        <v>2662</v>
      </c>
    </row>
    <row r="97" spans="1:15">
      <c r="A97" t="s">
        <v>2443</v>
      </c>
      <c r="B97" t="str">
        <f t="shared" si="6"/>
        <v>Fund 01-2021-01-0094</v>
      </c>
      <c r="C97" s="564" t="str">
        <f t="shared" si="8"/>
        <v>0000-00-0000</v>
      </c>
      <c r="D97" s="562">
        <f>SUMIFS('Import Process ORS'!L:L,'Import Process ORS'!E:E,'DV List for import'!C97)</f>
        <v>0</v>
      </c>
      <c r="E97" t="s">
        <v>2674</v>
      </c>
      <c r="F97" t="str">
        <f>VLOOKUP(A97,'[1]MAIN-101'!$B$13:$M$787,4,FALSE)</f>
        <v>Bureau of Treasury</v>
      </c>
      <c r="G97" t="str">
        <f>VLOOKUP(A97,'[1]MAIN-101'!$B$13:$M$787,12,FALSE)</f>
        <v>Remittance of payment of refund on wtx on compensation for the year 2020 deducted from the full payment of Terminal Leave Benefits of Ramil Leongas</v>
      </c>
      <c r="H97" s="562" t="e">
        <f>SUMIFS('[1]MAIN-101'!$Z$1:$Z$3000,'[1]MAIN-101'!$X$1:$X$3000,A97)</f>
        <v>#VALUE!</v>
      </c>
      <c r="I97" s="562" t="s">
        <v>2662</v>
      </c>
      <c r="J97" t="s">
        <v>2053</v>
      </c>
      <c r="K97" t="s">
        <v>2680</v>
      </c>
      <c r="L97" s="564" t="s">
        <v>2666</v>
      </c>
      <c r="M97" s="562">
        <f>SUMIFS('Recon of ORS and DV'!D:D,'Recon of ORS and DV'!B:B,'DV List for import'!A97)</f>
        <v>0</v>
      </c>
      <c r="N97" s="276" t="e">
        <f t="shared" si="5"/>
        <v>#VALUE!</v>
      </c>
      <c r="O97" t="s">
        <v>2662</v>
      </c>
    </row>
    <row r="98" spans="1:15">
      <c r="A98" t="s">
        <v>2444</v>
      </c>
      <c r="B98" t="str">
        <f t="shared" si="6"/>
        <v>Fund 01-2021-01-0095</v>
      </c>
      <c r="C98" s="564" t="str">
        <f t="shared" si="8"/>
        <v>0000-00-0000</v>
      </c>
      <c r="D98" s="562">
        <f>SUMIFS('Import Process ORS'!L:L,'Import Process ORS'!E:E,'DV List for import'!C98)</f>
        <v>0</v>
      </c>
      <c r="E98" t="s">
        <v>2674</v>
      </c>
      <c r="F98" t="str">
        <f>VLOOKUP(A98,'[1]MAIN-101'!$B$13:$M$787,4,FALSE)</f>
        <v>DTI-Employees Union</v>
      </c>
      <c r="G98" t="str">
        <f>VLOOKUP(A98,'[1]MAIN-101'!$B$13:$M$787,12,FALSE)</f>
        <v>Remittance of HMO premium for principal &amp; dependents for the month of January 2021</v>
      </c>
      <c r="H98" s="562" t="e">
        <f>SUMIFS('[1]MAIN-101'!$Z$1:$Z$3000,'[1]MAIN-101'!$X$1:$X$3000,A98)</f>
        <v>#VALUE!</v>
      </c>
      <c r="I98" s="562" t="s">
        <v>2662</v>
      </c>
      <c r="J98" t="s">
        <v>2053</v>
      </c>
      <c r="K98" t="s">
        <v>2680</v>
      </c>
      <c r="L98" s="564" t="s">
        <v>2666</v>
      </c>
      <c r="M98" s="562">
        <f>SUMIFS('Recon of ORS and DV'!D:D,'Recon of ORS and DV'!B:B,'DV List for import'!A98)</f>
        <v>0</v>
      </c>
      <c r="N98" s="276" t="e">
        <f t="shared" si="5"/>
        <v>#VALUE!</v>
      </c>
      <c r="O98" t="s">
        <v>2662</v>
      </c>
    </row>
    <row r="99" spans="1:15">
      <c r="A99" t="s">
        <v>2445</v>
      </c>
      <c r="B99" t="str">
        <f t="shared" si="6"/>
        <v>Fund 01-2021-01-0096</v>
      </c>
      <c r="C99" s="564" t="str">
        <f t="shared" si="8"/>
        <v>0000-00-0000</v>
      </c>
      <c r="D99" s="562">
        <f>SUMIFS('Import Process ORS'!L:L,'Import Process ORS'!E:E,'DV List for import'!C99)</f>
        <v>0</v>
      </c>
      <c r="E99" t="s">
        <v>2674</v>
      </c>
      <c r="F99" t="str">
        <f>VLOOKUP(A99,'[1]MAIN-101'!$B$13:$M$787,4,FALSE)</f>
        <v>DTI-Provident Fund</v>
      </c>
      <c r="G99" t="str">
        <f>VLOOKUP(A99,'[1]MAIN-101'!$B$13:$M$787,12,FALSE)</f>
        <v>Remittance of Provident premium &amp; loan payment for the month of January 2021</v>
      </c>
      <c r="H99" s="562" t="e">
        <f>SUMIFS('[1]MAIN-101'!$Z$1:$Z$3000,'[1]MAIN-101'!$X$1:$X$3000,A99)</f>
        <v>#VALUE!</v>
      </c>
      <c r="I99" s="562" t="s">
        <v>2662</v>
      </c>
      <c r="J99" t="s">
        <v>2053</v>
      </c>
      <c r="K99" t="s">
        <v>2680</v>
      </c>
      <c r="L99" s="564" t="s">
        <v>2666</v>
      </c>
      <c r="M99" s="562">
        <f>SUMIFS('Recon of ORS and DV'!D:D,'Recon of ORS and DV'!B:B,'DV List for import'!A99)</f>
        <v>0</v>
      </c>
      <c r="N99" s="276" t="e">
        <f t="shared" si="5"/>
        <v>#VALUE!</v>
      </c>
      <c r="O99" t="s">
        <v>2662</v>
      </c>
    </row>
    <row r="100" spans="1:15">
      <c r="A100" t="s">
        <v>2446</v>
      </c>
      <c r="B100" t="str">
        <f t="shared" si="6"/>
        <v>Fund 01-2021-01-0097</v>
      </c>
      <c r="C100" s="564" t="str">
        <f t="shared" si="8"/>
        <v>0000-00-0000</v>
      </c>
      <c r="D100" s="562">
        <f>SUMIFS('Import Process ORS'!L:L,'Import Process ORS'!E:E,'DV List for import'!C100)</f>
        <v>0</v>
      </c>
      <c r="E100" t="s">
        <v>2674</v>
      </c>
      <c r="F100" t="str">
        <f>VLOOKUP(A100,'[1]MAIN-101'!$B$13:$M$787,4,FALSE)</f>
        <v>DTI-MDBF</v>
      </c>
      <c r="G100" t="str">
        <f>VLOOKUP(A100,'[1]MAIN-101'!$B$13:$M$787,12,FALSE)</f>
        <v>Remittance of MDBF premium for the month of January 2021</v>
      </c>
      <c r="H100" s="562" t="e">
        <f>SUMIFS('[1]MAIN-101'!$Z$1:$Z$3000,'[1]MAIN-101'!$X$1:$X$3000,A100)</f>
        <v>#VALUE!</v>
      </c>
      <c r="I100" s="562" t="s">
        <v>2662</v>
      </c>
      <c r="J100" t="s">
        <v>2053</v>
      </c>
      <c r="K100" t="s">
        <v>2680</v>
      </c>
      <c r="L100" s="564" t="s">
        <v>2666</v>
      </c>
      <c r="M100" s="562">
        <f>SUMIFS('Recon of ORS and DV'!D:D,'Recon of ORS and DV'!B:B,'DV List for import'!A100)</f>
        <v>0</v>
      </c>
      <c r="N100" s="276" t="e">
        <f t="shared" si="5"/>
        <v>#VALUE!</v>
      </c>
      <c r="O100" t="s">
        <v>2662</v>
      </c>
    </row>
    <row r="101" spans="1:15">
      <c r="A101" t="s">
        <v>2447</v>
      </c>
      <c r="B101" t="str">
        <f t="shared" si="6"/>
        <v>Fund 01-2021-01-0098</v>
      </c>
      <c r="C101" s="564" t="str">
        <f t="shared" si="8"/>
        <v>0000-00-0000</v>
      </c>
      <c r="D101" s="562">
        <f>SUMIFS('Import Process ORS'!L:L,'Import Process ORS'!E:E,'DV List for import'!C101)</f>
        <v>0</v>
      </c>
      <c r="E101" t="s">
        <v>2674</v>
      </c>
      <c r="F101" t="str">
        <f>VLOOKUP(A101,'[1]MAIN-101'!$B$13:$M$787,4,FALSE)</f>
        <v>Sunlife of Canada Phils. Inc</v>
      </c>
      <c r="G101" t="str">
        <f>VLOOKUP(A101,'[1]MAIN-101'!$B$13:$M$787,12,FALSE)</f>
        <v>Remittance of insurance premium for the month of January 2021</v>
      </c>
      <c r="H101" s="562" t="e">
        <f>SUMIFS('[1]MAIN-101'!$Z$1:$Z$3000,'[1]MAIN-101'!$X$1:$X$3000,A101)</f>
        <v>#VALUE!</v>
      </c>
      <c r="I101" s="562" t="s">
        <v>2662</v>
      </c>
      <c r="J101" t="s">
        <v>2053</v>
      </c>
      <c r="K101" t="s">
        <v>2680</v>
      </c>
      <c r="L101" s="564" t="s">
        <v>2666</v>
      </c>
      <c r="M101" s="562">
        <f>SUMIFS('Recon of ORS and DV'!D:D,'Recon of ORS and DV'!B:B,'DV List for import'!A101)</f>
        <v>0</v>
      </c>
      <c r="N101" s="276" t="e">
        <f t="shared" si="5"/>
        <v>#VALUE!</v>
      </c>
      <c r="O101" t="s">
        <v>2662</v>
      </c>
    </row>
    <row r="102" spans="1:15">
      <c r="A102" t="s">
        <v>2448</v>
      </c>
      <c r="B102" t="str">
        <f t="shared" si="6"/>
        <v>Fund 01-2021-01-0099</v>
      </c>
      <c r="C102" s="564" t="str">
        <f t="shared" si="8"/>
        <v>0000-00-0000</v>
      </c>
      <c r="D102" s="562">
        <f>SUMIFS('Import Process ORS'!L:L,'Import Process ORS'!E:E,'DV List for import'!C102)</f>
        <v>0</v>
      </c>
      <c r="E102" t="s">
        <v>2674</v>
      </c>
      <c r="F102" t="str">
        <f>VLOOKUP(A102,'[1]MAIN-101'!$B$13:$M$787,4,FALSE)</f>
        <v>HDMF- Butuan City</v>
      </c>
      <c r="G102" t="str">
        <f>VLOOKUP(A102,'[1]MAIN-101'!$B$13:$M$787,12,FALSE)</f>
        <v>Remittance of HDMF premiums and loans payment of regular employees for the month of Januray 2021</v>
      </c>
      <c r="H102" s="562" t="e">
        <f>SUMIFS('[1]MAIN-101'!$Z$1:$Z$3000,'[1]MAIN-101'!$X$1:$X$3000,A102)</f>
        <v>#VALUE!</v>
      </c>
      <c r="I102" s="562" t="s">
        <v>2662</v>
      </c>
      <c r="J102" t="s">
        <v>2053</v>
      </c>
      <c r="K102" t="s">
        <v>2680</v>
      </c>
      <c r="L102" s="564" t="s">
        <v>2666</v>
      </c>
      <c r="M102" s="562">
        <f>SUMIFS('Recon of ORS and DV'!D:D,'Recon of ORS and DV'!B:B,'DV List for import'!A102)</f>
        <v>0</v>
      </c>
      <c r="N102" s="276" t="e">
        <f t="shared" si="5"/>
        <v>#VALUE!</v>
      </c>
      <c r="O102" t="s">
        <v>2662</v>
      </c>
    </row>
    <row r="103" spans="1:15">
      <c r="A103" t="s">
        <v>2449</v>
      </c>
      <c r="B103" t="str">
        <f t="shared" si="6"/>
        <v>Fund 01-2021-01-0100</v>
      </c>
      <c r="C103" s="564" t="str">
        <f t="shared" si="8"/>
        <v>0000-00-0000</v>
      </c>
      <c r="D103" s="562">
        <f>SUMIFS('Import Process ORS'!L:L,'Import Process ORS'!E:E,'DV List for import'!C103)</f>
        <v>0</v>
      </c>
      <c r="E103" t="s">
        <v>2674</v>
      </c>
      <c r="F103" t="str">
        <f>VLOOKUP(A103,'[1]MAIN-101'!$B$13:$M$787,4,FALSE)</f>
        <v>Sure Dev't Cooperative</v>
      </c>
      <c r="G103" t="str">
        <f>VLOOKUP(A103,'[1]MAIN-101'!$B$13:$M$787,12,FALSE)</f>
        <v>Remittance of Regular employees coop deductions for the month of January 2021</v>
      </c>
      <c r="H103" s="562" t="e">
        <f>SUMIFS('[1]MAIN-101'!$Z$1:$Z$3000,'[1]MAIN-101'!$X$1:$X$3000,A103)</f>
        <v>#VALUE!</v>
      </c>
      <c r="I103" s="562" t="s">
        <v>2662</v>
      </c>
      <c r="J103" t="s">
        <v>2053</v>
      </c>
      <c r="K103" t="s">
        <v>2680</v>
      </c>
      <c r="L103" s="564" t="s">
        <v>2666</v>
      </c>
      <c r="M103" s="562">
        <f>SUMIFS('Recon of ORS and DV'!D:D,'Recon of ORS and DV'!B:B,'DV List for import'!A103)</f>
        <v>0</v>
      </c>
      <c r="N103" s="276" t="e">
        <f t="shared" si="5"/>
        <v>#VALUE!</v>
      </c>
      <c r="O103" t="s">
        <v>2662</v>
      </c>
    </row>
    <row r="104" spans="1:15">
      <c r="A104" t="s">
        <v>2450</v>
      </c>
      <c r="B104" t="str">
        <f t="shared" si="6"/>
        <v>Fund 01-2021-01-0101</v>
      </c>
      <c r="C104" s="564" t="str">
        <f t="shared" si="8"/>
        <v>0000-00-0000</v>
      </c>
      <c r="D104" s="562">
        <f>SUMIFS('Import Process ORS'!L:L,'Import Process ORS'!E:E,'DV List for import'!C104)</f>
        <v>0</v>
      </c>
      <c r="E104" t="s">
        <v>2674</v>
      </c>
      <c r="F104" t="str">
        <f>VLOOKUP(A104,'[1]MAIN-101'!$B$13:$M$787,4,FALSE)</f>
        <v>GLAD MPC</v>
      </c>
      <c r="G104" t="str">
        <f>VLOOKUP(A104,'[1]MAIN-101'!$B$13:$M$787,12,FALSE)</f>
        <v>Remittance of Regular employees coop deductions for the month of January 2021</v>
      </c>
      <c r="H104" s="562" t="e">
        <f>SUMIFS('[1]MAIN-101'!$Z$1:$Z$3000,'[1]MAIN-101'!$X$1:$X$3000,A104)</f>
        <v>#VALUE!</v>
      </c>
      <c r="I104" s="562" t="s">
        <v>2662</v>
      </c>
      <c r="J104" t="s">
        <v>2053</v>
      </c>
      <c r="K104" t="s">
        <v>2680</v>
      </c>
      <c r="L104" s="564" t="s">
        <v>2666</v>
      </c>
      <c r="M104" s="562">
        <f>SUMIFS('Recon of ORS and DV'!D:D,'Recon of ORS and DV'!B:B,'DV List for import'!A104)</f>
        <v>0</v>
      </c>
      <c r="N104" s="276" t="e">
        <f t="shared" si="5"/>
        <v>#VALUE!</v>
      </c>
      <c r="O104" t="s">
        <v>2662</v>
      </c>
    </row>
    <row r="105" spans="1:15">
      <c r="A105" t="s">
        <v>2451</v>
      </c>
      <c r="B105" t="str">
        <f t="shared" si="6"/>
        <v>Fund 01-2021-01-0102</v>
      </c>
      <c r="C105" s="564" t="str">
        <f t="shared" si="8"/>
        <v>0000-00-0000</v>
      </c>
      <c r="D105" s="562">
        <f>SUMIFS('Import Process ORS'!L:L,'Import Process ORS'!E:E,'DV List for import'!C105)</f>
        <v>0</v>
      </c>
      <c r="E105" t="s">
        <v>2674</v>
      </c>
      <c r="F105" t="str">
        <f>VLOOKUP(A105,'[1]MAIN-101'!$B$13:$M$787,4,FALSE)</f>
        <v>DREAMCO MPC</v>
      </c>
      <c r="G105" t="str">
        <f>VLOOKUP(A105,'[1]MAIN-101'!$B$13:$M$787,12,FALSE)</f>
        <v>Remittance of Regular employees coop deductions for the month of January 2021</v>
      </c>
      <c r="H105" s="562" t="e">
        <f>SUMIFS('[1]MAIN-101'!$Z$1:$Z$3000,'[1]MAIN-101'!$X$1:$X$3000,A105)</f>
        <v>#VALUE!</v>
      </c>
      <c r="I105" s="562" t="s">
        <v>2662</v>
      </c>
      <c r="J105" t="s">
        <v>2053</v>
      </c>
      <c r="K105" t="s">
        <v>2680</v>
      </c>
      <c r="L105" s="564" t="s">
        <v>2666</v>
      </c>
      <c r="M105" s="562">
        <f>SUMIFS('Recon of ORS and DV'!D:D,'Recon of ORS and DV'!B:B,'DV List for import'!A105)</f>
        <v>0</v>
      </c>
      <c r="N105" s="276" t="e">
        <f t="shared" si="5"/>
        <v>#VALUE!</v>
      </c>
      <c r="O105" t="s">
        <v>2662</v>
      </c>
    </row>
    <row r="106" spans="1:15">
      <c r="A106" t="s">
        <v>2452</v>
      </c>
      <c r="B106" t="str">
        <f t="shared" si="6"/>
        <v>Fund 01-2021-01-0103</v>
      </c>
      <c r="C106" s="564" t="str">
        <f t="shared" si="8"/>
        <v>0000-00-0000</v>
      </c>
      <c r="D106" s="562">
        <f>SUMIFS('Import Process ORS'!L:L,'Import Process ORS'!E:E,'DV List for import'!C106)</f>
        <v>0</v>
      </c>
      <c r="E106" t="s">
        <v>2674</v>
      </c>
      <c r="F106" t="str">
        <f>VLOOKUP(A106,'[1]MAIN-101'!$B$13:$M$787,4,FALSE)</f>
        <v>Rhosallee V. Espinoza</v>
      </c>
      <c r="G106" t="str">
        <f>VLOOKUP(A106,'[1]MAIN-101'!$B$13:$M$787,12,FALSE)</f>
        <v>Refund of HDMF Multi[purpose loan deducted from January payrol</v>
      </c>
      <c r="H106" s="562" t="e">
        <f>SUMIFS('[1]MAIN-101'!$Z$1:$Z$3000,'[1]MAIN-101'!$X$1:$X$3000,A106)</f>
        <v>#VALUE!</v>
      </c>
      <c r="I106" s="562" t="s">
        <v>2662</v>
      </c>
      <c r="J106" t="s">
        <v>2053</v>
      </c>
      <c r="K106" t="s">
        <v>2680</v>
      </c>
      <c r="L106" s="564" t="s">
        <v>2666</v>
      </c>
      <c r="M106" s="562">
        <f>SUMIFS('Recon of ORS and DV'!D:D,'Recon of ORS and DV'!B:B,'DV List for import'!A106)</f>
        <v>0</v>
      </c>
      <c r="N106" s="276" t="e">
        <f t="shared" si="5"/>
        <v>#VALUE!</v>
      </c>
      <c r="O106" t="s">
        <v>2663</v>
      </c>
    </row>
    <row r="107" spans="1:15">
      <c r="A107" t="s">
        <v>2082</v>
      </c>
      <c r="B107" t="str">
        <f t="shared" si="6"/>
        <v>Fund 01-2021-01-0104</v>
      </c>
      <c r="C107" s="562" t="e">
        <f>VLOOKUP(L107,'Import Process ORS'!$D$4:$E$1557,2,FALSE)</f>
        <v>#N/A</v>
      </c>
      <c r="D107" s="562">
        <f>SUMIFS('Import Process ORS'!L:L,'Import Process ORS'!E:E,'DV List for import'!C107)</f>
        <v>0</v>
      </c>
      <c r="E107" t="s">
        <v>2674</v>
      </c>
      <c r="F107" t="str">
        <f>VLOOKUP(A107,'[1]MAIN-101'!$B$13:$M$787,4,FALSE)</f>
        <v>Joselito B.Paler</v>
      </c>
      <c r="G107" t="str">
        <f>VLOOKUP(A107,'[1]MAIN-101'!$B$13:$M$787,12,FALSE)</f>
        <v>Payment of CARP staff salaries &amp; allowances for the month of January 2021</v>
      </c>
      <c r="H107" s="562" t="e">
        <f>SUMIFS('[1]MAIN-101'!$Z$1:$Z$3000,'[1]MAIN-101'!$X$1:$X$3000,A107)</f>
        <v>#VALUE!</v>
      </c>
      <c r="I107" s="562" t="s">
        <v>2687</v>
      </c>
      <c r="J107" t="s">
        <v>2683</v>
      </c>
      <c r="K107" t="s">
        <v>2678</v>
      </c>
      <c r="L107" s="562" t="str">
        <f>VLOOKUP(A107,'Format for Import of DV'!$A$3:$S$1556,3,FALSE)</f>
        <v>031</v>
      </c>
      <c r="M107" s="562" t="e">
        <f>SUMIFS('Recon of ORS and DV'!D:D,'Recon of ORS and DV'!B:B,'DV List for import'!A107)</f>
        <v>#VALUE!</v>
      </c>
      <c r="N107" s="276" t="e">
        <f t="shared" si="5"/>
        <v>#VALUE!</v>
      </c>
    </row>
    <row r="108" spans="1:15">
      <c r="A108" t="s">
        <v>2083</v>
      </c>
      <c r="B108" t="str">
        <f t="shared" si="6"/>
        <v>Fund 01-2021-01-0105</v>
      </c>
      <c r="C108" s="562" t="e">
        <f>VLOOKUP(L108,'Import Process ORS'!$D$4:$E$1557,2,FALSE)</f>
        <v>#N/A</v>
      </c>
      <c r="D108" s="562">
        <f>SUMIFS('Import Process ORS'!L:L,'Import Process ORS'!E:E,'DV List for import'!C108)</f>
        <v>0</v>
      </c>
      <c r="E108" t="s">
        <v>2674</v>
      </c>
      <c r="F108" t="str">
        <f>VLOOKUP(A108,'[1]MAIN-101'!$B$13:$M$787,4,FALSE)</f>
        <v>LBP F/O DTI AND</v>
      </c>
      <c r="G108" t="str">
        <f>VLOOKUP(A108,'[1]MAIN-101'!$B$13:$M$787,12,FALSE)</f>
        <v>Payment of CARP staff salaries &amp; allowances for the month of January 2021</v>
      </c>
      <c r="H108" s="562" t="e">
        <f>SUMIFS('[1]MAIN-101'!$Z$1:$Z$3000,'[1]MAIN-101'!$X$1:$X$3000,A108)</f>
        <v>#VALUE!</v>
      </c>
      <c r="I108" s="562" t="s">
        <v>2687</v>
      </c>
      <c r="J108" t="s">
        <v>2683</v>
      </c>
      <c r="K108" t="s">
        <v>2678</v>
      </c>
      <c r="L108" s="562" t="str">
        <f>VLOOKUP(A108,'Format for Import of DV'!$A$3:$S$1556,3,FALSE)</f>
        <v>032</v>
      </c>
      <c r="M108" s="562" t="e">
        <f>SUMIFS('Recon of ORS and DV'!D:D,'Recon of ORS and DV'!B:B,'DV List for import'!A108)</f>
        <v>#VALUE!</v>
      </c>
      <c r="N108" s="276" t="e">
        <f t="shared" si="5"/>
        <v>#VALUE!</v>
      </c>
    </row>
    <row r="109" spans="1:15">
      <c r="A109" t="s">
        <v>2084</v>
      </c>
      <c r="B109" t="str">
        <f t="shared" si="6"/>
        <v>Fund 01-2021-01-0106</v>
      </c>
      <c r="C109" s="562" t="e">
        <f>VLOOKUP(L109,'Import Process ORS'!$D$4:$E$1557,2,FALSE)</f>
        <v>#N/A</v>
      </c>
      <c r="D109" s="562">
        <f>SUMIFS('Import Process ORS'!L:L,'Import Process ORS'!E:E,'DV List for import'!C109)</f>
        <v>0</v>
      </c>
      <c r="E109" t="s">
        <v>2674</v>
      </c>
      <c r="F109" t="str">
        <f>VLOOKUP(A109,'[1]MAIN-101'!$B$13:$M$787,4,FALSE)</f>
        <v>Lemuel D. Roboca</v>
      </c>
      <c r="G109" t="str">
        <f>VLOOKUP(A109,'[1]MAIN-101'!$B$13:$M$787,12,FALSE)</f>
        <v>Payment of CARP staff salaries &amp; allowances for the month of January 2021</v>
      </c>
      <c r="H109" s="562" t="e">
        <f>SUMIFS('[1]MAIN-101'!$Z$1:$Z$3000,'[1]MAIN-101'!$X$1:$X$3000,A109)</f>
        <v>#VALUE!</v>
      </c>
      <c r="I109" s="562" t="s">
        <v>2687</v>
      </c>
      <c r="J109" t="s">
        <v>2683</v>
      </c>
      <c r="K109" t="s">
        <v>2678</v>
      </c>
      <c r="L109" s="562" t="str">
        <f>VLOOKUP(A109,'Format for Import of DV'!$A$3:$S$1556,3,FALSE)</f>
        <v>033</v>
      </c>
      <c r="M109" s="562" t="e">
        <f>SUMIFS('Recon of ORS and DV'!D:D,'Recon of ORS and DV'!B:B,'DV List for import'!A109)</f>
        <v>#VALUE!</v>
      </c>
      <c r="N109" s="276" t="e">
        <f t="shared" si="5"/>
        <v>#VALUE!</v>
      </c>
    </row>
    <row r="110" spans="1:15">
      <c r="A110" t="s">
        <v>2085</v>
      </c>
      <c r="B110" t="str">
        <f t="shared" si="6"/>
        <v>Fund 01-2021-01-0107</v>
      </c>
      <c r="C110" s="562" t="e">
        <f>VLOOKUP(L110,'Import Process ORS'!$D$4:$E$1557,2,FALSE)</f>
        <v>#N/A</v>
      </c>
      <c r="D110" s="562">
        <f>SUMIFS('Import Process ORS'!L:L,'Import Process ORS'!E:E,'DV List for import'!C110)</f>
        <v>0</v>
      </c>
      <c r="E110" t="s">
        <v>2674</v>
      </c>
      <c r="F110" t="str">
        <f>VLOOKUP(A110,'[1]MAIN-101'!$B$13:$M$787,4,FALSE)</f>
        <v>Ma. Malen B. Catamora</v>
      </c>
      <c r="G110" t="str">
        <f>VLOOKUP(A110,'[1]MAIN-101'!$B$13:$M$787,12,FALSE)</f>
        <v>Payment of CARP staff salaries &amp; allowances for the month of January 2021</v>
      </c>
      <c r="H110" s="562" t="e">
        <f>SUMIFS('[1]MAIN-101'!$Z$1:$Z$3000,'[1]MAIN-101'!$X$1:$X$3000,A110)</f>
        <v>#VALUE!</v>
      </c>
      <c r="I110" s="562" t="s">
        <v>2687</v>
      </c>
      <c r="J110" t="s">
        <v>2683</v>
      </c>
      <c r="K110" t="s">
        <v>2678</v>
      </c>
      <c r="L110" s="562" t="str">
        <f>VLOOKUP(A110,'Format for Import of DV'!$A$3:$S$1556,3,FALSE)</f>
        <v>034</v>
      </c>
      <c r="M110" s="562" t="e">
        <f>SUMIFS('Recon of ORS and DV'!D:D,'Recon of ORS and DV'!B:B,'DV List for import'!A110)</f>
        <v>#VALUE!</v>
      </c>
      <c r="N110" s="276" t="e">
        <f t="shared" si="5"/>
        <v>#VALUE!</v>
      </c>
    </row>
    <row r="111" spans="1:15">
      <c r="A111" t="s">
        <v>2086</v>
      </c>
      <c r="B111" t="str">
        <f t="shared" si="6"/>
        <v>Fund 01-2021-01-0108</v>
      </c>
      <c r="C111" s="562" t="e">
        <f>VLOOKUP(L111,'Import Process ORS'!$D$4:$E$1557,2,FALSE)</f>
        <v>#N/A</v>
      </c>
      <c r="D111" s="562">
        <f>SUMIFS('Import Process ORS'!L:L,'Import Process ORS'!E:E,'DV List for import'!C111)</f>
        <v>0</v>
      </c>
      <c r="E111" t="s">
        <v>2674</v>
      </c>
      <c r="F111" t="str">
        <f>VLOOKUP(A111,'[1]MAIN-101'!$B$13:$M$787,4,FALSE)</f>
        <v>LBP F/O DTI SDS</v>
      </c>
      <c r="G111" t="str">
        <f>VLOOKUP(A111,'[1]MAIN-101'!$B$13:$M$787,12,FALSE)</f>
        <v>Payment of CARP staff salaries &amp; allowances for the month of January 2021</v>
      </c>
      <c r="H111" s="562" t="e">
        <f>SUMIFS('[1]MAIN-101'!$Z$1:$Z$3000,'[1]MAIN-101'!$X$1:$X$3000,A111)</f>
        <v>#VALUE!</v>
      </c>
      <c r="I111" s="562" t="s">
        <v>2687</v>
      </c>
      <c r="J111" t="s">
        <v>2683</v>
      </c>
      <c r="K111" t="s">
        <v>2678</v>
      </c>
      <c r="L111" s="562" t="str">
        <f>VLOOKUP(A111,'Format for Import of DV'!$A$3:$S$1556,3,FALSE)</f>
        <v>035</v>
      </c>
      <c r="M111" s="562" t="e">
        <f>SUMIFS('Recon of ORS and DV'!D:D,'Recon of ORS and DV'!B:B,'DV List for import'!A111)</f>
        <v>#VALUE!</v>
      </c>
      <c r="N111" s="276" t="e">
        <f t="shared" si="5"/>
        <v>#VALUE!</v>
      </c>
      <c r="O111" t="s">
        <v>2664</v>
      </c>
    </row>
    <row r="112" spans="1:15">
      <c r="A112" t="s">
        <v>2087</v>
      </c>
      <c r="B112" t="str">
        <f t="shared" si="6"/>
        <v>Fund 01-2021-01-0109</v>
      </c>
      <c r="C112" s="562" t="e">
        <f>VLOOKUP(L112,'Import Process ORS'!$D$4:$E$1557,2,FALSE)</f>
        <v>#N/A</v>
      </c>
      <c r="D112" s="562">
        <f>SUMIFS('Import Process ORS'!L:L,'Import Process ORS'!E:E,'DV List for import'!C112)</f>
        <v>0</v>
      </c>
      <c r="E112" t="s">
        <v>2674</v>
      </c>
      <c r="F112" t="str">
        <f>VLOOKUP(A112,'[1]MAIN-101'!$B$13:$M$787,4,FALSE)</f>
        <v>Jumar H. Llorente</v>
      </c>
      <c r="G112" t="str">
        <f>VLOOKUP(A112,'[1]MAIN-101'!$B$13:$M$787,12,FALSE)</f>
        <v>Payment of CARP staff salaries &amp; allowances for the month of January 2021</v>
      </c>
      <c r="H112" s="562" t="e">
        <f>SUMIFS('[1]MAIN-101'!$Z$1:$Z$3000,'[1]MAIN-101'!$X$1:$X$3000,A112)</f>
        <v>#VALUE!</v>
      </c>
      <c r="I112" s="562" t="s">
        <v>2687</v>
      </c>
      <c r="J112" t="s">
        <v>2683</v>
      </c>
      <c r="K112" t="s">
        <v>2678</v>
      </c>
      <c r="L112" s="562" t="str">
        <f>VLOOKUP(A112,'Format for Import of DV'!$A$3:$S$1556,3,FALSE)</f>
        <v>036</v>
      </c>
      <c r="M112" s="562" t="e">
        <f>SUMIFS('Recon of ORS and DV'!D:D,'Recon of ORS and DV'!B:B,'DV List for import'!A112)</f>
        <v>#VALUE!</v>
      </c>
      <c r="N112" s="276" t="e">
        <f t="shared" si="5"/>
        <v>#VALUE!</v>
      </c>
    </row>
    <row r="113" spans="1:17">
      <c r="A113" t="s">
        <v>2453</v>
      </c>
      <c r="B113" t="str">
        <f t="shared" si="6"/>
        <v>Fund 01-2021-01-0110</v>
      </c>
      <c r="C113" s="564" t="str">
        <f>L113</f>
        <v>0000-00-0000</v>
      </c>
      <c r="D113" s="562">
        <f>SUMIFS('Import Process ORS'!L:L,'Import Process ORS'!E:E,'DV List for import'!C113)</f>
        <v>0</v>
      </c>
      <c r="E113" t="s">
        <v>2674</v>
      </c>
      <c r="F113" t="str">
        <f>VLOOKUP(A113,'[1]MAIN-101'!$B$13:$M$787,4,FALSE)</f>
        <v>Innove Communications, Inc</v>
      </c>
      <c r="G113" t="str">
        <f>VLOOKUP(A113,'[1]MAIN-101'!$B$13:$M$787,12,FALSE)</f>
        <v>Payment of zoom application for the month of July- Oct 2020</v>
      </c>
      <c r="H113" s="562" t="e">
        <f>SUMIFS('[1]MAIN-101'!$Z$1:$Z$3000,'[1]MAIN-101'!$X$1:$X$3000,A113)</f>
        <v>#VALUE!</v>
      </c>
      <c r="I113" s="562" t="s">
        <v>2687</v>
      </c>
      <c r="J113" t="s">
        <v>2683</v>
      </c>
      <c r="K113" t="s">
        <v>2678</v>
      </c>
      <c r="L113" s="564" t="s">
        <v>2666</v>
      </c>
      <c r="M113" s="562">
        <f>SUMIFS('Recon of ORS and DV'!D:D,'Recon of ORS and DV'!B:B,'DV List for import'!A113)</f>
        <v>0</v>
      </c>
      <c r="N113" s="276" t="e">
        <f t="shared" si="5"/>
        <v>#VALUE!</v>
      </c>
    </row>
    <row r="114" spans="1:17">
      <c r="A114" t="s">
        <v>2454</v>
      </c>
      <c r="B114" t="str">
        <f t="shared" si="6"/>
        <v>Fund 01-2021-01-0111</v>
      </c>
      <c r="C114" s="564" t="str">
        <f>L114</f>
        <v>0000-00-0000</v>
      </c>
      <c r="D114" s="562">
        <f>SUMIFS('Import Process ORS'!L:L,'Import Process ORS'!E:E,'DV List for import'!C114)</f>
        <v>0</v>
      </c>
      <c r="E114" t="s">
        <v>2674</v>
      </c>
      <c r="F114" t="str">
        <f>VLOOKUP(A114,'[1]MAIN-101'!$B$13:$M$787,4,FALSE)</f>
        <v>LBP F/O Honoraria of the KMME Panelist</v>
      </c>
      <c r="G114" t="str">
        <f>VLOOKUP(A114,'[1]MAIN-101'!$B$13:$M$787,12,FALSE)</f>
        <v>Honoraria of panelist during KMME Online class session batch 1 BIP presentation on September 21-23, 2020 thru zoom app</v>
      </c>
      <c r="H114" s="562" t="e">
        <f>SUMIFS('[1]MAIN-101'!$Z$1:$Z$3000,'[1]MAIN-101'!$X$1:$X$3000,A114)</f>
        <v>#VALUE!</v>
      </c>
      <c r="I114" s="562" t="s">
        <v>2687</v>
      </c>
      <c r="J114" t="s">
        <v>2683</v>
      </c>
      <c r="K114" t="s">
        <v>2678</v>
      </c>
      <c r="L114" s="564" t="s">
        <v>2666</v>
      </c>
      <c r="M114" s="562">
        <f>SUMIFS('Recon of ORS and DV'!D:D,'Recon of ORS and DV'!B:B,'DV List for import'!A114)</f>
        <v>0</v>
      </c>
      <c r="N114" s="276" t="e">
        <f t="shared" si="5"/>
        <v>#VALUE!</v>
      </c>
    </row>
    <row r="115" spans="1:17">
      <c r="A115" t="s">
        <v>2455</v>
      </c>
      <c r="B115" t="str">
        <f>CONCATENATE("Fund 01-2021-02-",A115)</f>
        <v>Fund 01-2021-02-0112</v>
      </c>
      <c r="C115" s="564" t="str">
        <f>L115</f>
        <v>0000-00-0000</v>
      </c>
      <c r="D115" s="562">
        <f>SUMIFS('Import Process ORS'!L:L,'Import Process ORS'!E:E,'DV List for import'!C115)</f>
        <v>0</v>
      </c>
      <c r="E115" t="s">
        <v>2675</v>
      </c>
      <c r="F115" t="str">
        <f>VLOOKUP(A115,'[1]MAIN-101'!$B$13:$M$787,4,FALSE)</f>
        <v>GSIS</v>
      </c>
      <c r="G115" t="str">
        <f>VLOOKUP(A115,'[1]MAIN-101'!$B$13:$M$787,12,FALSE)</f>
        <v>Remittance of GSIS Premiums (EE &amp; ER Share) and loans payment for the month of January 2021.</v>
      </c>
      <c r="H115" s="562" t="e">
        <f>SUMIFS('[1]MAIN-101'!$Z$1:$Z$3000,'[1]MAIN-101'!$X$1:$X$3000,A115)</f>
        <v>#VALUE!</v>
      </c>
      <c r="I115" s="562" t="s">
        <v>2662</v>
      </c>
      <c r="J115" t="s">
        <v>2053</v>
      </c>
      <c r="K115" t="s">
        <v>2680</v>
      </c>
      <c r="L115" s="564" t="s">
        <v>2666</v>
      </c>
      <c r="M115" s="562">
        <f>SUMIFS('Recon of ORS and DV'!D:D,'Recon of ORS and DV'!B:B,'DV List for import'!A115)</f>
        <v>0</v>
      </c>
      <c r="N115" s="276" t="e">
        <f t="shared" si="5"/>
        <v>#VALUE!</v>
      </c>
      <c r="O115" t="s">
        <v>2662</v>
      </c>
    </row>
    <row r="116" spans="1:17">
      <c r="A116" t="s">
        <v>2456</v>
      </c>
      <c r="B116" t="str">
        <f t="shared" ref="B116:B179" si="9">CONCATENATE("Fund 01-2021-02-",A116)</f>
        <v>Fund 01-2021-02-0113</v>
      </c>
      <c r="C116" s="564" t="str">
        <f>L116</f>
        <v>0000-00-0000</v>
      </c>
      <c r="D116" s="562">
        <f>SUMIFS('Import Process ORS'!L:L,'Import Process ORS'!E:E,'DV List for import'!C116)</f>
        <v>0</v>
      </c>
      <c r="E116" t="s">
        <v>2675</v>
      </c>
      <c r="F116" t="str">
        <f>VLOOKUP(A116,'[1]MAIN-101'!$B$13:$M$787,4,FALSE)</f>
        <v>Lyza D. Trapal</v>
      </c>
      <c r="G116" t="str">
        <f>VLOOKUP(A116,'[1]MAIN-101'!$B$13:$M$787,12,FALSE)</f>
        <v>Reimb of tokens/prizes during LSP-NSB and PPG Year end asessment on December 22, 2020</v>
      </c>
      <c r="H116" s="562" t="e">
        <f>SUMIFS('[1]MAIN-101'!$Z$1:$Z$3000,'[1]MAIN-101'!$X$1:$X$3000,A116)</f>
        <v>#VALUE!</v>
      </c>
      <c r="I116" s="562" t="s">
        <v>392</v>
      </c>
      <c r="J116" t="s">
        <v>2681</v>
      </c>
      <c r="K116" t="s">
        <v>2679</v>
      </c>
      <c r="L116" s="564" t="s">
        <v>2666</v>
      </c>
      <c r="M116" s="562">
        <f>SUMIFS('Recon of ORS and DV'!D:D,'Recon of ORS and DV'!B:B,'DV List for import'!A116)</f>
        <v>0</v>
      </c>
      <c r="N116" s="276" t="e">
        <f t="shared" si="5"/>
        <v>#VALUE!</v>
      </c>
      <c r="O116" t="s">
        <v>392</v>
      </c>
      <c r="P116" t="str">
        <f>VLOOKUP(A116,'[1]MAIN-101'!$B$8:$D$783,2,FALSE)</f>
        <v>12</v>
      </c>
      <c r="Q116" t="str">
        <f>VLOOKUP(A116,'[1]MAIN-101'!$B$8:$D$783,3,FALSE)</f>
        <v>1971</v>
      </c>
    </row>
    <row r="117" spans="1:17">
      <c r="A117" t="s">
        <v>2457</v>
      </c>
      <c r="B117" t="str">
        <f t="shared" si="9"/>
        <v>Fund 01-2021-02-0113A</v>
      </c>
      <c r="C117" s="562" t="e">
        <f>VLOOKUP(L117,'Import Process ORS'!$D$4:$E$1557,2,FALSE)</f>
        <v>#N/A</v>
      </c>
      <c r="D117" s="562">
        <f>SUMIFS('Import Process ORS'!L:L,'Import Process ORS'!E:E,'DV List for import'!C117)</f>
        <v>0</v>
      </c>
      <c r="E117" t="s">
        <v>2675</v>
      </c>
      <c r="F117" t="str">
        <f>VLOOKUP(A117,'[1]MAIN-101'!$B$13:$M$787,4,FALSE)</f>
        <v>Joselyn  Ang</v>
      </c>
      <c r="G117" t="str">
        <f>VLOOKUP(A117,'[1]MAIN-101'!$B$13:$M$787,12,FALSE)</f>
        <v>Space rental DTI Storage area</v>
      </c>
      <c r="H117" s="562" t="e">
        <f>SUMIFS('[1]MAIN-101'!$Z$1:$Z$3000,'[1]MAIN-101'!$X$1:$X$3000,A117)</f>
        <v>#VALUE!</v>
      </c>
      <c r="I117" s="562" t="s">
        <v>2687</v>
      </c>
      <c r="J117" t="s">
        <v>2683</v>
      </c>
      <c r="K117" t="s">
        <v>2678</v>
      </c>
      <c r="L117" s="562" t="str">
        <f>VLOOKUP(A117,'Format for Import of DV'!$A$3:$S$1556,3,FALSE)</f>
        <v>041A</v>
      </c>
      <c r="M117" s="562" t="e">
        <f>SUMIFS('Recon of ORS and DV'!D:D,'Recon of ORS and DV'!B:B,'DV List for import'!A117)</f>
        <v>#VALUE!</v>
      </c>
      <c r="N117" s="276" t="e">
        <f t="shared" si="5"/>
        <v>#VALUE!</v>
      </c>
      <c r="P117" t="str">
        <f>VLOOKUP(A117,'[1]MAIN-101'!$B$8:$D$783,2,FALSE)</f>
        <v>01</v>
      </c>
      <c r="Q117" t="str">
        <f>VLOOKUP(A117,'[1]MAIN-101'!$B$8:$D$783,3,FALSE)</f>
        <v>041A</v>
      </c>
    </row>
    <row r="118" spans="1:17">
      <c r="A118" t="s">
        <v>2458</v>
      </c>
      <c r="B118" t="str">
        <f t="shared" si="9"/>
        <v>Fund 01-2021-02-0113B</v>
      </c>
      <c r="C118" s="564" t="str">
        <f t="shared" ref="C118:C142" si="10">L118</f>
        <v>0000-00-0000</v>
      </c>
      <c r="D118" s="562">
        <f>SUMIFS('Import Process ORS'!L:L,'Import Process ORS'!E:E,'DV List for import'!C118)</f>
        <v>0</v>
      </c>
      <c r="E118" t="s">
        <v>2675</v>
      </c>
      <c r="F118" t="str">
        <f>VLOOKUP(A118,'[1]MAIN-101'!$B$13:$M$787,4,FALSE)</f>
        <v>Efren Sotto</v>
      </c>
      <c r="G118" t="str">
        <f>VLOOKUP(A118,'[1]MAIN-101'!$B$13:$M$787,12,FALSE)</f>
        <v>Payment of Honorariumj of panelist during BIP Presentation on September 21-23, 2020(KMME Online Session Batch 1</v>
      </c>
      <c r="H118" s="562" t="e">
        <f>SUMIFS('[1]MAIN-101'!$Z$1:$Z$3000,'[1]MAIN-101'!$X$1:$X$3000,A118)</f>
        <v>#VALUE!</v>
      </c>
      <c r="I118" s="562" t="s">
        <v>392</v>
      </c>
      <c r="J118" t="s">
        <v>2681</v>
      </c>
      <c r="K118" t="s">
        <v>2679</v>
      </c>
      <c r="L118" s="564" t="s">
        <v>2666</v>
      </c>
      <c r="M118" s="562">
        <f>SUMIFS('Recon of ORS and DV'!D:D,'Recon of ORS and DV'!B:B,'DV List for import'!A118)</f>
        <v>0</v>
      </c>
      <c r="N118" s="276" t="e">
        <f t="shared" si="5"/>
        <v>#VALUE!</v>
      </c>
      <c r="O118" t="s">
        <v>392</v>
      </c>
      <c r="P118" t="str">
        <f>VLOOKUP(A118,'[1]MAIN-101'!$B$8:$D$783,2,FALSE)</f>
        <v>12</v>
      </c>
      <c r="Q118" t="str">
        <f>VLOOKUP(A118,'[1]MAIN-101'!$B$8:$D$783,3,FALSE)</f>
        <v>1894</v>
      </c>
    </row>
    <row r="119" spans="1:17">
      <c r="A119" t="s">
        <v>2459</v>
      </c>
      <c r="B119" t="str">
        <f t="shared" si="9"/>
        <v>Fund 01-2021-02-0113C</v>
      </c>
      <c r="C119" s="564" t="str">
        <f t="shared" si="10"/>
        <v>0000-00-0000</v>
      </c>
      <c r="D119" s="562">
        <f>SUMIFS('Import Process ORS'!L:L,'Import Process ORS'!E:E,'DV List for import'!C119)</f>
        <v>0</v>
      </c>
      <c r="E119" t="s">
        <v>2675</v>
      </c>
      <c r="F119" t="str">
        <f>VLOOKUP(A119,'[1]MAIN-101'!$B$13:$M$787,4,FALSE)</f>
        <v>Angelito Cagulada</v>
      </c>
      <c r="G119" t="str">
        <f>VLOOKUP(A119,'[1]MAIN-101'!$B$13:$M$787,12,FALSE)</f>
        <v>Payment of Honorarium of panelist during BIP Presentation on September 21-23, 2020(KMME Online Session Batch 1</v>
      </c>
      <c r="H119" s="562" t="e">
        <f>SUMIFS('[1]MAIN-101'!$Z$1:$Z$3000,'[1]MAIN-101'!$X$1:$X$3000,A119)</f>
        <v>#VALUE!</v>
      </c>
      <c r="I119" s="562" t="s">
        <v>392</v>
      </c>
      <c r="J119" t="s">
        <v>2681</v>
      </c>
      <c r="K119" t="s">
        <v>2679</v>
      </c>
      <c r="L119" s="564" t="s">
        <v>2666</v>
      </c>
      <c r="M119" s="562">
        <f>SUMIFS('Recon of ORS and DV'!D:D,'Recon of ORS and DV'!B:B,'DV List for import'!A119)</f>
        <v>0</v>
      </c>
      <c r="N119" s="276" t="e">
        <f t="shared" si="5"/>
        <v>#VALUE!</v>
      </c>
      <c r="O119" t="s">
        <v>392</v>
      </c>
      <c r="P119" t="str">
        <f>VLOOKUP(A119,'[1]MAIN-101'!$B$8:$D$783,2,FALSE)</f>
        <v>12</v>
      </c>
      <c r="Q119" t="str">
        <f>VLOOKUP(A119,'[1]MAIN-101'!$B$8:$D$783,3,FALSE)</f>
        <v>1896</v>
      </c>
    </row>
    <row r="120" spans="1:17">
      <c r="A120" t="s">
        <v>2460</v>
      </c>
      <c r="B120" t="str">
        <f t="shared" si="9"/>
        <v>Fund 01-2021-02-0113D</v>
      </c>
      <c r="C120" s="564" t="str">
        <f t="shared" si="10"/>
        <v>0000-00-0000</v>
      </c>
      <c r="D120" s="562">
        <f>SUMIFS('Import Process ORS'!L:L,'Import Process ORS'!E:E,'DV List for import'!C120)</f>
        <v>0</v>
      </c>
      <c r="E120" t="s">
        <v>2675</v>
      </c>
      <c r="F120" t="str">
        <f>VLOOKUP(A120,'[1]MAIN-101'!$B$13:$M$787,4,FALSE)</f>
        <v>Maximo R. Yap</v>
      </c>
      <c r="G120" t="str">
        <f>VLOOKUP(A120,'[1]MAIN-101'!$B$13:$M$787,12,FALSE)</f>
        <v>Payment of Honorarium of panelist during BIP Presentation on September 21-23, 2020(KMME Online Session Batch 1</v>
      </c>
      <c r="H120" s="562" t="e">
        <f>SUMIFS('[1]MAIN-101'!$Z$1:$Z$3000,'[1]MAIN-101'!$X$1:$X$3000,A120)</f>
        <v>#VALUE!</v>
      </c>
      <c r="I120" s="562" t="s">
        <v>392</v>
      </c>
      <c r="J120" t="s">
        <v>2681</v>
      </c>
      <c r="K120" t="s">
        <v>2679</v>
      </c>
      <c r="L120" s="564" t="s">
        <v>2666</v>
      </c>
      <c r="M120" s="562">
        <f>SUMIFS('Recon of ORS and DV'!D:D,'Recon of ORS and DV'!B:B,'DV List for import'!A120)</f>
        <v>0</v>
      </c>
      <c r="N120" s="276" t="e">
        <f t="shared" si="5"/>
        <v>#VALUE!</v>
      </c>
      <c r="O120" t="s">
        <v>392</v>
      </c>
      <c r="P120" t="str">
        <f>VLOOKUP(A120,'[1]MAIN-101'!$B$8:$D$783,2,FALSE)</f>
        <v>12</v>
      </c>
      <c r="Q120" t="str">
        <f>VLOOKUP(A120,'[1]MAIN-101'!$B$8:$D$783,3,FALSE)</f>
        <v>1897</v>
      </c>
    </row>
    <row r="121" spans="1:17">
      <c r="A121" t="s">
        <v>2461</v>
      </c>
      <c r="B121" t="str">
        <f t="shared" si="9"/>
        <v>Fund 01-2021-02-0113E</v>
      </c>
      <c r="C121" s="564" t="str">
        <f t="shared" si="10"/>
        <v>0000-00-0000</v>
      </c>
      <c r="D121" s="562">
        <f>SUMIFS('Import Process ORS'!L:L,'Import Process ORS'!E:E,'DV List for import'!C121)</f>
        <v>0</v>
      </c>
      <c r="E121" t="s">
        <v>2675</v>
      </c>
      <c r="F121" t="str">
        <f>VLOOKUP(A121,'[1]MAIN-101'!$B$13:$M$787,4,FALSE)</f>
        <v>Kamile Angelie  Mabano</v>
      </c>
      <c r="G121" t="str">
        <f>VLOOKUP(A121,'[1]MAIN-101'!$B$13:$M$787,12,FALSE)</f>
        <v>Payment of Honorarium of panelist during BIP Presentation on September 21-23, 2020(KMME Online Session Batch 1</v>
      </c>
      <c r="H121" s="562" t="e">
        <f>SUMIFS('[1]MAIN-101'!$Z$1:$Z$3000,'[1]MAIN-101'!$X$1:$X$3000,A121)</f>
        <v>#VALUE!</v>
      </c>
      <c r="I121" s="562" t="s">
        <v>392</v>
      </c>
      <c r="J121" t="s">
        <v>2681</v>
      </c>
      <c r="K121" t="s">
        <v>2679</v>
      </c>
      <c r="L121" s="564" t="s">
        <v>2666</v>
      </c>
      <c r="M121" s="562">
        <f>SUMIFS('Recon of ORS and DV'!D:D,'Recon of ORS and DV'!B:B,'DV List for import'!A121)</f>
        <v>0</v>
      </c>
      <c r="N121" s="276" t="e">
        <f t="shared" si="5"/>
        <v>#VALUE!</v>
      </c>
      <c r="O121" t="s">
        <v>392</v>
      </c>
      <c r="P121" t="str">
        <f>VLOOKUP(A121,'[1]MAIN-101'!$B$8:$D$783,2,FALSE)</f>
        <v>12</v>
      </c>
      <c r="Q121" t="str">
        <f>VLOOKUP(A121,'[1]MAIN-101'!$B$8:$D$783,3,FALSE)</f>
        <v>1898</v>
      </c>
    </row>
    <row r="122" spans="1:17">
      <c r="A122" t="s">
        <v>2462</v>
      </c>
      <c r="B122" t="str">
        <f t="shared" si="9"/>
        <v>Fund 01-2021-02-0113F</v>
      </c>
      <c r="C122" s="564" t="str">
        <f t="shared" si="10"/>
        <v>0000-00-0000</v>
      </c>
      <c r="D122" s="562">
        <f>SUMIFS('Import Process ORS'!L:L,'Import Process ORS'!E:E,'DV List for import'!C122)</f>
        <v>0</v>
      </c>
      <c r="E122" t="s">
        <v>2675</v>
      </c>
      <c r="F122" t="str">
        <f>VLOOKUP(A122,'[1]MAIN-101'!$B$13:$M$787,4,FALSE)</f>
        <v>Vonne Vincent Gador</v>
      </c>
      <c r="G122" t="str">
        <f>VLOOKUP(A122,'[1]MAIN-101'!$B$13:$M$787,12,FALSE)</f>
        <v>Payment of Honorarium of panelist during BIP Presentation on September 21-23, 2020(KMME Online Session Batch 1</v>
      </c>
      <c r="H122" s="562" t="e">
        <f>SUMIFS('[1]MAIN-101'!$Z$1:$Z$3000,'[1]MAIN-101'!$X$1:$X$3000,A122)</f>
        <v>#VALUE!</v>
      </c>
      <c r="I122" s="562" t="s">
        <v>392</v>
      </c>
      <c r="J122" t="s">
        <v>2681</v>
      </c>
      <c r="K122" t="s">
        <v>2679</v>
      </c>
      <c r="L122" s="564" t="s">
        <v>2666</v>
      </c>
      <c r="M122" s="562">
        <f>SUMIFS('Recon of ORS and DV'!D:D,'Recon of ORS and DV'!B:B,'DV List for import'!A122)</f>
        <v>0</v>
      </c>
      <c r="N122" s="276" t="e">
        <f t="shared" si="5"/>
        <v>#VALUE!</v>
      </c>
      <c r="O122" t="s">
        <v>392</v>
      </c>
      <c r="P122" t="str">
        <f>VLOOKUP(A122,'[1]MAIN-101'!$B$8:$D$783,2,FALSE)</f>
        <v>12</v>
      </c>
      <c r="Q122" t="str">
        <f>VLOOKUP(A122,'[1]MAIN-101'!$B$8:$D$783,3,FALSE)</f>
        <v>1899</v>
      </c>
    </row>
    <row r="123" spans="1:17">
      <c r="A123" t="s">
        <v>2463</v>
      </c>
      <c r="B123" t="str">
        <f t="shared" si="9"/>
        <v>Fund 01-2021-02-0113G</v>
      </c>
      <c r="C123" s="564" t="str">
        <f t="shared" si="10"/>
        <v>0000-00-0000</v>
      </c>
      <c r="D123" s="562">
        <f>SUMIFS('Import Process ORS'!L:L,'Import Process ORS'!E:E,'DV List for import'!C123)</f>
        <v>0</v>
      </c>
      <c r="E123" t="s">
        <v>2675</v>
      </c>
      <c r="F123" t="str">
        <f>VLOOKUP(A123,'[1]MAIN-101'!$B$13:$M$787,4,FALSE)</f>
        <v>Gesila Laput</v>
      </c>
      <c r="G123" t="str">
        <f>VLOOKUP(A123,'[1]MAIN-101'!$B$13:$M$787,12,FALSE)</f>
        <v>Payment of Honorarium of panelist during BIP Presentation on September 21-23, 2020(KMME Online Session Batch 1</v>
      </c>
      <c r="H123" s="562" t="e">
        <f>SUMIFS('[1]MAIN-101'!$Z$1:$Z$3000,'[1]MAIN-101'!$X$1:$X$3000,A123)</f>
        <v>#VALUE!</v>
      </c>
      <c r="I123" s="562" t="s">
        <v>392</v>
      </c>
      <c r="J123" t="s">
        <v>2681</v>
      </c>
      <c r="K123" t="s">
        <v>2679</v>
      </c>
      <c r="L123" s="564" t="s">
        <v>2666</v>
      </c>
      <c r="M123" s="562">
        <f>SUMIFS('Recon of ORS and DV'!D:D,'Recon of ORS and DV'!B:B,'DV List for import'!A123)</f>
        <v>0</v>
      </c>
      <c r="N123" s="276" t="e">
        <f t="shared" si="5"/>
        <v>#VALUE!</v>
      </c>
      <c r="O123" t="s">
        <v>392</v>
      </c>
      <c r="P123" t="str">
        <f>VLOOKUP(A123,'[1]MAIN-101'!$B$8:$D$783,2,FALSE)</f>
        <v>12</v>
      </c>
      <c r="Q123" t="str">
        <f>VLOOKUP(A123,'[1]MAIN-101'!$B$8:$D$783,3,FALSE)</f>
        <v>1907</v>
      </c>
    </row>
    <row r="124" spans="1:17">
      <c r="A124" t="s">
        <v>2464</v>
      </c>
      <c r="B124" t="str">
        <f t="shared" si="9"/>
        <v>Fund 01-2021-02-0114</v>
      </c>
      <c r="C124" s="564" t="str">
        <f t="shared" si="10"/>
        <v>0000-00-0000</v>
      </c>
      <c r="D124" s="562">
        <f>SUMIFS('Import Process ORS'!L:L,'Import Process ORS'!E:E,'DV List for import'!C124)</f>
        <v>0</v>
      </c>
      <c r="E124" t="s">
        <v>2675</v>
      </c>
      <c r="F124" t="str">
        <f>VLOOKUP(A124,'[1]MAIN-101'!$B$13:$M$787,4,FALSE)</f>
        <v>Essential Vows Weddings &amp; Events</v>
      </c>
      <c r="G124" t="str">
        <f>VLOOKUP(A124,'[1]MAIN-101'!$B$13:$M$787,12,FALSE)</f>
        <v>Payment for the event organizer during the conduct of Grand Launching of OTOP PH Hub at SM City Butuan on December 18, 2020</v>
      </c>
      <c r="H124" s="562" t="e">
        <f>SUMIFS('[1]MAIN-101'!$Z$1:$Z$3000,'[1]MAIN-101'!$X$1:$X$3000,A124)</f>
        <v>#VALUE!</v>
      </c>
      <c r="I124" s="562" t="s">
        <v>392</v>
      </c>
      <c r="J124" t="s">
        <v>2681</v>
      </c>
      <c r="K124" t="s">
        <v>2679</v>
      </c>
      <c r="L124" s="564" t="s">
        <v>2666</v>
      </c>
      <c r="M124" s="562">
        <f>SUMIFS('Recon of ORS and DV'!D:D,'Recon of ORS and DV'!B:B,'DV List for import'!A124)</f>
        <v>0</v>
      </c>
      <c r="N124" s="276" t="e">
        <f t="shared" si="5"/>
        <v>#VALUE!</v>
      </c>
      <c r="O124" t="s">
        <v>392</v>
      </c>
      <c r="P124" t="str">
        <f>VLOOKUP(A124,'[1]MAIN-101'!$B$8:$D$783,2,FALSE)</f>
        <v>12</v>
      </c>
      <c r="Q124" t="str">
        <f>VLOOKUP(A124,'[1]MAIN-101'!$B$8:$D$783,3,FALSE)</f>
        <v>1982</v>
      </c>
    </row>
    <row r="125" spans="1:17">
      <c r="A125" t="s">
        <v>2465</v>
      </c>
      <c r="B125" t="str">
        <f t="shared" si="9"/>
        <v>Fund 01-2021-02-0115</v>
      </c>
      <c r="C125" s="564" t="str">
        <f t="shared" si="10"/>
        <v>0000-00-0000</v>
      </c>
      <c r="D125" s="562">
        <f>SUMIFS('Import Process ORS'!L:L,'Import Process ORS'!E:E,'DV List for import'!C125)</f>
        <v>0</v>
      </c>
      <c r="E125" t="s">
        <v>2675</v>
      </c>
      <c r="F125" t="str">
        <f>VLOOKUP(A125,'[1]MAIN-101'!$B$13:$M$787,4,FALSE)</f>
        <v>Mercado's Sudlanan Atbp</v>
      </c>
      <c r="G125" t="str">
        <f>VLOOKUP(A125,'[1]MAIN-101'!$B$13:$M$787,12,FALSE)</f>
        <v>Payment for the committee tshirts during the grand launching of OTOP PH Hub at SM City Butuan on December 18, 2020</v>
      </c>
      <c r="H125" s="562" t="e">
        <f>SUMIFS('[1]MAIN-101'!$Z$1:$Z$3000,'[1]MAIN-101'!$X$1:$X$3000,A125)</f>
        <v>#VALUE!</v>
      </c>
      <c r="I125" s="562" t="s">
        <v>392</v>
      </c>
      <c r="J125" t="s">
        <v>2681</v>
      </c>
      <c r="K125" t="s">
        <v>2679</v>
      </c>
      <c r="L125" s="564" t="s">
        <v>2666</v>
      </c>
      <c r="M125" s="562">
        <f>SUMIFS('Recon of ORS and DV'!D:D,'Recon of ORS and DV'!B:B,'DV List for import'!A125)</f>
        <v>0</v>
      </c>
      <c r="N125" s="276" t="e">
        <f t="shared" si="5"/>
        <v>#VALUE!</v>
      </c>
      <c r="O125" t="s">
        <v>392</v>
      </c>
      <c r="P125" t="str">
        <f>VLOOKUP(A125,'[1]MAIN-101'!$B$8:$D$783,2,FALSE)</f>
        <v>12</v>
      </c>
      <c r="Q125" t="str">
        <f>VLOOKUP(A125,'[1]MAIN-101'!$B$8:$D$783,3,FALSE)</f>
        <v>1999</v>
      </c>
    </row>
    <row r="126" spans="1:17">
      <c r="A126" t="s">
        <v>2466</v>
      </c>
      <c r="B126" t="str">
        <f t="shared" si="9"/>
        <v>Fund 01-2021-02-0116</v>
      </c>
      <c r="C126" s="564" t="str">
        <f t="shared" si="10"/>
        <v>0000-00-0000</v>
      </c>
      <c r="D126" s="562">
        <f>SUMIFS('Import Process ORS'!L:L,'Import Process ORS'!E:E,'DV List for import'!C126)</f>
        <v>0</v>
      </c>
      <c r="E126" t="s">
        <v>2675</v>
      </c>
      <c r="F126" t="str">
        <f>VLOOKUP(A126,'[1]MAIN-101'!$B$13:$M$787,4,FALSE)</f>
        <v>New Era Audio and Light Sales &amp; Rental</v>
      </c>
      <c r="G126" t="str">
        <f>VLOOKUP(A126,'[1]MAIN-101'!$B$13:$M$787,12,FALSE)</f>
        <v>Payment for the sounds and lights during the conduct of grand launching of OTOP PH Hub at SM City Butuan on Dec 18, 2020.</v>
      </c>
      <c r="H126" s="562" t="e">
        <f>SUMIFS('[1]MAIN-101'!$Z$1:$Z$3000,'[1]MAIN-101'!$X$1:$X$3000,A126)</f>
        <v>#VALUE!</v>
      </c>
      <c r="I126" s="562" t="s">
        <v>392</v>
      </c>
      <c r="J126" t="s">
        <v>2681</v>
      </c>
      <c r="K126" t="s">
        <v>2679</v>
      </c>
      <c r="L126" s="564" t="s">
        <v>2666</v>
      </c>
      <c r="M126" s="562">
        <f>SUMIFS('Recon of ORS and DV'!D:D,'Recon of ORS and DV'!B:B,'DV List for import'!A126)</f>
        <v>0</v>
      </c>
      <c r="N126" s="276" t="e">
        <f t="shared" si="5"/>
        <v>#VALUE!</v>
      </c>
      <c r="O126" t="s">
        <v>392</v>
      </c>
      <c r="P126" t="str">
        <f>VLOOKUP(A126,'[1]MAIN-101'!$B$8:$D$783,2,FALSE)</f>
        <v>12</v>
      </c>
      <c r="Q126" t="str">
        <f>VLOOKUP(A126,'[1]MAIN-101'!$B$8:$D$783,3,FALSE)</f>
        <v>1983</v>
      </c>
    </row>
    <row r="127" spans="1:17">
      <c r="A127" t="s">
        <v>2467</v>
      </c>
      <c r="B127" t="str">
        <f t="shared" si="9"/>
        <v>Fund 01-2021-02-0117</v>
      </c>
      <c r="C127" s="564" t="str">
        <f t="shared" si="10"/>
        <v>0000-00-0000</v>
      </c>
      <c r="D127" s="562">
        <f>SUMIFS('Import Process ORS'!L:L,'Import Process ORS'!E:E,'DV List for import'!C127)</f>
        <v>0</v>
      </c>
      <c r="E127" t="s">
        <v>2675</v>
      </c>
      <c r="F127" t="str">
        <f>VLOOKUP(A127,'[1]MAIN-101'!$B$13:$M$787,4,FALSE)</f>
        <v>JCB Express Solution</v>
      </c>
      <c r="G127" t="str">
        <f>VLOOKUP(A127,'[1]MAIN-101'!$B$13:$M$787,12,FALSE)</f>
        <v>Payment for the tarpaulins during the grand launching of OTOP PH Hub at SM City Butuan Cityon December 18, 2020</v>
      </c>
      <c r="H127" s="562" t="e">
        <f>SUMIFS('[1]MAIN-101'!$Z$1:$Z$3000,'[1]MAIN-101'!$X$1:$X$3000,A127)</f>
        <v>#VALUE!</v>
      </c>
      <c r="I127" s="562" t="s">
        <v>392</v>
      </c>
      <c r="J127" t="s">
        <v>2681</v>
      </c>
      <c r="K127" t="s">
        <v>2679</v>
      </c>
      <c r="L127" s="564" t="s">
        <v>2666</v>
      </c>
      <c r="M127" s="562">
        <f>SUMIFS('Recon of ORS and DV'!D:D,'Recon of ORS and DV'!B:B,'DV List for import'!A127)</f>
        <v>0</v>
      </c>
      <c r="N127" s="276" t="e">
        <f t="shared" si="5"/>
        <v>#VALUE!</v>
      </c>
      <c r="O127" t="s">
        <v>392</v>
      </c>
      <c r="P127" t="str">
        <f>VLOOKUP(A127,'[1]MAIN-101'!$B$8:$D$783,2,FALSE)</f>
        <v>12</v>
      </c>
      <c r="Q127" t="str">
        <f>VLOOKUP(A127,'[1]MAIN-101'!$B$8:$D$783,3,FALSE)</f>
        <v>2001</v>
      </c>
    </row>
    <row r="128" spans="1:17">
      <c r="A128" t="s">
        <v>2468</v>
      </c>
      <c r="B128" t="str">
        <f t="shared" si="9"/>
        <v>Fund 01-2021-02-0118</v>
      </c>
      <c r="C128" s="564" t="str">
        <f t="shared" si="10"/>
        <v>0000-00-0000</v>
      </c>
      <c r="D128" s="562">
        <f>SUMIFS('Import Process ORS'!L:L,'Import Process ORS'!E:E,'DV List for import'!C128)</f>
        <v>0</v>
      </c>
      <c r="E128" t="s">
        <v>2675</v>
      </c>
      <c r="F128" t="str">
        <f>VLOOKUP(A128,'[1]MAIN-101'!$B$13:$M$787,4,FALSE)</f>
        <v>Dreamco MPC</v>
      </c>
      <c r="G128" t="str">
        <f>VLOOKUP(A128,'[1]MAIN-101'!$B$13:$M$787,12,FALSE)</f>
        <v>Remittance of coop deductions from PDI( additional remittance) for the month of January 2021</v>
      </c>
      <c r="H128" s="562" t="e">
        <f>SUMIFS('[1]MAIN-101'!$Z$1:$Z$3000,'[1]MAIN-101'!$X$1:$X$3000,A128)</f>
        <v>#VALUE!</v>
      </c>
      <c r="I128" s="562" t="s">
        <v>2662</v>
      </c>
      <c r="J128" t="s">
        <v>2053</v>
      </c>
      <c r="K128" t="s">
        <v>2680</v>
      </c>
      <c r="L128" s="564" t="s">
        <v>2666</v>
      </c>
      <c r="M128" s="562">
        <f>SUMIFS('Recon of ORS and DV'!D:D,'Recon of ORS and DV'!B:B,'DV List for import'!A128)</f>
        <v>0</v>
      </c>
      <c r="N128" s="276" t="e">
        <f t="shared" si="5"/>
        <v>#VALUE!</v>
      </c>
      <c r="O128" t="s">
        <v>2662</v>
      </c>
    </row>
    <row r="129" spans="1:17">
      <c r="A129" t="s">
        <v>2469</v>
      </c>
      <c r="B129" t="str">
        <f t="shared" si="9"/>
        <v>Fund 01-2021-02-0119</v>
      </c>
      <c r="C129" s="564" t="str">
        <f t="shared" si="10"/>
        <v>0000-00-0000</v>
      </c>
      <c r="D129" s="562">
        <f>SUMIFS('Import Process ORS'!L:L,'Import Process ORS'!E:E,'DV List for import'!C129)</f>
        <v>0</v>
      </c>
      <c r="E129" t="s">
        <v>2675</v>
      </c>
      <c r="F129" t="str">
        <f>VLOOKUP(A129,'[1]MAIN-101'!$B$13:$M$787,4,FALSE)</f>
        <v>PHIC- Butuan City</v>
      </c>
      <c r="G129" t="str">
        <f>VLOOKUP(A129,'[1]MAIN-101'!$B$13:$M$787,12,FALSE)</f>
        <v>Remittance of PHIC premiums ( EE &amp; ER share) of newly hired employee, Ms. Maribel P. Timogan for the month of January 2021</v>
      </c>
      <c r="H129" s="562" t="e">
        <f>SUMIFS('[1]MAIN-101'!$Z$1:$Z$3000,'[1]MAIN-101'!$X$1:$X$3000,A129)</f>
        <v>#VALUE!</v>
      </c>
      <c r="I129" s="562" t="s">
        <v>2662</v>
      </c>
      <c r="J129" t="s">
        <v>2053</v>
      </c>
      <c r="K129" t="s">
        <v>2680</v>
      </c>
      <c r="L129" s="564" t="s">
        <v>2666</v>
      </c>
      <c r="M129" s="562">
        <f>SUMIFS('Recon of ORS and DV'!D:D,'Recon of ORS and DV'!B:B,'DV List for import'!A129)</f>
        <v>0</v>
      </c>
      <c r="N129" s="276" t="e">
        <f t="shared" si="5"/>
        <v>#VALUE!</v>
      </c>
      <c r="O129" t="s">
        <v>2662</v>
      </c>
    </row>
    <row r="130" spans="1:17">
      <c r="A130" t="s">
        <v>2470</v>
      </c>
      <c r="B130" t="str">
        <f t="shared" si="9"/>
        <v>Fund 01-2021-02-0120</v>
      </c>
      <c r="C130" s="564" t="str">
        <f t="shared" si="10"/>
        <v>0000-00-0000</v>
      </c>
      <c r="D130" s="562">
        <f>SUMIFS('Import Process ORS'!L:L,'Import Process ORS'!E:E,'DV List for import'!C130)</f>
        <v>0</v>
      </c>
      <c r="E130" t="s">
        <v>2675</v>
      </c>
      <c r="F130" t="str">
        <f>VLOOKUP(A130,'[1]MAIN-101'!$B$13:$M$787,4,FALSE)</f>
        <v>HDMF-Butuan City</v>
      </c>
      <c r="G130" t="str">
        <f>VLOOKUP(A130,'[1]MAIN-101'!$B$13:$M$787,12,FALSE)</f>
        <v>Remittance of HDMF premiums ( EE &amp; ER share) of newly hired employee, Ms. Maribel P. Timogan for the month of January 2021</v>
      </c>
      <c r="H130" s="562" t="e">
        <f>SUMIFS('[1]MAIN-101'!$Z$1:$Z$3000,'[1]MAIN-101'!$X$1:$X$3000,A130)</f>
        <v>#VALUE!</v>
      </c>
      <c r="I130" s="562" t="s">
        <v>2662</v>
      </c>
      <c r="J130" t="s">
        <v>2053</v>
      </c>
      <c r="K130" t="s">
        <v>2680</v>
      </c>
      <c r="L130" s="564" t="s">
        <v>2666</v>
      </c>
      <c r="M130" s="562">
        <f>SUMIFS('Recon of ORS and DV'!D:D,'Recon of ORS and DV'!B:B,'DV List for import'!A130)</f>
        <v>0</v>
      </c>
      <c r="N130" s="276" t="e">
        <f t="shared" si="5"/>
        <v>#VALUE!</v>
      </c>
      <c r="O130" t="s">
        <v>2662</v>
      </c>
    </row>
    <row r="131" spans="1:17">
      <c r="A131" t="s">
        <v>2471</v>
      </c>
      <c r="B131" t="str">
        <f t="shared" si="9"/>
        <v>Fund 01-2021-02-0121</v>
      </c>
      <c r="C131" s="564" t="str">
        <f t="shared" si="10"/>
        <v>0000-00-0000</v>
      </c>
      <c r="D131" s="562">
        <f>SUMIFS('Import Process ORS'!L:L,'Import Process ORS'!E:E,'DV List for import'!C131)</f>
        <v>0</v>
      </c>
      <c r="E131" t="s">
        <v>2675</v>
      </c>
      <c r="F131" t="str">
        <f>VLOOKUP(A131,'[1]MAIN-101'!$B$13:$M$787,4,FALSE)</f>
        <v>Land Bank of the Philippines</v>
      </c>
      <c r="G131" t="str">
        <f>VLOOKUP(A131,'[1]MAIN-101'!$B$13:$M$787,12,FALSE)</f>
        <v>Gratuity Pay for RAPID Staff</v>
      </c>
      <c r="H131" s="562" t="e">
        <f>SUMIFS('[1]MAIN-101'!$Z$1:$Z$3000,'[1]MAIN-101'!$X$1:$X$3000,A131)</f>
        <v>#VALUE!</v>
      </c>
      <c r="I131" s="562" t="s">
        <v>392</v>
      </c>
      <c r="J131" t="s">
        <v>2681</v>
      </c>
      <c r="K131" t="s">
        <v>2679</v>
      </c>
      <c r="L131" s="564" t="s">
        <v>2666</v>
      </c>
      <c r="M131" s="562">
        <f>SUMIFS('Recon of ORS and DV'!D:D,'Recon of ORS and DV'!B:B,'DV List for import'!A131)</f>
        <v>0</v>
      </c>
      <c r="N131" s="276" t="e">
        <f t="shared" si="5"/>
        <v>#VALUE!</v>
      </c>
      <c r="O131" t="s">
        <v>392</v>
      </c>
      <c r="P131" t="str">
        <f>VLOOKUP(A131,'[1]MAIN-101'!$B$8:$D$783,2,FALSE)</f>
        <v>12</v>
      </c>
      <c r="Q131" t="str">
        <f>VLOOKUP(A131,'[1]MAIN-101'!$B$8:$D$783,3,FALSE)</f>
        <v>2010</v>
      </c>
    </row>
    <row r="132" spans="1:17">
      <c r="A132" t="s">
        <v>2472</v>
      </c>
      <c r="B132" t="str">
        <f t="shared" si="9"/>
        <v>Fund 01-2021-02-0122</v>
      </c>
      <c r="C132" s="564" t="str">
        <f t="shared" si="10"/>
        <v>0000-00-0000</v>
      </c>
      <c r="D132" s="562">
        <f>SUMIFS('Import Process ORS'!L:L,'Import Process ORS'!E:E,'DV List for import'!C132)</f>
        <v>0</v>
      </c>
      <c r="E132" t="s">
        <v>2675</v>
      </c>
      <c r="F132" t="str">
        <f>VLOOKUP(A132,'[1]MAIN-101'!$B$13:$M$787,4,FALSE)</f>
        <v>GSIS</v>
      </c>
      <c r="G132" t="str">
        <f>VLOOKUP(A132,'[1]MAIN-101'!$B$13:$M$787,12,FALSE)</f>
        <v>Remittance of HDMF premiums ( EE &amp; ER share) of newly hired employee, Ms. Maribel P. Timogan for the month of January 2021</v>
      </c>
      <c r="H132" s="562" t="e">
        <f>SUMIFS('[1]MAIN-101'!$Z$1:$Z$3000,'[1]MAIN-101'!$X$1:$X$3000,A132)</f>
        <v>#VALUE!</v>
      </c>
      <c r="I132" s="562" t="s">
        <v>2662</v>
      </c>
      <c r="J132" t="s">
        <v>2053</v>
      </c>
      <c r="K132" t="s">
        <v>2680</v>
      </c>
      <c r="L132" s="564" t="s">
        <v>2666</v>
      </c>
      <c r="M132" s="562">
        <f>SUMIFS('Recon of ORS and DV'!D:D,'Recon of ORS and DV'!B:B,'DV List for import'!A132)</f>
        <v>0</v>
      </c>
      <c r="N132" s="276" t="e">
        <f t="shared" ref="N132:N195" si="11">H132-M132</f>
        <v>#VALUE!</v>
      </c>
      <c r="O132" t="s">
        <v>2662</v>
      </c>
    </row>
    <row r="133" spans="1:17">
      <c r="A133" t="s">
        <v>2473</v>
      </c>
      <c r="B133" t="str">
        <f t="shared" si="9"/>
        <v>Fund 01-2021-02-0123</v>
      </c>
      <c r="C133" s="564" t="str">
        <f t="shared" si="10"/>
        <v>0000-00-0000</v>
      </c>
      <c r="D133" s="562">
        <f>SUMIFS('Import Process ORS'!L:L,'Import Process ORS'!E:E,'DV List for import'!C133)</f>
        <v>0</v>
      </c>
      <c r="E133" t="s">
        <v>2675</v>
      </c>
      <c r="F133" t="str">
        <f>VLOOKUP(A133,'[1]MAIN-101'!$B$13:$M$787,4,FALSE)</f>
        <v>DTI-Employees Union</v>
      </c>
      <c r="G133" t="str">
        <f>VLOOKUP(A133,'[1]MAIN-101'!$B$13:$M$787,12,FALSE)</f>
        <v>Remittance of DTI EU membership and EU dues premium of newly hired employee, Ms. Maribel P. Timogan for the month of January 2021</v>
      </c>
      <c r="H133" s="562" t="e">
        <f>SUMIFS('[1]MAIN-101'!$Z$1:$Z$3000,'[1]MAIN-101'!$X$1:$X$3000,A133)</f>
        <v>#VALUE!</v>
      </c>
      <c r="I133" s="562" t="s">
        <v>2662</v>
      </c>
      <c r="J133" t="s">
        <v>2053</v>
      </c>
      <c r="K133" t="s">
        <v>2680</v>
      </c>
      <c r="L133" s="564" t="s">
        <v>2666</v>
      </c>
      <c r="M133" s="562">
        <f>SUMIFS('Recon of ORS and DV'!D:D,'Recon of ORS and DV'!B:B,'DV List for import'!A133)</f>
        <v>0</v>
      </c>
      <c r="N133" s="276" t="e">
        <f t="shared" si="11"/>
        <v>#VALUE!</v>
      </c>
      <c r="O133" t="s">
        <v>2662</v>
      </c>
    </row>
    <row r="134" spans="1:17">
      <c r="A134" t="s">
        <v>2474</v>
      </c>
      <c r="B134" t="str">
        <f t="shared" si="9"/>
        <v>Fund 01-2021-02-0124</v>
      </c>
      <c r="C134" s="564" t="str">
        <f t="shared" si="10"/>
        <v>0000-00-0000</v>
      </c>
      <c r="D134" s="562">
        <f>SUMIFS('Import Process ORS'!L:L,'Import Process ORS'!E:E,'DV List for import'!C134)</f>
        <v>0</v>
      </c>
      <c r="E134" t="s">
        <v>2675</v>
      </c>
      <c r="F134" t="str">
        <f>VLOOKUP(A134,'[1]MAIN-101'!$B$13:$M$787,4,FALSE)</f>
        <v>DTI-Provident Fund</v>
      </c>
      <c r="G134" t="str">
        <f>VLOOKUP(A134,'[1]MAIN-101'!$B$13:$M$787,12,FALSE)</f>
        <v>Remittance of provident fund premium and membership fee of newly hired employee, Ms. Maribel P. Timogan for the month of January 2021</v>
      </c>
      <c r="H134" s="562" t="e">
        <f>SUMIFS('[1]MAIN-101'!$Z$1:$Z$3000,'[1]MAIN-101'!$X$1:$X$3000,A134)</f>
        <v>#VALUE!</v>
      </c>
      <c r="I134" s="562" t="s">
        <v>2662</v>
      </c>
      <c r="J134" t="s">
        <v>2053</v>
      </c>
      <c r="K134" t="s">
        <v>2680</v>
      </c>
      <c r="L134" s="564" t="s">
        <v>2666</v>
      </c>
      <c r="M134" s="562">
        <f>SUMIFS('Recon of ORS and DV'!D:D,'Recon of ORS and DV'!B:B,'DV List for import'!A134)</f>
        <v>0</v>
      </c>
      <c r="N134" s="276" t="e">
        <f t="shared" si="11"/>
        <v>#VALUE!</v>
      </c>
      <c r="O134" t="s">
        <v>2662</v>
      </c>
    </row>
    <row r="135" spans="1:17">
      <c r="A135" t="s">
        <v>2475</v>
      </c>
      <c r="B135" t="str">
        <f t="shared" si="9"/>
        <v>Fund 01-2021-02-0125</v>
      </c>
      <c r="C135" s="564" t="str">
        <f t="shared" si="10"/>
        <v>0000-00-0000</v>
      </c>
      <c r="D135" s="562">
        <f>SUMIFS('Import Process ORS'!L:L,'Import Process ORS'!E:E,'DV List for import'!C135)</f>
        <v>0</v>
      </c>
      <c r="E135" t="s">
        <v>2675</v>
      </c>
      <c r="F135" t="str">
        <f>VLOOKUP(A135,'[1]MAIN-101'!$B$13:$M$787,4,FALSE)</f>
        <v>DTI-MDBF</v>
      </c>
      <c r="G135" t="str">
        <f>VLOOKUP(A135,'[1]MAIN-101'!$B$13:$M$787,12,FALSE)</f>
        <v>Remittance of MDBF premium of newly hired employee, Ms. Maribel P. Timogan for the month of January 2021</v>
      </c>
      <c r="H135" s="562" t="e">
        <f>SUMIFS('[1]MAIN-101'!$Z$1:$Z$3000,'[1]MAIN-101'!$X$1:$X$3000,A135)</f>
        <v>#VALUE!</v>
      </c>
      <c r="I135" s="562" t="s">
        <v>2662</v>
      </c>
      <c r="J135" t="s">
        <v>2053</v>
      </c>
      <c r="K135" t="s">
        <v>2680</v>
      </c>
      <c r="L135" s="564" t="s">
        <v>2666</v>
      </c>
      <c r="M135" s="562">
        <f>SUMIFS('Recon of ORS and DV'!D:D,'Recon of ORS and DV'!B:B,'DV List for import'!A135)</f>
        <v>0</v>
      </c>
      <c r="N135" s="276" t="e">
        <f t="shared" si="11"/>
        <v>#VALUE!</v>
      </c>
      <c r="O135" t="s">
        <v>2662</v>
      </c>
    </row>
    <row r="136" spans="1:17">
      <c r="A136" t="s">
        <v>2476</v>
      </c>
      <c r="B136" t="str">
        <f t="shared" si="9"/>
        <v>Fund 01-2021-02-0126</v>
      </c>
      <c r="C136" s="564" t="str">
        <f t="shared" si="10"/>
        <v>0000-00-0000</v>
      </c>
      <c r="D136" s="562">
        <f>SUMIFS('Import Process ORS'!L:L,'Import Process ORS'!E:E,'DV List for import'!C136)</f>
        <v>0</v>
      </c>
      <c r="E136" t="s">
        <v>2675</v>
      </c>
      <c r="F136" t="str">
        <f>VLOOKUP(A136,'[1]MAIN-101'!$B$13:$M$787,4,FALSE)</f>
        <v>Almont Hotel Inc.</v>
      </c>
      <c r="G136" t="str">
        <f>VLOOKUP(A136,'[1]MAIN-101'!$B$13:$M$787,12,FALSE)</f>
        <v>Payment for packed lunched re: OTOP Ph Hub (Food) launching last December 18, 2020</v>
      </c>
      <c r="H136" s="562" t="e">
        <f>SUMIFS('[1]MAIN-101'!$Z$1:$Z$3000,'[1]MAIN-101'!$X$1:$X$3000,A136)</f>
        <v>#VALUE!</v>
      </c>
      <c r="I136" s="562" t="s">
        <v>392</v>
      </c>
      <c r="J136" t="s">
        <v>2681</v>
      </c>
      <c r="K136" t="s">
        <v>2679</v>
      </c>
      <c r="L136" s="564" t="s">
        <v>2666</v>
      </c>
      <c r="M136" s="562">
        <f>SUMIFS('Recon of ORS and DV'!D:D,'Recon of ORS and DV'!B:B,'DV List for import'!A136)</f>
        <v>0</v>
      </c>
      <c r="N136" s="276" t="e">
        <f t="shared" si="11"/>
        <v>#VALUE!</v>
      </c>
      <c r="O136" t="s">
        <v>392</v>
      </c>
      <c r="P136" t="str">
        <f>VLOOKUP(A136,'[1]MAIN-101'!$B$8:$D$783,2,FALSE)</f>
        <v>12</v>
      </c>
      <c r="Q136" t="str">
        <f>VLOOKUP(A136,'[1]MAIN-101'!$B$8:$D$783,3,FALSE)</f>
        <v>2025</v>
      </c>
    </row>
    <row r="137" spans="1:17">
      <c r="A137" t="s">
        <v>2477</v>
      </c>
      <c r="B137" t="str">
        <f t="shared" si="9"/>
        <v>Fund 01-2021-02-0127</v>
      </c>
      <c r="C137" s="564" t="str">
        <f t="shared" si="10"/>
        <v>0000-00-0000</v>
      </c>
      <c r="D137" s="562">
        <f>SUMIFS('Import Process ORS'!L:L,'Import Process ORS'!E:E,'DV List for import'!C137)</f>
        <v>0</v>
      </c>
      <c r="E137" t="s">
        <v>2675</v>
      </c>
      <c r="F137" t="str">
        <f>VLOOKUP(A137,'[1]MAIN-101'!$B$13:$M$787,4,FALSE)</f>
        <v>PHIC- Butuan City</v>
      </c>
      <c r="G137" t="str">
        <f>VLOOKUP(A137,'[1]MAIN-101'!$B$13:$M$787,12,FALSE)</f>
        <v>Remittance of premiums (EE &amp; ER share) and loans payment for the month of January 2021</v>
      </c>
      <c r="H137" s="562" t="e">
        <f>SUMIFS('[1]MAIN-101'!$Z$1:$Z$3000,'[1]MAIN-101'!$X$1:$X$3000,A137)</f>
        <v>#VALUE!</v>
      </c>
      <c r="I137" s="562" t="s">
        <v>2662</v>
      </c>
      <c r="J137" t="s">
        <v>2053</v>
      </c>
      <c r="K137" t="s">
        <v>2680</v>
      </c>
      <c r="L137" s="564" t="s">
        <v>2666</v>
      </c>
      <c r="M137" s="562">
        <f>SUMIFS('Recon of ORS and DV'!D:D,'Recon of ORS and DV'!B:B,'DV List for import'!A137)</f>
        <v>0</v>
      </c>
      <c r="N137" s="276" t="e">
        <f t="shared" si="11"/>
        <v>#VALUE!</v>
      </c>
      <c r="O137" t="s">
        <v>2662</v>
      </c>
    </row>
    <row r="138" spans="1:17">
      <c r="A138" t="s">
        <v>2478</v>
      </c>
      <c r="B138" t="str">
        <f t="shared" si="9"/>
        <v>Fund 01-2021-02-0128</v>
      </c>
      <c r="C138" s="564" t="str">
        <f t="shared" si="10"/>
        <v>0000-00-0000</v>
      </c>
      <c r="D138" s="562">
        <f>SUMIFS('Import Process ORS'!L:L,'Import Process ORS'!E:E,'DV List for import'!C138)</f>
        <v>0</v>
      </c>
      <c r="E138" t="s">
        <v>2675</v>
      </c>
      <c r="F138" t="str">
        <f>VLOOKUP(A138,'[1]MAIN-101'!$B$13:$M$787,4,FALSE)</f>
        <v>GSIS</v>
      </c>
      <c r="G138" t="str">
        <f>VLOOKUP(A138,'[1]MAIN-101'!$B$13:$M$787,12,FALSE)</f>
        <v>Remittance of premiums (EE &amp; ER share) and loans payment for the month of January 2021</v>
      </c>
      <c r="H138" s="562" t="e">
        <f>SUMIFS('[1]MAIN-101'!$Z$1:$Z$3000,'[1]MAIN-101'!$X$1:$X$3000,A138)</f>
        <v>#VALUE!</v>
      </c>
      <c r="I138" s="562" t="s">
        <v>2662</v>
      </c>
      <c r="J138" t="s">
        <v>2053</v>
      </c>
      <c r="K138" t="s">
        <v>2680</v>
      </c>
      <c r="L138" s="564" t="s">
        <v>2666</v>
      </c>
      <c r="M138" s="562">
        <f>SUMIFS('Recon of ORS and DV'!D:D,'Recon of ORS and DV'!B:B,'DV List for import'!A138)</f>
        <v>0</v>
      </c>
      <c r="N138" s="276" t="e">
        <f t="shared" si="11"/>
        <v>#VALUE!</v>
      </c>
      <c r="O138" t="s">
        <v>2662</v>
      </c>
    </row>
    <row r="139" spans="1:17">
      <c r="A139" t="s">
        <v>2479</v>
      </c>
      <c r="B139" t="str">
        <f t="shared" si="9"/>
        <v>Fund 01-2021-02-0129</v>
      </c>
      <c r="C139" s="564" t="str">
        <f t="shared" si="10"/>
        <v>0000-00-0000</v>
      </c>
      <c r="D139" s="562">
        <f>SUMIFS('Import Process ORS'!L:L,'Import Process ORS'!E:E,'DV List for import'!C139)</f>
        <v>0</v>
      </c>
      <c r="E139" t="s">
        <v>2675</v>
      </c>
      <c r="F139" t="str">
        <f>VLOOKUP(A139,'[1]MAIN-101'!$B$13:$M$787,4,FALSE)</f>
        <v>HDMF-Butuan City</v>
      </c>
      <c r="G139" t="str">
        <f>VLOOKUP(A139,'[1]MAIN-101'!$B$13:$M$787,12,FALSE)</f>
        <v>Remittance of premiums and loans payment for the month of January 2021</v>
      </c>
      <c r="H139" s="562" t="e">
        <f>SUMIFS('[1]MAIN-101'!$Z$1:$Z$3000,'[1]MAIN-101'!$X$1:$X$3000,A139)</f>
        <v>#VALUE!</v>
      </c>
      <c r="I139" s="562" t="s">
        <v>2662</v>
      </c>
      <c r="J139" t="s">
        <v>2053</v>
      </c>
      <c r="K139" t="s">
        <v>2680</v>
      </c>
      <c r="L139" s="564" t="s">
        <v>2666</v>
      </c>
      <c r="M139" s="562">
        <f>SUMIFS('Recon of ORS and DV'!D:D,'Recon of ORS and DV'!B:B,'DV List for import'!A139)</f>
        <v>0</v>
      </c>
      <c r="N139" s="276" t="e">
        <f t="shared" si="11"/>
        <v>#VALUE!</v>
      </c>
      <c r="O139" t="s">
        <v>2662</v>
      </c>
    </row>
    <row r="140" spans="1:17">
      <c r="A140" t="s">
        <v>2480</v>
      </c>
      <c r="B140" t="str">
        <f t="shared" si="9"/>
        <v>Fund 01-2021-02-0130</v>
      </c>
      <c r="C140" s="564" t="str">
        <f t="shared" si="10"/>
        <v>0000-00-0000</v>
      </c>
      <c r="D140" s="562">
        <f>SUMIFS('Import Process ORS'!L:L,'Import Process ORS'!E:E,'DV List for import'!C140)</f>
        <v>0</v>
      </c>
      <c r="E140" t="s">
        <v>2675</v>
      </c>
      <c r="F140" t="str">
        <f>VLOOKUP(A140,'[1]MAIN-101'!$B$13:$M$787,4,FALSE)</f>
        <v>DTI-Employees Union</v>
      </c>
      <c r="G140" t="str">
        <f>VLOOKUP(A140,'[1]MAIN-101'!$B$13:$M$787,12,FALSE)</f>
        <v>Remittance of DTI-EU dues of CARP employees for the month of January 2021</v>
      </c>
      <c r="H140" s="562" t="e">
        <f>SUMIFS('[1]MAIN-101'!$Z$1:$Z$3000,'[1]MAIN-101'!$X$1:$X$3000,A140)</f>
        <v>#VALUE!</v>
      </c>
      <c r="I140" s="562" t="s">
        <v>2662</v>
      </c>
      <c r="J140" t="s">
        <v>2053</v>
      </c>
      <c r="K140" t="s">
        <v>2680</v>
      </c>
      <c r="L140" s="564" t="s">
        <v>2666</v>
      </c>
      <c r="M140" s="562">
        <f>SUMIFS('Recon of ORS and DV'!D:D,'Recon of ORS and DV'!B:B,'DV List for import'!A140)</f>
        <v>0</v>
      </c>
      <c r="N140" s="276" t="e">
        <f t="shared" si="11"/>
        <v>#VALUE!</v>
      </c>
      <c r="O140" t="s">
        <v>2662</v>
      </c>
    </row>
    <row r="141" spans="1:17">
      <c r="A141" t="s">
        <v>2481</v>
      </c>
      <c r="B141" t="str">
        <f t="shared" si="9"/>
        <v>Fund 01-2021-02-0131</v>
      </c>
      <c r="C141" s="564" t="str">
        <f t="shared" si="10"/>
        <v>0000-00-0000</v>
      </c>
      <c r="D141" s="562">
        <f>SUMIFS('Import Process ORS'!L:L,'Import Process ORS'!E:E,'DV List for import'!C141)</f>
        <v>0</v>
      </c>
      <c r="E141" t="s">
        <v>2675</v>
      </c>
      <c r="F141" t="str">
        <f>VLOOKUP(A141,'[1]MAIN-101'!$B$13:$M$787,4,FALSE)</f>
        <v>DTI-MDBF</v>
      </c>
      <c r="G141" t="str">
        <f>VLOOKUP(A141,'[1]MAIN-101'!$B$13:$M$787,12,FALSE)</f>
        <v>Remittance of MDBF of CARP employees for the month of January 2021</v>
      </c>
      <c r="H141" s="562" t="e">
        <f>SUMIFS('[1]MAIN-101'!$Z$1:$Z$3000,'[1]MAIN-101'!$X$1:$X$3000,A141)</f>
        <v>#VALUE!</v>
      </c>
      <c r="I141" s="562" t="s">
        <v>2662</v>
      </c>
      <c r="J141" t="s">
        <v>2053</v>
      </c>
      <c r="K141" t="s">
        <v>2680</v>
      </c>
      <c r="L141" s="564" t="s">
        <v>2666</v>
      </c>
      <c r="M141" s="562">
        <f>SUMIFS('Recon of ORS and DV'!D:D,'Recon of ORS and DV'!B:B,'DV List for import'!A141)</f>
        <v>0</v>
      </c>
      <c r="N141" s="276" t="e">
        <f t="shared" si="11"/>
        <v>#VALUE!</v>
      </c>
      <c r="O141" t="s">
        <v>2662</v>
      </c>
    </row>
    <row r="142" spans="1:17">
      <c r="A142" t="s">
        <v>2482</v>
      </c>
      <c r="B142" t="str">
        <f t="shared" si="9"/>
        <v>Fund 01-2021-02-0132</v>
      </c>
      <c r="C142" s="564" t="str">
        <f t="shared" si="10"/>
        <v>0000-00-0000</v>
      </c>
      <c r="D142" s="562">
        <f>SUMIFS('Import Process ORS'!L:L,'Import Process ORS'!E:E,'DV List for import'!C142)</f>
        <v>0</v>
      </c>
      <c r="E142" t="s">
        <v>2675</v>
      </c>
      <c r="F142" t="str">
        <f>VLOOKUP(A142,'[1]MAIN-101'!$B$13:$M$787,4,FALSE)</f>
        <v>Dreamco MPC</v>
      </c>
      <c r="G142" t="str">
        <f>VLOOKUP(A142,'[1]MAIN-101'!$B$13:$M$787,12,FALSE)</f>
        <v>Remittance of coop deductions ( additional remittance) for the month of January 2021</v>
      </c>
      <c r="H142" s="562" t="e">
        <f>SUMIFS('[1]MAIN-101'!$Z$1:$Z$3000,'[1]MAIN-101'!$X$1:$X$3000,A142)</f>
        <v>#VALUE!</v>
      </c>
      <c r="I142" s="562" t="s">
        <v>2662</v>
      </c>
      <c r="J142" t="s">
        <v>2053</v>
      </c>
      <c r="K142" t="s">
        <v>2680</v>
      </c>
      <c r="L142" s="564" t="s">
        <v>2666</v>
      </c>
      <c r="M142" s="562">
        <f>SUMIFS('Recon of ORS and DV'!D:D,'Recon of ORS and DV'!B:B,'DV List for import'!A142)</f>
        <v>0</v>
      </c>
      <c r="N142" s="276" t="e">
        <f t="shared" si="11"/>
        <v>#VALUE!</v>
      </c>
      <c r="O142" t="s">
        <v>2662</v>
      </c>
    </row>
    <row r="143" spans="1:17">
      <c r="A143" t="s">
        <v>2088</v>
      </c>
      <c r="B143" t="str">
        <f t="shared" si="9"/>
        <v>Fund 01-2021-02-0133</v>
      </c>
      <c r="C143" s="562" t="e">
        <f>VLOOKUP(L143,'Import Process ORS'!$D$4:$E$1557,2,FALSE)</f>
        <v>#N/A</v>
      </c>
      <c r="D143" s="562">
        <f>SUMIFS('Import Process ORS'!L:L,'Import Process ORS'!E:E,'DV List for import'!C143)</f>
        <v>0</v>
      </c>
      <c r="E143" t="s">
        <v>2675</v>
      </c>
      <c r="F143" t="str">
        <f>VLOOKUP(A143,'[1]MAIN-101'!$B$13:$M$787,4,FALSE)</f>
        <v>Land Bank of the Philippines</v>
      </c>
      <c r="G143" t="str">
        <f>VLOOKUP(A143,'[1]MAIN-101'!$B$13:$M$787,12,FALSE)</f>
        <v>Payment for RATA for February 2021</v>
      </c>
      <c r="H143" s="562" t="e">
        <f>SUMIFS('[1]MAIN-101'!$Z$1:$Z$3000,'[1]MAIN-101'!$X$1:$X$3000,A143)</f>
        <v>#VALUE!</v>
      </c>
      <c r="I143" s="562" t="s">
        <v>2687</v>
      </c>
      <c r="J143" t="s">
        <v>2683</v>
      </c>
      <c r="K143" t="s">
        <v>2678</v>
      </c>
      <c r="L143" s="562" t="str">
        <f>VLOOKUP(A143,'Format for Import of DV'!$A$3:$S$1556,3,FALSE)</f>
        <v>037</v>
      </c>
      <c r="M143" s="562" t="e">
        <f>SUMIFS('Recon of ORS and DV'!D:D,'Recon of ORS and DV'!B:B,'DV List for import'!A143)</f>
        <v>#VALUE!</v>
      </c>
      <c r="N143" s="276" t="e">
        <f t="shared" si="11"/>
        <v>#VALUE!</v>
      </c>
    </row>
    <row r="144" spans="1:17">
      <c r="A144" t="s">
        <v>2483</v>
      </c>
      <c r="B144" t="str">
        <f t="shared" si="9"/>
        <v>Fund 01-2021-02-0134</v>
      </c>
      <c r="C144" s="564" t="str">
        <f>L144</f>
        <v>0000-00-0000</v>
      </c>
      <c r="D144" s="562">
        <f>SUMIFS('Import Process ORS'!L:L,'Import Process ORS'!E:E,'DV List for import'!C144)</f>
        <v>0</v>
      </c>
      <c r="E144" t="s">
        <v>2675</v>
      </c>
      <c r="F144" t="str">
        <f>VLOOKUP(A144,'[1]MAIN-101'!$B$13:$M$787,4,FALSE)</f>
        <v>DREAMCO</v>
      </c>
      <c r="G144" t="str">
        <f>VLOOKUP(A144,'[1]MAIN-101'!$B$13:$M$787,12,FALSE)</f>
        <v>Remittance coop deductions from RATA for February 2021</v>
      </c>
      <c r="H144" s="562" t="e">
        <f>SUMIFS('[1]MAIN-101'!$Z$1:$Z$3000,'[1]MAIN-101'!$X$1:$X$3000,A144)</f>
        <v>#VALUE!</v>
      </c>
      <c r="I144" s="562" t="s">
        <v>2662</v>
      </c>
      <c r="J144" t="s">
        <v>2053</v>
      </c>
      <c r="K144" t="s">
        <v>2680</v>
      </c>
      <c r="L144" s="564" t="s">
        <v>2666</v>
      </c>
      <c r="M144" s="562">
        <f>SUMIFS('Recon of ORS and DV'!D:D,'Recon of ORS and DV'!B:B,'DV List for import'!A144)</f>
        <v>0</v>
      </c>
      <c r="N144" s="276" t="e">
        <f t="shared" si="11"/>
        <v>#VALUE!</v>
      </c>
      <c r="O144" t="s">
        <v>2662</v>
      </c>
    </row>
    <row r="145" spans="1:14">
      <c r="A145" t="s">
        <v>2093</v>
      </c>
      <c r="B145" t="str">
        <f t="shared" si="9"/>
        <v>Fund 01-2021-02-0135</v>
      </c>
      <c r="C145" s="562" t="e">
        <f>VLOOKUP(L145,'Import Process ORS'!$D$4:$E$1557,2,FALSE)</f>
        <v>#N/A</v>
      </c>
      <c r="D145" s="562">
        <f>SUMIFS('Import Process ORS'!L:L,'Import Process ORS'!E:E,'DV List for import'!C145)</f>
        <v>0</v>
      </c>
      <c r="E145" t="s">
        <v>2675</v>
      </c>
      <c r="F145" t="str">
        <f>VLOOKUP(A145,'[1]MAIN-101'!$B$13:$M$787,4,FALSE)</f>
        <v>PD, DTI-AD N</v>
      </c>
      <c r="G145" t="str">
        <f>VLOOKUP(A145,'[1]MAIN-101'!$B$13:$M$787,12,FALSE)</f>
        <v>Advances to the SSF MOOE 2021 for the cosultancy/ repair of defective SSF Equipments</v>
      </c>
      <c r="H145" s="562" t="e">
        <f>SUMIFS('[1]MAIN-101'!$Z$1:$Z$3000,'[1]MAIN-101'!$X$1:$X$3000,A145)</f>
        <v>#VALUE!</v>
      </c>
      <c r="I145" s="562" t="s">
        <v>2685</v>
      </c>
      <c r="J145" t="s">
        <v>2683</v>
      </c>
      <c r="K145" t="s">
        <v>2678</v>
      </c>
      <c r="L145" s="562" t="str">
        <f>VLOOKUP(A145,'Format for Import of DV'!$A$3:$S$1556,3,FALSE)</f>
        <v>042</v>
      </c>
      <c r="M145" s="562" t="e">
        <f>SUMIFS('Recon of ORS and DV'!D:D,'Recon of ORS and DV'!B:B,'DV List for import'!A145)</f>
        <v>#VALUE!</v>
      </c>
      <c r="N145" s="276" t="e">
        <f t="shared" si="11"/>
        <v>#VALUE!</v>
      </c>
    </row>
    <row r="146" spans="1:14">
      <c r="A146" t="s">
        <v>2097</v>
      </c>
      <c r="B146" t="str">
        <f t="shared" si="9"/>
        <v>Fund 01-2021-02-0136</v>
      </c>
      <c r="C146" s="562" t="e">
        <f>VLOOKUP(L146,'Import Process ORS'!$D$4:$E$1557,2,FALSE)</f>
        <v>#N/A</v>
      </c>
      <c r="D146" s="562">
        <f>SUMIFS('Import Process ORS'!L:L,'Import Process ORS'!E:E,'DV List for import'!C146)</f>
        <v>0</v>
      </c>
      <c r="E146" t="s">
        <v>2675</v>
      </c>
      <c r="F146" t="str">
        <f>VLOOKUP(A146,'[1]MAIN-101'!$B$13:$M$787,4,FALSE)</f>
        <v>PD, DTI-AD N</v>
      </c>
      <c r="G146" t="str">
        <f>VLOOKUP(A146,'[1]MAIN-101'!$B$13:$M$787,12,FALSE)</f>
        <v>Advances to the IDD Regular MOOE OO2 2021-1st quarter 2021</v>
      </c>
      <c r="H146" s="562" t="e">
        <f>SUMIFS('[1]MAIN-101'!$Z$1:$Z$3000,'[1]MAIN-101'!$X$1:$X$3000,A146)</f>
        <v>#VALUE!</v>
      </c>
      <c r="I146" s="562" t="s">
        <v>2685</v>
      </c>
      <c r="J146" t="s">
        <v>2683</v>
      </c>
      <c r="K146" t="s">
        <v>2678</v>
      </c>
      <c r="L146" s="562" t="str">
        <f>VLOOKUP(A146,'Format for Import of DV'!$A$3:$S$1556,3,FALSE)</f>
        <v>046</v>
      </c>
      <c r="M146" s="562" t="e">
        <f>SUMIFS('Recon of ORS and DV'!D:D,'Recon of ORS and DV'!B:B,'DV List for import'!A146)</f>
        <v>#VALUE!</v>
      </c>
      <c r="N146" s="276" t="e">
        <f t="shared" si="11"/>
        <v>#VALUE!</v>
      </c>
    </row>
    <row r="147" spans="1:14">
      <c r="A147" t="s">
        <v>2098</v>
      </c>
      <c r="B147" t="str">
        <f t="shared" si="9"/>
        <v>Fund 01-2021-02-0137</v>
      </c>
      <c r="C147" s="562" t="e">
        <f>VLOOKUP(L147,'Import Process ORS'!$D$4:$E$1557,2,FALSE)</f>
        <v>#N/A</v>
      </c>
      <c r="D147" s="562">
        <f>SUMIFS('Import Process ORS'!L:L,'Import Process ORS'!E:E,'DV List for import'!C147)</f>
        <v>0</v>
      </c>
      <c r="E147" t="s">
        <v>2675</v>
      </c>
      <c r="F147" t="str">
        <f>VLOOKUP(A147,'[1]MAIN-101'!$B$13:$M$787,4,FALSE)</f>
        <v>OIC, DTI-ADS</v>
      </c>
      <c r="G147" t="str">
        <f>VLOOKUP(A147,'[1]MAIN-101'!$B$13:$M$787,12,FALSE)</f>
        <v>Advances to the IDD Regular MOOE OO2 2021-1st quarter 2021</v>
      </c>
      <c r="H147" s="562" t="e">
        <f>SUMIFS('[1]MAIN-101'!$Z$1:$Z$3000,'[1]MAIN-101'!$X$1:$X$3000,A147)</f>
        <v>#VALUE!</v>
      </c>
      <c r="I147" s="562" t="s">
        <v>2685</v>
      </c>
      <c r="J147" t="s">
        <v>2683</v>
      </c>
      <c r="K147" t="s">
        <v>2678</v>
      </c>
      <c r="L147" s="562" t="str">
        <f>VLOOKUP(A147,'Format for Import of DV'!$A$3:$S$1556,3,FALSE)</f>
        <v>047</v>
      </c>
      <c r="M147" s="562" t="e">
        <f>SUMIFS('Recon of ORS and DV'!D:D,'Recon of ORS and DV'!B:B,'DV List for import'!A147)</f>
        <v>#VALUE!</v>
      </c>
      <c r="N147" s="276" t="e">
        <f t="shared" si="11"/>
        <v>#VALUE!</v>
      </c>
    </row>
    <row r="148" spans="1:14">
      <c r="A148" t="s">
        <v>2099</v>
      </c>
      <c r="B148" t="str">
        <f t="shared" si="9"/>
        <v>Fund 01-2021-02-0138</v>
      </c>
      <c r="C148" s="562" t="e">
        <f>VLOOKUP(L148,'Import Process ORS'!$D$4:$E$1557,2,FALSE)</f>
        <v>#N/A</v>
      </c>
      <c r="D148" s="562">
        <f>SUMIFS('Import Process ORS'!L:L,'Import Process ORS'!E:E,'DV List for import'!C148)</f>
        <v>0</v>
      </c>
      <c r="E148" t="s">
        <v>2675</v>
      </c>
      <c r="F148" t="str">
        <f>VLOOKUP(A148,'[1]MAIN-101'!$B$13:$M$787,4,FALSE)</f>
        <v>PD, DTI-SDN</v>
      </c>
      <c r="G148" t="str">
        <f>VLOOKUP(A148,'[1]MAIN-101'!$B$13:$M$787,12,FALSE)</f>
        <v>Advances to the IDD Regular MOOE OO2 2021-1st quarter 2021</v>
      </c>
      <c r="H148" s="562" t="e">
        <f>SUMIFS('[1]MAIN-101'!$Z$1:$Z$3000,'[1]MAIN-101'!$X$1:$X$3000,A148)</f>
        <v>#VALUE!</v>
      </c>
      <c r="I148" s="562" t="s">
        <v>2685</v>
      </c>
      <c r="J148" t="s">
        <v>2683</v>
      </c>
      <c r="K148" t="s">
        <v>2678</v>
      </c>
      <c r="L148" s="562" t="str">
        <f>VLOOKUP(A148,'Format for Import of DV'!$A$3:$S$1556,3,FALSE)</f>
        <v>048</v>
      </c>
      <c r="M148" s="562" t="e">
        <f>SUMIFS('Recon of ORS and DV'!D:D,'Recon of ORS and DV'!B:B,'DV List for import'!A148)</f>
        <v>#VALUE!</v>
      </c>
      <c r="N148" s="276" t="e">
        <f t="shared" si="11"/>
        <v>#VALUE!</v>
      </c>
    </row>
    <row r="149" spans="1:14">
      <c r="A149" t="s">
        <v>2100</v>
      </c>
      <c r="B149" t="str">
        <f t="shared" si="9"/>
        <v>Fund 01-2021-02-0139</v>
      </c>
      <c r="C149" s="562" t="e">
        <f>VLOOKUP(L149,'Import Process ORS'!$D$4:$E$1557,2,FALSE)</f>
        <v>#N/A</v>
      </c>
      <c r="D149" s="562">
        <f>SUMIFS('Import Process ORS'!L:L,'Import Process ORS'!E:E,'DV List for import'!C149)</f>
        <v>0</v>
      </c>
      <c r="E149" t="s">
        <v>2675</v>
      </c>
      <c r="F149" t="str">
        <f>VLOOKUP(A149,'[1]MAIN-101'!$B$13:$M$787,4,FALSE)</f>
        <v>PD, DTI-SDS</v>
      </c>
      <c r="G149" t="str">
        <f>VLOOKUP(A149,'[1]MAIN-101'!$B$13:$M$787,12,FALSE)</f>
        <v>Advances to the IDD Regular MOOE OO2 2021-1st quarter 2021</v>
      </c>
      <c r="H149" s="562" t="e">
        <f>SUMIFS('[1]MAIN-101'!$Z$1:$Z$3000,'[1]MAIN-101'!$X$1:$X$3000,A149)</f>
        <v>#VALUE!</v>
      </c>
      <c r="I149" s="562" t="s">
        <v>2685</v>
      </c>
      <c r="J149" t="s">
        <v>2683</v>
      </c>
      <c r="K149" t="s">
        <v>2678</v>
      </c>
      <c r="L149" s="562" t="str">
        <f>VLOOKUP(A149,'Format for Import of DV'!$A$3:$S$1556,3,FALSE)</f>
        <v>049</v>
      </c>
      <c r="M149" s="562" t="e">
        <f>SUMIFS('Recon of ORS and DV'!D:D,'Recon of ORS and DV'!B:B,'DV List for import'!A149)</f>
        <v>#VALUE!</v>
      </c>
      <c r="N149" s="276" t="e">
        <f t="shared" si="11"/>
        <v>#VALUE!</v>
      </c>
    </row>
    <row r="150" spans="1:14">
      <c r="A150" t="s">
        <v>2101</v>
      </c>
      <c r="B150" t="str">
        <f t="shared" si="9"/>
        <v>Fund 01-2021-02-0140</v>
      </c>
      <c r="C150" s="562" t="e">
        <f>VLOOKUP(L150,'Import Process ORS'!$D$4:$E$1557,2,FALSE)</f>
        <v>#N/A</v>
      </c>
      <c r="D150" s="562">
        <f>SUMIFS('Import Process ORS'!L:L,'Import Process ORS'!E:E,'DV List for import'!C150)</f>
        <v>0</v>
      </c>
      <c r="E150" t="s">
        <v>2675</v>
      </c>
      <c r="F150" t="str">
        <f>VLOOKUP(A150,'[1]MAIN-101'!$B$13:$M$787,4,FALSE)</f>
        <v>PD, DTI-PDI</v>
      </c>
      <c r="G150" t="str">
        <f>VLOOKUP(A150,'[1]MAIN-101'!$B$13:$M$787,12,FALSE)</f>
        <v>Advances to the IDD Regular MOOE OO2 2021-1st quarter 2021</v>
      </c>
      <c r="H150" s="562" t="e">
        <f>SUMIFS('[1]MAIN-101'!$Z$1:$Z$3000,'[1]MAIN-101'!$X$1:$X$3000,A150)</f>
        <v>#VALUE!</v>
      </c>
      <c r="I150" s="562" t="s">
        <v>2685</v>
      </c>
      <c r="J150" t="s">
        <v>2683</v>
      </c>
      <c r="K150" t="s">
        <v>2678</v>
      </c>
      <c r="L150" s="562" t="str">
        <f>VLOOKUP(A150,'Format for Import of DV'!$A$3:$S$1556,3,FALSE)</f>
        <v>050</v>
      </c>
      <c r="M150" s="562" t="e">
        <f>SUMIFS('Recon of ORS and DV'!D:D,'Recon of ORS and DV'!B:B,'DV List for import'!A150)</f>
        <v>#VALUE!</v>
      </c>
      <c r="N150" s="276" t="e">
        <f t="shared" si="11"/>
        <v>#VALUE!</v>
      </c>
    </row>
    <row r="151" spans="1:14">
      <c r="A151" t="s">
        <v>2102</v>
      </c>
      <c r="B151" t="str">
        <f t="shared" si="9"/>
        <v>Fund 01-2021-02-0141</v>
      </c>
      <c r="C151" s="562" t="e">
        <f>VLOOKUP(L151,'Import Process ORS'!$D$4:$E$1557,2,FALSE)</f>
        <v>#N/A</v>
      </c>
      <c r="D151" s="562">
        <f>SUMIFS('Import Process ORS'!L:L,'Import Process ORS'!E:E,'DV List for import'!C151)</f>
        <v>0</v>
      </c>
      <c r="E151" t="s">
        <v>2675</v>
      </c>
      <c r="F151" t="str">
        <f>VLOOKUP(A151,'[1]MAIN-101'!$B$13:$M$787,4,FALSE)</f>
        <v>PD, DTI-AD N</v>
      </c>
      <c r="G151" t="str">
        <f>VLOOKUP(A151,'[1]MAIN-101'!$B$13:$M$787,12,FALSE)</f>
        <v>Advances to the IDD Regular MOOE OO1 2021-1st quarter 2021</v>
      </c>
      <c r="H151" s="562" t="e">
        <f>SUMIFS('[1]MAIN-101'!$Z$1:$Z$3000,'[1]MAIN-101'!$X$1:$X$3000,A151)</f>
        <v>#VALUE!</v>
      </c>
      <c r="I151" s="562" t="s">
        <v>2685</v>
      </c>
      <c r="J151" t="s">
        <v>2683</v>
      </c>
      <c r="K151" t="s">
        <v>2678</v>
      </c>
      <c r="L151" s="562" t="str">
        <f>VLOOKUP(A151,'Format for Import of DV'!$A$3:$S$1556,3,FALSE)</f>
        <v>051</v>
      </c>
      <c r="M151" s="562" t="e">
        <f>SUMIFS('Recon of ORS and DV'!D:D,'Recon of ORS and DV'!B:B,'DV List for import'!A151)</f>
        <v>#VALUE!</v>
      </c>
      <c r="N151" s="276" t="e">
        <f t="shared" si="11"/>
        <v>#VALUE!</v>
      </c>
    </row>
    <row r="152" spans="1:14">
      <c r="A152" t="s">
        <v>2103</v>
      </c>
      <c r="B152" t="str">
        <f t="shared" si="9"/>
        <v>Fund 01-2021-02-0142</v>
      </c>
      <c r="C152" s="562" t="e">
        <f>VLOOKUP(L152,'Import Process ORS'!$D$4:$E$1557,2,FALSE)</f>
        <v>#N/A</v>
      </c>
      <c r="D152" s="562">
        <f>SUMIFS('Import Process ORS'!L:L,'Import Process ORS'!E:E,'DV List for import'!C152)</f>
        <v>0</v>
      </c>
      <c r="E152" t="s">
        <v>2675</v>
      </c>
      <c r="F152" t="str">
        <f>VLOOKUP(A152,'[1]MAIN-101'!$B$13:$M$787,4,FALSE)</f>
        <v>OIC, DTI-ADS</v>
      </c>
      <c r="G152" t="str">
        <f>VLOOKUP(A152,'[1]MAIN-101'!$B$13:$M$787,12,FALSE)</f>
        <v>Advances to the IDD Regular MOOE OO1 2021-1st quarter 2021</v>
      </c>
      <c r="H152" s="562" t="e">
        <f>SUMIFS('[1]MAIN-101'!$Z$1:$Z$3000,'[1]MAIN-101'!$X$1:$X$3000,A152)</f>
        <v>#VALUE!</v>
      </c>
      <c r="I152" s="562" t="s">
        <v>2685</v>
      </c>
      <c r="J152" t="s">
        <v>2683</v>
      </c>
      <c r="K152" t="s">
        <v>2678</v>
      </c>
      <c r="L152" s="562" t="str">
        <f>VLOOKUP(A152,'Format for Import of DV'!$A$3:$S$1556,3,FALSE)</f>
        <v>052</v>
      </c>
      <c r="M152" s="562" t="e">
        <f>SUMIFS('Recon of ORS and DV'!D:D,'Recon of ORS and DV'!B:B,'DV List for import'!A152)</f>
        <v>#VALUE!</v>
      </c>
      <c r="N152" s="276" t="e">
        <f t="shared" si="11"/>
        <v>#VALUE!</v>
      </c>
    </row>
    <row r="153" spans="1:14">
      <c r="A153" t="s">
        <v>2104</v>
      </c>
      <c r="B153" t="str">
        <f t="shared" si="9"/>
        <v>Fund 01-2021-02-0143</v>
      </c>
      <c r="C153" s="562" t="e">
        <f>VLOOKUP(L153,'Import Process ORS'!$D$4:$E$1557,2,FALSE)</f>
        <v>#N/A</v>
      </c>
      <c r="D153" s="562">
        <f>SUMIFS('Import Process ORS'!L:L,'Import Process ORS'!E:E,'DV List for import'!C153)</f>
        <v>0</v>
      </c>
      <c r="E153" t="s">
        <v>2675</v>
      </c>
      <c r="F153" t="str">
        <f>VLOOKUP(A153,'[1]MAIN-101'!$B$13:$M$787,4,FALSE)</f>
        <v>PD, DTI-SDN</v>
      </c>
      <c r="G153" t="str">
        <f>VLOOKUP(A153,'[1]MAIN-101'!$B$13:$M$787,12,FALSE)</f>
        <v>Advances to the IDD Regular MOOE OO1 2021-1st quarter 2021</v>
      </c>
      <c r="H153" s="562" t="e">
        <f>SUMIFS('[1]MAIN-101'!$Z$1:$Z$3000,'[1]MAIN-101'!$X$1:$X$3000,A153)</f>
        <v>#VALUE!</v>
      </c>
      <c r="I153" s="562" t="s">
        <v>2685</v>
      </c>
      <c r="J153" t="s">
        <v>2683</v>
      </c>
      <c r="K153" t="s">
        <v>2678</v>
      </c>
      <c r="L153" s="562" t="str">
        <f>VLOOKUP(A153,'Format for Import of DV'!$A$3:$S$1556,3,FALSE)</f>
        <v>053</v>
      </c>
      <c r="M153" s="562" t="e">
        <f>SUMIFS('Recon of ORS and DV'!D:D,'Recon of ORS and DV'!B:B,'DV List for import'!A153)</f>
        <v>#VALUE!</v>
      </c>
      <c r="N153" s="276" t="e">
        <f t="shared" si="11"/>
        <v>#VALUE!</v>
      </c>
    </row>
    <row r="154" spans="1:14">
      <c r="A154" t="s">
        <v>2105</v>
      </c>
      <c r="B154" t="str">
        <f t="shared" si="9"/>
        <v>Fund 01-2021-02-0144</v>
      </c>
      <c r="C154" s="562" t="e">
        <f>VLOOKUP(L154,'Import Process ORS'!$D$4:$E$1557,2,FALSE)</f>
        <v>#N/A</v>
      </c>
      <c r="D154" s="562">
        <f>SUMIFS('Import Process ORS'!L:L,'Import Process ORS'!E:E,'DV List for import'!C154)</f>
        <v>0</v>
      </c>
      <c r="E154" t="s">
        <v>2675</v>
      </c>
      <c r="F154" t="str">
        <f>VLOOKUP(A154,'[1]MAIN-101'!$B$13:$M$787,4,FALSE)</f>
        <v>PD, DTI-SDS</v>
      </c>
      <c r="G154" t="str">
        <f>VLOOKUP(A154,'[1]MAIN-101'!$B$13:$M$787,12,FALSE)</f>
        <v>Advances to the IDD Regular MOOE OO1 2021-1st quarter 2021</v>
      </c>
      <c r="H154" s="562" t="e">
        <f>SUMIFS('[1]MAIN-101'!$Z$1:$Z$3000,'[1]MAIN-101'!$X$1:$X$3000,A154)</f>
        <v>#VALUE!</v>
      </c>
      <c r="I154" s="562" t="s">
        <v>2685</v>
      </c>
      <c r="J154" t="s">
        <v>2683</v>
      </c>
      <c r="K154" t="s">
        <v>2678</v>
      </c>
      <c r="L154" s="562" t="str">
        <f>VLOOKUP(A154,'Format for Import of DV'!$A$3:$S$1556,3,FALSE)</f>
        <v>054</v>
      </c>
      <c r="M154" s="562" t="e">
        <f>SUMIFS('Recon of ORS and DV'!D:D,'Recon of ORS and DV'!B:B,'DV List for import'!A154)</f>
        <v>#VALUE!</v>
      </c>
      <c r="N154" s="276" t="e">
        <f t="shared" si="11"/>
        <v>#VALUE!</v>
      </c>
    </row>
    <row r="155" spans="1:14">
      <c r="A155" t="s">
        <v>2106</v>
      </c>
      <c r="B155" t="str">
        <f t="shared" si="9"/>
        <v>Fund 01-2021-02-0145</v>
      </c>
      <c r="C155" s="562" t="e">
        <f>VLOOKUP(L155,'Import Process ORS'!$D$4:$E$1557,2,FALSE)</f>
        <v>#N/A</v>
      </c>
      <c r="D155" s="562">
        <f>SUMIFS('Import Process ORS'!L:L,'Import Process ORS'!E:E,'DV List for import'!C155)</f>
        <v>0</v>
      </c>
      <c r="E155" t="s">
        <v>2675</v>
      </c>
      <c r="F155" t="str">
        <f>VLOOKUP(A155,'[1]MAIN-101'!$B$13:$M$787,4,FALSE)</f>
        <v>PD, DTI-PDI</v>
      </c>
      <c r="G155" t="str">
        <f>VLOOKUP(A155,'[1]MAIN-101'!$B$13:$M$787,12,FALSE)</f>
        <v>Advances to the IDD Regular MOOE OO1 2021-1st quarter 2021</v>
      </c>
      <c r="H155" s="562" t="e">
        <f>SUMIFS('[1]MAIN-101'!$Z$1:$Z$3000,'[1]MAIN-101'!$X$1:$X$3000,A155)</f>
        <v>#VALUE!</v>
      </c>
      <c r="I155" s="562" t="s">
        <v>2685</v>
      </c>
      <c r="J155" t="s">
        <v>2683</v>
      </c>
      <c r="K155" t="s">
        <v>2678</v>
      </c>
      <c r="L155" s="562" t="str">
        <f>VLOOKUP(A155,'Format for Import of DV'!$A$3:$S$1556,3,FALSE)</f>
        <v>055</v>
      </c>
      <c r="M155" s="562" t="e">
        <f>SUMIFS('Recon of ORS and DV'!D:D,'Recon of ORS and DV'!B:B,'DV List for import'!A155)</f>
        <v>#VALUE!</v>
      </c>
      <c r="N155" s="276" t="e">
        <f t="shared" si="11"/>
        <v>#VALUE!</v>
      </c>
    </row>
    <row r="156" spans="1:14">
      <c r="A156" t="s">
        <v>2109</v>
      </c>
      <c r="B156" t="str">
        <f t="shared" si="9"/>
        <v>Fund 01-2021-02-0146</v>
      </c>
      <c r="C156" s="562" t="e">
        <f>VLOOKUP(L156,'Import Process ORS'!$D$4:$E$1557,2,FALSE)</f>
        <v>#N/A</v>
      </c>
      <c r="D156" s="562">
        <f>SUMIFS('Import Process ORS'!L:L,'Import Process ORS'!E:E,'DV List for import'!C156)</f>
        <v>0</v>
      </c>
      <c r="E156" t="s">
        <v>2675</v>
      </c>
      <c r="F156" t="str">
        <f>VLOOKUP(A156,'[1]MAIN-101'!$B$13:$M$787,4,FALSE)</f>
        <v>PD, DTI-AD N</v>
      </c>
      <c r="G156" t="str">
        <f>VLOOKUP(A156,'[1]MAIN-101'!$B$13:$M$787,12,FALSE)</f>
        <v>Advances, regular MOOE for January and February 2021</v>
      </c>
      <c r="H156" s="562" t="e">
        <f>SUMIFS('[1]MAIN-101'!$Z$1:$Z$3000,'[1]MAIN-101'!$X$1:$X$3000,A156)</f>
        <v>#VALUE!</v>
      </c>
      <c r="I156" s="562" t="s">
        <v>2685</v>
      </c>
      <c r="J156" t="s">
        <v>2683</v>
      </c>
      <c r="K156" t="s">
        <v>2678</v>
      </c>
      <c r="L156" s="562" t="str">
        <f>VLOOKUP(A156,'Format for Import of DV'!$A$3:$S$1556,3,FALSE)</f>
        <v>058</v>
      </c>
      <c r="M156" s="562" t="e">
        <f>SUMIFS('Recon of ORS and DV'!D:D,'Recon of ORS and DV'!B:B,'DV List for import'!A156)</f>
        <v>#VALUE!</v>
      </c>
      <c r="N156" s="276" t="e">
        <f t="shared" si="11"/>
        <v>#VALUE!</v>
      </c>
    </row>
    <row r="157" spans="1:14">
      <c r="A157" t="s">
        <v>2110</v>
      </c>
      <c r="B157" t="str">
        <f t="shared" si="9"/>
        <v>Fund 01-2021-02-0147</v>
      </c>
      <c r="C157" s="562" t="e">
        <f>VLOOKUP(L157,'Import Process ORS'!$D$4:$E$1557,2,FALSE)</f>
        <v>#N/A</v>
      </c>
      <c r="D157" s="562">
        <f>SUMIFS('Import Process ORS'!L:L,'Import Process ORS'!E:E,'DV List for import'!C157)</f>
        <v>0</v>
      </c>
      <c r="E157" t="s">
        <v>2675</v>
      </c>
      <c r="F157" t="str">
        <f>VLOOKUP(A157,'[1]MAIN-101'!$B$13:$M$787,4,FALSE)</f>
        <v>OIC, DTI-ADS</v>
      </c>
      <c r="G157" t="str">
        <f>VLOOKUP(A157,'[1]MAIN-101'!$B$13:$M$787,12,FALSE)</f>
        <v>Advances, regular MOOE for January and February 2021</v>
      </c>
      <c r="H157" s="562" t="e">
        <f>SUMIFS('[1]MAIN-101'!$Z$1:$Z$3000,'[1]MAIN-101'!$X$1:$X$3000,A157)</f>
        <v>#VALUE!</v>
      </c>
      <c r="I157" s="562" t="s">
        <v>2685</v>
      </c>
      <c r="J157" t="s">
        <v>2683</v>
      </c>
      <c r="K157" t="s">
        <v>2678</v>
      </c>
      <c r="L157" s="562" t="str">
        <f>VLOOKUP(A157,'Format for Import of DV'!$A$3:$S$1556,3,FALSE)</f>
        <v>059</v>
      </c>
      <c r="M157" s="562" t="e">
        <f>SUMIFS('Recon of ORS and DV'!D:D,'Recon of ORS and DV'!B:B,'DV List for import'!A157)</f>
        <v>#VALUE!</v>
      </c>
      <c r="N157" s="276" t="e">
        <f t="shared" si="11"/>
        <v>#VALUE!</v>
      </c>
    </row>
    <row r="158" spans="1:14">
      <c r="A158" t="s">
        <v>2111</v>
      </c>
      <c r="B158" t="str">
        <f t="shared" si="9"/>
        <v>Fund 01-2021-02-0148</v>
      </c>
      <c r="C158" s="562" t="e">
        <f>VLOOKUP(L158,'Import Process ORS'!$D$4:$E$1557,2,FALSE)</f>
        <v>#N/A</v>
      </c>
      <c r="D158" s="562">
        <f>SUMIFS('Import Process ORS'!L:L,'Import Process ORS'!E:E,'DV List for import'!C158)</f>
        <v>0</v>
      </c>
      <c r="E158" t="s">
        <v>2675</v>
      </c>
      <c r="F158" t="str">
        <f>VLOOKUP(A158,'[1]MAIN-101'!$B$13:$M$787,4,FALSE)</f>
        <v>OIC, DTI-SDN</v>
      </c>
      <c r="G158" t="str">
        <f>VLOOKUP(A158,'[1]MAIN-101'!$B$13:$M$787,12,FALSE)</f>
        <v>Advances, regular MOOE for January and February 2021</v>
      </c>
      <c r="H158" s="562" t="e">
        <f>SUMIFS('[1]MAIN-101'!$Z$1:$Z$3000,'[1]MAIN-101'!$X$1:$X$3000,A158)</f>
        <v>#VALUE!</v>
      </c>
      <c r="I158" s="562" t="s">
        <v>2685</v>
      </c>
      <c r="J158" t="s">
        <v>2683</v>
      </c>
      <c r="K158" t="s">
        <v>2678</v>
      </c>
      <c r="L158" s="562" t="str">
        <f>VLOOKUP(A158,'Format for Import of DV'!$A$3:$S$1556,3,FALSE)</f>
        <v>060</v>
      </c>
      <c r="M158" s="562" t="e">
        <f>SUMIFS('Recon of ORS and DV'!D:D,'Recon of ORS and DV'!B:B,'DV List for import'!A158)</f>
        <v>#VALUE!</v>
      </c>
      <c r="N158" s="276" t="e">
        <f t="shared" si="11"/>
        <v>#VALUE!</v>
      </c>
    </row>
    <row r="159" spans="1:14">
      <c r="A159" t="s">
        <v>2112</v>
      </c>
      <c r="B159" t="str">
        <f t="shared" si="9"/>
        <v>Fund 01-2021-02-0149</v>
      </c>
      <c r="C159" s="562" t="e">
        <f>VLOOKUP(L159,'Import Process ORS'!$D$4:$E$1557,2,FALSE)</f>
        <v>#N/A</v>
      </c>
      <c r="D159" s="562">
        <f>SUMIFS('Import Process ORS'!L:L,'Import Process ORS'!E:E,'DV List for import'!C159)</f>
        <v>0</v>
      </c>
      <c r="E159" t="s">
        <v>2675</v>
      </c>
      <c r="F159" t="str">
        <f>VLOOKUP(A159,'[1]MAIN-101'!$B$13:$M$787,4,FALSE)</f>
        <v>PD, DTI-SDS</v>
      </c>
      <c r="G159" t="str">
        <f>VLOOKUP(A159,'[1]MAIN-101'!$B$13:$M$787,12,FALSE)</f>
        <v>Advances, regular MOOE for January and February 2021</v>
      </c>
      <c r="H159" s="562" t="e">
        <f>SUMIFS('[1]MAIN-101'!$Z$1:$Z$3000,'[1]MAIN-101'!$X$1:$X$3000,A159)</f>
        <v>#VALUE!</v>
      </c>
      <c r="I159" s="562" t="s">
        <v>2685</v>
      </c>
      <c r="J159" t="s">
        <v>2683</v>
      </c>
      <c r="K159" t="s">
        <v>2678</v>
      </c>
      <c r="L159" s="562" t="str">
        <f>VLOOKUP(A159,'Format for Import of DV'!$A$3:$S$1556,3,FALSE)</f>
        <v>061</v>
      </c>
      <c r="M159" s="562" t="e">
        <f>SUMIFS('Recon of ORS and DV'!D:D,'Recon of ORS and DV'!B:B,'DV List for import'!A159)</f>
        <v>#VALUE!</v>
      </c>
      <c r="N159" s="276" t="e">
        <f t="shared" si="11"/>
        <v>#VALUE!</v>
      </c>
    </row>
    <row r="160" spans="1:14">
      <c r="A160" t="s">
        <v>2113</v>
      </c>
      <c r="B160" t="str">
        <f t="shared" si="9"/>
        <v>Fund 01-2021-02-0150</v>
      </c>
      <c r="C160" s="562" t="e">
        <f>VLOOKUP(L160,'Import Process ORS'!$D$4:$E$1557,2,FALSE)</f>
        <v>#N/A</v>
      </c>
      <c r="D160" s="562">
        <f>SUMIFS('Import Process ORS'!L:L,'Import Process ORS'!E:E,'DV List for import'!C160)</f>
        <v>0</v>
      </c>
      <c r="E160" t="s">
        <v>2675</v>
      </c>
      <c r="F160" t="str">
        <f>VLOOKUP(A160,'[1]MAIN-101'!$B$13:$M$787,4,FALSE)</f>
        <v>PD, DTI-PDI</v>
      </c>
      <c r="G160" t="str">
        <f>VLOOKUP(A160,'[1]MAIN-101'!$B$13:$M$787,12,FALSE)</f>
        <v>Advances, regular MOOE for January and February 2021</v>
      </c>
      <c r="H160" s="562" t="e">
        <f>SUMIFS('[1]MAIN-101'!$Z$1:$Z$3000,'[1]MAIN-101'!$X$1:$X$3000,A160)</f>
        <v>#VALUE!</v>
      </c>
      <c r="I160" s="562" t="s">
        <v>2685</v>
      </c>
      <c r="J160" t="s">
        <v>2683</v>
      </c>
      <c r="K160" t="s">
        <v>2678</v>
      </c>
      <c r="L160" s="562" t="str">
        <f>VLOOKUP(A160,'Format for Import of DV'!$A$3:$S$1556,3,FALSE)</f>
        <v>062</v>
      </c>
      <c r="M160" s="562" t="e">
        <f>SUMIFS('Recon of ORS and DV'!D:D,'Recon of ORS and DV'!B:B,'DV List for import'!A160)</f>
        <v>#VALUE!</v>
      </c>
      <c r="N160" s="276" t="e">
        <f t="shared" si="11"/>
        <v>#VALUE!</v>
      </c>
    </row>
    <row r="161" spans="1:17">
      <c r="A161" t="s">
        <v>2114</v>
      </c>
      <c r="B161" t="str">
        <f t="shared" si="9"/>
        <v>Fund 01-2021-02-0151</v>
      </c>
      <c r="C161" s="562" t="e">
        <f>VLOOKUP(L161,'Import Process ORS'!$D$4:$E$1557,2,FALSE)</f>
        <v>#N/A</v>
      </c>
      <c r="D161" s="562">
        <f>SUMIFS('Import Process ORS'!L:L,'Import Process ORS'!E:E,'DV List for import'!C161)</f>
        <v>0</v>
      </c>
      <c r="E161" t="s">
        <v>2675</v>
      </c>
      <c r="F161" t="str">
        <f>VLOOKUP(A161,'[1]MAIN-101'!$B$13:$M$787,4,FALSE)</f>
        <v>LBP F/O DTI-JO</v>
      </c>
      <c r="G161" t="str">
        <f>VLOOKUP(A161,'[1]MAIN-101'!$B$13:$M$787,12,FALSE)</f>
        <v>Payment for JO for the period January 16-31, 2021</v>
      </c>
      <c r="H161" s="562" t="e">
        <f>SUMIFS('[1]MAIN-101'!$Z$1:$Z$3000,'[1]MAIN-101'!$X$1:$X$3000,A161)</f>
        <v>#VALUE!</v>
      </c>
      <c r="I161" s="562" t="s">
        <v>2687</v>
      </c>
      <c r="J161" t="s">
        <v>2683</v>
      </c>
      <c r="K161" t="s">
        <v>2678</v>
      </c>
      <c r="L161" s="562" t="str">
        <f>VLOOKUP(A161,'Format for Import of DV'!$A$3:$S$1556,3,FALSE)</f>
        <v>063</v>
      </c>
      <c r="M161" s="562" t="e">
        <f>SUMIFS('Recon of ORS and DV'!D:D,'Recon of ORS and DV'!B:B,'DV List for import'!A161)</f>
        <v>#VALUE!</v>
      </c>
      <c r="N161" s="276" t="e">
        <f t="shared" si="11"/>
        <v>#VALUE!</v>
      </c>
    </row>
    <row r="162" spans="1:17">
      <c r="A162" t="s">
        <v>2115</v>
      </c>
      <c r="B162" t="str">
        <f t="shared" si="9"/>
        <v>Fund 01-2021-02-0152</v>
      </c>
      <c r="C162" s="562" t="e">
        <f>VLOOKUP(L162,'Import Process ORS'!$D$4:$E$1557,2,FALSE)</f>
        <v>#N/A</v>
      </c>
      <c r="D162" s="562">
        <f>SUMIFS('Import Process ORS'!L:L,'Import Process ORS'!E:E,'DV List for import'!C162)</f>
        <v>0</v>
      </c>
      <c r="E162" t="s">
        <v>2675</v>
      </c>
      <c r="F162" t="str">
        <f>VLOOKUP(A162,'[1]MAIN-101'!$B$13:$M$787,4,FALSE)</f>
        <v>LBP F/O DTI-JO</v>
      </c>
      <c r="G162" t="str">
        <f>VLOOKUP(A162,'[1]MAIN-101'!$B$13:$M$787,12,FALSE)</f>
        <v>Payment for JO for the period January 16-31, 2021</v>
      </c>
      <c r="H162" s="562" t="e">
        <f>SUMIFS('[1]MAIN-101'!$Z$1:$Z$3000,'[1]MAIN-101'!$X$1:$X$3000,A162)</f>
        <v>#VALUE!</v>
      </c>
      <c r="I162" s="562" t="s">
        <v>2687</v>
      </c>
      <c r="J162" t="s">
        <v>2683</v>
      </c>
      <c r="K162" t="s">
        <v>2678</v>
      </c>
      <c r="L162" s="562" t="str">
        <f>VLOOKUP(A162,'Format for Import of DV'!$A$3:$S$1556,3,FALSE)</f>
        <v>064</v>
      </c>
      <c r="M162" s="562" t="e">
        <f>SUMIFS('Recon of ORS and DV'!D:D,'Recon of ORS and DV'!B:B,'DV List for import'!A162)</f>
        <v>#VALUE!</v>
      </c>
      <c r="N162" s="276" t="e">
        <f t="shared" si="11"/>
        <v>#VALUE!</v>
      </c>
    </row>
    <row r="163" spans="1:17">
      <c r="A163" t="s">
        <v>2484</v>
      </c>
      <c r="B163" t="str">
        <f t="shared" si="9"/>
        <v>Fund 01-2021-02-0153</v>
      </c>
      <c r="C163" s="564" t="str">
        <f>L163</f>
        <v>0000-00-0000</v>
      </c>
      <c r="D163" s="562">
        <f>SUMIFS('Import Process ORS'!L:L,'Import Process ORS'!E:E,'DV List for import'!C163)</f>
        <v>0</v>
      </c>
      <c r="E163" t="s">
        <v>2675</v>
      </c>
      <c r="F163" t="str">
        <f>VLOOKUP(A163,'[1]MAIN-101'!$B$13:$M$787,4,FALSE)</f>
        <v>LBP F/O Honoraria of the KMME Panelist</v>
      </c>
      <c r="G163" t="str">
        <f>VLOOKUP(A163,'[1]MAIN-101'!$B$13:$M$787,12,FALSE)</f>
        <v>Honoraria of panelist during KMME Online class session batch 1 BIP presentation on September 21-23, 2020 thru zoom app</v>
      </c>
      <c r="H163" s="562" t="e">
        <f>SUMIFS('[1]MAIN-101'!$Z$1:$Z$3000,'[1]MAIN-101'!$X$1:$X$3000,A163)</f>
        <v>#VALUE!</v>
      </c>
      <c r="I163" s="562" t="s">
        <v>392</v>
      </c>
      <c r="J163" t="s">
        <v>2681</v>
      </c>
      <c r="K163" t="s">
        <v>2679</v>
      </c>
      <c r="L163" s="564" t="s">
        <v>2666</v>
      </c>
      <c r="M163" s="562">
        <f>SUMIFS('Recon of ORS and DV'!D:D,'Recon of ORS and DV'!B:B,'DV List for import'!A163)</f>
        <v>0</v>
      </c>
      <c r="N163" s="276" t="e">
        <f t="shared" si="11"/>
        <v>#VALUE!</v>
      </c>
      <c r="O163" t="s">
        <v>392</v>
      </c>
      <c r="P163" t="str">
        <f>VLOOKUP(A163,'[1]MAIN-101'!$B$8:$D$783,2,FALSE)</f>
        <v>12</v>
      </c>
      <c r="Q163" t="str">
        <f>VLOOKUP(A163,'[1]MAIN-101'!$B$8:$D$783,3,FALSE)</f>
        <v>1906</v>
      </c>
    </row>
    <row r="164" spans="1:17">
      <c r="A164" t="s">
        <v>2485</v>
      </c>
      <c r="B164" t="str">
        <f t="shared" si="9"/>
        <v>Fund 01-2021-02-0154</v>
      </c>
      <c r="C164" s="564" t="str">
        <f>L164</f>
        <v>0000-00-0000</v>
      </c>
      <c r="D164" s="562">
        <f>SUMIFS('Import Process ORS'!L:L,'Import Process ORS'!E:E,'DV List for import'!C164)</f>
        <v>0</v>
      </c>
      <c r="E164" t="s">
        <v>2675</v>
      </c>
      <c r="F164" t="str">
        <f>VLOOKUP(A164,'[1]MAIN-101'!$B$13:$M$787,4,FALSE)</f>
        <v>Berfabs Arts and Crafts Manufacturing</v>
      </c>
      <c r="G164" t="str">
        <f>VLOOKUP(A164,'[1]MAIN-101'!$B$13:$M$787,12,FALSE)</f>
        <v>Payment of token (customized tumbler) for mentees during the KMME Graduation Batch 2 on December 7, 2020.</v>
      </c>
      <c r="H164" s="562" t="e">
        <f>SUMIFS('[1]MAIN-101'!$Z$1:$Z$3000,'[1]MAIN-101'!$X$1:$X$3000,A164)</f>
        <v>#VALUE!</v>
      </c>
      <c r="I164" s="562" t="s">
        <v>392</v>
      </c>
      <c r="J164" t="s">
        <v>2681</v>
      </c>
      <c r="K164" t="s">
        <v>2679</v>
      </c>
      <c r="L164" s="564" t="s">
        <v>2666</v>
      </c>
      <c r="M164" s="562">
        <f>SUMIFS('Recon of ORS and DV'!D:D,'Recon of ORS and DV'!B:B,'DV List for import'!A164)</f>
        <v>0</v>
      </c>
      <c r="N164" s="276" t="e">
        <f t="shared" si="11"/>
        <v>#VALUE!</v>
      </c>
      <c r="O164" t="s">
        <v>392</v>
      </c>
      <c r="P164" t="str">
        <f>VLOOKUP(A164,'[1]MAIN-101'!$B$8:$D$783,2,FALSE)</f>
        <v>12</v>
      </c>
      <c r="Q164" t="str">
        <f>VLOOKUP(A164,'[1]MAIN-101'!$B$8:$D$783,3,FALSE)</f>
        <v>2022</v>
      </c>
    </row>
    <row r="165" spans="1:17">
      <c r="A165" t="s">
        <v>2486</v>
      </c>
      <c r="B165" t="str">
        <f t="shared" si="9"/>
        <v>Fund 01-2021-02-0155</v>
      </c>
      <c r="C165" s="564" t="str">
        <f>L165</f>
        <v>0000-00-0000</v>
      </c>
      <c r="D165" s="562">
        <f>SUMIFS('Import Process ORS'!L:L,'Import Process ORS'!E:E,'DV List for import'!C165)</f>
        <v>0</v>
      </c>
      <c r="E165" t="s">
        <v>2675</v>
      </c>
      <c r="F165" t="str">
        <f>VLOOKUP(A165,'[1]MAIN-101'!$B$13:$M$787,4,FALSE)</f>
        <v>Create Food, Inc</v>
      </c>
      <c r="G165" t="str">
        <f>VLOOKUP(A165,'[1]MAIN-101'!$B$13:$M$787,12,FALSE)</f>
        <v>Payment for the tokens during the conduct of grand launching of OTOP PH Hub at SM City Butuan on December 18, 2020</v>
      </c>
      <c r="H165" s="562" t="e">
        <f>SUMIFS('[1]MAIN-101'!$Z$1:$Z$3000,'[1]MAIN-101'!$X$1:$X$3000,A165)</f>
        <v>#VALUE!</v>
      </c>
      <c r="I165" s="562" t="s">
        <v>392</v>
      </c>
      <c r="J165" t="s">
        <v>2681</v>
      </c>
      <c r="K165" t="s">
        <v>2679</v>
      </c>
      <c r="L165" s="564" t="s">
        <v>2666</v>
      </c>
      <c r="M165" s="562">
        <f>SUMIFS('Recon of ORS and DV'!D:D,'Recon of ORS and DV'!B:B,'DV List for import'!A165)</f>
        <v>0</v>
      </c>
      <c r="N165" s="276" t="e">
        <f t="shared" si="11"/>
        <v>#VALUE!</v>
      </c>
      <c r="O165" t="s">
        <v>392</v>
      </c>
      <c r="P165" t="str">
        <f>VLOOKUP(A165,'[1]MAIN-101'!$B$8:$D$783,2,FALSE)</f>
        <v>12</v>
      </c>
      <c r="Q165" t="str">
        <f>VLOOKUP(A165,'[1]MAIN-101'!$B$8:$D$783,3,FALSE)</f>
        <v>2005</v>
      </c>
    </row>
    <row r="166" spans="1:17">
      <c r="A166" t="s">
        <v>2487</v>
      </c>
      <c r="B166" t="str">
        <f t="shared" si="9"/>
        <v>Fund 01-2021-02-0156</v>
      </c>
      <c r="C166" s="564" t="str">
        <f>L166</f>
        <v>0000-00-0000</v>
      </c>
      <c r="D166" s="562">
        <f>SUMIFS('Import Process ORS'!L:L,'Import Process ORS'!E:E,'DV List for import'!C166)</f>
        <v>0</v>
      </c>
      <c r="E166" t="s">
        <v>2675</v>
      </c>
      <c r="F166" t="str">
        <f>VLOOKUP(A166,'[1]MAIN-101'!$B$13:$M$787,4,FALSE)</f>
        <v>Renato S. Corvera Jr.</v>
      </c>
      <c r="G166" t="str">
        <f>VLOOKUP(A166,'[1]MAIN-101'!$B$13:$M$787,12,FALSE)</f>
        <v>Refund of GSIS-Emergency Loan deduction for the month of January 2021</v>
      </c>
      <c r="H166" s="562" t="e">
        <f>SUMIFS('[1]MAIN-101'!$Z$1:$Z$3000,'[1]MAIN-101'!$X$1:$X$3000,A166)</f>
        <v>#VALUE!</v>
      </c>
      <c r="I166" s="562" t="s">
        <v>2662</v>
      </c>
      <c r="J166" t="s">
        <v>2053</v>
      </c>
      <c r="K166" t="s">
        <v>2680</v>
      </c>
      <c r="L166" s="564" t="s">
        <v>2666</v>
      </c>
      <c r="M166" s="562">
        <f>SUMIFS('Recon of ORS and DV'!D:D,'Recon of ORS and DV'!B:B,'DV List for import'!A166)</f>
        <v>0</v>
      </c>
      <c r="N166" s="276" t="e">
        <f t="shared" si="11"/>
        <v>#VALUE!</v>
      </c>
      <c r="O166" t="s">
        <v>2663</v>
      </c>
    </row>
    <row r="167" spans="1:17">
      <c r="A167" t="s">
        <v>2089</v>
      </c>
      <c r="B167" t="str">
        <f t="shared" si="9"/>
        <v>Fund 01-2021-02-0157</v>
      </c>
      <c r="C167" s="562" t="e">
        <f>VLOOKUP(L167,'Import Process ORS'!$D$4:$E$1557,2,FALSE)</f>
        <v>#N/A</v>
      </c>
      <c r="D167" s="562">
        <f>SUMIFS('Import Process ORS'!L:L,'Import Process ORS'!E:E,'DV List for import'!C167)</f>
        <v>0</v>
      </c>
      <c r="E167" t="s">
        <v>2675</v>
      </c>
      <c r="F167" t="str">
        <f>VLOOKUP(A167,'[1]MAIN-101'!$B$13:$M$787,4,FALSE)</f>
        <v>Edwin O. Banquerigo</v>
      </c>
      <c r="G167" t="str">
        <f>VLOOKUP(A167,'[1]MAIN-101'!$B$13:$M$787,12,FALSE)</f>
        <v>Payment for the  extraordinary expenses</v>
      </c>
      <c r="H167" s="562" t="e">
        <f>SUMIFS('[1]MAIN-101'!$Z$1:$Z$3000,'[1]MAIN-101'!$X$1:$X$3000,A167)</f>
        <v>#VALUE!</v>
      </c>
      <c r="I167" s="562" t="s">
        <v>2687</v>
      </c>
      <c r="J167" t="s">
        <v>2683</v>
      </c>
      <c r="K167" t="s">
        <v>2678</v>
      </c>
      <c r="L167" s="562" t="str">
        <f>VLOOKUP(A167,'Format for Import of DV'!$A$3:$S$1556,3,FALSE)</f>
        <v>038</v>
      </c>
      <c r="M167" s="562" t="e">
        <f>SUMIFS('Recon of ORS and DV'!D:D,'Recon of ORS and DV'!B:B,'DV List for import'!A167)</f>
        <v>#VALUE!</v>
      </c>
      <c r="N167" s="276" t="e">
        <f t="shared" si="11"/>
        <v>#VALUE!</v>
      </c>
    </row>
    <row r="168" spans="1:17">
      <c r="A168" t="s">
        <v>2090</v>
      </c>
      <c r="B168" t="str">
        <f t="shared" si="9"/>
        <v>Fund 01-2021-02-0158</v>
      </c>
      <c r="C168" s="562" t="e">
        <f>VLOOKUP(L168,'Import Process ORS'!$D$4:$E$1557,2,FALSE)</f>
        <v>#N/A</v>
      </c>
      <c r="D168" s="562">
        <f>SUMIFS('Import Process ORS'!L:L,'Import Process ORS'!E:E,'DV List for import'!C168)</f>
        <v>0</v>
      </c>
      <c r="E168" t="s">
        <v>2675</v>
      </c>
      <c r="F168" t="str">
        <f>VLOOKUP(A168,'[1]MAIN-101'!$B$13:$M$787,4,FALSE)</f>
        <v>Land Bank of the Philippines</v>
      </c>
      <c r="G168" t="str">
        <f>VLOOKUP(A168,'[1]MAIN-101'!$B$13:$M$787,12,FALSE)</f>
        <v>Reimbursement of RATA for January 2021</v>
      </c>
      <c r="H168" s="562" t="e">
        <f>SUMIFS('[1]MAIN-101'!$Z$1:$Z$3000,'[1]MAIN-101'!$X$1:$X$3000,A168)</f>
        <v>#VALUE!</v>
      </c>
      <c r="I168" s="562" t="s">
        <v>2687</v>
      </c>
      <c r="J168" t="s">
        <v>2683</v>
      </c>
      <c r="K168" t="s">
        <v>2678</v>
      </c>
      <c r="L168" s="562" t="str">
        <f>VLOOKUP(A168,'Format for Import of DV'!$A$3:$S$1556,3,FALSE)</f>
        <v>039</v>
      </c>
      <c r="M168" s="562" t="e">
        <f>SUMIFS('Recon of ORS and DV'!D:D,'Recon of ORS and DV'!B:B,'DV List for import'!A168)</f>
        <v>#VALUE!</v>
      </c>
      <c r="N168" s="276" t="e">
        <f t="shared" si="11"/>
        <v>#VALUE!</v>
      </c>
    </row>
    <row r="169" spans="1:17">
      <c r="A169" t="s">
        <v>2488</v>
      </c>
      <c r="B169" t="str">
        <f t="shared" si="9"/>
        <v>Fund 01-2021-02-0159</v>
      </c>
      <c r="C169" s="564" t="str">
        <f>L169</f>
        <v>0000-00-0000</v>
      </c>
      <c r="D169" s="562">
        <f>SUMIFS('Import Process ORS'!L:L,'Import Process ORS'!E:E,'DV List for import'!C169)</f>
        <v>0</v>
      </c>
      <c r="E169" t="s">
        <v>2675</v>
      </c>
      <c r="F169" t="str">
        <f>VLOOKUP(A169,'[1]MAIN-101'!$B$13:$M$787,4,FALSE)</f>
        <v>Papelemento Visual Arts &amp; scenography</v>
      </c>
      <c r="G169" t="str">
        <f>VLOOKUP(A169,'[1]MAIN-101'!$B$13:$M$787,12,FALSE)</f>
        <v>Payment for the tokens during the soft launching of OTOP PH Hub at SM City Butuan on November 13, 2020</v>
      </c>
      <c r="H169" s="562" t="e">
        <f>SUMIFS('[1]MAIN-101'!$Z$1:$Z$3000,'[1]MAIN-101'!$X$1:$X$3000,A169)</f>
        <v>#VALUE!</v>
      </c>
      <c r="I169" s="562" t="s">
        <v>392</v>
      </c>
      <c r="J169" t="s">
        <v>2681</v>
      </c>
      <c r="K169" t="s">
        <v>2679</v>
      </c>
      <c r="L169" s="564" t="s">
        <v>2666</v>
      </c>
      <c r="M169" s="562">
        <f>SUMIFS('Recon of ORS and DV'!D:D,'Recon of ORS and DV'!B:B,'DV List for import'!A169)</f>
        <v>0</v>
      </c>
      <c r="N169" s="276" t="e">
        <f t="shared" si="11"/>
        <v>#VALUE!</v>
      </c>
      <c r="O169" t="s">
        <v>392</v>
      </c>
      <c r="P169" t="str">
        <f>VLOOKUP(A169,'[1]MAIN-101'!$B$8:$D$783,2,FALSE)</f>
        <v>12</v>
      </c>
      <c r="Q169" t="str">
        <f>VLOOKUP(A169,'[1]MAIN-101'!$B$8:$D$783,3,FALSE)</f>
        <v>1885</v>
      </c>
    </row>
    <row r="170" spans="1:17">
      <c r="A170" t="s">
        <v>2107</v>
      </c>
      <c r="B170" t="str">
        <f t="shared" si="9"/>
        <v>Fund 01-2021-02-0160</v>
      </c>
      <c r="C170" s="562" t="e">
        <f>VLOOKUP(L170,'Import Process ORS'!$D$4:$E$1557,2,FALSE)</f>
        <v>#N/A</v>
      </c>
      <c r="D170" s="562">
        <f>SUMIFS('Import Process ORS'!L:L,'Import Process ORS'!E:E,'DV List for import'!C170)</f>
        <v>0</v>
      </c>
      <c r="E170" t="s">
        <v>2675</v>
      </c>
      <c r="F170" t="str">
        <f>VLOOKUP(A170,'[1]MAIN-101'!$B$13:$M$787,4,FALSE)</f>
        <v>Arleen P. Pahamtang</v>
      </c>
      <c r="G170" t="str">
        <f>VLOOKUP(A170,'[1]MAIN-101'!$B$13:$M$787,12,FALSE)</f>
        <v>Petty cash fund replenishment 2021-02-002 Jan 21- Feb 3, 2021</v>
      </c>
      <c r="H170" s="562" t="e">
        <f>SUMIFS('[1]MAIN-101'!$Z$1:$Z$3000,'[1]MAIN-101'!$X$1:$X$3000,A170)</f>
        <v>#VALUE!</v>
      </c>
      <c r="I170" s="562" t="s">
        <v>2687</v>
      </c>
      <c r="J170" t="s">
        <v>2683</v>
      </c>
      <c r="K170" t="s">
        <v>2678</v>
      </c>
      <c r="L170" s="562" t="str">
        <f>VLOOKUP(A170,'Format for Import of DV'!$A$3:$S$1556,3,FALSE)</f>
        <v>056</v>
      </c>
      <c r="M170" s="562" t="e">
        <f>SUMIFS('Recon of ORS and DV'!D:D,'Recon of ORS and DV'!B:B,'DV List for import'!A170)</f>
        <v>#VALUE!</v>
      </c>
      <c r="N170" s="276" t="e">
        <f t="shared" si="11"/>
        <v>#VALUE!</v>
      </c>
    </row>
    <row r="171" spans="1:17">
      <c r="A171" t="s">
        <v>2108</v>
      </c>
      <c r="B171" t="str">
        <f t="shared" si="9"/>
        <v>Fund 01-2021-02-0161</v>
      </c>
      <c r="C171" s="562" t="e">
        <f>VLOOKUP(L171,'Import Process ORS'!$D$4:$E$1557,2,FALSE)</f>
        <v>#N/A</v>
      </c>
      <c r="D171" s="562">
        <f>SUMIFS('Import Process ORS'!L:L,'Import Process ORS'!E:E,'DV List for import'!C171)</f>
        <v>0</v>
      </c>
      <c r="E171" t="s">
        <v>2675</v>
      </c>
      <c r="F171" t="str">
        <f>VLOOKUP(A171,'[1]MAIN-101'!$B$13:$M$787,4,FALSE)</f>
        <v>Busa Interbiz Center</v>
      </c>
      <c r="G171" t="str">
        <f>VLOOKUP(A171,'[1]MAIN-101'!$B$13:$M$787,12,FALSE)</f>
        <v>Payment for subscription expense- newspaper for the period January 2021</v>
      </c>
      <c r="H171" s="562" t="e">
        <f>SUMIFS('[1]MAIN-101'!$Z$1:$Z$3000,'[1]MAIN-101'!$X$1:$X$3000,A171)</f>
        <v>#VALUE!</v>
      </c>
      <c r="I171" s="562" t="s">
        <v>2687</v>
      </c>
      <c r="J171" t="s">
        <v>2683</v>
      </c>
      <c r="K171" t="s">
        <v>2678</v>
      </c>
      <c r="L171" s="562" t="str">
        <f>VLOOKUP(A171,'Format for Import of DV'!$A$3:$S$1556,3,FALSE)</f>
        <v>057</v>
      </c>
      <c r="M171" s="562" t="e">
        <f>SUMIFS('Recon of ORS and DV'!D:D,'Recon of ORS and DV'!B:B,'DV List for import'!A171)</f>
        <v>#VALUE!</v>
      </c>
      <c r="N171" s="276" t="e">
        <f t="shared" si="11"/>
        <v>#VALUE!</v>
      </c>
    </row>
    <row r="172" spans="1:17">
      <c r="A172" t="s">
        <v>2094</v>
      </c>
      <c r="B172" t="str">
        <f t="shared" si="9"/>
        <v>Fund 01-2021-02-0162</v>
      </c>
      <c r="C172" s="562" t="e">
        <f>VLOOKUP(L172,'Import Process ORS'!$D$4:$E$1557,2,FALSE)</f>
        <v>#N/A</v>
      </c>
      <c r="D172" s="562">
        <f>SUMIFS('Import Process ORS'!L:L,'Import Process ORS'!E:E,'DV List for import'!C172)</f>
        <v>0</v>
      </c>
      <c r="E172" t="s">
        <v>2675</v>
      </c>
      <c r="F172" t="str">
        <f>VLOOKUP(A172,'[1]MAIN-101'!$B$13:$M$787,4,FALSE)</f>
        <v>Freedcarmariam D. Gonzaga</v>
      </c>
      <c r="G172" t="str">
        <f>VLOOKUP(A172,'[1]MAIN-101'!$B$13:$M$787,12,FALSE)</f>
        <v>Travel expenses incurred during the SSF Monitoring and validation visit in VARARBEMCO and ASSAT last January 20, 2021</v>
      </c>
      <c r="H172" s="562" t="e">
        <f>SUMIFS('[1]MAIN-101'!$Z$1:$Z$3000,'[1]MAIN-101'!$X$1:$X$3000,A172)</f>
        <v>#VALUE!</v>
      </c>
      <c r="I172" s="562" t="s">
        <v>2687</v>
      </c>
      <c r="J172" t="s">
        <v>2683</v>
      </c>
      <c r="K172" t="s">
        <v>2678</v>
      </c>
      <c r="L172" s="562" t="str">
        <f>VLOOKUP(A172,'Format for Import of DV'!$A$3:$S$1556,3,FALSE)</f>
        <v>043</v>
      </c>
      <c r="M172" s="562" t="e">
        <f>SUMIFS('Recon of ORS and DV'!D:D,'Recon of ORS and DV'!B:B,'DV List for import'!A172)</f>
        <v>#VALUE!</v>
      </c>
      <c r="N172" s="276" t="e">
        <f t="shared" si="11"/>
        <v>#VALUE!</v>
      </c>
    </row>
    <row r="173" spans="1:17">
      <c r="A173" t="s">
        <v>2095</v>
      </c>
      <c r="B173" t="str">
        <f t="shared" si="9"/>
        <v>Fund 01-2021-02-0163</v>
      </c>
      <c r="C173" s="562" t="e">
        <f>VLOOKUP(L173,'Import Process ORS'!$D$4:$E$1557,2,FALSE)</f>
        <v>#N/A</v>
      </c>
      <c r="D173" s="562">
        <f>SUMIFS('Import Process ORS'!L:L,'Import Process ORS'!E:E,'DV List for import'!C173)</f>
        <v>0</v>
      </c>
      <c r="E173" t="s">
        <v>2675</v>
      </c>
      <c r="F173" t="str">
        <f>VLOOKUP(A173,'[1]MAIN-101'!$B$13:$M$787,4,FALSE)</f>
        <v>Ira S. Mantilla</v>
      </c>
      <c r="G173" t="str">
        <f>VLOOKUP(A173,'[1]MAIN-101'!$B$13:$M$787,12,FALSE)</f>
        <v>Travel expenses incurred during the SSF Monitoring and validation visit in VARARBEMCO and ASSAT last January 20, 2021</v>
      </c>
      <c r="H173" s="562" t="e">
        <f>SUMIFS('[1]MAIN-101'!$Z$1:$Z$3000,'[1]MAIN-101'!$X$1:$X$3000,A173)</f>
        <v>#VALUE!</v>
      </c>
      <c r="I173" s="562" t="s">
        <v>2687</v>
      </c>
      <c r="J173" t="s">
        <v>2683</v>
      </c>
      <c r="K173" t="s">
        <v>2678</v>
      </c>
      <c r="L173" s="562" t="str">
        <f>VLOOKUP(A173,'Format for Import of DV'!$A$3:$S$1556,3,FALSE)</f>
        <v>044</v>
      </c>
      <c r="M173" s="562" t="e">
        <f>SUMIFS('Recon of ORS and DV'!D:D,'Recon of ORS and DV'!B:B,'DV List for import'!A173)</f>
        <v>#VALUE!</v>
      </c>
      <c r="N173" s="276" t="e">
        <f t="shared" si="11"/>
        <v>#VALUE!</v>
      </c>
    </row>
    <row r="174" spans="1:17">
      <c r="A174" t="s">
        <v>2096</v>
      </c>
      <c r="B174" t="str">
        <f t="shared" si="9"/>
        <v>Fund 01-2021-02-0164</v>
      </c>
      <c r="C174" s="562" t="e">
        <f>VLOOKUP(L174,'Import Process ORS'!$D$4:$E$1557,2,FALSE)</f>
        <v>#N/A</v>
      </c>
      <c r="D174" s="562">
        <f>SUMIFS('Import Process ORS'!L:L,'Import Process ORS'!E:E,'DV List for import'!C174)</f>
        <v>0</v>
      </c>
      <c r="E174" t="s">
        <v>2675</v>
      </c>
      <c r="F174" t="str">
        <f>VLOOKUP(A174,'[1]MAIN-101'!$B$13:$M$787,4,FALSE)</f>
        <v>Rey B. Acabo</v>
      </c>
      <c r="G174" t="str">
        <f>VLOOKUP(A174,'[1]MAIN-101'!$B$13:$M$787,12,FALSE)</f>
        <v>Travel expenses incurred during the SSF Monitoring and validation visit in VARARBEMCO and ASSAT last January 20, 2021</v>
      </c>
      <c r="H174" s="562" t="e">
        <f>SUMIFS('[1]MAIN-101'!$Z$1:$Z$3000,'[1]MAIN-101'!$X$1:$X$3000,A174)</f>
        <v>#VALUE!</v>
      </c>
      <c r="I174" s="562" t="s">
        <v>2687</v>
      </c>
      <c r="J174" t="s">
        <v>2683</v>
      </c>
      <c r="K174" t="s">
        <v>2678</v>
      </c>
      <c r="L174" s="562" t="str">
        <f>VLOOKUP(A174,'Format for Import of DV'!$A$3:$S$1556,3,FALSE)</f>
        <v>045</v>
      </c>
      <c r="M174" s="562" t="e">
        <f>SUMIFS('Recon of ORS and DV'!D:D,'Recon of ORS and DV'!B:B,'DV List for import'!A174)</f>
        <v>#VALUE!</v>
      </c>
      <c r="N174" s="276" t="e">
        <f t="shared" si="11"/>
        <v>#VALUE!</v>
      </c>
    </row>
    <row r="175" spans="1:17">
      <c r="A175" t="s">
        <v>2489</v>
      </c>
      <c r="B175" t="str">
        <f t="shared" si="9"/>
        <v>Fund 01-2021-02-0165</v>
      </c>
      <c r="C175" s="564" t="str">
        <f>L175</f>
        <v>0000-00-0000</v>
      </c>
      <c r="D175" s="562">
        <f>SUMIFS('Import Process ORS'!L:L,'Import Process ORS'!E:E,'DV List for import'!C175)</f>
        <v>0</v>
      </c>
      <c r="E175" t="s">
        <v>2675</v>
      </c>
      <c r="F175" t="str">
        <f>VLOOKUP(A175,'[1]MAIN-101'!$B$13:$M$787,4,FALSE)</f>
        <v>JCB Express Solution</v>
      </c>
      <c r="G175" t="str">
        <f>VLOOKUP(A175,'[1]MAIN-101'!$B$13:$M$787,12,FALSE)</f>
        <v>Payment for customized invitations for the OTOP PH Hub Launching last December 18, 2020</v>
      </c>
      <c r="H175" s="562" t="e">
        <f>SUMIFS('[1]MAIN-101'!$Z$1:$Z$3000,'[1]MAIN-101'!$X$1:$X$3000,A175)</f>
        <v>#VALUE!</v>
      </c>
      <c r="I175" s="562" t="s">
        <v>392</v>
      </c>
      <c r="J175" t="s">
        <v>2681</v>
      </c>
      <c r="K175" t="s">
        <v>2679</v>
      </c>
      <c r="L175" s="564" t="s">
        <v>2666</v>
      </c>
      <c r="M175" s="562">
        <f>SUMIFS('Recon of ORS and DV'!D:D,'Recon of ORS and DV'!B:B,'DV List for import'!A175)</f>
        <v>0</v>
      </c>
      <c r="N175" s="276" t="e">
        <f t="shared" si="11"/>
        <v>#VALUE!</v>
      </c>
      <c r="O175" t="s">
        <v>392</v>
      </c>
      <c r="P175" t="str">
        <f>VLOOKUP(A175,'[1]MAIN-101'!$B$8:$D$783,2,FALSE)</f>
        <v>12</v>
      </c>
      <c r="Q175" t="str">
        <f>VLOOKUP(A175,'[1]MAIN-101'!$B$8:$D$783,3,FALSE)</f>
        <v>2000</v>
      </c>
    </row>
    <row r="176" spans="1:17">
      <c r="A176" t="s">
        <v>2490</v>
      </c>
      <c r="B176" t="str">
        <f t="shared" si="9"/>
        <v>Fund 01-2021-02-0166</v>
      </c>
      <c r="C176" s="564" t="str">
        <f>L176</f>
        <v>0000-00-0000</v>
      </c>
      <c r="D176" s="562">
        <f>SUMIFS('Import Process ORS'!L:L,'Import Process ORS'!E:E,'DV List for import'!C176)</f>
        <v>0</v>
      </c>
      <c r="E176" t="s">
        <v>2675</v>
      </c>
      <c r="F176" t="str">
        <f>VLOOKUP(A176,'[1]MAIN-101'!$B$13:$M$787,4,FALSE)</f>
        <v>Ralph O. Gorgonio</v>
      </c>
      <c r="G176" t="str">
        <f>VLOOKUP(A176,'[1]MAIN-101'!$B$13:$M$787,12,FALSE)</f>
        <v>Reimbursement  portable wifi modem for office of the RD</v>
      </c>
      <c r="H176" s="562" t="e">
        <f>SUMIFS('[1]MAIN-101'!$Z$1:$Z$3000,'[1]MAIN-101'!$X$1:$X$3000,A176)</f>
        <v>#VALUE!</v>
      </c>
      <c r="I176" s="562" t="s">
        <v>392</v>
      </c>
      <c r="J176" t="s">
        <v>2681</v>
      </c>
      <c r="K176" t="s">
        <v>2679</v>
      </c>
      <c r="L176" s="564" t="s">
        <v>2666</v>
      </c>
      <c r="M176" s="562">
        <f>SUMIFS('Recon of ORS and DV'!D:D,'Recon of ORS and DV'!B:B,'DV List for import'!A176)</f>
        <v>0</v>
      </c>
      <c r="N176" s="276" t="e">
        <f t="shared" si="11"/>
        <v>#VALUE!</v>
      </c>
      <c r="O176" t="s">
        <v>392</v>
      </c>
      <c r="P176" t="str">
        <f>VLOOKUP(A176,'[1]MAIN-101'!$B$8:$D$783,2,FALSE)</f>
        <v>12</v>
      </c>
      <c r="Q176" t="str">
        <f>VLOOKUP(A176,'[1]MAIN-101'!$B$8:$D$783,3,FALSE)</f>
        <v>2008</v>
      </c>
    </row>
    <row r="177" spans="1:17">
      <c r="A177" t="s">
        <v>2491</v>
      </c>
      <c r="B177" t="str">
        <f t="shared" si="9"/>
        <v>Fund 01-2021-02-0167</v>
      </c>
      <c r="C177" s="564" t="str">
        <f>L177</f>
        <v>0000-00-0000</v>
      </c>
      <c r="D177" s="562">
        <f>SUMIFS('Import Process ORS'!L:L,'Import Process ORS'!E:E,'DV List for import'!C177)</f>
        <v>0</v>
      </c>
      <c r="E177" t="s">
        <v>2675</v>
      </c>
      <c r="F177" t="str">
        <f>VLOOKUP(A177,'[1]MAIN-101'!$B$13:$M$787,4,FALSE)</f>
        <v>Need Ink Sales and Services</v>
      </c>
      <c r="G177" t="str">
        <f>VLOOKUP(A177,'[1]MAIN-101'!$B$13:$M$787,12,FALSE)</f>
        <v>Payment for printer toners for ORD use</v>
      </c>
      <c r="H177" s="562" t="e">
        <f>SUMIFS('[1]MAIN-101'!$Z$1:$Z$3000,'[1]MAIN-101'!$X$1:$X$3000,A177)</f>
        <v>#VALUE!</v>
      </c>
      <c r="I177" s="562" t="s">
        <v>392</v>
      </c>
      <c r="J177" t="s">
        <v>2681</v>
      </c>
      <c r="K177" t="s">
        <v>2679</v>
      </c>
      <c r="L177" s="564" t="s">
        <v>2666</v>
      </c>
      <c r="M177" s="562">
        <f>SUMIFS('Recon of ORS and DV'!D:D,'Recon of ORS and DV'!B:B,'DV List for import'!A177)</f>
        <v>0</v>
      </c>
      <c r="N177" s="276" t="e">
        <f t="shared" si="11"/>
        <v>#VALUE!</v>
      </c>
      <c r="O177" t="s">
        <v>392</v>
      </c>
      <c r="P177" t="str">
        <f>VLOOKUP(A177,'[1]MAIN-101'!$B$8:$D$783,2,FALSE)</f>
        <v>12</v>
      </c>
      <c r="Q177" t="str">
        <f>VLOOKUP(A177,'[1]MAIN-101'!$B$8:$D$783,3,FALSE)</f>
        <v>2007</v>
      </c>
    </row>
    <row r="178" spans="1:17">
      <c r="A178" t="s">
        <v>2492</v>
      </c>
      <c r="B178" t="str">
        <f t="shared" si="9"/>
        <v>Fund 01-2021-02-0168</v>
      </c>
      <c r="C178" s="564" t="str">
        <f>L178</f>
        <v>0000-00-0000</v>
      </c>
      <c r="D178" s="562">
        <f>SUMIFS('Import Process ORS'!L:L,'Import Process ORS'!E:E,'DV List for import'!C178)</f>
        <v>0</v>
      </c>
      <c r="E178" t="s">
        <v>2675</v>
      </c>
      <c r="F178" t="str">
        <f>VLOOKUP(A178,'[1]MAIN-101'!$B$13:$M$787,4,FALSE)</f>
        <v>ZJ Trading and Services</v>
      </c>
      <c r="G178" t="str">
        <f>VLOOKUP(A178,'[1]MAIN-101'!$B$13:$M$787,12,FALSE)</f>
        <v>Payment of Combinations Blinds for IDD Office use</v>
      </c>
      <c r="H178" s="562" t="e">
        <f>SUMIFS('[1]MAIN-101'!$Z$1:$Z$3000,'[1]MAIN-101'!$X$1:$X$3000,A178)</f>
        <v>#VALUE!</v>
      </c>
      <c r="I178" s="562" t="s">
        <v>392</v>
      </c>
      <c r="J178" t="s">
        <v>2681</v>
      </c>
      <c r="K178" t="s">
        <v>2679</v>
      </c>
      <c r="L178" s="564" t="s">
        <v>2666</v>
      </c>
      <c r="M178" s="562">
        <f>SUMIFS('Recon of ORS and DV'!D:D,'Recon of ORS and DV'!B:B,'DV List for import'!A178)</f>
        <v>0</v>
      </c>
      <c r="N178" s="276" t="e">
        <f t="shared" si="11"/>
        <v>#VALUE!</v>
      </c>
      <c r="O178" t="s">
        <v>392</v>
      </c>
      <c r="P178" t="str">
        <f>VLOOKUP(A178,'[1]MAIN-101'!$B$8:$D$783,2,FALSE)</f>
        <v>12</v>
      </c>
      <c r="Q178" t="str">
        <f>VLOOKUP(A178,'[1]MAIN-101'!$B$8:$D$783,3,FALSE)</f>
        <v>2019</v>
      </c>
    </row>
    <row r="179" spans="1:17">
      <c r="A179" t="s">
        <v>2493</v>
      </c>
      <c r="B179" t="str">
        <f t="shared" si="9"/>
        <v>Fund 01-2021-02-0169</v>
      </c>
      <c r="C179" s="564" t="str">
        <f>L179</f>
        <v>0000-00-0000</v>
      </c>
      <c r="D179" s="562">
        <f>SUMIFS('Import Process ORS'!L:L,'Import Process ORS'!E:E,'DV List for import'!C179)</f>
        <v>0</v>
      </c>
      <c r="E179" t="s">
        <v>2675</v>
      </c>
      <c r="F179" t="str">
        <f>VLOOKUP(A179,'[1]MAIN-101'!$B$13:$M$787,4,FALSE)</f>
        <v>Tammy Emporium</v>
      </c>
      <c r="G179" t="str">
        <f>VLOOKUP(A179,'[1]MAIN-101'!$B$13:$M$787,12,FALSE)</f>
        <v>Payment for the 4th quarter office supplies for RAPID office use.</v>
      </c>
      <c r="H179" s="562" t="e">
        <f>SUMIFS('[1]MAIN-101'!$Z$1:$Z$3000,'[1]MAIN-101'!$X$1:$X$3000,A179)</f>
        <v>#VALUE!</v>
      </c>
      <c r="I179" s="562" t="s">
        <v>392</v>
      </c>
      <c r="J179" t="s">
        <v>2681</v>
      </c>
      <c r="K179" t="s">
        <v>2679</v>
      </c>
      <c r="L179" s="564" t="s">
        <v>2666</v>
      </c>
      <c r="M179" s="562">
        <f>SUMIFS('Recon of ORS and DV'!D:D,'Recon of ORS and DV'!B:B,'DV List for import'!A179)</f>
        <v>0</v>
      </c>
      <c r="N179" s="276" t="e">
        <f t="shared" si="11"/>
        <v>#VALUE!</v>
      </c>
      <c r="O179" t="s">
        <v>392</v>
      </c>
      <c r="P179" t="str">
        <f>VLOOKUP(A179,'[1]MAIN-101'!$B$8:$D$783,2,FALSE)</f>
        <v>12</v>
      </c>
      <c r="Q179" t="str">
        <f>VLOOKUP(A179,'[1]MAIN-101'!$B$8:$D$783,3,FALSE)</f>
        <v>2016</v>
      </c>
    </row>
    <row r="180" spans="1:17">
      <c r="A180" t="s">
        <v>2091</v>
      </c>
      <c r="B180" t="str">
        <f t="shared" ref="B180:B243" si="12">CONCATENATE("Fund 01-2021-02-",A180)</f>
        <v>Fund 01-2021-02-0170</v>
      </c>
      <c r="C180" s="562" t="e">
        <f>VLOOKUP(L180,'Import Process ORS'!$D$4:$E$1557,2,FALSE)</f>
        <v>#N/A</v>
      </c>
      <c r="D180" s="562">
        <f>SUMIFS('Import Process ORS'!L:L,'Import Process ORS'!E:E,'DV List for import'!C180)</f>
        <v>0</v>
      </c>
      <c r="E180" t="s">
        <v>2675</v>
      </c>
      <c r="F180" t="str">
        <f>VLOOKUP(A180,'[1]MAIN-101'!$B$13:$M$787,4,FALSE)</f>
        <v>Procurement Service</v>
      </c>
      <c r="G180" t="str">
        <f>VLOOKUP(A180,'[1]MAIN-101'!$B$13:$M$787,12,FALSE)</f>
        <v>Payment for IDD Office supplies for 1st quarter 2021, for IDD office use</v>
      </c>
      <c r="H180" s="562" t="e">
        <f>SUMIFS('[1]MAIN-101'!$Z$1:$Z$3000,'[1]MAIN-101'!$X$1:$X$3000,A180)</f>
        <v>#VALUE!</v>
      </c>
      <c r="I180" s="562" t="s">
        <v>2687</v>
      </c>
      <c r="J180" t="s">
        <v>2683</v>
      </c>
      <c r="K180" t="s">
        <v>2678</v>
      </c>
      <c r="L180" s="562" t="str">
        <f>VLOOKUP(A180,'Format for Import of DV'!$A$3:$S$1556,3,FALSE)</f>
        <v>040</v>
      </c>
      <c r="M180" s="562" t="e">
        <f>SUMIFS('Recon of ORS and DV'!D:D,'Recon of ORS and DV'!B:B,'DV List for import'!A180)</f>
        <v>#VALUE!</v>
      </c>
      <c r="N180" s="276" t="e">
        <f t="shared" si="11"/>
        <v>#VALUE!</v>
      </c>
    </row>
    <row r="181" spans="1:17">
      <c r="A181" t="s">
        <v>2092</v>
      </c>
      <c r="B181" t="str">
        <f t="shared" si="12"/>
        <v>Fund 01-2021-02-0171</v>
      </c>
      <c r="C181" s="562" t="e">
        <f>VLOOKUP(L181,'Import Process ORS'!$D$4:$E$1557,2,FALSE)</f>
        <v>#N/A</v>
      </c>
      <c r="D181" s="562">
        <f>SUMIFS('Import Process ORS'!L:L,'Import Process ORS'!E:E,'DV List for import'!C181)</f>
        <v>0</v>
      </c>
      <c r="E181" t="s">
        <v>2675</v>
      </c>
      <c r="F181" t="str">
        <f>VLOOKUP(A181,'[1]MAIN-101'!$B$13:$M$787,4,FALSE)</f>
        <v>Royelen B. Taala</v>
      </c>
      <c r="G181" t="str">
        <f>VLOOKUP(A181,'[1]MAIN-101'!$B$13:$M$787,12,FALSE)</f>
        <v>Reimbursement for the payment of the Planner 2021 for IDD office use.</v>
      </c>
      <c r="H181" s="562" t="e">
        <f>SUMIFS('[1]MAIN-101'!$Z$1:$Z$3000,'[1]MAIN-101'!$X$1:$X$3000,A181)</f>
        <v>#VALUE!</v>
      </c>
      <c r="I181" s="562" t="s">
        <v>2687</v>
      </c>
      <c r="J181" t="s">
        <v>2683</v>
      </c>
      <c r="K181" t="s">
        <v>2678</v>
      </c>
      <c r="L181" s="562" t="str">
        <f>VLOOKUP(A181,'Format for Import of DV'!$A$3:$S$1556,3,FALSE)</f>
        <v>041</v>
      </c>
      <c r="M181" s="562" t="e">
        <f>SUMIFS('Recon of ORS and DV'!D:D,'Recon of ORS and DV'!B:B,'DV List for import'!A181)</f>
        <v>#VALUE!</v>
      </c>
      <c r="N181" s="276" t="e">
        <f t="shared" si="11"/>
        <v>#VALUE!</v>
      </c>
    </row>
    <row r="182" spans="1:17">
      <c r="A182" t="s">
        <v>2116</v>
      </c>
      <c r="B182" t="str">
        <f t="shared" si="12"/>
        <v>Fund 01-2021-02-0172</v>
      </c>
      <c r="C182" s="562" t="e">
        <f>VLOOKUP(L182,'Import Process ORS'!$D$4:$E$1557,2,FALSE)</f>
        <v>#N/A</v>
      </c>
      <c r="D182" s="562">
        <f>SUMIFS('Import Process ORS'!L:L,'Import Process ORS'!E:E,'DV List for import'!C182)</f>
        <v>0</v>
      </c>
      <c r="E182" t="s">
        <v>2675</v>
      </c>
      <c r="F182" t="str">
        <f>VLOOKUP(A182,'[1]MAIN-101'!$B$13:$M$787,4,FALSE)</f>
        <v>Gay A. Tidalgo</v>
      </c>
      <c r="G182" t="str">
        <f>VLOOKUP(A182,'[1]MAIN-101'!$B$13:$M$787,12,FALSE)</f>
        <v>Payment for salary differential due to CES salary adjustment for the period Dec. 3, 2020 to Jan 31, 2021.</v>
      </c>
      <c r="H182" s="562" t="e">
        <f>SUMIFS('[1]MAIN-101'!$Z$1:$Z$3000,'[1]MAIN-101'!$X$1:$X$3000,A182)</f>
        <v>#VALUE!</v>
      </c>
      <c r="I182" s="562" t="s">
        <v>2687</v>
      </c>
      <c r="J182" t="s">
        <v>2683</v>
      </c>
      <c r="K182" t="s">
        <v>2678</v>
      </c>
      <c r="L182" s="562" t="str">
        <f>VLOOKUP(A182,'Format for Import of DV'!$A$3:$S$1556,3,FALSE)</f>
        <v>065</v>
      </c>
      <c r="M182" s="562" t="e">
        <f>SUMIFS('Recon of ORS and DV'!D:D,'Recon of ORS and DV'!B:B,'DV List for import'!A182)</f>
        <v>#VALUE!</v>
      </c>
      <c r="N182" s="276" t="e">
        <f t="shared" si="11"/>
        <v>#VALUE!</v>
      </c>
    </row>
    <row r="183" spans="1:17">
      <c r="A183" t="s">
        <v>2494</v>
      </c>
      <c r="B183" t="str">
        <f t="shared" si="12"/>
        <v>Fund 01-2021-02-0173</v>
      </c>
      <c r="C183" s="564" t="str">
        <f>L183</f>
        <v>0000-00-0000</v>
      </c>
      <c r="D183" s="562">
        <f>SUMIFS('Import Process ORS'!L:L,'Import Process ORS'!E:E,'DV List for import'!C183)</f>
        <v>0</v>
      </c>
      <c r="E183" t="s">
        <v>2675</v>
      </c>
      <c r="F183" t="str">
        <f>VLOOKUP(A183,'[1]MAIN-101'!$B$13:$M$787,4,FALSE)</f>
        <v>GSIS</v>
      </c>
      <c r="G183" t="str">
        <f>VLOOKUP(A183,'[1]MAIN-101'!$B$13:$M$787,12,FALSE)</f>
        <v>Remittance of GSIS Premiums (SIC &amp; RLIP) deducted from the salary of ARD Gay A. Tidalgom for the month of Jan 2021</v>
      </c>
      <c r="H183" s="562" t="e">
        <f>SUMIFS('[1]MAIN-101'!$Z$1:$Z$3000,'[1]MAIN-101'!$X$1:$X$3000,A183)</f>
        <v>#VALUE!</v>
      </c>
      <c r="I183" s="562" t="s">
        <v>2662</v>
      </c>
      <c r="J183" t="s">
        <v>2053</v>
      </c>
      <c r="K183" t="s">
        <v>2680</v>
      </c>
      <c r="L183" s="564" t="s">
        <v>2666</v>
      </c>
      <c r="M183" s="562">
        <f>SUMIFS('Recon of ORS and DV'!D:D,'Recon of ORS and DV'!B:B,'DV List for import'!A183)</f>
        <v>0</v>
      </c>
      <c r="N183" s="276" t="e">
        <f t="shared" si="11"/>
        <v>#VALUE!</v>
      </c>
      <c r="O183" t="s">
        <v>2662</v>
      </c>
    </row>
    <row r="184" spans="1:17">
      <c r="A184" t="s">
        <v>2495</v>
      </c>
      <c r="B184" t="str">
        <f t="shared" si="12"/>
        <v>Fund 01-2021-02-0174</v>
      </c>
      <c r="C184" s="564" t="str">
        <f>L184</f>
        <v>0000-00-0000</v>
      </c>
      <c r="D184" s="562">
        <f>SUMIFS('Import Process ORS'!L:L,'Import Process ORS'!E:E,'DV List for import'!C184)</f>
        <v>0</v>
      </c>
      <c r="E184" t="s">
        <v>2675</v>
      </c>
      <c r="F184" t="str">
        <f>VLOOKUP(A184,'[1]MAIN-101'!$B$13:$M$787,4,FALSE)</f>
        <v>GSIS</v>
      </c>
      <c r="G184" t="str">
        <f>VLOOKUP(A184,'[1]MAIN-101'!$B$13:$M$787,12,FALSE)</f>
        <v>Remittance of GSIS Premiums (SIC) deducted from the salary of ARD Gay A. Tidalgom for the month of Jan 2021</v>
      </c>
      <c r="H184" s="562" t="e">
        <f>SUMIFS('[1]MAIN-101'!$Z$1:$Z$3000,'[1]MAIN-101'!$X$1:$X$3000,A184)</f>
        <v>#VALUE!</v>
      </c>
      <c r="I184" s="562" t="s">
        <v>2662</v>
      </c>
      <c r="J184" t="s">
        <v>2053</v>
      </c>
      <c r="K184" t="s">
        <v>2680</v>
      </c>
      <c r="L184" s="564" t="s">
        <v>2666</v>
      </c>
      <c r="M184" s="562">
        <f>SUMIFS('Recon of ORS and DV'!D:D,'Recon of ORS and DV'!B:B,'DV List for import'!A184)</f>
        <v>0</v>
      </c>
      <c r="N184" s="276" t="e">
        <f t="shared" si="11"/>
        <v>#VALUE!</v>
      </c>
      <c r="O184" t="s">
        <v>2662</v>
      </c>
    </row>
    <row r="185" spans="1:17">
      <c r="A185" t="s">
        <v>2496</v>
      </c>
      <c r="B185" t="str">
        <f t="shared" si="12"/>
        <v>Fund 01-2021-02-0175</v>
      </c>
      <c r="C185" s="564" t="str">
        <f>L185</f>
        <v>0000-00-0000</v>
      </c>
      <c r="D185" s="562">
        <f>SUMIFS('Import Process ORS'!L:L,'Import Process ORS'!E:E,'DV List for import'!C185)</f>
        <v>0</v>
      </c>
      <c r="E185" t="s">
        <v>2675</v>
      </c>
      <c r="F185" t="str">
        <f>VLOOKUP(A185,'[1]MAIN-101'!$B$13:$M$787,4,FALSE)</f>
        <v>DREAMCO MPC</v>
      </c>
      <c r="G185" t="str">
        <f>VLOOKUP(A185,'[1]MAIN-101'!$B$13:$M$787,12,FALSE)</f>
        <v>Remittance Job orders coop deductions for the period January 5-31, 2020</v>
      </c>
      <c r="H185" s="562" t="e">
        <f>SUMIFS('[1]MAIN-101'!$Z$1:$Z$3000,'[1]MAIN-101'!$X$1:$X$3000,A185)</f>
        <v>#VALUE!</v>
      </c>
      <c r="I185" s="562" t="s">
        <v>2662</v>
      </c>
      <c r="J185" t="s">
        <v>2053</v>
      </c>
      <c r="K185" t="s">
        <v>2680</v>
      </c>
      <c r="L185" s="564" t="s">
        <v>2666</v>
      </c>
      <c r="M185" s="562">
        <f>SUMIFS('Recon of ORS and DV'!D:D,'Recon of ORS and DV'!B:B,'DV List for import'!A185)</f>
        <v>0</v>
      </c>
      <c r="N185" s="276" t="e">
        <f t="shared" si="11"/>
        <v>#VALUE!</v>
      </c>
      <c r="O185" t="s">
        <v>2662</v>
      </c>
    </row>
    <row r="186" spans="1:17">
      <c r="A186" t="s">
        <v>2117</v>
      </c>
      <c r="B186" t="str">
        <f t="shared" si="12"/>
        <v>Fund 01-2021-02-0176</v>
      </c>
      <c r="C186" s="562" t="e">
        <f>VLOOKUP(L186,'Import Process ORS'!$D$4:$E$1557,2,FALSE)</f>
        <v>#N/A</v>
      </c>
      <c r="D186" s="562">
        <f>SUMIFS('Import Process ORS'!L:L,'Import Process ORS'!E:E,'DV List for import'!C186)</f>
        <v>0</v>
      </c>
      <c r="E186" t="s">
        <v>2675</v>
      </c>
      <c r="F186" t="str">
        <f>VLOOKUP(A186,'[1]MAIN-101'!$B$13:$M$787,4,FALSE)</f>
        <v>LBP, F/O DTI-JO</v>
      </c>
      <c r="G186" t="str">
        <f>VLOOKUP(A186,'[1]MAIN-101'!$B$13:$M$787,12,FALSE)</f>
        <v>Payment of Job orders for the period January 16-31, 2021</v>
      </c>
      <c r="H186" s="562" t="e">
        <f>SUMIFS('[1]MAIN-101'!$Z$1:$Z$3000,'[1]MAIN-101'!$X$1:$X$3000,A186)</f>
        <v>#VALUE!</v>
      </c>
      <c r="I186" s="562" t="s">
        <v>2687</v>
      </c>
      <c r="J186" t="s">
        <v>2683</v>
      </c>
      <c r="K186" t="s">
        <v>2678</v>
      </c>
      <c r="L186" s="562" t="str">
        <f>VLOOKUP(A186,'Format for Import of DV'!$A$3:$S$1556,3,FALSE)</f>
        <v>066</v>
      </c>
      <c r="M186" s="562" t="e">
        <f>SUMIFS('Recon of ORS and DV'!D:D,'Recon of ORS and DV'!B:B,'DV List for import'!A186)</f>
        <v>#VALUE!</v>
      </c>
      <c r="N186" s="276" t="e">
        <f t="shared" si="11"/>
        <v>#VALUE!</v>
      </c>
    </row>
    <row r="187" spans="1:17">
      <c r="A187" t="s">
        <v>2118</v>
      </c>
      <c r="B187" t="str">
        <f t="shared" si="12"/>
        <v>Fund 01-2021-02-0177</v>
      </c>
      <c r="C187" s="562" t="e">
        <f>VLOOKUP(L187,'Import Process ORS'!$D$4:$E$1557,2,FALSE)</f>
        <v>#N/A</v>
      </c>
      <c r="D187" s="562">
        <f>SUMIFS('Import Process ORS'!L:L,'Import Process ORS'!E:E,'DV List for import'!C187)</f>
        <v>0</v>
      </c>
      <c r="E187" t="s">
        <v>2675</v>
      </c>
      <c r="F187" t="str">
        <f>VLOOKUP(A187,'[1]MAIN-101'!$B$13:$M$787,4,FALSE)</f>
        <v>PD, DTI-AD N</v>
      </c>
      <c r="G187" t="str">
        <f>VLOOKUP(A187,'[1]MAIN-101'!$B$13:$M$787,12,FALSE)</f>
        <v>FT transfer for NC implementation- January 2021</v>
      </c>
      <c r="H187" s="562" t="e">
        <f>SUMIFS('[1]MAIN-101'!$Z$1:$Z$3000,'[1]MAIN-101'!$X$1:$X$3000,A187)</f>
        <v>#VALUE!</v>
      </c>
      <c r="I187" s="562" t="s">
        <v>2685</v>
      </c>
      <c r="J187" t="s">
        <v>2683</v>
      </c>
      <c r="K187" t="s">
        <v>2678</v>
      </c>
      <c r="L187" s="562" t="str">
        <f>VLOOKUP(A187,'Format for Import of DV'!$A$3:$S$1556,3,FALSE)</f>
        <v>067</v>
      </c>
      <c r="M187" s="562" t="e">
        <f>SUMIFS('Recon of ORS and DV'!D:D,'Recon of ORS and DV'!B:B,'DV List for import'!A187)</f>
        <v>#VALUE!</v>
      </c>
      <c r="N187" s="276" t="e">
        <f t="shared" si="11"/>
        <v>#VALUE!</v>
      </c>
    </row>
    <row r="188" spans="1:17">
      <c r="A188" t="s">
        <v>2119</v>
      </c>
      <c r="B188" t="str">
        <f t="shared" si="12"/>
        <v>Fund 01-2021-02-0178</v>
      </c>
      <c r="C188" s="562" t="e">
        <f>VLOOKUP(L188,'Import Process ORS'!$D$4:$E$1557,2,FALSE)</f>
        <v>#N/A</v>
      </c>
      <c r="D188" s="562">
        <f>SUMIFS('Import Process ORS'!L:L,'Import Process ORS'!E:E,'DV List for import'!C188)</f>
        <v>0</v>
      </c>
      <c r="E188" t="s">
        <v>2675</v>
      </c>
      <c r="F188" t="str">
        <f>VLOOKUP(A188,'[1]MAIN-101'!$B$13:$M$787,4,FALSE)</f>
        <v>OIC, DTI-ADS</v>
      </c>
      <c r="G188" t="str">
        <f>VLOOKUP(A188,'[1]MAIN-101'!$B$13:$M$787,12,FALSE)</f>
        <v>FT transfer for NC implementation- January 2021</v>
      </c>
      <c r="H188" s="562" t="e">
        <f>SUMIFS('[1]MAIN-101'!$Z$1:$Z$3000,'[1]MAIN-101'!$X$1:$X$3000,A188)</f>
        <v>#VALUE!</v>
      </c>
      <c r="I188" s="562" t="s">
        <v>2685</v>
      </c>
      <c r="J188" t="s">
        <v>2683</v>
      </c>
      <c r="K188" t="s">
        <v>2678</v>
      </c>
      <c r="L188" s="562" t="str">
        <f>VLOOKUP(A188,'Format for Import of DV'!$A$3:$S$1556,3,FALSE)</f>
        <v>068</v>
      </c>
      <c r="M188" s="562" t="e">
        <f>SUMIFS('Recon of ORS and DV'!D:D,'Recon of ORS and DV'!B:B,'DV List for import'!A188)</f>
        <v>#VALUE!</v>
      </c>
      <c r="N188" s="276" t="e">
        <f t="shared" si="11"/>
        <v>#VALUE!</v>
      </c>
    </row>
    <row r="189" spans="1:17">
      <c r="A189" t="s">
        <v>2120</v>
      </c>
      <c r="B189" t="str">
        <f t="shared" si="12"/>
        <v>Fund 01-2021-02-0179</v>
      </c>
      <c r="C189" s="562" t="e">
        <f>VLOOKUP(L189,'Import Process ORS'!$D$4:$E$1557,2,FALSE)</f>
        <v>#N/A</v>
      </c>
      <c r="D189" s="562">
        <f>SUMIFS('Import Process ORS'!L:L,'Import Process ORS'!E:E,'DV List for import'!C189)</f>
        <v>0</v>
      </c>
      <c r="E189" t="s">
        <v>2675</v>
      </c>
      <c r="F189" t="str">
        <f>VLOOKUP(A189,'[1]MAIN-101'!$B$13:$M$787,4,FALSE)</f>
        <v>OIC, DTI-SDN</v>
      </c>
      <c r="G189" t="str">
        <f>VLOOKUP(A189,'[1]MAIN-101'!$B$13:$M$787,12,FALSE)</f>
        <v>FT transfer for NC implementation- January 2021</v>
      </c>
      <c r="H189" s="562" t="e">
        <f>SUMIFS('[1]MAIN-101'!$Z$1:$Z$3000,'[1]MAIN-101'!$X$1:$X$3000,A189)</f>
        <v>#VALUE!</v>
      </c>
      <c r="I189" s="562" t="s">
        <v>2685</v>
      </c>
      <c r="J189" t="s">
        <v>2683</v>
      </c>
      <c r="K189" t="s">
        <v>2678</v>
      </c>
      <c r="L189" s="562" t="str">
        <f>VLOOKUP(A189,'Format for Import of DV'!$A$3:$S$1556,3,FALSE)</f>
        <v>069</v>
      </c>
      <c r="M189" s="562" t="e">
        <f>SUMIFS('Recon of ORS and DV'!D:D,'Recon of ORS and DV'!B:B,'DV List for import'!A189)</f>
        <v>#VALUE!</v>
      </c>
      <c r="N189" s="276" t="e">
        <f t="shared" si="11"/>
        <v>#VALUE!</v>
      </c>
    </row>
    <row r="190" spans="1:17">
      <c r="A190" t="s">
        <v>2121</v>
      </c>
      <c r="B190" t="str">
        <f t="shared" si="12"/>
        <v>Fund 01-2021-02-0180</v>
      </c>
      <c r="C190" s="562" t="e">
        <f>VLOOKUP(L190,'Import Process ORS'!$D$4:$E$1557,2,FALSE)</f>
        <v>#N/A</v>
      </c>
      <c r="D190" s="562">
        <f>SUMIFS('Import Process ORS'!L:L,'Import Process ORS'!E:E,'DV List for import'!C190)</f>
        <v>0</v>
      </c>
      <c r="E190" t="s">
        <v>2675</v>
      </c>
      <c r="F190" t="str">
        <f>VLOOKUP(A190,'[1]MAIN-101'!$B$13:$M$787,4,FALSE)</f>
        <v>PD, DTI-SDS</v>
      </c>
      <c r="G190" t="str">
        <f>VLOOKUP(A190,'[1]MAIN-101'!$B$13:$M$787,12,FALSE)</f>
        <v>FT transfer for NC implementation- January 2021</v>
      </c>
      <c r="H190" s="562" t="e">
        <f>SUMIFS('[1]MAIN-101'!$Z$1:$Z$3000,'[1]MAIN-101'!$X$1:$X$3000,A190)</f>
        <v>#VALUE!</v>
      </c>
      <c r="I190" s="562" t="s">
        <v>2685</v>
      </c>
      <c r="J190" t="s">
        <v>2683</v>
      </c>
      <c r="K190" t="s">
        <v>2678</v>
      </c>
      <c r="L190" s="562" t="str">
        <f>VLOOKUP(A190,'Format for Import of DV'!$A$3:$S$1556,3,FALSE)</f>
        <v>070</v>
      </c>
      <c r="M190" s="562" t="e">
        <f>SUMIFS('Recon of ORS and DV'!D:D,'Recon of ORS and DV'!B:B,'DV List for import'!A190)</f>
        <v>#VALUE!</v>
      </c>
      <c r="N190" s="276" t="e">
        <f t="shared" si="11"/>
        <v>#VALUE!</v>
      </c>
    </row>
    <row r="191" spans="1:17">
      <c r="A191" t="s">
        <v>2122</v>
      </c>
      <c r="B191" t="str">
        <f t="shared" si="12"/>
        <v>Fund 01-2021-02-0181</v>
      </c>
      <c r="C191" s="562" t="e">
        <f>VLOOKUP(L191,'Import Process ORS'!$D$4:$E$1557,2,FALSE)</f>
        <v>#N/A</v>
      </c>
      <c r="D191" s="562">
        <f>SUMIFS('Import Process ORS'!L:L,'Import Process ORS'!E:E,'DV List for import'!C191)</f>
        <v>0</v>
      </c>
      <c r="E191" t="s">
        <v>2675</v>
      </c>
      <c r="F191" t="str">
        <f>VLOOKUP(A191,'[1]MAIN-101'!$B$13:$M$787,4,FALSE)</f>
        <v>PD, DTI-PDI</v>
      </c>
      <c r="G191" t="str">
        <f>VLOOKUP(A191,'[1]MAIN-101'!$B$13:$M$787,12,FALSE)</f>
        <v>FT transfer for NC implementation- January 2021</v>
      </c>
      <c r="H191" s="562" t="e">
        <f>SUMIFS('[1]MAIN-101'!$Z$1:$Z$3000,'[1]MAIN-101'!$X$1:$X$3000,A191)</f>
        <v>#VALUE!</v>
      </c>
      <c r="I191" s="562" t="s">
        <v>2685</v>
      </c>
      <c r="J191" t="s">
        <v>2683</v>
      </c>
      <c r="K191" t="s">
        <v>2678</v>
      </c>
      <c r="L191" s="562" t="str">
        <f>VLOOKUP(A191,'Format for Import of DV'!$A$3:$S$1556,3,FALSE)</f>
        <v>071</v>
      </c>
      <c r="M191" s="562" t="e">
        <f>SUMIFS('Recon of ORS and DV'!D:D,'Recon of ORS and DV'!B:B,'DV List for import'!A191)</f>
        <v>#VALUE!</v>
      </c>
      <c r="N191" s="276" t="e">
        <f t="shared" si="11"/>
        <v>#VALUE!</v>
      </c>
    </row>
    <row r="192" spans="1:17">
      <c r="A192" t="s">
        <v>2497</v>
      </c>
      <c r="B192" t="str">
        <f t="shared" si="12"/>
        <v>Fund 01-2021-02-0182</v>
      </c>
      <c r="C192" s="564" t="str">
        <f>L192</f>
        <v>0000-00-0000</v>
      </c>
      <c r="D192" s="562">
        <f>SUMIFS('Import Process ORS'!L:L,'Import Process ORS'!E:E,'DV List for import'!C192)</f>
        <v>0</v>
      </c>
      <c r="E192" t="s">
        <v>2675</v>
      </c>
      <c r="F192" t="str">
        <f>VLOOKUP(A192,'[1]MAIN-101'!$B$13:$M$787,4,FALSE)</f>
        <v>Sinograpiko Art Services</v>
      </c>
      <c r="G192" t="str">
        <f>VLOOKUP(A192,'[1]MAIN-101'!$B$13:$M$787,12,FALSE)</f>
        <v>Payment for the customized leis during the grand launching of OTOP PH Hub at SM City Butuan on December 18, 2020</v>
      </c>
      <c r="H192" s="562" t="e">
        <f>SUMIFS('[1]MAIN-101'!$Z$1:$Z$3000,'[1]MAIN-101'!$X$1:$X$3000,A192)</f>
        <v>#VALUE!</v>
      </c>
      <c r="I192" s="562" t="s">
        <v>392</v>
      </c>
      <c r="J192" t="s">
        <v>2681</v>
      </c>
      <c r="K192" t="s">
        <v>2679</v>
      </c>
      <c r="L192" s="564" t="s">
        <v>2666</v>
      </c>
      <c r="M192" s="562">
        <f>SUMIFS('Recon of ORS and DV'!D:D,'Recon of ORS and DV'!B:B,'DV List for import'!A192)</f>
        <v>0</v>
      </c>
      <c r="N192" s="276" t="e">
        <f t="shared" si="11"/>
        <v>#VALUE!</v>
      </c>
      <c r="O192" t="s">
        <v>392</v>
      </c>
      <c r="P192" t="str">
        <f>VLOOKUP(A192,'[1]MAIN-101'!$B$8:$D$783,2,FALSE)</f>
        <v>12</v>
      </c>
      <c r="Q192" t="str">
        <f>VLOOKUP(A192,'[1]MAIN-101'!$B$8:$D$783,3,FALSE)</f>
        <v>2003</v>
      </c>
    </row>
    <row r="193" spans="1:17">
      <c r="A193" t="s">
        <v>2498</v>
      </c>
      <c r="B193" t="str">
        <f t="shared" si="12"/>
        <v>Fund 01-2021-02-0183</v>
      </c>
      <c r="C193" s="564" t="str">
        <f>L193</f>
        <v>0000-00-0000</v>
      </c>
      <c r="D193" s="562">
        <f>SUMIFS('Import Process ORS'!L:L,'Import Process ORS'!E:E,'DV List for import'!C193)</f>
        <v>0</v>
      </c>
      <c r="E193" t="s">
        <v>2675</v>
      </c>
      <c r="F193" t="str">
        <f>VLOOKUP(A193,'[1]MAIN-101'!$B$13:$M$787,4,FALSE)</f>
        <v>Jasmin B. Faelnar</v>
      </c>
      <c r="G193" t="str">
        <f>VLOOKUP(A193,'[1]MAIN-101'!$B$13:$M$787,12,FALSE)</f>
        <v>Reimbursement for the prizes for teambuilding activities during the 2020 Negosyo Center Year end and Planning.</v>
      </c>
      <c r="H193" s="562" t="e">
        <f>SUMIFS('[1]MAIN-101'!$Z$1:$Z$3000,'[1]MAIN-101'!$X$1:$X$3000,A193)</f>
        <v>#VALUE!</v>
      </c>
      <c r="I193" s="562" t="s">
        <v>392</v>
      </c>
      <c r="J193" t="s">
        <v>2681</v>
      </c>
      <c r="K193" t="s">
        <v>2679</v>
      </c>
      <c r="L193" s="564" t="s">
        <v>2666</v>
      </c>
      <c r="M193" s="562">
        <f>SUMIFS('Recon of ORS and DV'!D:D,'Recon of ORS and DV'!B:B,'DV List for import'!A193)</f>
        <v>0</v>
      </c>
      <c r="N193" s="276" t="e">
        <f t="shared" si="11"/>
        <v>#VALUE!</v>
      </c>
      <c r="O193" t="s">
        <v>392</v>
      </c>
      <c r="P193" t="str">
        <f>VLOOKUP(A193,'[1]MAIN-101'!$B$8:$D$783,2,FALSE)</f>
        <v>12</v>
      </c>
      <c r="Q193" t="str">
        <f>VLOOKUP(A193,'[1]MAIN-101'!$B$8:$D$783,3,FALSE)</f>
        <v>2021</v>
      </c>
    </row>
    <row r="194" spans="1:17">
      <c r="A194" t="s">
        <v>2499</v>
      </c>
      <c r="B194" t="str">
        <f t="shared" si="12"/>
        <v>Fund 01-2021-02-0184</v>
      </c>
      <c r="C194" s="564" t="str">
        <f>L194</f>
        <v>0000-00-0000</v>
      </c>
      <c r="D194" s="562">
        <f>SUMIFS('Import Process ORS'!L:L,'Import Process ORS'!E:E,'DV List for import'!C194)</f>
        <v>0</v>
      </c>
      <c r="E194" t="s">
        <v>2675</v>
      </c>
      <c r="F194" t="str">
        <f>VLOOKUP(A194,'[1]MAIN-101'!$B$13:$M$787,4,FALSE)</f>
        <v>Hi-5 Signages Fabricator</v>
      </c>
      <c r="G194" t="str">
        <f>VLOOKUP(A194,'[1]MAIN-101'!$B$13:$M$787,12,FALSE)</f>
        <v>Payment for the plaque of recognition for Salamat Mabuhay Awardee</v>
      </c>
      <c r="H194" s="562" t="e">
        <f>SUMIFS('[1]MAIN-101'!$Z$1:$Z$3000,'[1]MAIN-101'!$X$1:$X$3000,A194)</f>
        <v>#VALUE!</v>
      </c>
      <c r="I194" s="562" t="s">
        <v>392</v>
      </c>
      <c r="J194" t="s">
        <v>2681</v>
      </c>
      <c r="K194" t="s">
        <v>2679</v>
      </c>
      <c r="L194" s="564" t="s">
        <v>2666</v>
      </c>
      <c r="M194" s="562">
        <f>SUMIFS('Recon of ORS and DV'!D:D,'Recon of ORS and DV'!B:B,'DV List for import'!A194)</f>
        <v>0</v>
      </c>
      <c r="N194" s="276" t="e">
        <f t="shared" si="11"/>
        <v>#VALUE!</v>
      </c>
      <c r="O194" t="s">
        <v>392</v>
      </c>
      <c r="P194" t="str">
        <f>VLOOKUP(A194,'[1]MAIN-101'!$B$8:$D$783,2,FALSE)</f>
        <v>12</v>
      </c>
      <c r="Q194" t="str">
        <f>VLOOKUP(A194,'[1]MAIN-101'!$B$8:$D$783,3,FALSE)</f>
        <v>2050</v>
      </c>
    </row>
    <row r="195" spans="1:17">
      <c r="A195" t="s">
        <v>2123</v>
      </c>
      <c r="B195" t="str">
        <f t="shared" si="12"/>
        <v>Fund 01-2021-02-0185</v>
      </c>
      <c r="C195" s="562" t="e">
        <f>VLOOKUP(L195,'Import Process ORS'!$D$4:$E$1557,2,FALSE)</f>
        <v>#N/A</v>
      </c>
      <c r="D195" s="562">
        <f>SUMIFS('Import Process ORS'!L:L,'Import Process ORS'!E:E,'DV List for import'!C195)</f>
        <v>0</v>
      </c>
      <c r="E195" t="s">
        <v>2675</v>
      </c>
      <c r="F195" t="str">
        <f>VLOOKUP(A195,'[1]MAIN-101'!$B$13:$M$787,4,FALSE)</f>
        <v>LBP F/O DTI-RO</v>
      </c>
      <c r="G195" t="str">
        <f>VLOOKUP(A195,'[1]MAIN-101'!$B$13:$M$787,12,FALSE)</f>
        <v>Payment for salary differential due to SSL 5 for the month of January 2021</v>
      </c>
      <c r="H195" s="562" t="e">
        <f>SUMIFS('[1]MAIN-101'!$Z$1:$Z$3000,'[1]MAIN-101'!$X$1:$X$3000,A195)</f>
        <v>#VALUE!</v>
      </c>
      <c r="I195" s="562" t="s">
        <v>2687</v>
      </c>
      <c r="J195" t="s">
        <v>2683</v>
      </c>
      <c r="K195" t="s">
        <v>2678</v>
      </c>
      <c r="L195" s="562" t="str">
        <f>VLOOKUP(A195,'Format for Import of DV'!$A$3:$S$1556,3,FALSE)</f>
        <v>072</v>
      </c>
      <c r="M195" s="562" t="e">
        <f>SUMIFS('Recon of ORS and DV'!D:D,'Recon of ORS and DV'!B:B,'DV List for import'!A195)</f>
        <v>#VALUE!</v>
      </c>
      <c r="N195" s="276" t="e">
        <f t="shared" si="11"/>
        <v>#VALUE!</v>
      </c>
    </row>
    <row r="196" spans="1:17">
      <c r="A196" t="s">
        <v>2124</v>
      </c>
      <c r="B196" t="str">
        <f t="shared" si="12"/>
        <v>Fund 01-2021-02-0186</v>
      </c>
      <c r="C196" s="562" t="e">
        <f>VLOOKUP(L196,'Import Process ORS'!$D$4:$E$1557,2,FALSE)</f>
        <v>#N/A</v>
      </c>
      <c r="D196" s="562">
        <f>SUMIFS('Import Process ORS'!L:L,'Import Process ORS'!E:E,'DV List for import'!C196)</f>
        <v>0</v>
      </c>
      <c r="E196" t="s">
        <v>2675</v>
      </c>
      <c r="F196" t="str">
        <f>VLOOKUP(A196,'[1]MAIN-101'!$B$13:$M$787,4,FALSE)</f>
        <v>LBP F/O DTI-AND</v>
      </c>
      <c r="G196" t="str">
        <f>VLOOKUP(A196,'[1]MAIN-101'!$B$13:$M$787,12,FALSE)</f>
        <v>Payment for salary differential due to SSL 5 for the month of January 2021</v>
      </c>
      <c r="H196" s="562" t="e">
        <f>SUMIFS('[1]MAIN-101'!$Z$1:$Z$3000,'[1]MAIN-101'!$X$1:$X$3000,A196)</f>
        <v>#VALUE!</v>
      </c>
      <c r="I196" s="562" t="s">
        <v>2687</v>
      </c>
      <c r="J196" t="s">
        <v>2683</v>
      </c>
      <c r="K196" t="s">
        <v>2678</v>
      </c>
      <c r="L196" s="562" t="str">
        <f>VLOOKUP(A196,'Format for Import of DV'!$A$3:$S$1556,3,FALSE)</f>
        <v>073</v>
      </c>
      <c r="M196" s="562" t="e">
        <f>SUMIFS('Recon of ORS and DV'!D:D,'Recon of ORS and DV'!B:B,'DV List for import'!A196)</f>
        <v>#VALUE!</v>
      </c>
      <c r="N196" s="276" t="e">
        <f t="shared" ref="N196:N259" si="13">H196-M196</f>
        <v>#VALUE!</v>
      </c>
    </row>
    <row r="197" spans="1:17">
      <c r="A197" t="s">
        <v>2125</v>
      </c>
      <c r="B197" t="str">
        <f t="shared" si="12"/>
        <v>Fund 01-2021-02-0187</v>
      </c>
      <c r="C197" s="562" t="e">
        <f>VLOOKUP(L197,'Import Process ORS'!$D$4:$E$1557,2,FALSE)</f>
        <v>#N/A</v>
      </c>
      <c r="D197" s="562">
        <f>SUMIFS('Import Process ORS'!L:L,'Import Process ORS'!E:E,'DV List for import'!C197)</f>
        <v>0</v>
      </c>
      <c r="E197" t="s">
        <v>2675</v>
      </c>
      <c r="F197" t="str">
        <f>VLOOKUP(A197,'[1]MAIN-101'!$B$13:$M$787,4,FALSE)</f>
        <v>LBP F/O DTI-ADS</v>
      </c>
      <c r="G197" t="str">
        <f>VLOOKUP(A197,'[1]MAIN-101'!$B$13:$M$787,12,FALSE)</f>
        <v>Payment for salary differential due to SSL 5 for the month of January 2021</v>
      </c>
      <c r="H197" s="562" t="e">
        <f>SUMIFS('[1]MAIN-101'!$Z$1:$Z$3000,'[1]MAIN-101'!$X$1:$X$3000,A197)</f>
        <v>#VALUE!</v>
      </c>
      <c r="I197" s="562" t="s">
        <v>2687</v>
      </c>
      <c r="J197" t="s">
        <v>2683</v>
      </c>
      <c r="K197" t="s">
        <v>2678</v>
      </c>
      <c r="L197" s="562" t="str">
        <f>VLOOKUP(A197,'Format for Import of DV'!$A$3:$S$1556,3,FALSE)</f>
        <v>074</v>
      </c>
      <c r="M197" s="562" t="e">
        <f>SUMIFS('Recon of ORS and DV'!D:D,'Recon of ORS and DV'!B:B,'DV List for import'!A197)</f>
        <v>#VALUE!</v>
      </c>
      <c r="N197" s="276" t="e">
        <f t="shared" si="13"/>
        <v>#VALUE!</v>
      </c>
    </row>
    <row r="198" spans="1:17">
      <c r="A198" t="s">
        <v>2126</v>
      </c>
      <c r="B198" t="str">
        <f t="shared" si="12"/>
        <v>Fund 01-2021-02-0188</v>
      </c>
      <c r="C198" s="562" t="e">
        <f>VLOOKUP(L198,'Import Process ORS'!$D$4:$E$1557,2,FALSE)</f>
        <v>#N/A</v>
      </c>
      <c r="D198" s="562">
        <f>SUMIFS('Import Process ORS'!L:L,'Import Process ORS'!E:E,'DV List for import'!C198)</f>
        <v>0</v>
      </c>
      <c r="E198" t="s">
        <v>2675</v>
      </c>
      <c r="F198" t="str">
        <f>VLOOKUP(A198,'[1]MAIN-101'!$B$13:$M$787,4,FALSE)</f>
        <v>LBP F/O DTI-SDN</v>
      </c>
      <c r="G198" t="str">
        <f>VLOOKUP(A198,'[1]MAIN-101'!$B$13:$M$787,12,FALSE)</f>
        <v>Payment for salary differential due to SSL 5 for the month of January 2021</v>
      </c>
      <c r="H198" s="562" t="e">
        <f>SUMIFS('[1]MAIN-101'!$Z$1:$Z$3000,'[1]MAIN-101'!$X$1:$X$3000,A198)</f>
        <v>#VALUE!</v>
      </c>
      <c r="I198" s="562" t="s">
        <v>2687</v>
      </c>
      <c r="J198" t="s">
        <v>2683</v>
      </c>
      <c r="K198" t="s">
        <v>2678</v>
      </c>
      <c r="L198" s="562" t="str">
        <f>VLOOKUP(A198,'Format for Import of DV'!$A$3:$S$1556,3,FALSE)</f>
        <v>075</v>
      </c>
      <c r="M198" s="562" t="e">
        <f>SUMIFS('Recon of ORS and DV'!D:D,'Recon of ORS and DV'!B:B,'DV List for import'!A198)</f>
        <v>#VALUE!</v>
      </c>
      <c r="N198" s="276" t="e">
        <f t="shared" si="13"/>
        <v>#VALUE!</v>
      </c>
    </row>
    <row r="199" spans="1:17">
      <c r="A199" t="s">
        <v>2127</v>
      </c>
      <c r="B199" t="str">
        <f t="shared" si="12"/>
        <v>Fund 01-2021-02-0189</v>
      </c>
      <c r="C199" s="562" t="e">
        <f>VLOOKUP(L199,'Import Process ORS'!$D$4:$E$1557,2,FALSE)</f>
        <v>#N/A</v>
      </c>
      <c r="D199" s="562">
        <f>SUMIFS('Import Process ORS'!L:L,'Import Process ORS'!E:E,'DV List for import'!C199)</f>
        <v>0</v>
      </c>
      <c r="E199" t="s">
        <v>2675</v>
      </c>
      <c r="F199" t="str">
        <f>VLOOKUP(A199,'[1]MAIN-101'!$B$13:$M$787,4,FALSE)</f>
        <v>LBP F/O DTI-SDS</v>
      </c>
      <c r="G199" t="str">
        <f>VLOOKUP(A199,'[1]MAIN-101'!$B$13:$M$787,12,FALSE)</f>
        <v>Payment for salary differential due to SSL 5 for the month of January 2021</v>
      </c>
      <c r="H199" s="562" t="e">
        <f>SUMIFS('[1]MAIN-101'!$Z$1:$Z$3000,'[1]MAIN-101'!$X$1:$X$3000,A199)</f>
        <v>#VALUE!</v>
      </c>
      <c r="I199" s="562" t="s">
        <v>2687</v>
      </c>
      <c r="J199" t="s">
        <v>2683</v>
      </c>
      <c r="K199" t="s">
        <v>2678</v>
      </c>
      <c r="L199" s="562" t="str">
        <f>VLOOKUP(A199,'Format for Import of DV'!$A$3:$S$1556,3,FALSE)</f>
        <v>076</v>
      </c>
      <c r="M199" s="562" t="e">
        <f>SUMIFS('Recon of ORS and DV'!D:D,'Recon of ORS and DV'!B:B,'DV List for import'!A199)</f>
        <v>#VALUE!</v>
      </c>
      <c r="N199" s="276" t="e">
        <f t="shared" si="13"/>
        <v>#VALUE!</v>
      </c>
    </row>
    <row r="200" spans="1:17">
      <c r="A200" t="s">
        <v>2128</v>
      </c>
      <c r="B200" t="str">
        <f t="shared" si="12"/>
        <v>Fund 01-2021-02-0190</v>
      </c>
      <c r="C200" s="562" t="e">
        <f>VLOOKUP(L200,'Import Process ORS'!$D$4:$E$1557,2,FALSE)</f>
        <v>#N/A</v>
      </c>
      <c r="D200" s="562">
        <f>SUMIFS('Import Process ORS'!L:L,'Import Process ORS'!E:E,'DV List for import'!C200)</f>
        <v>0</v>
      </c>
      <c r="E200" t="s">
        <v>2675</v>
      </c>
      <c r="F200" t="str">
        <f>VLOOKUP(A200,'[1]MAIN-101'!$B$13:$M$787,4,FALSE)</f>
        <v>LBP F/O DTI-PDI</v>
      </c>
      <c r="G200" t="str">
        <f>VLOOKUP(A200,'[1]MAIN-101'!$B$13:$M$787,12,FALSE)</f>
        <v>Payment for salary differential due to SSL 5 for the month of January 2021</v>
      </c>
      <c r="H200" s="562" t="e">
        <f>SUMIFS('[1]MAIN-101'!$Z$1:$Z$3000,'[1]MAIN-101'!$X$1:$X$3000,A200)</f>
        <v>#VALUE!</v>
      </c>
      <c r="I200" s="562" t="s">
        <v>2687</v>
      </c>
      <c r="J200" t="s">
        <v>2683</v>
      </c>
      <c r="K200" t="s">
        <v>2678</v>
      </c>
      <c r="L200" s="562" t="str">
        <f>VLOOKUP(A200,'Format for Import of DV'!$A$3:$S$1556,3,FALSE)</f>
        <v>077</v>
      </c>
      <c r="M200" s="562" t="e">
        <f>SUMIFS('Recon of ORS and DV'!D:D,'Recon of ORS and DV'!B:B,'DV List for import'!A200)</f>
        <v>#VALUE!</v>
      </c>
      <c r="N200" s="276" t="e">
        <f t="shared" si="13"/>
        <v>#VALUE!</v>
      </c>
    </row>
    <row r="201" spans="1:17">
      <c r="A201" t="s">
        <v>2129</v>
      </c>
      <c r="B201" t="str">
        <f t="shared" si="12"/>
        <v>Fund 01-2021-02-0191</v>
      </c>
      <c r="C201" s="562" t="e">
        <f>VLOOKUP(L201,'Import Process ORS'!$D$4:$E$1557,2,FALSE)</f>
        <v>#N/A</v>
      </c>
      <c r="D201" s="562">
        <f>SUMIFS('Import Process ORS'!L:L,'Import Process ORS'!E:E,'DV List for import'!C201)</f>
        <v>0</v>
      </c>
      <c r="E201" t="s">
        <v>2675</v>
      </c>
      <c r="F201" t="str">
        <f>VLOOKUP(A201,'[1]MAIN-101'!$B$13:$M$787,4,FALSE)</f>
        <v>Globe Telecom, Inc.</v>
      </c>
      <c r="G201" t="str">
        <f>VLOOKUP(A201,'[1]MAIN-101'!$B$13:$M$787,12,FALSE)</f>
        <v>Payment for postpaid plan with cell no. 091770367098 acct no. 49017022</v>
      </c>
      <c r="H201" s="562" t="e">
        <f>SUMIFS('[1]MAIN-101'!$Z$1:$Z$3000,'[1]MAIN-101'!$X$1:$X$3000,A201)</f>
        <v>#VALUE!</v>
      </c>
      <c r="I201" s="562" t="s">
        <v>2687</v>
      </c>
      <c r="J201" t="s">
        <v>2683</v>
      </c>
      <c r="K201" t="s">
        <v>2678</v>
      </c>
      <c r="L201" s="562" t="str">
        <f>VLOOKUP(A201,'Format for Import of DV'!$A$3:$S$1556,3,FALSE)</f>
        <v>078</v>
      </c>
      <c r="M201" s="562" t="e">
        <f>SUMIFS('Recon of ORS and DV'!D:D,'Recon of ORS and DV'!B:B,'DV List for import'!A201)</f>
        <v>#VALUE!</v>
      </c>
      <c r="N201" s="276" t="e">
        <f t="shared" si="13"/>
        <v>#VALUE!</v>
      </c>
    </row>
    <row r="202" spans="1:17">
      <c r="A202" t="s">
        <v>2130</v>
      </c>
      <c r="B202" t="str">
        <f t="shared" si="12"/>
        <v>Fund 01-2021-02-0192</v>
      </c>
      <c r="C202" s="562" t="e">
        <f>VLOOKUP(L202,'Import Process ORS'!$D$4:$E$1557,2,FALSE)</f>
        <v>#N/A</v>
      </c>
      <c r="D202" s="562">
        <f>SUMIFS('Import Process ORS'!L:L,'Import Process ORS'!E:E,'DV List for import'!C202)</f>
        <v>0</v>
      </c>
      <c r="E202" t="s">
        <v>2675</v>
      </c>
      <c r="F202" t="str">
        <f>VLOOKUP(A202,'[1]MAIN-101'!$B$13:$M$787,4,FALSE)</f>
        <v>GSIS</v>
      </c>
      <c r="G202" t="str">
        <f>VLOOKUP(A202,'[1]MAIN-101'!$B$13:$M$787,12,FALSE)</f>
        <v>Vehicle insurance for Toyota Hilux for the period March 1, 2021-March 1, 2022</v>
      </c>
      <c r="H202" s="562" t="e">
        <f>SUMIFS('[1]MAIN-101'!$Z$1:$Z$3000,'[1]MAIN-101'!$X$1:$X$3000,A202)</f>
        <v>#VALUE!</v>
      </c>
      <c r="I202" s="562" t="s">
        <v>2687</v>
      </c>
      <c r="J202" t="s">
        <v>2683</v>
      </c>
      <c r="K202" t="s">
        <v>2678</v>
      </c>
      <c r="L202" s="562" t="str">
        <f>VLOOKUP(A202,'Format for Import of DV'!$A$3:$S$1556,3,FALSE)</f>
        <v>079</v>
      </c>
      <c r="M202" s="562" t="e">
        <f>SUMIFS('Recon of ORS and DV'!D:D,'Recon of ORS and DV'!B:B,'DV List for import'!A202)</f>
        <v>#VALUE!</v>
      </c>
      <c r="N202" s="276" t="e">
        <f t="shared" si="13"/>
        <v>#VALUE!</v>
      </c>
    </row>
    <row r="203" spans="1:17">
      <c r="A203" t="s">
        <v>2132</v>
      </c>
      <c r="B203" t="str">
        <f t="shared" si="12"/>
        <v>Fund 01-2021-02-0193</v>
      </c>
      <c r="C203" s="562" t="e">
        <f>VLOOKUP(L203,'Import Process ORS'!$D$4:$E$1557,2,FALSE)</f>
        <v>#N/A</v>
      </c>
      <c r="D203" s="562">
        <f>SUMIFS('Import Process ORS'!L:L,'Import Process ORS'!E:E,'DV List for import'!C203)</f>
        <v>0</v>
      </c>
      <c r="E203" t="s">
        <v>2675</v>
      </c>
      <c r="F203" t="str">
        <f>VLOOKUP(A203,'[1]MAIN-101'!$B$13:$M$787,4,FALSE)</f>
        <v>Globe Telecom, Inc.</v>
      </c>
      <c r="G203" t="str">
        <f>VLOOKUP(A203,'[1]MAIN-101'!$B$13:$M$787,12,FALSE)</f>
        <v>Payment for postpaid plan with cell no. 09178656567-acct no.1094019348</v>
      </c>
      <c r="H203" s="562" t="e">
        <f>SUMIFS('[1]MAIN-101'!$Z$1:$Z$3000,'[1]MAIN-101'!$X$1:$X$3000,A203)</f>
        <v>#VALUE!</v>
      </c>
      <c r="I203" s="562" t="s">
        <v>2687</v>
      </c>
      <c r="J203" t="s">
        <v>2683</v>
      </c>
      <c r="K203" t="s">
        <v>2678</v>
      </c>
      <c r="L203" s="562" t="str">
        <f>VLOOKUP(A203,'Format for Import of DV'!$A$3:$S$1556,3,FALSE)</f>
        <v>081</v>
      </c>
      <c r="M203" s="562" t="e">
        <f>SUMIFS('Recon of ORS and DV'!D:D,'Recon of ORS and DV'!B:B,'DV List for import'!A203)</f>
        <v>#VALUE!</v>
      </c>
      <c r="N203" s="276" t="e">
        <f t="shared" si="13"/>
        <v>#VALUE!</v>
      </c>
    </row>
    <row r="204" spans="1:17">
      <c r="A204" t="s">
        <v>2131</v>
      </c>
      <c r="B204" t="str">
        <f t="shared" si="12"/>
        <v>Fund 01-2021-02-0194</v>
      </c>
      <c r="C204" s="562" t="e">
        <f>VLOOKUP(L204,'Import Process ORS'!$D$4:$E$1557,2,FALSE)</f>
        <v>#N/A</v>
      </c>
      <c r="D204" s="562">
        <f>SUMIFS('Import Process ORS'!L:L,'Import Process ORS'!E:E,'DV List for import'!C204)</f>
        <v>0</v>
      </c>
      <c r="E204" t="s">
        <v>2675</v>
      </c>
      <c r="F204" t="str">
        <f>VLOOKUP(A204,'[1]MAIN-101'!$B$13:$M$787,4,FALSE)</f>
        <v>True Brew Gourmet Coffee Shop</v>
      </c>
      <c r="G204" t="str">
        <f>VLOOKUP(A204,'[1]MAIN-101'!$B$13:$M$787,12,FALSE)</f>
        <v>Payment of meals during the SDD Functional Team Meeting on January 19, 2021</v>
      </c>
      <c r="H204" s="562" t="e">
        <f>SUMIFS('[1]MAIN-101'!$Z$1:$Z$3000,'[1]MAIN-101'!$X$1:$X$3000,A204)</f>
        <v>#VALUE!</v>
      </c>
      <c r="I204" s="562" t="s">
        <v>2687</v>
      </c>
      <c r="J204" t="s">
        <v>2683</v>
      </c>
      <c r="K204" t="s">
        <v>2678</v>
      </c>
      <c r="L204" s="562" t="str">
        <f>VLOOKUP(A204,'Format for Import of DV'!$A$3:$S$1556,3,FALSE)</f>
        <v>080</v>
      </c>
      <c r="M204" s="562" t="e">
        <f>SUMIFS('Recon of ORS and DV'!D:D,'Recon of ORS and DV'!B:B,'DV List for import'!A204)</f>
        <v>#VALUE!</v>
      </c>
      <c r="N204" s="276" t="e">
        <f t="shared" si="13"/>
        <v>#VALUE!</v>
      </c>
    </row>
    <row r="205" spans="1:17">
      <c r="A205" t="s">
        <v>2133</v>
      </c>
      <c r="B205" t="str">
        <f t="shared" si="12"/>
        <v>Fund 01-2021-02-0195</v>
      </c>
      <c r="C205" s="562" t="e">
        <f>VLOOKUP(L205,'Import Process ORS'!$D$4:$E$1557,2,FALSE)</f>
        <v>#N/A</v>
      </c>
      <c r="D205" s="562">
        <f>SUMIFS('Import Process ORS'!L:L,'Import Process ORS'!E:E,'DV List for import'!C205)</f>
        <v>0</v>
      </c>
      <c r="E205" t="s">
        <v>2675</v>
      </c>
      <c r="F205" t="str">
        <f>VLOOKUP(A205,'[1]MAIN-101'!$B$13:$M$787,4,FALSE)</f>
        <v>LBP F/O DTI-RO</v>
      </c>
      <c r="G205" t="str">
        <f>VLOOKUP(A205,'[1]MAIN-101'!$B$13:$M$787,12,FALSE)</f>
        <v>Payment for salaries and allowances for Regular employees for the month of February 2021</v>
      </c>
      <c r="H205" s="562" t="e">
        <f>SUMIFS('[1]MAIN-101'!$Z$1:$Z$3000,'[1]MAIN-101'!$X$1:$X$3000,A205)</f>
        <v>#VALUE!</v>
      </c>
      <c r="I205" s="562" t="s">
        <v>2687</v>
      </c>
      <c r="J205" t="s">
        <v>2683</v>
      </c>
      <c r="K205" t="s">
        <v>2678</v>
      </c>
      <c r="L205" s="562" t="str">
        <f>VLOOKUP(A205,'Format for Import of DV'!$A$3:$S$1556,3,FALSE)</f>
        <v>082</v>
      </c>
      <c r="M205" s="562" t="e">
        <f>SUMIFS('Recon of ORS and DV'!D:D,'Recon of ORS and DV'!B:B,'DV List for import'!A205)</f>
        <v>#VALUE!</v>
      </c>
      <c r="N205" s="276" t="e">
        <f t="shared" si="13"/>
        <v>#VALUE!</v>
      </c>
    </row>
    <row r="206" spans="1:17">
      <c r="A206" t="s">
        <v>2134</v>
      </c>
      <c r="B206" t="str">
        <f t="shared" si="12"/>
        <v>Fund 01-2021-02-0196</v>
      </c>
      <c r="C206" s="562" t="e">
        <f>VLOOKUP(L206,'Import Process ORS'!$D$4:$E$1557,2,FALSE)</f>
        <v>#N/A</v>
      </c>
      <c r="D206" s="562">
        <f>SUMIFS('Import Process ORS'!L:L,'Import Process ORS'!E:E,'DV List for import'!C206)</f>
        <v>0</v>
      </c>
      <c r="E206" t="s">
        <v>2675</v>
      </c>
      <c r="F206" t="str">
        <f>VLOOKUP(A206,'[1]MAIN-101'!$B$13:$M$787,4,FALSE)</f>
        <v>LBP F/O DTI-ADS</v>
      </c>
      <c r="G206" t="str">
        <f>VLOOKUP(A206,'[1]MAIN-101'!$B$13:$M$787,12,FALSE)</f>
        <v>Payment for salaries and allowances for Regular employees for the month of February 2021</v>
      </c>
      <c r="H206" s="562" t="e">
        <f>SUMIFS('[1]MAIN-101'!$Z$1:$Z$3000,'[1]MAIN-101'!$X$1:$X$3000,A206)</f>
        <v>#VALUE!</v>
      </c>
      <c r="I206" s="562" t="s">
        <v>2687</v>
      </c>
      <c r="J206" t="s">
        <v>2683</v>
      </c>
      <c r="K206" t="s">
        <v>2678</v>
      </c>
      <c r="L206" s="562" t="str">
        <f>VLOOKUP(A206,'Format for Import of DV'!$A$3:$S$1556,3,FALSE)</f>
        <v>083</v>
      </c>
      <c r="M206" s="562" t="e">
        <f>SUMIFS('Recon of ORS and DV'!D:D,'Recon of ORS and DV'!B:B,'DV List for import'!A206)</f>
        <v>#VALUE!</v>
      </c>
      <c r="N206" s="276" t="e">
        <f t="shared" si="13"/>
        <v>#VALUE!</v>
      </c>
    </row>
    <row r="207" spans="1:17">
      <c r="A207" t="s">
        <v>2135</v>
      </c>
      <c r="B207" t="str">
        <f t="shared" si="12"/>
        <v>Fund 01-2021-02-0197</v>
      </c>
      <c r="C207" s="562" t="e">
        <f>VLOOKUP(L207,'Import Process ORS'!$D$4:$E$1557,2,FALSE)</f>
        <v>#N/A</v>
      </c>
      <c r="D207" s="562">
        <f>SUMIFS('Import Process ORS'!L:L,'Import Process ORS'!E:E,'DV List for import'!C207)</f>
        <v>0</v>
      </c>
      <c r="E207" t="s">
        <v>2675</v>
      </c>
      <c r="F207" t="str">
        <f>VLOOKUP(A207,'[1]MAIN-101'!$B$13:$M$787,4,FALSE)</f>
        <v>LBP F/O DTI-PDI</v>
      </c>
      <c r="G207" t="str">
        <f>VLOOKUP(A207,'[1]MAIN-101'!$B$13:$M$787,12,FALSE)</f>
        <v>Payment for salaries and allowances for Regular employees for the month of February 2021</v>
      </c>
      <c r="H207" s="562" t="e">
        <f>SUMIFS('[1]MAIN-101'!$Z$1:$Z$3000,'[1]MAIN-101'!$X$1:$X$3000,A207)</f>
        <v>#VALUE!</v>
      </c>
      <c r="I207" s="562" t="s">
        <v>2687</v>
      </c>
      <c r="J207" t="s">
        <v>2683</v>
      </c>
      <c r="K207" t="s">
        <v>2678</v>
      </c>
      <c r="L207" s="562" t="str">
        <f>VLOOKUP(A207,'Format for Import of DV'!$A$3:$S$1556,3,FALSE)</f>
        <v>084</v>
      </c>
      <c r="M207" s="562" t="e">
        <f>SUMIFS('Recon of ORS and DV'!D:D,'Recon of ORS and DV'!B:B,'DV List for import'!A207)</f>
        <v>#VALUE!</v>
      </c>
      <c r="N207" s="276" t="e">
        <f t="shared" si="13"/>
        <v>#VALUE!</v>
      </c>
    </row>
    <row r="208" spans="1:17">
      <c r="A208" t="s">
        <v>2136</v>
      </c>
      <c r="B208" t="str">
        <f t="shared" si="12"/>
        <v>Fund 01-2021-02-0198</v>
      </c>
      <c r="C208" s="562" t="e">
        <f>VLOOKUP(L208,'Import Process ORS'!$D$4:$E$1557,2,FALSE)</f>
        <v>#N/A</v>
      </c>
      <c r="D208" s="562">
        <f>SUMIFS('Import Process ORS'!L:L,'Import Process ORS'!E:E,'DV List for import'!C208)</f>
        <v>0</v>
      </c>
      <c r="E208" t="s">
        <v>2675</v>
      </c>
      <c r="F208" t="str">
        <f>VLOOKUP(A208,'[1]MAIN-101'!$B$13:$M$787,4,FALSE)</f>
        <v>Marry Ann L. Pascual</v>
      </c>
      <c r="G208" t="str">
        <f>VLOOKUP(A208,'[1]MAIN-101'!$B$13:$M$787,12,FALSE)</f>
        <v>Payment for salary differential due to step increment from Jan 4-31, 2021</v>
      </c>
      <c r="H208" s="562" t="e">
        <f>SUMIFS('[1]MAIN-101'!$Z$1:$Z$3000,'[1]MAIN-101'!$X$1:$X$3000,A208)</f>
        <v>#VALUE!</v>
      </c>
      <c r="I208" s="562" t="s">
        <v>2687</v>
      </c>
      <c r="J208" t="s">
        <v>2683</v>
      </c>
      <c r="K208" t="s">
        <v>2678</v>
      </c>
      <c r="L208" s="562" t="str">
        <f>VLOOKUP(A208,'Format for Import of DV'!$A$3:$S$1556,3,FALSE)</f>
        <v>085</v>
      </c>
      <c r="M208" s="562" t="e">
        <f>SUMIFS('Recon of ORS and DV'!D:D,'Recon of ORS and DV'!B:B,'DV List for import'!A208)</f>
        <v>#VALUE!</v>
      </c>
      <c r="N208" s="276" t="e">
        <f t="shared" si="13"/>
        <v>#VALUE!</v>
      </c>
    </row>
    <row r="209" spans="1:17">
      <c r="A209" t="s">
        <v>2137</v>
      </c>
      <c r="B209" t="str">
        <f t="shared" si="12"/>
        <v>Fund 01-2021-02-0199</v>
      </c>
      <c r="C209" s="562" t="e">
        <f>VLOOKUP(L209,'Import Process ORS'!$D$4:$E$1557,2,FALSE)</f>
        <v>#N/A</v>
      </c>
      <c r="D209" s="562">
        <f>SUMIFS('Import Process ORS'!L:L,'Import Process ORS'!E:E,'DV List for import'!C209)</f>
        <v>0</v>
      </c>
      <c r="E209" t="s">
        <v>2675</v>
      </c>
      <c r="F209" t="str">
        <f>VLOOKUP(A209,'[1]MAIN-101'!$B$13:$M$787,4,FALSE)</f>
        <v>Marian Corazon R. Togonon</v>
      </c>
      <c r="G209" t="str">
        <f>VLOOKUP(A209,'[1]MAIN-101'!$B$13:$M$787,12,FALSE)</f>
        <v>Payment for salary differential due to step increment from Jan 4-31, 2021</v>
      </c>
      <c r="H209" s="562" t="e">
        <f>SUMIFS('[1]MAIN-101'!$Z$1:$Z$3000,'[1]MAIN-101'!$X$1:$X$3000,A209)</f>
        <v>#VALUE!</v>
      </c>
      <c r="I209" s="562" t="s">
        <v>2687</v>
      </c>
      <c r="J209" t="s">
        <v>2683</v>
      </c>
      <c r="K209" t="s">
        <v>2678</v>
      </c>
      <c r="L209" s="562" t="str">
        <f>VLOOKUP(A209,'Format for Import of DV'!$A$3:$S$1556,3,FALSE)</f>
        <v>086</v>
      </c>
      <c r="M209" s="562" t="e">
        <f>SUMIFS('Recon of ORS and DV'!D:D,'Recon of ORS and DV'!B:B,'DV List for import'!A209)</f>
        <v>#VALUE!</v>
      </c>
      <c r="N209" s="276" t="e">
        <f t="shared" si="13"/>
        <v>#VALUE!</v>
      </c>
    </row>
    <row r="210" spans="1:17">
      <c r="A210" t="s">
        <v>2138</v>
      </c>
      <c r="B210" t="str">
        <f t="shared" si="12"/>
        <v>Fund 01-2021-02-0200</v>
      </c>
      <c r="C210" s="562" t="e">
        <f>VLOOKUP(L210,'Import Process ORS'!$D$4:$E$1557,2,FALSE)</f>
        <v>#N/A</v>
      </c>
      <c r="D210" s="562">
        <f>SUMIFS('Import Process ORS'!L:L,'Import Process ORS'!E:E,'DV List for import'!C210)</f>
        <v>0</v>
      </c>
      <c r="E210" t="s">
        <v>2675</v>
      </c>
      <c r="F210" t="str">
        <f>VLOOKUP(A210,'[1]MAIN-101'!$B$13:$M$787,4,FALSE)</f>
        <v>Maribel P. Timogan</v>
      </c>
      <c r="G210" t="str">
        <f>VLOOKUP(A210,'[1]MAIN-101'!$B$13:$M$787,12,FALSE)</f>
        <v>Payment for salary differential due to step increment from Jan 4-31, 2021</v>
      </c>
      <c r="H210" s="562" t="e">
        <f>SUMIFS('[1]MAIN-101'!$Z$1:$Z$3000,'[1]MAIN-101'!$X$1:$X$3000,A210)</f>
        <v>#VALUE!</v>
      </c>
      <c r="I210" s="562" t="s">
        <v>2687</v>
      </c>
      <c r="J210" t="s">
        <v>2683</v>
      </c>
      <c r="K210" t="s">
        <v>2678</v>
      </c>
      <c r="L210" s="562" t="str">
        <f>VLOOKUP(A210,'Format for Import of DV'!$A$3:$S$1556,3,FALSE)</f>
        <v>087</v>
      </c>
      <c r="M210" s="562" t="e">
        <f>SUMIFS('Recon of ORS and DV'!D:D,'Recon of ORS and DV'!B:B,'DV List for import'!A210)</f>
        <v>#VALUE!</v>
      </c>
      <c r="N210" s="276" t="e">
        <f t="shared" si="13"/>
        <v>#VALUE!</v>
      </c>
    </row>
    <row r="211" spans="1:17">
      <c r="A211" t="s">
        <v>2139</v>
      </c>
      <c r="B211" t="str">
        <f t="shared" si="12"/>
        <v>Fund 01-2021-02-0201</v>
      </c>
      <c r="C211" s="562" t="e">
        <f>VLOOKUP(L211,'Import Process ORS'!$D$4:$E$1557,2,FALSE)</f>
        <v>#N/A</v>
      </c>
      <c r="D211" s="562">
        <f>SUMIFS('Import Process ORS'!L:L,'Import Process ORS'!E:E,'DV List for import'!C211)</f>
        <v>0</v>
      </c>
      <c r="E211" t="s">
        <v>2675</v>
      </c>
      <c r="F211" t="str">
        <f>VLOOKUP(A211,'[1]MAIN-101'!$B$13:$M$787,4,FALSE)</f>
        <v>Land Bank of the Philippines</v>
      </c>
      <c r="G211" t="str">
        <f>VLOOKUP(A211,'[1]MAIN-101'!$B$13:$M$787,12,FALSE)</f>
        <v>Payment for salary differential due to promotion from Jan 4-31, 2021</v>
      </c>
      <c r="H211" s="562" t="e">
        <f>SUMIFS('[1]MAIN-101'!$Z$1:$Z$3000,'[1]MAIN-101'!$X$1:$X$3000,A211)</f>
        <v>#VALUE!</v>
      </c>
      <c r="I211" s="562" t="s">
        <v>2687</v>
      </c>
      <c r="J211" t="s">
        <v>2683</v>
      </c>
      <c r="K211" t="s">
        <v>2678</v>
      </c>
      <c r="L211" s="562" t="str">
        <f>VLOOKUP(A211,'Format for Import of DV'!$A$3:$S$1556,3,FALSE)</f>
        <v>088</v>
      </c>
      <c r="M211" s="562" t="e">
        <f>SUMIFS('Recon of ORS and DV'!D:D,'Recon of ORS and DV'!B:B,'DV List for import'!A211)</f>
        <v>#VALUE!</v>
      </c>
      <c r="N211" s="276" t="e">
        <f t="shared" si="13"/>
        <v>#VALUE!</v>
      </c>
    </row>
    <row r="212" spans="1:17">
      <c r="A212" t="s">
        <v>2140</v>
      </c>
      <c r="B212" t="str">
        <f t="shared" si="12"/>
        <v>Fund 01-2021-02-0202</v>
      </c>
      <c r="C212" s="562" t="e">
        <f>VLOOKUP(L212,'Import Process ORS'!$D$4:$E$1557,2,FALSE)</f>
        <v>#N/A</v>
      </c>
      <c r="D212" s="562">
        <f>SUMIFS('Import Process ORS'!L:L,'Import Process ORS'!E:E,'DV List for import'!C212)</f>
        <v>0</v>
      </c>
      <c r="E212" t="s">
        <v>2675</v>
      </c>
      <c r="F212" t="str">
        <f>VLOOKUP(A212,'[1]MAIN-101'!$B$13:$M$787,4,FALSE)</f>
        <v>Jumar H. Llorente</v>
      </c>
      <c r="G212" t="str">
        <f>VLOOKUP(A212,'[1]MAIN-101'!$B$13:$M$787,12,FALSE)</f>
        <v>Payment for salaries and allowances for Regular employees for the month of February 2021</v>
      </c>
      <c r="H212" s="562" t="e">
        <f>SUMIFS('[1]MAIN-101'!$Z$1:$Z$3000,'[1]MAIN-101'!$X$1:$X$3000,A212)</f>
        <v>#VALUE!</v>
      </c>
      <c r="I212" s="562" t="s">
        <v>2687</v>
      </c>
      <c r="J212" t="s">
        <v>2683</v>
      </c>
      <c r="K212" t="s">
        <v>2678</v>
      </c>
      <c r="L212" s="562" t="str">
        <f>VLOOKUP(A212,'Format for Import of DV'!$A$3:$S$1556,3,FALSE)</f>
        <v>089</v>
      </c>
      <c r="M212" s="562" t="e">
        <f>SUMIFS('Recon of ORS and DV'!D:D,'Recon of ORS and DV'!B:B,'DV List for import'!A212)</f>
        <v>#VALUE!</v>
      </c>
      <c r="N212" s="276" t="e">
        <f t="shared" si="13"/>
        <v>#VALUE!</v>
      </c>
    </row>
    <row r="213" spans="1:17">
      <c r="A213" t="s">
        <v>2141</v>
      </c>
      <c r="B213" t="str">
        <f t="shared" si="12"/>
        <v>Fund 01-2021-02-0203</v>
      </c>
      <c r="C213" s="562" t="e">
        <f>VLOOKUP(L213,'Import Process ORS'!$D$4:$E$1557,2,FALSE)</f>
        <v>#N/A</v>
      </c>
      <c r="D213" s="562">
        <f>SUMIFS('Import Process ORS'!L:L,'Import Process ORS'!E:E,'DV List for import'!C213)</f>
        <v>0</v>
      </c>
      <c r="E213" t="s">
        <v>2675</v>
      </c>
      <c r="F213" t="str">
        <f>VLOOKUP(A213,'[1]MAIN-101'!$B$13:$M$787,4,FALSE)</f>
        <v>Joselito B. Paler</v>
      </c>
      <c r="G213" t="str">
        <f>VLOOKUP(A213,'[1]MAIN-101'!$B$13:$M$787,12,FALSE)</f>
        <v>Payment for salaries and allowances for Regular employees for the month of February 2021</v>
      </c>
      <c r="H213" s="562" t="e">
        <f>SUMIFS('[1]MAIN-101'!$Z$1:$Z$3000,'[1]MAIN-101'!$X$1:$X$3000,A213)</f>
        <v>#VALUE!</v>
      </c>
      <c r="I213" s="562" t="s">
        <v>2687</v>
      </c>
      <c r="J213" t="s">
        <v>2683</v>
      </c>
      <c r="K213" t="s">
        <v>2678</v>
      </c>
      <c r="L213" s="562" t="str">
        <f>VLOOKUP(A213,'Format for Import of DV'!$A$3:$S$1556,3,FALSE)</f>
        <v>090</v>
      </c>
      <c r="M213" s="562" t="e">
        <f>SUMIFS('Recon of ORS and DV'!D:D,'Recon of ORS and DV'!B:B,'DV List for import'!A213)</f>
        <v>#VALUE!</v>
      </c>
      <c r="N213" s="276" t="e">
        <f t="shared" si="13"/>
        <v>#VALUE!</v>
      </c>
    </row>
    <row r="214" spans="1:17">
      <c r="A214" t="s">
        <v>2158</v>
      </c>
      <c r="B214" t="str">
        <f t="shared" si="12"/>
        <v>Fund 01-2021-02-0204</v>
      </c>
      <c r="C214" s="562" t="e">
        <f>VLOOKUP(L214,'Import Process ORS'!$D$4:$E$1557,2,FALSE)</f>
        <v>#N/A</v>
      </c>
      <c r="D214" s="562">
        <f>SUMIFS('Import Process ORS'!L:L,'Import Process ORS'!E:E,'DV List for import'!C214)</f>
        <v>0</v>
      </c>
      <c r="E214" t="s">
        <v>2675</v>
      </c>
      <c r="F214" t="str">
        <f>VLOOKUP(A214,'[1]MAIN-101'!$B$13:$M$787,4,FALSE)</f>
        <v>LBP F/O DTI-SDN</v>
      </c>
      <c r="G214" t="str">
        <f>VLOOKUP(A214,'[1]MAIN-101'!$B$13:$M$787,12,FALSE)</f>
        <v>Payment for salaries and allowances for Regular employees for the month of February 2021</v>
      </c>
      <c r="H214" s="562" t="e">
        <f>SUMIFS('[1]MAIN-101'!$Z$1:$Z$3000,'[1]MAIN-101'!$X$1:$X$3000,A214)</f>
        <v>#VALUE!</v>
      </c>
      <c r="I214" s="562" t="s">
        <v>2687</v>
      </c>
      <c r="J214" t="s">
        <v>2683</v>
      </c>
      <c r="K214" t="s">
        <v>2678</v>
      </c>
      <c r="L214" s="562" t="str">
        <f>VLOOKUP(A214,'Format for Import of DV'!$A$3:$S$1556,3,FALSE)</f>
        <v>116</v>
      </c>
      <c r="M214" s="562" t="e">
        <f>SUMIFS('Recon of ORS and DV'!D:D,'Recon of ORS and DV'!B:B,'DV List for import'!A214)</f>
        <v>#VALUE!</v>
      </c>
      <c r="N214" s="276" t="e">
        <f t="shared" si="13"/>
        <v>#VALUE!</v>
      </c>
    </row>
    <row r="215" spans="1:17">
      <c r="A215" t="s">
        <v>2157</v>
      </c>
      <c r="B215" t="str">
        <f t="shared" si="12"/>
        <v>Fund 01-2021-02-0205</v>
      </c>
      <c r="C215" s="562" t="e">
        <f>VLOOKUP(L215,'Import Process ORS'!$D$4:$E$1557,2,FALSE)</f>
        <v>#N/A</v>
      </c>
      <c r="D215" s="562">
        <f>SUMIFS('Import Process ORS'!L:L,'Import Process ORS'!E:E,'DV List for import'!C215)</f>
        <v>0</v>
      </c>
      <c r="E215" t="s">
        <v>2675</v>
      </c>
      <c r="F215" t="str">
        <f>VLOOKUP(A215,'[1]MAIN-101'!$B$13:$M$787,4,FALSE)</f>
        <v>Lemuel D. Roboca</v>
      </c>
      <c r="G215" t="str">
        <f>VLOOKUP(A215,'[1]MAIN-101'!$B$13:$M$787,12,FALSE)</f>
        <v>Payment for salaries and allowances for Regular employees for the month of February 2021</v>
      </c>
      <c r="H215" s="562" t="e">
        <f>SUMIFS('[1]MAIN-101'!$Z$1:$Z$3000,'[1]MAIN-101'!$X$1:$X$3000,A215)</f>
        <v>#VALUE!</v>
      </c>
      <c r="I215" s="562" t="s">
        <v>2687</v>
      </c>
      <c r="J215" t="s">
        <v>2683</v>
      </c>
      <c r="K215" t="s">
        <v>2678</v>
      </c>
      <c r="L215" s="562" t="str">
        <f>VLOOKUP(A215,'Format for Import of DV'!$A$3:$S$1556,3,FALSE)</f>
        <v>115</v>
      </c>
      <c r="M215" s="562" t="e">
        <f>SUMIFS('Recon of ORS and DV'!D:D,'Recon of ORS and DV'!B:B,'DV List for import'!A215)</f>
        <v>#VALUE!</v>
      </c>
      <c r="N215" s="276" t="e">
        <f t="shared" si="13"/>
        <v>#VALUE!</v>
      </c>
    </row>
    <row r="216" spans="1:17">
      <c r="A216" t="s">
        <v>2156</v>
      </c>
      <c r="B216" t="str">
        <f t="shared" si="12"/>
        <v>Fund 01-2021-02-0206</v>
      </c>
      <c r="C216" s="562" t="e">
        <f>VLOOKUP(L216,'Import Process ORS'!$D$4:$E$1557,2,FALSE)</f>
        <v>#N/A</v>
      </c>
      <c r="D216" s="562">
        <f>SUMIFS('Import Process ORS'!L:L,'Import Process ORS'!E:E,'DV List for import'!C216)</f>
        <v>0</v>
      </c>
      <c r="E216" t="s">
        <v>2675</v>
      </c>
      <c r="F216" t="str">
        <f>VLOOKUP(A216,'[1]MAIN-101'!$B$13:$M$787,4,FALSE)</f>
        <v>LBP F/O DTI-SDS</v>
      </c>
      <c r="G216" t="str">
        <f>VLOOKUP(A216,'[1]MAIN-101'!$B$13:$M$787,12,FALSE)</f>
        <v>Payment for salaries and allowances for Regular employees for the month of February 2021</v>
      </c>
      <c r="H216" s="562" t="e">
        <f>SUMIFS('[1]MAIN-101'!$Z$1:$Z$3000,'[1]MAIN-101'!$X$1:$X$3000,A216)</f>
        <v>#VALUE!</v>
      </c>
      <c r="I216" s="562" t="s">
        <v>2687</v>
      </c>
      <c r="J216" t="s">
        <v>2683</v>
      </c>
      <c r="K216" t="s">
        <v>2678</v>
      </c>
      <c r="L216" s="562" t="str">
        <f>VLOOKUP(A216,'Format for Import of DV'!$A$3:$S$1556,3,FALSE)</f>
        <v>114</v>
      </c>
      <c r="M216" s="562" t="e">
        <f>SUMIFS('Recon of ORS and DV'!D:D,'Recon of ORS and DV'!B:B,'DV List for import'!A216)</f>
        <v>#VALUE!</v>
      </c>
      <c r="N216" s="276" t="e">
        <f t="shared" si="13"/>
        <v>#VALUE!</v>
      </c>
    </row>
    <row r="217" spans="1:17">
      <c r="A217" t="s">
        <v>2155</v>
      </c>
      <c r="B217" t="str">
        <f t="shared" si="12"/>
        <v>Fund 01-2021-02-0207</v>
      </c>
      <c r="C217" s="562" t="e">
        <f>VLOOKUP(L217,'Import Process ORS'!$D$4:$E$1557,2,FALSE)</f>
        <v>#N/A</v>
      </c>
      <c r="D217" s="562">
        <f>SUMIFS('Import Process ORS'!L:L,'Import Process ORS'!E:E,'DV List for import'!C217)</f>
        <v>0</v>
      </c>
      <c r="E217" t="s">
        <v>2675</v>
      </c>
      <c r="F217" t="str">
        <f>VLOOKUP(A217,'[1]MAIN-101'!$B$13:$M$787,4,FALSE)</f>
        <v>LBP F/O DTI-SDS</v>
      </c>
      <c r="G217" t="str">
        <f>VLOOKUP(A217,'[1]MAIN-101'!$B$13:$M$787,12,FALSE)</f>
        <v>Payment for salaries and allowances for Regular employees for the month of February 2021</v>
      </c>
      <c r="H217" s="562" t="e">
        <f>SUMIFS('[1]MAIN-101'!$Z$1:$Z$3000,'[1]MAIN-101'!$X$1:$X$3000,A217)</f>
        <v>#VALUE!</v>
      </c>
      <c r="I217" s="562" t="s">
        <v>2687</v>
      </c>
      <c r="J217" t="s">
        <v>2683</v>
      </c>
      <c r="K217" t="s">
        <v>2678</v>
      </c>
      <c r="L217" s="562" t="str">
        <f>VLOOKUP(A217,'Format for Import of DV'!$A$3:$S$1556,3,FALSE)</f>
        <v>113</v>
      </c>
      <c r="M217" s="562" t="e">
        <f>SUMIFS('Recon of ORS and DV'!D:D,'Recon of ORS and DV'!B:B,'DV List for import'!A217)</f>
        <v>#VALUE!</v>
      </c>
      <c r="N217" s="276" t="e">
        <f t="shared" si="13"/>
        <v>#VALUE!</v>
      </c>
    </row>
    <row r="218" spans="1:17">
      <c r="A218" t="s">
        <v>2153</v>
      </c>
      <c r="B218" t="str">
        <f t="shared" si="12"/>
        <v>Fund 01-2021-02-0208</v>
      </c>
      <c r="C218" s="562" t="e">
        <f>VLOOKUP(L218,'Import Process ORS'!$D$4:$E$1557,2,FALSE)</f>
        <v>#N/A</v>
      </c>
      <c r="D218" s="562">
        <f>SUMIFS('Import Process ORS'!L:L,'Import Process ORS'!E:E,'DV List for import'!C218)</f>
        <v>0</v>
      </c>
      <c r="E218" t="s">
        <v>2675</v>
      </c>
      <c r="F218" t="str">
        <f>VLOOKUP(A218,'[1]MAIN-101'!$B$13:$M$787,4,FALSE)</f>
        <v>LBP F/O DTI-AND</v>
      </c>
      <c r="G218" t="str">
        <f>VLOOKUP(A218,'[1]MAIN-101'!$B$13:$M$787,12,FALSE)</f>
        <v>Payment for salaries and allowances for Regular employees for the month of February 2021</v>
      </c>
      <c r="H218" s="562" t="e">
        <f>SUMIFS('[1]MAIN-101'!$Z$1:$Z$3000,'[1]MAIN-101'!$X$1:$X$3000,A218)</f>
        <v>#VALUE!</v>
      </c>
      <c r="I218" s="562" t="s">
        <v>2687</v>
      </c>
      <c r="J218" t="s">
        <v>2683</v>
      </c>
      <c r="K218" t="s">
        <v>2678</v>
      </c>
      <c r="L218" s="562" t="str">
        <f>VLOOKUP(A218,'Format for Import of DV'!$A$3:$S$1556,3,FALSE)</f>
        <v>111</v>
      </c>
      <c r="M218" s="562" t="e">
        <f>SUMIFS('Recon of ORS and DV'!D:D,'Recon of ORS and DV'!B:B,'DV List for import'!A218)</f>
        <v>#VALUE!</v>
      </c>
      <c r="N218" s="276" t="e">
        <f t="shared" si="13"/>
        <v>#VALUE!</v>
      </c>
    </row>
    <row r="219" spans="1:17">
      <c r="A219" t="s">
        <v>2154</v>
      </c>
      <c r="B219" t="str">
        <f t="shared" si="12"/>
        <v>Fund 01-2021-02-0209</v>
      </c>
      <c r="C219" s="562" t="e">
        <f>VLOOKUP(L219,'Import Process ORS'!$D$4:$E$1557,2,FALSE)</f>
        <v>#N/A</v>
      </c>
      <c r="D219" s="562">
        <f>SUMIFS('Import Process ORS'!L:L,'Import Process ORS'!E:E,'DV List for import'!C219)</f>
        <v>0</v>
      </c>
      <c r="E219" t="s">
        <v>2675</v>
      </c>
      <c r="F219" t="str">
        <f>VLOOKUP(A219,'[1]MAIN-101'!$B$13:$M$787,4,FALSE)</f>
        <v>LBP F/O DTI-AND</v>
      </c>
      <c r="G219" t="str">
        <f>VLOOKUP(A219,'[1]MAIN-101'!$B$13:$M$787,12,FALSE)</f>
        <v>Payment for salaries and allowances for Regular employees for the month of February 2021</v>
      </c>
      <c r="H219" s="562" t="e">
        <f>SUMIFS('[1]MAIN-101'!$Z$1:$Z$3000,'[1]MAIN-101'!$X$1:$X$3000,A219)</f>
        <v>#VALUE!</v>
      </c>
      <c r="I219" s="562" t="s">
        <v>2687</v>
      </c>
      <c r="J219" t="s">
        <v>2683</v>
      </c>
      <c r="K219" t="s">
        <v>2678</v>
      </c>
      <c r="L219" s="562" t="str">
        <f>VLOOKUP(A219,'Format for Import of DV'!$A$3:$S$1556,3,FALSE)</f>
        <v>112</v>
      </c>
      <c r="M219" s="562" t="e">
        <f>SUMIFS('Recon of ORS and DV'!D:D,'Recon of ORS and DV'!B:B,'DV List for import'!A219)</f>
        <v>#VALUE!</v>
      </c>
      <c r="N219" s="276" t="e">
        <f t="shared" si="13"/>
        <v>#VALUE!</v>
      </c>
    </row>
    <row r="220" spans="1:17">
      <c r="A220" t="s">
        <v>2159</v>
      </c>
      <c r="B220" t="str">
        <f t="shared" si="12"/>
        <v>Fund 01-2021-02-0210</v>
      </c>
      <c r="C220" s="562" t="e">
        <f>VLOOKUP(L220,'Import Process ORS'!$D$4:$E$1557,2,FALSE)</f>
        <v>#N/A</v>
      </c>
      <c r="D220" s="562">
        <f>SUMIFS('Import Process ORS'!L:L,'Import Process ORS'!E:E,'DV List for import'!C220)</f>
        <v>0</v>
      </c>
      <c r="E220" t="s">
        <v>2675</v>
      </c>
      <c r="F220" t="str">
        <f>VLOOKUP(A220,'[1]MAIN-101'!$B$13:$M$787,4,FALSE)</f>
        <v>Ma. Malen B. Catamora</v>
      </c>
      <c r="G220" t="str">
        <f>VLOOKUP(A220,'[1]MAIN-101'!$B$13:$M$787,12,FALSE)</f>
        <v>Payment for salaries and allowances for Regular employees for the month of February 2021</v>
      </c>
      <c r="H220" s="562" t="e">
        <f>SUMIFS('[1]MAIN-101'!$Z$1:$Z$3000,'[1]MAIN-101'!$X$1:$X$3000,A220)</f>
        <v>#VALUE!</v>
      </c>
      <c r="I220" s="562" t="s">
        <v>2687</v>
      </c>
      <c r="J220" t="s">
        <v>2683</v>
      </c>
      <c r="K220" t="s">
        <v>2678</v>
      </c>
      <c r="L220" s="562" t="str">
        <f>VLOOKUP(A220,'Format for Import of DV'!$A$3:$S$1556,3,FALSE)</f>
        <v>117</v>
      </c>
      <c r="M220" s="562" t="e">
        <f>SUMIFS('Recon of ORS and DV'!D:D,'Recon of ORS and DV'!B:B,'DV List for import'!A220)</f>
        <v>#VALUE!</v>
      </c>
      <c r="N220" s="276" t="e">
        <f t="shared" si="13"/>
        <v>#VALUE!</v>
      </c>
    </row>
    <row r="221" spans="1:17">
      <c r="A221" t="s">
        <v>2500</v>
      </c>
      <c r="B221" t="str">
        <f t="shared" si="12"/>
        <v>Fund 01-2021-02-0210A</v>
      </c>
      <c r="C221" s="564" t="str">
        <f>L221</f>
        <v>0000-00-0000</v>
      </c>
      <c r="D221" s="562">
        <f>SUMIFS('Import Process ORS'!L:L,'Import Process ORS'!E:E,'DV List for import'!C221)</f>
        <v>0</v>
      </c>
      <c r="E221" t="s">
        <v>2675</v>
      </c>
      <c r="F221" t="str">
        <f>VLOOKUP(A221,'[1]MAIN-101'!$B$13:$M$787,4,FALSE)</f>
        <v>Renato Gatchalian</v>
      </c>
      <c r="G221" t="str">
        <f>VLOOKUP(A221,'[1]MAIN-101'!$B$13:$M$787,12,FALSE)</f>
        <v>Payment of Honorarium of panelist during BIP Presentation on September 21-23, 2020(KMME Online Session Batch 1</v>
      </c>
      <c r="H221" s="562" t="e">
        <f>SUMIFS('[1]MAIN-101'!$Z$1:$Z$3000,'[1]MAIN-101'!$X$1:$X$3000,A221)</f>
        <v>#VALUE!</v>
      </c>
      <c r="I221" s="562" t="s">
        <v>392</v>
      </c>
      <c r="J221" t="s">
        <v>2681</v>
      </c>
      <c r="K221" t="s">
        <v>2679</v>
      </c>
      <c r="L221" s="564" t="s">
        <v>2666</v>
      </c>
      <c r="M221" s="562">
        <f>SUMIFS('Recon of ORS and DV'!D:D,'Recon of ORS and DV'!B:B,'DV List for import'!A221)</f>
        <v>0</v>
      </c>
      <c r="N221" s="276" t="e">
        <f t="shared" si="13"/>
        <v>#VALUE!</v>
      </c>
      <c r="O221" t="s">
        <v>392</v>
      </c>
      <c r="P221" t="str">
        <f>VLOOKUP(A221,'[1]MAIN-101'!$B$8:$D$783,2,FALSE)</f>
        <v>12</v>
      </c>
      <c r="Q221" t="str">
        <f>VLOOKUP(A221,'[1]MAIN-101'!$B$8:$D$783,3,FALSE)</f>
        <v>1901</v>
      </c>
    </row>
    <row r="222" spans="1:17">
      <c r="A222" t="s">
        <v>2160</v>
      </c>
      <c r="B222" t="str">
        <f t="shared" si="12"/>
        <v>Fund 01-2021-02-0211</v>
      </c>
      <c r="C222" s="562" t="e">
        <f>VLOOKUP(L222,'Import Process ORS'!$D$4:$E$1557,2,FALSE)</f>
        <v>#N/A</v>
      </c>
      <c r="D222" s="562">
        <f>SUMIFS('Import Process ORS'!L:L,'Import Process ORS'!E:E,'DV List for import'!C222)</f>
        <v>0</v>
      </c>
      <c r="E222" t="s">
        <v>2675</v>
      </c>
      <c r="F222" t="str">
        <f>VLOOKUP(A222,'[1]MAIN-101'!$B$13:$M$787,4,FALSE)</f>
        <v>Loida C. Gumahin</v>
      </c>
      <c r="G222" t="str">
        <f>VLOOKUP(A222,'[1]MAIN-101'!$B$13:$M$787,12,FALSE)</f>
        <v>Payment for initial salary as Contractual Staff under NC PROGRAM for January 18-31, 2021</v>
      </c>
      <c r="H222" s="562" t="e">
        <f>SUMIFS('[1]MAIN-101'!$Z$1:$Z$3000,'[1]MAIN-101'!$X$1:$X$3000,A222)</f>
        <v>#VALUE!</v>
      </c>
      <c r="I222" s="562" t="s">
        <v>2687</v>
      </c>
      <c r="J222" t="s">
        <v>2683</v>
      </c>
      <c r="K222" t="s">
        <v>2678</v>
      </c>
      <c r="L222" s="562" t="str">
        <f>VLOOKUP(A222,'Format for Import of DV'!$A$3:$S$1556,3,FALSE)</f>
        <v>118</v>
      </c>
      <c r="M222" s="562" t="e">
        <f>SUMIFS('Recon of ORS and DV'!D:D,'Recon of ORS and DV'!B:B,'DV List for import'!A222)</f>
        <v>#VALUE!</v>
      </c>
      <c r="N222" s="276" t="e">
        <f t="shared" si="13"/>
        <v>#VALUE!</v>
      </c>
    </row>
    <row r="223" spans="1:17">
      <c r="A223" t="s">
        <v>2161</v>
      </c>
      <c r="B223" t="str">
        <f t="shared" si="12"/>
        <v>Fund 01-2021-02-0212</v>
      </c>
      <c r="C223" s="562" t="e">
        <f>VLOOKUP(L223,'Import Process ORS'!$D$4:$E$1557,2,FALSE)</f>
        <v>#N/A</v>
      </c>
      <c r="D223" s="562">
        <f>SUMIFS('Import Process ORS'!L:L,'Import Process ORS'!E:E,'DV List for import'!C223)</f>
        <v>0</v>
      </c>
      <c r="E223" t="s">
        <v>2675</v>
      </c>
      <c r="F223" t="str">
        <f>VLOOKUP(A223,'[1]MAIN-101'!$B$13:$M$787,4,FALSE)</f>
        <v>Rezel May C. Goloran</v>
      </c>
      <c r="G223" t="str">
        <f>VLOOKUP(A223,'[1]MAIN-101'!$B$13:$M$787,12,FALSE)</f>
        <v>Payment for initial salary as Contractual Staff under NC PROGRAM for January 18-31, 2021</v>
      </c>
      <c r="H223" s="562" t="e">
        <f>SUMIFS('[1]MAIN-101'!$Z$1:$Z$3000,'[1]MAIN-101'!$X$1:$X$3000,A223)</f>
        <v>#VALUE!</v>
      </c>
      <c r="I223" s="562" t="s">
        <v>2687</v>
      </c>
      <c r="J223" t="s">
        <v>2683</v>
      </c>
      <c r="K223" t="s">
        <v>2678</v>
      </c>
      <c r="L223" s="562" t="str">
        <f>VLOOKUP(A223,'Format for Import of DV'!$A$3:$S$1556,3,FALSE)</f>
        <v>119</v>
      </c>
      <c r="M223" s="562" t="e">
        <f>SUMIFS('Recon of ORS and DV'!D:D,'Recon of ORS and DV'!B:B,'DV List for import'!A223)</f>
        <v>#VALUE!</v>
      </c>
      <c r="N223" s="276" t="e">
        <f t="shared" si="13"/>
        <v>#VALUE!</v>
      </c>
    </row>
    <row r="224" spans="1:17">
      <c r="A224" t="s">
        <v>2162</v>
      </c>
      <c r="B224" t="str">
        <f t="shared" si="12"/>
        <v>Fund 01-2021-02-0213</v>
      </c>
      <c r="C224" s="562" t="e">
        <f>VLOOKUP(L224,'Import Process ORS'!$D$4:$E$1557,2,FALSE)</f>
        <v>#N/A</v>
      </c>
      <c r="D224" s="562">
        <f>SUMIFS('Import Process ORS'!L:L,'Import Process ORS'!E:E,'DV List for import'!C224)</f>
        <v>0</v>
      </c>
      <c r="E224" t="s">
        <v>2675</v>
      </c>
      <c r="F224" t="str">
        <f>VLOOKUP(A224,'[1]MAIN-101'!$B$13:$M$787,4,FALSE)</f>
        <v>Elyn Rose A. Ranario</v>
      </c>
      <c r="G224" t="str">
        <f>VLOOKUP(A224,'[1]MAIN-101'!$B$13:$M$787,12,FALSE)</f>
        <v>Payment for initial salary as Contractual Staff under NC PROGRAM for January 18-31, 2021</v>
      </c>
      <c r="H224" s="562" t="e">
        <f>SUMIFS('[1]MAIN-101'!$Z$1:$Z$3000,'[1]MAIN-101'!$X$1:$X$3000,A224)</f>
        <v>#VALUE!</v>
      </c>
      <c r="I224" s="562" t="s">
        <v>2687</v>
      </c>
      <c r="J224" t="s">
        <v>2683</v>
      </c>
      <c r="K224" t="s">
        <v>2678</v>
      </c>
      <c r="L224" s="562" t="str">
        <f>VLOOKUP(A224,'Format for Import of DV'!$A$3:$S$1556,3,FALSE)</f>
        <v>120</v>
      </c>
      <c r="M224" s="562" t="e">
        <f>SUMIFS('Recon of ORS and DV'!D:D,'Recon of ORS and DV'!B:B,'DV List for import'!A224)</f>
        <v>#VALUE!</v>
      </c>
      <c r="N224" s="276" t="e">
        <f t="shared" si="13"/>
        <v>#VALUE!</v>
      </c>
    </row>
    <row r="225" spans="1:15">
      <c r="A225" t="s">
        <v>2163</v>
      </c>
      <c r="B225" t="str">
        <f t="shared" si="12"/>
        <v>Fund 01-2021-02-0214</v>
      </c>
      <c r="C225" s="562" t="e">
        <f>VLOOKUP(L225,'Import Process ORS'!$D$4:$E$1557,2,FALSE)</f>
        <v>#N/A</v>
      </c>
      <c r="D225" s="562">
        <f>SUMIFS('Import Process ORS'!L:L,'Import Process ORS'!E:E,'DV List for import'!C225)</f>
        <v>0</v>
      </c>
      <c r="E225" t="s">
        <v>2675</v>
      </c>
      <c r="F225" t="str">
        <f>VLOOKUP(A225,'[1]MAIN-101'!$B$13:$M$787,4,FALSE)</f>
        <v>Carl Mars P. Ravelo</v>
      </c>
      <c r="G225" t="str">
        <f>VLOOKUP(A225,'[1]MAIN-101'!$B$13:$M$787,12,FALSE)</f>
        <v>Payment for initial salary as Contractual Staff under NC PROGRAM for January 18-31, 2021</v>
      </c>
      <c r="H225" s="562" t="e">
        <f>SUMIFS('[1]MAIN-101'!$Z$1:$Z$3000,'[1]MAIN-101'!$X$1:$X$3000,A225)</f>
        <v>#VALUE!</v>
      </c>
      <c r="I225" s="562" t="s">
        <v>2687</v>
      </c>
      <c r="J225" t="s">
        <v>2683</v>
      </c>
      <c r="K225" t="s">
        <v>2678</v>
      </c>
      <c r="L225" s="562" t="str">
        <f>VLOOKUP(A225,'Format for Import of DV'!$A$3:$S$1556,3,FALSE)</f>
        <v>121</v>
      </c>
      <c r="M225" s="562" t="e">
        <f>SUMIFS('Recon of ORS and DV'!D:D,'Recon of ORS and DV'!B:B,'DV List for import'!A225)</f>
        <v>#VALUE!</v>
      </c>
      <c r="N225" s="276" t="e">
        <f t="shared" si="13"/>
        <v>#VALUE!</v>
      </c>
    </row>
    <row r="226" spans="1:15">
      <c r="A226" t="s">
        <v>2164</v>
      </c>
      <c r="B226" t="str">
        <f t="shared" si="12"/>
        <v>Fund 01-2021-02-0215</v>
      </c>
      <c r="C226" s="562" t="e">
        <f>VLOOKUP(L226,'Import Process ORS'!$D$4:$E$1557,2,FALSE)</f>
        <v>#N/A</v>
      </c>
      <c r="D226" s="562">
        <f>SUMIFS('Import Process ORS'!L:L,'Import Process ORS'!E:E,'DV List for import'!C226)</f>
        <v>0</v>
      </c>
      <c r="E226" t="s">
        <v>2675</v>
      </c>
      <c r="F226" t="str">
        <f>VLOOKUP(A226,'[1]MAIN-101'!$B$13:$M$787,4,FALSE)</f>
        <v>Olimar O. Sulapas</v>
      </c>
      <c r="G226" t="str">
        <f>VLOOKUP(A226,'[1]MAIN-101'!$B$13:$M$787,12,FALSE)</f>
        <v>Payment for initial salary as Contractual Staff under NC PROGRAM for January 18-31, 2021</v>
      </c>
      <c r="H226" s="562" t="e">
        <f>SUMIFS('[1]MAIN-101'!$Z$1:$Z$3000,'[1]MAIN-101'!$X$1:$X$3000,A226)</f>
        <v>#VALUE!</v>
      </c>
      <c r="I226" s="562" t="s">
        <v>2687</v>
      </c>
      <c r="J226" t="s">
        <v>2683</v>
      </c>
      <c r="K226" t="s">
        <v>2678</v>
      </c>
      <c r="L226" s="562" t="str">
        <f>VLOOKUP(A226,'Format for Import of DV'!$A$3:$S$1556,3,FALSE)</f>
        <v>122</v>
      </c>
      <c r="M226" s="562" t="e">
        <f>SUMIFS('Recon of ORS and DV'!D:D,'Recon of ORS and DV'!B:B,'DV List for import'!A226)</f>
        <v>#VALUE!</v>
      </c>
      <c r="N226" s="276" t="e">
        <f t="shared" si="13"/>
        <v>#VALUE!</v>
      </c>
    </row>
    <row r="227" spans="1:15">
      <c r="A227" t="s">
        <v>2165</v>
      </c>
      <c r="B227" t="str">
        <f t="shared" si="12"/>
        <v>Fund 01-2021-02-0216</v>
      </c>
      <c r="C227" s="562" t="e">
        <f>VLOOKUP(L227,'Import Process ORS'!$D$4:$E$1557,2,FALSE)</f>
        <v>#N/A</v>
      </c>
      <c r="D227" s="562">
        <f>SUMIFS('Import Process ORS'!L:L,'Import Process ORS'!E:E,'DV List for import'!C227)</f>
        <v>0</v>
      </c>
      <c r="E227" t="s">
        <v>2675</v>
      </c>
      <c r="F227" t="str">
        <f>VLOOKUP(A227,'[1]MAIN-101'!$B$13:$M$787,4,FALSE)</f>
        <v>Loida C. Gumahin</v>
      </c>
      <c r="G227" t="str">
        <f>VLOOKUP(A227,'[1]MAIN-101'!$B$13:$M$787,12,FALSE)</f>
        <v>Payment for salary of NC staff for the month of February 2021</v>
      </c>
      <c r="H227" s="562" t="e">
        <f>SUMIFS('[1]MAIN-101'!$Z$1:$Z$3000,'[1]MAIN-101'!$X$1:$X$3000,A227)</f>
        <v>#VALUE!</v>
      </c>
      <c r="I227" s="562" t="s">
        <v>2687</v>
      </c>
      <c r="J227" t="s">
        <v>2683</v>
      </c>
      <c r="K227" t="s">
        <v>2678</v>
      </c>
      <c r="L227" s="562" t="str">
        <f>VLOOKUP(A227,'Format for Import of DV'!$A$3:$S$1556,3,FALSE)</f>
        <v>123</v>
      </c>
      <c r="M227" s="562" t="e">
        <f>SUMIFS('Recon of ORS and DV'!D:D,'Recon of ORS and DV'!B:B,'DV List for import'!A227)</f>
        <v>#VALUE!</v>
      </c>
      <c r="N227" s="276" t="e">
        <f t="shared" si="13"/>
        <v>#VALUE!</v>
      </c>
    </row>
    <row r="228" spans="1:15">
      <c r="A228" t="s">
        <v>2501</v>
      </c>
      <c r="B228" t="str">
        <f t="shared" si="12"/>
        <v>Fund 01-2021-02-0217</v>
      </c>
      <c r="C228" s="564" t="str">
        <f>L228</f>
        <v>0000-00-0000</v>
      </c>
      <c r="D228" s="562">
        <f>SUMIFS('Import Process ORS'!L:L,'Import Process ORS'!E:E,'DV List for import'!C228)</f>
        <v>0</v>
      </c>
      <c r="E228" t="s">
        <v>2675</v>
      </c>
      <c r="F228" t="str">
        <f>VLOOKUP(A228,'[1]MAIN-101'!$B$13:$M$787,4,FALSE)</f>
        <v>Dreamco MPC</v>
      </c>
      <c r="G228" t="str">
        <f>VLOOKUP(A228,'[1]MAIN-101'!$B$13:$M$787,12,FALSE)</f>
        <v>Remittance of COOP deductions for the month of February 2021</v>
      </c>
      <c r="H228" s="562" t="e">
        <f>SUMIFS('[1]MAIN-101'!$Z$1:$Z$3000,'[1]MAIN-101'!$X$1:$X$3000,A228)</f>
        <v>#VALUE!</v>
      </c>
      <c r="I228" s="562" t="s">
        <v>2662</v>
      </c>
      <c r="J228" t="s">
        <v>2053</v>
      </c>
      <c r="K228" t="s">
        <v>2680</v>
      </c>
      <c r="L228" s="564" t="s">
        <v>2666</v>
      </c>
      <c r="M228" s="562">
        <f>SUMIFS('Recon of ORS and DV'!D:D,'Recon of ORS and DV'!B:B,'DV List for import'!A228)</f>
        <v>0</v>
      </c>
      <c r="N228" s="276" t="e">
        <f t="shared" si="13"/>
        <v>#VALUE!</v>
      </c>
      <c r="O228" t="s">
        <v>2662</v>
      </c>
    </row>
    <row r="229" spans="1:15">
      <c r="A229" t="s">
        <v>2145</v>
      </c>
      <c r="B229" t="str">
        <f t="shared" si="12"/>
        <v>Fund 01-2021-02-0218</v>
      </c>
      <c r="C229" s="562" t="e">
        <f>VLOOKUP(L229,'Import Process ORS'!$D$4:$E$1557,2,FALSE)</f>
        <v>#N/A</v>
      </c>
      <c r="D229" s="562">
        <f>SUMIFS('Import Process ORS'!L:L,'Import Process ORS'!E:E,'DV List for import'!C229)</f>
        <v>0</v>
      </c>
      <c r="E229" t="s">
        <v>2675</v>
      </c>
      <c r="F229" t="str">
        <f>VLOOKUP(A229,'[1]MAIN-101'!$B$13:$M$787,4,FALSE)</f>
        <v>PD, DTI-AND</v>
      </c>
      <c r="G229" t="str">
        <f>VLOOKUP(A229,'[1]MAIN-101'!$B$13:$M$787,12,FALSE)</f>
        <v>Advances for LSP-NSB Implementation for 1st qtr 2021</v>
      </c>
      <c r="H229" s="562" t="e">
        <f>SUMIFS('[1]MAIN-101'!$Z$1:$Z$3000,'[1]MAIN-101'!$X$1:$X$3000,A229)</f>
        <v>#VALUE!</v>
      </c>
      <c r="I229" s="562" t="s">
        <v>2687</v>
      </c>
      <c r="J229" t="s">
        <v>2683</v>
      </c>
      <c r="K229" t="s">
        <v>2678</v>
      </c>
      <c r="L229" s="562" t="str">
        <f>VLOOKUP(A229,'Format for Import of DV'!$A$3:$S$1556,3,FALSE)</f>
        <v>095</v>
      </c>
      <c r="M229" s="562" t="e">
        <f>SUMIFS('Recon of ORS and DV'!D:D,'Recon of ORS and DV'!B:B,'DV List for import'!A229)</f>
        <v>#VALUE!</v>
      </c>
      <c r="N229" s="276" t="e">
        <f t="shared" si="13"/>
        <v>#VALUE!</v>
      </c>
    </row>
    <row r="230" spans="1:15">
      <c r="A230" t="s">
        <v>2146</v>
      </c>
      <c r="B230" t="str">
        <f t="shared" si="12"/>
        <v>Fund 01-2021-02-0219</v>
      </c>
      <c r="C230" s="562" t="e">
        <f>VLOOKUP(L230,'Import Process ORS'!$D$4:$E$1557,2,FALSE)</f>
        <v>#N/A</v>
      </c>
      <c r="D230" s="562">
        <f>SUMIFS('Import Process ORS'!L:L,'Import Process ORS'!E:E,'DV List for import'!C230)</f>
        <v>0</v>
      </c>
      <c r="E230" t="s">
        <v>2675</v>
      </c>
      <c r="F230" t="str">
        <f>VLOOKUP(A230,'[1]MAIN-101'!$B$13:$M$787,4,FALSE)</f>
        <v>OIC, DTI-ADS</v>
      </c>
      <c r="G230" t="str">
        <f>VLOOKUP(A230,'[1]MAIN-101'!$B$13:$M$787,12,FALSE)</f>
        <v>Advances for LSP-NSB Implementation for 1st qtr 2021</v>
      </c>
      <c r="H230" s="562" t="e">
        <f>SUMIFS('[1]MAIN-101'!$Z$1:$Z$3000,'[1]MAIN-101'!$X$1:$X$3000,A230)</f>
        <v>#VALUE!</v>
      </c>
      <c r="I230" s="562" t="s">
        <v>2685</v>
      </c>
      <c r="J230" t="s">
        <v>2683</v>
      </c>
      <c r="K230" t="s">
        <v>2678</v>
      </c>
      <c r="L230" s="562" t="str">
        <f>VLOOKUP(A230,'Format for Import of DV'!$A$3:$S$1556,3,FALSE)</f>
        <v>096</v>
      </c>
      <c r="M230" s="562" t="e">
        <f>SUMIFS('Recon of ORS and DV'!D:D,'Recon of ORS and DV'!B:B,'DV List for import'!A230)</f>
        <v>#VALUE!</v>
      </c>
      <c r="N230" s="276" t="e">
        <f t="shared" si="13"/>
        <v>#VALUE!</v>
      </c>
    </row>
    <row r="231" spans="1:15">
      <c r="A231" t="s">
        <v>2147</v>
      </c>
      <c r="B231" t="str">
        <f t="shared" si="12"/>
        <v>Fund 01-2021-02-0220</v>
      </c>
      <c r="C231" s="562" t="e">
        <f>VLOOKUP(L231,'Import Process ORS'!$D$4:$E$1557,2,FALSE)</f>
        <v>#N/A</v>
      </c>
      <c r="D231" s="562">
        <f>SUMIFS('Import Process ORS'!L:L,'Import Process ORS'!E:E,'DV List for import'!C231)</f>
        <v>0</v>
      </c>
      <c r="E231" t="s">
        <v>2675</v>
      </c>
      <c r="F231" t="str">
        <f>VLOOKUP(A231,'[1]MAIN-101'!$B$13:$M$787,4,FALSE)</f>
        <v>OIC, DTI-SDN</v>
      </c>
      <c r="G231" t="str">
        <f>VLOOKUP(A231,'[1]MAIN-101'!$B$13:$M$787,12,FALSE)</f>
        <v>Advances for LSP-NSB Implementation for 1st qtr 2021</v>
      </c>
      <c r="H231" s="562" t="e">
        <f>SUMIFS('[1]MAIN-101'!$Z$1:$Z$3000,'[1]MAIN-101'!$X$1:$X$3000,A231)</f>
        <v>#VALUE!</v>
      </c>
      <c r="I231" s="562" t="s">
        <v>2687</v>
      </c>
      <c r="J231" t="s">
        <v>2683</v>
      </c>
      <c r="K231" t="s">
        <v>2678</v>
      </c>
      <c r="L231" s="562" t="str">
        <f>VLOOKUP(A231,'Format for Import of DV'!$A$3:$S$1556,3,FALSE)</f>
        <v>097</v>
      </c>
      <c r="M231" s="562" t="e">
        <f>SUMIFS('Recon of ORS and DV'!D:D,'Recon of ORS and DV'!B:B,'DV List for import'!A231)</f>
        <v>#VALUE!</v>
      </c>
      <c r="N231" s="276" t="e">
        <f t="shared" si="13"/>
        <v>#VALUE!</v>
      </c>
    </row>
    <row r="232" spans="1:15">
      <c r="A232" t="s">
        <v>2148</v>
      </c>
      <c r="B232" t="str">
        <f t="shared" si="12"/>
        <v>Fund 01-2021-02-0221</v>
      </c>
      <c r="C232" s="562" t="e">
        <f>VLOOKUP(L232,'Import Process ORS'!$D$4:$E$1557,2,FALSE)</f>
        <v>#N/A</v>
      </c>
      <c r="D232" s="562">
        <f>SUMIFS('Import Process ORS'!L:L,'Import Process ORS'!E:E,'DV List for import'!C232)</f>
        <v>0</v>
      </c>
      <c r="E232" t="s">
        <v>2675</v>
      </c>
      <c r="F232" t="str">
        <f>VLOOKUP(A232,'[1]MAIN-101'!$B$13:$M$787,4,FALSE)</f>
        <v>PD, DTI-SDS</v>
      </c>
      <c r="G232" t="str">
        <f>VLOOKUP(A232,'[1]MAIN-101'!$B$13:$M$787,12,FALSE)</f>
        <v>Advances for LSP-NSB Implementation for 1st qtr 2021</v>
      </c>
      <c r="H232" s="562" t="e">
        <f>SUMIFS('[1]MAIN-101'!$Z$1:$Z$3000,'[1]MAIN-101'!$X$1:$X$3000,A232)</f>
        <v>#VALUE!</v>
      </c>
      <c r="I232" s="562" t="s">
        <v>2687</v>
      </c>
      <c r="J232" t="s">
        <v>2683</v>
      </c>
      <c r="K232" t="s">
        <v>2678</v>
      </c>
      <c r="L232" s="562" t="str">
        <f>VLOOKUP(A232,'Format for Import of DV'!$A$3:$S$1556,3,FALSE)</f>
        <v>098</v>
      </c>
      <c r="M232" s="562" t="e">
        <f>SUMIFS('Recon of ORS and DV'!D:D,'Recon of ORS and DV'!B:B,'DV List for import'!A232)</f>
        <v>#VALUE!</v>
      </c>
      <c r="N232" s="276" t="e">
        <f t="shared" si="13"/>
        <v>#VALUE!</v>
      </c>
    </row>
    <row r="233" spans="1:15">
      <c r="A233" t="s">
        <v>2149</v>
      </c>
      <c r="B233" t="str">
        <f t="shared" si="12"/>
        <v>Fund 01-2021-02-0222</v>
      </c>
      <c r="C233" s="562" t="e">
        <f>VLOOKUP(L233,'Import Process ORS'!$D$4:$E$1557,2,FALSE)</f>
        <v>#N/A</v>
      </c>
      <c r="D233" s="562">
        <f>SUMIFS('Import Process ORS'!L:L,'Import Process ORS'!E:E,'DV List for import'!C233)</f>
        <v>0</v>
      </c>
      <c r="E233" t="s">
        <v>2675</v>
      </c>
      <c r="F233" t="str">
        <f>VLOOKUP(A233,'[1]MAIN-101'!$B$13:$M$787,4,FALSE)</f>
        <v>PD, DTI-PDI</v>
      </c>
      <c r="G233" t="str">
        <f>VLOOKUP(A233,'[1]MAIN-101'!$B$13:$M$787,12,FALSE)</f>
        <v>Advances for LSP-NSB Implementation for 1st qtr 2021</v>
      </c>
      <c r="H233" s="562" t="e">
        <f>SUMIFS('[1]MAIN-101'!$Z$1:$Z$3000,'[1]MAIN-101'!$X$1:$X$3000,A233)</f>
        <v>#VALUE!</v>
      </c>
      <c r="I233" s="562" t="s">
        <v>2687</v>
      </c>
      <c r="J233" t="s">
        <v>2683</v>
      </c>
      <c r="K233" t="s">
        <v>2678</v>
      </c>
      <c r="L233" s="562" t="str">
        <f>VLOOKUP(A233,'Format for Import of DV'!$A$3:$S$1556,3,FALSE)</f>
        <v>099</v>
      </c>
      <c r="M233" s="562" t="e">
        <f>SUMIFS('Recon of ORS and DV'!D:D,'Recon of ORS and DV'!B:B,'DV List for import'!A233)</f>
        <v>#VALUE!</v>
      </c>
      <c r="N233" s="276" t="e">
        <f t="shared" si="13"/>
        <v>#VALUE!</v>
      </c>
    </row>
    <row r="234" spans="1:15">
      <c r="A234" t="s">
        <v>2178</v>
      </c>
      <c r="B234" t="str">
        <f t="shared" si="12"/>
        <v>Fund 01-2021-02-0223</v>
      </c>
      <c r="C234" s="562" t="e">
        <f>VLOOKUP(L234,'Import Process ORS'!$D$4:$E$1557,2,FALSE)</f>
        <v>#N/A</v>
      </c>
      <c r="D234" s="562">
        <f>SUMIFS('Import Process ORS'!L:L,'Import Process ORS'!E:E,'DV List for import'!C234)</f>
        <v>0</v>
      </c>
      <c r="E234" t="s">
        <v>2675</v>
      </c>
      <c r="F234" t="str">
        <f>VLOOKUP(A234,'[1]MAIN-101'!$B$13:$M$787,4,FALSE)</f>
        <v>Land Bank of the Philippines</v>
      </c>
      <c r="G234" t="str">
        <f>VLOOKUP(A234,'[1]MAIN-101'!$B$13:$M$787,12,FALSE)</f>
        <v>Salaries paid RAPID RCU Staff- January 1-31, 2021</v>
      </c>
      <c r="H234" s="562" t="e">
        <f>SUMIFS('[1]MAIN-101'!$Z$1:$Z$3000,'[1]MAIN-101'!$X$1:$X$3000,A234)</f>
        <v>#VALUE!</v>
      </c>
      <c r="I234" s="562" t="s">
        <v>2687</v>
      </c>
      <c r="J234" t="s">
        <v>2683</v>
      </c>
      <c r="K234" t="s">
        <v>2678</v>
      </c>
      <c r="L234" s="562" t="str">
        <f>VLOOKUP(A234,'Format for Import of DV'!$A$3:$S$1556,3,FALSE)</f>
        <v>144</v>
      </c>
      <c r="M234" s="562" t="e">
        <f>SUMIFS('Recon of ORS and DV'!D:D,'Recon of ORS and DV'!B:B,'DV List for import'!A234)</f>
        <v>#VALUE!</v>
      </c>
      <c r="N234" s="276" t="e">
        <f t="shared" si="13"/>
        <v>#VALUE!</v>
      </c>
    </row>
    <row r="235" spans="1:15">
      <c r="A235" t="s">
        <v>2144</v>
      </c>
      <c r="B235" t="str">
        <f t="shared" si="12"/>
        <v>Fund 01-2021-02-0224</v>
      </c>
      <c r="C235" s="562" t="e">
        <f>VLOOKUP(L235,'Import Process ORS'!$D$4:$E$1557,2,FALSE)</f>
        <v>#N/A</v>
      </c>
      <c r="D235" s="562">
        <f>SUMIFS('Import Process ORS'!L:L,'Import Process ORS'!E:E,'DV List for import'!C235)</f>
        <v>0</v>
      </c>
      <c r="E235" t="s">
        <v>2675</v>
      </c>
      <c r="F235" t="str">
        <f>VLOOKUP(A235,'[1]MAIN-101'!$B$13:$M$787,4,FALSE)</f>
        <v>D.O Plaza Holdings Corp.</v>
      </c>
      <c r="G235" t="str">
        <f>VLOOKUP(A235,'[1]MAIN-101'!$B$13:$M$787,12,FALSE)</f>
        <v>Payment for office rental for the month of February 2021</v>
      </c>
      <c r="H235" s="562" t="e">
        <f>SUMIFS('[1]MAIN-101'!$Z$1:$Z$3000,'[1]MAIN-101'!$X$1:$X$3000,A235)</f>
        <v>#VALUE!</v>
      </c>
      <c r="I235" s="562" t="s">
        <v>2687</v>
      </c>
      <c r="J235" t="s">
        <v>2683</v>
      </c>
      <c r="K235" t="s">
        <v>2678</v>
      </c>
      <c r="L235" s="562" t="str">
        <f>VLOOKUP(A235,'Format for Import of DV'!$A$3:$S$1556,3,FALSE)</f>
        <v>094</v>
      </c>
      <c r="M235" s="562" t="e">
        <f>SUMIFS('Recon of ORS and DV'!D:D,'Recon of ORS and DV'!B:B,'DV List for import'!A235)</f>
        <v>#VALUE!</v>
      </c>
      <c r="N235" s="276" t="e">
        <f t="shared" si="13"/>
        <v>#VALUE!</v>
      </c>
    </row>
    <row r="236" spans="1:15">
      <c r="A236" t="s">
        <v>2152</v>
      </c>
      <c r="B236" t="str">
        <f t="shared" si="12"/>
        <v>Fund 01-2021-02-0225</v>
      </c>
      <c r="C236" s="562" t="e">
        <f>VLOOKUP(L236,'Import Process ORS'!$D$4:$E$1557,2,FALSE)</f>
        <v>#N/A</v>
      </c>
      <c r="D236" s="562">
        <f>SUMIFS('Import Process ORS'!L:L,'Import Process ORS'!E:E,'DV List for import'!C236)</f>
        <v>0</v>
      </c>
      <c r="E236" t="s">
        <v>2675</v>
      </c>
      <c r="F236" t="str">
        <f>VLOOKUP(A236,'[1]MAIN-101'!$B$13:$M$787,4,FALSE)</f>
        <v>Neilab'z Express</v>
      </c>
      <c r="G236" t="str">
        <f>VLOOKUP(A236,'[1]MAIN-101'!$B$13:$M$787,12,FALSE)</f>
        <v>Payment for van rental during the conduct of OTOP PH Hub briefing in Tandag City on Januray 21, 2021 and Surigao City on January 29, 2021.</v>
      </c>
      <c r="H236" s="562" t="e">
        <f>SUMIFS('[1]MAIN-101'!$Z$1:$Z$3000,'[1]MAIN-101'!$X$1:$X$3000,A236)</f>
        <v>#VALUE!</v>
      </c>
      <c r="I236" s="562" t="s">
        <v>2687</v>
      </c>
      <c r="J236" t="s">
        <v>2683</v>
      </c>
      <c r="K236" t="s">
        <v>2678</v>
      </c>
      <c r="L236" s="562" t="str">
        <f>VLOOKUP(A236,'Format for Import of DV'!$A$3:$S$1556,3,FALSE)</f>
        <v>110</v>
      </c>
      <c r="M236" s="562" t="e">
        <f>SUMIFS('Recon of ORS and DV'!D:D,'Recon of ORS and DV'!B:B,'DV List for import'!A236)</f>
        <v>#VALUE!</v>
      </c>
      <c r="N236" s="276" t="e">
        <f t="shared" si="13"/>
        <v>#VALUE!</v>
      </c>
    </row>
    <row r="237" spans="1:15">
      <c r="A237" t="s">
        <v>2166</v>
      </c>
      <c r="B237" t="str">
        <f t="shared" si="12"/>
        <v>Fund 01-2021-02-0226</v>
      </c>
      <c r="C237" s="562" t="e">
        <f>VLOOKUP(L237,'Import Process ORS'!$D$4:$E$1557,2,FALSE)</f>
        <v>#N/A</v>
      </c>
      <c r="D237" s="562">
        <f>SUMIFS('Import Process ORS'!L:L,'Import Process ORS'!E:E,'DV List for import'!C237)</f>
        <v>0</v>
      </c>
      <c r="E237" t="s">
        <v>2675</v>
      </c>
      <c r="F237" t="str">
        <f>VLOOKUP(A237,'[1]MAIN-101'!$B$13:$M$787,4,FALSE)</f>
        <v>PLDT Inc.</v>
      </c>
      <c r="G237" t="str">
        <f>VLOOKUP(A237,'[1]MAIN-101'!$B$13:$M$787,12,FALSE)</f>
        <v>Payment for landline subsciprion acct no. 0606033214(815-1271)</v>
      </c>
      <c r="H237" s="562" t="e">
        <f>SUMIFS('[1]MAIN-101'!$Z$1:$Z$3000,'[1]MAIN-101'!$X$1:$X$3000,A237)</f>
        <v>#VALUE!</v>
      </c>
      <c r="I237" s="562" t="s">
        <v>2687</v>
      </c>
      <c r="J237" t="s">
        <v>2683</v>
      </c>
      <c r="K237" t="s">
        <v>2678</v>
      </c>
      <c r="L237" s="562" t="str">
        <f>VLOOKUP(A237,'Format for Import of DV'!$A$3:$S$1556,3,FALSE)</f>
        <v>124</v>
      </c>
      <c r="M237" s="562" t="e">
        <f>SUMIFS('Recon of ORS and DV'!D:D,'Recon of ORS and DV'!B:B,'DV List for import'!A237)</f>
        <v>#VALUE!</v>
      </c>
      <c r="N237" s="276" t="e">
        <f t="shared" si="13"/>
        <v>#VALUE!</v>
      </c>
    </row>
    <row r="238" spans="1:15">
      <c r="A238" t="s">
        <v>2167</v>
      </c>
      <c r="B238" t="str">
        <f t="shared" si="12"/>
        <v>Fund 01-2021-02-0227</v>
      </c>
      <c r="C238" s="562" t="e">
        <f>VLOOKUP(L238,'Import Process ORS'!$D$4:$E$1557,2,FALSE)</f>
        <v>#N/A</v>
      </c>
      <c r="D238" s="562">
        <f>SUMIFS('Import Process ORS'!L:L,'Import Process ORS'!E:E,'DV List for import'!C238)</f>
        <v>0</v>
      </c>
      <c r="E238" t="s">
        <v>2675</v>
      </c>
      <c r="F238" t="str">
        <f>VLOOKUP(A238,'[1]MAIN-101'!$B$13:$M$787,4,FALSE)</f>
        <v>PLDT Inc.</v>
      </c>
      <c r="G238" t="str">
        <f>VLOOKUP(A238,'[1]MAIN-101'!$B$13:$M$787,12,FALSE)</f>
        <v>Payment for landline subsciprion acct no. 0216371283(816-3136)</v>
      </c>
      <c r="H238" s="562" t="e">
        <f>SUMIFS('[1]MAIN-101'!$Z$1:$Z$3000,'[1]MAIN-101'!$X$1:$X$3000,A238)</f>
        <v>#VALUE!</v>
      </c>
      <c r="I238" s="562" t="s">
        <v>2687</v>
      </c>
      <c r="J238" t="s">
        <v>2683</v>
      </c>
      <c r="K238" t="s">
        <v>2678</v>
      </c>
      <c r="L238" s="562" t="str">
        <f>VLOOKUP(A238,'Format for Import of DV'!$A$3:$S$1556,3,FALSE)</f>
        <v>125</v>
      </c>
      <c r="M238" s="562" t="e">
        <f>SUMIFS('Recon of ORS and DV'!D:D,'Recon of ORS and DV'!B:B,'DV List for import'!A238)</f>
        <v>#VALUE!</v>
      </c>
      <c r="N238" s="276" t="e">
        <f t="shared" si="13"/>
        <v>#VALUE!</v>
      </c>
    </row>
    <row r="239" spans="1:15">
      <c r="A239" t="s">
        <v>2168</v>
      </c>
      <c r="B239" t="str">
        <f t="shared" si="12"/>
        <v>Fund 01-2021-02-0228</v>
      </c>
      <c r="C239" s="562" t="e">
        <f>VLOOKUP(L239,'Import Process ORS'!$D$4:$E$1557,2,FALSE)</f>
        <v>#N/A</v>
      </c>
      <c r="D239" s="562">
        <f>SUMIFS('Import Process ORS'!L:L,'Import Process ORS'!E:E,'DV List for import'!C239)</f>
        <v>0</v>
      </c>
      <c r="E239" t="s">
        <v>2675</v>
      </c>
      <c r="F239" t="str">
        <f>VLOOKUP(A239,'[1]MAIN-101'!$B$13:$M$787,4,FALSE)</f>
        <v>PLDT Inc.</v>
      </c>
      <c r="G239" t="str">
        <f>VLOOKUP(A239,'[1]MAIN-101'!$B$13:$M$787,12,FALSE)</f>
        <v>Payment for landline subsciprion acct no. 0606028075(816-0079)</v>
      </c>
      <c r="H239" s="562" t="e">
        <f>SUMIFS('[1]MAIN-101'!$Z$1:$Z$3000,'[1]MAIN-101'!$X$1:$X$3000,A239)</f>
        <v>#VALUE!</v>
      </c>
      <c r="I239" s="562" t="s">
        <v>2687</v>
      </c>
      <c r="J239" t="s">
        <v>2683</v>
      </c>
      <c r="K239" t="s">
        <v>2678</v>
      </c>
      <c r="L239" s="562" t="str">
        <f>VLOOKUP(A239,'Format for Import of DV'!$A$3:$S$1556,3,FALSE)</f>
        <v>126</v>
      </c>
      <c r="M239" s="562" t="e">
        <f>SUMIFS('Recon of ORS and DV'!D:D,'Recon of ORS and DV'!B:B,'DV List for import'!A239)</f>
        <v>#VALUE!</v>
      </c>
      <c r="N239" s="276" t="e">
        <f t="shared" si="13"/>
        <v>#VALUE!</v>
      </c>
    </row>
    <row r="240" spans="1:15">
      <c r="A240" t="s">
        <v>2169</v>
      </c>
      <c r="B240" t="str">
        <f t="shared" si="12"/>
        <v>Fund 01-2021-02-0229</v>
      </c>
      <c r="C240" s="562" t="e">
        <f>VLOOKUP(L240,'Import Process ORS'!$D$4:$E$1557,2,FALSE)</f>
        <v>#N/A</v>
      </c>
      <c r="D240" s="562">
        <f>SUMIFS('Import Process ORS'!L:L,'Import Process ORS'!E:E,'DV List for import'!C240)</f>
        <v>0</v>
      </c>
      <c r="E240" t="s">
        <v>2675</v>
      </c>
      <c r="F240" t="str">
        <f>VLOOKUP(A240,'[1]MAIN-101'!$B$13:$M$787,4,FALSE)</f>
        <v>PLDT Inc.</v>
      </c>
      <c r="G240" t="str">
        <f>VLOOKUP(A240,'[1]MAIN-101'!$B$13:$M$787,12,FALSE)</f>
        <v>Payment for landline subsciprion acct no. 0197015144(225-5955)</v>
      </c>
      <c r="H240" s="562" t="e">
        <f>SUMIFS('[1]MAIN-101'!$Z$1:$Z$3000,'[1]MAIN-101'!$X$1:$X$3000,A240)</f>
        <v>#VALUE!</v>
      </c>
      <c r="I240" s="562" t="s">
        <v>2687</v>
      </c>
      <c r="J240" t="s">
        <v>2683</v>
      </c>
      <c r="K240" t="s">
        <v>2678</v>
      </c>
      <c r="L240" s="562" t="str">
        <f>VLOOKUP(A240,'Format for Import of DV'!$A$3:$S$1556,3,FALSE)</f>
        <v>127</v>
      </c>
      <c r="M240" s="562" t="e">
        <f>SUMIFS('Recon of ORS and DV'!D:D,'Recon of ORS and DV'!B:B,'DV List for import'!A240)</f>
        <v>#VALUE!</v>
      </c>
      <c r="N240" s="276" t="e">
        <f t="shared" si="13"/>
        <v>#VALUE!</v>
      </c>
    </row>
    <row r="241" spans="1:17">
      <c r="A241" t="s">
        <v>2170</v>
      </c>
      <c r="B241" t="str">
        <f t="shared" si="12"/>
        <v>Fund 01-2021-02-0230</v>
      </c>
      <c r="C241" s="562" t="e">
        <f>VLOOKUP(L241,'Import Process ORS'!$D$4:$E$1557,2,FALSE)</f>
        <v>#N/A</v>
      </c>
      <c r="D241" s="562">
        <f>SUMIFS('Import Process ORS'!L:L,'Import Process ORS'!E:E,'DV List for import'!C241)</f>
        <v>0</v>
      </c>
      <c r="E241" t="s">
        <v>2675</v>
      </c>
      <c r="F241" t="str">
        <f>VLOOKUP(A241,'[1]MAIN-101'!$B$13:$M$787,4,FALSE)</f>
        <v>Janikka's Catering Services</v>
      </c>
      <c r="G241" t="str">
        <f>VLOOKUP(A241,'[1]MAIN-101'!$B$13:$M$787,12,FALSE)</f>
        <v>Payment for meals during the oath taking ceremony cum orientation for newly hired and prmoted employees on January 11, 2021</v>
      </c>
      <c r="H241" s="562" t="e">
        <f>SUMIFS('[1]MAIN-101'!$Z$1:$Z$3000,'[1]MAIN-101'!$X$1:$X$3000,A241)</f>
        <v>#VALUE!</v>
      </c>
      <c r="I241" s="562" t="s">
        <v>2687</v>
      </c>
      <c r="J241" t="s">
        <v>2683</v>
      </c>
      <c r="K241" t="s">
        <v>2678</v>
      </c>
      <c r="L241" s="562" t="str">
        <f>VLOOKUP(A241,'Format for Import of DV'!$A$3:$S$1556,3,FALSE)</f>
        <v>128</v>
      </c>
      <c r="M241" s="562" t="e">
        <f>SUMIFS('Recon of ORS and DV'!D:D,'Recon of ORS and DV'!B:B,'DV List for import'!A241)</f>
        <v>#VALUE!</v>
      </c>
      <c r="N241" s="276" t="e">
        <f t="shared" si="13"/>
        <v>#VALUE!</v>
      </c>
    </row>
    <row r="242" spans="1:17">
      <c r="A242" t="s">
        <v>2171</v>
      </c>
      <c r="B242" t="str">
        <f t="shared" si="12"/>
        <v>Fund 01-2021-02-0231</v>
      </c>
      <c r="C242" s="562" t="e">
        <f>VLOOKUP(L242,'Import Process ORS'!$D$4:$E$1557,2,FALSE)</f>
        <v>#N/A</v>
      </c>
      <c r="D242" s="562">
        <f>SUMIFS('Import Process ORS'!L:L,'Import Process ORS'!E:E,'DV List for import'!C242)</f>
        <v>0</v>
      </c>
      <c r="E242" t="s">
        <v>2675</v>
      </c>
      <c r="F242" t="str">
        <f>VLOOKUP(A242,'[1]MAIN-101'!$B$13:$M$787,4,FALSE)</f>
        <v>Manila Auto Care</v>
      </c>
      <c r="G242" t="str">
        <f>VLOOKUP(A242,'[1]MAIN-101'!$B$13:$M$787,12,FALSE)</f>
        <v>Payment for labor and Materials for DTI Caraga Motor Vehicle Periodic Maintenance of Toyota Innova(SKT-513)</v>
      </c>
      <c r="H242" s="562" t="e">
        <f>SUMIFS('[1]MAIN-101'!$Z$1:$Z$3000,'[1]MAIN-101'!$X$1:$X$3000,A242)</f>
        <v>#VALUE!</v>
      </c>
      <c r="I242" s="562" t="s">
        <v>2687</v>
      </c>
      <c r="J242" t="s">
        <v>2683</v>
      </c>
      <c r="K242" t="s">
        <v>2678</v>
      </c>
      <c r="L242" s="562" t="str">
        <f>VLOOKUP(A242,'Format for Import of DV'!$A$3:$S$1556,3,FALSE)</f>
        <v>129</v>
      </c>
      <c r="M242" s="562" t="e">
        <f>SUMIFS('Recon of ORS and DV'!D:D,'Recon of ORS and DV'!B:B,'DV List for import'!A242)</f>
        <v>#VALUE!</v>
      </c>
      <c r="N242" s="276" t="e">
        <f t="shared" si="13"/>
        <v>#VALUE!</v>
      </c>
    </row>
    <row r="243" spans="1:17">
      <c r="A243" t="s">
        <v>2172</v>
      </c>
      <c r="B243" t="str">
        <f t="shared" si="12"/>
        <v>Fund 01-2021-02-0232</v>
      </c>
      <c r="C243" s="562" t="e">
        <f>VLOOKUP(L243,'Import Process ORS'!$D$4:$E$1557,2,FALSE)</f>
        <v>#N/A</v>
      </c>
      <c r="D243" s="562">
        <f>SUMIFS('Import Process ORS'!L:L,'Import Process ORS'!E:E,'DV List for import'!C243)</f>
        <v>0</v>
      </c>
      <c r="E243" t="s">
        <v>2675</v>
      </c>
      <c r="F243" t="str">
        <f>VLOOKUP(A243,'[1]MAIN-101'!$B$13:$M$787,4,FALSE)</f>
        <v>Rey B. Acabo</v>
      </c>
      <c r="G243" t="str">
        <f>VLOOKUP(A243,'[1]MAIN-101'!$B$13:$M$787,12,FALSE)</f>
        <v>Reimbursement , TE RE: To fetch PD from Surigao to Butuan and paricipation to typhoon Vicky Rehab Activities</v>
      </c>
      <c r="H243" s="562" t="e">
        <f>SUMIFS('[1]MAIN-101'!$Z$1:$Z$3000,'[1]MAIN-101'!$X$1:$X$3000,A243)</f>
        <v>#VALUE!</v>
      </c>
      <c r="I243" s="562" t="s">
        <v>2687</v>
      </c>
      <c r="J243" t="s">
        <v>2683</v>
      </c>
      <c r="K243" t="s">
        <v>2678</v>
      </c>
      <c r="L243" s="562" t="str">
        <f>VLOOKUP(A243,'Format for Import of DV'!$A$3:$S$1556,3,FALSE)</f>
        <v>130</v>
      </c>
      <c r="M243" s="562" t="e">
        <f>SUMIFS('Recon of ORS and DV'!D:D,'Recon of ORS and DV'!B:B,'DV List for import'!A243)</f>
        <v>#VALUE!</v>
      </c>
      <c r="N243" s="276" t="e">
        <f t="shared" si="13"/>
        <v>#VALUE!</v>
      </c>
    </row>
    <row r="244" spans="1:17">
      <c r="A244" t="s">
        <v>2173</v>
      </c>
      <c r="B244" t="str">
        <f t="shared" ref="B244:B294" si="14">CONCATENATE("Fund 01-2021-02-",A244)</f>
        <v>Fund 01-2021-02-0233</v>
      </c>
      <c r="C244" s="562" t="e">
        <f>VLOOKUP(L244,'Import Process ORS'!$D$4:$E$1557,2,FALSE)</f>
        <v>#N/A</v>
      </c>
      <c r="D244" s="562">
        <f>SUMIFS('Import Process ORS'!L:L,'Import Process ORS'!E:E,'DV List for import'!C244)</f>
        <v>0</v>
      </c>
      <c r="E244" t="s">
        <v>2675</v>
      </c>
      <c r="F244" t="str">
        <f>VLOOKUP(A244,'[1]MAIN-101'!$B$13:$M$787,4,FALSE)</f>
        <v>Rey B. Acabo</v>
      </c>
      <c r="G244" t="str">
        <f>VLOOKUP(A244,'[1]MAIN-101'!$B$13:$M$787,12,FALSE)</f>
        <v>Reimb. Motor vehicle fuel (diesel for toyota hilux) ferry staff during the site visit SSF</v>
      </c>
      <c r="H244" s="562" t="e">
        <f>SUMIFS('[1]MAIN-101'!$Z$1:$Z$3000,'[1]MAIN-101'!$X$1:$X$3000,A244)</f>
        <v>#VALUE!</v>
      </c>
      <c r="I244" s="562" t="s">
        <v>2687</v>
      </c>
      <c r="J244" t="s">
        <v>2683</v>
      </c>
      <c r="K244" t="s">
        <v>2678</v>
      </c>
      <c r="L244" s="562" t="str">
        <f>VLOOKUP(A244,'Format for Import of DV'!$A$3:$S$1556,3,FALSE)</f>
        <v>131</v>
      </c>
      <c r="M244" s="562" t="e">
        <f>SUMIFS('Recon of ORS and DV'!D:D,'Recon of ORS and DV'!B:B,'DV List for import'!A244)</f>
        <v>#VALUE!</v>
      </c>
      <c r="N244" s="276" t="e">
        <f t="shared" si="13"/>
        <v>#VALUE!</v>
      </c>
    </row>
    <row r="245" spans="1:17">
      <c r="A245" t="s">
        <v>2177</v>
      </c>
      <c r="B245" t="str">
        <f t="shared" si="14"/>
        <v>Fund 01-2021-02-0234</v>
      </c>
      <c r="C245" s="562" t="e">
        <f>VLOOKUP(L245,'Import Process ORS'!$D$4:$E$1557,2,FALSE)</f>
        <v>#N/A</v>
      </c>
      <c r="D245" s="562">
        <f>SUMIFS('Import Process ORS'!L:L,'Import Process ORS'!E:E,'DV List for import'!C245)</f>
        <v>0</v>
      </c>
      <c r="E245" t="s">
        <v>2675</v>
      </c>
      <c r="F245" t="str">
        <f>VLOOKUP(A245,'[1]MAIN-101'!$B$13:$M$787,4,FALSE)</f>
        <v>Need Ink Sales and Services</v>
      </c>
      <c r="G245" t="str">
        <f>VLOOKUP(A245,'[1]MAIN-101'!$B$13:$M$787,12,FALSE)</f>
        <v>Payment for toner cartridge for IDD 1st quarter 2021 office supplies</v>
      </c>
      <c r="H245" s="562" t="e">
        <f>SUMIFS('[1]MAIN-101'!$Z$1:$Z$3000,'[1]MAIN-101'!$X$1:$X$3000,A245)</f>
        <v>#VALUE!</v>
      </c>
      <c r="I245" s="562" t="s">
        <v>2687</v>
      </c>
      <c r="J245" t="s">
        <v>2683</v>
      </c>
      <c r="K245" t="s">
        <v>2678</v>
      </c>
      <c r="L245" s="562" t="str">
        <f>VLOOKUP(A245,'Format for Import of DV'!$A$3:$S$1556,3,FALSE)</f>
        <v>143</v>
      </c>
      <c r="M245" s="562" t="e">
        <f>SUMIFS('Recon of ORS and DV'!D:D,'Recon of ORS and DV'!B:B,'DV List for import'!A245)</f>
        <v>#VALUE!</v>
      </c>
      <c r="N245" s="276" t="e">
        <f t="shared" si="13"/>
        <v>#VALUE!</v>
      </c>
    </row>
    <row r="246" spans="1:17">
      <c r="A246" t="s">
        <v>2502</v>
      </c>
      <c r="B246" t="str">
        <f t="shared" si="14"/>
        <v>Fund 01-2021-02-0235</v>
      </c>
      <c r="C246" s="564" t="str">
        <f>L246</f>
        <v>0000-00-0000</v>
      </c>
      <c r="D246" s="562">
        <f>SUMIFS('Import Process ORS'!L:L,'Import Process ORS'!E:E,'DV List for import'!C246)</f>
        <v>0</v>
      </c>
      <c r="E246" t="s">
        <v>2675</v>
      </c>
      <c r="F246" t="str">
        <f>VLOOKUP(A246,'[1]MAIN-101'!$B$13:$M$787,4,FALSE)</f>
        <v>Innove Communications, Inc</v>
      </c>
      <c r="G246" t="str">
        <f>VLOOKUP(A246,'[1]MAIN-101'!$B$13:$M$787,12,FALSE)</f>
        <v>Payment for ZOOM application for the month of Julty to Oct 2020</v>
      </c>
      <c r="H246" s="562" t="e">
        <f>SUMIFS('[1]MAIN-101'!$Z$1:$Z$3000,'[1]MAIN-101'!$X$1:$X$3000,A246)</f>
        <v>#VALUE!</v>
      </c>
      <c r="I246" s="562" t="s">
        <v>392</v>
      </c>
      <c r="J246" t="s">
        <v>2681</v>
      </c>
      <c r="K246" t="s">
        <v>2679</v>
      </c>
      <c r="L246" s="564" t="s">
        <v>2666</v>
      </c>
      <c r="M246" s="562">
        <f>SUMIFS('Recon of ORS and DV'!D:D,'Recon of ORS and DV'!B:B,'DV List for import'!A246)</f>
        <v>0</v>
      </c>
      <c r="N246" s="276" t="e">
        <f t="shared" si="13"/>
        <v>#VALUE!</v>
      </c>
      <c r="O246" t="s">
        <v>392</v>
      </c>
      <c r="P246" t="str">
        <f>VLOOKUP(A246,'[1]MAIN-101'!$B$8:$D$783,2,FALSE)</f>
        <v>12</v>
      </c>
      <c r="Q246" t="str">
        <f>VLOOKUP(A246,'[1]MAIN-101'!$B$8:$D$783,3,FALSE)</f>
        <v>1884</v>
      </c>
    </row>
    <row r="247" spans="1:17">
      <c r="A247" t="s">
        <v>2503</v>
      </c>
      <c r="B247" t="str">
        <f t="shared" si="14"/>
        <v>Fund 01-2021-02-0236</v>
      </c>
      <c r="C247" s="564" t="str">
        <f>L247</f>
        <v>0000-00-0000</v>
      </c>
      <c r="D247" s="562">
        <f>SUMIFS('Import Process ORS'!L:L,'Import Process ORS'!E:E,'DV List for import'!C247)</f>
        <v>0</v>
      </c>
      <c r="E247" t="s">
        <v>2675</v>
      </c>
      <c r="F247" t="str">
        <f>VLOOKUP(A247,'[1]MAIN-101'!$B$13:$M$787,4,FALSE)</f>
        <v>True Brew Gourmet Coffee Shop</v>
      </c>
      <c r="G247" t="str">
        <f>VLOOKUP(A247,'[1]MAIN-101'!$B$13:$M$787,12,FALSE)</f>
        <v>Payment for the provision of meals during level 1 planning on December 10, 2020</v>
      </c>
      <c r="H247" s="562" t="e">
        <f>SUMIFS('[1]MAIN-101'!$Z$1:$Z$3000,'[1]MAIN-101'!$X$1:$X$3000,A247)</f>
        <v>#VALUE!</v>
      </c>
      <c r="I247" s="562" t="s">
        <v>392</v>
      </c>
      <c r="J247" t="s">
        <v>2681</v>
      </c>
      <c r="K247" t="s">
        <v>2679</v>
      </c>
      <c r="L247" s="564" t="s">
        <v>2666</v>
      </c>
      <c r="M247" s="562">
        <f>SUMIFS('Recon of ORS and DV'!D:D,'Recon of ORS and DV'!B:B,'DV List for import'!A247)</f>
        <v>0</v>
      </c>
      <c r="N247" s="276" t="e">
        <f t="shared" si="13"/>
        <v>#VALUE!</v>
      </c>
      <c r="O247" t="s">
        <v>392</v>
      </c>
      <c r="P247" t="str">
        <f>VLOOKUP(A247,'[1]MAIN-101'!$B$8:$D$783,2,FALSE)</f>
        <v>12</v>
      </c>
      <c r="Q247" t="str">
        <f>VLOOKUP(A247,'[1]MAIN-101'!$B$8:$D$783,3,FALSE)</f>
        <v>1986</v>
      </c>
    </row>
    <row r="248" spans="1:17">
      <c r="A248" t="s">
        <v>2504</v>
      </c>
      <c r="B248" t="str">
        <f t="shared" si="14"/>
        <v>Fund 01-2021-02-0237</v>
      </c>
      <c r="C248" s="564" t="str">
        <f>L248</f>
        <v>0000-00-0000</v>
      </c>
      <c r="D248" s="562">
        <f>SUMIFS('Import Process ORS'!L:L,'Import Process ORS'!E:E,'DV List for import'!C248)</f>
        <v>0</v>
      </c>
      <c r="E248" t="s">
        <v>2675</v>
      </c>
      <c r="F248" t="str">
        <f>VLOOKUP(A248,'[1]MAIN-101'!$B$13:$M$787,4,FALSE)</f>
        <v>Roland A. Ignacio</v>
      </c>
      <c r="G248" t="str">
        <f>VLOOKUP(A248,'[1]MAIN-101'!$B$13:$M$787,12,FALSE)</f>
        <v>Reimbursement for tokens re: Project Steering Meeting last December 15, 2020</v>
      </c>
      <c r="H248" s="562" t="e">
        <f>SUMIFS('[1]MAIN-101'!$Z$1:$Z$3000,'[1]MAIN-101'!$X$1:$X$3000,A248)</f>
        <v>#VALUE!</v>
      </c>
      <c r="I248" s="562" t="s">
        <v>392</v>
      </c>
      <c r="J248" t="s">
        <v>2681</v>
      </c>
      <c r="K248" t="s">
        <v>2679</v>
      </c>
      <c r="L248" s="564" t="s">
        <v>2666</v>
      </c>
      <c r="M248" s="562">
        <f>SUMIFS('Recon of ORS and DV'!D:D,'Recon of ORS and DV'!B:B,'DV List for import'!A248)</f>
        <v>0</v>
      </c>
      <c r="N248" s="276" t="e">
        <f t="shared" si="13"/>
        <v>#VALUE!</v>
      </c>
      <c r="O248" t="s">
        <v>392</v>
      </c>
      <c r="P248" t="str">
        <f>VLOOKUP(A248,'[1]MAIN-101'!$B$8:$D$783,2,FALSE)</f>
        <v>12</v>
      </c>
      <c r="Q248" t="str">
        <f>VLOOKUP(A248,'[1]MAIN-101'!$B$8:$D$783,3,FALSE)</f>
        <v>1998</v>
      </c>
    </row>
    <row r="249" spans="1:17">
      <c r="A249" t="s">
        <v>2142</v>
      </c>
      <c r="B249" t="str">
        <f t="shared" si="14"/>
        <v>Fund 01-2021-02-0238</v>
      </c>
      <c r="C249" s="562" t="e">
        <f>VLOOKUP(L249,'Import Process ORS'!$D$4:$E$1557,2,FALSE)</f>
        <v>#N/A</v>
      </c>
      <c r="D249" s="562">
        <f>SUMIFS('Import Process ORS'!L:L,'Import Process ORS'!E:E,'DV List for import'!C249)</f>
        <v>0</v>
      </c>
      <c r="E249" t="s">
        <v>2675</v>
      </c>
      <c r="F249" t="str">
        <f>VLOOKUP(A249,'[1]MAIN-101'!$B$13:$M$787,4,FALSE)</f>
        <v>Ferbencom Technologies</v>
      </c>
      <c r="G249" t="str">
        <f>VLOOKUP(A249,'[1]MAIN-101'!$B$13:$M$787,12,FALSE)</f>
        <v>Payment for subscription expense- internet(FT20200175) for the month of January 2021</v>
      </c>
      <c r="H249" s="562" t="e">
        <f>SUMIFS('[1]MAIN-101'!$Z$1:$Z$3000,'[1]MAIN-101'!$X$1:$X$3000,A249)</f>
        <v>#VALUE!</v>
      </c>
      <c r="I249" s="562" t="s">
        <v>2687</v>
      </c>
      <c r="J249" t="s">
        <v>2683</v>
      </c>
      <c r="K249" t="s">
        <v>2678</v>
      </c>
      <c r="L249" s="562" t="str">
        <f>VLOOKUP(A249,'Format for Import of DV'!$A$3:$S$1556,3,FALSE)</f>
        <v>092</v>
      </c>
      <c r="M249" s="562" t="e">
        <f>SUMIFS('Recon of ORS and DV'!D:D,'Recon of ORS and DV'!B:B,'DV List for import'!A249)</f>
        <v>#VALUE!</v>
      </c>
      <c r="N249" s="276" t="e">
        <f t="shared" si="13"/>
        <v>#VALUE!</v>
      </c>
    </row>
    <row r="250" spans="1:17">
      <c r="A250" t="s">
        <v>2143</v>
      </c>
      <c r="B250" t="str">
        <f t="shared" si="14"/>
        <v>Fund 01-2021-02-0239</v>
      </c>
      <c r="C250" s="562" t="e">
        <f>VLOOKUP(L250,'Import Process ORS'!$D$4:$E$1557,2,FALSE)</f>
        <v>#N/A</v>
      </c>
      <c r="D250" s="562">
        <f>SUMIFS('Import Process ORS'!L:L,'Import Process ORS'!E:E,'DV List for import'!C250)</f>
        <v>0</v>
      </c>
      <c r="E250" t="s">
        <v>2675</v>
      </c>
      <c r="F250" t="str">
        <f>VLOOKUP(A250,'[1]MAIN-101'!$B$13:$M$787,4,FALSE)</f>
        <v>A&amp;C Yelo Submarine Corporation</v>
      </c>
      <c r="G250" t="str">
        <f>VLOOKUP(A250,'[1]MAIN-101'!$B$13:$M$787,12,FALSE)</f>
        <v>Payment for drinking water for the month of January 2021</v>
      </c>
      <c r="H250" s="562" t="e">
        <f>SUMIFS('[1]MAIN-101'!$Z$1:$Z$3000,'[1]MAIN-101'!$X$1:$X$3000,A250)</f>
        <v>#VALUE!</v>
      </c>
      <c r="I250" s="562" t="s">
        <v>2687</v>
      </c>
      <c r="J250" t="s">
        <v>2683</v>
      </c>
      <c r="K250" t="s">
        <v>2678</v>
      </c>
      <c r="L250" s="562" t="str">
        <f>VLOOKUP(A250,'Format for Import of DV'!$A$3:$S$1556,3,FALSE)</f>
        <v>093</v>
      </c>
      <c r="M250" s="562" t="e">
        <f>SUMIFS('Recon of ORS and DV'!D:D,'Recon of ORS and DV'!B:B,'DV List for import'!A250)</f>
        <v>#VALUE!</v>
      </c>
      <c r="N250" s="276" t="e">
        <f t="shared" si="13"/>
        <v>#VALUE!</v>
      </c>
    </row>
    <row r="251" spans="1:17">
      <c r="A251" t="s">
        <v>2505</v>
      </c>
      <c r="B251" t="str">
        <f t="shared" si="14"/>
        <v>Fund 01-2021-02-0240</v>
      </c>
      <c r="C251" s="564" t="str">
        <f>L251</f>
        <v>0000-00-0000</v>
      </c>
      <c r="D251" s="562">
        <f>SUMIFS('Import Process ORS'!L:L,'Import Process ORS'!E:E,'DV List for import'!C251)</f>
        <v>0</v>
      </c>
      <c r="E251" t="s">
        <v>2675</v>
      </c>
      <c r="F251" t="str">
        <f>VLOOKUP(A251,'[1]MAIN-101'!$B$13:$M$787,4,FALSE)</f>
        <v>Tri- Tech Aircon Services</v>
      </c>
      <c r="G251" t="str">
        <f>VLOOKUP(A251,'[1]MAIN-101'!$B$13:$M$787,12,FALSE)</f>
        <v>Office aircon maintenance for the 2nd semester</v>
      </c>
      <c r="H251" s="562" t="e">
        <f>SUMIFS('[1]MAIN-101'!$Z$1:$Z$3000,'[1]MAIN-101'!$X$1:$X$3000,A251)</f>
        <v>#VALUE!</v>
      </c>
      <c r="I251" s="562" t="s">
        <v>392</v>
      </c>
      <c r="J251" t="s">
        <v>2681</v>
      </c>
      <c r="K251" t="s">
        <v>2679</v>
      </c>
      <c r="L251" s="564" t="s">
        <v>2666</v>
      </c>
      <c r="M251" s="562">
        <f>SUMIFS('Recon of ORS and DV'!D:D,'Recon of ORS and DV'!B:B,'DV List for import'!A251)</f>
        <v>0</v>
      </c>
      <c r="N251" s="276" t="e">
        <f t="shared" si="13"/>
        <v>#VALUE!</v>
      </c>
      <c r="O251" t="s">
        <v>392</v>
      </c>
      <c r="P251" t="str">
        <f>VLOOKUP(A251,'[1]MAIN-101'!$B$8:$D$783,2,FALSE)</f>
        <v>12</v>
      </c>
      <c r="Q251" t="str">
        <f>VLOOKUP(A251,'[1]MAIN-101'!$B$8:$D$783,3,FALSE)</f>
        <v>1992</v>
      </c>
    </row>
    <row r="252" spans="1:17">
      <c r="A252" t="s">
        <v>2179</v>
      </c>
      <c r="B252" t="str">
        <f t="shared" si="14"/>
        <v>Fund 01-2021-02-0241</v>
      </c>
      <c r="C252" s="562" t="e">
        <f>VLOOKUP(L252,'Import Process ORS'!$D$4:$E$1557,2,FALSE)</f>
        <v>#N/A</v>
      </c>
      <c r="D252" s="562">
        <f>SUMIFS('Import Process ORS'!L:L,'Import Process ORS'!E:E,'DV List for import'!C252)</f>
        <v>0</v>
      </c>
      <c r="E252" t="s">
        <v>2675</v>
      </c>
      <c r="F252" t="str">
        <f>VLOOKUP(A252,'[1]MAIN-101'!$B$13:$M$787,4,FALSE)</f>
        <v>Land Bank of the Philippines</v>
      </c>
      <c r="G252" t="str">
        <f>VLOOKUP(A252,'[1]MAIN-101'!$B$13:$M$787,12,FALSE)</f>
        <v>Salaries paid RAPID RCU Staff- January 1-31, 2021</v>
      </c>
      <c r="H252" s="562" t="e">
        <f>SUMIFS('[1]MAIN-101'!$Z$1:$Z$3000,'[1]MAIN-101'!$X$1:$X$3000,A252)</f>
        <v>#VALUE!</v>
      </c>
      <c r="I252" s="562" t="s">
        <v>2687</v>
      </c>
      <c r="J252" t="s">
        <v>2683</v>
      </c>
      <c r="K252" t="s">
        <v>2678</v>
      </c>
      <c r="L252" s="562" t="str">
        <f>VLOOKUP(A252,'Format for Import of DV'!$A$3:$S$1556,3,FALSE)</f>
        <v>145</v>
      </c>
      <c r="M252" s="562" t="e">
        <f>SUMIFS('Recon of ORS and DV'!D:D,'Recon of ORS and DV'!B:B,'DV List for import'!A252)</f>
        <v>#VALUE!</v>
      </c>
      <c r="N252" s="276" t="e">
        <f t="shared" si="13"/>
        <v>#VALUE!</v>
      </c>
    </row>
    <row r="253" spans="1:17">
      <c r="A253" t="s">
        <v>2180</v>
      </c>
      <c r="B253" t="str">
        <f t="shared" si="14"/>
        <v>Fund 01-2021-02-0242</v>
      </c>
      <c r="C253" s="562" t="e">
        <f>VLOOKUP(L253,'Import Process ORS'!$D$4:$E$1557,2,FALSE)</f>
        <v>#N/A</v>
      </c>
      <c r="D253" s="562">
        <f>SUMIFS('Import Process ORS'!L:L,'Import Process ORS'!E:E,'DV List for import'!C253)</f>
        <v>0</v>
      </c>
      <c r="E253" t="s">
        <v>2675</v>
      </c>
      <c r="F253" t="str">
        <f>VLOOKUP(A253,'[1]MAIN-101'!$B$13:$M$787,4,FALSE)</f>
        <v>Land Bank of the Philippines</v>
      </c>
      <c r="G253" t="str">
        <f>VLOOKUP(A253,'[1]MAIN-101'!$B$13:$M$787,12,FALSE)</f>
        <v>Salaries paid RAPID RCU Staff- January 1-31, 2021</v>
      </c>
      <c r="H253" s="562" t="e">
        <f>SUMIFS('[1]MAIN-101'!$Z$1:$Z$3000,'[1]MAIN-101'!$X$1:$X$3000,A253)</f>
        <v>#VALUE!</v>
      </c>
      <c r="I253" s="562" t="s">
        <v>2687</v>
      </c>
      <c r="J253" t="s">
        <v>2683</v>
      </c>
      <c r="K253" t="s">
        <v>2678</v>
      </c>
      <c r="L253" s="562" t="str">
        <f>VLOOKUP(A253,'Format for Import of DV'!$A$3:$S$1556,3,FALSE)</f>
        <v>146</v>
      </c>
      <c r="M253" s="562" t="e">
        <f>SUMIFS('Recon of ORS and DV'!D:D,'Recon of ORS and DV'!B:B,'DV List for import'!A253)</f>
        <v>#VALUE!</v>
      </c>
      <c r="N253" s="276" t="e">
        <f t="shared" si="13"/>
        <v>#VALUE!</v>
      </c>
    </row>
    <row r="254" spans="1:17">
      <c r="A254" t="s">
        <v>2181</v>
      </c>
      <c r="B254" t="str">
        <f t="shared" si="14"/>
        <v>Fund 01-2021-02-0243</v>
      </c>
      <c r="C254" s="562" t="e">
        <f>VLOOKUP(L254,'Import Process ORS'!$D$4:$E$1557,2,FALSE)</f>
        <v>#N/A</v>
      </c>
      <c r="D254" s="562">
        <f>SUMIFS('Import Process ORS'!L:L,'Import Process ORS'!E:E,'DV List for import'!C254)</f>
        <v>0</v>
      </c>
      <c r="E254" t="s">
        <v>2675</v>
      </c>
      <c r="F254" t="str">
        <f>VLOOKUP(A254,'[1]MAIN-101'!$B$13:$M$787,4,FALSE)</f>
        <v>Land Bank of the Philippines</v>
      </c>
      <c r="G254" t="str">
        <f>VLOOKUP(A254,'[1]MAIN-101'!$B$13:$M$787,12,FALSE)</f>
        <v>Salaries paid RAPID RCU Staff- January 1-31, 2021</v>
      </c>
      <c r="H254" s="562" t="e">
        <f>SUMIFS('[1]MAIN-101'!$Z$1:$Z$3000,'[1]MAIN-101'!$X$1:$X$3000,A254)</f>
        <v>#VALUE!</v>
      </c>
      <c r="I254" s="562" t="s">
        <v>2687</v>
      </c>
      <c r="J254" t="s">
        <v>2683</v>
      </c>
      <c r="K254" t="s">
        <v>2678</v>
      </c>
      <c r="L254" s="562" t="str">
        <f>VLOOKUP(A254,'Format for Import of DV'!$A$3:$S$1556,3,FALSE)</f>
        <v>147</v>
      </c>
      <c r="M254" s="562" t="e">
        <f>SUMIFS('Recon of ORS and DV'!D:D,'Recon of ORS and DV'!B:B,'DV List for import'!A254)</f>
        <v>#VALUE!</v>
      </c>
      <c r="N254" s="276" t="e">
        <f t="shared" si="13"/>
        <v>#VALUE!</v>
      </c>
    </row>
    <row r="255" spans="1:17">
      <c r="A255" t="s">
        <v>2175</v>
      </c>
      <c r="B255" t="str">
        <f t="shared" si="14"/>
        <v>Fund 01-2021-02-0244</v>
      </c>
      <c r="C255" s="562" t="e">
        <f>VLOOKUP(L255,'Import Process ORS'!$D$4:$E$1557,2,FALSE)</f>
        <v>#N/A</v>
      </c>
      <c r="D255" s="562">
        <f>SUMIFS('Import Process ORS'!L:L,'Import Process ORS'!E:E,'DV List for import'!C255)</f>
        <v>0</v>
      </c>
      <c r="E255" t="s">
        <v>2675</v>
      </c>
      <c r="F255" t="str">
        <f>VLOOKUP(A255,'[1]MAIN-101'!$B$13:$M$787,4,FALSE)</f>
        <v>OIC, DTI-ADS</v>
      </c>
      <c r="G255" t="str">
        <f>VLOOKUP(A255,'[1]MAIN-101'!$B$13:$M$787,12,FALSE)</f>
        <v>Transfer of funds to cover implementation of CPD activities for 1st quarter budget 2021.</v>
      </c>
      <c r="H255" s="562" t="e">
        <f>SUMIFS('[1]MAIN-101'!$Z$1:$Z$3000,'[1]MAIN-101'!$X$1:$X$3000,A255)</f>
        <v>#VALUE!</v>
      </c>
      <c r="I255" s="562" t="s">
        <v>2685</v>
      </c>
      <c r="J255" t="s">
        <v>2683</v>
      </c>
      <c r="K255" t="s">
        <v>2678</v>
      </c>
      <c r="L255" s="562" t="str">
        <f>VLOOKUP(A255,'Format for Import of DV'!$A$3:$S$1556,3,FALSE)</f>
        <v>135</v>
      </c>
      <c r="M255" s="562" t="e">
        <f>SUMIFS('Recon of ORS and DV'!D:D,'Recon of ORS and DV'!B:B,'DV List for import'!A255)</f>
        <v>#VALUE!</v>
      </c>
      <c r="N255" s="276" t="e">
        <f t="shared" si="13"/>
        <v>#VALUE!</v>
      </c>
    </row>
    <row r="256" spans="1:17">
      <c r="A256" t="s">
        <v>2150</v>
      </c>
      <c r="B256" t="str">
        <f t="shared" si="14"/>
        <v>Fund 01-2021-02-0245</v>
      </c>
      <c r="C256" s="562" t="e">
        <f>VLOOKUP(L256,'Import Process ORS'!$D$4:$E$1557,2,FALSE)</f>
        <v>#N/A</v>
      </c>
      <c r="D256" s="562">
        <f>SUMIFS('Import Process ORS'!L:L,'Import Process ORS'!E:E,'DV List for import'!C256)</f>
        <v>0</v>
      </c>
      <c r="E256" t="s">
        <v>2675</v>
      </c>
      <c r="F256" t="str">
        <f>VLOOKUP(A256,'[1]MAIN-101'!$B$13:$M$787,4,FALSE)</f>
        <v>OIC, DTI-sdn</v>
      </c>
      <c r="G256" t="str">
        <f>VLOOKUP(A256,'[1]MAIN-101'!$B$13:$M$787,12,FALSE)</f>
        <v>Advances to the SSF MOOE- 1ST QUARTER 2021</v>
      </c>
      <c r="H256" s="562" t="e">
        <f>SUMIFS('[1]MAIN-101'!$Z$1:$Z$3000,'[1]MAIN-101'!$X$1:$X$3000,A256)</f>
        <v>#VALUE!</v>
      </c>
      <c r="I256" s="562" t="s">
        <v>2685</v>
      </c>
      <c r="J256" t="s">
        <v>2683</v>
      </c>
      <c r="K256" t="s">
        <v>2678</v>
      </c>
      <c r="L256" s="562" t="str">
        <f>VLOOKUP(A256,'Format for Import of DV'!$A$3:$S$1556,3,FALSE)</f>
        <v>102</v>
      </c>
      <c r="M256" s="562" t="e">
        <f>SUMIFS('Recon of ORS and DV'!D:D,'Recon of ORS and DV'!B:B,'DV List for import'!A256)</f>
        <v>#VALUE!</v>
      </c>
      <c r="N256" s="276" t="e">
        <f t="shared" si="13"/>
        <v>#VALUE!</v>
      </c>
    </row>
    <row r="257" spans="1:15">
      <c r="A257" t="s">
        <v>2151</v>
      </c>
      <c r="B257" t="str">
        <f t="shared" si="14"/>
        <v>Fund 01-2021-02-0246</v>
      </c>
      <c r="C257" s="562" t="e">
        <f>VLOOKUP(L257,'Import Process ORS'!$D$4:$E$1557,2,FALSE)</f>
        <v>#N/A</v>
      </c>
      <c r="D257" s="562">
        <f>SUMIFS('Import Process ORS'!L:L,'Import Process ORS'!E:E,'DV List for import'!C257)</f>
        <v>0</v>
      </c>
      <c r="E257" t="s">
        <v>2675</v>
      </c>
      <c r="F257" t="str">
        <f>VLOOKUP(A257,'[1]MAIN-101'!$B$13:$M$787,4,FALSE)</f>
        <v>OIC, DTI-ADS</v>
      </c>
      <c r="G257" t="str">
        <f>VLOOKUP(A257,'[1]MAIN-101'!$B$13:$M$787,12,FALSE)</f>
        <v>FT for DTI-CARP implementation for Q1 2021</v>
      </c>
      <c r="H257" s="562" t="e">
        <f>SUMIFS('[1]MAIN-101'!$Z$1:$Z$3000,'[1]MAIN-101'!$X$1:$X$3000,A257)</f>
        <v>#VALUE!</v>
      </c>
      <c r="I257" s="562" t="s">
        <v>2685</v>
      </c>
      <c r="J257" t="s">
        <v>2683</v>
      </c>
      <c r="K257" t="s">
        <v>2678</v>
      </c>
      <c r="L257" s="562" t="str">
        <f>VLOOKUP(A257,'Format for Import of DV'!$A$3:$S$1556,3,FALSE)</f>
        <v>106</v>
      </c>
      <c r="M257" s="562" t="e">
        <f>SUMIFS('Recon of ORS and DV'!D:D,'Recon of ORS and DV'!B:B,'DV List for import'!A257)</f>
        <v>#VALUE!</v>
      </c>
      <c r="N257" s="276" t="e">
        <f t="shared" si="13"/>
        <v>#VALUE!</v>
      </c>
    </row>
    <row r="258" spans="1:15">
      <c r="A258" t="s">
        <v>2174</v>
      </c>
      <c r="B258" t="str">
        <f t="shared" si="14"/>
        <v>Fund 01-2021-02-0247</v>
      </c>
      <c r="C258" s="562" t="e">
        <f>VLOOKUP(L258,'Import Process ORS'!$D$4:$E$1557,2,FALSE)</f>
        <v>#N/A</v>
      </c>
      <c r="D258" s="562">
        <f>SUMIFS('Import Process ORS'!L:L,'Import Process ORS'!E:E,'DV List for import'!C258)</f>
        <v>0</v>
      </c>
      <c r="E258" t="s">
        <v>2675</v>
      </c>
      <c r="F258" t="str">
        <f>VLOOKUP(A258,'[1]MAIN-101'!$B$13:$M$787,4,FALSE)</f>
        <v>OIC, DTI-PDI</v>
      </c>
      <c r="G258" t="str">
        <f>VLOOKUP(A258,'[1]MAIN-101'!$B$13:$M$787,12,FALSE)</f>
        <v>Transfer of funds to cover implementation of CPD activities for 1st quarter budget 2021.</v>
      </c>
      <c r="H258" s="562" t="e">
        <f>SUMIFS('[1]MAIN-101'!$Z$1:$Z$3000,'[1]MAIN-101'!$X$1:$X$3000,A258)</f>
        <v>#VALUE!</v>
      </c>
      <c r="I258" s="562" t="s">
        <v>2685</v>
      </c>
      <c r="J258" t="s">
        <v>2683</v>
      </c>
      <c r="K258" t="s">
        <v>2678</v>
      </c>
      <c r="L258" s="562" t="str">
        <f>VLOOKUP(A258,'Format for Import of DV'!$A$3:$S$1556,3,FALSE)</f>
        <v>132</v>
      </c>
      <c r="M258" s="562" t="e">
        <f>SUMIFS('Recon of ORS and DV'!D:D,'Recon of ORS and DV'!B:B,'DV List for import'!A258)</f>
        <v>#VALUE!</v>
      </c>
      <c r="N258" s="276" t="e">
        <f t="shared" si="13"/>
        <v>#VALUE!</v>
      </c>
    </row>
    <row r="259" spans="1:15">
      <c r="A259" t="s">
        <v>2506</v>
      </c>
      <c r="B259" t="str">
        <f t="shared" si="14"/>
        <v>Fund 01-2021-02-0248</v>
      </c>
      <c r="C259" s="564" t="str">
        <f t="shared" ref="C259:C282" si="15">L259</f>
        <v>0000-00-0000</v>
      </c>
      <c r="D259" s="562">
        <f>SUMIFS('Import Process ORS'!L:L,'Import Process ORS'!E:E,'DV List for import'!C259)</f>
        <v>0</v>
      </c>
      <c r="E259" t="s">
        <v>2675</v>
      </c>
      <c r="F259" t="str">
        <f>VLOOKUP(A259,'[1]MAIN-101'!$B$13:$M$787,4,FALSE)</f>
        <v>LBP F/O DTI-RO</v>
      </c>
      <c r="G259" t="str">
        <f>VLOOKUP(A259,'[1]MAIN-101'!$B$13:$M$787,12,FALSE)</f>
        <v>Payment for salaries and allowances for Regular employees for the period of February 16-28, 2021</v>
      </c>
      <c r="H259" s="562" t="e">
        <f>SUMIFS('[1]MAIN-101'!$Z$1:$Z$3000,'[1]MAIN-101'!$X$1:$X$3000,A259)</f>
        <v>#VALUE!</v>
      </c>
      <c r="I259" s="562" t="s">
        <v>2662</v>
      </c>
      <c r="J259" t="s">
        <v>2053</v>
      </c>
      <c r="K259" t="s">
        <v>2680</v>
      </c>
      <c r="L259" s="564" t="s">
        <v>2666</v>
      </c>
      <c r="M259" s="562">
        <f>SUMIFS('Recon of ORS and DV'!D:D,'Recon of ORS and DV'!B:B,'DV List for import'!A259)</f>
        <v>0</v>
      </c>
      <c r="N259" s="276" t="e">
        <f t="shared" si="13"/>
        <v>#VALUE!</v>
      </c>
      <c r="O259" t="s">
        <v>2664</v>
      </c>
    </row>
    <row r="260" spans="1:15">
      <c r="A260" t="s">
        <v>2507</v>
      </c>
      <c r="B260" t="str">
        <f t="shared" si="14"/>
        <v>Fund 01-2021-02-0249</v>
      </c>
      <c r="C260" s="564" t="str">
        <f t="shared" si="15"/>
        <v>0000-00-0000</v>
      </c>
      <c r="D260" s="562">
        <f>SUMIFS('Import Process ORS'!L:L,'Import Process ORS'!E:E,'DV List for import'!C260)</f>
        <v>0</v>
      </c>
      <c r="E260" t="s">
        <v>2675</v>
      </c>
      <c r="F260" t="str">
        <f>VLOOKUP(A260,'[1]MAIN-101'!$B$13:$M$787,4,FALSE)</f>
        <v>LBP F/O DTI-RO</v>
      </c>
      <c r="G260" t="str">
        <f>VLOOKUP(A260,'[1]MAIN-101'!$B$13:$M$787,12,FALSE)</f>
        <v>Refund of  overdeduction oF GSIS-ECIP from February payroll</v>
      </c>
      <c r="H260" s="562" t="e">
        <f>SUMIFS('[1]MAIN-101'!$Z$1:$Z$3000,'[1]MAIN-101'!$X$1:$X$3000,A260)</f>
        <v>#VALUE!</v>
      </c>
      <c r="I260" s="562" t="s">
        <v>2662</v>
      </c>
      <c r="J260" t="s">
        <v>2053</v>
      </c>
      <c r="K260" t="s">
        <v>2680</v>
      </c>
      <c r="L260" s="564" t="s">
        <v>2666</v>
      </c>
      <c r="M260" s="562">
        <f>SUMIFS('Recon of ORS and DV'!D:D,'Recon of ORS and DV'!B:B,'DV List for import'!A260)</f>
        <v>0</v>
      </c>
      <c r="N260" s="276" t="e">
        <f t="shared" ref="N260:N323" si="16">H260-M260</f>
        <v>#VALUE!</v>
      </c>
      <c r="O260" t="s">
        <v>2663</v>
      </c>
    </row>
    <row r="261" spans="1:15">
      <c r="A261" t="s">
        <v>2508</v>
      </c>
      <c r="B261" t="str">
        <f t="shared" si="14"/>
        <v>Fund 01-2021-02-0250</v>
      </c>
      <c r="C261" s="564" t="str">
        <f t="shared" si="15"/>
        <v>0000-00-0000</v>
      </c>
      <c r="D261" s="562">
        <f>SUMIFS('Import Process ORS'!L:L,'Import Process ORS'!E:E,'DV List for import'!C261)</f>
        <v>0</v>
      </c>
      <c r="E261" t="s">
        <v>2675</v>
      </c>
      <c r="F261" t="str">
        <f>VLOOKUP(A261,'[1]MAIN-101'!$B$13:$M$787,4,FALSE)</f>
        <v>LBP F/O DTI-AND</v>
      </c>
      <c r="G261" t="str">
        <f>VLOOKUP(A261,'[1]MAIN-101'!$B$13:$M$787,12,FALSE)</f>
        <v>Payment for salaries and allowances for Regular employees for the period of February 16-28, 2021</v>
      </c>
      <c r="H261" s="562" t="e">
        <f>SUMIFS('[1]MAIN-101'!$Z$1:$Z$3000,'[1]MAIN-101'!$X$1:$X$3000,A261)</f>
        <v>#VALUE!</v>
      </c>
      <c r="I261" s="562" t="s">
        <v>2662</v>
      </c>
      <c r="J261" t="s">
        <v>2053</v>
      </c>
      <c r="K261" t="s">
        <v>2680</v>
      </c>
      <c r="L261" s="564" t="s">
        <v>2666</v>
      </c>
      <c r="M261" s="562">
        <f>SUMIFS('Recon of ORS and DV'!D:D,'Recon of ORS and DV'!B:B,'DV List for import'!A261)</f>
        <v>0</v>
      </c>
      <c r="N261" s="276" t="e">
        <f t="shared" si="16"/>
        <v>#VALUE!</v>
      </c>
      <c r="O261" t="s">
        <v>2664</v>
      </c>
    </row>
    <row r="262" spans="1:15">
      <c r="A262" t="s">
        <v>2509</v>
      </c>
      <c r="B262" t="str">
        <f t="shared" si="14"/>
        <v>Fund 01-2021-02-0251</v>
      </c>
      <c r="C262" s="564" t="str">
        <f t="shared" si="15"/>
        <v>0000-00-0000</v>
      </c>
      <c r="D262" s="562">
        <f>SUMIFS('Import Process ORS'!L:L,'Import Process ORS'!E:E,'DV List for import'!C262)</f>
        <v>0</v>
      </c>
      <c r="E262" t="s">
        <v>2675</v>
      </c>
      <c r="F262" t="str">
        <f>VLOOKUP(A262,'[1]MAIN-101'!$B$13:$M$787,4,FALSE)</f>
        <v>LBP F/O DTI-ADS</v>
      </c>
      <c r="G262" t="str">
        <f>VLOOKUP(A262,'[1]MAIN-101'!$B$13:$M$787,12,FALSE)</f>
        <v>Payment for salaries and allowances for Regular employees for the period of February 16-28, 2021</v>
      </c>
      <c r="H262" s="562" t="e">
        <f>SUMIFS('[1]MAIN-101'!$Z$1:$Z$3000,'[1]MAIN-101'!$X$1:$X$3000,A262)</f>
        <v>#VALUE!</v>
      </c>
      <c r="I262" s="562" t="s">
        <v>2662</v>
      </c>
      <c r="J262" t="s">
        <v>2053</v>
      </c>
      <c r="K262" t="s">
        <v>2680</v>
      </c>
      <c r="L262" s="564" t="s">
        <v>2666</v>
      </c>
      <c r="M262" s="562">
        <f>SUMIFS('Recon of ORS and DV'!D:D,'Recon of ORS and DV'!B:B,'DV List for import'!A262)</f>
        <v>0</v>
      </c>
      <c r="N262" s="276" t="e">
        <f t="shared" si="16"/>
        <v>#VALUE!</v>
      </c>
      <c r="O262" t="s">
        <v>2664</v>
      </c>
    </row>
    <row r="263" spans="1:15">
      <c r="A263" t="s">
        <v>2510</v>
      </c>
      <c r="B263" t="str">
        <f t="shared" si="14"/>
        <v>Fund 01-2021-02-0252</v>
      </c>
      <c r="C263" s="564" t="str">
        <f t="shared" si="15"/>
        <v>0000-00-0000</v>
      </c>
      <c r="D263" s="562">
        <f>SUMIFS('Import Process ORS'!L:L,'Import Process ORS'!E:E,'DV List for import'!C263)</f>
        <v>0</v>
      </c>
      <c r="E263" t="s">
        <v>2675</v>
      </c>
      <c r="F263" t="str">
        <f>VLOOKUP(A263,'[1]MAIN-101'!$B$13:$M$787,4,FALSE)</f>
        <v>LBP F/O DTI-SDN</v>
      </c>
      <c r="G263" t="str">
        <f>VLOOKUP(A263,'[1]MAIN-101'!$B$13:$M$787,12,FALSE)</f>
        <v>Payment for salaries and allowances for Regular employees for the period of February 16-28, 2021</v>
      </c>
      <c r="H263" s="562" t="e">
        <f>SUMIFS('[1]MAIN-101'!$Z$1:$Z$3000,'[1]MAIN-101'!$X$1:$X$3000,A263)</f>
        <v>#VALUE!</v>
      </c>
      <c r="I263" s="562" t="s">
        <v>2662</v>
      </c>
      <c r="J263" t="s">
        <v>2053</v>
      </c>
      <c r="K263" t="s">
        <v>2680</v>
      </c>
      <c r="L263" s="564" t="s">
        <v>2666</v>
      </c>
      <c r="M263" s="562">
        <f>SUMIFS('Recon of ORS and DV'!D:D,'Recon of ORS and DV'!B:B,'DV List for import'!A263)</f>
        <v>0</v>
      </c>
      <c r="N263" s="276" t="e">
        <f t="shared" si="16"/>
        <v>#VALUE!</v>
      </c>
      <c r="O263" t="s">
        <v>2664</v>
      </c>
    </row>
    <row r="264" spans="1:15">
      <c r="A264" t="s">
        <v>2511</v>
      </c>
      <c r="B264" t="str">
        <f t="shared" si="14"/>
        <v>Fund 01-2021-02-0253</v>
      </c>
      <c r="C264" s="564" t="str">
        <f t="shared" si="15"/>
        <v>0000-00-0000</v>
      </c>
      <c r="D264" s="562">
        <f>SUMIFS('Import Process ORS'!L:L,'Import Process ORS'!E:E,'DV List for import'!C264)</f>
        <v>0</v>
      </c>
      <c r="E264" t="s">
        <v>2675</v>
      </c>
      <c r="F264" t="str">
        <f>VLOOKUP(A264,'[1]MAIN-101'!$B$13:$M$787,4,FALSE)</f>
        <v>LBP F/O DTI-SDS</v>
      </c>
      <c r="G264" t="str">
        <f>VLOOKUP(A264,'[1]MAIN-101'!$B$13:$M$787,12,FALSE)</f>
        <v>Payment for salaries and allowances for Regular employees for the period of February 16-28, 2021</v>
      </c>
      <c r="H264" s="562" t="e">
        <f>SUMIFS('[1]MAIN-101'!$Z$1:$Z$3000,'[1]MAIN-101'!$X$1:$X$3000,A264)</f>
        <v>#VALUE!</v>
      </c>
      <c r="I264" s="562" t="s">
        <v>2662</v>
      </c>
      <c r="J264" t="s">
        <v>2053</v>
      </c>
      <c r="K264" t="s">
        <v>2680</v>
      </c>
      <c r="L264" s="564" t="s">
        <v>2666</v>
      </c>
      <c r="M264" s="562">
        <f>SUMIFS('Recon of ORS and DV'!D:D,'Recon of ORS and DV'!B:B,'DV List for import'!A264)</f>
        <v>0</v>
      </c>
      <c r="N264" s="276" t="e">
        <f t="shared" si="16"/>
        <v>#VALUE!</v>
      </c>
      <c r="O264" t="s">
        <v>2664</v>
      </c>
    </row>
    <row r="265" spans="1:15">
      <c r="A265" t="s">
        <v>2512</v>
      </c>
      <c r="B265" t="str">
        <f t="shared" si="14"/>
        <v>Fund 01-2021-02-0254</v>
      </c>
      <c r="C265" s="564" t="str">
        <f t="shared" si="15"/>
        <v>0000-00-0000</v>
      </c>
      <c r="D265" s="562">
        <f>SUMIFS('Import Process ORS'!L:L,'Import Process ORS'!E:E,'DV List for import'!C265)</f>
        <v>0</v>
      </c>
      <c r="E265" t="s">
        <v>2675</v>
      </c>
      <c r="F265" t="str">
        <f>VLOOKUP(A265,'[1]MAIN-101'!$B$13:$M$787,4,FALSE)</f>
        <v>LBP F/O DTI-PDI</v>
      </c>
      <c r="G265" t="str">
        <f>VLOOKUP(A265,'[1]MAIN-101'!$B$13:$M$787,12,FALSE)</f>
        <v>Payment for salaries and allowances for Regular employees for the period of February 16-28, 2021</v>
      </c>
      <c r="H265" s="562" t="e">
        <f>SUMIFS('[1]MAIN-101'!$Z$1:$Z$3000,'[1]MAIN-101'!$X$1:$X$3000,A265)</f>
        <v>#VALUE!</v>
      </c>
      <c r="I265" s="562" t="s">
        <v>2662</v>
      </c>
      <c r="J265" t="s">
        <v>2053</v>
      </c>
      <c r="K265" t="s">
        <v>2680</v>
      </c>
      <c r="L265" s="564" t="s">
        <v>2666</v>
      </c>
      <c r="M265" s="562">
        <f>SUMIFS('Recon of ORS and DV'!D:D,'Recon of ORS and DV'!B:B,'DV List for import'!A265)</f>
        <v>0</v>
      </c>
      <c r="N265" s="276" t="e">
        <f t="shared" si="16"/>
        <v>#VALUE!</v>
      </c>
      <c r="O265" t="s">
        <v>2664</v>
      </c>
    </row>
    <row r="266" spans="1:15">
      <c r="A266" t="s">
        <v>2513</v>
      </c>
      <c r="B266" t="str">
        <f t="shared" si="14"/>
        <v>Fund 01-2021-02-0255</v>
      </c>
      <c r="C266" s="564" t="str">
        <f t="shared" si="15"/>
        <v>0000-00-0000</v>
      </c>
      <c r="D266" s="562">
        <f>SUMIFS('Import Process ORS'!L:L,'Import Process ORS'!E:E,'DV List for import'!C266)</f>
        <v>0</v>
      </c>
      <c r="E266" t="s">
        <v>2675</v>
      </c>
      <c r="F266" t="str">
        <f>VLOOKUP(A266,'[1]MAIN-101'!$B$13:$M$787,4,FALSE)</f>
        <v>Joselito B. Paler</v>
      </c>
      <c r="G266" t="str">
        <f>VLOOKUP(A266,'[1]MAIN-101'!$B$13:$M$787,12,FALSE)</f>
        <v>Payment for salaries and allowances for CARP employees for the period of February 16-28, 2021</v>
      </c>
      <c r="H266" s="562" t="e">
        <f>SUMIFS('[1]MAIN-101'!$Z$1:$Z$3000,'[1]MAIN-101'!$X$1:$X$3000,A266)</f>
        <v>#VALUE!</v>
      </c>
      <c r="I266" s="562" t="s">
        <v>2662</v>
      </c>
      <c r="J266" t="s">
        <v>2053</v>
      </c>
      <c r="K266" t="s">
        <v>2680</v>
      </c>
      <c r="L266" s="564" t="s">
        <v>2666</v>
      </c>
      <c r="M266" s="562">
        <f>SUMIFS('Recon of ORS and DV'!D:D,'Recon of ORS and DV'!B:B,'DV List for import'!A266)</f>
        <v>0</v>
      </c>
      <c r="N266" s="276" t="e">
        <f t="shared" si="16"/>
        <v>#VALUE!</v>
      </c>
      <c r="O266" t="s">
        <v>2664</v>
      </c>
    </row>
    <row r="267" spans="1:15">
      <c r="A267" t="s">
        <v>2514</v>
      </c>
      <c r="B267" t="str">
        <f t="shared" si="14"/>
        <v>Fund 01-2021-02-0256</v>
      </c>
      <c r="C267" s="564" t="str">
        <f t="shared" si="15"/>
        <v>0000-00-0000</v>
      </c>
      <c r="D267" s="562">
        <f>SUMIFS('Import Process ORS'!L:L,'Import Process ORS'!E:E,'DV List for import'!C267)</f>
        <v>0</v>
      </c>
      <c r="E267" t="s">
        <v>2675</v>
      </c>
      <c r="F267" t="str">
        <f>VLOOKUP(A267,'[1]MAIN-101'!$B$13:$M$787,4,FALSE)</f>
        <v>LBP F/O DTI-AD N</v>
      </c>
      <c r="G267" t="str">
        <f>VLOOKUP(A267,'[1]MAIN-101'!$B$13:$M$787,12,FALSE)</f>
        <v>Payment for salaries and allowances for CARP employees for the period of February 16-28, 2021</v>
      </c>
      <c r="H267" s="562" t="e">
        <f>SUMIFS('[1]MAIN-101'!$Z$1:$Z$3000,'[1]MAIN-101'!$X$1:$X$3000,A267)</f>
        <v>#VALUE!</v>
      </c>
      <c r="I267" s="562" t="s">
        <v>2662</v>
      </c>
      <c r="J267" t="s">
        <v>2053</v>
      </c>
      <c r="K267" t="s">
        <v>2680</v>
      </c>
      <c r="L267" s="564" t="s">
        <v>2666</v>
      </c>
      <c r="M267" s="562">
        <f>SUMIFS('Recon of ORS and DV'!D:D,'Recon of ORS and DV'!B:B,'DV List for import'!A267)</f>
        <v>0</v>
      </c>
      <c r="N267" s="276" t="e">
        <f t="shared" si="16"/>
        <v>#VALUE!</v>
      </c>
      <c r="O267" t="s">
        <v>2664</v>
      </c>
    </row>
    <row r="268" spans="1:15">
      <c r="A268" t="s">
        <v>2515</v>
      </c>
      <c r="B268" t="str">
        <f t="shared" si="14"/>
        <v>Fund 01-2021-02-0257</v>
      </c>
      <c r="C268" s="564" t="str">
        <f t="shared" si="15"/>
        <v>0000-00-0000</v>
      </c>
      <c r="D268" s="562">
        <f>SUMIFS('Import Process ORS'!L:L,'Import Process ORS'!E:E,'DV List for import'!C268)</f>
        <v>0</v>
      </c>
      <c r="E268" t="s">
        <v>2675</v>
      </c>
      <c r="F268" t="str">
        <f>VLOOKUP(A268,'[1]MAIN-101'!$B$13:$M$787,4,FALSE)</f>
        <v>Lemuel D. Roboca</v>
      </c>
      <c r="G268" t="str">
        <f>VLOOKUP(A268,'[1]MAIN-101'!$B$13:$M$787,12,FALSE)</f>
        <v>Payment for salaries and allowances for CARP employees for the period of February 16-28, 2021</v>
      </c>
      <c r="H268" s="562" t="e">
        <f>SUMIFS('[1]MAIN-101'!$Z$1:$Z$3000,'[1]MAIN-101'!$X$1:$X$3000,A268)</f>
        <v>#VALUE!</v>
      </c>
      <c r="I268" s="562" t="s">
        <v>2662</v>
      </c>
      <c r="J268" t="s">
        <v>2053</v>
      </c>
      <c r="K268" t="s">
        <v>2680</v>
      </c>
      <c r="L268" s="564" t="s">
        <v>2666</v>
      </c>
      <c r="M268" s="562">
        <f>SUMIFS('Recon of ORS and DV'!D:D,'Recon of ORS and DV'!B:B,'DV List for import'!A268)</f>
        <v>0</v>
      </c>
      <c r="N268" s="276" t="e">
        <f t="shared" si="16"/>
        <v>#VALUE!</v>
      </c>
      <c r="O268" t="s">
        <v>2664</v>
      </c>
    </row>
    <row r="269" spans="1:15">
      <c r="A269" t="s">
        <v>2516</v>
      </c>
      <c r="B269" t="str">
        <f t="shared" si="14"/>
        <v>Fund 01-2021-02-0258</v>
      </c>
      <c r="C269" s="564" t="str">
        <f t="shared" si="15"/>
        <v>0000-00-0000</v>
      </c>
      <c r="D269" s="562">
        <f>SUMIFS('Import Process ORS'!L:L,'Import Process ORS'!E:E,'DV List for import'!C269)</f>
        <v>0</v>
      </c>
      <c r="E269" t="s">
        <v>2675</v>
      </c>
      <c r="F269" t="str">
        <f>VLOOKUP(A269,'[1]MAIN-101'!$B$13:$M$787,4,FALSE)</f>
        <v>Ma. Malen B. Catamora</v>
      </c>
      <c r="G269" t="str">
        <f>VLOOKUP(A269,'[1]MAIN-101'!$B$13:$M$787,12,FALSE)</f>
        <v>Payment for salaries and allowances for CARP employees for the period of February 16-28, 2021</v>
      </c>
      <c r="H269" s="562" t="e">
        <f>SUMIFS('[1]MAIN-101'!$Z$1:$Z$3000,'[1]MAIN-101'!$X$1:$X$3000,A269)</f>
        <v>#VALUE!</v>
      </c>
      <c r="I269" s="562" t="s">
        <v>2662</v>
      </c>
      <c r="J269" t="s">
        <v>2053</v>
      </c>
      <c r="K269" t="s">
        <v>2680</v>
      </c>
      <c r="L269" s="564" t="s">
        <v>2666</v>
      </c>
      <c r="M269" s="562">
        <f>SUMIFS('Recon of ORS and DV'!D:D,'Recon of ORS and DV'!B:B,'DV List for import'!A269)</f>
        <v>0</v>
      </c>
      <c r="N269" s="276" t="e">
        <f t="shared" si="16"/>
        <v>#VALUE!</v>
      </c>
      <c r="O269" t="s">
        <v>2664</v>
      </c>
    </row>
    <row r="270" spans="1:15">
      <c r="A270" t="s">
        <v>2517</v>
      </c>
      <c r="B270" t="str">
        <f t="shared" si="14"/>
        <v>Fund 01-2021-02-0259</v>
      </c>
      <c r="C270" s="564" t="str">
        <f t="shared" si="15"/>
        <v>0000-00-0000</v>
      </c>
      <c r="D270" s="562">
        <f>SUMIFS('Import Process ORS'!L:L,'Import Process ORS'!E:E,'DV List for import'!C270)</f>
        <v>0</v>
      </c>
      <c r="E270" t="s">
        <v>2675</v>
      </c>
      <c r="F270" t="str">
        <f>VLOOKUP(A270,'[1]MAIN-101'!$B$13:$M$787,4,FALSE)</f>
        <v>LBP F/O DTI-SDS</v>
      </c>
      <c r="G270" t="str">
        <f>VLOOKUP(A270,'[1]MAIN-101'!$B$13:$M$787,12,FALSE)</f>
        <v>Payment for salaries and allowances for CARP employees for the period of February 16-28, 2021</v>
      </c>
      <c r="H270" s="562" t="e">
        <f>SUMIFS('[1]MAIN-101'!$Z$1:$Z$3000,'[1]MAIN-101'!$X$1:$X$3000,A270)</f>
        <v>#VALUE!</v>
      </c>
      <c r="I270" s="562" t="s">
        <v>2662</v>
      </c>
      <c r="J270" t="s">
        <v>2053</v>
      </c>
      <c r="K270" t="s">
        <v>2680</v>
      </c>
      <c r="L270" s="564" t="s">
        <v>2666</v>
      </c>
      <c r="M270" s="562">
        <f>SUMIFS('Recon of ORS and DV'!D:D,'Recon of ORS and DV'!B:B,'DV List for import'!A270)</f>
        <v>0</v>
      </c>
      <c r="N270" s="276" t="e">
        <f t="shared" si="16"/>
        <v>#VALUE!</v>
      </c>
      <c r="O270" t="s">
        <v>2664</v>
      </c>
    </row>
    <row r="271" spans="1:15">
      <c r="A271" t="s">
        <v>2518</v>
      </c>
      <c r="B271" t="str">
        <f t="shared" si="14"/>
        <v>Fund 01-2021-02-0260</v>
      </c>
      <c r="C271" s="564" t="str">
        <f t="shared" si="15"/>
        <v>0000-00-0000</v>
      </c>
      <c r="D271" s="562">
        <f>SUMIFS('Import Process ORS'!L:L,'Import Process ORS'!E:E,'DV List for import'!C271)</f>
        <v>0</v>
      </c>
      <c r="E271" t="s">
        <v>2675</v>
      </c>
      <c r="F271" t="str">
        <f>VLOOKUP(A271,'[1]MAIN-101'!$B$13:$M$787,4,FALSE)</f>
        <v>Jumar H. Llorente</v>
      </c>
      <c r="G271" t="str">
        <f>VLOOKUP(A271,'[1]MAIN-101'!$B$13:$M$787,12,FALSE)</f>
        <v>Payment for salaries and allowances for CARP employees for the period of February 16-28, 2021</v>
      </c>
      <c r="H271" s="562" t="e">
        <f>SUMIFS('[1]MAIN-101'!$Z$1:$Z$3000,'[1]MAIN-101'!$X$1:$X$3000,A271)</f>
        <v>#VALUE!</v>
      </c>
      <c r="I271" s="562" t="s">
        <v>2662</v>
      </c>
      <c r="J271" t="s">
        <v>2053</v>
      </c>
      <c r="K271" t="s">
        <v>2680</v>
      </c>
      <c r="L271" s="564" t="s">
        <v>2666</v>
      </c>
      <c r="M271" s="562">
        <f>SUMIFS('Recon of ORS and DV'!D:D,'Recon of ORS and DV'!B:B,'DV List for import'!A271)</f>
        <v>0</v>
      </c>
      <c r="N271" s="276" t="e">
        <f t="shared" si="16"/>
        <v>#VALUE!</v>
      </c>
      <c r="O271" t="s">
        <v>2664</v>
      </c>
    </row>
    <row r="272" spans="1:15">
      <c r="A272" t="s">
        <v>2519</v>
      </c>
      <c r="B272" t="str">
        <f t="shared" si="14"/>
        <v>Fund 01-2021-02-0261</v>
      </c>
      <c r="C272" s="564" t="str">
        <f t="shared" si="15"/>
        <v>0000-00-0000</v>
      </c>
      <c r="D272" s="562">
        <f>SUMIFS('Import Process ORS'!L:L,'Import Process ORS'!E:E,'DV List for import'!C272)</f>
        <v>0</v>
      </c>
      <c r="E272" t="s">
        <v>2675</v>
      </c>
      <c r="F272" t="str">
        <f>VLOOKUP(A272,'[1]MAIN-101'!$B$13:$M$787,4,FALSE)</f>
        <v>Joselito B. Paler</v>
      </c>
      <c r="G272" t="str">
        <f>VLOOKUP(A272,'[1]MAIN-101'!$B$13:$M$787,12,FALSE)</f>
        <v>Refund of HDMF-MPL and Provident MPL for the month of February 2021</v>
      </c>
      <c r="H272" s="562" t="e">
        <f>SUMIFS('[1]MAIN-101'!$Z$1:$Z$3000,'[1]MAIN-101'!$X$1:$X$3000,A272)</f>
        <v>#VALUE!</v>
      </c>
      <c r="I272" s="562" t="s">
        <v>2662</v>
      </c>
      <c r="J272" t="s">
        <v>2053</v>
      </c>
      <c r="K272" t="s">
        <v>2680</v>
      </c>
      <c r="L272" s="564" t="s">
        <v>2666</v>
      </c>
      <c r="M272" s="562">
        <f>SUMIFS('Recon of ORS and DV'!D:D,'Recon of ORS and DV'!B:B,'DV List for import'!A272)</f>
        <v>0</v>
      </c>
      <c r="N272" s="276" t="e">
        <f t="shared" si="16"/>
        <v>#VALUE!</v>
      </c>
      <c r="O272" t="s">
        <v>2663</v>
      </c>
    </row>
    <row r="273" spans="1:15">
      <c r="A273" t="s">
        <v>2520</v>
      </c>
      <c r="B273" t="str">
        <f t="shared" si="14"/>
        <v>Fund 01-2021-02-0262</v>
      </c>
      <c r="C273" s="564" t="str">
        <f t="shared" si="15"/>
        <v>0000-00-0000</v>
      </c>
      <c r="D273" s="562">
        <f>SUMIFS('Import Process ORS'!L:L,'Import Process ORS'!E:E,'DV List for import'!C273)</f>
        <v>0</v>
      </c>
      <c r="E273" t="s">
        <v>2675</v>
      </c>
      <c r="F273" t="str">
        <f>VLOOKUP(A273,'[1]MAIN-101'!$B$13:$M$787,4,FALSE)</f>
        <v>GSIS</v>
      </c>
      <c r="G273" t="str">
        <f>VLOOKUP(A273,'[1]MAIN-101'!$B$13:$M$787,12,FALSE)</f>
        <v>Remittance of GSIS premiums (RLIP &amp;SIC) for employees with salary differential due to to step increment (Pascual &amp; Togonon) and SSL 5 (Timogan) for the period January 4-31,2021</v>
      </c>
      <c r="H273" s="562" t="e">
        <f>SUMIFS('[1]MAIN-101'!$Z$1:$Z$3000,'[1]MAIN-101'!$X$1:$X$3000,A273)</f>
        <v>#VALUE!</v>
      </c>
      <c r="I273" s="562" t="s">
        <v>2687</v>
      </c>
      <c r="J273" t="s">
        <v>2683</v>
      </c>
      <c r="K273" t="s">
        <v>2678</v>
      </c>
      <c r="L273" s="564" t="s">
        <v>2666</v>
      </c>
      <c r="M273" s="562">
        <f>SUMIFS('Recon of ORS and DV'!D:D,'Recon of ORS and DV'!B:B,'DV List for import'!A273)</f>
        <v>0</v>
      </c>
      <c r="N273" s="276" t="e">
        <f t="shared" si="16"/>
        <v>#VALUE!</v>
      </c>
    </row>
    <row r="274" spans="1:15">
      <c r="A274" t="s">
        <v>2521</v>
      </c>
      <c r="B274" t="str">
        <f t="shared" si="14"/>
        <v>Fund 01-2021-02-0263</v>
      </c>
      <c r="C274" s="564" t="str">
        <f t="shared" si="15"/>
        <v>0000-00-0000</v>
      </c>
      <c r="D274" s="562">
        <f>SUMIFS('Import Process ORS'!L:L,'Import Process ORS'!E:E,'DV List for import'!C274)</f>
        <v>0</v>
      </c>
      <c r="E274" t="s">
        <v>2675</v>
      </c>
      <c r="F274" t="str">
        <f>VLOOKUP(A274,'[1]MAIN-101'!$B$13:$M$787,4,FALSE)</f>
        <v>GSIS</v>
      </c>
      <c r="G274" t="str">
        <f>VLOOKUP(A274,'[1]MAIN-101'!$B$13:$M$787,12,FALSE)</f>
        <v>Remittance of GSIS premiums and loan payment of CARP employees for the month of February 2021</v>
      </c>
      <c r="H274" s="562" t="e">
        <f>SUMIFS('[1]MAIN-101'!$Z$1:$Z$3000,'[1]MAIN-101'!$X$1:$X$3000,A274)</f>
        <v>#VALUE!</v>
      </c>
      <c r="I274" s="562" t="s">
        <v>2662</v>
      </c>
      <c r="J274" t="s">
        <v>2053</v>
      </c>
      <c r="K274" t="s">
        <v>2680</v>
      </c>
      <c r="L274" s="564" t="s">
        <v>2666</v>
      </c>
      <c r="M274" s="562">
        <f>SUMIFS('Recon of ORS and DV'!D:D,'Recon of ORS and DV'!B:B,'DV List for import'!A274)</f>
        <v>0</v>
      </c>
      <c r="N274" s="276" t="e">
        <f t="shared" si="16"/>
        <v>#VALUE!</v>
      </c>
      <c r="O274" t="s">
        <v>2662</v>
      </c>
    </row>
    <row r="275" spans="1:15">
      <c r="A275" t="s">
        <v>2522</v>
      </c>
      <c r="B275" t="str">
        <f t="shared" si="14"/>
        <v>Fund 01-2021-02-0264</v>
      </c>
      <c r="C275" s="564" t="str">
        <f t="shared" si="15"/>
        <v>0000-00-0000</v>
      </c>
      <c r="D275" s="562">
        <f>SUMIFS('Import Process ORS'!L:L,'Import Process ORS'!E:E,'DV List for import'!C275)</f>
        <v>0</v>
      </c>
      <c r="E275" t="s">
        <v>2675</v>
      </c>
      <c r="F275" t="str">
        <f>VLOOKUP(A275,'[1]MAIN-101'!$B$13:$M$787,4,FALSE)</f>
        <v>HDMF-Butuan City</v>
      </c>
      <c r="G275" t="str">
        <f>VLOOKUP(A275,'[1]MAIN-101'!$B$13:$M$787,12,FALSE)</f>
        <v>Remittance of HDMF premiums and loan payment of CARP employees for the month of February 2021</v>
      </c>
      <c r="H275" s="562" t="e">
        <f>SUMIFS('[1]MAIN-101'!$Z$1:$Z$3000,'[1]MAIN-101'!$X$1:$X$3000,A275)</f>
        <v>#VALUE!</v>
      </c>
      <c r="I275" s="562" t="s">
        <v>2662</v>
      </c>
      <c r="J275" t="s">
        <v>2053</v>
      </c>
      <c r="K275" t="s">
        <v>2680</v>
      </c>
      <c r="L275" s="564" t="s">
        <v>2666</v>
      </c>
      <c r="M275" s="562">
        <f>SUMIFS('Recon of ORS and DV'!D:D,'Recon of ORS and DV'!B:B,'DV List for import'!A275)</f>
        <v>0</v>
      </c>
      <c r="N275" s="276" t="e">
        <f t="shared" si="16"/>
        <v>#VALUE!</v>
      </c>
      <c r="O275" t="s">
        <v>2662</v>
      </c>
    </row>
    <row r="276" spans="1:15">
      <c r="A276" t="s">
        <v>2523</v>
      </c>
      <c r="B276" t="str">
        <f t="shared" si="14"/>
        <v>Fund 01-2021-02-0265</v>
      </c>
      <c r="C276" s="564" t="str">
        <f t="shared" si="15"/>
        <v>0000-00-0000</v>
      </c>
      <c r="D276" s="562">
        <f>SUMIFS('Import Process ORS'!L:L,'Import Process ORS'!E:E,'DV List for import'!C276)</f>
        <v>0</v>
      </c>
      <c r="E276" t="s">
        <v>2675</v>
      </c>
      <c r="F276" t="str">
        <f>VLOOKUP(A276,'[1]MAIN-101'!$B$13:$M$787,4,FALSE)</f>
        <v>PHIC</v>
      </c>
      <c r="G276" t="str">
        <f>VLOOKUP(A276,'[1]MAIN-101'!$B$13:$M$787,12,FALSE)</f>
        <v>Remittance of coop deductions from PDI( additional remittance) for the month of January 2021</v>
      </c>
      <c r="H276" s="562" t="e">
        <f>SUMIFS('[1]MAIN-101'!$Z$1:$Z$3000,'[1]MAIN-101'!$X$1:$X$3000,A276)</f>
        <v>#VALUE!</v>
      </c>
      <c r="I276" s="562" t="s">
        <v>2662</v>
      </c>
      <c r="J276" t="s">
        <v>2053</v>
      </c>
      <c r="K276" t="s">
        <v>2680</v>
      </c>
      <c r="L276" s="564" t="s">
        <v>2666</v>
      </c>
      <c r="M276" s="562">
        <f>SUMIFS('Recon of ORS and DV'!D:D,'Recon of ORS and DV'!B:B,'DV List for import'!A276)</f>
        <v>0</v>
      </c>
      <c r="N276" s="276" t="e">
        <f t="shared" si="16"/>
        <v>#VALUE!</v>
      </c>
      <c r="O276" t="s">
        <v>2662</v>
      </c>
    </row>
    <row r="277" spans="1:15">
      <c r="A277" t="s">
        <v>2524</v>
      </c>
      <c r="B277" t="str">
        <f t="shared" si="14"/>
        <v>Fund 01-2021-02-0266</v>
      </c>
      <c r="C277" s="564" t="str">
        <f t="shared" si="15"/>
        <v>0000-00-0000</v>
      </c>
      <c r="D277" s="562">
        <f>SUMIFS('Import Process ORS'!L:L,'Import Process ORS'!E:E,'DV List for import'!C277)</f>
        <v>0</v>
      </c>
      <c r="E277" t="s">
        <v>2675</v>
      </c>
      <c r="F277" t="str">
        <f>VLOOKUP(A277,'[1]MAIN-101'!$B$13:$M$787,4,FALSE)</f>
        <v>DTI-Provident Fund</v>
      </c>
      <c r="G277" t="str">
        <f>VLOOKUP(A277,'[1]MAIN-101'!$B$13:$M$787,12,FALSE)</f>
        <v>Remittance of provident premium of CARP employees for the month of January 2021</v>
      </c>
      <c r="H277" s="562" t="e">
        <f>SUMIFS('[1]MAIN-101'!$Z$1:$Z$3000,'[1]MAIN-101'!$X$1:$X$3000,A277)</f>
        <v>#VALUE!</v>
      </c>
      <c r="I277" s="562" t="s">
        <v>2662</v>
      </c>
      <c r="J277" t="s">
        <v>2053</v>
      </c>
      <c r="K277" t="s">
        <v>2680</v>
      </c>
      <c r="L277" s="564" t="s">
        <v>2666</v>
      </c>
      <c r="M277" s="562">
        <f>SUMIFS('Recon of ORS and DV'!D:D,'Recon of ORS and DV'!B:B,'DV List for import'!A277)</f>
        <v>0</v>
      </c>
      <c r="N277" s="276" t="e">
        <f t="shared" si="16"/>
        <v>#VALUE!</v>
      </c>
      <c r="O277" t="s">
        <v>2662</v>
      </c>
    </row>
    <row r="278" spans="1:15">
      <c r="A278" t="s">
        <v>2525</v>
      </c>
      <c r="B278" t="str">
        <f t="shared" si="14"/>
        <v>Fund 01-2021-02-0267</v>
      </c>
      <c r="C278" s="564" t="str">
        <f t="shared" si="15"/>
        <v>0000-00-0000</v>
      </c>
      <c r="D278" s="562">
        <f>SUMIFS('Import Process ORS'!L:L,'Import Process ORS'!E:E,'DV List for import'!C278)</f>
        <v>0</v>
      </c>
      <c r="E278" t="s">
        <v>2675</v>
      </c>
      <c r="F278" t="str">
        <f>VLOOKUP(A278,'[1]MAIN-101'!$B$13:$M$787,4,FALSE)</f>
        <v>DTI-Mutual Death Benefit Fund</v>
      </c>
      <c r="G278" t="str">
        <f>VLOOKUP(A278,'[1]MAIN-101'!$B$13:$M$787,12,FALSE)</f>
        <v>Remittance of MDBF Premium of CARP employee for the period January- December 2021</v>
      </c>
      <c r="H278" s="562" t="e">
        <f>SUMIFS('[1]MAIN-101'!$Z$1:$Z$3000,'[1]MAIN-101'!$X$1:$X$3000,A278)</f>
        <v>#VALUE!</v>
      </c>
      <c r="I278" s="562" t="s">
        <v>2662</v>
      </c>
      <c r="J278" t="s">
        <v>2053</v>
      </c>
      <c r="K278" t="s">
        <v>2680</v>
      </c>
      <c r="L278" s="564" t="s">
        <v>2666</v>
      </c>
      <c r="M278" s="562">
        <f>SUMIFS('Recon of ORS and DV'!D:D,'Recon of ORS and DV'!B:B,'DV List for import'!A278)</f>
        <v>0</v>
      </c>
      <c r="N278" s="276" t="e">
        <f t="shared" si="16"/>
        <v>#VALUE!</v>
      </c>
      <c r="O278" t="s">
        <v>2662</v>
      </c>
    </row>
    <row r="279" spans="1:15">
      <c r="A279" t="s">
        <v>2526</v>
      </c>
      <c r="B279" t="str">
        <f t="shared" si="14"/>
        <v>Fund 01-2021-02-0268</v>
      </c>
      <c r="C279" s="564" t="str">
        <f t="shared" si="15"/>
        <v>0000-00-0000</v>
      </c>
      <c r="D279" s="562">
        <f>SUMIFS('Import Process ORS'!L:L,'Import Process ORS'!E:E,'DV List for import'!C279)</f>
        <v>0</v>
      </c>
      <c r="E279" t="s">
        <v>2675</v>
      </c>
      <c r="F279" t="str">
        <f>VLOOKUP(A279,'[1]MAIN-101'!$B$13:$M$787,4,FALSE)</f>
        <v>DREAMCO MPC</v>
      </c>
      <c r="G279" t="str">
        <f>VLOOKUP(A279,'[1]MAIN-101'!$B$13:$M$787,12,FALSE)</f>
        <v>Remittance of coop deductions from PDI( additional remittance) for the month of January 2021</v>
      </c>
      <c r="H279" s="562" t="e">
        <f>SUMIFS('[1]MAIN-101'!$Z$1:$Z$3000,'[1]MAIN-101'!$X$1:$X$3000,A279)</f>
        <v>#VALUE!</v>
      </c>
      <c r="I279" s="562" t="s">
        <v>2662</v>
      </c>
      <c r="J279" t="s">
        <v>2053</v>
      </c>
      <c r="K279" t="s">
        <v>2680</v>
      </c>
      <c r="L279" s="564" t="s">
        <v>2666</v>
      </c>
      <c r="M279" s="562">
        <f>SUMIFS('Recon of ORS and DV'!D:D,'Recon of ORS and DV'!B:B,'DV List for import'!A279)</f>
        <v>0</v>
      </c>
      <c r="N279" s="276" t="e">
        <f t="shared" si="16"/>
        <v>#VALUE!</v>
      </c>
      <c r="O279" t="s">
        <v>2662</v>
      </c>
    </row>
    <row r="280" spans="1:15">
      <c r="A280" t="s">
        <v>2527</v>
      </c>
      <c r="B280" t="str">
        <f t="shared" si="14"/>
        <v>Fund 01-2021-02-0269</v>
      </c>
      <c r="C280" s="564" t="str">
        <f t="shared" si="15"/>
        <v>0000-00-0000</v>
      </c>
      <c r="D280" s="562">
        <f>SUMIFS('Import Process ORS'!L:L,'Import Process ORS'!E:E,'DV List for import'!C280)</f>
        <v>0</v>
      </c>
      <c r="E280" t="s">
        <v>2675</v>
      </c>
      <c r="F280" t="str">
        <f>VLOOKUP(A280,'[1]MAIN-101'!$B$13:$M$787,4,FALSE)</f>
        <v>GLAD MPC</v>
      </c>
      <c r="G280" t="str">
        <f>VLOOKUP(A280,'[1]MAIN-101'!$B$13:$M$787,12,FALSE)</f>
        <v>Remitance of CARP employees coop deductions for the month of Feb 2021</v>
      </c>
      <c r="H280" s="562" t="e">
        <f>SUMIFS('[1]MAIN-101'!$Z$1:$Z$3000,'[1]MAIN-101'!$X$1:$X$3000,A280)</f>
        <v>#VALUE!</v>
      </c>
      <c r="I280" s="562" t="s">
        <v>2662</v>
      </c>
      <c r="J280" t="s">
        <v>2053</v>
      </c>
      <c r="K280" t="s">
        <v>2680</v>
      </c>
      <c r="L280" s="564" t="s">
        <v>2666</v>
      </c>
      <c r="M280" s="562">
        <f>SUMIFS('Recon of ORS and DV'!D:D,'Recon of ORS and DV'!B:B,'DV List for import'!A280)</f>
        <v>0</v>
      </c>
      <c r="N280" s="276" t="e">
        <f t="shared" si="16"/>
        <v>#VALUE!</v>
      </c>
      <c r="O280" t="s">
        <v>2662</v>
      </c>
    </row>
    <row r="281" spans="1:15">
      <c r="A281" t="s">
        <v>2528</v>
      </c>
      <c r="B281" t="str">
        <f t="shared" si="14"/>
        <v>Fund 01-2021-02-0270</v>
      </c>
      <c r="C281" s="564" t="str">
        <f t="shared" si="15"/>
        <v>0000-00-0000</v>
      </c>
      <c r="D281" s="562">
        <f>SUMIFS('Import Process ORS'!L:L,'Import Process ORS'!E:E,'DV List for import'!C281)</f>
        <v>0</v>
      </c>
      <c r="E281" t="s">
        <v>2675</v>
      </c>
      <c r="F281" t="str">
        <f>VLOOKUP(A281,'[1]MAIN-101'!$B$13:$M$787,4,FALSE)</f>
        <v>SURE DEV'T COOPERATIVE</v>
      </c>
      <c r="G281" t="str">
        <f>VLOOKUP(A281,'[1]MAIN-101'!$B$13:$M$787,12,FALSE)</f>
        <v>Remittance of coop deduction of CARP staff for the month of February 2021</v>
      </c>
      <c r="H281" s="562" t="e">
        <f>SUMIFS('[1]MAIN-101'!$Z$1:$Z$3000,'[1]MAIN-101'!$X$1:$X$3000,A281)</f>
        <v>#VALUE!</v>
      </c>
      <c r="I281" s="562" t="s">
        <v>2662</v>
      </c>
      <c r="J281" t="s">
        <v>2053</v>
      </c>
      <c r="K281" t="s">
        <v>2680</v>
      </c>
      <c r="L281" s="564" t="s">
        <v>2666</v>
      </c>
      <c r="M281" s="562">
        <f>SUMIFS('Recon of ORS and DV'!D:D,'Recon of ORS and DV'!B:B,'DV List for import'!A281)</f>
        <v>0</v>
      </c>
      <c r="N281" s="276" t="e">
        <f t="shared" si="16"/>
        <v>#VALUE!</v>
      </c>
      <c r="O281" t="s">
        <v>2662</v>
      </c>
    </row>
    <row r="282" spans="1:15">
      <c r="A282" t="s">
        <v>2529</v>
      </c>
      <c r="B282" t="str">
        <f t="shared" si="14"/>
        <v>Fund 01-2021-02-0271</v>
      </c>
      <c r="C282" s="564" t="str">
        <f t="shared" si="15"/>
        <v>0000-00-0000</v>
      </c>
      <c r="D282" s="562">
        <f>SUMIFS('Import Process ORS'!L:L,'Import Process ORS'!E:E,'DV List for import'!C282)</f>
        <v>0</v>
      </c>
      <c r="E282" t="s">
        <v>2675</v>
      </c>
      <c r="F282" t="str">
        <f>VLOOKUP(A282,'[1]MAIN-101'!$B$13:$M$787,4,FALSE)</f>
        <v>Jumar H. Llorente</v>
      </c>
      <c r="G282" t="str">
        <f>VLOOKUP(A282,'[1]MAIN-101'!$B$13:$M$787,12,FALSE)</f>
        <v>Refund of DTI-EU dues deduction for the month of February 2021.</v>
      </c>
      <c r="H282" s="562" t="e">
        <f>SUMIFS('[1]MAIN-101'!$Z$1:$Z$3000,'[1]MAIN-101'!$X$1:$X$3000,A282)</f>
        <v>#VALUE!</v>
      </c>
      <c r="I282" s="562" t="s">
        <v>2662</v>
      </c>
      <c r="J282" t="s">
        <v>2053</v>
      </c>
      <c r="K282" t="s">
        <v>2680</v>
      </c>
      <c r="L282" s="564" t="s">
        <v>2666</v>
      </c>
      <c r="M282" s="562">
        <f>SUMIFS('Recon of ORS and DV'!D:D,'Recon of ORS and DV'!B:B,'DV List for import'!A282)</f>
        <v>0</v>
      </c>
      <c r="N282" s="276" t="e">
        <f t="shared" si="16"/>
        <v>#VALUE!</v>
      </c>
      <c r="O282" t="s">
        <v>2663</v>
      </c>
    </row>
    <row r="283" spans="1:15">
      <c r="A283" t="s">
        <v>2176</v>
      </c>
      <c r="B283" t="str">
        <f t="shared" si="14"/>
        <v>Fund 01-2021-02-0272</v>
      </c>
      <c r="C283" s="562" t="e">
        <f>VLOOKUP(L283,'Import Process ORS'!$D$4:$E$1557,2,FALSE)</f>
        <v>#N/A</v>
      </c>
      <c r="D283" s="562">
        <f>SUMIFS('Import Process ORS'!L:L,'Import Process ORS'!E:E,'DV List for import'!C283)</f>
        <v>0</v>
      </c>
      <c r="E283" t="s">
        <v>2675</v>
      </c>
      <c r="F283" t="str">
        <f>VLOOKUP(A283,'[1]MAIN-101'!$B$13:$M$787,4,FALSE)</f>
        <v>Procurement Service</v>
      </c>
      <c r="G283" t="str">
        <f>VLOOKUP(A283,'[1]MAIN-101'!$B$13:$M$787,12,FALSE)</f>
        <v>FAD Office use for the 1st quarter 2021.</v>
      </c>
      <c r="H283" s="562" t="e">
        <f>SUMIFS('[1]MAIN-101'!$Z$1:$Z$3000,'[1]MAIN-101'!$X$1:$X$3000,A283)</f>
        <v>#VALUE!</v>
      </c>
      <c r="I283" s="562" t="s">
        <v>2687</v>
      </c>
      <c r="J283" t="s">
        <v>2683</v>
      </c>
      <c r="K283" t="s">
        <v>2678</v>
      </c>
      <c r="L283" s="562" t="str">
        <f>VLOOKUP(A283,'Format for Import of DV'!$A$3:$S$1556,3,FALSE)</f>
        <v>137</v>
      </c>
      <c r="M283" s="562" t="e">
        <f>SUMIFS('Recon of ORS and DV'!D:D,'Recon of ORS and DV'!B:B,'DV List for import'!A283)</f>
        <v>#VALUE!</v>
      </c>
      <c r="N283" s="276" t="e">
        <f t="shared" si="16"/>
        <v>#VALUE!</v>
      </c>
    </row>
    <row r="284" spans="1:15">
      <c r="A284" t="s">
        <v>2184</v>
      </c>
      <c r="B284" t="str">
        <f t="shared" si="14"/>
        <v>Fund 01-2021-02-0273</v>
      </c>
      <c r="C284" s="562" t="e">
        <f>VLOOKUP(L284,'Import Process ORS'!$D$4:$E$1557,2,FALSE)</f>
        <v>#N/A</v>
      </c>
      <c r="D284" s="562">
        <f>SUMIFS('Import Process ORS'!L:L,'Import Process ORS'!E:E,'DV List for import'!C284)</f>
        <v>0</v>
      </c>
      <c r="E284" t="s">
        <v>2675</v>
      </c>
      <c r="F284" t="str">
        <f>VLOOKUP(A284,'[1]MAIN-101'!$B$13:$M$787,4,FALSE)</f>
        <v>Fevi V. Silvosa</v>
      </c>
      <c r="G284" t="str">
        <f>VLOOKUP(A284,'[1]MAIN-101'!$B$13:$M$787,12,FALSE)</f>
        <v>Payment for job orders for the period  February 1-15,2021</v>
      </c>
      <c r="H284" s="562" t="e">
        <f>SUMIFS('[1]MAIN-101'!$Z$1:$Z$3000,'[1]MAIN-101'!$X$1:$X$3000,A284)</f>
        <v>#VALUE!</v>
      </c>
      <c r="I284" s="562" t="s">
        <v>2687</v>
      </c>
      <c r="J284" t="s">
        <v>2683</v>
      </c>
      <c r="K284" t="s">
        <v>2678</v>
      </c>
      <c r="L284" s="562" t="str">
        <f>VLOOKUP(A284,'Format for Import of DV'!$A$3:$S$1556,3,FALSE)</f>
        <v>150</v>
      </c>
      <c r="M284" s="562" t="e">
        <f>SUMIFS('Recon of ORS and DV'!D:D,'Recon of ORS and DV'!B:B,'DV List for import'!A284)</f>
        <v>#VALUE!</v>
      </c>
      <c r="N284" s="276" t="e">
        <f t="shared" si="16"/>
        <v>#VALUE!</v>
      </c>
    </row>
    <row r="285" spans="1:15">
      <c r="A285" t="s">
        <v>2185</v>
      </c>
      <c r="B285" t="str">
        <f t="shared" si="14"/>
        <v>Fund 01-2021-02-0274</v>
      </c>
      <c r="C285" s="562" t="e">
        <f>VLOOKUP(L285,'Import Process ORS'!$D$4:$E$1557,2,FALSE)</f>
        <v>#N/A</v>
      </c>
      <c r="D285" s="562">
        <f>SUMIFS('Import Process ORS'!L:L,'Import Process ORS'!E:E,'DV List for import'!C285)</f>
        <v>0</v>
      </c>
      <c r="E285" t="s">
        <v>2675</v>
      </c>
      <c r="F285" t="str">
        <f>VLOOKUP(A285,'[1]MAIN-101'!$B$13:$M$787,4,FALSE)</f>
        <v>LBP F/O DTI-JO</v>
      </c>
      <c r="G285" t="str">
        <f>VLOOKUP(A285,'[1]MAIN-101'!$B$13:$M$787,12,FALSE)</f>
        <v>Payment for job orders for the period  February 1-15,2021</v>
      </c>
      <c r="H285" s="562" t="e">
        <f>SUMIFS('[1]MAIN-101'!$Z$1:$Z$3000,'[1]MAIN-101'!$X$1:$X$3000,A285)</f>
        <v>#VALUE!</v>
      </c>
      <c r="I285" s="562" t="s">
        <v>2687</v>
      </c>
      <c r="J285" t="s">
        <v>2683</v>
      </c>
      <c r="K285" t="s">
        <v>2678</v>
      </c>
      <c r="L285" s="562" t="str">
        <f>VLOOKUP(A285,'Format for Import of DV'!$A$3:$S$1556,3,FALSE)</f>
        <v>151</v>
      </c>
      <c r="M285" s="562" t="e">
        <f>SUMIFS('Recon of ORS and DV'!D:D,'Recon of ORS and DV'!B:B,'DV List for import'!A285)</f>
        <v>#VALUE!</v>
      </c>
      <c r="N285" s="276" t="e">
        <f t="shared" si="16"/>
        <v>#VALUE!</v>
      </c>
    </row>
    <row r="286" spans="1:15">
      <c r="A286" t="s">
        <v>2186</v>
      </c>
      <c r="B286" t="str">
        <f t="shared" si="14"/>
        <v>Fund 01-2021-02-0275</v>
      </c>
      <c r="C286" s="562" t="e">
        <f>VLOOKUP(L286,'Import Process ORS'!$D$4:$E$1557,2,FALSE)</f>
        <v>#N/A</v>
      </c>
      <c r="D286" s="562">
        <f>SUMIFS('Import Process ORS'!L:L,'Import Process ORS'!E:E,'DV List for import'!C286)</f>
        <v>0</v>
      </c>
      <c r="E286" t="s">
        <v>2675</v>
      </c>
      <c r="F286" t="str">
        <f>VLOOKUP(A286,'[1]MAIN-101'!$B$13:$M$787,4,FALSE)</f>
        <v>LBP F/O DTI-JO</v>
      </c>
      <c r="G286" t="str">
        <f>VLOOKUP(A286,'[1]MAIN-101'!$B$13:$M$787,12,FALSE)</f>
        <v>Payment for job orders for the period  February 1-15,2021</v>
      </c>
      <c r="H286" s="562" t="e">
        <f>SUMIFS('[1]MAIN-101'!$Z$1:$Z$3000,'[1]MAIN-101'!$X$1:$X$3000,A286)</f>
        <v>#VALUE!</v>
      </c>
      <c r="I286" s="562" t="s">
        <v>2687</v>
      </c>
      <c r="J286" t="s">
        <v>2683</v>
      </c>
      <c r="K286" t="s">
        <v>2678</v>
      </c>
      <c r="L286" s="562" t="str">
        <f>VLOOKUP(A286,'Format for Import of DV'!$A$3:$S$1556,3,FALSE)</f>
        <v>152</v>
      </c>
      <c r="M286" s="562" t="e">
        <f>SUMIFS('Recon of ORS and DV'!D:D,'Recon of ORS and DV'!B:B,'DV List for import'!A286)</f>
        <v>#VALUE!</v>
      </c>
      <c r="N286" s="276" t="e">
        <f t="shared" si="16"/>
        <v>#VALUE!</v>
      </c>
    </row>
    <row r="287" spans="1:15">
      <c r="A287" t="s">
        <v>2187</v>
      </c>
      <c r="B287" t="str">
        <f t="shared" si="14"/>
        <v>Fund 01-2021-02-0276</v>
      </c>
      <c r="C287" s="562" t="e">
        <f>VLOOKUP(L287,'Import Process ORS'!$D$4:$E$1557,2,FALSE)</f>
        <v>#N/A</v>
      </c>
      <c r="D287" s="562">
        <f>SUMIFS('Import Process ORS'!L:L,'Import Process ORS'!E:E,'DV List for import'!C287)</f>
        <v>0</v>
      </c>
      <c r="E287" t="s">
        <v>2675</v>
      </c>
      <c r="F287" t="str">
        <f>VLOOKUP(A287,'[1]MAIN-101'!$B$13:$M$787,4,FALSE)</f>
        <v>LBP F/O DTI-JO</v>
      </c>
      <c r="G287" t="str">
        <f>VLOOKUP(A287,'[1]MAIN-101'!$B$13:$M$787,12,FALSE)</f>
        <v>Payment for job orders for the period  February 1-15,2021</v>
      </c>
      <c r="H287" s="562" t="e">
        <f>SUMIFS('[1]MAIN-101'!$Z$1:$Z$3000,'[1]MAIN-101'!$X$1:$X$3000,A287)</f>
        <v>#VALUE!</v>
      </c>
      <c r="I287" s="562" t="s">
        <v>2687</v>
      </c>
      <c r="J287" t="s">
        <v>2683</v>
      </c>
      <c r="K287" t="s">
        <v>2678</v>
      </c>
      <c r="L287" s="562" t="str">
        <f>VLOOKUP(A287,'Format for Import of DV'!$A$3:$S$1556,3,FALSE)</f>
        <v>153</v>
      </c>
      <c r="M287" s="562" t="e">
        <f>SUMIFS('Recon of ORS and DV'!D:D,'Recon of ORS and DV'!B:B,'DV List for import'!A287)</f>
        <v>#VALUE!</v>
      </c>
      <c r="N287" s="276" t="e">
        <f t="shared" si="16"/>
        <v>#VALUE!</v>
      </c>
    </row>
    <row r="288" spans="1:15">
      <c r="A288" t="s">
        <v>2188</v>
      </c>
      <c r="B288" t="str">
        <f t="shared" si="14"/>
        <v>Fund 01-2021-02-0277</v>
      </c>
      <c r="C288" s="562" t="e">
        <f>VLOOKUP(L288,'Import Process ORS'!$D$4:$E$1557,2,FALSE)</f>
        <v>#N/A</v>
      </c>
      <c r="D288" s="562">
        <f>SUMIFS('Import Process ORS'!L:L,'Import Process ORS'!E:E,'DV List for import'!C288)</f>
        <v>0</v>
      </c>
      <c r="E288" t="s">
        <v>2675</v>
      </c>
      <c r="F288" t="str">
        <f>VLOOKUP(A288,'[1]MAIN-101'!$B$13:$M$787,4,FALSE)</f>
        <v>LBP F/O DTI-JO</v>
      </c>
      <c r="G288" t="str">
        <f>VLOOKUP(A288,'[1]MAIN-101'!$B$13:$M$787,12,FALSE)</f>
        <v>Payment for job orders for the period  February 1-15,2021</v>
      </c>
      <c r="H288" s="562" t="e">
        <f>SUMIFS('[1]MAIN-101'!$Z$1:$Z$3000,'[1]MAIN-101'!$X$1:$X$3000,A288)</f>
        <v>#VALUE!</v>
      </c>
      <c r="I288" s="562" t="s">
        <v>2687</v>
      </c>
      <c r="J288" t="s">
        <v>2683</v>
      </c>
      <c r="K288" t="s">
        <v>2678</v>
      </c>
      <c r="L288" s="562" t="str">
        <f>VLOOKUP(A288,'Format for Import of DV'!$A$3:$S$1556,3,FALSE)</f>
        <v>154</v>
      </c>
      <c r="M288" s="562" t="e">
        <f>SUMIFS('Recon of ORS and DV'!D:D,'Recon of ORS and DV'!B:B,'DV List for import'!A288)</f>
        <v>#VALUE!</v>
      </c>
      <c r="N288" s="276" t="e">
        <f t="shared" si="16"/>
        <v>#VALUE!</v>
      </c>
    </row>
    <row r="289" spans="1:15">
      <c r="A289" t="s">
        <v>2189</v>
      </c>
      <c r="B289" t="str">
        <f t="shared" si="14"/>
        <v>Fund 01-2021-02-0278</v>
      </c>
      <c r="C289" s="562" t="e">
        <f>VLOOKUP(L289,'Import Process ORS'!$D$4:$E$1557,2,FALSE)</f>
        <v>#N/A</v>
      </c>
      <c r="D289" s="562">
        <f>SUMIFS('Import Process ORS'!L:L,'Import Process ORS'!E:E,'DV List for import'!C289)</f>
        <v>0</v>
      </c>
      <c r="E289" t="s">
        <v>2675</v>
      </c>
      <c r="F289" t="str">
        <f>VLOOKUP(A289,'[1]MAIN-101'!$B$13:$M$787,4,FALSE)</f>
        <v>Reynold C. Gulde</v>
      </c>
      <c r="G289" t="str">
        <f>VLOOKUP(A289,'[1]MAIN-101'!$B$13:$M$787,12,FALSE)</f>
        <v>Payment of overtime services for December and January 2021.</v>
      </c>
      <c r="H289" s="562" t="e">
        <f>SUMIFS('[1]MAIN-101'!$Z$1:$Z$3000,'[1]MAIN-101'!$X$1:$X$3000,A289)</f>
        <v>#VALUE!</v>
      </c>
      <c r="I289" s="562" t="s">
        <v>2687</v>
      </c>
      <c r="J289" t="s">
        <v>2683</v>
      </c>
      <c r="K289" t="s">
        <v>2678</v>
      </c>
      <c r="L289" s="562" t="str">
        <f>VLOOKUP(A289,'Format for Import of DV'!$A$3:$S$1556,3,FALSE)</f>
        <v>155</v>
      </c>
      <c r="M289" s="562" t="e">
        <f>SUMIFS('Recon of ORS and DV'!D:D,'Recon of ORS and DV'!B:B,'DV List for import'!A289)</f>
        <v>#VALUE!</v>
      </c>
      <c r="N289" s="276" t="e">
        <f t="shared" si="16"/>
        <v>#VALUE!</v>
      </c>
    </row>
    <row r="290" spans="1:15">
      <c r="A290" t="s">
        <v>2530</v>
      </c>
      <c r="B290" t="str">
        <f t="shared" si="14"/>
        <v>Fund 01-2021-02-0279</v>
      </c>
      <c r="C290" s="564" t="str">
        <f>L290</f>
        <v>0000-00-0000</v>
      </c>
      <c r="D290" s="562">
        <f>SUMIFS('Import Process ORS'!L:L,'Import Process ORS'!E:E,'DV List for import'!C290)</f>
        <v>0</v>
      </c>
      <c r="E290" t="s">
        <v>2675</v>
      </c>
      <c r="F290" t="str">
        <f>VLOOKUP(A290,'[1]MAIN-101'!$B$13:$M$787,4,FALSE)</f>
        <v>Dreamco MPC</v>
      </c>
      <c r="G290" t="str">
        <f>VLOOKUP(A290,'[1]MAIN-101'!$B$13:$M$787,12,FALSE)</f>
        <v>Remittance job orders coop deductions for the period February 1-15, 2021</v>
      </c>
      <c r="H290" s="562" t="e">
        <f>SUMIFS('[1]MAIN-101'!$Z$1:$Z$3000,'[1]MAIN-101'!$X$1:$X$3000,A290)</f>
        <v>#VALUE!</v>
      </c>
      <c r="I290" s="562" t="s">
        <v>2687</v>
      </c>
      <c r="J290" t="s">
        <v>2683</v>
      </c>
      <c r="K290" t="s">
        <v>2678</v>
      </c>
      <c r="L290" s="564" t="s">
        <v>2666</v>
      </c>
      <c r="M290" s="562">
        <f>SUMIFS('Recon of ORS and DV'!D:D,'Recon of ORS and DV'!B:B,'DV List for import'!A290)</f>
        <v>0</v>
      </c>
      <c r="N290" s="276" t="e">
        <f t="shared" si="16"/>
        <v>#VALUE!</v>
      </c>
    </row>
    <row r="291" spans="1:15">
      <c r="A291" t="s">
        <v>2182</v>
      </c>
      <c r="B291" t="str">
        <f t="shared" si="14"/>
        <v>Fund 01-2021-02-0280</v>
      </c>
      <c r="C291" s="562" t="e">
        <f>VLOOKUP(L291,'Import Process ORS'!$D$4:$E$1557,2,FALSE)</f>
        <v>#N/A</v>
      </c>
      <c r="D291" s="562">
        <f>SUMIFS('Import Process ORS'!L:L,'Import Process ORS'!E:E,'DV List for import'!C291)</f>
        <v>0</v>
      </c>
      <c r="E291" t="s">
        <v>2675</v>
      </c>
      <c r="F291" t="str">
        <f>VLOOKUP(A291,'[1]MAIN-101'!$B$13:$M$787,4,FALSE)</f>
        <v>Lime and Zest Kitchen</v>
      </c>
      <c r="G291" t="str">
        <f>VLOOKUP(A291,'[1]MAIN-101'!$B$13:$M$787,12,FALSE)</f>
        <v>Payment of meals during the IDD Functional Team Meeting on January 26, 2021</v>
      </c>
      <c r="H291" s="562" t="e">
        <f>SUMIFS('[1]MAIN-101'!$Z$1:$Z$3000,'[1]MAIN-101'!$X$1:$X$3000,A291)</f>
        <v>#VALUE!</v>
      </c>
      <c r="I291" s="562" t="s">
        <v>2687</v>
      </c>
      <c r="J291" t="s">
        <v>2683</v>
      </c>
      <c r="K291" t="s">
        <v>2678</v>
      </c>
      <c r="L291" s="562" t="str">
        <f>VLOOKUP(A291,'Format for Import of DV'!$A$3:$S$1556,3,FALSE)</f>
        <v>148</v>
      </c>
      <c r="M291" s="562" t="e">
        <f>SUMIFS('Recon of ORS and DV'!D:D,'Recon of ORS and DV'!B:B,'DV List for import'!A291)</f>
        <v>#VALUE!</v>
      </c>
      <c r="N291" s="276" t="e">
        <f t="shared" si="16"/>
        <v>#VALUE!</v>
      </c>
    </row>
    <row r="292" spans="1:15">
      <c r="A292" t="s">
        <v>2183</v>
      </c>
      <c r="B292" t="str">
        <f t="shared" si="14"/>
        <v>Fund 01-2021-02-0281</v>
      </c>
      <c r="C292" s="562" t="e">
        <f>VLOOKUP(L292,'Import Process ORS'!$D$4:$E$1557,2,FALSE)</f>
        <v>#N/A</v>
      </c>
      <c r="D292" s="562">
        <f>SUMIFS('Import Process ORS'!L:L,'Import Process ORS'!E:E,'DV List for import'!C292)</f>
        <v>0</v>
      </c>
      <c r="E292" t="s">
        <v>2675</v>
      </c>
      <c r="F292" t="str">
        <f>VLOOKUP(A292,'[1]MAIN-101'!$B$13:$M$787,4,FALSE)</f>
        <v>Globe Telecom, Inc.</v>
      </c>
      <c r="G292" t="str">
        <f>VLOOKUP(A292,'[1]MAIN-101'!$B$13:$M$787,12,FALSE)</f>
        <v>Payment of Globe postpaid plan subscription for the month of January 16-February 15, 2021 for acct 65087463</v>
      </c>
      <c r="H292" s="562" t="e">
        <f>SUMIFS('[1]MAIN-101'!$Z$1:$Z$3000,'[1]MAIN-101'!$X$1:$X$3000,A292)</f>
        <v>#VALUE!</v>
      </c>
      <c r="I292" s="562" t="s">
        <v>2687</v>
      </c>
      <c r="J292" t="s">
        <v>2683</v>
      </c>
      <c r="K292" t="s">
        <v>2678</v>
      </c>
      <c r="L292" s="562" t="str">
        <f>VLOOKUP(A292,'Format for Import of DV'!$A$3:$S$1556,3,FALSE)</f>
        <v>149</v>
      </c>
      <c r="M292" s="562" t="e">
        <f>SUMIFS('Recon of ORS and DV'!D:D,'Recon of ORS and DV'!B:B,'DV List for import'!A292)</f>
        <v>#VALUE!</v>
      </c>
      <c r="N292" s="276" t="e">
        <f t="shared" si="16"/>
        <v>#VALUE!</v>
      </c>
    </row>
    <row r="293" spans="1:15">
      <c r="A293" t="s">
        <v>2531</v>
      </c>
      <c r="B293" t="str">
        <f t="shared" si="14"/>
        <v>Fund 01-2021-02-0282</v>
      </c>
      <c r="C293" s="564" t="str">
        <f t="shared" ref="C293:C302" si="17">L293</f>
        <v>0000-00-0000</v>
      </c>
      <c r="D293" s="562">
        <f>SUMIFS('Import Process ORS'!L:L,'Import Process ORS'!E:E,'DV List for import'!C293)</f>
        <v>0</v>
      </c>
      <c r="E293" t="s">
        <v>2675</v>
      </c>
      <c r="F293" t="str">
        <f>VLOOKUP(A293,'[1]MAIN-101'!$B$13:$M$787,4,FALSE)</f>
        <v>Sunlife of Canada Phils. Inc</v>
      </c>
      <c r="G293" t="str">
        <f>VLOOKUP(A293,'[1]MAIN-101'!$B$13:$M$787,12,FALSE)</f>
        <v>Remittance of insurance premiums for the month of February 2021</v>
      </c>
      <c r="H293" s="562" t="e">
        <f>SUMIFS('[1]MAIN-101'!$Z$1:$Z$3000,'[1]MAIN-101'!$X$1:$X$3000,A293)</f>
        <v>#VALUE!</v>
      </c>
      <c r="I293" s="562" t="s">
        <v>2687</v>
      </c>
      <c r="J293" t="s">
        <v>2683</v>
      </c>
      <c r="K293" t="s">
        <v>2678</v>
      </c>
      <c r="L293" s="564" t="s">
        <v>2666</v>
      </c>
      <c r="M293" s="562">
        <f>SUMIFS('Recon of ORS and DV'!D:D,'Recon of ORS and DV'!B:B,'DV List for import'!A293)</f>
        <v>0</v>
      </c>
      <c r="N293" s="276" t="e">
        <f t="shared" si="16"/>
        <v>#VALUE!</v>
      </c>
    </row>
    <row r="294" spans="1:15">
      <c r="A294" t="s">
        <v>2532</v>
      </c>
      <c r="B294" t="str">
        <f t="shared" si="14"/>
        <v>Fund 01-2021-02-0283</v>
      </c>
      <c r="C294" s="564" t="str">
        <f t="shared" si="17"/>
        <v>0000-00-0000</v>
      </c>
      <c r="D294" s="562">
        <f>SUMIFS('Import Process ORS'!L:L,'Import Process ORS'!E:E,'DV List for import'!C294)</f>
        <v>0</v>
      </c>
      <c r="E294" t="s">
        <v>2675</v>
      </c>
      <c r="F294" t="str">
        <f>VLOOKUP(A294,'[1]MAIN-101'!$B$13:$M$787,4,FALSE)</f>
        <v>GLAD MPC</v>
      </c>
      <c r="G294" t="str">
        <f>VLOOKUP(A294,'[1]MAIN-101'!$B$13:$M$787,12,FALSE)</f>
        <v>Remittance of COOP deductions for the month of February 2021</v>
      </c>
      <c r="H294" s="562" t="e">
        <f>SUMIFS('[1]MAIN-101'!$Z$1:$Z$3000,'[1]MAIN-101'!$X$1:$X$3000,A294)</f>
        <v>#VALUE!</v>
      </c>
      <c r="I294" s="562" t="s">
        <v>2687</v>
      </c>
      <c r="J294" t="s">
        <v>2683</v>
      </c>
      <c r="K294" t="s">
        <v>2678</v>
      </c>
      <c r="L294" s="564" t="s">
        <v>2666</v>
      </c>
      <c r="M294" s="562">
        <f>SUMIFS('Recon of ORS and DV'!D:D,'Recon of ORS and DV'!B:B,'DV List for import'!A294)</f>
        <v>0</v>
      </c>
      <c r="N294" s="276" t="e">
        <f t="shared" si="16"/>
        <v>#VALUE!</v>
      </c>
    </row>
    <row r="295" spans="1:15">
      <c r="A295" t="s">
        <v>2533</v>
      </c>
      <c r="B295" t="str">
        <f>CONCATENATE("Fund 01-2021-03-",A295)</f>
        <v>Fund 01-2021-03-0284</v>
      </c>
      <c r="C295" s="564" t="str">
        <f t="shared" si="17"/>
        <v>0000-00-0000</v>
      </c>
      <c r="D295" s="562">
        <f>SUMIFS('Import Process ORS'!L:L,'Import Process ORS'!E:E,'DV List for import'!C295)</f>
        <v>0</v>
      </c>
      <c r="E295" t="s">
        <v>2676</v>
      </c>
      <c r="F295" t="str">
        <f>VLOOKUP(A295,'[1]MAIN-101'!$B$13:$M$787,4,FALSE)</f>
        <v>DTI- Provident Fund</v>
      </c>
      <c r="G295" t="str">
        <f>VLOOKUP(A295,'[1]MAIN-101'!$B$13:$M$787,12,FALSE)</f>
        <v>Remittance of Provident premiums and loans of regular employees for the month of February 2021</v>
      </c>
      <c r="H295" s="562" t="e">
        <f>SUMIFS('[1]MAIN-101'!$Z$1:$Z$3000,'[1]MAIN-101'!$X$1:$X$3000,A295)</f>
        <v>#VALUE!</v>
      </c>
      <c r="I295" s="562" t="s">
        <v>2662</v>
      </c>
      <c r="J295" t="s">
        <v>2053</v>
      </c>
      <c r="K295" t="s">
        <v>2680</v>
      </c>
      <c r="L295" s="564" t="s">
        <v>2666</v>
      </c>
      <c r="M295" s="562">
        <f>SUMIFS('Recon of ORS and DV'!D:D,'Recon of ORS and DV'!B:B,'DV List for import'!A295)</f>
        <v>0</v>
      </c>
      <c r="N295" s="276" t="e">
        <f t="shared" si="16"/>
        <v>#VALUE!</v>
      </c>
      <c r="O295" t="s">
        <v>2662</v>
      </c>
    </row>
    <row r="296" spans="1:15">
      <c r="A296" t="s">
        <v>2534</v>
      </c>
      <c r="B296" t="str">
        <f t="shared" ref="B296:B359" si="18">CONCATENATE("Fund 01-2021-03-",A296)</f>
        <v>Fund 01-2021-03-0285</v>
      </c>
      <c r="C296" s="564" t="str">
        <f t="shared" si="17"/>
        <v>0000-00-0000</v>
      </c>
      <c r="D296" s="562">
        <f>SUMIFS('Import Process ORS'!L:L,'Import Process ORS'!E:E,'DV List for import'!C296)</f>
        <v>0</v>
      </c>
      <c r="E296" t="s">
        <v>2676</v>
      </c>
      <c r="F296" t="str">
        <f>VLOOKUP(A296,'[1]MAIN-101'!$B$13:$M$787,4,FALSE)</f>
        <v>Mutual Death Benefit Fund</v>
      </c>
      <c r="G296" t="str">
        <f>VLOOKUP(A296,'[1]MAIN-101'!$B$13:$M$787,12,FALSE)</f>
        <v>Remittance of MDBF premiums and loans of regular employees for the month of February 2021</v>
      </c>
      <c r="H296" s="562" t="e">
        <f>SUMIFS('[1]MAIN-101'!$Z$1:$Z$3000,'[1]MAIN-101'!$X$1:$X$3000,A296)</f>
        <v>#VALUE!</v>
      </c>
      <c r="I296" s="562" t="s">
        <v>2662</v>
      </c>
      <c r="J296" t="s">
        <v>2053</v>
      </c>
      <c r="K296" t="s">
        <v>2680</v>
      </c>
      <c r="L296" s="564" t="s">
        <v>2666</v>
      </c>
      <c r="M296" s="562">
        <f>SUMIFS('Recon of ORS and DV'!D:D,'Recon of ORS and DV'!B:B,'DV List for import'!A296)</f>
        <v>0</v>
      </c>
      <c r="N296" s="276" t="e">
        <f t="shared" si="16"/>
        <v>#VALUE!</v>
      </c>
      <c r="O296" t="s">
        <v>2662</v>
      </c>
    </row>
    <row r="297" spans="1:15">
      <c r="A297" t="s">
        <v>2535</v>
      </c>
      <c r="B297" t="str">
        <f t="shared" si="18"/>
        <v>Fund 01-2021-03-0286</v>
      </c>
      <c r="C297" s="564" t="str">
        <f t="shared" si="17"/>
        <v>0000-00-0000</v>
      </c>
      <c r="D297" s="562">
        <f>SUMIFS('Import Process ORS'!L:L,'Import Process ORS'!E:E,'DV List for import'!C297)</f>
        <v>0</v>
      </c>
      <c r="E297" t="s">
        <v>2676</v>
      </c>
      <c r="F297" t="str">
        <f>VLOOKUP(A297,'[1]MAIN-101'!$B$13:$M$787,4,FALSE)</f>
        <v>PHIC Butuan City</v>
      </c>
      <c r="G297" t="str">
        <f>VLOOKUP(A297,'[1]MAIN-101'!$B$13:$M$787,12,FALSE)</f>
        <v>Remittance, PHIC premiums (EE and ER share) for Jan 2021.</v>
      </c>
      <c r="H297" s="562" t="e">
        <f>SUMIFS('[1]MAIN-101'!$Z$1:$Z$3000,'[1]MAIN-101'!$X$1:$X$3000,A297)</f>
        <v>#VALUE!</v>
      </c>
      <c r="I297" s="562" t="s">
        <v>2662</v>
      </c>
      <c r="J297" t="s">
        <v>2053</v>
      </c>
      <c r="K297" t="s">
        <v>2680</v>
      </c>
      <c r="L297" s="564" t="s">
        <v>2666</v>
      </c>
      <c r="M297" s="562">
        <f>SUMIFS('Recon of ORS and DV'!D:D,'Recon of ORS and DV'!B:B,'DV List for import'!A297)</f>
        <v>0</v>
      </c>
      <c r="N297" s="276" t="e">
        <f t="shared" si="16"/>
        <v>#VALUE!</v>
      </c>
      <c r="O297" t="s">
        <v>2662</v>
      </c>
    </row>
    <row r="298" spans="1:15">
      <c r="A298" t="s">
        <v>2536</v>
      </c>
      <c r="B298" t="str">
        <f t="shared" si="18"/>
        <v>Fund 01-2021-03-0287</v>
      </c>
      <c r="C298" s="564" t="str">
        <f t="shared" si="17"/>
        <v>0000-00-0000</v>
      </c>
      <c r="D298" s="562">
        <f>SUMIFS('Import Process ORS'!L:L,'Import Process ORS'!E:E,'DV List for import'!C298)</f>
        <v>0</v>
      </c>
      <c r="E298" t="s">
        <v>2676</v>
      </c>
      <c r="F298" t="str">
        <f>VLOOKUP(A298,'[1]MAIN-101'!$B$13:$M$787,4,FALSE)</f>
        <v>GSIS</v>
      </c>
      <c r="G298" t="str">
        <f>VLOOKUP(A298,'[1]MAIN-101'!$B$13:$M$787,12,FALSE)</f>
        <v>Remittance of  GSIS Premiums(RLIP &amp; SIC) for employees with salary differential due to step increment (Pascual &amp; Togonon) and SSL5 Timogan for the period January 4-31, 2021</v>
      </c>
      <c r="H298" s="562" t="e">
        <f>SUMIFS('[1]MAIN-101'!$Z$1:$Z$3000,'[1]MAIN-101'!$X$1:$X$3000,A298)</f>
        <v>#VALUE!</v>
      </c>
      <c r="I298" s="562" t="s">
        <v>2662</v>
      </c>
      <c r="J298" t="s">
        <v>2053</v>
      </c>
      <c r="K298" t="s">
        <v>2680</v>
      </c>
      <c r="L298" s="564" t="s">
        <v>2666</v>
      </c>
      <c r="M298" s="562">
        <f>SUMIFS('Recon of ORS and DV'!D:D,'Recon of ORS and DV'!B:B,'DV List for import'!A298)</f>
        <v>0</v>
      </c>
      <c r="N298" s="276" t="e">
        <f t="shared" si="16"/>
        <v>#VALUE!</v>
      </c>
      <c r="O298" t="s">
        <v>2662</v>
      </c>
    </row>
    <row r="299" spans="1:15">
      <c r="A299" t="s">
        <v>2537</v>
      </c>
      <c r="B299" t="str">
        <f t="shared" si="18"/>
        <v>Fund 01-2021-03-0288</v>
      </c>
      <c r="C299" s="564" t="str">
        <f t="shared" si="17"/>
        <v>0000-00-0000</v>
      </c>
      <c r="D299" s="562">
        <f>SUMIFS('Import Process ORS'!L:L,'Import Process ORS'!E:E,'DV List for import'!C299)</f>
        <v>0</v>
      </c>
      <c r="E299" t="s">
        <v>2676</v>
      </c>
      <c r="F299" t="str">
        <f>VLOOKUP(A299,'[1]MAIN-101'!$B$13:$M$787,4,FALSE)</f>
        <v>PHIC Butuan City</v>
      </c>
      <c r="G299" t="str">
        <f>VLOOKUP(A299,'[1]MAIN-101'!$B$13:$M$787,12,FALSE)</f>
        <v>Remittance of PHIC premiums of regular employees for the month of February 2021</v>
      </c>
      <c r="H299" s="562" t="e">
        <f>SUMIFS('[1]MAIN-101'!$Z$1:$Z$3000,'[1]MAIN-101'!$X$1:$X$3000,A299)</f>
        <v>#VALUE!</v>
      </c>
      <c r="I299" s="562" t="s">
        <v>2662</v>
      </c>
      <c r="J299" t="s">
        <v>2053</v>
      </c>
      <c r="K299" t="s">
        <v>2680</v>
      </c>
      <c r="L299" s="564" t="s">
        <v>2666</v>
      </c>
      <c r="M299" s="562">
        <f>SUMIFS('Recon of ORS and DV'!D:D,'Recon of ORS and DV'!B:B,'DV List for import'!A299)</f>
        <v>0</v>
      </c>
      <c r="N299" s="276" t="e">
        <f t="shared" si="16"/>
        <v>#VALUE!</v>
      </c>
      <c r="O299" t="s">
        <v>2662</v>
      </c>
    </row>
    <row r="300" spans="1:15">
      <c r="A300" t="s">
        <v>2538</v>
      </c>
      <c r="B300" t="str">
        <f t="shared" si="18"/>
        <v>Fund 01-2021-03-0289</v>
      </c>
      <c r="C300" s="564" t="str">
        <f t="shared" si="17"/>
        <v>0000-00-0000</v>
      </c>
      <c r="D300" s="562">
        <f>SUMIFS('Import Process ORS'!L:L,'Import Process ORS'!E:E,'DV List for import'!C300)</f>
        <v>0</v>
      </c>
      <c r="E300" t="s">
        <v>2676</v>
      </c>
      <c r="F300" t="str">
        <f>VLOOKUP(A300,'[1]MAIN-101'!$B$13:$M$787,4,FALSE)</f>
        <v>Bureau of Treasury</v>
      </c>
      <c r="G300" t="str">
        <f>VLOOKUP(A300,'[1]MAIN-101'!$B$13:$M$787,12,FALSE)</f>
        <v>Remittance on refund of disallowance on salaries and allowances of Jonathan Lagang and disallowance of other employees withheld for the month of February 2021</v>
      </c>
      <c r="H300" s="562" t="e">
        <f>SUMIFS('[1]MAIN-101'!$Z$1:$Z$3000,'[1]MAIN-101'!$X$1:$X$3000,A300)</f>
        <v>#VALUE!</v>
      </c>
      <c r="I300" s="562" t="s">
        <v>2662</v>
      </c>
      <c r="J300" t="s">
        <v>2053</v>
      </c>
      <c r="K300" t="s">
        <v>2680</v>
      </c>
      <c r="L300" s="564" t="s">
        <v>2666</v>
      </c>
      <c r="M300" s="562">
        <f>SUMIFS('Recon of ORS and DV'!D:D,'Recon of ORS and DV'!B:B,'DV List for import'!A300)</f>
        <v>0</v>
      </c>
      <c r="N300" s="276" t="e">
        <f t="shared" si="16"/>
        <v>#VALUE!</v>
      </c>
      <c r="O300" t="s">
        <v>2662</v>
      </c>
    </row>
    <row r="301" spans="1:15">
      <c r="A301" t="s">
        <v>2539</v>
      </c>
      <c r="B301" t="str">
        <f t="shared" si="18"/>
        <v>Fund 01-2021-03-0290</v>
      </c>
      <c r="C301" s="564" t="str">
        <f t="shared" si="17"/>
        <v>0000-00-0000</v>
      </c>
      <c r="D301" s="562">
        <f>SUMIFS('Import Process ORS'!L:L,'Import Process ORS'!E:E,'DV List for import'!C301)</f>
        <v>0</v>
      </c>
      <c r="E301" t="s">
        <v>2676</v>
      </c>
      <c r="F301" t="str">
        <f>VLOOKUP(A301,'[1]MAIN-101'!$B$13:$M$787,4,FALSE)</f>
        <v>Rezel May C. Goloran</v>
      </c>
      <c r="G301" t="str">
        <f>VLOOKUP(A301,'[1]MAIN-101'!$B$13:$M$787,12,FALSE)</f>
        <v>Payment for salaries and allowances of DTI-ADS NC staff for the period February 16-28, 2021</v>
      </c>
      <c r="H301" s="562" t="e">
        <f>SUMIFS('[1]MAIN-101'!$Z$1:$Z$3000,'[1]MAIN-101'!$X$1:$X$3000,A301)</f>
        <v>#VALUE!</v>
      </c>
      <c r="I301" s="562" t="s">
        <v>2662</v>
      </c>
      <c r="J301" t="s">
        <v>2053</v>
      </c>
      <c r="K301" t="s">
        <v>2680</v>
      </c>
      <c r="L301" s="564" t="s">
        <v>2666</v>
      </c>
      <c r="M301" s="562">
        <f>SUMIFS('Recon of ORS and DV'!D:D,'Recon of ORS and DV'!B:B,'DV List for import'!A301)</f>
        <v>0</v>
      </c>
      <c r="N301" s="276" t="e">
        <f t="shared" si="16"/>
        <v>#VALUE!</v>
      </c>
      <c r="O301" t="s">
        <v>2664</v>
      </c>
    </row>
    <row r="302" spans="1:15">
      <c r="A302" t="s">
        <v>2540</v>
      </c>
      <c r="B302" t="str">
        <f t="shared" si="18"/>
        <v>Fund 01-2021-03-0291</v>
      </c>
      <c r="C302" s="564" t="str">
        <f t="shared" si="17"/>
        <v>0000-00-0000</v>
      </c>
      <c r="D302" s="562">
        <f>SUMIFS('Import Process ORS'!L:L,'Import Process ORS'!E:E,'DV List for import'!C302)</f>
        <v>0</v>
      </c>
      <c r="E302" t="s">
        <v>2676</v>
      </c>
      <c r="F302" t="str">
        <f>VLOOKUP(A302,'[1]MAIN-101'!$B$13:$M$787,4,FALSE)</f>
        <v>Loida C. Gumahin</v>
      </c>
      <c r="G302" t="str">
        <f>VLOOKUP(A302,'[1]MAIN-101'!$B$13:$M$787,12,FALSE)</f>
        <v>Payment for salaries and allowances of DTI-RO NC staff for the period February 16-28, 2021</v>
      </c>
      <c r="H302" s="562" t="e">
        <f>SUMIFS('[1]MAIN-101'!$Z$1:$Z$3000,'[1]MAIN-101'!$X$1:$X$3000,A302)</f>
        <v>#VALUE!</v>
      </c>
      <c r="I302" s="562" t="s">
        <v>2662</v>
      </c>
      <c r="J302" t="s">
        <v>2053</v>
      </c>
      <c r="K302" t="s">
        <v>2680</v>
      </c>
      <c r="L302" s="564" t="s">
        <v>2666</v>
      </c>
      <c r="M302" s="562">
        <f>SUMIFS('Recon of ORS and DV'!D:D,'Recon of ORS and DV'!B:B,'DV List for import'!A302)</f>
        <v>0</v>
      </c>
      <c r="N302" s="276" t="e">
        <f t="shared" si="16"/>
        <v>#VALUE!</v>
      </c>
      <c r="O302" t="s">
        <v>2664</v>
      </c>
    </row>
    <row r="303" spans="1:15">
      <c r="A303" t="s">
        <v>2236</v>
      </c>
      <c r="B303" t="str">
        <f t="shared" si="18"/>
        <v>Fund 01-2021-03-0292</v>
      </c>
      <c r="C303" s="562" t="e">
        <f>VLOOKUP(L303,'Import Process ORS'!$D$4:$E$1557,2,FALSE)</f>
        <v>#N/A</v>
      </c>
      <c r="D303" s="562">
        <f>SUMIFS('Import Process ORS'!L:L,'Import Process ORS'!E:E,'DV List for import'!C303)</f>
        <v>0</v>
      </c>
      <c r="E303" t="s">
        <v>2676</v>
      </c>
      <c r="F303" t="str">
        <f>VLOOKUP(A303,'[1]MAIN-101'!$B$13:$M$787,4,FALSE)</f>
        <v>JMN Multimedia Sales and Services</v>
      </c>
      <c r="G303" t="str">
        <f>VLOOKUP(A303,'[1]MAIN-101'!$B$13:$M$787,12,FALSE)</f>
        <v>Payment for prepaid load cards for FAD Load allowance for 1st quarter of 2021</v>
      </c>
      <c r="H303" s="562" t="e">
        <f>SUMIFS('[1]MAIN-101'!$Z$1:$Z$3000,'[1]MAIN-101'!$X$1:$X$3000,A303)</f>
        <v>#VALUE!</v>
      </c>
      <c r="I303" s="562" t="s">
        <v>2687</v>
      </c>
      <c r="J303" t="s">
        <v>2683</v>
      </c>
      <c r="K303" t="s">
        <v>2678</v>
      </c>
      <c r="L303" s="562" t="str">
        <f>VLOOKUP(A303,'Format for Import of DV'!$A$3:$S$1556,3,FALSE)</f>
        <v>213</v>
      </c>
      <c r="M303" s="562" t="e">
        <f>SUMIFS('Recon of ORS and DV'!D:D,'Recon of ORS and DV'!B:B,'DV List for import'!A303)</f>
        <v>#VALUE!</v>
      </c>
      <c r="N303" s="276" t="e">
        <f t="shared" si="16"/>
        <v>#VALUE!</v>
      </c>
    </row>
    <row r="304" spans="1:15">
      <c r="A304" t="s">
        <v>2541</v>
      </c>
      <c r="B304" t="str">
        <f t="shared" si="18"/>
        <v>Fund 01-2021-03-0293</v>
      </c>
      <c r="C304" s="564" t="str">
        <f t="shared" ref="C304:C318" si="19">L304</f>
        <v>0000-00-0000</v>
      </c>
      <c r="D304" s="562">
        <f>SUMIFS('Import Process ORS'!L:L,'Import Process ORS'!E:E,'DV List for import'!C304)</f>
        <v>0</v>
      </c>
      <c r="E304" t="s">
        <v>2676</v>
      </c>
      <c r="F304" t="str">
        <f>VLOOKUP(A304,'[1]MAIN-101'!$B$13:$M$787,4,FALSE)</f>
        <v>Jardynne R. Narvasa</v>
      </c>
      <c r="G304" t="str">
        <f>VLOOKUP(A304,'[1]MAIN-101'!$B$13:$M$787,12,FALSE)</f>
        <v>Refund of GSIS-Conso Loan deduction for the month of February 2021</v>
      </c>
      <c r="H304" s="562" t="e">
        <f>SUMIFS('[1]MAIN-101'!$Z$1:$Z$3000,'[1]MAIN-101'!$X$1:$X$3000,A304)</f>
        <v>#VALUE!</v>
      </c>
      <c r="I304" s="562" t="s">
        <v>2662</v>
      </c>
      <c r="J304" t="s">
        <v>2053</v>
      </c>
      <c r="K304" t="s">
        <v>2680</v>
      </c>
      <c r="L304" s="564" t="s">
        <v>2666</v>
      </c>
      <c r="M304" s="562">
        <f>SUMIFS('Recon of ORS and DV'!D:D,'Recon of ORS and DV'!B:B,'DV List for import'!A304)</f>
        <v>0</v>
      </c>
      <c r="N304" s="276" t="e">
        <f t="shared" si="16"/>
        <v>#VALUE!</v>
      </c>
      <c r="O304" t="s">
        <v>2663</v>
      </c>
    </row>
    <row r="305" spans="1:15">
      <c r="A305" t="s">
        <v>2542</v>
      </c>
      <c r="B305" t="str">
        <f t="shared" si="18"/>
        <v>Fund 01-2021-03-0294</v>
      </c>
      <c r="C305" s="564" t="str">
        <f t="shared" si="19"/>
        <v>0000-00-0000</v>
      </c>
      <c r="D305" s="562">
        <f>SUMIFS('Import Process ORS'!L:L,'Import Process ORS'!E:E,'DV List for import'!C305)</f>
        <v>0</v>
      </c>
      <c r="E305" t="s">
        <v>2676</v>
      </c>
      <c r="F305" t="str">
        <f>VLOOKUP(A305,'[1]MAIN-101'!$B$13:$M$787,4,FALSE)</f>
        <v>GSIS- Butuan City</v>
      </c>
      <c r="G305" t="str">
        <f>VLOOKUP(A305,'[1]MAIN-101'!$B$13:$M$787,12,FALSE)</f>
        <v>Remittance of GSIS premiums and loans of regular employees for the month of February 2021</v>
      </c>
      <c r="H305" s="562" t="e">
        <f>SUMIFS('[1]MAIN-101'!$Z$1:$Z$3000,'[1]MAIN-101'!$X$1:$X$3000,A305)</f>
        <v>#VALUE!</v>
      </c>
      <c r="I305" s="562" t="s">
        <v>2662</v>
      </c>
      <c r="J305" t="s">
        <v>2053</v>
      </c>
      <c r="K305" t="s">
        <v>2680</v>
      </c>
      <c r="L305" s="564" t="s">
        <v>2666</v>
      </c>
      <c r="M305" s="562">
        <f>SUMIFS('Recon of ORS and DV'!D:D,'Recon of ORS and DV'!B:B,'DV List for import'!A305)</f>
        <v>0</v>
      </c>
      <c r="N305" s="276" t="e">
        <f t="shared" si="16"/>
        <v>#VALUE!</v>
      </c>
      <c r="O305" t="s">
        <v>2662</v>
      </c>
    </row>
    <row r="306" spans="1:15">
      <c r="A306" t="s">
        <v>2543</v>
      </c>
      <c r="B306" t="str">
        <f t="shared" si="18"/>
        <v>Fund 01-2021-03-0295</v>
      </c>
      <c r="C306" s="564" t="str">
        <f t="shared" si="19"/>
        <v>0000-00-0000</v>
      </c>
      <c r="D306" s="562">
        <f>SUMIFS('Import Process ORS'!L:L,'Import Process ORS'!E:E,'DV List for import'!C306)</f>
        <v>0</v>
      </c>
      <c r="E306" t="s">
        <v>2676</v>
      </c>
      <c r="F306" t="str">
        <f>VLOOKUP(A306,'[1]MAIN-101'!$B$13:$M$787,4,FALSE)</f>
        <v>DTI-EU</v>
      </c>
      <c r="G306" t="str">
        <f>VLOOKUP(A306,'[1]MAIN-101'!$B$13:$M$787,12,FALSE)</f>
        <v>Remittance of EU Dues and participation of regular employees for the month of February 2021</v>
      </c>
      <c r="H306" s="562" t="e">
        <f>SUMIFS('[1]MAIN-101'!$Z$1:$Z$3000,'[1]MAIN-101'!$X$1:$X$3000,A306)</f>
        <v>#VALUE!</v>
      </c>
      <c r="I306" s="562" t="s">
        <v>2662</v>
      </c>
      <c r="J306" t="s">
        <v>2053</v>
      </c>
      <c r="K306" t="s">
        <v>2680</v>
      </c>
      <c r="L306" s="564" t="s">
        <v>2666</v>
      </c>
      <c r="M306" s="562">
        <f>SUMIFS('Recon of ORS and DV'!D:D,'Recon of ORS and DV'!B:B,'DV List for import'!A306)</f>
        <v>0</v>
      </c>
      <c r="N306" s="276" t="e">
        <f t="shared" si="16"/>
        <v>#VALUE!</v>
      </c>
      <c r="O306" t="s">
        <v>2662</v>
      </c>
    </row>
    <row r="307" spans="1:15">
      <c r="A307" t="s">
        <v>2544</v>
      </c>
      <c r="B307" t="str">
        <f t="shared" si="18"/>
        <v>Fund 01-2021-03-0296</v>
      </c>
      <c r="C307" s="564" t="str">
        <f t="shared" si="19"/>
        <v>0000-00-0000</v>
      </c>
      <c r="D307" s="562">
        <f>SUMIFS('Import Process ORS'!L:L,'Import Process ORS'!E:E,'DV List for import'!C307)</f>
        <v>0</v>
      </c>
      <c r="E307" t="s">
        <v>2676</v>
      </c>
      <c r="F307" t="str">
        <f>VLOOKUP(A307,'[1]MAIN-101'!$B$13:$M$787,4,FALSE)</f>
        <v>DTI-EU</v>
      </c>
      <c r="G307" t="str">
        <f>VLOOKUP(A307,'[1]MAIN-101'!$B$13:$M$787,12,FALSE)</f>
        <v>Remittance of HMO premiums on principal of regular employees for the month of February 2021</v>
      </c>
      <c r="H307" s="562" t="e">
        <f>SUMIFS('[1]MAIN-101'!$Z$1:$Z$3000,'[1]MAIN-101'!$X$1:$X$3000,A307)</f>
        <v>#VALUE!</v>
      </c>
      <c r="I307" s="562" t="s">
        <v>2662</v>
      </c>
      <c r="J307" t="s">
        <v>2053</v>
      </c>
      <c r="K307" t="s">
        <v>2680</v>
      </c>
      <c r="L307" s="564" t="s">
        <v>2666</v>
      </c>
      <c r="M307" s="562">
        <f>SUMIFS('Recon of ORS and DV'!D:D,'Recon of ORS and DV'!B:B,'DV List for import'!A307)</f>
        <v>0</v>
      </c>
      <c r="N307" s="276" t="e">
        <f t="shared" si="16"/>
        <v>#VALUE!</v>
      </c>
      <c r="O307" t="s">
        <v>2662</v>
      </c>
    </row>
    <row r="308" spans="1:15">
      <c r="A308" t="s">
        <v>2545</v>
      </c>
      <c r="B308" t="str">
        <f t="shared" si="18"/>
        <v>Fund 01-2021-03-0297</v>
      </c>
      <c r="C308" s="564" t="str">
        <f t="shared" si="19"/>
        <v>0000-00-0000</v>
      </c>
      <c r="D308" s="562">
        <f>SUMIFS('Import Process ORS'!L:L,'Import Process ORS'!E:E,'DV List for import'!C308)</f>
        <v>0</v>
      </c>
      <c r="E308" t="s">
        <v>2676</v>
      </c>
      <c r="F308" t="str">
        <f>VLOOKUP(A308,'[1]MAIN-101'!$B$13:$M$787,4,FALSE)</f>
        <v>PHIC Butuan City</v>
      </c>
      <c r="G308" t="str">
        <f>VLOOKUP(A308,'[1]MAIN-101'!$B$13:$M$787,12,FALSE)</f>
        <v>Remittance of PHIC premiums for employees with salary differential due to promotion for the period January 4-31, 2021</v>
      </c>
      <c r="H308" s="562" t="e">
        <f>SUMIFS('[1]MAIN-101'!$Z$1:$Z$3000,'[1]MAIN-101'!$X$1:$X$3000,A308)</f>
        <v>#VALUE!</v>
      </c>
      <c r="I308" s="562" t="s">
        <v>2662</v>
      </c>
      <c r="J308" t="s">
        <v>2053</v>
      </c>
      <c r="K308" t="s">
        <v>2680</v>
      </c>
      <c r="L308" s="564" t="s">
        <v>2666</v>
      </c>
      <c r="M308" s="562">
        <f>SUMIFS('Recon of ORS and DV'!D:D,'Recon of ORS and DV'!B:B,'DV List for import'!A308)</f>
        <v>0</v>
      </c>
      <c r="N308" s="276" t="e">
        <f t="shared" si="16"/>
        <v>#VALUE!</v>
      </c>
      <c r="O308" t="s">
        <v>2662</v>
      </c>
    </row>
    <row r="309" spans="1:15">
      <c r="A309" t="s">
        <v>2546</v>
      </c>
      <c r="B309" t="str">
        <f t="shared" si="18"/>
        <v>Fund 01-2021-03-0298</v>
      </c>
      <c r="C309" s="564" t="str">
        <f t="shared" si="19"/>
        <v>0000-00-0000</v>
      </c>
      <c r="D309" s="562">
        <f>SUMIFS('Import Process ORS'!L:L,'Import Process ORS'!E:E,'DV List for import'!C309)</f>
        <v>0</v>
      </c>
      <c r="E309" t="s">
        <v>2676</v>
      </c>
      <c r="F309" t="str">
        <f>VLOOKUP(A309,'[1]MAIN-101'!$B$13:$M$787,4,FALSE)</f>
        <v>GSIS</v>
      </c>
      <c r="G309" t="str">
        <f>VLOOKUP(A309,'[1]MAIN-101'!$B$13:$M$787,12,FALSE)</f>
        <v>Remittance of GSIS premiums from employees with salary diff due to promotion for the period January 4-31, 2021</v>
      </c>
      <c r="H309" s="562" t="e">
        <f>SUMIFS('[1]MAIN-101'!$Z$1:$Z$3000,'[1]MAIN-101'!$X$1:$X$3000,A309)</f>
        <v>#VALUE!</v>
      </c>
      <c r="I309" s="562" t="s">
        <v>2662</v>
      </c>
      <c r="J309" t="s">
        <v>2053</v>
      </c>
      <c r="K309" t="s">
        <v>2680</v>
      </c>
      <c r="L309" s="564" t="s">
        <v>2666</v>
      </c>
      <c r="M309" s="562">
        <f>SUMIFS('Recon of ORS and DV'!D:D,'Recon of ORS and DV'!B:B,'DV List for import'!A309)</f>
        <v>0</v>
      </c>
      <c r="N309" s="276" t="e">
        <f t="shared" si="16"/>
        <v>#VALUE!</v>
      </c>
      <c r="O309" t="s">
        <v>2662</v>
      </c>
    </row>
    <row r="310" spans="1:15">
      <c r="A310" t="s">
        <v>2547</v>
      </c>
      <c r="B310" t="str">
        <f t="shared" si="18"/>
        <v>Fund 01-2021-03-0299</v>
      </c>
      <c r="C310" s="564" t="str">
        <f t="shared" si="19"/>
        <v>0000-00-0000</v>
      </c>
      <c r="D310" s="562">
        <f>SUMIFS('Import Process ORS'!L:L,'Import Process ORS'!E:E,'DV List for import'!C310)</f>
        <v>0</v>
      </c>
      <c r="E310" t="s">
        <v>2676</v>
      </c>
      <c r="F310" t="str">
        <f>VLOOKUP(A310,'[1]MAIN-101'!$B$13:$M$787,4,FALSE)</f>
        <v>GLAD MPC</v>
      </c>
      <c r="G310" t="str">
        <f>VLOOKUP(A310,'[1]MAIN-101'!$B$13:$M$787,12,FALSE)</f>
        <v>Remittance of COOP deductions for the month of February 2021</v>
      </c>
      <c r="H310" s="562" t="e">
        <f>SUMIFS('[1]MAIN-101'!$Z$1:$Z$3000,'[1]MAIN-101'!$X$1:$X$3000,A310)</f>
        <v>#VALUE!</v>
      </c>
      <c r="I310" s="562" t="s">
        <v>2662</v>
      </c>
      <c r="J310" t="s">
        <v>2053</v>
      </c>
      <c r="K310" t="s">
        <v>2680</v>
      </c>
      <c r="L310" s="564" t="s">
        <v>2666</v>
      </c>
      <c r="M310" s="562">
        <f>SUMIFS('Recon of ORS and DV'!D:D,'Recon of ORS and DV'!B:B,'DV List for import'!A310)</f>
        <v>0</v>
      </c>
      <c r="N310" s="276" t="e">
        <f t="shared" si="16"/>
        <v>#VALUE!</v>
      </c>
      <c r="O310" t="s">
        <v>2662</v>
      </c>
    </row>
    <row r="311" spans="1:15">
      <c r="A311" t="s">
        <v>2548</v>
      </c>
      <c r="B311" t="str">
        <f t="shared" si="18"/>
        <v>Fund 01-2021-03-0300</v>
      </c>
      <c r="C311" s="564" t="str">
        <f t="shared" si="19"/>
        <v>0000-00-0000</v>
      </c>
      <c r="D311" s="562">
        <f>SUMIFS('Import Process ORS'!L:L,'Import Process ORS'!E:E,'DV List for import'!C311)</f>
        <v>0</v>
      </c>
      <c r="E311" t="s">
        <v>2676</v>
      </c>
      <c r="F311" t="str">
        <f>VLOOKUP(A311,'[1]MAIN-101'!$B$13:$M$787,4,FALSE)</f>
        <v>Sunlife of Canada Phils. Inc</v>
      </c>
      <c r="G311" t="str">
        <f>VLOOKUP(A311,'[1]MAIN-101'!$B$13:$M$787,12,FALSE)</f>
        <v>Remittance of insurance premiums for the month of February 2021</v>
      </c>
      <c r="H311" s="562" t="e">
        <f>SUMIFS('[1]MAIN-101'!$Z$1:$Z$3000,'[1]MAIN-101'!$X$1:$X$3000,A311)</f>
        <v>#VALUE!</v>
      </c>
      <c r="I311" s="562" t="s">
        <v>2662</v>
      </c>
      <c r="J311" t="s">
        <v>2053</v>
      </c>
      <c r="K311" t="s">
        <v>2680</v>
      </c>
      <c r="L311" s="564" t="s">
        <v>2666</v>
      </c>
      <c r="M311" s="562">
        <f>SUMIFS('Recon of ORS and DV'!D:D,'Recon of ORS and DV'!B:B,'DV List for import'!A311)</f>
        <v>0</v>
      </c>
      <c r="N311" s="276" t="e">
        <f t="shared" si="16"/>
        <v>#VALUE!</v>
      </c>
      <c r="O311" t="s">
        <v>2662</v>
      </c>
    </row>
    <row r="312" spans="1:15">
      <c r="A312" t="s">
        <v>2549</v>
      </c>
      <c r="B312" t="str">
        <f t="shared" si="18"/>
        <v>Fund 01-2021-03-0301</v>
      </c>
      <c r="C312" s="564" t="str">
        <f t="shared" si="19"/>
        <v>0000-00-0000</v>
      </c>
      <c r="D312" s="562">
        <f>SUMIFS('Import Process ORS'!L:L,'Import Process ORS'!E:E,'DV List for import'!C312)</f>
        <v>0</v>
      </c>
      <c r="E312" t="s">
        <v>2676</v>
      </c>
      <c r="F312" t="str">
        <f>VLOOKUP(A312,'[1]MAIN-101'!$B$13:$M$787,4,FALSE)</f>
        <v>HDMF-Butuan City</v>
      </c>
      <c r="G312" t="str">
        <f>VLOOKUP(A312,'[1]MAIN-101'!$B$13:$M$787,12,FALSE)</f>
        <v>Remittance of HDMF premium of NC staff for the month of January, 2021</v>
      </c>
      <c r="H312" s="562" t="e">
        <f>SUMIFS('[1]MAIN-101'!$Z$1:$Z$3000,'[1]MAIN-101'!$X$1:$X$3000,A312)</f>
        <v>#VALUE!</v>
      </c>
      <c r="I312" s="562" t="s">
        <v>2662</v>
      </c>
      <c r="J312" t="s">
        <v>2053</v>
      </c>
      <c r="K312" t="s">
        <v>2680</v>
      </c>
      <c r="L312" s="564" t="s">
        <v>2666</v>
      </c>
      <c r="M312" s="562">
        <f>SUMIFS('Recon of ORS and DV'!D:D,'Recon of ORS and DV'!B:B,'DV List for import'!A312)</f>
        <v>0</v>
      </c>
      <c r="N312" s="276" t="e">
        <f t="shared" si="16"/>
        <v>#VALUE!</v>
      </c>
      <c r="O312" t="s">
        <v>2662</v>
      </c>
    </row>
    <row r="313" spans="1:15">
      <c r="A313" t="s">
        <v>2550</v>
      </c>
      <c r="B313" t="str">
        <f t="shared" si="18"/>
        <v>Fund 01-2021-03-0302</v>
      </c>
      <c r="C313" s="564" t="str">
        <f t="shared" si="19"/>
        <v>0000-00-0000</v>
      </c>
      <c r="D313" s="562">
        <f>SUMIFS('Import Process ORS'!L:L,'Import Process ORS'!E:E,'DV List for import'!C313)</f>
        <v>0</v>
      </c>
      <c r="E313" t="s">
        <v>2676</v>
      </c>
      <c r="F313" t="str">
        <f>VLOOKUP(A313,'[1]MAIN-101'!$B$13:$M$787,4,FALSE)</f>
        <v>PHIC Butuan City</v>
      </c>
      <c r="G313" t="str">
        <f>VLOOKUP(A313,'[1]MAIN-101'!$B$13:$M$787,12,FALSE)</f>
        <v>Remittance of PHIC premium of NC staff for the month of January, 2021</v>
      </c>
      <c r="H313" s="562" t="e">
        <f>SUMIFS('[1]MAIN-101'!$Z$1:$Z$3000,'[1]MAIN-101'!$X$1:$X$3000,A313)</f>
        <v>#VALUE!</v>
      </c>
      <c r="I313" s="562" t="s">
        <v>2662</v>
      </c>
      <c r="J313" t="s">
        <v>2053</v>
      </c>
      <c r="K313" t="s">
        <v>2680</v>
      </c>
      <c r="L313" s="564" t="s">
        <v>2666</v>
      </c>
      <c r="M313" s="562">
        <f>SUMIFS('Recon of ORS and DV'!D:D,'Recon of ORS and DV'!B:B,'DV List for import'!A313)</f>
        <v>0</v>
      </c>
      <c r="N313" s="276" t="e">
        <f t="shared" si="16"/>
        <v>#VALUE!</v>
      </c>
      <c r="O313" t="s">
        <v>2662</v>
      </c>
    </row>
    <row r="314" spans="1:15">
      <c r="A314" t="s">
        <v>2551</v>
      </c>
      <c r="B314" t="str">
        <f t="shared" si="18"/>
        <v>Fund 01-2021-03-0303</v>
      </c>
      <c r="C314" s="564" t="str">
        <f t="shared" si="19"/>
        <v>0000-00-0000</v>
      </c>
      <c r="D314" s="562">
        <f>SUMIFS('Import Process ORS'!L:L,'Import Process ORS'!E:E,'DV List for import'!C314)</f>
        <v>0</v>
      </c>
      <c r="E314" t="s">
        <v>2676</v>
      </c>
      <c r="F314" t="str">
        <f>VLOOKUP(A314,'[1]MAIN-101'!$B$13:$M$787,4,FALSE)</f>
        <v>GSIS</v>
      </c>
      <c r="G314" t="str">
        <f>VLOOKUP(A314,'[1]MAIN-101'!$B$13:$M$787,12,FALSE)</f>
        <v>Remittance of GSIS premium of NC staff for the month of Jnauary, 2021</v>
      </c>
      <c r="H314" s="562" t="e">
        <f>SUMIFS('[1]MAIN-101'!$Z$1:$Z$3000,'[1]MAIN-101'!$X$1:$X$3000,A314)</f>
        <v>#VALUE!</v>
      </c>
      <c r="I314" s="562" t="s">
        <v>2662</v>
      </c>
      <c r="J314" t="s">
        <v>2053</v>
      </c>
      <c r="K314" t="s">
        <v>2680</v>
      </c>
      <c r="L314" s="564" t="s">
        <v>2666</v>
      </c>
      <c r="M314" s="562">
        <f>SUMIFS('Recon of ORS and DV'!D:D,'Recon of ORS and DV'!B:B,'DV List for import'!A314)</f>
        <v>0</v>
      </c>
      <c r="N314" s="276" t="e">
        <f t="shared" si="16"/>
        <v>#VALUE!</v>
      </c>
      <c r="O314" t="s">
        <v>2662</v>
      </c>
    </row>
    <row r="315" spans="1:15">
      <c r="A315" t="s">
        <v>2552</v>
      </c>
      <c r="B315" t="str">
        <f t="shared" si="18"/>
        <v>Fund 01-2021-03-0304</v>
      </c>
      <c r="C315" s="564" t="str">
        <f t="shared" si="19"/>
        <v>0000-00-0000</v>
      </c>
      <c r="D315" s="562">
        <f>SUMIFS('Import Process ORS'!L:L,'Import Process ORS'!E:E,'DV List for import'!C315)</f>
        <v>0</v>
      </c>
      <c r="E315" t="s">
        <v>2676</v>
      </c>
      <c r="F315" t="str">
        <f>VLOOKUP(A315,'[1]MAIN-101'!$B$13:$M$787,4,FALSE)</f>
        <v>DTI-Employees Union</v>
      </c>
      <c r="G315" t="str">
        <f>VLOOKUP(A315,'[1]MAIN-101'!$B$13:$M$787,12,FALSE)</f>
        <v>Remittance of NC staff EU dues and membership fee for the month of January, 2021</v>
      </c>
      <c r="H315" s="562" t="e">
        <f>SUMIFS('[1]MAIN-101'!$Z$1:$Z$3000,'[1]MAIN-101'!$X$1:$X$3000,A315)</f>
        <v>#VALUE!</v>
      </c>
      <c r="I315" s="562" t="s">
        <v>2662</v>
      </c>
      <c r="J315" t="s">
        <v>2053</v>
      </c>
      <c r="K315" t="s">
        <v>2680</v>
      </c>
      <c r="L315" s="564" t="s">
        <v>2666</v>
      </c>
      <c r="M315" s="562">
        <f>SUMIFS('Recon of ORS and DV'!D:D,'Recon of ORS and DV'!B:B,'DV List for import'!A315)</f>
        <v>0</v>
      </c>
      <c r="N315" s="276" t="e">
        <f t="shared" si="16"/>
        <v>#VALUE!</v>
      </c>
      <c r="O315" t="s">
        <v>2662</v>
      </c>
    </row>
    <row r="316" spans="1:15">
      <c r="A316" t="s">
        <v>2553</v>
      </c>
      <c r="B316" t="str">
        <f t="shared" si="18"/>
        <v>Fund 01-2021-03-0305</v>
      </c>
      <c r="C316" s="564" t="str">
        <f t="shared" si="19"/>
        <v>0000-00-0000</v>
      </c>
      <c r="D316" s="562">
        <f>SUMIFS('Import Process ORS'!L:L,'Import Process ORS'!E:E,'DV List for import'!C316)</f>
        <v>0</v>
      </c>
      <c r="E316" t="s">
        <v>2676</v>
      </c>
      <c r="F316" t="str">
        <f>VLOOKUP(A316,'[1]MAIN-101'!$B$13:$M$787,4,FALSE)</f>
        <v>DTI MDBF</v>
      </c>
      <c r="G316" t="str">
        <f>VLOOKUP(A316,'[1]MAIN-101'!$B$13:$M$787,12,FALSE)</f>
        <v>Remittance of NC staff MDBF for the month of January, 2021</v>
      </c>
      <c r="H316" s="562" t="e">
        <f>SUMIFS('[1]MAIN-101'!$Z$1:$Z$3000,'[1]MAIN-101'!$X$1:$X$3000,A316)</f>
        <v>#VALUE!</v>
      </c>
      <c r="I316" s="562" t="s">
        <v>2662</v>
      </c>
      <c r="J316" t="s">
        <v>2053</v>
      </c>
      <c r="K316" t="s">
        <v>2680</v>
      </c>
      <c r="L316" s="564" t="s">
        <v>2666</v>
      </c>
      <c r="M316" s="562">
        <f>SUMIFS('Recon of ORS and DV'!D:D,'Recon of ORS and DV'!B:B,'DV List for import'!A316)</f>
        <v>0</v>
      </c>
      <c r="N316" s="276" t="e">
        <f t="shared" si="16"/>
        <v>#VALUE!</v>
      </c>
      <c r="O316" t="s">
        <v>2662</v>
      </c>
    </row>
    <row r="317" spans="1:15">
      <c r="A317" t="s">
        <v>2554</v>
      </c>
      <c r="B317" t="str">
        <f t="shared" si="18"/>
        <v>Fund 01-2021-03-0306</v>
      </c>
      <c r="C317" s="564" t="str">
        <f t="shared" si="19"/>
        <v>0000-00-0000</v>
      </c>
      <c r="D317" s="562">
        <f>SUMIFS('Import Process ORS'!L:L,'Import Process ORS'!E:E,'DV List for import'!C317)</f>
        <v>0</v>
      </c>
      <c r="E317" t="s">
        <v>2676</v>
      </c>
      <c r="F317" t="str">
        <f>VLOOKUP(A317,'[1]MAIN-101'!$B$13:$M$787,4,FALSE)</f>
        <v>DTI-PF</v>
      </c>
      <c r="G317" t="str">
        <f>VLOOKUP(A317,'[1]MAIN-101'!$B$13:$M$787,12,FALSE)</f>
        <v>Remittance of NC staff PF Premiums for the month of January, 2021</v>
      </c>
      <c r="H317" s="562" t="e">
        <f>SUMIFS('[1]MAIN-101'!$Z$1:$Z$3000,'[1]MAIN-101'!$X$1:$X$3000,A317)</f>
        <v>#VALUE!</v>
      </c>
      <c r="I317" s="562" t="s">
        <v>2662</v>
      </c>
      <c r="J317" t="s">
        <v>2053</v>
      </c>
      <c r="K317" t="s">
        <v>2680</v>
      </c>
      <c r="L317" s="564" t="s">
        <v>2666</v>
      </c>
      <c r="M317" s="562">
        <f>SUMIFS('Recon of ORS and DV'!D:D,'Recon of ORS and DV'!B:B,'DV List for import'!A317)</f>
        <v>0</v>
      </c>
      <c r="N317" s="276" t="e">
        <f t="shared" si="16"/>
        <v>#VALUE!</v>
      </c>
      <c r="O317" t="s">
        <v>2662</v>
      </c>
    </row>
    <row r="318" spans="1:15">
      <c r="A318" t="s">
        <v>2555</v>
      </c>
      <c r="B318" t="str">
        <f t="shared" si="18"/>
        <v>Fund 01-2021-03-0307</v>
      </c>
      <c r="C318" s="564" t="str">
        <f t="shared" si="19"/>
        <v>0000-00-0000</v>
      </c>
      <c r="D318" s="562">
        <f>SUMIFS('Import Process ORS'!L:L,'Import Process ORS'!E:E,'DV List for import'!C318)</f>
        <v>0</v>
      </c>
      <c r="E318" t="s">
        <v>2676</v>
      </c>
      <c r="F318" t="str">
        <f>VLOOKUP(A318,'[1]MAIN-101'!$B$13:$M$787,4,FALSE)</f>
        <v>HDMF-Butuan City</v>
      </c>
      <c r="G318" t="str">
        <f>VLOOKUP(A318,'[1]MAIN-101'!$B$13:$M$787,12,FALSE)</f>
        <v>Remittance of HDMF premium of Reg. for the month of Feb., 2021</v>
      </c>
      <c r="H318" s="562" t="e">
        <f>SUMIFS('[1]MAIN-101'!$Z$1:$Z$3000,'[1]MAIN-101'!$X$1:$X$3000,A318)</f>
        <v>#VALUE!</v>
      </c>
      <c r="I318" s="562" t="s">
        <v>2662</v>
      </c>
      <c r="J318" t="s">
        <v>2053</v>
      </c>
      <c r="K318" t="s">
        <v>2680</v>
      </c>
      <c r="L318" s="564" t="s">
        <v>2666</v>
      </c>
      <c r="M318" s="562">
        <f>SUMIFS('Recon of ORS and DV'!D:D,'Recon of ORS and DV'!B:B,'DV List for import'!A318)</f>
        <v>0</v>
      </c>
      <c r="N318" s="276" t="e">
        <f t="shared" si="16"/>
        <v>#VALUE!</v>
      </c>
      <c r="O318" t="s">
        <v>2662</v>
      </c>
    </row>
    <row r="319" spans="1:15">
      <c r="A319" t="s">
        <v>2197</v>
      </c>
      <c r="B319" t="str">
        <f t="shared" si="18"/>
        <v>Fund 01-2021-03-0308</v>
      </c>
      <c r="C319" s="562" t="e">
        <f>VLOOKUP(L319,'Import Process ORS'!$D$4:$E$1557,2,FALSE)</f>
        <v>#N/A</v>
      </c>
      <c r="D319" s="562">
        <f>SUMIFS('Import Process ORS'!L:L,'Import Process ORS'!E:E,'DV List for import'!C319)</f>
        <v>0</v>
      </c>
      <c r="E319" t="s">
        <v>2676</v>
      </c>
      <c r="F319" t="str">
        <f>VLOOKUP(A319,'[1]MAIN-101'!$B$13:$M$787,4,FALSE)</f>
        <v>Elyn Rose A. Ranario</v>
      </c>
      <c r="G319" t="str">
        <f>VLOOKUP(A319,'[1]MAIN-101'!$B$13:$M$787,12,FALSE)</f>
        <v>Payment for Salaries and allowances of NC staff for the month of February, 2021</v>
      </c>
      <c r="H319" s="562" t="e">
        <f>SUMIFS('[1]MAIN-101'!$Z$1:$Z$3000,'[1]MAIN-101'!$X$1:$X$3000,A319)</f>
        <v>#VALUE!</v>
      </c>
      <c r="I319" s="562" t="s">
        <v>2687</v>
      </c>
      <c r="J319" t="s">
        <v>2683</v>
      </c>
      <c r="K319" t="s">
        <v>2678</v>
      </c>
      <c r="L319" s="562" t="str">
        <f>VLOOKUP(A319,'Format for Import of DV'!$A$3:$S$1556,3,FALSE)</f>
        <v>173</v>
      </c>
      <c r="M319" s="562" t="e">
        <f>SUMIFS('Recon of ORS and DV'!D:D,'Recon of ORS and DV'!B:B,'DV List for import'!A319)</f>
        <v>#VALUE!</v>
      </c>
      <c r="N319" s="276" t="e">
        <f t="shared" si="16"/>
        <v>#VALUE!</v>
      </c>
    </row>
    <row r="320" spans="1:15">
      <c r="A320" t="s">
        <v>2198</v>
      </c>
      <c r="B320" t="str">
        <f t="shared" si="18"/>
        <v>Fund 01-2021-03-0309</v>
      </c>
      <c r="C320" s="562" t="e">
        <f>VLOOKUP(L320,'Import Process ORS'!$D$4:$E$1557,2,FALSE)</f>
        <v>#N/A</v>
      </c>
      <c r="D320" s="562">
        <f>SUMIFS('Import Process ORS'!L:L,'Import Process ORS'!E:E,'DV List for import'!C320)</f>
        <v>0</v>
      </c>
      <c r="E320" t="s">
        <v>2676</v>
      </c>
      <c r="F320" t="str">
        <f>VLOOKUP(A320,'[1]MAIN-101'!$B$13:$M$787,4,FALSE)</f>
        <v>Carl Mars P. Ravelo</v>
      </c>
      <c r="G320" t="str">
        <f>VLOOKUP(A320,'[1]MAIN-101'!$B$13:$M$787,12,FALSE)</f>
        <v>Payment for Salaries and allowances of NC staff for the month of February, 2021</v>
      </c>
      <c r="H320" s="562" t="e">
        <f>SUMIFS('[1]MAIN-101'!$Z$1:$Z$3000,'[1]MAIN-101'!$X$1:$X$3000,A320)</f>
        <v>#VALUE!</v>
      </c>
      <c r="I320" s="562" t="s">
        <v>2687</v>
      </c>
      <c r="J320" t="s">
        <v>2683</v>
      </c>
      <c r="K320" t="s">
        <v>2678</v>
      </c>
      <c r="L320" s="562" t="str">
        <f>VLOOKUP(A320,'Format for Import of DV'!$A$3:$S$1556,3,FALSE)</f>
        <v>174</v>
      </c>
      <c r="M320" s="562" t="e">
        <f>SUMIFS('Recon of ORS and DV'!D:D,'Recon of ORS and DV'!B:B,'DV List for import'!A320)</f>
        <v>#VALUE!</v>
      </c>
      <c r="N320" s="276" t="e">
        <f t="shared" si="16"/>
        <v>#VALUE!</v>
      </c>
    </row>
    <row r="321" spans="1:15">
      <c r="A321" t="s">
        <v>2193</v>
      </c>
      <c r="B321" t="str">
        <f t="shared" si="18"/>
        <v>Fund 01-2021-03-0310</v>
      </c>
      <c r="C321" s="562" t="e">
        <f>VLOOKUP(L321,'Import Process ORS'!$D$4:$E$1557,2,FALSE)</f>
        <v>#N/A</v>
      </c>
      <c r="D321" s="562">
        <f>SUMIFS('Import Process ORS'!L:L,'Import Process ORS'!E:E,'DV List for import'!C321)</f>
        <v>0</v>
      </c>
      <c r="E321" t="s">
        <v>2676</v>
      </c>
      <c r="F321" t="str">
        <f>VLOOKUP(A321,'[1]MAIN-101'!$B$13:$M$787,4,FALSE)</f>
        <v>LBP, F/O DTI-Job Orders</v>
      </c>
      <c r="G321" t="str">
        <f>VLOOKUP(A321,'[1]MAIN-101'!$B$13:$M$787,12,FALSE)</f>
        <v>Payment of Job Orders for the period February 16-28, 2021</v>
      </c>
      <c r="H321" s="562" t="e">
        <f>SUMIFS('[1]MAIN-101'!$Z$1:$Z$3000,'[1]MAIN-101'!$X$1:$X$3000,A321)</f>
        <v>#VALUE!</v>
      </c>
      <c r="I321" s="562" t="s">
        <v>2687</v>
      </c>
      <c r="J321" t="s">
        <v>2683</v>
      </c>
      <c r="K321" t="s">
        <v>2678</v>
      </c>
      <c r="L321" s="562" t="str">
        <f>VLOOKUP(A321,'Format for Import of DV'!$A$3:$S$1556,3,FALSE)</f>
        <v>169</v>
      </c>
      <c r="M321" s="562" t="e">
        <f>SUMIFS('Recon of ORS and DV'!D:D,'Recon of ORS and DV'!B:B,'DV List for import'!A321)</f>
        <v>#VALUE!</v>
      </c>
      <c r="N321" s="276" t="e">
        <f t="shared" si="16"/>
        <v>#VALUE!</v>
      </c>
    </row>
    <row r="322" spans="1:15">
      <c r="A322" t="s">
        <v>2192</v>
      </c>
      <c r="B322" t="str">
        <f t="shared" si="18"/>
        <v>Fund 01-2021-03-0311</v>
      </c>
      <c r="C322" s="562" t="e">
        <f>VLOOKUP(L322,'Import Process ORS'!$D$4:$E$1557,2,FALSE)</f>
        <v>#N/A</v>
      </c>
      <c r="D322" s="562">
        <f>SUMIFS('Import Process ORS'!L:L,'Import Process ORS'!E:E,'DV List for import'!C322)</f>
        <v>0</v>
      </c>
      <c r="E322" t="s">
        <v>2676</v>
      </c>
      <c r="F322" t="str">
        <f>VLOOKUP(A322,'[1]MAIN-101'!$B$13:$M$787,4,FALSE)</f>
        <v>Olimar O. Sulapas</v>
      </c>
      <c r="G322" t="str">
        <f>VLOOKUP(A322,'[1]MAIN-101'!$B$13:$M$787,12,FALSE)</f>
        <v>Payment for Salaries and allowances of NC staff for the month of February, 2021</v>
      </c>
      <c r="H322" s="562" t="e">
        <f>SUMIFS('[1]MAIN-101'!$Z$1:$Z$3000,'[1]MAIN-101'!$X$1:$X$3000,A322)</f>
        <v>#VALUE!</v>
      </c>
      <c r="I322" s="562" t="s">
        <v>2687</v>
      </c>
      <c r="J322" t="s">
        <v>2683</v>
      </c>
      <c r="K322" t="s">
        <v>2678</v>
      </c>
      <c r="L322" s="562" t="str">
        <f>VLOOKUP(A322,'Format for Import of DV'!$A$3:$S$1556,3,FALSE)</f>
        <v>168</v>
      </c>
      <c r="M322" s="562" t="e">
        <f>SUMIFS('Recon of ORS and DV'!D:D,'Recon of ORS and DV'!B:B,'DV List for import'!A322)</f>
        <v>#VALUE!</v>
      </c>
      <c r="N322" s="276" t="e">
        <f t="shared" si="16"/>
        <v>#VALUE!</v>
      </c>
    </row>
    <row r="323" spans="1:15">
      <c r="A323" t="s">
        <v>2191</v>
      </c>
      <c r="B323" t="str">
        <f t="shared" si="18"/>
        <v>Fund 01-2021-03-0312</v>
      </c>
      <c r="C323" s="562" t="e">
        <f>VLOOKUP(L323,'Import Process ORS'!$D$4:$E$1557,2,FALSE)</f>
        <v>#N/A</v>
      </c>
      <c r="D323" s="562">
        <f>SUMIFS('Import Process ORS'!L:L,'Import Process ORS'!E:E,'DV List for import'!C323)</f>
        <v>0</v>
      </c>
      <c r="E323" t="s">
        <v>2676</v>
      </c>
      <c r="F323" t="str">
        <f>VLOOKUP(A323,'[1]MAIN-101'!$B$13:$M$787,4,FALSE)</f>
        <v>Landbank of the Philippines</v>
      </c>
      <c r="G323" t="str">
        <f>VLOOKUP(A323,'[1]MAIN-101'!$B$13:$M$787,12,FALSE)</f>
        <v>Salaries for RAPID RCU Staff - February 16-28, 2021</v>
      </c>
      <c r="H323" s="562" t="e">
        <f>SUMIFS('[1]MAIN-101'!$Z$1:$Z$3000,'[1]MAIN-101'!$X$1:$X$3000,A323)</f>
        <v>#VALUE!</v>
      </c>
      <c r="I323" s="562" t="s">
        <v>2687</v>
      </c>
      <c r="J323" t="s">
        <v>2683</v>
      </c>
      <c r="K323" t="s">
        <v>2678</v>
      </c>
      <c r="L323" s="562" t="str">
        <f>VLOOKUP(A323,'Format for Import of DV'!$A$3:$S$1556,3,FALSE)</f>
        <v>167</v>
      </c>
      <c r="M323" s="562" t="e">
        <f>SUMIFS('Recon of ORS and DV'!D:D,'Recon of ORS and DV'!B:B,'DV List for import'!A323)</f>
        <v>#VALUE!</v>
      </c>
      <c r="N323" s="276" t="e">
        <f t="shared" si="16"/>
        <v>#VALUE!</v>
      </c>
    </row>
    <row r="324" spans="1:15">
      <c r="A324" t="s">
        <v>2190</v>
      </c>
      <c r="B324" t="str">
        <f t="shared" si="18"/>
        <v>Fund 01-2021-03-0313</v>
      </c>
      <c r="C324" s="562" t="e">
        <f>VLOOKUP(L324,'Import Process ORS'!$D$4:$E$1557,2,FALSE)</f>
        <v>#N/A</v>
      </c>
      <c r="D324" s="562">
        <f>SUMIFS('Import Process ORS'!L:L,'Import Process ORS'!E:E,'DV List for import'!C324)</f>
        <v>0</v>
      </c>
      <c r="E324" t="s">
        <v>2676</v>
      </c>
      <c r="F324" t="str">
        <f>VLOOKUP(A324,'[1]MAIN-101'!$B$13:$M$787,4,FALSE)</f>
        <v>Landbank of the Philippines</v>
      </c>
      <c r="G324" t="str">
        <f>VLOOKUP(A324,'[1]MAIN-101'!$B$13:$M$787,12,FALSE)</f>
        <v>Salaries for RAPID RCU Staff - February 1-15, 2021</v>
      </c>
      <c r="H324" s="562" t="e">
        <f>SUMIFS('[1]MAIN-101'!$Z$1:$Z$3000,'[1]MAIN-101'!$X$1:$X$3000,A324)</f>
        <v>#VALUE!</v>
      </c>
      <c r="I324" s="562" t="s">
        <v>2687</v>
      </c>
      <c r="J324" t="s">
        <v>2683</v>
      </c>
      <c r="K324" t="s">
        <v>2678</v>
      </c>
      <c r="L324" s="562" t="str">
        <f>VLOOKUP(A324,'Format for Import of DV'!$A$3:$S$1556,3,FALSE)</f>
        <v>166</v>
      </c>
      <c r="M324" s="562" t="e">
        <f>SUMIFS('Recon of ORS and DV'!D:D,'Recon of ORS and DV'!B:B,'DV List for import'!A324)</f>
        <v>#VALUE!</v>
      </c>
      <c r="N324" s="276" t="e">
        <f t="shared" ref="N324:N387" si="20">H324-M324</f>
        <v>#VALUE!</v>
      </c>
    </row>
    <row r="325" spans="1:15">
      <c r="A325" t="s">
        <v>2194</v>
      </c>
      <c r="B325" t="str">
        <f t="shared" si="18"/>
        <v>Fund 01-2021-03-0314</v>
      </c>
      <c r="C325" s="562" t="e">
        <f>VLOOKUP(L325,'Import Process ORS'!$D$4:$E$1557,2,FALSE)</f>
        <v>#N/A</v>
      </c>
      <c r="D325" s="562">
        <f>SUMIFS('Import Process ORS'!L:L,'Import Process ORS'!E:E,'DV List for import'!C325)</f>
        <v>0</v>
      </c>
      <c r="E325" t="s">
        <v>2676</v>
      </c>
      <c r="F325" t="str">
        <f>VLOOKUP(A325,'[1]MAIN-101'!$B$13:$M$787,4,FALSE)</f>
        <v>Hazel O. Galve</v>
      </c>
      <c r="G325" t="str">
        <f>VLOOKUP(A325,'[1]MAIN-101'!$B$13:$M$787,12,FALSE)</f>
        <v>Reimbursement, TEV during the conudct of orientation on OTOP PH Hub and e-commerce platform of DTI-Caraga in ADS on January 15, 2021 &amp; in Surigao City on January 29, 2021</v>
      </c>
      <c r="H325" s="562" t="e">
        <f>SUMIFS('[1]MAIN-101'!$Z$1:$Z$3000,'[1]MAIN-101'!$X$1:$X$3000,A325)</f>
        <v>#VALUE!</v>
      </c>
      <c r="I325" s="562" t="s">
        <v>2687</v>
      </c>
      <c r="J325" t="s">
        <v>2683</v>
      </c>
      <c r="K325" t="s">
        <v>2678</v>
      </c>
      <c r="L325" s="562" t="str">
        <f>VLOOKUP(A325,'Format for Import of DV'!$A$3:$S$1556,3,FALSE)</f>
        <v>170</v>
      </c>
      <c r="M325" s="562" t="e">
        <f>SUMIFS('Recon of ORS and DV'!D:D,'Recon of ORS and DV'!B:B,'DV List for import'!A325)</f>
        <v>#VALUE!</v>
      </c>
      <c r="N325" s="276" t="e">
        <f t="shared" si="20"/>
        <v>#VALUE!</v>
      </c>
    </row>
    <row r="326" spans="1:15">
      <c r="A326" t="s">
        <v>2195</v>
      </c>
      <c r="B326" t="str">
        <f t="shared" si="18"/>
        <v>Fund 01-2021-03-0315</v>
      </c>
      <c r="C326" s="562" t="e">
        <f>VLOOKUP(L326,'Import Process ORS'!$D$4:$E$1557,2,FALSE)</f>
        <v>#N/A</v>
      </c>
      <c r="D326" s="562">
        <f>SUMIFS('Import Process ORS'!L:L,'Import Process ORS'!E:E,'DV List for import'!C326)</f>
        <v>0</v>
      </c>
      <c r="E326" t="s">
        <v>2676</v>
      </c>
      <c r="F326" t="str">
        <f>VLOOKUP(A326,'[1]MAIN-101'!$B$13:$M$787,4,FALSE)</f>
        <v>Procurement Service</v>
      </c>
      <c r="G326" t="str">
        <f>VLOOKUP(A326,'[1]MAIN-101'!$B$13:$M$787,12,FALSE)</f>
        <v>FAD Office use for the 1st quarter 2021</v>
      </c>
      <c r="H326" s="562" t="e">
        <f>SUMIFS('[1]MAIN-101'!$Z$1:$Z$3000,'[1]MAIN-101'!$X$1:$X$3000,A326)</f>
        <v>#VALUE!</v>
      </c>
      <c r="I326" s="562" t="s">
        <v>2687</v>
      </c>
      <c r="J326" t="s">
        <v>2683</v>
      </c>
      <c r="K326" t="s">
        <v>2678</v>
      </c>
      <c r="L326" s="562" t="str">
        <f>VLOOKUP(A326,'Format for Import of DV'!$A$3:$S$1556,3,FALSE)</f>
        <v>171</v>
      </c>
      <c r="M326" s="562" t="e">
        <f>SUMIFS('Recon of ORS and DV'!D:D,'Recon of ORS and DV'!B:B,'DV List for import'!A326)</f>
        <v>#VALUE!</v>
      </c>
      <c r="N326" s="276" t="e">
        <f t="shared" si="20"/>
        <v>#VALUE!</v>
      </c>
    </row>
    <row r="327" spans="1:15">
      <c r="A327" t="s">
        <v>2199</v>
      </c>
      <c r="B327" t="str">
        <f t="shared" si="18"/>
        <v>Fund 01-2021-03-0316</v>
      </c>
      <c r="C327" s="562" t="e">
        <f>VLOOKUP(L327,'Import Process ORS'!$D$4:$E$1557,2,FALSE)</f>
        <v>#N/A</v>
      </c>
      <c r="D327" s="562">
        <f>SUMIFS('Import Process ORS'!L:L,'Import Process ORS'!E:E,'DV List for import'!C327)</f>
        <v>0</v>
      </c>
      <c r="E327" t="s">
        <v>2676</v>
      </c>
      <c r="F327" t="str">
        <f>VLOOKUP(A327,'[1]MAIN-101'!$B$13:$M$787,4,FALSE)</f>
        <v>Lime and Zest Kitchen</v>
      </c>
      <c r="G327" t="str">
        <f>VLOOKUP(A327,'[1]MAIN-101'!$B$13:$M$787,12,FALSE)</f>
        <v>Payment of meals during the IDD Functional Team Meeting on January 26, 2021</v>
      </c>
      <c r="H327" s="562" t="e">
        <f>SUMIFS('[1]MAIN-101'!$Z$1:$Z$3000,'[1]MAIN-101'!$X$1:$X$3000,A327)</f>
        <v>#VALUE!</v>
      </c>
      <c r="I327" s="562" t="s">
        <v>2687</v>
      </c>
      <c r="J327" t="s">
        <v>2683</v>
      </c>
      <c r="K327" t="s">
        <v>2678</v>
      </c>
      <c r="L327" s="562" t="str">
        <f>VLOOKUP(A327,'Format for Import of DV'!$A$3:$S$1556,3,FALSE)</f>
        <v>175</v>
      </c>
      <c r="M327" s="562" t="e">
        <f>SUMIFS('Recon of ORS and DV'!D:D,'Recon of ORS and DV'!B:B,'DV List for import'!A327)</f>
        <v>#VALUE!</v>
      </c>
      <c r="N327" s="276" t="e">
        <f t="shared" si="20"/>
        <v>#VALUE!</v>
      </c>
    </row>
    <row r="328" spans="1:15">
      <c r="A328" t="s">
        <v>2200</v>
      </c>
      <c r="B328" t="str">
        <f t="shared" si="18"/>
        <v>Fund 01-2021-03-0317</v>
      </c>
      <c r="C328" s="562" t="e">
        <f>VLOOKUP(L328,'Import Process ORS'!$D$4:$E$1557,2,FALSE)</f>
        <v>#N/A</v>
      </c>
      <c r="D328" s="562">
        <f>SUMIFS('Import Process ORS'!L:L,'Import Process ORS'!E:E,'DV List for import'!C328)</f>
        <v>0</v>
      </c>
      <c r="E328" t="s">
        <v>2676</v>
      </c>
      <c r="F328" t="str">
        <f>VLOOKUP(A328,'[1]MAIN-101'!$B$13:$M$787,4,FALSE)</f>
        <v>Globe Telecom, Inc.</v>
      </c>
      <c r="G328" t="str">
        <f>VLOOKUP(A328,'[1]MAIN-101'!$B$13:$M$787,12,FALSE)</f>
        <v>Payment of Globe postpaid plan subscription for the month of January 16-February 15, 2021 for acct 65087463</v>
      </c>
      <c r="H328" s="562" t="e">
        <f>SUMIFS('[1]MAIN-101'!$Z$1:$Z$3000,'[1]MAIN-101'!$X$1:$X$3000,A328)</f>
        <v>#VALUE!</v>
      </c>
      <c r="I328" s="562" t="s">
        <v>2687</v>
      </c>
      <c r="J328" t="s">
        <v>2683</v>
      </c>
      <c r="K328" t="s">
        <v>2678</v>
      </c>
      <c r="L328" s="562" t="str">
        <f>VLOOKUP(A328,'Format for Import of DV'!$A$3:$S$1556,3,FALSE)</f>
        <v>176</v>
      </c>
      <c r="M328" s="562" t="e">
        <f>SUMIFS('Recon of ORS and DV'!D:D,'Recon of ORS and DV'!B:B,'DV List for import'!A328)</f>
        <v>#VALUE!</v>
      </c>
      <c r="N328" s="276" t="e">
        <f t="shared" si="20"/>
        <v>#VALUE!</v>
      </c>
    </row>
    <row r="329" spans="1:15">
      <c r="A329" t="s">
        <v>2201</v>
      </c>
      <c r="B329" t="str">
        <f t="shared" si="18"/>
        <v>Fund 01-2021-03-0318</v>
      </c>
      <c r="C329" s="562" t="e">
        <f>VLOOKUP(L329,'Import Process ORS'!$D$4:$E$1557,2,FALSE)</f>
        <v>#N/A</v>
      </c>
      <c r="D329" s="562">
        <f>SUMIFS('Import Process ORS'!L:L,'Import Process ORS'!E:E,'DV List for import'!C329)</f>
        <v>0</v>
      </c>
      <c r="E329" t="s">
        <v>2676</v>
      </c>
      <c r="F329" t="str">
        <f>VLOOKUP(A329,'[1]MAIN-101'!$B$13:$M$787,4,FALSE)</f>
        <v>Arleen P. Pahamtang</v>
      </c>
      <c r="G329" t="str">
        <f>VLOOKUP(A329,'[1]MAIN-101'!$B$13:$M$787,12,FALSE)</f>
        <v>Petty cash fund replenishment 2021-02-003 Feb 9-24,2021</v>
      </c>
      <c r="H329" s="562" t="e">
        <f>SUMIFS('[1]MAIN-101'!$Z$1:$Z$3000,'[1]MAIN-101'!$X$1:$X$3000,A329)</f>
        <v>#VALUE!</v>
      </c>
      <c r="I329" s="562" t="s">
        <v>2687</v>
      </c>
      <c r="J329" t="s">
        <v>2683</v>
      </c>
      <c r="K329" t="s">
        <v>2678</v>
      </c>
      <c r="L329" s="562" t="str">
        <f>VLOOKUP(A329,'Format for Import of DV'!$A$3:$S$1556,3,FALSE)</f>
        <v>177</v>
      </c>
      <c r="M329" s="562" t="e">
        <f>SUMIFS('Recon of ORS and DV'!D:D,'Recon of ORS and DV'!B:B,'DV List for import'!A329)</f>
        <v>#VALUE!</v>
      </c>
      <c r="N329" s="276" t="e">
        <f t="shared" si="20"/>
        <v>#VALUE!</v>
      </c>
    </row>
    <row r="330" spans="1:15">
      <c r="A330" t="s">
        <v>2556</v>
      </c>
      <c r="B330" t="str">
        <f t="shared" si="18"/>
        <v>Fund 01-2021-03-0319</v>
      </c>
      <c r="C330" s="564" t="str">
        <f>L330</f>
        <v>0000-00-0000</v>
      </c>
      <c r="D330" s="562">
        <f>SUMIFS('Import Process ORS'!L:L,'Import Process ORS'!E:E,'DV List for import'!C330)</f>
        <v>0</v>
      </c>
      <c r="E330" t="s">
        <v>2676</v>
      </c>
      <c r="F330" t="str">
        <f>VLOOKUP(A330,'[1]MAIN-101'!$B$13:$M$787,4,FALSE)</f>
        <v>Jamaica Arenal</v>
      </c>
      <c r="G330" t="str">
        <f>VLOOKUP(A330,'[1]MAIN-101'!$B$13:$M$787,12,FALSE)</f>
        <v>Refund of HDMF-MPL deducted from February 2021</v>
      </c>
      <c r="H330" s="562" t="e">
        <f>SUMIFS('[1]MAIN-101'!$Z$1:$Z$3000,'[1]MAIN-101'!$X$1:$X$3000,A330)</f>
        <v>#VALUE!</v>
      </c>
      <c r="I330" s="562" t="s">
        <v>2662</v>
      </c>
      <c r="J330" t="s">
        <v>2053</v>
      </c>
      <c r="K330" t="s">
        <v>2680</v>
      </c>
      <c r="L330" s="564" t="s">
        <v>2666</v>
      </c>
      <c r="M330" s="562">
        <f>SUMIFS('Recon of ORS and DV'!D:D,'Recon of ORS and DV'!B:B,'DV List for import'!A330)</f>
        <v>0</v>
      </c>
      <c r="N330" s="276" t="e">
        <f t="shared" si="20"/>
        <v>#VALUE!</v>
      </c>
      <c r="O330" t="s">
        <v>2663</v>
      </c>
    </row>
    <row r="331" spans="1:15">
      <c r="A331" t="s">
        <v>2557</v>
      </c>
      <c r="B331" t="str">
        <f t="shared" si="18"/>
        <v>Fund 01-2021-03-0320</v>
      </c>
      <c r="C331" s="564" t="str">
        <f>L331</f>
        <v>0000-00-0000</v>
      </c>
      <c r="D331" s="562">
        <f>SUMIFS('Import Process ORS'!L:L,'Import Process ORS'!E:E,'DV List for import'!C331)</f>
        <v>0</v>
      </c>
      <c r="E331" t="s">
        <v>2676</v>
      </c>
      <c r="F331" t="str">
        <f>VLOOKUP(A331,'[1]MAIN-101'!$B$13:$M$787,4,FALSE)</f>
        <v>Chona Marie L. Grado</v>
      </c>
      <c r="G331" t="str">
        <f>VLOOKUP(A331,'[1]MAIN-101'!$B$13:$M$787,12,FALSE)</f>
        <v>Refund of HDMF-MPL deducted from February 2021</v>
      </c>
      <c r="H331" s="562" t="e">
        <f>SUMIFS('[1]MAIN-101'!$Z$1:$Z$3000,'[1]MAIN-101'!$X$1:$X$3000,A331)</f>
        <v>#VALUE!</v>
      </c>
      <c r="I331" s="562" t="s">
        <v>2662</v>
      </c>
      <c r="J331" t="s">
        <v>2053</v>
      </c>
      <c r="K331" t="s">
        <v>2680</v>
      </c>
      <c r="L331" s="564" t="s">
        <v>2666</v>
      </c>
      <c r="M331" s="562">
        <f>SUMIFS('Recon of ORS and DV'!D:D,'Recon of ORS and DV'!B:B,'DV List for import'!A331)</f>
        <v>0</v>
      </c>
      <c r="N331" s="276" t="e">
        <f t="shared" si="20"/>
        <v>#VALUE!</v>
      </c>
      <c r="O331" t="s">
        <v>2663</v>
      </c>
    </row>
    <row r="332" spans="1:15">
      <c r="A332" t="s">
        <v>2558</v>
      </c>
      <c r="B332" t="str">
        <f t="shared" si="18"/>
        <v>Fund 01-2021-03-0321</v>
      </c>
      <c r="C332" s="564" t="str">
        <f>L332</f>
        <v>0000-00-0000</v>
      </c>
      <c r="D332" s="562">
        <f>SUMIFS('Import Process ORS'!L:L,'Import Process ORS'!E:E,'DV List for import'!C332)</f>
        <v>0</v>
      </c>
      <c r="E332" t="s">
        <v>2676</v>
      </c>
      <c r="F332" t="str">
        <f>VLOOKUP(A332,'[1]MAIN-101'!$B$13:$M$787,4,FALSE)</f>
        <v>DREAMCO MPC</v>
      </c>
      <c r="G332" t="str">
        <f>VLOOKUP(A332,'[1]MAIN-101'!$B$13:$M$787,12,FALSE)</f>
        <v>Remittance, coop deductions from RATA for March 2021.</v>
      </c>
      <c r="H332" s="562" t="e">
        <f>SUMIFS('[1]MAIN-101'!$Z$1:$Z$3000,'[1]MAIN-101'!$X$1:$X$3000,A332)</f>
        <v>#VALUE!</v>
      </c>
      <c r="I332" s="562" t="s">
        <v>2662</v>
      </c>
      <c r="J332" t="s">
        <v>2053</v>
      </c>
      <c r="K332" t="s">
        <v>2680</v>
      </c>
      <c r="L332" s="564" t="s">
        <v>2666</v>
      </c>
      <c r="M332" s="562">
        <f>SUMIFS('Recon of ORS and DV'!D:D,'Recon of ORS and DV'!B:B,'DV List for import'!A332)</f>
        <v>0</v>
      </c>
      <c r="N332" s="276" t="e">
        <f t="shared" si="20"/>
        <v>#VALUE!</v>
      </c>
      <c r="O332" t="s">
        <v>2662</v>
      </c>
    </row>
    <row r="333" spans="1:15">
      <c r="A333" t="s">
        <v>2559</v>
      </c>
      <c r="B333" t="str">
        <f t="shared" si="18"/>
        <v>Fund 01-2021-03-0322</v>
      </c>
      <c r="C333" s="564" t="str">
        <f>L333</f>
        <v>0000-00-0000</v>
      </c>
      <c r="D333" s="562">
        <f>SUMIFS('Import Process ORS'!L:L,'Import Process ORS'!E:E,'DV List for import'!C333)</f>
        <v>0</v>
      </c>
      <c r="E333" t="s">
        <v>2676</v>
      </c>
      <c r="F333" t="str">
        <f>VLOOKUP(A333,'[1]MAIN-101'!$B$13:$M$787,4,FALSE)</f>
        <v>DREAMCO MPC</v>
      </c>
      <c r="G333" t="str">
        <f>VLOOKUP(A333,'[1]MAIN-101'!$B$13:$M$787,12,FALSE)</f>
        <v>Remittance, Job Orders coop deductions for the period February 1-28, 2021</v>
      </c>
      <c r="H333" s="562" t="e">
        <f>SUMIFS('[1]MAIN-101'!$Z$1:$Z$3000,'[1]MAIN-101'!$X$1:$X$3000,A333)</f>
        <v>#VALUE!</v>
      </c>
      <c r="I333" s="562" t="s">
        <v>2662</v>
      </c>
      <c r="J333" t="s">
        <v>2053</v>
      </c>
      <c r="K333" t="s">
        <v>2680</v>
      </c>
      <c r="L333" s="564" t="s">
        <v>2666</v>
      </c>
      <c r="M333" s="562">
        <f>SUMIFS('Recon of ORS and DV'!D:D,'Recon of ORS and DV'!B:B,'DV List for import'!A333)</f>
        <v>0</v>
      </c>
      <c r="N333" s="276" t="e">
        <f t="shared" si="20"/>
        <v>#VALUE!</v>
      </c>
      <c r="O333" t="s">
        <v>2662</v>
      </c>
    </row>
    <row r="334" spans="1:15">
      <c r="A334" t="s">
        <v>2208</v>
      </c>
      <c r="B334" t="str">
        <f t="shared" si="18"/>
        <v>Fund 01-2021-03-0323</v>
      </c>
      <c r="C334" s="562" t="e">
        <f>VLOOKUP(L334,'Import Process ORS'!$D$4:$E$1557,2,FALSE)</f>
        <v>#N/A</v>
      </c>
      <c r="D334" s="562">
        <f>SUMIFS('Import Process ORS'!L:L,'Import Process ORS'!E:E,'DV List for import'!C334)</f>
        <v>0</v>
      </c>
      <c r="E334" t="s">
        <v>2676</v>
      </c>
      <c r="F334" t="str">
        <f>VLOOKUP(A334,'[1]MAIN-101'!$B$13:$M$787,4,FALSE)</f>
        <v>Norman Jhon G. Butalon</v>
      </c>
      <c r="G334" t="str">
        <f>VLOOKUP(A334,'[1]MAIN-101'!$B$13:$M$787,12,FALSE)</f>
        <v>Payment of Job Orders for the period January and February, 2021</v>
      </c>
      <c r="H334" s="562" t="e">
        <f>SUMIFS('[1]MAIN-101'!$Z$1:$Z$3000,'[1]MAIN-101'!$X$1:$X$3000,A334)</f>
        <v>#VALUE!</v>
      </c>
      <c r="I334" s="562" t="s">
        <v>2687</v>
      </c>
      <c r="J334" t="s">
        <v>2683</v>
      </c>
      <c r="K334" t="s">
        <v>2678</v>
      </c>
      <c r="L334" s="562" t="str">
        <f>VLOOKUP(A334,'Format for Import of DV'!$A$3:$S$1556,3,FALSE)</f>
        <v>184</v>
      </c>
      <c r="M334" s="562" t="e">
        <f>SUMIFS('Recon of ORS and DV'!D:D,'Recon of ORS and DV'!B:B,'DV List for import'!A334)</f>
        <v>#VALUE!</v>
      </c>
      <c r="N334" s="276" t="e">
        <f t="shared" si="20"/>
        <v>#VALUE!</v>
      </c>
    </row>
    <row r="335" spans="1:15">
      <c r="A335" t="s">
        <v>2560</v>
      </c>
      <c r="B335" t="str">
        <f t="shared" si="18"/>
        <v>Fund 01-2021-03-0324</v>
      </c>
      <c r="C335" s="564" t="str">
        <f>L335</f>
        <v>0000-00-0000</v>
      </c>
      <c r="D335" s="562">
        <f>SUMIFS('Import Process ORS'!L:L,'Import Process ORS'!E:E,'DV List for import'!C335)</f>
        <v>0</v>
      </c>
      <c r="E335" t="s">
        <v>2676</v>
      </c>
      <c r="F335" t="str">
        <f>VLOOKUP(A335,'[1]MAIN-101'!$B$13:$M$787,4,FALSE)</f>
        <v>Arnold D. Faelnar</v>
      </c>
      <c r="G335" t="str">
        <f>VLOOKUP(A335,'[1]MAIN-101'!$B$13:$M$787,12,FALSE)</f>
        <v>Refund of HDMF-MPL deducted from February 2021</v>
      </c>
      <c r="H335" s="562" t="e">
        <f>SUMIFS('[1]MAIN-101'!$Z$1:$Z$3000,'[1]MAIN-101'!$X$1:$X$3000,A335)</f>
        <v>#VALUE!</v>
      </c>
      <c r="I335" s="562" t="s">
        <v>2662</v>
      </c>
      <c r="J335" t="s">
        <v>2053</v>
      </c>
      <c r="K335" t="s">
        <v>2680</v>
      </c>
      <c r="L335" s="564" t="s">
        <v>2666</v>
      </c>
      <c r="M335" s="562">
        <f>SUMIFS('Recon of ORS and DV'!D:D,'Recon of ORS and DV'!B:B,'DV List for import'!A335)</f>
        <v>0</v>
      </c>
      <c r="N335" s="276" t="e">
        <f t="shared" si="20"/>
        <v>#VALUE!</v>
      </c>
      <c r="O335" t="s">
        <v>2663</v>
      </c>
    </row>
    <row r="336" spans="1:15">
      <c r="A336" t="s">
        <v>2202</v>
      </c>
      <c r="B336" t="str">
        <f t="shared" si="18"/>
        <v>Fund 01-2021-03-0325</v>
      </c>
      <c r="C336" s="562" t="e">
        <f>VLOOKUP(L336,'Import Process ORS'!$D$4:$E$1557,2,FALSE)</f>
        <v>#N/A</v>
      </c>
      <c r="D336" s="562">
        <f>SUMIFS('Import Process ORS'!L:L,'Import Process ORS'!E:E,'DV List for import'!C336)</f>
        <v>0</v>
      </c>
      <c r="E336" t="s">
        <v>2676</v>
      </c>
      <c r="F336" t="str">
        <f>VLOOKUP(A336,'[1]MAIN-101'!$B$13:$M$787,4,FALSE)</f>
        <v>Fevi V. Silvosa</v>
      </c>
      <c r="G336" t="str">
        <f>VLOOKUP(A336,'[1]MAIN-101'!$B$13:$M$787,12,FALSE)</f>
        <v>Payment of JO for the period February 16-28, 2021</v>
      </c>
      <c r="H336" s="562" t="e">
        <f>SUMIFS('[1]MAIN-101'!$Z$1:$Z$3000,'[1]MAIN-101'!$X$1:$X$3000,A336)</f>
        <v>#VALUE!</v>
      </c>
      <c r="I336" s="562" t="s">
        <v>2687</v>
      </c>
      <c r="J336" t="s">
        <v>2683</v>
      </c>
      <c r="K336" t="s">
        <v>2678</v>
      </c>
      <c r="L336" s="562" t="str">
        <f>VLOOKUP(A336,'Format for Import of DV'!$A$3:$S$1556,3,FALSE)</f>
        <v>178</v>
      </c>
      <c r="M336" s="562" t="e">
        <f>SUMIFS('Recon of ORS and DV'!D:D,'Recon of ORS and DV'!B:B,'DV List for import'!A336)</f>
        <v>#VALUE!</v>
      </c>
      <c r="N336" s="276" t="e">
        <f t="shared" si="20"/>
        <v>#VALUE!</v>
      </c>
    </row>
    <row r="337" spans="1:14">
      <c r="A337" t="s">
        <v>2203</v>
      </c>
      <c r="B337" t="str">
        <f t="shared" si="18"/>
        <v>Fund 01-2021-03-0326</v>
      </c>
      <c r="C337" s="562" t="e">
        <f>VLOOKUP(L337,'Import Process ORS'!$D$4:$E$1557,2,FALSE)</f>
        <v>#N/A</v>
      </c>
      <c r="D337" s="562">
        <f>SUMIFS('Import Process ORS'!L:L,'Import Process ORS'!E:E,'DV List for import'!C337)</f>
        <v>0</v>
      </c>
      <c r="E337" t="s">
        <v>2676</v>
      </c>
      <c r="F337" t="str">
        <f>VLOOKUP(A337,'[1]MAIN-101'!$B$13:$M$787,4,FALSE)</f>
        <v>LBP, F/O DTI-Job Orders</v>
      </c>
      <c r="G337" t="str">
        <f>VLOOKUP(A337,'[1]MAIN-101'!$B$13:$M$787,12,FALSE)</f>
        <v>Payment for JO for February 16-28, 2021</v>
      </c>
      <c r="H337" s="562" t="e">
        <f>SUMIFS('[1]MAIN-101'!$Z$1:$Z$3000,'[1]MAIN-101'!$X$1:$X$3000,A337)</f>
        <v>#VALUE!</v>
      </c>
      <c r="I337" s="562" t="s">
        <v>2687</v>
      </c>
      <c r="J337" t="s">
        <v>2683</v>
      </c>
      <c r="K337" t="s">
        <v>2678</v>
      </c>
      <c r="L337" s="562" t="str">
        <f>VLOOKUP(A337,'Format for Import of DV'!$A$3:$S$1556,3,FALSE)</f>
        <v>179</v>
      </c>
      <c r="M337" s="562" t="e">
        <f>SUMIFS('Recon of ORS and DV'!D:D,'Recon of ORS and DV'!B:B,'DV List for import'!A337)</f>
        <v>#VALUE!</v>
      </c>
      <c r="N337" s="276" t="e">
        <f t="shared" si="20"/>
        <v>#VALUE!</v>
      </c>
    </row>
    <row r="338" spans="1:14">
      <c r="A338" t="s">
        <v>2204</v>
      </c>
      <c r="B338" t="str">
        <f t="shared" si="18"/>
        <v>Fund 01-2021-03-0327</v>
      </c>
      <c r="C338" s="562" t="e">
        <f>VLOOKUP(L338,'Import Process ORS'!$D$4:$E$1557,2,FALSE)</f>
        <v>#N/A</v>
      </c>
      <c r="D338" s="562">
        <f>SUMIFS('Import Process ORS'!L:L,'Import Process ORS'!E:E,'DV List for import'!C338)</f>
        <v>0</v>
      </c>
      <c r="E338" t="s">
        <v>2676</v>
      </c>
      <c r="F338" t="str">
        <f>VLOOKUP(A338,'[1]MAIN-101'!$B$13:$M$787,4,FALSE)</f>
        <v>Armando G. Tabid</v>
      </c>
      <c r="G338" t="str">
        <f>VLOOKUP(A338,'[1]MAIN-101'!$B$13:$M$787,12,FALSE)</f>
        <v>Salaries for RAPID PCU ADS staff (driver)- February 1-28, 2021</v>
      </c>
      <c r="H338" s="562" t="e">
        <f>SUMIFS('[1]MAIN-101'!$Z$1:$Z$3000,'[1]MAIN-101'!$X$1:$X$3000,A338)</f>
        <v>#VALUE!</v>
      </c>
      <c r="I338" s="562" t="s">
        <v>2687</v>
      </c>
      <c r="J338" t="s">
        <v>2683</v>
      </c>
      <c r="K338" t="s">
        <v>2678</v>
      </c>
      <c r="L338" s="562" t="str">
        <f>VLOOKUP(A338,'Format for Import of DV'!$A$3:$S$1556,3,FALSE)</f>
        <v>180</v>
      </c>
      <c r="M338" s="562" t="e">
        <f>SUMIFS('Recon of ORS and DV'!D:D,'Recon of ORS and DV'!B:B,'DV List for import'!A338)</f>
        <v>#VALUE!</v>
      </c>
      <c r="N338" s="276" t="e">
        <f t="shared" si="20"/>
        <v>#VALUE!</v>
      </c>
    </row>
    <row r="339" spans="1:14">
      <c r="A339" t="s">
        <v>2205</v>
      </c>
      <c r="B339" t="str">
        <f t="shared" si="18"/>
        <v>Fund 01-2021-03-0328</v>
      </c>
      <c r="C339" s="562" t="e">
        <f>VLOOKUP(L339,'Import Process ORS'!$D$4:$E$1557,2,FALSE)</f>
        <v>#N/A</v>
      </c>
      <c r="D339" s="562">
        <f>SUMIFS('Import Process ORS'!L:L,'Import Process ORS'!E:E,'DV List for import'!C339)</f>
        <v>0</v>
      </c>
      <c r="E339" t="s">
        <v>2676</v>
      </c>
      <c r="F339" t="str">
        <f>VLOOKUP(A339,'[1]MAIN-101'!$B$13:$M$787,4,FALSE)</f>
        <v>LBP, F/O DTI-Job Orders</v>
      </c>
      <c r="G339" t="str">
        <f>VLOOKUP(A339,'[1]MAIN-101'!$B$13:$M$787,12,FALSE)</f>
        <v>Payment for JO for February 16-28, 2021</v>
      </c>
      <c r="H339" s="562" t="e">
        <f>SUMIFS('[1]MAIN-101'!$Z$1:$Z$3000,'[1]MAIN-101'!$X$1:$X$3000,A339)</f>
        <v>#VALUE!</v>
      </c>
      <c r="I339" s="562" t="s">
        <v>2687</v>
      </c>
      <c r="J339" t="s">
        <v>2683</v>
      </c>
      <c r="K339" t="s">
        <v>2678</v>
      </c>
      <c r="L339" s="562" t="str">
        <f>VLOOKUP(A339,'Format for Import of DV'!$A$3:$S$1556,3,FALSE)</f>
        <v>181</v>
      </c>
      <c r="M339" s="562" t="e">
        <f>SUMIFS('Recon of ORS and DV'!D:D,'Recon of ORS and DV'!B:B,'DV List for import'!A339)</f>
        <v>#VALUE!</v>
      </c>
      <c r="N339" s="276" t="e">
        <f t="shared" si="20"/>
        <v>#VALUE!</v>
      </c>
    </row>
    <row r="340" spans="1:14">
      <c r="A340" t="s">
        <v>2206</v>
      </c>
      <c r="B340" t="str">
        <f t="shared" si="18"/>
        <v>Fund 01-2021-03-0329</v>
      </c>
      <c r="C340" s="562" t="e">
        <f>VLOOKUP(L340,'Import Process ORS'!$D$4:$E$1557,2,FALSE)</f>
        <v>#N/A</v>
      </c>
      <c r="D340" s="562">
        <f>SUMIFS('Import Process ORS'!L:L,'Import Process ORS'!E:E,'DV List for import'!C340)</f>
        <v>0</v>
      </c>
      <c r="E340" t="s">
        <v>2676</v>
      </c>
      <c r="F340" t="str">
        <f>VLOOKUP(A340,'[1]MAIN-101'!$B$13:$M$787,4,FALSE)</f>
        <v>LBP, F/O DTI-Job Orders</v>
      </c>
      <c r="G340" t="str">
        <f>VLOOKUP(A340,'[1]MAIN-101'!$B$13:$M$787,12,FALSE)</f>
        <v>Payment for JO for February 16-28, 2021</v>
      </c>
      <c r="H340" s="562" t="e">
        <f>SUMIFS('[1]MAIN-101'!$Z$1:$Z$3000,'[1]MAIN-101'!$X$1:$X$3000,A340)</f>
        <v>#VALUE!</v>
      </c>
      <c r="I340" s="562" t="s">
        <v>2687</v>
      </c>
      <c r="J340" t="s">
        <v>2683</v>
      </c>
      <c r="K340" t="s">
        <v>2678</v>
      </c>
      <c r="L340" s="562" t="str">
        <f>VLOOKUP(A340,'Format for Import of DV'!$A$3:$S$1556,3,FALSE)</f>
        <v>182</v>
      </c>
      <c r="M340" s="562" t="e">
        <f>SUMIFS('Recon of ORS and DV'!D:D,'Recon of ORS and DV'!B:B,'DV List for import'!A340)</f>
        <v>#VALUE!</v>
      </c>
      <c r="N340" s="276" t="e">
        <f t="shared" si="20"/>
        <v>#VALUE!</v>
      </c>
    </row>
    <row r="341" spans="1:14">
      <c r="A341" t="s">
        <v>2207</v>
      </c>
      <c r="B341" t="str">
        <f t="shared" si="18"/>
        <v>Fund 01-2021-03-0330</v>
      </c>
      <c r="C341" s="562" t="e">
        <f>VLOOKUP(L341,'Import Process ORS'!$D$4:$E$1557,2,FALSE)</f>
        <v>#N/A</v>
      </c>
      <c r="D341" s="562">
        <f>SUMIFS('Import Process ORS'!L:L,'Import Process ORS'!E:E,'DV List for import'!C341)</f>
        <v>0</v>
      </c>
      <c r="E341" t="s">
        <v>2676</v>
      </c>
      <c r="F341" t="str">
        <f>VLOOKUP(A341,'[1]MAIN-101'!$B$13:$M$787,4,FALSE)</f>
        <v>Landbank of the Philippines</v>
      </c>
      <c r="G341" t="str">
        <f>VLOOKUP(A341,'[1]MAIN-101'!$B$13:$M$787,12,FALSE)</f>
        <v>Payment for RATA for March 2021</v>
      </c>
      <c r="H341" s="562" t="e">
        <f>SUMIFS('[1]MAIN-101'!$Z$1:$Z$3000,'[1]MAIN-101'!$X$1:$X$3000,A341)</f>
        <v>#VALUE!</v>
      </c>
      <c r="I341" s="562" t="s">
        <v>2687</v>
      </c>
      <c r="J341" t="s">
        <v>2683</v>
      </c>
      <c r="K341" t="s">
        <v>2678</v>
      </c>
      <c r="L341" s="562" t="str">
        <f>VLOOKUP(A341,'Format for Import of DV'!$A$3:$S$1556,3,FALSE)</f>
        <v>183</v>
      </c>
      <c r="M341" s="562" t="e">
        <f>SUMIFS('Recon of ORS and DV'!D:D,'Recon of ORS and DV'!B:B,'DV List for import'!A341)</f>
        <v>#VALUE!</v>
      </c>
      <c r="N341" s="276" t="e">
        <f t="shared" si="20"/>
        <v>#VALUE!</v>
      </c>
    </row>
    <row r="342" spans="1:14">
      <c r="A342" t="s">
        <v>2209</v>
      </c>
      <c r="B342" t="str">
        <f t="shared" si="18"/>
        <v>Fund 01-2021-03-0331</v>
      </c>
      <c r="C342" s="562" t="e">
        <f>VLOOKUP(L342,'Import Process ORS'!$D$4:$E$1557,2,FALSE)</f>
        <v>#N/A</v>
      </c>
      <c r="D342" s="562">
        <f>SUMIFS('Import Process ORS'!L:L,'Import Process ORS'!E:E,'DV List for import'!C342)</f>
        <v>0</v>
      </c>
      <c r="E342" t="s">
        <v>2676</v>
      </c>
      <c r="F342" t="str">
        <f>VLOOKUP(A342,'[1]MAIN-101'!$B$13:$M$787,4,FALSE)</f>
        <v>Bernie P. Curato</v>
      </c>
      <c r="G342" t="str">
        <f>VLOOKUP(A342,'[1]MAIN-101'!$B$13:$M$787,12,FALSE)</f>
        <v>Salaries for RAPID PCU ADN staff (driver)- February 1-28, 2021</v>
      </c>
      <c r="H342" s="562" t="e">
        <f>SUMIFS('[1]MAIN-101'!$Z$1:$Z$3000,'[1]MAIN-101'!$X$1:$X$3000,A342)</f>
        <v>#VALUE!</v>
      </c>
      <c r="I342" s="562" t="s">
        <v>2687</v>
      </c>
      <c r="J342" t="s">
        <v>2683</v>
      </c>
      <c r="K342" t="s">
        <v>2678</v>
      </c>
      <c r="L342" s="562" t="str">
        <f>VLOOKUP(A342,'Format for Import of DV'!$A$3:$S$1556,3,FALSE)</f>
        <v>185</v>
      </c>
      <c r="M342" s="562" t="e">
        <f>SUMIFS('Recon of ORS and DV'!D:D,'Recon of ORS and DV'!B:B,'DV List for import'!A342)</f>
        <v>#VALUE!</v>
      </c>
      <c r="N342" s="276" t="e">
        <f t="shared" si="20"/>
        <v>#VALUE!</v>
      </c>
    </row>
    <row r="343" spans="1:14">
      <c r="A343" t="s">
        <v>2211</v>
      </c>
      <c r="B343" t="str">
        <f t="shared" si="18"/>
        <v>Fund 01-2021-03-0332</v>
      </c>
      <c r="C343" s="562" t="e">
        <f>VLOOKUP(L343,'Import Process ORS'!$D$4:$E$1557,2,FALSE)</f>
        <v>#N/A</v>
      </c>
      <c r="D343" s="562">
        <f>SUMIFS('Import Process ORS'!L:L,'Import Process ORS'!E:E,'DV List for import'!C343)</f>
        <v>0</v>
      </c>
      <c r="E343" t="s">
        <v>2676</v>
      </c>
      <c r="F343" t="str">
        <f>VLOOKUP(A343,'[1]MAIN-101'!$B$13:$M$787,4,FALSE)</f>
        <v>GSIS</v>
      </c>
      <c r="G343" t="str">
        <f>VLOOKUP(A343,'[1]MAIN-101'!$B$13:$M$787,12,FALSE)</f>
        <v>Payment for motor vehicle insurance  renewal  Toyota Innova</v>
      </c>
      <c r="H343" s="562" t="e">
        <f>SUMIFS('[1]MAIN-101'!$Z$1:$Z$3000,'[1]MAIN-101'!$X$1:$X$3000,A343)</f>
        <v>#VALUE!</v>
      </c>
      <c r="I343" s="562" t="s">
        <v>2687</v>
      </c>
      <c r="J343" t="s">
        <v>2683</v>
      </c>
      <c r="K343" t="s">
        <v>2678</v>
      </c>
      <c r="L343" s="562" t="str">
        <f>VLOOKUP(A343,'Format for Import of DV'!$A$3:$S$1556,3,FALSE)</f>
        <v>187</v>
      </c>
      <c r="M343" s="562" t="e">
        <f>SUMIFS('Recon of ORS and DV'!D:D,'Recon of ORS and DV'!B:B,'DV List for import'!A343)</f>
        <v>#VALUE!</v>
      </c>
      <c r="N343" s="276" t="e">
        <f t="shared" si="20"/>
        <v>#VALUE!</v>
      </c>
    </row>
    <row r="344" spans="1:14">
      <c r="A344" t="s">
        <v>2212</v>
      </c>
      <c r="B344" t="str">
        <f t="shared" si="18"/>
        <v>Fund 01-2021-03-0333</v>
      </c>
      <c r="C344" s="562" t="e">
        <f>VLOOKUP(L344,'Import Process ORS'!$D$4:$E$1557,2,FALSE)</f>
        <v>#N/A</v>
      </c>
      <c r="D344" s="562">
        <f>SUMIFS('Import Process ORS'!L:L,'Import Process ORS'!E:E,'DV List for import'!C344)</f>
        <v>0</v>
      </c>
      <c r="E344" t="s">
        <v>2676</v>
      </c>
      <c r="F344" t="str">
        <f>VLOOKUP(A344,'[1]MAIN-101'!$B$13:$M$787,4,FALSE)</f>
        <v>Land Transportation Office</v>
      </c>
      <c r="G344" t="str">
        <f>VLOOKUP(A344,'[1]MAIN-101'!$B$13:$M$787,12,FALSE)</f>
        <v>DTI Caraga Motor vehicle Registration- Toyota Innova</v>
      </c>
      <c r="H344" s="562" t="e">
        <f>SUMIFS('[1]MAIN-101'!$Z$1:$Z$3000,'[1]MAIN-101'!$X$1:$X$3000,A344)</f>
        <v>#VALUE!</v>
      </c>
      <c r="I344" s="562" t="s">
        <v>2687</v>
      </c>
      <c r="J344" t="s">
        <v>2683</v>
      </c>
      <c r="K344" t="s">
        <v>2678</v>
      </c>
      <c r="L344" s="562" t="str">
        <f>VLOOKUP(A344,'Format for Import of DV'!$A$3:$S$1556,3,FALSE)</f>
        <v>188</v>
      </c>
      <c r="M344" s="562" t="e">
        <f>SUMIFS('Recon of ORS and DV'!D:D,'Recon of ORS and DV'!B:B,'DV List for import'!A344)</f>
        <v>#VALUE!</v>
      </c>
      <c r="N344" s="276" t="e">
        <f t="shared" si="20"/>
        <v>#VALUE!</v>
      </c>
    </row>
    <row r="345" spans="1:14">
      <c r="A345" t="s">
        <v>2213</v>
      </c>
      <c r="B345" t="str">
        <f t="shared" si="18"/>
        <v>Fund 01-2021-03-0334</v>
      </c>
      <c r="C345" s="562" t="e">
        <f>VLOOKUP(L345,'Import Process ORS'!$D$4:$E$1557,2,FALSE)</f>
        <v>#N/A</v>
      </c>
      <c r="D345" s="562">
        <f>SUMIFS('Import Process ORS'!L:L,'Import Process ORS'!E:E,'DV List for import'!C345)</f>
        <v>0</v>
      </c>
      <c r="E345" t="s">
        <v>2676</v>
      </c>
      <c r="F345" t="str">
        <f>VLOOKUP(A345,'[1]MAIN-101'!$B$13:$M$787,4,FALSE)</f>
        <v>Royelen B.Taala</v>
      </c>
      <c r="G345" t="str">
        <f>VLOOKUP(A345,'[1]MAIN-101'!$B$13:$M$787,12,FALSE)</f>
        <v>Reimbursement for the payment of the planner 2021 for IDD office use</v>
      </c>
      <c r="H345" s="562" t="e">
        <f>SUMIFS('[1]MAIN-101'!$Z$1:$Z$3000,'[1]MAIN-101'!$X$1:$X$3000,A345)</f>
        <v>#VALUE!</v>
      </c>
      <c r="I345" s="562" t="s">
        <v>2687</v>
      </c>
      <c r="J345" t="s">
        <v>2683</v>
      </c>
      <c r="K345" t="s">
        <v>2678</v>
      </c>
      <c r="L345" s="562" t="str">
        <f>VLOOKUP(A345,'Format for Import of DV'!$A$3:$S$1556,3,FALSE)</f>
        <v>189</v>
      </c>
      <c r="M345" s="562" t="e">
        <f>SUMIFS('Recon of ORS and DV'!D:D,'Recon of ORS and DV'!B:B,'DV List for import'!A345)</f>
        <v>#VALUE!</v>
      </c>
      <c r="N345" s="276" t="e">
        <f t="shared" si="20"/>
        <v>#VALUE!</v>
      </c>
    </row>
    <row r="346" spans="1:14">
      <c r="A346" t="s">
        <v>2214</v>
      </c>
      <c r="B346" t="str">
        <f t="shared" si="18"/>
        <v>Fund 01-2021-03-0335</v>
      </c>
      <c r="C346" s="562" t="e">
        <f>VLOOKUP(L346,'Import Process ORS'!$D$4:$E$1557,2,FALSE)</f>
        <v>#N/A</v>
      </c>
      <c r="D346" s="562">
        <f>SUMIFS('Import Process ORS'!L:L,'Import Process ORS'!E:E,'DV List for import'!C346)</f>
        <v>0</v>
      </c>
      <c r="E346" t="s">
        <v>2676</v>
      </c>
      <c r="F346" t="str">
        <f>VLOOKUP(A346,'[1]MAIN-101'!$B$13:$M$787,4,FALSE)</f>
        <v>JMN Multimedia Sales and Services</v>
      </c>
      <c r="G346" t="str">
        <f>VLOOKUP(A346,'[1]MAIN-101'!$B$13:$M$787,12,FALSE)</f>
        <v>Payment for the prepaid loadcards- IDD load allowance for the 1st quarter 2021</v>
      </c>
      <c r="H346" s="562" t="e">
        <f>SUMIFS('[1]MAIN-101'!$Z$1:$Z$3000,'[1]MAIN-101'!$X$1:$X$3000,A346)</f>
        <v>#VALUE!</v>
      </c>
      <c r="I346" s="562" t="s">
        <v>2687</v>
      </c>
      <c r="J346" t="s">
        <v>2683</v>
      </c>
      <c r="K346" t="s">
        <v>2678</v>
      </c>
      <c r="L346" s="562" t="str">
        <f>VLOOKUP(A346,'Format for Import of DV'!$A$3:$S$1556,3,FALSE)</f>
        <v>190</v>
      </c>
      <c r="M346" s="562" t="e">
        <f>SUMIFS('Recon of ORS and DV'!D:D,'Recon of ORS and DV'!B:B,'DV List for import'!A346)</f>
        <v>#VALUE!</v>
      </c>
      <c r="N346" s="276" t="e">
        <f t="shared" si="20"/>
        <v>#VALUE!</v>
      </c>
    </row>
    <row r="347" spans="1:14">
      <c r="A347" t="s">
        <v>2215</v>
      </c>
      <c r="B347" t="str">
        <f t="shared" si="18"/>
        <v>Fund 01-2021-03-0336</v>
      </c>
      <c r="C347" s="562" t="e">
        <f>VLOOKUP(L347,'Import Process ORS'!$D$4:$E$1557,2,FALSE)</f>
        <v>#N/A</v>
      </c>
      <c r="D347" s="562">
        <f>SUMIFS('Import Process ORS'!L:L,'Import Process ORS'!E:E,'DV List for import'!C347)</f>
        <v>0</v>
      </c>
      <c r="E347" t="s">
        <v>2676</v>
      </c>
      <c r="F347" t="str">
        <f>VLOOKUP(A347,'[1]MAIN-101'!$B$13:$M$787,4,FALSE)</f>
        <v>Fil Products Service TV Butuan, Inc.</v>
      </c>
      <c r="G347" t="str">
        <f>VLOOKUP(A347,'[1]MAIN-101'!$B$13:$M$787,12,FALSE)</f>
        <v>Payment for cable TV subscription for Jan 28-March 27, 2021</v>
      </c>
      <c r="H347" s="562" t="e">
        <f>SUMIFS('[1]MAIN-101'!$Z$1:$Z$3000,'[1]MAIN-101'!$X$1:$X$3000,A347)</f>
        <v>#VALUE!</v>
      </c>
      <c r="I347" s="562" t="s">
        <v>2687</v>
      </c>
      <c r="J347" t="s">
        <v>2683</v>
      </c>
      <c r="K347" t="s">
        <v>2678</v>
      </c>
      <c r="L347" s="562" t="str">
        <f>VLOOKUP(A347,'Format for Import of DV'!$A$3:$S$1556,3,FALSE)</f>
        <v>192</v>
      </c>
      <c r="M347" s="562" t="e">
        <f>SUMIFS('Recon of ORS and DV'!D:D,'Recon of ORS and DV'!B:B,'DV List for import'!A347)</f>
        <v>#VALUE!</v>
      </c>
      <c r="N347" s="276" t="e">
        <f t="shared" si="20"/>
        <v>#VALUE!</v>
      </c>
    </row>
    <row r="348" spans="1:14">
      <c r="A348" t="s">
        <v>2216</v>
      </c>
      <c r="B348" t="str">
        <f t="shared" si="18"/>
        <v>Fund 01-2021-03-0337</v>
      </c>
      <c r="C348" s="562" t="e">
        <f>VLOOKUP(L348,'Import Process ORS'!$D$4:$E$1557,2,FALSE)</f>
        <v>#N/A</v>
      </c>
      <c r="D348" s="562">
        <f>SUMIFS('Import Process ORS'!L:L,'Import Process ORS'!E:E,'DV List for import'!C348)</f>
        <v>0</v>
      </c>
      <c r="E348" t="s">
        <v>2676</v>
      </c>
      <c r="F348" t="str">
        <f>VLOOKUP(A348,'[1]MAIN-101'!$B$13:$M$787,4,FALSE)</f>
        <v>Jocelyn Ang</v>
      </c>
      <c r="G348" t="str">
        <f>VLOOKUP(A348,'[1]MAIN-101'!$B$13:$M$787,12,FALSE)</f>
        <v>Payment for records room rental for March 2021</v>
      </c>
      <c r="H348" s="562" t="e">
        <f>SUMIFS('[1]MAIN-101'!$Z$1:$Z$3000,'[1]MAIN-101'!$X$1:$X$3000,A348)</f>
        <v>#VALUE!</v>
      </c>
      <c r="I348" s="562" t="s">
        <v>2687</v>
      </c>
      <c r="J348" t="s">
        <v>2683</v>
      </c>
      <c r="K348" t="s">
        <v>2678</v>
      </c>
      <c r="L348" s="562" t="str">
        <f>VLOOKUP(A348,'Format for Import of DV'!$A$3:$S$1556,3,FALSE)</f>
        <v>193</v>
      </c>
      <c r="M348" s="562" t="e">
        <f>SUMIFS('Recon of ORS and DV'!D:D,'Recon of ORS and DV'!B:B,'DV List for import'!A348)</f>
        <v>#VALUE!</v>
      </c>
      <c r="N348" s="276" t="e">
        <f t="shared" si="20"/>
        <v>#VALUE!</v>
      </c>
    </row>
    <row r="349" spans="1:14">
      <c r="A349" t="s">
        <v>2217</v>
      </c>
      <c r="B349" t="str">
        <f t="shared" si="18"/>
        <v>Fund 01-2021-03-0338</v>
      </c>
      <c r="C349" s="562" t="e">
        <f>VLOOKUP(L349,'Import Process ORS'!$D$4:$E$1557,2,FALSE)</f>
        <v>#N/A</v>
      </c>
      <c r="D349" s="562">
        <f>SUMIFS('Import Process ORS'!L:L,'Import Process ORS'!E:E,'DV List for import'!C349)</f>
        <v>0</v>
      </c>
      <c r="E349" t="s">
        <v>2676</v>
      </c>
      <c r="F349" t="str">
        <f>VLOOKUP(A349,'[1]MAIN-101'!$B$13:$M$787,4,FALSE)</f>
        <v>Land Bank of the Philippines</v>
      </c>
      <c r="G349" t="str">
        <f>VLOOKUP(A349,'[1]MAIN-101'!$B$13:$M$787,12,FALSE)</f>
        <v>Reimbursement, RATA for Feb 2021</v>
      </c>
      <c r="H349" s="562" t="e">
        <f>SUMIFS('[1]MAIN-101'!$Z$1:$Z$3000,'[1]MAIN-101'!$X$1:$X$3000,A349)</f>
        <v>#VALUE!</v>
      </c>
      <c r="I349" s="562" t="s">
        <v>2687</v>
      </c>
      <c r="J349" t="s">
        <v>2683</v>
      </c>
      <c r="K349" t="s">
        <v>2678</v>
      </c>
      <c r="L349" s="562" t="str">
        <f>VLOOKUP(A349,'Format for Import of DV'!$A$3:$S$1556,3,FALSE)</f>
        <v>194</v>
      </c>
      <c r="M349" s="562" t="e">
        <f>SUMIFS('Recon of ORS and DV'!D:D,'Recon of ORS and DV'!B:B,'DV List for import'!A349)</f>
        <v>#VALUE!</v>
      </c>
      <c r="N349" s="276" t="e">
        <f t="shared" si="20"/>
        <v>#VALUE!</v>
      </c>
    </row>
    <row r="350" spans="1:14">
      <c r="A350" t="s">
        <v>2218</v>
      </c>
      <c r="B350" t="str">
        <f t="shared" si="18"/>
        <v>Fund 01-2021-03-0339</v>
      </c>
      <c r="C350" s="562" t="e">
        <f>VLOOKUP(L350,'Import Process ORS'!$D$4:$E$1557,2,FALSE)</f>
        <v>#N/A</v>
      </c>
      <c r="D350" s="562">
        <f>SUMIFS('Import Process ORS'!L:L,'Import Process ORS'!E:E,'DV List for import'!C350)</f>
        <v>0</v>
      </c>
      <c r="E350" t="s">
        <v>2676</v>
      </c>
      <c r="F350" t="str">
        <f>VLOOKUP(A350,'[1]MAIN-101'!$B$13:$M$787,4,FALSE)</f>
        <v>Kimson Commercial</v>
      </c>
      <c r="G350" t="str">
        <f>VLOOKUP(A350,'[1]MAIN-101'!$B$13:$M$787,12,FALSE)</f>
        <v>Payment for FAD 1st quarter 2021 office supplies</v>
      </c>
      <c r="H350" s="562" t="e">
        <f>SUMIFS('[1]MAIN-101'!$Z$1:$Z$3000,'[1]MAIN-101'!$X$1:$X$3000,A350)</f>
        <v>#VALUE!</v>
      </c>
      <c r="I350" s="562" t="s">
        <v>2687</v>
      </c>
      <c r="J350" t="s">
        <v>2683</v>
      </c>
      <c r="K350" t="s">
        <v>2678</v>
      </c>
      <c r="L350" s="562" t="str">
        <f>VLOOKUP(A350,'Format for Import of DV'!$A$3:$S$1556,3,FALSE)</f>
        <v>195</v>
      </c>
      <c r="M350" s="562" t="e">
        <f>SUMIFS('Recon of ORS and DV'!D:D,'Recon of ORS and DV'!B:B,'DV List for import'!A350)</f>
        <v>#VALUE!</v>
      </c>
      <c r="N350" s="276" t="e">
        <f t="shared" si="20"/>
        <v>#VALUE!</v>
      </c>
    </row>
    <row r="351" spans="1:14">
      <c r="A351" t="s">
        <v>2219</v>
      </c>
      <c r="B351" t="str">
        <f t="shared" si="18"/>
        <v>Fund 01-2021-03-0340</v>
      </c>
      <c r="C351" s="562" t="e">
        <f>VLOOKUP(L351,'Import Process ORS'!$D$4:$E$1557,2,FALSE)</f>
        <v>#N/A</v>
      </c>
      <c r="D351" s="562">
        <f>SUMIFS('Import Process ORS'!L:L,'Import Process ORS'!E:E,'DV List for import'!C351)</f>
        <v>0</v>
      </c>
      <c r="E351" t="s">
        <v>2676</v>
      </c>
      <c r="F351" t="str">
        <f>VLOOKUP(A351,'[1]MAIN-101'!$B$13:$M$787,4,FALSE)</f>
        <v>Compañero Commercial</v>
      </c>
      <c r="G351" t="str">
        <f>VLOOKUP(A351,'[1]MAIN-101'!$B$13:$M$787,12,FALSE)</f>
        <v>Payment for FAD 1st quarter 2021 office supplies</v>
      </c>
      <c r="H351" s="562" t="e">
        <f>SUMIFS('[1]MAIN-101'!$Z$1:$Z$3000,'[1]MAIN-101'!$X$1:$X$3000,A351)</f>
        <v>#VALUE!</v>
      </c>
      <c r="I351" s="562" t="s">
        <v>2687</v>
      </c>
      <c r="J351" t="s">
        <v>2683</v>
      </c>
      <c r="K351" t="s">
        <v>2678</v>
      </c>
      <c r="L351" s="562" t="str">
        <f>VLOOKUP(A351,'Format for Import of DV'!$A$3:$S$1556,3,FALSE)</f>
        <v>196</v>
      </c>
      <c r="M351" s="562" t="e">
        <f>SUMIFS('Recon of ORS and DV'!D:D,'Recon of ORS and DV'!B:B,'DV List for import'!A351)</f>
        <v>#VALUE!</v>
      </c>
      <c r="N351" s="276" t="e">
        <f t="shared" si="20"/>
        <v>#VALUE!</v>
      </c>
    </row>
    <row r="352" spans="1:14">
      <c r="A352" t="s">
        <v>2220</v>
      </c>
      <c r="B352" t="str">
        <f t="shared" si="18"/>
        <v>Fund 01-2021-03-0341</v>
      </c>
      <c r="C352" s="562" t="e">
        <f>VLOOKUP(L352,'Import Process ORS'!$D$4:$E$1557,2,FALSE)</f>
        <v>#N/A</v>
      </c>
      <c r="D352" s="562">
        <f>SUMIFS('Import Process ORS'!L:L,'Import Process ORS'!E:E,'DV List for import'!C352)</f>
        <v>0</v>
      </c>
      <c r="E352" t="s">
        <v>2676</v>
      </c>
      <c r="F352" t="str">
        <f>VLOOKUP(A352,'[1]MAIN-101'!$B$13:$M$787,4,FALSE)</f>
        <v>Tammy Emporium</v>
      </c>
      <c r="G352" t="str">
        <f>VLOOKUP(A352,'[1]MAIN-101'!$B$13:$M$787,12,FALSE)</f>
        <v>Payment for FAD 1st quarter 2021 office supplies</v>
      </c>
      <c r="H352" s="562" t="e">
        <f>SUMIFS('[1]MAIN-101'!$Z$1:$Z$3000,'[1]MAIN-101'!$X$1:$X$3000,A352)</f>
        <v>#VALUE!</v>
      </c>
      <c r="I352" s="562" t="s">
        <v>2687</v>
      </c>
      <c r="J352" t="s">
        <v>2683</v>
      </c>
      <c r="K352" t="s">
        <v>2678</v>
      </c>
      <c r="L352" s="562" t="str">
        <f>VLOOKUP(A352,'Format for Import of DV'!$A$3:$S$1556,3,FALSE)</f>
        <v>197</v>
      </c>
      <c r="M352" s="562" t="e">
        <f>SUMIFS('Recon of ORS and DV'!D:D,'Recon of ORS and DV'!B:B,'DV List for import'!A352)</f>
        <v>#VALUE!</v>
      </c>
      <c r="N352" s="276" t="e">
        <f t="shared" si="20"/>
        <v>#VALUE!</v>
      </c>
    </row>
    <row r="353" spans="1:15">
      <c r="A353" t="s">
        <v>2221</v>
      </c>
      <c r="B353" t="str">
        <f t="shared" si="18"/>
        <v>Fund 01-2021-03-0342</v>
      </c>
      <c r="C353" s="562" t="e">
        <f>VLOOKUP(L353,'Import Process ORS'!$D$4:$E$1557,2,FALSE)</f>
        <v>#N/A</v>
      </c>
      <c r="D353" s="562">
        <f>SUMIFS('Import Process ORS'!L:L,'Import Process ORS'!E:E,'DV List for import'!C353)</f>
        <v>0</v>
      </c>
      <c r="E353" t="s">
        <v>2676</v>
      </c>
      <c r="F353" t="str">
        <f>VLOOKUP(A353,'[1]MAIN-101'!$B$13:$M$787,4,FALSE)</f>
        <v>Innove Communiations, Inc</v>
      </c>
      <c r="G353" t="str">
        <f>VLOOKUP(A353,'[1]MAIN-101'!$B$13:$M$787,12,FALSE)</f>
        <v>Payment of Zoom Application for the month of November 2020- January 2021</v>
      </c>
      <c r="H353" s="562" t="e">
        <f>SUMIFS('[1]MAIN-101'!$Z$1:$Z$3000,'[1]MAIN-101'!$X$1:$X$3000,A353)</f>
        <v>#VALUE!</v>
      </c>
      <c r="I353" s="562" t="s">
        <v>2687</v>
      </c>
      <c r="J353" t="s">
        <v>2683</v>
      </c>
      <c r="K353" t="s">
        <v>2678</v>
      </c>
      <c r="L353" s="562" t="str">
        <f>VLOOKUP(A353,'Format for Import of DV'!$A$3:$S$1556,3,FALSE)</f>
        <v>198</v>
      </c>
      <c r="M353" s="562" t="e">
        <f>SUMIFS('Recon of ORS and DV'!D:D,'Recon of ORS and DV'!B:B,'DV List for import'!A353)</f>
        <v>#VALUE!</v>
      </c>
      <c r="N353" s="276" t="e">
        <f t="shared" si="20"/>
        <v>#VALUE!</v>
      </c>
    </row>
    <row r="354" spans="1:15">
      <c r="A354" t="s">
        <v>2210</v>
      </c>
      <c r="B354" t="str">
        <f t="shared" si="18"/>
        <v>Fund 01-2021-03-0343</v>
      </c>
      <c r="C354" s="562" t="e">
        <f>VLOOKUP(L354,'Import Process ORS'!$D$4:$E$1557,2,FALSE)</f>
        <v>#N/A</v>
      </c>
      <c r="D354" s="562">
        <f>SUMIFS('Import Process ORS'!L:L,'Import Process ORS'!E:E,'DV List for import'!C354)</f>
        <v>0</v>
      </c>
      <c r="E354" t="s">
        <v>2676</v>
      </c>
      <c r="F354" t="str">
        <f>VLOOKUP(A354,'[1]MAIN-101'!$B$13:$M$787,4,FALSE)</f>
        <v>Mercado's Sudlanan ATBP</v>
      </c>
      <c r="G354" t="str">
        <f>VLOOKUP(A354,'[1]MAIN-101'!$B$13:$M$787,12,FALSE)</f>
        <v>Payment for the journal/planners during the conduct of the 2021 CPD Functional Meeting Team meeting on February 2-3, 2021</v>
      </c>
      <c r="H354" s="562" t="e">
        <f>SUMIFS('[1]MAIN-101'!$Z$1:$Z$3000,'[1]MAIN-101'!$X$1:$X$3000,A354)</f>
        <v>#VALUE!</v>
      </c>
      <c r="I354" s="562" t="s">
        <v>2687</v>
      </c>
      <c r="J354" t="s">
        <v>2683</v>
      </c>
      <c r="K354" t="s">
        <v>2678</v>
      </c>
      <c r="L354" s="562" t="str">
        <f>VLOOKUP(A354,'Format for Import of DV'!$A$3:$S$1556,3,FALSE)</f>
        <v>186</v>
      </c>
      <c r="M354" s="562" t="e">
        <f>SUMIFS('Recon of ORS and DV'!D:D,'Recon of ORS and DV'!B:B,'DV List for import'!A354)</f>
        <v>#VALUE!</v>
      </c>
      <c r="N354" s="276" t="e">
        <f t="shared" si="20"/>
        <v>#VALUE!</v>
      </c>
    </row>
    <row r="355" spans="1:15">
      <c r="A355" t="s">
        <v>2222</v>
      </c>
      <c r="B355" t="str">
        <f t="shared" si="18"/>
        <v>Fund 01-2021-03-0344</v>
      </c>
      <c r="C355" s="562" t="e">
        <f>VLOOKUP(L355,'Import Process ORS'!$D$4:$E$1557,2,FALSE)</f>
        <v>#N/A</v>
      </c>
      <c r="D355" s="562">
        <f>SUMIFS('Import Process ORS'!L:L,'Import Process ORS'!E:E,'DV List for import'!C355)</f>
        <v>0</v>
      </c>
      <c r="E355" t="s">
        <v>2676</v>
      </c>
      <c r="F355" t="str">
        <f>VLOOKUP(A355,'[1]MAIN-101'!$B$13:$M$787,4,FALSE)</f>
        <v>Ralph O. Gorgonio</v>
      </c>
      <c r="G355" t="str">
        <f>VLOOKUP(A355,'[1]MAIN-101'!$B$13:$M$787,12,FALSE)</f>
        <v>Reimbursement , alcohol for the for the DTI Caraga implementation of workplace safety and healthy amid COVID19 Pandemic</v>
      </c>
      <c r="H355" s="562" t="e">
        <f>SUMIFS('[1]MAIN-101'!$Z$1:$Z$3000,'[1]MAIN-101'!$X$1:$X$3000,A355)</f>
        <v>#VALUE!</v>
      </c>
      <c r="I355" s="562" t="s">
        <v>2687</v>
      </c>
      <c r="J355" t="s">
        <v>2683</v>
      </c>
      <c r="K355" t="s">
        <v>2678</v>
      </c>
      <c r="L355" s="562" t="str">
        <f>VLOOKUP(A355,'Format for Import of DV'!$A$3:$S$1556,3,FALSE)</f>
        <v>199</v>
      </c>
      <c r="M355" s="562" t="e">
        <f>SUMIFS('Recon of ORS and DV'!D:D,'Recon of ORS and DV'!B:B,'DV List for import'!A355)</f>
        <v>#VALUE!</v>
      </c>
      <c r="N355" s="276" t="e">
        <f t="shared" si="20"/>
        <v>#VALUE!</v>
      </c>
    </row>
    <row r="356" spans="1:15">
      <c r="A356" t="s">
        <v>2223</v>
      </c>
      <c r="B356" t="str">
        <f t="shared" si="18"/>
        <v>Fund 01-2021-03-0345</v>
      </c>
      <c r="C356" s="562" t="e">
        <f>VLOOKUP(L356,'Import Process ORS'!$D$4:$E$1557,2,FALSE)</f>
        <v>#N/A</v>
      </c>
      <c r="D356" s="562">
        <f>SUMIFS('Import Process ORS'!L:L,'Import Process ORS'!E:E,'DV List for import'!C356)</f>
        <v>0</v>
      </c>
      <c r="E356" t="s">
        <v>2676</v>
      </c>
      <c r="F356" t="str">
        <f>VLOOKUP(A356,'[1]MAIN-101'!$B$13:$M$787,4,FALSE)</f>
        <v>Road Way Auto Supply and Car Accessories</v>
      </c>
      <c r="G356" t="str">
        <f>VLOOKUP(A356,'[1]MAIN-101'!$B$13:$M$787,12,FALSE)</f>
        <v>Payment for Vehicle rear bumper of Toyota Hilux for DTI Caraga Motor Vehicle</v>
      </c>
      <c r="H356" s="562" t="e">
        <f>SUMIFS('[1]MAIN-101'!$Z$1:$Z$3000,'[1]MAIN-101'!$X$1:$X$3000,A356)</f>
        <v>#VALUE!</v>
      </c>
      <c r="I356" s="562" t="s">
        <v>2687</v>
      </c>
      <c r="J356" t="s">
        <v>2683</v>
      </c>
      <c r="K356" t="s">
        <v>2678</v>
      </c>
      <c r="L356" s="562" t="str">
        <f>VLOOKUP(A356,'Format for Import of DV'!$A$3:$S$1556,3,FALSE)</f>
        <v>200</v>
      </c>
      <c r="M356" s="562" t="e">
        <f>SUMIFS('Recon of ORS and DV'!D:D,'Recon of ORS and DV'!B:B,'DV List for import'!A356)</f>
        <v>#VALUE!</v>
      </c>
      <c r="N356" s="276" t="e">
        <f t="shared" si="20"/>
        <v>#VALUE!</v>
      </c>
    </row>
    <row r="357" spans="1:15">
      <c r="A357" t="s">
        <v>2224</v>
      </c>
      <c r="B357" t="str">
        <f t="shared" si="18"/>
        <v>Fund 01-2021-03-0346</v>
      </c>
      <c r="C357" s="562" t="e">
        <f>VLOOKUP(L357,'Import Process ORS'!$D$4:$E$1557,2,FALSE)</f>
        <v>#N/A</v>
      </c>
      <c r="D357" s="562">
        <f>SUMIFS('Import Process ORS'!L:L,'Import Process ORS'!E:E,'DV List for import'!C357)</f>
        <v>0</v>
      </c>
      <c r="E357" t="s">
        <v>2676</v>
      </c>
      <c r="F357" t="str">
        <f>VLOOKUP(A357,'[1]MAIN-101'!$B$13:$M$787,4,FALSE)</f>
        <v>Eden D. Burnea</v>
      </c>
      <c r="G357" t="str">
        <f>VLOOKUP(A357,'[1]MAIN-101'!$B$13:$M$787,12,FALSE)</f>
        <v>TEV during the conduct of Orientation PH Hub and e-commerce platform of DTI-Caraga in ADS on Jan 15, 2021, Tandag City on Jan 21, 2021 and Surigao City on January 29, 2021</v>
      </c>
      <c r="H357" s="562" t="e">
        <f>SUMIFS('[1]MAIN-101'!$Z$1:$Z$3000,'[1]MAIN-101'!$X$1:$X$3000,A357)</f>
        <v>#VALUE!</v>
      </c>
      <c r="I357" s="562" t="s">
        <v>2687</v>
      </c>
      <c r="J357" t="s">
        <v>2683</v>
      </c>
      <c r="K357" t="s">
        <v>2678</v>
      </c>
      <c r="L357" s="562" t="str">
        <f>VLOOKUP(A357,'Format for Import of DV'!$A$3:$S$1556,3,FALSE)</f>
        <v>201</v>
      </c>
      <c r="M357" s="562" t="e">
        <f>SUMIFS('Recon of ORS and DV'!D:D,'Recon of ORS and DV'!B:B,'DV List for import'!A357)</f>
        <v>#VALUE!</v>
      </c>
      <c r="N357" s="276" t="e">
        <f t="shared" si="20"/>
        <v>#VALUE!</v>
      </c>
    </row>
    <row r="358" spans="1:15">
      <c r="A358" t="s">
        <v>2225</v>
      </c>
      <c r="B358" t="str">
        <f t="shared" si="18"/>
        <v>Fund 01-2021-03-0347</v>
      </c>
      <c r="C358" s="562" t="e">
        <f>VLOOKUP(L358,'Import Process ORS'!$D$4:$E$1557,2,FALSE)</f>
        <v>#N/A</v>
      </c>
      <c r="D358" s="562">
        <f>SUMIFS('Import Process ORS'!L:L,'Import Process ORS'!E:E,'DV List for import'!C358)</f>
        <v>0</v>
      </c>
      <c r="E358" t="s">
        <v>2676</v>
      </c>
      <c r="F358" t="str">
        <f>VLOOKUP(A358,'[1]MAIN-101'!$B$13:$M$787,4,FALSE)</f>
        <v>Efren J. Tubaon</v>
      </c>
      <c r="G358" t="str">
        <f>VLOOKUP(A358,'[1]MAIN-101'!$B$13:$M$787,12,FALSE)</f>
        <v>Payment for JO for January and February 2021</v>
      </c>
      <c r="H358" s="562" t="e">
        <f>SUMIFS('[1]MAIN-101'!$Z$1:$Z$3000,'[1]MAIN-101'!$X$1:$X$3000,A358)</f>
        <v>#VALUE!</v>
      </c>
      <c r="I358" s="562" t="s">
        <v>2687</v>
      </c>
      <c r="J358" t="s">
        <v>2683</v>
      </c>
      <c r="K358" t="s">
        <v>2678</v>
      </c>
      <c r="L358" s="562" t="str">
        <f>VLOOKUP(A358,'Format for Import of DV'!$A$3:$S$1556,3,FALSE)</f>
        <v>202</v>
      </c>
      <c r="M358" s="562" t="e">
        <f>SUMIFS('Recon of ORS and DV'!D:D,'Recon of ORS and DV'!B:B,'DV List for import'!A358)</f>
        <v>#VALUE!</v>
      </c>
      <c r="N358" s="276" t="e">
        <f t="shared" si="20"/>
        <v>#VALUE!</v>
      </c>
    </row>
    <row r="359" spans="1:15">
      <c r="A359" t="s">
        <v>2226</v>
      </c>
      <c r="B359" t="str">
        <f t="shared" si="18"/>
        <v>Fund 01-2021-03-0348</v>
      </c>
      <c r="C359" s="562" t="e">
        <f>VLOOKUP(L359,'Import Process ORS'!$D$4:$E$1557,2,FALSE)</f>
        <v>#N/A</v>
      </c>
      <c r="D359" s="562">
        <f>SUMIFS('Import Process ORS'!L:L,'Import Process ORS'!E:E,'DV List for import'!C359)</f>
        <v>0</v>
      </c>
      <c r="E359" t="s">
        <v>2676</v>
      </c>
      <c r="F359" t="str">
        <f>VLOOKUP(A359,'[1]MAIN-101'!$B$13:$M$787,4,FALSE)</f>
        <v>Al A. Oliverio</v>
      </c>
      <c r="G359" t="str">
        <f>VLOOKUP(A359,'[1]MAIN-101'!$B$13:$M$787,12,FALSE)</f>
        <v>Payment for salaries for RAPID PCU AND Staff driver for Feb 1-28, 2021</v>
      </c>
      <c r="H359" s="562" t="e">
        <f>SUMIFS('[1]MAIN-101'!$Z$1:$Z$3000,'[1]MAIN-101'!$X$1:$X$3000,A359)</f>
        <v>#VALUE!</v>
      </c>
      <c r="I359" s="562" t="s">
        <v>2687</v>
      </c>
      <c r="J359" t="s">
        <v>2683</v>
      </c>
      <c r="K359" t="s">
        <v>2678</v>
      </c>
      <c r="L359" s="562" t="str">
        <f>VLOOKUP(A359,'Format for Import of DV'!$A$3:$S$1556,3,FALSE)</f>
        <v>203</v>
      </c>
      <c r="M359" s="562" t="e">
        <f>SUMIFS('Recon of ORS and DV'!D:D,'Recon of ORS and DV'!B:B,'DV List for import'!A359)</f>
        <v>#VALUE!</v>
      </c>
      <c r="N359" s="276" t="e">
        <f t="shared" si="20"/>
        <v>#VALUE!</v>
      </c>
    </row>
    <row r="360" spans="1:15">
      <c r="A360" t="s">
        <v>2227</v>
      </c>
      <c r="B360" t="str">
        <f t="shared" ref="B360:B423" si="21">CONCATENATE("Fund 01-2021-03-",A360)</f>
        <v>Fund 01-2021-03-0349</v>
      </c>
      <c r="C360" s="562" t="e">
        <f>VLOOKUP(L360,'Import Process ORS'!$D$4:$E$1557,2,FALSE)</f>
        <v>#N/A</v>
      </c>
      <c r="D360" s="562">
        <f>SUMIFS('Import Process ORS'!L:L,'Import Process ORS'!E:E,'DV List for import'!C360)</f>
        <v>0</v>
      </c>
      <c r="E360" t="s">
        <v>2676</v>
      </c>
      <c r="F360" t="str">
        <f>VLOOKUP(A360,'[1]MAIN-101'!$B$13:$M$787,4,FALSE)</f>
        <v>CSC Training Fund</v>
      </c>
      <c r="G360" t="str">
        <f>VLOOKUP(A360,'[1]MAIN-101'!$B$13:$M$787,12,FALSE)</f>
        <v>Payment for the Registration Fee for online course on coaching and mentoring on April 20, 27 and 30, 2021</v>
      </c>
      <c r="H360" s="562" t="e">
        <f>SUMIFS('[1]MAIN-101'!$Z$1:$Z$3000,'[1]MAIN-101'!$X$1:$X$3000,A360)</f>
        <v>#VALUE!</v>
      </c>
      <c r="I360" s="562" t="s">
        <v>2687</v>
      </c>
      <c r="J360" t="s">
        <v>2683</v>
      </c>
      <c r="K360" t="s">
        <v>2678</v>
      </c>
      <c r="L360" s="562" t="str">
        <f>VLOOKUP(A360,'Format for Import of DV'!$A$3:$S$1556,3,FALSE)</f>
        <v>204</v>
      </c>
      <c r="M360" s="562" t="e">
        <f>SUMIFS('Recon of ORS and DV'!D:D,'Recon of ORS and DV'!B:B,'DV List for import'!A360)</f>
        <v>#VALUE!</v>
      </c>
      <c r="N360" s="276" t="e">
        <f t="shared" si="20"/>
        <v>#VALUE!</v>
      </c>
    </row>
    <row r="361" spans="1:15">
      <c r="A361" t="s">
        <v>2228</v>
      </c>
      <c r="B361" t="str">
        <f t="shared" si="21"/>
        <v>Fund 01-2021-03-0350</v>
      </c>
      <c r="C361" s="562" t="e">
        <f>VLOOKUP(L361,'Import Process ORS'!$D$4:$E$1557,2,FALSE)</f>
        <v>#N/A</v>
      </c>
      <c r="D361" s="562">
        <f>SUMIFS('Import Process ORS'!L:L,'Import Process ORS'!E:E,'DV List for import'!C361)</f>
        <v>0</v>
      </c>
      <c r="E361" t="s">
        <v>2676</v>
      </c>
      <c r="F361" t="str">
        <f>VLOOKUP(A361,'[1]MAIN-101'!$B$13:$M$787,4,FALSE)</f>
        <v>True Brew Gourmet Coffee Shop</v>
      </c>
      <c r="G361" t="str">
        <f>VLOOKUP(A361,'[1]MAIN-101'!$B$13:$M$787,12,FALSE)</f>
        <v>Payment for meals re: 2021 CPD Functional Team Meeting on February 2-3, 2021</v>
      </c>
      <c r="H361" s="562" t="e">
        <f>SUMIFS('[1]MAIN-101'!$Z$1:$Z$3000,'[1]MAIN-101'!$X$1:$X$3000,A361)</f>
        <v>#VALUE!</v>
      </c>
      <c r="I361" s="562" t="s">
        <v>2687</v>
      </c>
      <c r="J361" t="s">
        <v>2683</v>
      </c>
      <c r="K361" t="s">
        <v>2678</v>
      </c>
      <c r="L361" s="562" t="str">
        <f>VLOOKUP(A361,'Format for Import of DV'!$A$3:$S$1556,3,FALSE)</f>
        <v>205</v>
      </c>
      <c r="M361" s="562" t="e">
        <f>SUMIFS('Recon of ORS and DV'!D:D,'Recon of ORS and DV'!B:B,'DV List for import'!A361)</f>
        <v>#VALUE!</v>
      </c>
      <c r="N361" s="276" t="e">
        <f t="shared" si="20"/>
        <v>#VALUE!</v>
      </c>
    </row>
    <row r="362" spans="1:15">
      <c r="A362" t="s">
        <v>2229</v>
      </c>
      <c r="B362" t="str">
        <f t="shared" si="21"/>
        <v>Fund 01-2021-03-0351</v>
      </c>
      <c r="C362" s="562" t="e">
        <f>VLOOKUP(L362,'Import Process ORS'!$D$4:$E$1557,2,FALSE)</f>
        <v>#N/A</v>
      </c>
      <c r="D362" s="562">
        <f>SUMIFS('Import Process ORS'!L:L,'Import Process ORS'!E:E,'DV List for import'!C362)</f>
        <v>0</v>
      </c>
      <c r="E362" t="s">
        <v>2676</v>
      </c>
      <c r="F362" t="str">
        <f>VLOOKUP(A362,'[1]MAIN-101'!$B$13:$M$787,4,FALSE)</f>
        <v>True Brew Gourmet Coffee Shop</v>
      </c>
      <c r="G362" t="str">
        <f>VLOOKUP(A362,'[1]MAIN-101'!$B$13:$M$787,12,FALSE)</f>
        <v>Payment of meals during the gender WEE Subcommittee Meeting on February 5, 2021</v>
      </c>
      <c r="H362" s="562" t="e">
        <f>SUMIFS('[1]MAIN-101'!$Z$1:$Z$3000,'[1]MAIN-101'!$X$1:$X$3000,A362)</f>
        <v>#VALUE!</v>
      </c>
      <c r="I362" s="562" t="s">
        <v>2687</v>
      </c>
      <c r="J362" t="s">
        <v>2683</v>
      </c>
      <c r="K362" t="s">
        <v>2678</v>
      </c>
      <c r="L362" s="562" t="str">
        <f>VLOOKUP(A362,'Format for Import of DV'!$A$3:$S$1556,3,FALSE)</f>
        <v>206</v>
      </c>
      <c r="M362" s="562" t="e">
        <f>SUMIFS('Recon of ORS and DV'!D:D,'Recon of ORS and DV'!B:B,'DV List for import'!A362)</f>
        <v>#VALUE!</v>
      </c>
      <c r="N362" s="276" t="e">
        <f t="shared" si="20"/>
        <v>#VALUE!</v>
      </c>
    </row>
    <row r="363" spans="1:15">
      <c r="A363" t="s">
        <v>2230</v>
      </c>
      <c r="B363" t="str">
        <f t="shared" si="21"/>
        <v>Fund 01-2021-03-0352</v>
      </c>
      <c r="C363" s="562" t="e">
        <f>VLOOKUP(L363,'Import Process ORS'!$D$4:$E$1557,2,FALSE)</f>
        <v>#N/A</v>
      </c>
      <c r="D363" s="562">
        <f>SUMIFS('Import Process ORS'!L:L,'Import Process ORS'!E:E,'DV List for import'!C363)</f>
        <v>0</v>
      </c>
      <c r="E363" t="s">
        <v>2676</v>
      </c>
      <c r="F363" t="str">
        <f>VLOOKUP(A363,'[1]MAIN-101'!$B$13:$M$787,4,FALSE)</f>
        <v>Tammy Emporium</v>
      </c>
      <c r="G363" t="str">
        <f>VLOOKUP(A363,'[1]MAIN-101'!$B$13:$M$787,12,FALSE)</f>
        <v>Payment for  the office supplies of IDD office use- 1st quarter 2021</v>
      </c>
      <c r="H363" s="562" t="e">
        <f>SUMIFS('[1]MAIN-101'!$Z$1:$Z$3000,'[1]MAIN-101'!$X$1:$X$3000,A363)</f>
        <v>#VALUE!</v>
      </c>
      <c r="I363" s="562" t="s">
        <v>2687</v>
      </c>
      <c r="J363" t="s">
        <v>2683</v>
      </c>
      <c r="K363" t="s">
        <v>2678</v>
      </c>
      <c r="L363" s="562" t="str">
        <f>VLOOKUP(A363,'Format for Import of DV'!$A$3:$S$1556,3,FALSE)</f>
        <v>207</v>
      </c>
      <c r="M363" s="562" t="e">
        <f>SUMIFS('Recon of ORS and DV'!D:D,'Recon of ORS and DV'!B:B,'DV List for import'!A363)</f>
        <v>#VALUE!</v>
      </c>
      <c r="N363" s="276" t="e">
        <f t="shared" si="20"/>
        <v>#VALUE!</v>
      </c>
    </row>
    <row r="364" spans="1:15">
      <c r="A364" t="s">
        <v>2231</v>
      </c>
      <c r="B364" t="str">
        <f t="shared" si="21"/>
        <v>Fund 01-2021-03-0353</v>
      </c>
      <c r="C364" s="562" t="e">
        <f>VLOOKUP(L364,'Import Process ORS'!$D$4:$E$1557,2,FALSE)</f>
        <v>#N/A</v>
      </c>
      <c r="D364" s="562">
        <f>SUMIFS('Import Process ORS'!L:L,'Import Process ORS'!E:E,'DV List for import'!C364)</f>
        <v>0</v>
      </c>
      <c r="E364" t="s">
        <v>2676</v>
      </c>
      <c r="F364" t="str">
        <f>VLOOKUP(A364,'[1]MAIN-101'!$B$13:$M$787,4,FALSE)</f>
        <v>Need Ink Sales &amp; Services</v>
      </c>
      <c r="G364" t="str">
        <f>VLOOKUP(A364,'[1]MAIN-101'!$B$13:$M$787,12,FALSE)</f>
        <v>Payment for toner cartridge for FAD 1st quarter 2021 office supplies.</v>
      </c>
      <c r="H364" s="562" t="e">
        <f>SUMIFS('[1]MAIN-101'!$Z$1:$Z$3000,'[1]MAIN-101'!$X$1:$X$3000,A364)</f>
        <v>#VALUE!</v>
      </c>
      <c r="I364" s="562" t="s">
        <v>2687</v>
      </c>
      <c r="J364" t="s">
        <v>2683</v>
      </c>
      <c r="K364" t="s">
        <v>2678</v>
      </c>
      <c r="L364" s="562" t="str">
        <f>VLOOKUP(A364,'Format for Import of DV'!$A$3:$S$1556,3,FALSE)</f>
        <v>208</v>
      </c>
      <c r="M364" s="562" t="e">
        <f>SUMIFS('Recon of ORS and DV'!D:D,'Recon of ORS and DV'!B:B,'DV List for import'!A364)</f>
        <v>#VALUE!</v>
      </c>
      <c r="N364" s="276" t="e">
        <f t="shared" si="20"/>
        <v>#VALUE!</v>
      </c>
    </row>
    <row r="365" spans="1:15">
      <c r="A365" t="s">
        <v>2561</v>
      </c>
      <c r="B365" t="str">
        <f t="shared" si="21"/>
        <v>Fund 01-2021-03-0354</v>
      </c>
      <c r="C365" s="564" t="str">
        <f>L365</f>
        <v>0000-00-0000</v>
      </c>
      <c r="D365" s="562">
        <f>SUMIFS('Import Process ORS'!L:L,'Import Process ORS'!E:E,'DV List for import'!C365)</f>
        <v>0</v>
      </c>
      <c r="E365" t="s">
        <v>2676</v>
      </c>
      <c r="F365" t="str">
        <f>VLOOKUP(A365,'[1]MAIN-101'!$B$13:$M$787,4,FALSE)</f>
        <v>DREAMCO MPC</v>
      </c>
      <c r="G365" t="str">
        <f>VLOOKUP(A365,'[1]MAIN-101'!$B$13:$M$787,12,FALSE)</f>
        <v>Remittance of coop deductions for the month of March 2021</v>
      </c>
      <c r="H365" s="562" t="e">
        <f>SUMIFS('[1]MAIN-101'!$Z$1:$Z$3000,'[1]MAIN-101'!$X$1:$X$3000,A365)</f>
        <v>#VALUE!</v>
      </c>
      <c r="I365" s="562" t="s">
        <v>2662</v>
      </c>
      <c r="J365" t="s">
        <v>2053</v>
      </c>
      <c r="K365" t="s">
        <v>2680</v>
      </c>
      <c r="L365" s="564" t="s">
        <v>2666</v>
      </c>
      <c r="M365" s="562">
        <f>SUMIFS('Recon of ORS and DV'!D:D,'Recon of ORS and DV'!B:B,'DV List for import'!A365)</f>
        <v>0</v>
      </c>
      <c r="N365" s="276" t="e">
        <f t="shared" si="20"/>
        <v>#VALUE!</v>
      </c>
      <c r="O365" t="s">
        <v>2662</v>
      </c>
    </row>
    <row r="366" spans="1:15">
      <c r="A366" t="s">
        <v>2232</v>
      </c>
      <c r="B366" t="str">
        <f t="shared" si="21"/>
        <v>Fund 01-2021-03-0355</v>
      </c>
      <c r="C366" s="562" t="e">
        <f>VLOOKUP(L366,'Import Process ORS'!$D$4:$E$1557,2,FALSE)</f>
        <v>#N/A</v>
      </c>
      <c r="D366" s="562">
        <f>SUMIFS('Import Process ORS'!L:L,'Import Process ORS'!E:E,'DV List for import'!C366)</f>
        <v>0</v>
      </c>
      <c r="E366" t="s">
        <v>2676</v>
      </c>
      <c r="F366" t="str">
        <f>VLOOKUP(A366,'[1]MAIN-101'!$B$13:$M$787,4,FALSE)</f>
        <v>Butuan Glass Supply, Inc.</v>
      </c>
      <c r="G366" t="str">
        <f>VLOOKUP(A366,'[1]MAIN-101'!$B$13:$M$787,12,FALSE)</f>
        <v>Payment for frosted sticker for IDD Office</v>
      </c>
      <c r="H366" s="562" t="e">
        <f>SUMIFS('[1]MAIN-101'!$Z$1:$Z$3000,'[1]MAIN-101'!$X$1:$X$3000,A366)</f>
        <v>#VALUE!</v>
      </c>
      <c r="I366" s="562" t="s">
        <v>2687</v>
      </c>
      <c r="J366" t="s">
        <v>2683</v>
      </c>
      <c r="K366" t="s">
        <v>2678</v>
      </c>
      <c r="L366" s="562" t="str">
        <f>VLOOKUP(A366,'Format for Import of DV'!$A$3:$S$1556,3,FALSE)</f>
        <v>209</v>
      </c>
      <c r="M366" s="562" t="e">
        <f>SUMIFS('Recon of ORS and DV'!D:D,'Recon of ORS and DV'!B:B,'DV List for import'!A366)</f>
        <v>#VALUE!</v>
      </c>
      <c r="N366" s="276" t="e">
        <f t="shared" si="20"/>
        <v>#VALUE!</v>
      </c>
    </row>
    <row r="367" spans="1:15">
      <c r="A367" t="s">
        <v>2562</v>
      </c>
      <c r="B367" t="str">
        <f t="shared" si="21"/>
        <v>Fund 01-2021-03-0356</v>
      </c>
      <c r="C367" s="564" t="str">
        <f>L367</f>
        <v>0000-00-0000</v>
      </c>
      <c r="D367" s="562">
        <f>SUMIFS('Import Process ORS'!L:L,'Import Process ORS'!E:E,'DV List for import'!C367)</f>
        <v>0</v>
      </c>
      <c r="E367" t="s">
        <v>2676</v>
      </c>
      <c r="F367" t="str">
        <f>VLOOKUP(A367,'[1]MAIN-101'!$B$13:$M$787,4,FALSE)</f>
        <v>Joselito B. Paler</v>
      </c>
      <c r="G367" t="str">
        <f>VLOOKUP(A367,'[1]MAIN-101'!$B$13:$M$787,12,FALSE)</f>
        <v>Refund of over deduction of EU dues &amp; GSIS- ECIP for the month of February 2021</v>
      </c>
      <c r="H367" s="562" t="e">
        <f>SUMIFS('[1]MAIN-101'!$Z$1:$Z$3000,'[1]MAIN-101'!$X$1:$X$3000,A367)</f>
        <v>#VALUE!</v>
      </c>
      <c r="I367" s="562" t="s">
        <v>2662</v>
      </c>
      <c r="J367" t="s">
        <v>2053</v>
      </c>
      <c r="K367" t="s">
        <v>2680</v>
      </c>
      <c r="L367" s="564" t="s">
        <v>2666</v>
      </c>
      <c r="M367" s="562">
        <f>SUMIFS('Recon of ORS and DV'!D:D,'Recon of ORS and DV'!B:B,'DV List for import'!A367)</f>
        <v>0</v>
      </c>
      <c r="N367" s="276" t="e">
        <f t="shared" si="20"/>
        <v>#VALUE!</v>
      </c>
      <c r="O367" t="s">
        <v>2663</v>
      </c>
    </row>
    <row r="368" spans="1:15">
      <c r="A368" t="s">
        <v>2235</v>
      </c>
      <c r="B368" t="str">
        <f t="shared" si="21"/>
        <v>Fund 01-2021-03-0357</v>
      </c>
      <c r="C368" s="562" t="e">
        <f>VLOOKUP(L368,'Import Process ORS'!$D$4:$E$1557,2,FALSE)</f>
        <v>#N/A</v>
      </c>
      <c r="D368" s="562">
        <f>SUMIFS('Import Process ORS'!L:L,'Import Process ORS'!E:E,'DV List for import'!C368)</f>
        <v>0</v>
      </c>
      <c r="E368" t="s">
        <v>2676</v>
      </c>
      <c r="F368" t="str">
        <f>VLOOKUP(A368,'[1]MAIN-101'!$B$13:$M$787,4,FALSE)</f>
        <v>New Aristocrat Enterprises,Inc.</v>
      </c>
      <c r="G368" t="str">
        <f>VLOOKUP(A368,'[1]MAIN-101'!$B$13:$M$787,12,FALSE)</f>
        <v>Payment for flush locks and reinstallation of glass board for DTI Caraga Office use.</v>
      </c>
      <c r="H368" s="562" t="e">
        <f>SUMIFS('[1]MAIN-101'!$Z$1:$Z$3000,'[1]MAIN-101'!$X$1:$X$3000,A368)</f>
        <v>#VALUE!</v>
      </c>
      <c r="I368" s="562" t="s">
        <v>2687</v>
      </c>
      <c r="J368" t="s">
        <v>2683</v>
      </c>
      <c r="K368" t="s">
        <v>2678</v>
      </c>
      <c r="L368" s="562" t="str">
        <f>VLOOKUP(A368,'Format for Import of DV'!$A$3:$S$1556,3,FALSE)</f>
        <v>212</v>
      </c>
      <c r="M368" s="562" t="e">
        <f>SUMIFS('Recon of ORS and DV'!D:D,'Recon of ORS and DV'!B:B,'DV List for import'!A368)</f>
        <v>#VALUE!</v>
      </c>
      <c r="N368" s="276" t="e">
        <f t="shared" si="20"/>
        <v>#VALUE!</v>
      </c>
    </row>
    <row r="369" spans="1:14">
      <c r="A369" t="s">
        <v>2237</v>
      </c>
      <c r="B369" t="str">
        <f t="shared" si="21"/>
        <v>Fund 01-2021-03-0358</v>
      </c>
      <c r="C369" s="562" t="e">
        <f>VLOOKUP(L369,'Import Process ORS'!$D$4:$E$1557,2,FALSE)</f>
        <v>#N/A</v>
      </c>
      <c r="D369" s="562">
        <f>SUMIFS('Import Process ORS'!L:L,'Import Process ORS'!E:E,'DV List for import'!C369)</f>
        <v>0</v>
      </c>
      <c r="E369" t="s">
        <v>2676</v>
      </c>
      <c r="F369" t="str">
        <f>VLOOKUP(A369,'[1]MAIN-101'!$B$13:$M$787,4,FALSE)</f>
        <v>JWL Sourcing Group, Inc</v>
      </c>
      <c r="G369" t="str">
        <f>VLOOKUP(A369,'[1]MAIN-101'!$B$13:$M$787,12,FALSE)</f>
        <v>Payment for fuel consumption for Jan 1-31, 2021</v>
      </c>
      <c r="H369" s="562" t="e">
        <f>SUMIFS('[1]MAIN-101'!$Z$1:$Z$3000,'[1]MAIN-101'!$X$1:$X$3000,A369)</f>
        <v>#VALUE!</v>
      </c>
      <c r="I369" s="562" t="s">
        <v>2687</v>
      </c>
      <c r="J369" t="s">
        <v>2683</v>
      </c>
      <c r="K369" t="s">
        <v>2678</v>
      </c>
      <c r="L369" s="562" t="str">
        <f>VLOOKUP(A369,'Format for Import of DV'!$A$3:$S$1556,3,FALSE)</f>
        <v>214</v>
      </c>
      <c r="M369" s="562" t="e">
        <f>SUMIFS('Recon of ORS and DV'!D:D,'Recon of ORS and DV'!B:B,'DV List for import'!A369)</f>
        <v>#VALUE!</v>
      </c>
      <c r="N369" s="276" t="e">
        <f t="shared" si="20"/>
        <v>#VALUE!</v>
      </c>
    </row>
    <row r="370" spans="1:14">
      <c r="A370" t="s">
        <v>2238</v>
      </c>
      <c r="B370" t="str">
        <f t="shared" si="21"/>
        <v>Fund 01-2021-03-0359</v>
      </c>
      <c r="C370" s="562" t="e">
        <f>VLOOKUP(L370,'Import Process ORS'!$D$4:$E$1557,2,FALSE)</f>
        <v>#N/A</v>
      </c>
      <c r="D370" s="562">
        <f>SUMIFS('Import Process ORS'!L:L,'Import Process ORS'!E:E,'DV List for import'!C370)</f>
        <v>0</v>
      </c>
      <c r="E370" t="s">
        <v>2676</v>
      </c>
      <c r="F370" t="str">
        <f>VLOOKUP(A370,'[1]MAIN-101'!$B$13:$M$787,4,FALSE)</f>
        <v>A&amp;C Yelo Submarine Corp.</v>
      </c>
      <c r="G370" t="str">
        <f>VLOOKUP(A370,'[1]MAIN-101'!$B$13:$M$787,12,FALSE)</f>
        <v>Payment for drinking water for Feb 2021</v>
      </c>
      <c r="H370" s="562" t="e">
        <f>SUMIFS('[1]MAIN-101'!$Z$1:$Z$3000,'[1]MAIN-101'!$X$1:$X$3000,A370)</f>
        <v>#VALUE!</v>
      </c>
      <c r="I370" s="562" t="s">
        <v>2687</v>
      </c>
      <c r="J370" t="s">
        <v>2683</v>
      </c>
      <c r="K370" t="s">
        <v>2678</v>
      </c>
      <c r="L370" s="562" t="str">
        <f>VLOOKUP(A370,'Format for Import of DV'!$A$3:$S$1556,3,FALSE)</f>
        <v>215</v>
      </c>
      <c r="M370" s="562" t="e">
        <f>SUMIFS('Recon of ORS and DV'!D:D,'Recon of ORS and DV'!B:B,'DV List for import'!A370)</f>
        <v>#VALUE!</v>
      </c>
      <c r="N370" s="276" t="e">
        <f t="shared" si="20"/>
        <v>#VALUE!</v>
      </c>
    </row>
    <row r="371" spans="1:14">
      <c r="A371" t="s">
        <v>2239</v>
      </c>
      <c r="B371" t="str">
        <f t="shared" si="21"/>
        <v>Fund 01-2021-03-0360</v>
      </c>
      <c r="C371" s="562" t="e">
        <f>VLOOKUP(L371,'Import Process ORS'!$D$4:$E$1557,2,FALSE)</f>
        <v>#N/A</v>
      </c>
      <c r="D371" s="562">
        <f>SUMIFS('Import Process ORS'!L:L,'Import Process ORS'!E:E,'DV List for import'!C371)</f>
        <v>0</v>
      </c>
      <c r="E371" t="s">
        <v>2676</v>
      </c>
      <c r="F371" t="str">
        <f>VLOOKUP(A371,'[1]MAIN-101'!$B$13:$M$787,4,FALSE)</f>
        <v>JRS Business Corporation</v>
      </c>
      <c r="G371" t="str">
        <f>VLOOKUP(A371,'[1]MAIN-101'!$B$13:$M$787,12,FALSE)</f>
        <v>Payment for courier services for the month of January 2021</v>
      </c>
      <c r="H371" s="562" t="e">
        <f>SUMIFS('[1]MAIN-101'!$Z$1:$Z$3000,'[1]MAIN-101'!$X$1:$X$3000,A371)</f>
        <v>#VALUE!</v>
      </c>
      <c r="I371" s="562" t="s">
        <v>2687</v>
      </c>
      <c r="J371" t="s">
        <v>2683</v>
      </c>
      <c r="K371" t="s">
        <v>2678</v>
      </c>
      <c r="L371" s="562" t="str">
        <f>VLOOKUP(A371,'Format for Import of DV'!$A$3:$S$1556,3,FALSE)</f>
        <v>216</v>
      </c>
      <c r="M371" s="562" t="e">
        <f>SUMIFS('Recon of ORS and DV'!D:D,'Recon of ORS and DV'!B:B,'DV List for import'!A371)</f>
        <v>#VALUE!</v>
      </c>
      <c r="N371" s="276" t="e">
        <f t="shared" si="20"/>
        <v>#VALUE!</v>
      </c>
    </row>
    <row r="372" spans="1:14">
      <c r="A372" t="s">
        <v>2240</v>
      </c>
      <c r="B372" t="str">
        <f t="shared" si="21"/>
        <v>Fund 01-2021-03-0361</v>
      </c>
      <c r="C372" s="562" t="e">
        <f>VLOOKUP(L372,'Import Process ORS'!$D$4:$E$1557,2,FALSE)</f>
        <v>#N/A</v>
      </c>
      <c r="D372" s="562">
        <f>SUMIFS('Import Process ORS'!L:L,'Import Process ORS'!E:E,'DV List for import'!C372)</f>
        <v>0</v>
      </c>
      <c r="E372" t="s">
        <v>2676</v>
      </c>
      <c r="F372" t="str">
        <f>VLOOKUP(A372,'[1]MAIN-101'!$B$13:$M$787,4,FALSE)</f>
        <v>Busa Interbiz Center</v>
      </c>
      <c r="G372" t="str">
        <f>VLOOKUP(A372,'[1]MAIN-101'!$B$13:$M$787,12,FALSE)</f>
        <v>Payment for subscription expense- newspaper for the period February 2021</v>
      </c>
      <c r="H372" s="562" t="e">
        <f>SUMIFS('[1]MAIN-101'!$Z$1:$Z$3000,'[1]MAIN-101'!$X$1:$X$3000,A372)</f>
        <v>#VALUE!</v>
      </c>
      <c r="I372" s="562" t="s">
        <v>2687</v>
      </c>
      <c r="J372" t="s">
        <v>2683</v>
      </c>
      <c r="K372" t="s">
        <v>2678</v>
      </c>
      <c r="L372" s="562" t="str">
        <f>VLOOKUP(A372,'Format for Import of DV'!$A$3:$S$1556,3,FALSE)</f>
        <v>217</v>
      </c>
      <c r="M372" s="562" t="e">
        <f>SUMIFS('Recon of ORS and DV'!D:D,'Recon of ORS and DV'!B:B,'DV List for import'!A372)</f>
        <v>#VALUE!</v>
      </c>
      <c r="N372" s="276" t="e">
        <f t="shared" si="20"/>
        <v>#VALUE!</v>
      </c>
    </row>
    <row r="373" spans="1:14">
      <c r="A373" t="s">
        <v>2241</v>
      </c>
      <c r="B373" t="str">
        <f t="shared" si="21"/>
        <v>Fund 01-2021-03-0362</v>
      </c>
      <c r="C373" s="562" t="e">
        <f>VLOOKUP(L373,'Import Process ORS'!$D$4:$E$1557,2,FALSE)</f>
        <v>#N/A</v>
      </c>
      <c r="D373" s="562">
        <f>SUMIFS('Import Process ORS'!L:L,'Import Process ORS'!E:E,'DV List for import'!C373)</f>
        <v>0</v>
      </c>
      <c r="E373" t="s">
        <v>2676</v>
      </c>
      <c r="F373" t="str">
        <f>VLOOKUP(A373,'[1]MAIN-101'!$B$13:$M$787,4,FALSE)</f>
        <v>D.O Plaza Holdings Corp.</v>
      </c>
      <c r="G373" t="str">
        <f>VLOOKUP(A373,'[1]MAIN-101'!$B$13:$M$787,12,FALSE)</f>
        <v>Payment for office rental for the month of March 2021.</v>
      </c>
      <c r="H373" s="562" t="e">
        <f>SUMIFS('[1]MAIN-101'!$Z$1:$Z$3000,'[1]MAIN-101'!$X$1:$X$3000,A373)</f>
        <v>#VALUE!</v>
      </c>
      <c r="I373" s="562" t="s">
        <v>2687</v>
      </c>
      <c r="J373" t="s">
        <v>2683</v>
      </c>
      <c r="K373" t="s">
        <v>2678</v>
      </c>
      <c r="L373" s="562" t="str">
        <f>VLOOKUP(A373,'Format for Import of DV'!$A$3:$S$1556,3,FALSE)</f>
        <v>218</v>
      </c>
      <c r="M373" s="562" t="e">
        <f>SUMIFS('Recon of ORS and DV'!D:D,'Recon of ORS and DV'!B:B,'DV List for import'!A373)</f>
        <v>#VALUE!</v>
      </c>
      <c r="N373" s="276" t="e">
        <f t="shared" si="20"/>
        <v>#VALUE!</v>
      </c>
    </row>
    <row r="374" spans="1:14">
      <c r="A374" t="s">
        <v>2255</v>
      </c>
      <c r="B374" t="str">
        <f t="shared" si="21"/>
        <v>Fund 01-2021-03-0363</v>
      </c>
      <c r="C374" s="562" t="e">
        <f>VLOOKUP(L374,'Import Process ORS'!$D$4:$E$1557,2,FALSE)</f>
        <v>#N/A</v>
      </c>
      <c r="D374" s="562">
        <f>SUMIFS('Import Process ORS'!L:L,'Import Process ORS'!E:E,'DV List for import'!C374)</f>
        <v>0</v>
      </c>
      <c r="E374" t="s">
        <v>2676</v>
      </c>
      <c r="F374" t="str">
        <f>VLOOKUP(A374,'[1]MAIN-101'!$B$13:$M$787,4,FALSE)</f>
        <v>LBP, F/O DTI-RO</v>
      </c>
      <c r="G374" t="str">
        <f>VLOOKUP(A374,'[1]MAIN-101'!$B$13:$M$787,12,FALSE)</f>
        <v>Payment for salaries and allowances for regular employees for the month of March 2021</v>
      </c>
      <c r="H374" s="562" t="e">
        <f>SUMIFS('[1]MAIN-101'!$Z$1:$Z$3000,'[1]MAIN-101'!$X$1:$X$3000,A374)</f>
        <v>#VALUE!</v>
      </c>
      <c r="I374" s="562" t="s">
        <v>2687</v>
      </c>
      <c r="J374" t="s">
        <v>2683</v>
      </c>
      <c r="K374" t="s">
        <v>2678</v>
      </c>
      <c r="L374" s="562" t="str">
        <f>VLOOKUP(A374,'Format for Import of DV'!$A$3:$S$1556,3,FALSE)</f>
        <v>233</v>
      </c>
      <c r="M374" s="562" t="e">
        <f>SUMIFS('Recon of ORS and DV'!D:D,'Recon of ORS and DV'!B:B,'DV List for import'!A374)</f>
        <v>#VALUE!</v>
      </c>
      <c r="N374" s="276" t="e">
        <f t="shared" si="20"/>
        <v>#VALUE!</v>
      </c>
    </row>
    <row r="375" spans="1:14">
      <c r="A375" t="s">
        <v>2243</v>
      </c>
      <c r="B375" t="str">
        <f t="shared" si="21"/>
        <v>Fund 01-2021-03-0364</v>
      </c>
      <c r="C375" s="562" t="e">
        <f>VLOOKUP(L375,'Import Process ORS'!$D$4:$E$1557,2,FALSE)</f>
        <v>#N/A</v>
      </c>
      <c r="D375" s="562">
        <f>SUMIFS('Import Process ORS'!L:L,'Import Process ORS'!E:E,'DV List for import'!C375)</f>
        <v>0</v>
      </c>
      <c r="E375" t="s">
        <v>2676</v>
      </c>
      <c r="F375" t="str">
        <f>VLOOKUP(A375,'[1]MAIN-101'!$B$13:$M$787,4,FALSE)</f>
        <v>LBP, F/O DTI-ADS</v>
      </c>
      <c r="G375" t="str">
        <f>VLOOKUP(A375,'[1]MAIN-101'!$B$13:$M$787,12,FALSE)</f>
        <v>Payment for salaries and allowances for regular employees for the month of March 2021</v>
      </c>
      <c r="H375" s="562" t="e">
        <f>SUMIFS('[1]MAIN-101'!$Z$1:$Z$3000,'[1]MAIN-101'!$X$1:$X$3000,A375)</f>
        <v>#VALUE!</v>
      </c>
      <c r="I375" s="562" t="s">
        <v>2687</v>
      </c>
      <c r="J375" t="s">
        <v>2683</v>
      </c>
      <c r="K375" t="s">
        <v>2678</v>
      </c>
      <c r="L375" s="562" t="str">
        <f>VLOOKUP(A375,'Format for Import of DV'!$A$3:$S$1556,3,FALSE)</f>
        <v>220</v>
      </c>
      <c r="M375" s="562" t="e">
        <f>SUMIFS('Recon of ORS and DV'!D:D,'Recon of ORS and DV'!B:B,'DV List for import'!A375)</f>
        <v>#VALUE!</v>
      </c>
      <c r="N375" s="276" t="e">
        <f t="shared" si="20"/>
        <v>#VALUE!</v>
      </c>
    </row>
    <row r="376" spans="1:14">
      <c r="A376" t="s">
        <v>2244</v>
      </c>
      <c r="B376" t="str">
        <f t="shared" si="21"/>
        <v>Fund 01-2021-03-0365</v>
      </c>
      <c r="C376" s="562" t="e">
        <f>VLOOKUP(L376,'Import Process ORS'!$D$4:$E$1557,2,FALSE)</f>
        <v>#N/A</v>
      </c>
      <c r="D376" s="562">
        <f>SUMIFS('Import Process ORS'!L:L,'Import Process ORS'!E:E,'DV List for import'!C376)</f>
        <v>0</v>
      </c>
      <c r="E376" t="s">
        <v>2676</v>
      </c>
      <c r="F376" t="str">
        <f>VLOOKUP(A376,'[1]MAIN-101'!$B$13:$M$787,4,FALSE)</f>
        <v>LBP, F/O DTI-SDS</v>
      </c>
      <c r="G376" t="str">
        <f>VLOOKUP(A376,'[1]MAIN-101'!$B$13:$M$787,12,FALSE)</f>
        <v>Payment for salaries and allowances for regular employees for the month of March 2021</v>
      </c>
      <c r="H376" s="562" t="e">
        <f>SUMIFS('[1]MAIN-101'!$Z$1:$Z$3000,'[1]MAIN-101'!$X$1:$X$3000,A376)</f>
        <v>#VALUE!</v>
      </c>
      <c r="I376" s="562" t="s">
        <v>2687</v>
      </c>
      <c r="J376" t="s">
        <v>2683</v>
      </c>
      <c r="K376" t="s">
        <v>2678</v>
      </c>
      <c r="L376" s="562" t="str">
        <f>VLOOKUP(A376,'Format for Import of DV'!$A$3:$S$1556,3,FALSE)</f>
        <v>221</v>
      </c>
      <c r="M376" s="562" t="e">
        <f>SUMIFS('Recon of ORS and DV'!D:D,'Recon of ORS and DV'!B:B,'DV List for import'!A376)</f>
        <v>#VALUE!</v>
      </c>
      <c r="N376" s="276" t="e">
        <f t="shared" si="20"/>
        <v>#VALUE!</v>
      </c>
    </row>
    <row r="377" spans="1:14">
      <c r="A377" t="s">
        <v>2245</v>
      </c>
      <c r="B377" t="str">
        <f t="shared" si="21"/>
        <v>Fund 01-2021-03-0366</v>
      </c>
      <c r="C377" s="562" t="e">
        <f>VLOOKUP(L377,'Import Process ORS'!$D$4:$E$1557,2,FALSE)</f>
        <v>#N/A</v>
      </c>
      <c r="D377" s="562">
        <f>SUMIFS('Import Process ORS'!L:L,'Import Process ORS'!E:E,'DV List for import'!C377)</f>
        <v>0</v>
      </c>
      <c r="E377" t="s">
        <v>2676</v>
      </c>
      <c r="F377" t="str">
        <f>VLOOKUP(A377,'[1]MAIN-101'!$B$13:$M$787,4,FALSE)</f>
        <v>LBP, F/O DTI-PDI</v>
      </c>
      <c r="G377" t="str">
        <f>VLOOKUP(A377,'[1]MAIN-101'!$B$13:$M$787,12,FALSE)</f>
        <v>Payment for salaries and allowances for regular employees for the month of March 2021</v>
      </c>
      <c r="H377" s="562" t="e">
        <f>SUMIFS('[1]MAIN-101'!$Z$1:$Z$3000,'[1]MAIN-101'!$X$1:$X$3000,A377)</f>
        <v>#VALUE!</v>
      </c>
      <c r="I377" s="562" t="s">
        <v>2687</v>
      </c>
      <c r="J377" t="s">
        <v>2683</v>
      </c>
      <c r="K377" t="s">
        <v>2678</v>
      </c>
      <c r="L377" s="562" t="str">
        <f>VLOOKUP(A377,'Format for Import of DV'!$A$3:$S$1556,3,FALSE)</f>
        <v>222</v>
      </c>
      <c r="M377" s="562" t="e">
        <f>SUMIFS('Recon of ORS and DV'!D:D,'Recon of ORS and DV'!B:B,'DV List for import'!A377)</f>
        <v>#VALUE!</v>
      </c>
      <c r="N377" s="276" t="e">
        <f t="shared" si="20"/>
        <v>#VALUE!</v>
      </c>
    </row>
    <row r="378" spans="1:14">
      <c r="A378" t="s">
        <v>2246</v>
      </c>
      <c r="B378" t="str">
        <f t="shared" si="21"/>
        <v>Fund 01-2021-03-0367</v>
      </c>
      <c r="C378" s="562" t="e">
        <f>VLOOKUP(L378,'Import Process ORS'!$D$4:$E$1557,2,FALSE)</f>
        <v>#N/A</v>
      </c>
      <c r="D378" s="562">
        <f>SUMIFS('Import Process ORS'!L:L,'Import Process ORS'!E:E,'DV List for import'!C378)</f>
        <v>0</v>
      </c>
      <c r="E378" t="s">
        <v>2676</v>
      </c>
      <c r="F378" t="str">
        <f>VLOOKUP(A378,'[1]MAIN-101'!$B$13:$M$787,4,FALSE)</f>
        <v>Jumar H. Llorente</v>
      </c>
      <c r="G378" t="str">
        <f>VLOOKUP(A378,'[1]MAIN-101'!$B$13:$M$787,12,FALSE)</f>
        <v>Payment for salaries and allowances for CARP employees for the month of March 2021</v>
      </c>
      <c r="H378" s="562" t="e">
        <f>SUMIFS('[1]MAIN-101'!$Z$1:$Z$3000,'[1]MAIN-101'!$X$1:$X$3000,A378)</f>
        <v>#VALUE!</v>
      </c>
      <c r="I378" s="562" t="s">
        <v>2687</v>
      </c>
      <c r="J378" t="s">
        <v>2683</v>
      </c>
      <c r="K378" t="s">
        <v>2678</v>
      </c>
      <c r="L378" s="562" t="str">
        <f>VLOOKUP(A378,'Format for Import of DV'!$A$3:$S$1556,3,FALSE)</f>
        <v>223</v>
      </c>
      <c r="M378" s="562" t="e">
        <f>SUMIFS('Recon of ORS and DV'!D:D,'Recon of ORS and DV'!B:B,'DV List for import'!A378)</f>
        <v>#VALUE!</v>
      </c>
      <c r="N378" s="276" t="e">
        <f t="shared" si="20"/>
        <v>#VALUE!</v>
      </c>
    </row>
    <row r="379" spans="1:14">
      <c r="A379" t="s">
        <v>2247</v>
      </c>
      <c r="B379" t="str">
        <f t="shared" si="21"/>
        <v>Fund 01-2021-03-0368</v>
      </c>
      <c r="C379" s="562" t="e">
        <f>VLOOKUP(L379,'Import Process ORS'!$D$4:$E$1557,2,FALSE)</f>
        <v>#N/A</v>
      </c>
      <c r="D379" s="562">
        <f>SUMIFS('Import Process ORS'!L:L,'Import Process ORS'!E:E,'DV List for import'!C379)</f>
        <v>0</v>
      </c>
      <c r="E379" t="s">
        <v>2676</v>
      </c>
      <c r="F379" t="str">
        <f>VLOOKUP(A379,'[1]MAIN-101'!$B$13:$M$787,4,FALSE)</f>
        <v>Joselito B. Paler</v>
      </c>
      <c r="G379" t="str">
        <f>VLOOKUP(A379,'[1]MAIN-101'!$B$13:$M$787,12,FALSE)</f>
        <v>Payment for salaries and allowances for CARP employees for the month of March 2021</v>
      </c>
      <c r="H379" s="562" t="e">
        <f>SUMIFS('[1]MAIN-101'!$Z$1:$Z$3000,'[1]MAIN-101'!$X$1:$X$3000,A379)</f>
        <v>#VALUE!</v>
      </c>
      <c r="I379" s="562" t="s">
        <v>2687</v>
      </c>
      <c r="J379" t="s">
        <v>2683</v>
      </c>
      <c r="K379" t="s">
        <v>2678</v>
      </c>
      <c r="L379" s="562" t="str">
        <f>VLOOKUP(A379,'Format for Import of DV'!$A$3:$S$1556,3,FALSE)</f>
        <v>224</v>
      </c>
      <c r="M379" s="562" t="e">
        <f>SUMIFS('Recon of ORS and DV'!D:D,'Recon of ORS and DV'!B:B,'DV List for import'!A379)</f>
        <v>#VALUE!</v>
      </c>
      <c r="N379" s="276" t="e">
        <f t="shared" si="20"/>
        <v>#VALUE!</v>
      </c>
    </row>
    <row r="380" spans="1:14">
      <c r="A380" t="s">
        <v>2277</v>
      </c>
      <c r="B380" t="str">
        <f t="shared" si="21"/>
        <v>Fund 01-2021-03-0369</v>
      </c>
      <c r="C380" s="562" t="e">
        <f>VLOOKUP(L380,'Import Process ORS'!$D$4:$E$1557,2,FALSE)</f>
        <v>#N/A</v>
      </c>
      <c r="D380" s="562">
        <f>SUMIFS('Import Process ORS'!L:L,'Import Process ORS'!E:E,'DV List for import'!C380)</f>
        <v>0</v>
      </c>
      <c r="E380" t="s">
        <v>2676</v>
      </c>
      <c r="F380" t="str">
        <f>VLOOKUP(A380,'[1]MAIN-101'!$B$13:$M$787,4,FALSE)</f>
        <v>LBP, FO DTI-SDS</v>
      </c>
      <c r="G380" t="str">
        <f>VLOOKUP(A380,'[1]MAIN-101'!$B$13:$M$787,12,FALSE)</f>
        <v>Payment for salaries and allowances for CARP employees for the month of March 2021</v>
      </c>
      <c r="H380" s="562" t="e">
        <f>SUMIFS('[1]MAIN-101'!$Z$1:$Z$3000,'[1]MAIN-101'!$X$1:$X$3000,A380)</f>
        <v>#VALUE!</v>
      </c>
      <c r="I380" s="562" t="s">
        <v>2687</v>
      </c>
      <c r="J380" t="s">
        <v>2683</v>
      </c>
      <c r="K380" t="s">
        <v>2678</v>
      </c>
      <c r="L380" s="562" t="str">
        <f>VLOOKUP(A380,'Format for Import of DV'!$A$3:$S$1556,3,FALSE)</f>
        <v>225</v>
      </c>
      <c r="M380" s="562" t="e">
        <f>SUMIFS('Recon of ORS and DV'!D:D,'Recon of ORS and DV'!B:B,'DV List for import'!A380)</f>
        <v>#VALUE!</v>
      </c>
      <c r="N380" s="276" t="e">
        <f t="shared" si="20"/>
        <v>#VALUE!</v>
      </c>
    </row>
    <row r="381" spans="1:14">
      <c r="A381" t="s">
        <v>2248</v>
      </c>
      <c r="B381" t="str">
        <f t="shared" si="21"/>
        <v>Fund 01-2021-03-0370</v>
      </c>
      <c r="C381" s="562" t="e">
        <f>VLOOKUP(L381,'Import Process ORS'!$D$4:$E$1557,2,FALSE)</f>
        <v>#N/A</v>
      </c>
      <c r="D381" s="562">
        <f>SUMIFS('Import Process ORS'!L:L,'Import Process ORS'!E:E,'DV List for import'!C381)</f>
        <v>0</v>
      </c>
      <c r="E381" t="s">
        <v>2676</v>
      </c>
      <c r="F381" t="str">
        <f>VLOOKUP(A381,'[1]MAIN-101'!$B$13:$M$787,4,FALSE)</f>
        <v>Lemuel D. Roboca</v>
      </c>
      <c r="G381" t="str">
        <f>VLOOKUP(A381,'[1]MAIN-101'!$B$13:$M$787,12,FALSE)</f>
        <v>Payment for salaries and allowances for CARP employees for the month of March 2021</v>
      </c>
      <c r="H381" s="562" t="e">
        <f>SUMIFS('[1]MAIN-101'!$Z$1:$Z$3000,'[1]MAIN-101'!$X$1:$X$3000,A381)</f>
        <v>#VALUE!</v>
      </c>
      <c r="I381" s="562" t="s">
        <v>2687</v>
      </c>
      <c r="J381" t="s">
        <v>2683</v>
      </c>
      <c r="K381" t="s">
        <v>2678</v>
      </c>
      <c r="L381" s="562" t="str">
        <f>VLOOKUP(A381,'Format for Import of DV'!$A$3:$S$1556,3,FALSE)</f>
        <v>226</v>
      </c>
      <c r="M381" s="562" t="e">
        <f>SUMIFS('Recon of ORS and DV'!D:D,'Recon of ORS and DV'!B:B,'DV List for import'!A381)</f>
        <v>#VALUE!</v>
      </c>
      <c r="N381" s="276" t="e">
        <f t="shared" si="20"/>
        <v>#VALUE!</v>
      </c>
    </row>
    <row r="382" spans="1:14">
      <c r="A382" t="s">
        <v>2249</v>
      </c>
      <c r="B382" t="str">
        <f t="shared" si="21"/>
        <v>Fund 01-2021-03-0371</v>
      </c>
      <c r="C382" s="562" t="e">
        <f>VLOOKUP(L382,'Import Process ORS'!$D$4:$E$1557,2,FALSE)</f>
        <v>#N/A</v>
      </c>
      <c r="D382" s="562">
        <f>SUMIFS('Import Process ORS'!L:L,'Import Process ORS'!E:E,'DV List for import'!C382)</f>
        <v>0</v>
      </c>
      <c r="E382" t="s">
        <v>2676</v>
      </c>
      <c r="F382" t="str">
        <f>VLOOKUP(A382,'[1]MAIN-101'!$B$13:$M$787,4,FALSE)</f>
        <v>Loida C. Gumahin</v>
      </c>
      <c r="G382" t="str">
        <f>VLOOKUP(A382,'[1]MAIN-101'!$B$13:$M$787,12,FALSE)</f>
        <v>Payment for salaries and allowances for NC Staff for the month of March 2021</v>
      </c>
      <c r="H382" s="562" t="e">
        <f>SUMIFS('[1]MAIN-101'!$Z$1:$Z$3000,'[1]MAIN-101'!$X$1:$X$3000,A382)</f>
        <v>#VALUE!</v>
      </c>
      <c r="I382" s="562" t="s">
        <v>2687</v>
      </c>
      <c r="J382" t="s">
        <v>2683</v>
      </c>
      <c r="K382" t="s">
        <v>2678</v>
      </c>
      <c r="L382" s="562" t="str">
        <f>VLOOKUP(A382,'Format for Import of DV'!$A$3:$S$1556,3,FALSE)</f>
        <v>227</v>
      </c>
      <c r="M382" s="562" t="e">
        <f>SUMIFS('Recon of ORS and DV'!D:D,'Recon of ORS and DV'!B:B,'DV List for import'!A382)</f>
        <v>#VALUE!</v>
      </c>
      <c r="N382" s="276" t="e">
        <f t="shared" si="20"/>
        <v>#VALUE!</v>
      </c>
    </row>
    <row r="383" spans="1:14">
      <c r="A383" t="s">
        <v>2250</v>
      </c>
      <c r="B383" t="str">
        <f t="shared" si="21"/>
        <v>Fund 01-2021-03-0372</v>
      </c>
      <c r="C383" s="562" t="e">
        <f>VLOOKUP(L383,'Import Process ORS'!$D$4:$E$1557,2,FALSE)</f>
        <v>#N/A</v>
      </c>
      <c r="D383" s="562">
        <f>SUMIFS('Import Process ORS'!L:L,'Import Process ORS'!E:E,'DV List for import'!C383)</f>
        <v>0</v>
      </c>
      <c r="E383" t="s">
        <v>2676</v>
      </c>
      <c r="F383" t="str">
        <f>VLOOKUP(A383,'[1]MAIN-101'!$B$13:$M$787,4,FALSE)</f>
        <v>Rezel May C. Goloran</v>
      </c>
      <c r="G383" t="str">
        <f>VLOOKUP(A383,'[1]MAIN-101'!$B$13:$M$787,12,FALSE)</f>
        <v>Payment for salaries and allowances for NC Staff for the month of March 2021</v>
      </c>
      <c r="H383" s="562" t="e">
        <f>SUMIFS('[1]MAIN-101'!$Z$1:$Z$3000,'[1]MAIN-101'!$X$1:$X$3000,A383)</f>
        <v>#VALUE!</v>
      </c>
      <c r="I383" s="562" t="s">
        <v>2687</v>
      </c>
      <c r="J383" t="s">
        <v>2683</v>
      </c>
      <c r="K383" t="s">
        <v>2678</v>
      </c>
      <c r="L383" s="562" t="str">
        <f>VLOOKUP(A383,'Format for Import of DV'!$A$3:$S$1556,3,FALSE)</f>
        <v>228</v>
      </c>
      <c r="M383" s="562" t="e">
        <f>SUMIFS('Recon of ORS and DV'!D:D,'Recon of ORS and DV'!B:B,'DV List for import'!A383)</f>
        <v>#VALUE!</v>
      </c>
      <c r="N383" s="276" t="e">
        <f t="shared" si="20"/>
        <v>#VALUE!</v>
      </c>
    </row>
    <row r="384" spans="1:14">
      <c r="A384" t="s">
        <v>2252</v>
      </c>
      <c r="B384" t="str">
        <f t="shared" si="21"/>
        <v>Fund 01-2021-03-0373</v>
      </c>
      <c r="C384" s="562" t="e">
        <f>VLOOKUP(L384,'Import Process ORS'!$D$4:$E$1557,2,FALSE)</f>
        <v>#N/A</v>
      </c>
      <c r="D384" s="562">
        <f>SUMIFS('Import Process ORS'!L:L,'Import Process ORS'!E:E,'DV List for import'!C384)</f>
        <v>0</v>
      </c>
      <c r="E384" t="s">
        <v>2676</v>
      </c>
      <c r="F384" t="str">
        <f>VLOOKUP(A384,'[1]MAIN-101'!$B$13:$M$787,4,FALSE)</f>
        <v>Olimar O. Sulapas</v>
      </c>
      <c r="G384" t="str">
        <f>VLOOKUP(A384,'[1]MAIN-101'!$B$13:$M$787,12,FALSE)</f>
        <v>Payment for salaries and allowances for NC Staff for the month of March 2021</v>
      </c>
      <c r="H384" s="562" t="e">
        <f>SUMIFS('[1]MAIN-101'!$Z$1:$Z$3000,'[1]MAIN-101'!$X$1:$X$3000,A384)</f>
        <v>#VALUE!</v>
      </c>
      <c r="I384" s="562" t="s">
        <v>2687</v>
      </c>
      <c r="J384" t="s">
        <v>2683</v>
      </c>
      <c r="K384" t="s">
        <v>2678</v>
      </c>
      <c r="L384" s="562" t="str">
        <f>VLOOKUP(A384,'Format for Import of DV'!$A$3:$S$1556,3,FALSE)</f>
        <v>230</v>
      </c>
      <c r="M384" s="562" t="e">
        <f>SUMIFS('Recon of ORS and DV'!D:D,'Recon of ORS and DV'!B:B,'DV List for import'!A384)</f>
        <v>#VALUE!</v>
      </c>
      <c r="N384" s="276" t="e">
        <f t="shared" si="20"/>
        <v>#VALUE!</v>
      </c>
    </row>
    <row r="385" spans="1:14">
      <c r="A385" t="s">
        <v>2253</v>
      </c>
      <c r="B385" t="str">
        <f t="shared" si="21"/>
        <v>Fund 01-2021-03-0374</v>
      </c>
      <c r="C385" s="562" t="e">
        <f>VLOOKUP(L385,'Import Process ORS'!$D$4:$E$1557,2,FALSE)</f>
        <v>#N/A</v>
      </c>
      <c r="D385" s="562">
        <f>SUMIFS('Import Process ORS'!L:L,'Import Process ORS'!E:E,'DV List for import'!C385)</f>
        <v>0</v>
      </c>
      <c r="E385" t="s">
        <v>2676</v>
      </c>
      <c r="F385" t="str">
        <f>VLOOKUP(A385,'[1]MAIN-101'!$B$13:$M$787,4,FALSE)</f>
        <v>Cresal Grace C. Malabanan</v>
      </c>
      <c r="G385" t="str">
        <f>VLOOKUP(A385,'[1]MAIN-101'!$B$13:$M$787,12,FALSE)</f>
        <v>Payment for salaries and allowances for NC Staff for the month of Feb2021</v>
      </c>
      <c r="H385" s="562" t="e">
        <f>SUMIFS('[1]MAIN-101'!$Z$1:$Z$3000,'[1]MAIN-101'!$X$1:$X$3000,A385)</f>
        <v>#VALUE!</v>
      </c>
      <c r="I385" s="562" t="s">
        <v>2687</v>
      </c>
      <c r="J385" t="s">
        <v>2683</v>
      </c>
      <c r="K385" t="s">
        <v>2678</v>
      </c>
      <c r="L385" s="562" t="str">
        <f>VLOOKUP(A385,'Format for Import of DV'!$A$3:$S$1556,3,FALSE)</f>
        <v>231</v>
      </c>
      <c r="M385" s="562" t="e">
        <f>SUMIFS('Recon of ORS and DV'!D:D,'Recon of ORS and DV'!B:B,'DV List for import'!A385)</f>
        <v>#VALUE!</v>
      </c>
      <c r="N385" s="276" t="e">
        <f t="shared" si="20"/>
        <v>#VALUE!</v>
      </c>
    </row>
    <row r="386" spans="1:14">
      <c r="A386" t="s">
        <v>2251</v>
      </c>
      <c r="B386" t="str">
        <f t="shared" si="21"/>
        <v>Fund 01-2021-03-0375</v>
      </c>
      <c r="C386" s="562" t="e">
        <f>VLOOKUP(L386,'Import Process ORS'!$D$4:$E$1557,2,FALSE)</f>
        <v>#N/A</v>
      </c>
      <c r="D386" s="562">
        <f>SUMIFS('Import Process ORS'!L:L,'Import Process ORS'!E:E,'DV List for import'!C386)</f>
        <v>0</v>
      </c>
      <c r="E386" t="s">
        <v>2676</v>
      </c>
      <c r="F386" t="str">
        <f>VLOOKUP(A386,'[1]MAIN-101'!$B$13:$M$787,4,FALSE)</f>
        <v>Carl Mars P. Ravelo</v>
      </c>
      <c r="G386" t="str">
        <f>VLOOKUP(A386,'[1]MAIN-101'!$B$13:$M$787,12,FALSE)</f>
        <v>Payment for salaries and allowances for NC Staff for the month of March 2021</v>
      </c>
      <c r="H386" s="562" t="e">
        <f>SUMIFS('[1]MAIN-101'!$Z$1:$Z$3000,'[1]MAIN-101'!$X$1:$X$3000,A386)</f>
        <v>#VALUE!</v>
      </c>
      <c r="I386" s="562" t="s">
        <v>2687</v>
      </c>
      <c r="J386" t="s">
        <v>2683</v>
      </c>
      <c r="K386" t="s">
        <v>2678</v>
      </c>
      <c r="L386" s="562" t="str">
        <f>VLOOKUP(A386,'Format for Import of DV'!$A$3:$S$1556,3,FALSE)</f>
        <v>229</v>
      </c>
      <c r="M386" s="562" t="e">
        <f>SUMIFS('Recon of ORS and DV'!D:D,'Recon of ORS and DV'!B:B,'DV List for import'!A386)</f>
        <v>#VALUE!</v>
      </c>
      <c r="N386" s="276" t="e">
        <f t="shared" si="20"/>
        <v>#VALUE!</v>
      </c>
    </row>
    <row r="387" spans="1:14">
      <c r="A387" t="s">
        <v>2254</v>
      </c>
      <c r="B387" t="str">
        <f t="shared" si="21"/>
        <v>Fund 01-2021-03-0376</v>
      </c>
      <c r="C387" s="562" t="e">
        <f>VLOOKUP(L387,'Import Process ORS'!$D$4:$E$1557,2,FALSE)</f>
        <v>#N/A</v>
      </c>
      <c r="D387" s="562">
        <f>SUMIFS('Import Process ORS'!L:L,'Import Process ORS'!E:E,'DV List for import'!C387)</f>
        <v>0</v>
      </c>
      <c r="E387" t="s">
        <v>2676</v>
      </c>
      <c r="F387" t="str">
        <f>VLOOKUP(A387,'[1]MAIN-101'!$B$13:$M$787,4,FALSE)</f>
        <v>Cresal Grace C. Malabanan</v>
      </c>
      <c r="G387" t="str">
        <f>VLOOKUP(A387,'[1]MAIN-101'!$B$13:$M$787,12,FALSE)</f>
        <v>Payment for salaries and allowances for NC Staff for the month of March 2021</v>
      </c>
      <c r="H387" s="562" t="e">
        <f>SUMIFS('[1]MAIN-101'!$Z$1:$Z$3000,'[1]MAIN-101'!$X$1:$X$3000,A387)</f>
        <v>#VALUE!</v>
      </c>
      <c r="I387" s="562" t="s">
        <v>2687</v>
      </c>
      <c r="J387" t="s">
        <v>2683</v>
      </c>
      <c r="K387" t="s">
        <v>2678</v>
      </c>
      <c r="L387" s="562" t="str">
        <f>VLOOKUP(A387,'Format for Import of DV'!$A$3:$S$1556,3,FALSE)</f>
        <v>232</v>
      </c>
      <c r="M387" s="562" t="e">
        <f>SUMIFS('Recon of ORS and DV'!D:D,'Recon of ORS and DV'!B:B,'DV List for import'!A387)</f>
        <v>#VALUE!</v>
      </c>
      <c r="N387" s="276" t="e">
        <f t="shared" si="20"/>
        <v>#VALUE!</v>
      </c>
    </row>
    <row r="388" spans="1:14">
      <c r="A388" t="s">
        <v>2256</v>
      </c>
      <c r="B388" t="str">
        <f t="shared" si="21"/>
        <v>Fund 01-2021-03-0377</v>
      </c>
      <c r="C388" s="562" t="e">
        <f>VLOOKUP(L388,'Import Process ORS'!$D$4:$E$1557,2,FALSE)</f>
        <v>#N/A</v>
      </c>
      <c r="D388" s="562">
        <f>SUMIFS('Import Process ORS'!L:L,'Import Process ORS'!E:E,'DV List for import'!C388)</f>
        <v>0</v>
      </c>
      <c r="E388" t="s">
        <v>2676</v>
      </c>
      <c r="F388" t="str">
        <f>VLOOKUP(A388,'[1]MAIN-101'!$B$13:$M$787,4,FALSE)</f>
        <v>LBP, FO DTI-SDN</v>
      </c>
      <c r="G388" t="str">
        <f>VLOOKUP(A388,'[1]MAIN-101'!$B$13:$M$787,12,FALSE)</f>
        <v>Payment for salaries and allowances for regular employees for the month of March 2021</v>
      </c>
      <c r="H388" s="562" t="e">
        <f>SUMIFS('[1]MAIN-101'!$Z$1:$Z$3000,'[1]MAIN-101'!$X$1:$X$3000,A388)</f>
        <v>#VALUE!</v>
      </c>
      <c r="I388" s="562" t="s">
        <v>2687</v>
      </c>
      <c r="J388" t="s">
        <v>2683</v>
      </c>
      <c r="K388" t="s">
        <v>2678</v>
      </c>
      <c r="L388" s="562" t="str">
        <f>VLOOKUP(A388,'Format for Import of DV'!$A$3:$S$1556,3,FALSE)</f>
        <v>234</v>
      </c>
      <c r="M388" s="562" t="e">
        <f>SUMIFS('Recon of ORS and DV'!D:D,'Recon of ORS and DV'!B:B,'DV List for import'!A388)</f>
        <v>#VALUE!</v>
      </c>
      <c r="N388" s="276" t="e">
        <f t="shared" ref="N388:N451" si="22">H388-M388</f>
        <v>#VALUE!</v>
      </c>
    </row>
    <row r="389" spans="1:14">
      <c r="A389" t="s">
        <v>2257</v>
      </c>
      <c r="B389" t="str">
        <f t="shared" si="21"/>
        <v>Fund 01-2021-03-0378</v>
      </c>
      <c r="C389" s="562" t="e">
        <f>VLOOKUP(L389,'Import Process ORS'!$D$4:$E$1557,2,FALSE)</f>
        <v>#N/A</v>
      </c>
      <c r="D389" s="562">
        <f>SUMIFS('Import Process ORS'!L:L,'Import Process ORS'!E:E,'DV List for import'!C389)</f>
        <v>0</v>
      </c>
      <c r="E389" t="s">
        <v>2676</v>
      </c>
      <c r="F389" t="str">
        <f>VLOOKUP(A389,'[1]MAIN-101'!$B$13:$M$787,4,FALSE)</f>
        <v>Ma. Malen B. Catamora</v>
      </c>
      <c r="G389" t="str">
        <f>VLOOKUP(A389,'[1]MAIN-101'!$B$13:$M$787,12,FALSE)</f>
        <v>Payment for salaries and allowances for CARP employees for the month of March 2021</v>
      </c>
      <c r="H389" s="562" t="e">
        <f>SUMIFS('[1]MAIN-101'!$Z$1:$Z$3000,'[1]MAIN-101'!$X$1:$X$3000,A389)</f>
        <v>#VALUE!</v>
      </c>
      <c r="I389" s="562" t="s">
        <v>2687</v>
      </c>
      <c r="J389" t="s">
        <v>2683</v>
      </c>
      <c r="K389" t="s">
        <v>2678</v>
      </c>
      <c r="L389" s="562" t="str">
        <f>VLOOKUP(A389,'Format for Import of DV'!$A$3:$S$1556,3,FALSE)</f>
        <v>235</v>
      </c>
      <c r="M389" s="562" t="e">
        <f>SUMIFS('Recon of ORS and DV'!D:D,'Recon of ORS and DV'!B:B,'DV List for import'!A389)</f>
        <v>#VALUE!</v>
      </c>
      <c r="N389" s="276" t="e">
        <f t="shared" si="22"/>
        <v>#VALUE!</v>
      </c>
    </row>
    <row r="390" spans="1:14">
      <c r="A390" t="s">
        <v>2234</v>
      </c>
      <c r="B390" t="str">
        <f t="shared" si="21"/>
        <v>Fund 01-2021-03-0379</v>
      </c>
      <c r="C390" s="562" t="e">
        <f>VLOOKUP(L390,'Import Process ORS'!$D$4:$E$1557,2,FALSE)</f>
        <v>#N/A</v>
      </c>
      <c r="D390" s="562">
        <f>SUMIFS('Import Process ORS'!L:L,'Import Process ORS'!E:E,'DV List for import'!C390)</f>
        <v>0</v>
      </c>
      <c r="E390" t="s">
        <v>2676</v>
      </c>
      <c r="F390" t="str">
        <f>VLOOKUP(A390,'[1]MAIN-101'!$B$13:$M$787,4,FALSE)</f>
        <v>Mercado's Sudlanan ATBP</v>
      </c>
      <c r="G390" t="str">
        <f>VLOOKUP(A390,'[1]MAIN-101'!$B$13:$M$787,12,FALSE)</f>
        <v>Payment for the customized 2021 planner</v>
      </c>
      <c r="H390" s="562" t="e">
        <f>SUMIFS('[1]MAIN-101'!$Z$1:$Z$3000,'[1]MAIN-101'!$X$1:$X$3000,A390)</f>
        <v>#VALUE!</v>
      </c>
      <c r="I390" s="562" t="s">
        <v>2687</v>
      </c>
      <c r="J390" t="s">
        <v>2683</v>
      </c>
      <c r="K390" t="s">
        <v>2678</v>
      </c>
      <c r="L390" s="562" t="str">
        <f>VLOOKUP(A390,'Format for Import of DV'!$A$3:$S$1556,3,FALSE)</f>
        <v>211</v>
      </c>
      <c r="M390" s="562" t="e">
        <f>SUMIFS('Recon of ORS and DV'!D:D,'Recon of ORS and DV'!B:B,'DV List for import'!A390)</f>
        <v>#VALUE!</v>
      </c>
      <c r="N390" s="276" t="e">
        <f t="shared" si="22"/>
        <v>#VALUE!</v>
      </c>
    </row>
    <row r="391" spans="1:14">
      <c r="A391" t="s">
        <v>2233</v>
      </c>
      <c r="B391" t="str">
        <f t="shared" si="21"/>
        <v>Fund 01-2021-03-0380</v>
      </c>
      <c r="C391" s="562" t="e">
        <f>VLOOKUP(L391,'Import Process ORS'!$D$4:$E$1557,2,FALSE)</f>
        <v>#N/A</v>
      </c>
      <c r="D391" s="562">
        <f>SUMIFS('Import Process ORS'!L:L,'Import Process ORS'!E:E,'DV List for import'!C391)</f>
        <v>0</v>
      </c>
      <c r="E391" t="s">
        <v>2676</v>
      </c>
      <c r="F391" t="str">
        <f>VLOOKUP(A391,'[1]MAIN-101'!$B$13:$M$787,4,FALSE)</f>
        <v>Royelen B.Taala</v>
      </c>
      <c r="G391" t="str">
        <f>VLOOKUP(A391,'[1]MAIN-101'!$B$13:$M$787,12,FALSE)</f>
        <v>Reimbursement for the payment of tokens (prepaid loadcards) for the IDD Functional Team 1st quarter meeting on January 26, 2021</v>
      </c>
      <c r="H391" s="562" t="e">
        <f>SUMIFS('[1]MAIN-101'!$Z$1:$Z$3000,'[1]MAIN-101'!$X$1:$X$3000,A391)</f>
        <v>#VALUE!</v>
      </c>
      <c r="I391" s="562" t="s">
        <v>2687</v>
      </c>
      <c r="J391" t="s">
        <v>2683</v>
      </c>
      <c r="K391" t="s">
        <v>2678</v>
      </c>
      <c r="L391" s="562" t="str">
        <f>VLOOKUP(A391,'Format for Import of DV'!$A$3:$S$1556,3,FALSE)</f>
        <v>210</v>
      </c>
      <c r="M391" s="562" t="e">
        <f>SUMIFS('Recon of ORS and DV'!D:D,'Recon of ORS and DV'!B:B,'DV List for import'!A391)</f>
        <v>#VALUE!</v>
      </c>
      <c r="N391" s="276" t="e">
        <f t="shared" si="22"/>
        <v>#VALUE!</v>
      </c>
    </row>
    <row r="392" spans="1:14">
      <c r="A392" t="s">
        <v>2242</v>
      </c>
      <c r="B392" t="str">
        <f t="shared" si="21"/>
        <v>Fund 01-2021-03-0381</v>
      </c>
      <c r="C392" s="562" t="e">
        <f>VLOOKUP(L392,'Import Process ORS'!$D$4:$E$1557,2,FALSE)</f>
        <v>#N/A</v>
      </c>
      <c r="D392" s="562">
        <f>SUMIFS('Import Process ORS'!L:L,'Import Process ORS'!E:E,'DV List for import'!C392)</f>
        <v>0</v>
      </c>
      <c r="E392" t="s">
        <v>2676</v>
      </c>
      <c r="F392" t="str">
        <f>VLOOKUP(A392,'[1]MAIN-101'!$B$13:$M$787,4,FALSE)</f>
        <v>Mike Ariel P. Plaza</v>
      </c>
      <c r="G392" t="str">
        <f>VLOOKUP(A392,'[1]MAIN-101'!$B$13:$M$787,12,FALSE)</f>
        <v>Payment for the food and non food products featured in the 2020 DTI Pasalove Youtube Project</v>
      </c>
      <c r="H392" s="562" t="e">
        <f>SUMIFS('[1]MAIN-101'!$Z$1:$Z$3000,'[1]MAIN-101'!$X$1:$X$3000,A392)</f>
        <v>#VALUE!</v>
      </c>
      <c r="I392" s="562" t="s">
        <v>2687</v>
      </c>
      <c r="J392" t="s">
        <v>2683</v>
      </c>
      <c r="K392" t="s">
        <v>2678</v>
      </c>
      <c r="L392" s="562" t="str">
        <f>VLOOKUP(A392,'Format for Import of DV'!$A$3:$S$1556,3,FALSE)</f>
        <v>219</v>
      </c>
      <c r="M392" s="562" t="e">
        <f>SUMIFS('Recon of ORS and DV'!D:D,'Recon of ORS and DV'!B:B,'DV List for import'!A392)</f>
        <v>#VALUE!</v>
      </c>
      <c r="N392" s="276" t="e">
        <f t="shared" si="22"/>
        <v>#VALUE!</v>
      </c>
    </row>
    <row r="393" spans="1:14">
      <c r="A393" t="s">
        <v>2258</v>
      </c>
      <c r="B393" t="str">
        <f t="shared" si="21"/>
        <v>Fund 01-2021-03-0382</v>
      </c>
      <c r="C393" s="562" t="e">
        <f>VLOOKUP(L393,'Import Process ORS'!$D$4:$E$1557,2,FALSE)</f>
        <v>#N/A</v>
      </c>
      <c r="D393" s="562">
        <f>SUMIFS('Import Process ORS'!L:L,'Import Process ORS'!E:E,'DV List for import'!C393)</f>
        <v>0</v>
      </c>
      <c r="E393" t="s">
        <v>2676</v>
      </c>
      <c r="F393" t="str">
        <f>VLOOKUP(A393,'[1]MAIN-101'!$B$13:$M$787,4,FALSE)</f>
        <v>Rezel May C. Goloran</v>
      </c>
      <c r="G393" t="str">
        <f>VLOOKUP(A393,'[1]MAIN-101'!$B$13:$M$787,12,FALSE)</f>
        <v>Payment for salaries and allowances for NC Staff for the month of February 2021</v>
      </c>
      <c r="H393" s="562" t="e">
        <f>SUMIFS('[1]MAIN-101'!$Z$1:$Z$3000,'[1]MAIN-101'!$X$1:$X$3000,A393)</f>
        <v>#VALUE!</v>
      </c>
      <c r="I393" s="562" t="s">
        <v>2687</v>
      </c>
      <c r="J393" t="s">
        <v>2683</v>
      </c>
      <c r="K393" t="s">
        <v>2678</v>
      </c>
      <c r="L393" s="562" t="str">
        <f>VLOOKUP(A393,'Format for Import of DV'!$A$3:$S$1556,3,FALSE)</f>
        <v>236</v>
      </c>
      <c r="M393" s="562" t="e">
        <f>SUMIFS('Recon of ORS and DV'!D:D,'Recon of ORS and DV'!B:B,'DV List for import'!A393)</f>
        <v>#VALUE!</v>
      </c>
      <c r="N393" s="276" t="e">
        <f t="shared" si="22"/>
        <v>#VALUE!</v>
      </c>
    </row>
    <row r="394" spans="1:14">
      <c r="A394" t="s">
        <v>2262</v>
      </c>
      <c r="B394" t="str">
        <f t="shared" si="21"/>
        <v>Fund 01-2021-03-0383</v>
      </c>
      <c r="C394" s="562" t="e">
        <f>VLOOKUP(L394,'Import Process ORS'!$D$4:$E$1557,2,FALSE)</f>
        <v>#N/A</v>
      </c>
      <c r="D394" s="562">
        <f>SUMIFS('Import Process ORS'!L:L,'Import Process ORS'!E:E,'DV List for import'!C394)</f>
        <v>0</v>
      </c>
      <c r="E394" t="s">
        <v>2676</v>
      </c>
      <c r="F394" t="str">
        <f>VLOOKUP(A394,'[1]MAIN-101'!$B$13:$M$787,4,FALSE)</f>
        <v>Elyn Rose A. Ranario</v>
      </c>
      <c r="G394" t="str">
        <f>VLOOKUP(A394,'[1]MAIN-101'!$B$13:$M$787,12,FALSE)</f>
        <v>Payment for salaries and allowances for NC Staff for the month of March 2021</v>
      </c>
      <c r="H394" s="562" t="e">
        <f>SUMIFS('[1]MAIN-101'!$Z$1:$Z$3000,'[1]MAIN-101'!$X$1:$X$3000,A394)</f>
        <v>#VALUE!</v>
      </c>
      <c r="I394" s="562" t="s">
        <v>2687</v>
      </c>
      <c r="J394" t="s">
        <v>2683</v>
      </c>
      <c r="K394" t="s">
        <v>2678</v>
      </c>
      <c r="L394" s="562" t="str">
        <f>VLOOKUP(A394,'Format for Import of DV'!$A$3:$S$1556,3,FALSE)</f>
        <v>240</v>
      </c>
      <c r="M394" s="562" t="e">
        <f>SUMIFS('Recon of ORS and DV'!D:D,'Recon of ORS and DV'!B:B,'DV List for import'!A394)</f>
        <v>#VALUE!</v>
      </c>
      <c r="N394" s="276" t="e">
        <f t="shared" si="22"/>
        <v>#VALUE!</v>
      </c>
    </row>
    <row r="395" spans="1:14">
      <c r="A395" t="s">
        <v>2263</v>
      </c>
      <c r="B395" t="str">
        <f t="shared" si="21"/>
        <v>Fund 01-2021-03-0384</v>
      </c>
      <c r="C395" s="562" t="e">
        <f>VLOOKUP(L395,'Import Process ORS'!$D$4:$E$1557,2,FALSE)</f>
        <v>#N/A</v>
      </c>
      <c r="D395" s="562">
        <f>SUMIFS('Import Process ORS'!L:L,'Import Process ORS'!E:E,'DV List for import'!C395)</f>
        <v>0</v>
      </c>
      <c r="E395" t="s">
        <v>2676</v>
      </c>
      <c r="F395" t="str">
        <f>VLOOKUP(A395,'[1]MAIN-101'!$B$13:$M$787,4,FALSE)</f>
        <v>LBP F/O DTI-AND</v>
      </c>
      <c r="G395" t="str">
        <f>VLOOKUP(A395,'[1]MAIN-101'!$B$13:$M$787,12,FALSE)</f>
        <v>Payment for salaries and allowances for CARP employees for the month of March 2021</v>
      </c>
      <c r="H395" s="562" t="e">
        <f>SUMIFS('[1]MAIN-101'!$Z$1:$Z$3000,'[1]MAIN-101'!$X$1:$X$3000,A395)</f>
        <v>#VALUE!</v>
      </c>
      <c r="I395" s="562" t="s">
        <v>2687</v>
      </c>
      <c r="J395" t="s">
        <v>2683</v>
      </c>
      <c r="K395" t="s">
        <v>2678</v>
      </c>
      <c r="L395" s="562" t="str">
        <f>VLOOKUP(A395,'Format for Import of DV'!$A$3:$S$1556,3,FALSE)</f>
        <v>241</v>
      </c>
      <c r="M395" s="562" t="e">
        <f>SUMIFS('Recon of ORS and DV'!D:D,'Recon of ORS and DV'!B:B,'DV List for import'!A395)</f>
        <v>#VALUE!</v>
      </c>
      <c r="N395" s="276" t="e">
        <f t="shared" si="22"/>
        <v>#VALUE!</v>
      </c>
    </row>
    <row r="396" spans="1:14">
      <c r="A396" t="s">
        <v>2264</v>
      </c>
      <c r="B396" t="str">
        <f t="shared" si="21"/>
        <v>Fund 01-2021-03-0385</v>
      </c>
      <c r="C396" s="562" t="e">
        <f>VLOOKUP(L396,'Import Process ORS'!$D$4:$E$1557,2,FALSE)</f>
        <v>#N/A</v>
      </c>
      <c r="D396" s="562">
        <f>SUMIFS('Import Process ORS'!L:L,'Import Process ORS'!E:E,'DV List for import'!C396)</f>
        <v>0</v>
      </c>
      <c r="E396" t="s">
        <v>2676</v>
      </c>
      <c r="F396" t="str">
        <f>VLOOKUP(A396,'[1]MAIN-101'!$B$13:$M$787,4,FALSE)</f>
        <v>LBP F/O DTI-AND</v>
      </c>
      <c r="G396" t="str">
        <f>VLOOKUP(A396,'[1]MAIN-101'!$B$13:$M$787,12,FALSE)</f>
        <v>Payment for salaries and allowances for regular employees for the month of March 2021</v>
      </c>
      <c r="H396" s="562" t="e">
        <f>SUMIFS('[1]MAIN-101'!$Z$1:$Z$3000,'[1]MAIN-101'!$X$1:$X$3000,A396)</f>
        <v>#VALUE!</v>
      </c>
      <c r="I396" s="562" t="s">
        <v>2687</v>
      </c>
      <c r="J396" t="s">
        <v>2683</v>
      </c>
      <c r="K396" t="s">
        <v>2678</v>
      </c>
      <c r="L396" s="562" t="str">
        <f>VLOOKUP(A396,'Format for Import of DV'!$A$3:$S$1556,3,FALSE)</f>
        <v>242</v>
      </c>
      <c r="M396" s="562" t="e">
        <f>SUMIFS('Recon of ORS and DV'!D:D,'Recon of ORS and DV'!B:B,'DV List for import'!A396)</f>
        <v>#VALUE!</v>
      </c>
      <c r="N396" s="276" t="e">
        <f t="shared" si="22"/>
        <v>#VALUE!</v>
      </c>
    </row>
    <row r="397" spans="1:14">
      <c r="A397" t="s">
        <v>2259</v>
      </c>
      <c r="B397" t="str">
        <f t="shared" si="21"/>
        <v>Fund 01-2021-03-0386</v>
      </c>
      <c r="C397" s="562" t="e">
        <f>VLOOKUP(L397,'Import Process ORS'!$D$4:$E$1557,2,FALSE)</f>
        <v>#N/A</v>
      </c>
      <c r="D397" s="562">
        <f>SUMIFS('Import Process ORS'!L:L,'Import Process ORS'!E:E,'DV List for import'!C397)</f>
        <v>0</v>
      </c>
      <c r="E397" t="s">
        <v>2676</v>
      </c>
      <c r="F397" t="str">
        <f>VLOOKUP(A397,'[1]MAIN-101'!$B$13:$M$787,4,FALSE)</f>
        <v>JMN Multimedia Sales and Services</v>
      </c>
      <c r="G397" t="str">
        <f>VLOOKUP(A397,'[1]MAIN-101'!$B$13:$M$787,12,FALSE)</f>
        <v>Payment for load allowance for CPD use- 1st quarter 2021</v>
      </c>
      <c r="H397" s="562" t="e">
        <f>SUMIFS('[1]MAIN-101'!$Z$1:$Z$3000,'[1]MAIN-101'!$X$1:$X$3000,A397)</f>
        <v>#VALUE!</v>
      </c>
      <c r="I397" s="562" t="s">
        <v>2687</v>
      </c>
      <c r="J397" t="s">
        <v>2683</v>
      </c>
      <c r="K397" t="s">
        <v>2678</v>
      </c>
      <c r="L397" s="562" t="str">
        <f>VLOOKUP(A397,'Format for Import of DV'!$A$3:$S$1556,3,FALSE)</f>
        <v>237</v>
      </c>
      <c r="M397" s="562" t="e">
        <f>SUMIFS('Recon of ORS and DV'!D:D,'Recon of ORS and DV'!B:B,'DV List for import'!A397)</f>
        <v>#VALUE!</v>
      </c>
      <c r="N397" s="276" t="e">
        <f t="shared" si="22"/>
        <v>#VALUE!</v>
      </c>
    </row>
    <row r="398" spans="1:14">
      <c r="A398" t="s">
        <v>2260</v>
      </c>
      <c r="B398" t="str">
        <f t="shared" si="21"/>
        <v>Fund 01-2021-03-0387</v>
      </c>
      <c r="C398" s="562" t="e">
        <f>VLOOKUP(L398,'Import Process ORS'!$D$4:$E$1557,2,FALSE)</f>
        <v>#N/A</v>
      </c>
      <c r="D398" s="562">
        <f>SUMIFS('Import Process ORS'!L:L,'Import Process ORS'!E:E,'DV List for import'!C398)</f>
        <v>0</v>
      </c>
      <c r="E398" t="s">
        <v>2676</v>
      </c>
      <c r="F398" t="str">
        <f>VLOOKUP(A398,'[1]MAIN-101'!$B$13:$M$787,4,FALSE)</f>
        <v>JMN Multimedia Sales and Services</v>
      </c>
      <c r="G398" t="str">
        <f>VLOOKUP(A398,'[1]MAIN-101'!$B$13:$M$787,12,FALSE)</f>
        <v>Payment for prepaid load cards for ORD Load allowance for Director use.</v>
      </c>
      <c r="H398" s="562" t="e">
        <f>SUMIFS('[1]MAIN-101'!$Z$1:$Z$3000,'[1]MAIN-101'!$X$1:$X$3000,A398)</f>
        <v>#VALUE!</v>
      </c>
      <c r="I398" s="562" t="s">
        <v>2687</v>
      </c>
      <c r="J398" t="s">
        <v>2683</v>
      </c>
      <c r="K398" t="s">
        <v>2678</v>
      </c>
      <c r="L398" s="562" t="str">
        <f>VLOOKUP(A398,'Format for Import of DV'!$A$3:$S$1556,3,FALSE)</f>
        <v>238</v>
      </c>
      <c r="M398" s="562" t="e">
        <f>SUMIFS('Recon of ORS and DV'!D:D,'Recon of ORS and DV'!B:B,'DV List for import'!A398)</f>
        <v>#VALUE!</v>
      </c>
      <c r="N398" s="276" t="e">
        <f t="shared" si="22"/>
        <v>#VALUE!</v>
      </c>
    </row>
    <row r="399" spans="1:14">
      <c r="A399" t="s">
        <v>2261</v>
      </c>
      <c r="B399" t="str">
        <f t="shared" si="21"/>
        <v>Fund 01-2021-03-0388</v>
      </c>
      <c r="C399" s="562" t="e">
        <f>VLOOKUP(L399,'Import Process ORS'!$D$4:$E$1557,2,FALSE)</f>
        <v>#N/A</v>
      </c>
      <c r="D399" s="562">
        <f>SUMIFS('Import Process ORS'!L:L,'Import Process ORS'!E:E,'DV List for import'!C399)</f>
        <v>0</v>
      </c>
      <c r="E399" t="s">
        <v>2676</v>
      </c>
      <c r="F399" t="str">
        <f>VLOOKUP(A399,'[1]MAIN-101'!$B$13:$M$787,4,FALSE)</f>
        <v>Procurement Service</v>
      </c>
      <c r="G399" t="str">
        <f>VLOOKUP(A399,'[1]MAIN-101'!$B$13:$M$787,12,FALSE)</f>
        <v>Payment for CPD 1st quarter 2021 office supplies</v>
      </c>
      <c r="H399" s="562" t="e">
        <f>SUMIFS('[1]MAIN-101'!$Z$1:$Z$3000,'[1]MAIN-101'!$X$1:$X$3000,A399)</f>
        <v>#VALUE!</v>
      </c>
      <c r="I399" s="562" t="s">
        <v>2687</v>
      </c>
      <c r="J399" t="s">
        <v>2683</v>
      </c>
      <c r="K399" t="s">
        <v>2678</v>
      </c>
      <c r="L399" s="562" t="str">
        <f>VLOOKUP(A399,'Format for Import of DV'!$A$3:$S$1556,3,FALSE)</f>
        <v>239</v>
      </c>
      <c r="M399" s="562" t="e">
        <f>SUMIFS('Recon of ORS and DV'!D:D,'Recon of ORS and DV'!B:B,'DV List for import'!A399)</f>
        <v>#VALUE!</v>
      </c>
      <c r="N399" s="276" t="e">
        <f t="shared" si="22"/>
        <v>#VALUE!</v>
      </c>
    </row>
    <row r="400" spans="1:14">
      <c r="A400" t="s">
        <v>2266</v>
      </c>
      <c r="B400" t="str">
        <f t="shared" si="21"/>
        <v>Fund 01-2021-03-0389</v>
      </c>
      <c r="C400" s="562" t="e">
        <f>VLOOKUP(L400,'Import Process ORS'!$D$4:$E$1557,2,FALSE)</f>
        <v>#N/A</v>
      </c>
      <c r="D400" s="562">
        <f>SUMIFS('Import Process ORS'!L:L,'Import Process ORS'!E:E,'DV List for import'!C400)</f>
        <v>0</v>
      </c>
      <c r="E400" t="s">
        <v>2676</v>
      </c>
      <c r="F400" t="str">
        <f>VLOOKUP(A400,'[1]MAIN-101'!$B$13:$M$787,4,FALSE)</f>
        <v>Ermak Trading</v>
      </c>
      <c r="G400" t="str">
        <f>VLOOKUP(A400,'[1]MAIN-101'!$B$13:$M$787,12,FALSE)</f>
        <v>Payment for vehicle tires for DTI Caraga MV Maiintenance</v>
      </c>
      <c r="H400" s="562" t="e">
        <f>SUMIFS('[1]MAIN-101'!$Z$1:$Z$3000,'[1]MAIN-101'!$X$1:$X$3000,A400)</f>
        <v>#VALUE!</v>
      </c>
      <c r="I400" s="562" t="s">
        <v>2687</v>
      </c>
      <c r="J400" t="s">
        <v>2683</v>
      </c>
      <c r="K400" t="s">
        <v>2678</v>
      </c>
      <c r="L400" s="562" t="str">
        <f>VLOOKUP(A400,'Format for Import of DV'!$A$3:$S$1556,3,FALSE)</f>
        <v>244</v>
      </c>
      <c r="M400" s="562" t="e">
        <f>SUMIFS('Recon of ORS and DV'!D:D,'Recon of ORS and DV'!B:B,'DV List for import'!A400)</f>
        <v>#VALUE!</v>
      </c>
      <c r="N400" s="276" t="e">
        <f t="shared" si="22"/>
        <v>#VALUE!</v>
      </c>
    </row>
    <row r="401" spans="1:17">
      <c r="A401" t="s">
        <v>2272</v>
      </c>
      <c r="B401" t="str">
        <f t="shared" si="21"/>
        <v>Fund 01-2021-03-0390</v>
      </c>
      <c r="C401" s="562" t="e">
        <f>VLOOKUP(L401,'Import Process ORS'!$D$4:$E$1557,2,FALSE)</f>
        <v>#N/A</v>
      </c>
      <c r="D401" s="562">
        <f>SUMIFS('Import Process ORS'!L:L,'Import Process ORS'!E:E,'DV List for import'!C401)</f>
        <v>0</v>
      </c>
      <c r="E401" t="s">
        <v>2676</v>
      </c>
      <c r="F401" t="str">
        <f>VLOOKUP(A401,'[1]MAIN-101'!$B$13:$M$787,4,FALSE)</f>
        <v>OIC, DTI-ADS</v>
      </c>
      <c r="G401" t="str">
        <f>VLOOKUP(A401,'[1]MAIN-101'!$B$13:$M$787,12,FALSE)</f>
        <v>Advances to the SSF MOOE - 1st Quarter 2021</v>
      </c>
      <c r="H401" s="562" t="e">
        <f>SUMIFS('[1]MAIN-101'!$Z$1:$Z$3000,'[1]MAIN-101'!$X$1:$X$3000,A401)</f>
        <v>#VALUE!</v>
      </c>
      <c r="I401" s="562" t="s">
        <v>2685</v>
      </c>
      <c r="J401" t="s">
        <v>2683</v>
      </c>
      <c r="K401" t="s">
        <v>2678</v>
      </c>
      <c r="L401" s="562" t="str">
        <f>VLOOKUP(A401,'Format for Import of DV'!$A$3:$S$1556,3,FALSE)</f>
        <v>250</v>
      </c>
      <c r="M401" s="562" t="e">
        <f>SUMIFS('Recon of ORS and DV'!D:D,'Recon of ORS and DV'!B:B,'DV List for import'!A401)</f>
        <v>#VALUE!</v>
      </c>
      <c r="N401" s="276" t="e">
        <f t="shared" si="22"/>
        <v>#VALUE!</v>
      </c>
    </row>
    <row r="402" spans="1:17">
      <c r="A402" t="s">
        <v>2269</v>
      </c>
      <c r="B402" t="str">
        <f t="shared" si="21"/>
        <v>Fund 01-2021-03-0391</v>
      </c>
      <c r="C402" s="562" t="e">
        <f>VLOOKUP(L402,'Import Process ORS'!$D$4:$E$1557,2,FALSE)</f>
        <v>#N/A</v>
      </c>
      <c r="D402" s="562">
        <f>SUMIFS('Import Process ORS'!L:L,'Import Process ORS'!E:E,'DV List for import'!C402)</f>
        <v>0</v>
      </c>
      <c r="E402" t="s">
        <v>2676</v>
      </c>
      <c r="F402" t="str">
        <f>VLOOKUP(A402,'[1]MAIN-101'!$B$13:$M$787,4,FALSE)</f>
        <v>PD, DTI-PDI</v>
      </c>
      <c r="G402" t="str">
        <f>VLOOKUP(A402,'[1]MAIN-101'!$B$13:$M$787,12,FALSE)</f>
        <v>Fund Transfer for LSP-NSB Implementation for the 1st quarter 2021</v>
      </c>
      <c r="H402" s="562" t="e">
        <f>SUMIFS('[1]MAIN-101'!$Z$1:$Z$3000,'[1]MAIN-101'!$X$1:$X$3000,A402)</f>
        <v>#VALUE!</v>
      </c>
      <c r="I402" s="562" t="s">
        <v>2685</v>
      </c>
      <c r="J402" t="s">
        <v>2683</v>
      </c>
      <c r="K402" t="s">
        <v>2678</v>
      </c>
      <c r="L402" s="562" t="str">
        <f>VLOOKUP(A402,'Format for Import of DV'!$A$3:$S$1556,3,FALSE)</f>
        <v>247</v>
      </c>
      <c r="M402" s="562" t="e">
        <f>SUMIFS('Recon of ORS and DV'!D:D,'Recon of ORS and DV'!B:B,'DV List for import'!A402)</f>
        <v>#VALUE!</v>
      </c>
      <c r="N402" s="276" t="e">
        <f t="shared" si="22"/>
        <v>#VALUE!</v>
      </c>
    </row>
    <row r="403" spans="1:17">
      <c r="A403" t="s">
        <v>2270</v>
      </c>
      <c r="B403" t="str">
        <f t="shared" si="21"/>
        <v>Fund 01-2021-03-0392</v>
      </c>
      <c r="C403" s="562" t="e">
        <f>VLOOKUP(L403,'Import Process ORS'!$D$4:$E$1557,2,FALSE)</f>
        <v>#N/A</v>
      </c>
      <c r="D403" s="562">
        <f>SUMIFS('Import Process ORS'!L:L,'Import Process ORS'!E:E,'DV List for import'!C403)</f>
        <v>0</v>
      </c>
      <c r="E403" t="s">
        <v>2676</v>
      </c>
      <c r="F403" t="str">
        <f>VLOOKUP(A403,'[1]MAIN-101'!$B$13:$M$787,4,FALSE)</f>
        <v>PD, DTI-ADN</v>
      </c>
      <c r="G403" t="str">
        <f>VLOOKUP(A403,'[1]MAIN-101'!$B$13:$M$787,12,FALSE)</f>
        <v>Transfer of funds to cover implementation of CPD activities for 1st Quarter Budget 2021</v>
      </c>
      <c r="H403" s="562" t="e">
        <f>SUMIFS('[1]MAIN-101'!$Z$1:$Z$3000,'[1]MAIN-101'!$X$1:$X$3000,A403)</f>
        <v>#VALUE!</v>
      </c>
      <c r="I403" s="562" t="s">
        <v>2685</v>
      </c>
      <c r="J403" t="s">
        <v>2683</v>
      </c>
      <c r="K403" t="s">
        <v>2678</v>
      </c>
      <c r="L403" s="562" t="str">
        <f>VLOOKUP(A403,'Format for Import of DV'!$A$3:$S$1556,3,FALSE)</f>
        <v>248</v>
      </c>
      <c r="M403" s="562" t="e">
        <f>SUMIFS('Recon of ORS and DV'!D:D,'Recon of ORS and DV'!B:B,'DV List for import'!A403)</f>
        <v>#VALUE!</v>
      </c>
      <c r="N403" s="276" t="e">
        <f t="shared" si="22"/>
        <v>#VALUE!</v>
      </c>
    </row>
    <row r="404" spans="1:17">
      <c r="A404" t="s">
        <v>2271</v>
      </c>
      <c r="B404" t="str">
        <f t="shared" si="21"/>
        <v>Fund 01-2021-03-0393</v>
      </c>
      <c r="C404" s="562" t="e">
        <f>VLOOKUP(L404,'Import Process ORS'!$D$4:$E$1557,2,FALSE)</f>
        <v>#N/A</v>
      </c>
      <c r="D404" s="562">
        <f>SUMIFS('Import Process ORS'!L:L,'Import Process ORS'!E:E,'DV List for import'!C404)</f>
        <v>0</v>
      </c>
      <c r="E404" t="s">
        <v>2676</v>
      </c>
      <c r="F404" t="str">
        <f>VLOOKUP(A404,'[1]MAIN-101'!$B$13:$M$787,4,FALSE)</f>
        <v>PD, DTI-ADN</v>
      </c>
      <c r="G404" t="str">
        <f>VLOOKUP(A404,'[1]MAIN-101'!$B$13:$M$787,12,FALSE)</f>
        <v>Fund Transfer for DTI-CARP implementation for Q1 2021</v>
      </c>
      <c r="H404" s="562" t="e">
        <f>SUMIFS('[1]MAIN-101'!$Z$1:$Z$3000,'[1]MAIN-101'!$X$1:$X$3000,A404)</f>
        <v>#VALUE!</v>
      </c>
      <c r="I404" s="562" t="s">
        <v>2685</v>
      </c>
      <c r="J404" t="s">
        <v>2683</v>
      </c>
      <c r="K404" t="s">
        <v>2678</v>
      </c>
      <c r="L404" s="562" t="str">
        <f>VLOOKUP(A404,'Format for Import of DV'!$A$3:$S$1556,3,FALSE)</f>
        <v>249</v>
      </c>
      <c r="M404" s="562" t="e">
        <f>SUMIFS('Recon of ORS and DV'!D:D,'Recon of ORS and DV'!B:B,'DV List for import'!A404)</f>
        <v>#VALUE!</v>
      </c>
      <c r="N404" s="276" t="e">
        <f t="shared" si="22"/>
        <v>#VALUE!</v>
      </c>
    </row>
    <row r="405" spans="1:17">
      <c r="A405" t="s">
        <v>2278</v>
      </c>
      <c r="B405" t="str">
        <f t="shared" si="21"/>
        <v>Fund 01-2021-03-0394</v>
      </c>
      <c r="C405" s="562" t="e">
        <f>VLOOKUP(L405,'Import Process ORS'!$D$4:$E$1557,2,FALSE)</f>
        <v>#N/A</v>
      </c>
      <c r="D405" s="562">
        <f>SUMIFS('Import Process ORS'!L:L,'Import Process ORS'!E:E,'DV List for import'!C405)</f>
        <v>0</v>
      </c>
      <c r="E405" t="s">
        <v>2676</v>
      </c>
      <c r="F405" t="str">
        <f>VLOOKUP(A405,'[1]MAIN-101'!$B$13:$M$787,4,FALSE)</f>
        <v>LBP F/O DTI-ADN</v>
      </c>
      <c r="G405" t="str">
        <f>VLOOKUP(A405,'[1]MAIN-101'!$B$13:$M$787,12,FALSE)</f>
        <v>Payment for regular employees' clothing allowance for CY2021</v>
      </c>
      <c r="H405" s="562" t="e">
        <f>SUMIFS('[1]MAIN-101'!$Z$1:$Z$3000,'[1]MAIN-101'!$X$1:$X$3000,A405)</f>
        <v>#VALUE!</v>
      </c>
      <c r="I405" s="562" t="s">
        <v>2687</v>
      </c>
      <c r="J405" t="s">
        <v>2683</v>
      </c>
      <c r="K405" t="s">
        <v>2678</v>
      </c>
      <c r="L405" s="562" t="str">
        <f>VLOOKUP(A405,'Format for Import of DV'!$A$3:$S$1556,3,FALSE)</f>
        <v>256</v>
      </c>
      <c r="M405" s="562" t="e">
        <f>SUMIFS('Recon of ORS and DV'!D:D,'Recon of ORS and DV'!B:B,'DV List for import'!A405)</f>
        <v>#VALUE!</v>
      </c>
      <c r="N405" s="276" t="e">
        <f t="shared" si="22"/>
        <v>#VALUE!</v>
      </c>
    </row>
    <row r="406" spans="1:17">
      <c r="A406" t="s">
        <v>2279</v>
      </c>
      <c r="B406" t="str">
        <f t="shared" si="21"/>
        <v>Fund 01-2021-03-0395</v>
      </c>
      <c r="C406" s="562" t="e">
        <f>VLOOKUP(L406,'Import Process ORS'!$D$4:$E$1557,2,FALSE)</f>
        <v>#N/A</v>
      </c>
      <c r="D406" s="562">
        <f>SUMIFS('Import Process ORS'!L:L,'Import Process ORS'!E:E,'DV List for import'!C406)</f>
        <v>0</v>
      </c>
      <c r="E406" t="s">
        <v>2676</v>
      </c>
      <c r="F406" t="str">
        <f>VLOOKUP(A406,'[1]MAIN-101'!$B$13:$M$787,4,FALSE)</f>
        <v>LBP F/O DTI-ADS</v>
      </c>
      <c r="G406" t="str">
        <f>VLOOKUP(A406,'[1]MAIN-101'!$B$13:$M$787,12,FALSE)</f>
        <v>Payment for regular employees' clothing allowance for CY2021</v>
      </c>
      <c r="H406" s="562" t="e">
        <f>SUMIFS('[1]MAIN-101'!$Z$1:$Z$3000,'[1]MAIN-101'!$X$1:$X$3000,A406)</f>
        <v>#VALUE!</v>
      </c>
      <c r="I406" s="562" t="s">
        <v>2687</v>
      </c>
      <c r="J406" t="s">
        <v>2683</v>
      </c>
      <c r="K406" t="s">
        <v>2678</v>
      </c>
      <c r="L406" s="562" t="str">
        <f>VLOOKUP(A406,'Format for Import of DV'!$A$3:$S$1556,3,FALSE)</f>
        <v>257</v>
      </c>
      <c r="M406" s="562" t="e">
        <f>SUMIFS('Recon of ORS and DV'!D:D,'Recon of ORS and DV'!B:B,'DV List for import'!A406)</f>
        <v>#VALUE!</v>
      </c>
      <c r="N406" s="276" t="e">
        <f t="shared" si="22"/>
        <v>#VALUE!</v>
      </c>
    </row>
    <row r="407" spans="1:17">
      <c r="A407" t="s">
        <v>2280</v>
      </c>
      <c r="B407" t="str">
        <f t="shared" si="21"/>
        <v>Fund 01-2021-03-0396</v>
      </c>
      <c r="C407" s="562" t="e">
        <f>VLOOKUP(L407,'Import Process ORS'!$D$4:$E$1557,2,FALSE)</f>
        <v>#N/A</v>
      </c>
      <c r="D407" s="562">
        <f>SUMIFS('Import Process ORS'!L:L,'Import Process ORS'!E:E,'DV List for import'!C407)</f>
        <v>0</v>
      </c>
      <c r="E407" t="s">
        <v>2676</v>
      </c>
      <c r="F407" t="str">
        <f>VLOOKUP(A407,'[1]MAIN-101'!$B$13:$M$787,4,FALSE)</f>
        <v>LBP F/O DTI-SDN</v>
      </c>
      <c r="G407" t="str">
        <f>VLOOKUP(A407,'[1]MAIN-101'!$B$13:$M$787,12,FALSE)</f>
        <v>Payment for regular employees' clothing allowance for CY2021</v>
      </c>
      <c r="H407" s="562" t="e">
        <f>SUMIFS('[1]MAIN-101'!$Z$1:$Z$3000,'[1]MAIN-101'!$X$1:$X$3000,A407)</f>
        <v>#VALUE!</v>
      </c>
      <c r="I407" s="562" t="s">
        <v>2687</v>
      </c>
      <c r="J407" t="s">
        <v>2683</v>
      </c>
      <c r="K407" t="s">
        <v>2678</v>
      </c>
      <c r="L407" s="562" t="str">
        <f>VLOOKUP(A407,'Format for Import of DV'!$A$3:$S$1556,3,FALSE)</f>
        <v>258</v>
      </c>
      <c r="M407" s="562" t="e">
        <f>SUMIFS('Recon of ORS and DV'!D:D,'Recon of ORS and DV'!B:B,'DV List for import'!A407)</f>
        <v>#VALUE!</v>
      </c>
      <c r="N407" s="276" t="e">
        <f t="shared" si="22"/>
        <v>#VALUE!</v>
      </c>
    </row>
    <row r="408" spans="1:17">
      <c r="A408" t="s">
        <v>2281</v>
      </c>
      <c r="B408" t="str">
        <f t="shared" si="21"/>
        <v>Fund 01-2021-03-0397</v>
      </c>
      <c r="C408" s="562" t="e">
        <f>VLOOKUP(L408,'Import Process ORS'!$D$4:$E$1557,2,FALSE)</f>
        <v>#N/A</v>
      </c>
      <c r="D408" s="562">
        <f>SUMIFS('Import Process ORS'!L:L,'Import Process ORS'!E:E,'DV List for import'!C408)</f>
        <v>0</v>
      </c>
      <c r="E408" t="s">
        <v>2676</v>
      </c>
      <c r="F408" t="str">
        <f>VLOOKUP(A408,'[1]MAIN-101'!$B$13:$M$787,4,FALSE)</f>
        <v>LBP F/O DTI-SDS</v>
      </c>
      <c r="G408" t="str">
        <f>VLOOKUP(A408,'[1]MAIN-101'!$B$13:$M$787,12,FALSE)</f>
        <v>Payment for regular employees' clothing allowance for CY2021</v>
      </c>
      <c r="H408" s="562" t="e">
        <f>SUMIFS('[1]MAIN-101'!$Z$1:$Z$3000,'[1]MAIN-101'!$X$1:$X$3000,A408)</f>
        <v>#VALUE!</v>
      </c>
      <c r="I408" s="562" t="s">
        <v>2687</v>
      </c>
      <c r="J408" t="s">
        <v>2683</v>
      </c>
      <c r="K408" t="s">
        <v>2678</v>
      </c>
      <c r="L408" s="562" t="str">
        <f>VLOOKUP(A408,'Format for Import of DV'!$A$3:$S$1556,3,FALSE)</f>
        <v>259</v>
      </c>
      <c r="M408" s="562" t="e">
        <f>SUMIFS('Recon of ORS and DV'!D:D,'Recon of ORS and DV'!B:B,'DV List for import'!A408)</f>
        <v>#VALUE!</v>
      </c>
      <c r="N408" s="276" t="e">
        <f t="shared" si="22"/>
        <v>#VALUE!</v>
      </c>
    </row>
    <row r="409" spans="1:17">
      <c r="A409" t="s">
        <v>2282</v>
      </c>
      <c r="B409" t="str">
        <f t="shared" si="21"/>
        <v>Fund 01-2021-03-0398</v>
      </c>
      <c r="C409" s="562" t="e">
        <f>VLOOKUP(L409,'Import Process ORS'!$D$4:$E$1557,2,FALSE)</f>
        <v>#N/A</v>
      </c>
      <c r="D409" s="562">
        <f>SUMIFS('Import Process ORS'!L:L,'Import Process ORS'!E:E,'DV List for import'!C409)</f>
        <v>0</v>
      </c>
      <c r="E409" t="s">
        <v>2676</v>
      </c>
      <c r="F409" t="str">
        <f>VLOOKUP(A409,'[1]MAIN-101'!$B$13:$M$787,4,FALSE)</f>
        <v>LBP F/O DTI-PDI</v>
      </c>
      <c r="G409" t="str">
        <f>VLOOKUP(A409,'[1]MAIN-101'!$B$13:$M$787,12,FALSE)</f>
        <v>Payment for regular employees' clothing allowance for CY2021</v>
      </c>
      <c r="H409" s="562" t="e">
        <f>SUMIFS('[1]MAIN-101'!$Z$1:$Z$3000,'[1]MAIN-101'!$X$1:$X$3000,A409)</f>
        <v>#VALUE!</v>
      </c>
      <c r="I409" s="562" t="s">
        <v>2687</v>
      </c>
      <c r="J409" t="s">
        <v>2683</v>
      </c>
      <c r="K409" t="s">
        <v>2678</v>
      </c>
      <c r="L409" s="562" t="str">
        <f>VLOOKUP(A409,'Format for Import of DV'!$A$3:$S$1556,3,FALSE)</f>
        <v>260</v>
      </c>
      <c r="M409" s="562" t="e">
        <f>SUMIFS('Recon of ORS and DV'!D:D,'Recon of ORS and DV'!B:B,'DV List for import'!A409)</f>
        <v>#VALUE!</v>
      </c>
      <c r="N409" s="276" t="e">
        <f t="shared" si="22"/>
        <v>#VALUE!</v>
      </c>
    </row>
    <row r="410" spans="1:17">
      <c r="A410" t="s">
        <v>2267</v>
      </c>
      <c r="B410" t="str">
        <f t="shared" si="21"/>
        <v>Fund 01-2021-03-0399</v>
      </c>
      <c r="C410" s="562" t="e">
        <f>VLOOKUP(L410,'Import Process ORS'!$D$4:$E$1557,2,FALSE)</f>
        <v>#N/A</v>
      </c>
      <c r="D410" s="562">
        <f>SUMIFS('Import Process ORS'!L:L,'Import Process ORS'!E:E,'DV List for import'!C410)</f>
        <v>0</v>
      </c>
      <c r="E410" t="s">
        <v>2676</v>
      </c>
      <c r="F410" t="str">
        <f>VLOOKUP(A410,'[1]MAIN-101'!$B$13:$M$787,4,FALSE)</f>
        <v>CSC TRAINING FUND</v>
      </c>
      <c r="G410" t="str">
        <f>VLOOKUP(A410,'[1]MAIN-101'!$B$13:$M$787,12,FALSE)</f>
        <v>Payment of Registration Fee for the "Public Service Values in Times of Adversities" on June 8, 10, 15, 17, 22 and 24, 2021</v>
      </c>
      <c r="H410" s="562" t="e">
        <f>SUMIFS('[1]MAIN-101'!$Z$1:$Z$3000,'[1]MAIN-101'!$X$1:$X$3000,A410)</f>
        <v>#VALUE!</v>
      </c>
      <c r="I410" s="562" t="s">
        <v>2687</v>
      </c>
      <c r="J410" t="s">
        <v>2683</v>
      </c>
      <c r="K410" t="s">
        <v>2678</v>
      </c>
      <c r="L410" s="562" t="str">
        <f>VLOOKUP(A410,'Format for Import of DV'!$A$3:$S$1556,3,FALSE)</f>
        <v>245</v>
      </c>
      <c r="M410" s="562" t="e">
        <f>SUMIFS('Recon of ORS and DV'!D:D,'Recon of ORS and DV'!B:B,'DV List for import'!A410)</f>
        <v>#VALUE!</v>
      </c>
      <c r="N410" s="276" t="e">
        <f t="shared" si="22"/>
        <v>#VALUE!</v>
      </c>
    </row>
    <row r="411" spans="1:17">
      <c r="A411" t="s">
        <v>2563</v>
      </c>
      <c r="B411" t="str">
        <f t="shared" si="21"/>
        <v>Fund 01-2021-03-0400</v>
      </c>
      <c r="C411" s="562" t="e">
        <f>VLOOKUP(L411,'Import Process ORS'!$D$4:$E$1557,2,FALSE)</f>
        <v>#N/A</v>
      </c>
      <c r="D411" s="562">
        <f>SUMIFS('Import Process ORS'!L:L,'Import Process ORS'!E:E,'DV List for import'!C411)</f>
        <v>0</v>
      </c>
      <c r="E411" t="s">
        <v>2676</v>
      </c>
      <c r="F411" t="str">
        <f>VLOOKUP(A411,'[1]MAIN-101'!$B$13:$M$787,4,FALSE)</f>
        <v>LBP F/O DTI-RO</v>
      </c>
      <c r="G411" t="str">
        <f>VLOOKUP(A411,'[1]MAIN-101'!$B$13:$M$787,12,FALSE)</f>
        <v>Payment for regular employees' clothing allowance for CY2021</v>
      </c>
      <c r="H411" s="562" t="e">
        <f>SUMIFS('[1]MAIN-101'!$Z$1:$Z$3000,'[1]MAIN-101'!$X$1:$X$3000,A411)</f>
        <v>#VALUE!</v>
      </c>
      <c r="I411" s="562" t="s">
        <v>2687</v>
      </c>
      <c r="J411" t="s">
        <v>2683</v>
      </c>
      <c r="K411" t="s">
        <v>2678</v>
      </c>
      <c r="L411" s="562" t="str">
        <f>VLOOKUP(A411,'Format for Import of DV'!$A$3:$S$1556,3,FALSE)</f>
        <v>255</v>
      </c>
      <c r="M411" s="562" t="e">
        <f>SUMIFS('Recon of ORS and DV'!D:D,'Recon of ORS and DV'!B:B,'DV List for import'!A411)</f>
        <v>#VALUE!</v>
      </c>
      <c r="N411" s="276" t="e">
        <f t="shared" si="22"/>
        <v>#VALUE!</v>
      </c>
      <c r="P411" t="str">
        <f>VLOOKUP(A411,'[1]MAIN-101'!$B$8:$D$783,2,FALSE)</f>
        <v>03</v>
      </c>
      <c r="Q411" t="str">
        <f>VLOOKUP(A411,'[1]MAIN-101'!$B$8:$D$783,3,FALSE)</f>
        <v>255</v>
      </c>
    </row>
    <row r="412" spans="1:17">
      <c r="A412" t="s">
        <v>2564</v>
      </c>
      <c r="B412" t="str">
        <f t="shared" si="21"/>
        <v>Fund 01-2021-03-0401</v>
      </c>
      <c r="C412" s="564" t="str">
        <f t="shared" ref="C412:C425" si="23">L412</f>
        <v>0000-00-0000</v>
      </c>
      <c r="D412" s="562">
        <f>SUMIFS('Import Process ORS'!L:L,'Import Process ORS'!E:E,'DV List for import'!C412)</f>
        <v>0</v>
      </c>
      <c r="E412" t="s">
        <v>2676</v>
      </c>
      <c r="F412" t="str">
        <f>VLOOKUP(A412,'[1]MAIN-101'!$B$13:$M$787,4,FALSE)</f>
        <v>Gideon B. Ursos</v>
      </c>
      <c r="G412" t="str">
        <f>VLOOKUP(A412,'[1]MAIN-101'!$B$13:$M$787,12,FALSE)</f>
        <v>Refund, GSIS-conso loan from Marc 2021 payrol</v>
      </c>
      <c r="H412" s="562" t="e">
        <f>SUMIFS('[1]MAIN-101'!$Z$1:$Z$3000,'[1]MAIN-101'!$X$1:$X$3000,A412)</f>
        <v>#VALUE!</v>
      </c>
      <c r="I412" s="562" t="s">
        <v>2662</v>
      </c>
      <c r="J412" t="s">
        <v>2053</v>
      </c>
      <c r="K412" t="s">
        <v>2680</v>
      </c>
      <c r="L412" s="564" t="s">
        <v>2666</v>
      </c>
      <c r="M412" s="562">
        <f>SUMIFS('Recon of ORS and DV'!D:D,'Recon of ORS and DV'!B:B,'DV List for import'!A412)</f>
        <v>0</v>
      </c>
      <c r="N412" s="276" t="e">
        <f t="shared" si="22"/>
        <v>#VALUE!</v>
      </c>
      <c r="O412" t="s">
        <v>2663</v>
      </c>
    </row>
    <row r="413" spans="1:17">
      <c r="A413" t="s">
        <v>2565</v>
      </c>
      <c r="B413" t="str">
        <f t="shared" si="21"/>
        <v>Fund 01-2021-03-0402</v>
      </c>
      <c r="C413" s="564" t="str">
        <f t="shared" si="23"/>
        <v>0000-00-0000</v>
      </c>
      <c r="D413" s="562">
        <f>SUMIFS('Import Process ORS'!L:L,'Import Process ORS'!E:E,'DV List for import'!C413)</f>
        <v>0</v>
      </c>
      <c r="E413" t="s">
        <v>2676</v>
      </c>
      <c r="F413" t="str">
        <f>VLOOKUP(A413,'[1]MAIN-101'!$B$13:$M$787,4,FALSE)</f>
        <v>HDMF-Butuan City</v>
      </c>
      <c r="G413" t="str">
        <f>VLOOKUP(A413,'[1]MAIN-101'!$B$13:$M$787,12,FALSE)</f>
        <v>Remittance for HDMF premiums and loans payment of regular employees for the month of March 2021</v>
      </c>
      <c r="H413" s="562" t="e">
        <f>SUMIFS('[1]MAIN-101'!$Z$1:$Z$3000,'[1]MAIN-101'!$X$1:$X$3000,A413)</f>
        <v>#VALUE!</v>
      </c>
      <c r="I413" s="562" t="s">
        <v>2662</v>
      </c>
      <c r="J413" t="s">
        <v>2053</v>
      </c>
      <c r="K413" t="s">
        <v>2680</v>
      </c>
      <c r="L413" s="564" t="s">
        <v>2666</v>
      </c>
      <c r="M413" s="562">
        <f>SUMIFS('Recon of ORS and DV'!D:D,'Recon of ORS and DV'!B:B,'DV List for import'!A413)</f>
        <v>0</v>
      </c>
      <c r="N413" s="276" t="e">
        <f t="shared" si="22"/>
        <v>#VALUE!</v>
      </c>
      <c r="O413" t="s">
        <v>2662</v>
      </c>
    </row>
    <row r="414" spans="1:17">
      <c r="A414" t="s">
        <v>2566</v>
      </c>
      <c r="B414" t="str">
        <f t="shared" si="21"/>
        <v>Fund 01-2021-03-0403</v>
      </c>
      <c r="C414" s="564" t="str">
        <f t="shared" si="23"/>
        <v>0000-00-0000</v>
      </c>
      <c r="D414" s="562">
        <f>SUMIFS('Import Process ORS'!L:L,'Import Process ORS'!E:E,'DV List for import'!C414)</f>
        <v>0</v>
      </c>
      <c r="E414" t="s">
        <v>2676</v>
      </c>
      <c r="F414" t="str">
        <f>VLOOKUP(A414,'[1]MAIN-101'!$B$13:$M$787,4,FALSE)</f>
        <v>PHIC-Butuan City</v>
      </c>
      <c r="G414" t="str">
        <f>VLOOKUP(A414,'[1]MAIN-101'!$B$13:$M$787,12,FALSE)</f>
        <v>Remittance for PHIC premiums and loans payment of regular employees for the month of March 2021</v>
      </c>
      <c r="H414" s="562" t="e">
        <f>SUMIFS('[1]MAIN-101'!$Z$1:$Z$3000,'[1]MAIN-101'!$X$1:$X$3000,A414)</f>
        <v>#VALUE!</v>
      </c>
      <c r="I414" s="562" t="s">
        <v>2662</v>
      </c>
      <c r="J414" t="s">
        <v>2053</v>
      </c>
      <c r="K414" t="s">
        <v>2680</v>
      </c>
      <c r="L414" s="564" t="s">
        <v>2666</v>
      </c>
      <c r="M414" s="562">
        <f>SUMIFS('Recon of ORS and DV'!D:D,'Recon of ORS and DV'!B:B,'DV List for import'!A414)</f>
        <v>0</v>
      </c>
      <c r="N414" s="276" t="e">
        <f t="shared" si="22"/>
        <v>#VALUE!</v>
      </c>
      <c r="O414" t="s">
        <v>2662</v>
      </c>
    </row>
    <row r="415" spans="1:17">
      <c r="A415" t="s">
        <v>2567</v>
      </c>
      <c r="B415" t="str">
        <f t="shared" si="21"/>
        <v>Fund 01-2021-03-0404</v>
      </c>
      <c r="C415" s="564" t="str">
        <f t="shared" si="23"/>
        <v>0000-00-0000</v>
      </c>
      <c r="D415" s="562">
        <f>SUMIFS('Import Process ORS'!L:L,'Import Process ORS'!E:E,'DV List for import'!C415)</f>
        <v>0</v>
      </c>
      <c r="E415" t="s">
        <v>2676</v>
      </c>
      <c r="F415" t="str">
        <f>VLOOKUP(A415,'[1]MAIN-101'!$B$13:$M$787,4,FALSE)</f>
        <v>DTI-Provident Fund</v>
      </c>
      <c r="G415" t="str">
        <f>VLOOKUP(A415,'[1]MAIN-101'!$B$13:$M$787,12,FALSE)</f>
        <v>Remittance for PF premiums and loans payment of regular employees for the month of March 2021</v>
      </c>
      <c r="H415" s="562" t="e">
        <f>SUMIFS('[1]MAIN-101'!$Z$1:$Z$3000,'[1]MAIN-101'!$X$1:$X$3000,A415)</f>
        <v>#VALUE!</v>
      </c>
      <c r="I415" s="562" t="s">
        <v>2662</v>
      </c>
      <c r="J415" t="s">
        <v>2053</v>
      </c>
      <c r="K415" t="s">
        <v>2680</v>
      </c>
      <c r="L415" s="564" t="s">
        <v>2666</v>
      </c>
      <c r="M415" s="562">
        <f>SUMIFS('Recon of ORS and DV'!D:D,'Recon of ORS and DV'!B:B,'DV List for import'!A415)</f>
        <v>0</v>
      </c>
      <c r="N415" s="276" t="e">
        <f t="shared" si="22"/>
        <v>#VALUE!</v>
      </c>
      <c r="O415" t="s">
        <v>2662</v>
      </c>
    </row>
    <row r="416" spans="1:17">
      <c r="A416" t="s">
        <v>2568</v>
      </c>
      <c r="B416" t="str">
        <f t="shared" si="21"/>
        <v>Fund 01-2021-03-0405</v>
      </c>
      <c r="C416" s="564" t="str">
        <f t="shared" si="23"/>
        <v>0000-00-0000</v>
      </c>
      <c r="D416" s="562">
        <f>SUMIFS('Import Process ORS'!L:L,'Import Process ORS'!E:E,'DV List for import'!C416)</f>
        <v>0</v>
      </c>
      <c r="E416" t="s">
        <v>2676</v>
      </c>
      <c r="F416" t="str">
        <f>VLOOKUP(A416,'[1]MAIN-101'!$B$13:$M$787,4,FALSE)</f>
        <v>DTI-MDBF</v>
      </c>
      <c r="G416" t="str">
        <f>VLOOKUP(A416,'[1]MAIN-101'!$B$13:$M$787,12,FALSE)</f>
        <v>Remittance for MDBF  premiums payment of regular employees for the month of March 2021</v>
      </c>
      <c r="H416" s="562" t="e">
        <f>SUMIFS('[1]MAIN-101'!$Z$1:$Z$3000,'[1]MAIN-101'!$X$1:$X$3000,A416)</f>
        <v>#VALUE!</v>
      </c>
      <c r="I416" s="562" t="s">
        <v>2662</v>
      </c>
      <c r="J416" t="s">
        <v>2053</v>
      </c>
      <c r="K416" t="s">
        <v>2680</v>
      </c>
      <c r="L416" s="564" t="s">
        <v>2666</v>
      </c>
      <c r="M416" s="562">
        <f>SUMIFS('Recon of ORS and DV'!D:D,'Recon of ORS and DV'!B:B,'DV List for import'!A416)</f>
        <v>0</v>
      </c>
      <c r="N416" s="276" t="e">
        <f t="shared" si="22"/>
        <v>#VALUE!</v>
      </c>
      <c r="O416" t="s">
        <v>2662</v>
      </c>
    </row>
    <row r="417" spans="1:15">
      <c r="A417" t="s">
        <v>2569</v>
      </c>
      <c r="B417" t="str">
        <f t="shared" si="21"/>
        <v>Fund 01-2021-03-0406</v>
      </c>
      <c r="C417" s="564" t="str">
        <f t="shared" si="23"/>
        <v>0000-00-0000</v>
      </c>
      <c r="D417" s="562">
        <f>SUMIFS('Import Process ORS'!L:L,'Import Process ORS'!E:E,'DV List for import'!C417)</f>
        <v>0</v>
      </c>
      <c r="E417" t="s">
        <v>2676</v>
      </c>
      <c r="F417" t="str">
        <f>VLOOKUP(A417,'[1]MAIN-101'!$B$13:$M$787,4,FALSE)</f>
        <v>DTI-Employees Union</v>
      </c>
      <c r="G417" t="str">
        <f>VLOOKUP(A417,'[1]MAIN-101'!$B$13:$M$787,12,FALSE)</f>
        <v>Remittance for HMO  premiums payment of regular employees for the month of March 2021</v>
      </c>
      <c r="H417" s="562" t="e">
        <f>SUMIFS('[1]MAIN-101'!$Z$1:$Z$3000,'[1]MAIN-101'!$X$1:$X$3000,A417)</f>
        <v>#VALUE!</v>
      </c>
      <c r="I417" s="562" t="s">
        <v>2662</v>
      </c>
      <c r="J417" t="s">
        <v>2053</v>
      </c>
      <c r="K417" t="s">
        <v>2680</v>
      </c>
      <c r="L417" s="564" t="s">
        <v>2666</v>
      </c>
      <c r="M417" s="562">
        <f>SUMIFS('Recon of ORS and DV'!D:D,'Recon of ORS and DV'!B:B,'DV List for import'!A417)</f>
        <v>0</v>
      </c>
      <c r="N417" s="276" t="e">
        <f t="shared" si="22"/>
        <v>#VALUE!</v>
      </c>
      <c r="O417" t="s">
        <v>2662</v>
      </c>
    </row>
    <row r="418" spans="1:15">
      <c r="A418" t="s">
        <v>2570</v>
      </c>
      <c r="B418" t="str">
        <f t="shared" si="21"/>
        <v>Fund 01-2021-03-0407</v>
      </c>
      <c r="C418" s="564" t="str">
        <f t="shared" si="23"/>
        <v>0000-00-0000</v>
      </c>
      <c r="D418" s="562">
        <f>SUMIFS('Import Process ORS'!L:L,'Import Process ORS'!E:E,'DV List for import'!C418)</f>
        <v>0</v>
      </c>
      <c r="E418" t="s">
        <v>2676</v>
      </c>
      <c r="F418" t="str">
        <f>VLOOKUP(A418,'[1]MAIN-101'!$B$13:$M$787,4,FALSE)</f>
        <v>DREAMCO</v>
      </c>
      <c r="G418" t="str">
        <f>VLOOKUP(A418,'[1]MAIN-101'!$B$13:$M$787,12,FALSE)</f>
        <v>Remittance for Coop deductions from PO's for the month of March, 2021</v>
      </c>
      <c r="H418" s="562" t="e">
        <f>SUMIFS('[1]MAIN-101'!$Z$1:$Z$3000,'[1]MAIN-101'!$X$1:$X$3000,A418)</f>
        <v>#VALUE!</v>
      </c>
      <c r="I418" s="562" t="s">
        <v>2662</v>
      </c>
      <c r="J418" t="s">
        <v>2053</v>
      </c>
      <c r="K418" t="s">
        <v>2680</v>
      </c>
      <c r="L418" s="564" t="s">
        <v>2666</v>
      </c>
      <c r="M418" s="562">
        <f>SUMIFS('Recon of ORS and DV'!D:D,'Recon of ORS and DV'!B:B,'DV List for import'!A418)</f>
        <v>0</v>
      </c>
      <c r="N418" s="276" t="e">
        <f t="shared" si="22"/>
        <v>#VALUE!</v>
      </c>
      <c r="O418" t="s">
        <v>2662</v>
      </c>
    </row>
    <row r="419" spans="1:15">
      <c r="A419" t="s">
        <v>2571</v>
      </c>
      <c r="B419" t="str">
        <f t="shared" si="21"/>
        <v>Fund 01-2021-03-0408</v>
      </c>
      <c r="C419" s="564" t="str">
        <f t="shared" si="23"/>
        <v>0000-00-0000</v>
      </c>
      <c r="D419" s="562">
        <f>SUMIFS('Import Process ORS'!L:L,'Import Process ORS'!E:E,'DV List for import'!C419)</f>
        <v>0</v>
      </c>
      <c r="E419" t="s">
        <v>2676</v>
      </c>
      <c r="F419" t="str">
        <f>VLOOKUP(A419,'[1]MAIN-101'!$B$13:$M$787,4,FALSE)</f>
        <v>GLAD MPC</v>
      </c>
      <c r="G419" t="str">
        <f>VLOOKUP(A419,'[1]MAIN-101'!$B$13:$M$787,12,FALSE)</f>
        <v>Remittance for Coop deductions from PO's for the month of March, 2021</v>
      </c>
      <c r="H419" s="562" t="e">
        <f>SUMIFS('[1]MAIN-101'!$Z$1:$Z$3000,'[1]MAIN-101'!$X$1:$X$3000,A419)</f>
        <v>#VALUE!</v>
      </c>
      <c r="I419" s="562" t="s">
        <v>2662</v>
      </c>
      <c r="J419" t="s">
        <v>2053</v>
      </c>
      <c r="K419" t="s">
        <v>2680</v>
      </c>
      <c r="L419" s="564" t="s">
        <v>2666</v>
      </c>
      <c r="M419" s="562">
        <f>SUMIFS('Recon of ORS and DV'!D:D,'Recon of ORS and DV'!B:B,'DV List for import'!A419)</f>
        <v>0</v>
      </c>
      <c r="N419" s="276" t="e">
        <f t="shared" si="22"/>
        <v>#VALUE!</v>
      </c>
      <c r="O419" t="s">
        <v>2662</v>
      </c>
    </row>
    <row r="420" spans="1:15">
      <c r="A420" t="s">
        <v>2572</v>
      </c>
      <c r="B420" t="str">
        <f t="shared" si="21"/>
        <v>Fund 01-2021-03-0409</v>
      </c>
      <c r="C420" s="564" t="str">
        <f t="shared" si="23"/>
        <v>0000-00-0000</v>
      </c>
      <c r="D420" s="562">
        <f>SUMIFS('Import Process ORS'!L:L,'Import Process ORS'!E:E,'DV List for import'!C420)</f>
        <v>0</v>
      </c>
      <c r="E420" t="s">
        <v>2676</v>
      </c>
      <c r="F420" t="str">
        <f>VLOOKUP(A420,'[1]MAIN-101'!$B$13:$M$787,4,FALSE)</f>
        <v>SURE DEV'T COOPERATIVE</v>
      </c>
      <c r="G420" t="str">
        <f>VLOOKUP(A420,'[1]MAIN-101'!$B$13:$M$787,12,FALSE)</f>
        <v>Remittance for Coop deductions from PO's for the month of March, 2021</v>
      </c>
      <c r="H420" s="562" t="e">
        <f>SUMIFS('[1]MAIN-101'!$Z$1:$Z$3000,'[1]MAIN-101'!$X$1:$X$3000,A420)</f>
        <v>#VALUE!</v>
      </c>
      <c r="I420" s="562" t="s">
        <v>2662</v>
      </c>
      <c r="J420" t="s">
        <v>2053</v>
      </c>
      <c r="K420" t="s">
        <v>2680</v>
      </c>
      <c r="L420" s="564" t="s">
        <v>2666</v>
      </c>
      <c r="M420" s="562">
        <f>SUMIFS('Recon of ORS and DV'!D:D,'Recon of ORS and DV'!B:B,'DV List for import'!A420)</f>
        <v>0</v>
      </c>
      <c r="N420" s="276" t="e">
        <f t="shared" si="22"/>
        <v>#VALUE!</v>
      </c>
      <c r="O420" t="s">
        <v>2662</v>
      </c>
    </row>
    <row r="421" spans="1:15">
      <c r="A421" t="s">
        <v>2573</v>
      </c>
      <c r="B421" t="str">
        <f t="shared" si="21"/>
        <v>Fund 01-2021-03-0410</v>
      </c>
      <c r="C421" s="564" t="str">
        <f t="shared" si="23"/>
        <v>0000-00-0000</v>
      </c>
      <c r="D421" s="562">
        <f>SUMIFS('Import Process ORS'!L:L,'Import Process ORS'!E:E,'DV List for import'!C421)</f>
        <v>0</v>
      </c>
      <c r="E421" t="s">
        <v>2676</v>
      </c>
      <c r="F421" t="str">
        <f>VLOOKUP(A421,'[1]MAIN-101'!$B$13:$M$787,4,FALSE)</f>
        <v>Sunlife of Canada Phils. Inc</v>
      </c>
      <c r="G421" t="str">
        <f>VLOOKUP(A421,'[1]MAIN-101'!$B$13:$M$787,12,FALSE)</f>
        <v>Remittance for insurance premium of Regular employees for the month of March, 2021</v>
      </c>
      <c r="H421" s="562" t="e">
        <f>SUMIFS('[1]MAIN-101'!$Z$1:$Z$3000,'[1]MAIN-101'!$X$1:$X$3000,A421)</f>
        <v>#VALUE!</v>
      </c>
      <c r="I421" s="562" t="s">
        <v>2662</v>
      </c>
      <c r="J421" t="s">
        <v>2053</v>
      </c>
      <c r="K421" t="s">
        <v>2680</v>
      </c>
      <c r="L421" s="564" t="s">
        <v>2666</v>
      </c>
      <c r="M421" s="562">
        <f>SUMIFS('Recon of ORS and DV'!D:D,'Recon of ORS and DV'!B:B,'DV List for import'!A421)</f>
        <v>0</v>
      </c>
      <c r="N421" s="276" t="e">
        <f t="shared" si="22"/>
        <v>#VALUE!</v>
      </c>
      <c r="O421" t="s">
        <v>2662</v>
      </c>
    </row>
    <row r="422" spans="1:15">
      <c r="A422" t="s">
        <v>2574</v>
      </c>
      <c r="B422" t="str">
        <f t="shared" si="21"/>
        <v>Fund 01-2021-03-0411</v>
      </c>
      <c r="C422" s="564" t="str">
        <f t="shared" si="23"/>
        <v>0000-00-0000</v>
      </c>
      <c r="D422" s="562">
        <f>SUMIFS('Import Process ORS'!L:L,'Import Process ORS'!E:E,'DV List for import'!C422)</f>
        <v>0</v>
      </c>
      <c r="E422" t="s">
        <v>2676</v>
      </c>
      <c r="F422" t="str">
        <f>VLOOKUP(A422,'[1]MAIN-101'!$B$13:$M$787,4,FALSE)</f>
        <v>Bureau of Treasury</v>
      </c>
      <c r="G422" t="str">
        <f>VLOOKUP(A422,'[1]MAIN-101'!$B$13:$M$787,12,FALSE)</f>
        <v>Remittance for disallowances from regular employees for the month of March 2021</v>
      </c>
      <c r="H422" s="562" t="e">
        <f>SUMIFS('[1]MAIN-101'!$Z$1:$Z$3000,'[1]MAIN-101'!$X$1:$X$3000,A422)</f>
        <v>#VALUE!</v>
      </c>
      <c r="I422" s="562" t="s">
        <v>2662</v>
      </c>
      <c r="J422" t="s">
        <v>2053</v>
      </c>
      <c r="K422" t="s">
        <v>2680</v>
      </c>
      <c r="L422" s="564" t="s">
        <v>2666</v>
      </c>
      <c r="M422" s="562">
        <f>SUMIFS('Recon of ORS and DV'!D:D,'Recon of ORS and DV'!B:B,'DV List for import'!A422)</f>
        <v>0</v>
      </c>
      <c r="N422" s="276" t="e">
        <f t="shared" si="22"/>
        <v>#VALUE!</v>
      </c>
      <c r="O422" t="s">
        <v>2662</v>
      </c>
    </row>
    <row r="423" spans="1:15">
      <c r="A423" t="s">
        <v>2575</v>
      </c>
      <c r="B423" t="str">
        <f t="shared" si="21"/>
        <v>Fund 01-2021-03-0412</v>
      </c>
      <c r="C423" s="564" t="str">
        <f t="shared" si="23"/>
        <v>0000-00-0000</v>
      </c>
      <c r="D423" s="562">
        <f>SUMIFS('Import Process ORS'!L:L,'Import Process ORS'!E:E,'DV List for import'!C423)</f>
        <v>0</v>
      </c>
      <c r="E423" t="s">
        <v>2676</v>
      </c>
      <c r="F423" t="str">
        <f>VLOOKUP(A423,'[1]MAIN-101'!$B$13:$M$787,4,FALSE)</f>
        <v>Maribel P. Timogan</v>
      </c>
      <c r="G423" t="str">
        <f>VLOOKUP(A423,'[1]MAIN-101'!$B$13:$M$787,12,FALSE)</f>
        <v>Refund of over deduction of PHIC premium from initial salary Jan 2021</v>
      </c>
      <c r="H423" s="562" t="e">
        <f>SUMIFS('[1]MAIN-101'!$Z$1:$Z$3000,'[1]MAIN-101'!$X$1:$X$3000,A423)</f>
        <v>#VALUE!</v>
      </c>
      <c r="I423" s="562" t="s">
        <v>2662</v>
      </c>
      <c r="J423" t="s">
        <v>2053</v>
      </c>
      <c r="K423" t="s">
        <v>2680</v>
      </c>
      <c r="L423" s="564" t="s">
        <v>2666</v>
      </c>
      <c r="M423" s="562">
        <f>SUMIFS('Recon of ORS and DV'!D:D,'Recon of ORS and DV'!B:B,'DV List for import'!A423)</f>
        <v>0</v>
      </c>
      <c r="N423" s="276" t="e">
        <f t="shared" si="22"/>
        <v>#VALUE!</v>
      </c>
      <c r="O423" t="s">
        <v>2663</v>
      </c>
    </row>
    <row r="424" spans="1:15">
      <c r="A424" t="s">
        <v>2576</v>
      </c>
      <c r="B424" t="str">
        <f t="shared" ref="B424:B487" si="24">CONCATENATE("Fund 01-2021-03-",A424)</f>
        <v>Fund 01-2021-03-0413</v>
      </c>
      <c r="C424" s="564" t="str">
        <f t="shared" si="23"/>
        <v>0000-00-0000</v>
      </c>
      <c r="D424" s="562">
        <f>SUMIFS('Import Process ORS'!L:L,'Import Process ORS'!E:E,'DV List for import'!C424)</f>
        <v>0</v>
      </c>
      <c r="E424" t="s">
        <v>2676</v>
      </c>
      <c r="F424" t="str">
        <f>VLOOKUP(A424,'[1]MAIN-101'!$B$13:$M$787,4,FALSE)</f>
        <v>DREAMCO MPC</v>
      </c>
      <c r="G424" t="str">
        <f>VLOOKUP(A424,'[1]MAIN-101'!$B$13:$M$787,12,FALSE)</f>
        <v>Remittance for coop deductions from PO's for the month of Februar, 2021</v>
      </c>
      <c r="H424" s="562" t="e">
        <f>SUMIFS('[1]MAIN-101'!$Z$1:$Z$3000,'[1]MAIN-101'!$X$1:$X$3000,A424)</f>
        <v>#VALUE!</v>
      </c>
      <c r="I424" s="562" t="s">
        <v>2662</v>
      </c>
      <c r="J424" t="s">
        <v>2053</v>
      </c>
      <c r="K424" t="s">
        <v>2680</v>
      </c>
      <c r="L424" s="564" t="s">
        <v>2666</v>
      </c>
      <c r="M424" s="562">
        <f>SUMIFS('Recon of ORS and DV'!D:D,'Recon of ORS and DV'!B:B,'DV List for import'!A424)</f>
        <v>0</v>
      </c>
      <c r="N424" s="276" t="e">
        <f t="shared" si="22"/>
        <v>#VALUE!</v>
      </c>
      <c r="O424" t="s">
        <v>2662</v>
      </c>
    </row>
    <row r="425" spans="1:15">
      <c r="A425" t="s">
        <v>2577</v>
      </c>
      <c r="B425" t="str">
        <f t="shared" si="24"/>
        <v>Fund 01-2021-03-0414</v>
      </c>
      <c r="C425" s="564" t="str">
        <f t="shared" si="23"/>
        <v>0000-00-0000</v>
      </c>
      <c r="D425" s="562">
        <f>SUMIFS('Import Process ORS'!L:L,'Import Process ORS'!E:E,'DV List for import'!C425)</f>
        <v>0</v>
      </c>
      <c r="E425" t="s">
        <v>2676</v>
      </c>
      <c r="F425" t="str">
        <f>VLOOKUP(A425,'[1]MAIN-101'!$B$13:$M$787,4,FALSE)</f>
        <v>GSIS</v>
      </c>
      <c r="G425" t="str">
        <f>VLOOKUP(A425,'[1]MAIN-101'!$B$13:$M$787,12,FALSE)</f>
        <v>Remittance for GSIS premiums of regular employees for the month of March 2021</v>
      </c>
      <c r="H425" s="562" t="e">
        <f>SUMIFS('[1]MAIN-101'!$Z$1:$Z$3000,'[1]MAIN-101'!$X$1:$X$3000,A425)</f>
        <v>#VALUE!</v>
      </c>
      <c r="I425" s="562" t="s">
        <v>2662</v>
      </c>
      <c r="J425" t="s">
        <v>2053</v>
      </c>
      <c r="K425" t="s">
        <v>2680</v>
      </c>
      <c r="L425" s="564" t="s">
        <v>2666</v>
      </c>
      <c r="M425" s="562">
        <f>SUMIFS('Recon of ORS and DV'!D:D,'Recon of ORS and DV'!B:B,'DV List for import'!A425)</f>
        <v>0</v>
      </c>
      <c r="N425" s="276" t="e">
        <f t="shared" si="22"/>
        <v>#VALUE!</v>
      </c>
      <c r="O425" t="s">
        <v>2662</v>
      </c>
    </row>
    <row r="426" spans="1:15">
      <c r="A426" t="s">
        <v>2289</v>
      </c>
      <c r="B426" t="str">
        <f t="shared" si="24"/>
        <v>Fund 01-2021-03-0415</v>
      </c>
      <c r="C426" s="562" t="e">
        <f>VLOOKUP(L426,'Import Process ORS'!$D$4:$E$1557,2,FALSE)</f>
        <v>#N/A</v>
      </c>
      <c r="D426" s="562">
        <f>SUMIFS('Import Process ORS'!L:L,'Import Process ORS'!E:E,'DV List for import'!C426)</f>
        <v>0</v>
      </c>
      <c r="E426" t="s">
        <v>2676</v>
      </c>
      <c r="F426" t="str">
        <f>VLOOKUP(A426,'[1]MAIN-101'!$B$13:$M$787,4,FALSE)</f>
        <v>Edwin O. Banquerigo</v>
      </c>
      <c r="G426" t="str">
        <f>VLOOKUP(A426,'[1]MAIN-101'!$B$13:$M$787,12,FALSE)</f>
        <v>Payment for extraordinary expenses for March 2021</v>
      </c>
      <c r="H426" s="562" t="e">
        <f>SUMIFS('[1]MAIN-101'!$Z$1:$Z$3000,'[1]MAIN-101'!$X$1:$X$3000,A426)</f>
        <v>#VALUE!</v>
      </c>
      <c r="I426" s="562" t="s">
        <v>2687</v>
      </c>
      <c r="J426" t="s">
        <v>2683</v>
      </c>
      <c r="K426" t="s">
        <v>2678</v>
      </c>
      <c r="L426" s="562" t="str">
        <f>VLOOKUP(A426,'Format for Import of DV'!$A$3:$S$1556,3,FALSE)</f>
        <v>267</v>
      </c>
      <c r="M426" s="562" t="e">
        <f>SUMIFS('Recon of ORS and DV'!D:D,'Recon of ORS and DV'!B:B,'DV List for import'!A426)</f>
        <v>#VALUE!</v>
      </c>
      <c r="N426" s="276" t="e">
        <f t="shared" si="22"/>
        <v>#VALUE!</v>
      </c>
    </row>
    <row r="427" spans="1:15">
      <c r="A427" t="s">
        <v>2287</v>
      </c>
      <c r="B427" t="str">
        <f t="shared" si="24"/>
        <v>Fund 01-2021-03-0416</v>
      </c>
      <c r="C427" s="562" t="e">
        <f>VLOOKUP(L427,'Import Process ORS'!$D$4:$E$1557,2,FALSE)</f>
        <v>#N/A</v>
      </c>
      <c r="D427" s="562">
        <f>SUMIFS('Import Process ORS'!L:L,'Import Process ORS'!E:E,'DV List for import'!C427)</f>
        <v>0</v>
      </c>
      <c r="E427" t="s">
        <v>2676</v>
      </c>
      <c r="F427" t="str">
        <f>VLOOKUP(A427,'[1]MAIN-101'!$B$13:$M$787,4,FALSE)</f>
        <v>Land Bank of the Philippines</v>
      </c>
      <c r="G427" t="str">
        <f>VLOOKUP(A427,'[1]MAIN-101'!$B$13:$M$787,12,FALSE)</f>
        <v>Payment for salaries for RAPID PCU AND Staff driver for March 1-15, 2021</v>
      </c>
      <c r="H427" s="562" t="e">
        <f>SUMIFS('[1]MAIN-101'!$Z$1:$Z$3000,'[1]MAIN-101'!$X$1:$X$3000,A427)</f>
        <v>#VALUE!</v>
      </c>
      <c r="I427" s="562" t="s">
        <v>2687</v>
      </c>
      <c r="J427" t="s">
        <v>2683</v>
      </c>
      <c r="K427" t="s">
        <v>2678</v>
      </c>
      <c r="L427" s="562" t="str">
        <f>VLOOKUP(A427,'Format for Import of DV'!$A$3:$S$1556,3,FALSE)</f>
        <v>265</v>
      </c>
      <c r="M427" s="562" t="e">
        <f>SUMIFS('Recon of ORS and DV'!D:D,'Recon of ORS and DV'!B:B,'DV List for import'!A427)</f>
        <v>#VALUE!</v>
      </c>
      <c r="N427" s="276" t="e">
        <f t="shared" si="22"/>
        <v>#VALUE!</v>
      </c>
    </row>
    <row r="428" spans="1:15">
      <c r="A428" t="s">
        <v>2286</v>
      </c>
      <c r="B428" t="str">
        <f t="shared" si="24"/>
        <v>Fund 01-2021-03-0417</v>
      </c>
      <c r="C428" s="562" t="e">
        <f>VLOOKUP(L428,'Import Process ORS'!$D$4:$E$1557,2,FALSE)</f>
        <v>#N/A</v>
      </c>
      <c r="D428" s="562">
        <f>SUMIFS('Import Process ORS'!L:L,'Import Process ORS'!E:E,'DV List for import'!C428)</f>
        <v>0</v>
      </c>
      <c r="E428" t="s">
        <v>2676</v>
      </c>
      <c r="F428" t="str">
        <f>VLOOKUP(A428,'[1]MAIN-101'!$B$13:$M$787,4,FALSE)</f>
        <v>Land Bank of the Philippines</v>
      </c>
      <c r="G428" t="str">
        <f>VLOOKUP(A428,'[1]MAIN-101'!$B$13:$M$787,12,FALSE)</f>
        <v>Payment for salaries for RAPID PCU AND Staff driver for March 1-15, 2021</v>
      </c>
      <c r="H428" s="562" t="e">
        <f>SUMIFS('[1]MAIN-101'!$Z$1:$Z$3000,'[1]MAIN-101'!$X$1:$X$3000,A428)</f>
        <v>#VALUE!</v>
      </c>
      <c r="I428" s="562" t="s">
        <v>2687</v>
      </c>
      <c r="J428" t="s">
        <v>2683</v>
      </c>
      <c r="K428" t="s">
        <v>2678</v>
      </c>
      <c r="L428" s="562" t="str">
        <f>VLOOKUP(A428,'Format for Import of DV'!$A$3:$S$1556,3,FALSE)</f>
        <v>264</v>
      </c>
      <c r="M428" s="562" t="e">
        <f>SUMIFS('Recon of ORS and DV'!D:D,'Recon of ORS and DV'!B:B,'DV List for import'!A428)</f>
        <v>#VALUE!</v>
      </c>
      <c r="N428" s="276" t="e">
        <f t="shared" si="22"/>
        <v>#VALUE!</v>
      </c>
    </row>
    <row r="429" spans="1:15">
      <c r="A429" t="s">
        <v>2290</v>
      </c>
      <c r="B429" t="str">
        <f t="shared" si="24"/>
        <v>Fund 01-2021-03-0418</v>
      </c>
      <c r="C429" s="562" t="e">
        <f>VLOOKUP(L429,'Import Process ORS'!$D$4:$E$1557,2,FALSE)</f>
        <v>#N/A</v>
      </c>
      <c r="D429" s="562">
        <f>SUMIFS('Import Process ORS'!L:L,'Import Process ORS'!E:E,'DV List for import'!C429)</f>
        <v>0</v>
      </c>
      <c r="E429" t="s">
        <v>2676</v>
      </c>
      <c r="F429" t="str">
        <f>VLOOKUP(A429,'[1]MAIN-101'!$B$13:$M$787,4,FALSE)</f>
        <v>Fevi V. Silvosa</v>
      </c>
      <c r="G429" t="str">
        <f>VLOOKUP(A429,'[1]MAIN-101'!$B$13:$M$787,12,FALSE)</f>
        <v>Payment for JO for the period March 1-15, 2021</v>
      </c>
      <c r="H429" s="562" t="e">
        <f>SUMIFS('[1]MAIN-101'!$Z$1:$Z$3000,'[1]MAIN-101'!$X$1:$X$3000,A429)</f>
        <v>#VALUE!</v>
      </c>
      <c r="I429" s="562" t="s">
        <v>2687</v>
      </c>
      <c r="J429" t="s">
        <v>2683</v>
      </c>
      <c r="K429" t="s">
        <v>2678</v>
      </c>
      <c r="L429" s="562" t="str">
        <f>VLOOKUP(A429,'Format for Import of DV'!$A$3:$S$1556,3,FALSE)</f>
        <v>268</v>
      </c>
      <c r="M429" s="562" t="e">
        <f>SUMIFS('Recon of ORS and DV'!D:D,'Recon of ORS and DV'!B:B,'DV List for import'!A429)</f>
        <v>#VALUE!</v>
      </c>
      <c r="N429" s="276" t="e">
        <f t="shared" si="22"/>
        <v>#VALUE!</v>
      </c>
    </row>
    <row r="430" spans="1:15">
      <c r="A430" t="s">
        <v>2578</v>
      </c>
      <c r="B430" t="str">
        <f t="shared" si="24"/>
        <v>Fund 01-2021-03-0419</v>
      </c>
      <c r="C430" s="564" t="str">
        <f t="shared" ref="C430:C459" si="25">L430</f>
        <v>0000-00-0000</v>
      </c>
      <c r="D430" s="562">
        <f>SUMIFS('Import Process ORS'!L:L,'Import Process ORS'!E:E,'DV List for import'!C430)</f>
        <v>0</v>
      </c>
      <c r="E430" t="s">
        <v>2676</v>
      </c>
      <c r="F430" t="str">
        <f>VLOOKUP(A430,'[1]MAIN-101'!$B$13:$M$787,4,FALSE)</f>
        <v>GSIS</v>
      </c>
      <c r="G430" t="str">
        <f>VLOOKUP(A430,'[1]MAIN-101'!$B$13:$M$787,12,FALSE)</f>
        <v>Remittance of GSIS premiums of CARP employees for the month of March 2021</v>
      </c>
      <c r="H430" s="562" t="e">
        <f>SUMIFS('[1]MAIN-101'!$Z$1:$Z$3000,'[1]MAIN-101'!$X$1:$X$3000,A430)</f>
        <v>#VALUE!</v>
      </c>
      <c r="I430" s="562" t="s">
        <v>2662</v>
      </c>
      <c r="J430" t="s">
        <v>2053</v>
      </c>
      <c r="K430" t="s">
        <v>2680</v>
      </c>
      <c r="L430" s="564" t="s">
        <v>2666</v>
      </c>
      <c r="M430" s="562">
        <f>SUMIFS('Recon of ORS and DV'!D:D,'Recon of ORS and DV'!B:B,'DV List for import'!A430)</f>
        <v>0</v>
      </c>
      <c r="N430" s="276" t="e">
        <f t="shared" si="22"/>
        <v>#VALUE!</v>
      </c>
      <c r="O430" t="s">
        <v>2662</v>
      </c>
    </row>
    <row r="431" spans="1:15">
      <c r="A431" t="s">
        <v>2579</v>
      </c>
      <c r="B431" t="str">
        <f t="shared" si="24"/>
        <v>Fund 01-2021-03-0420</v>
      </c>
      <c r="C431" s="564" t="str">
        <f t="shared" si="25"/>
        <v>0000-00-0000</v>
      </c>
      <c r="D431" s="562">
        <f>SUMIFS('Import Process ORS'!L:L,'Import Process ORS'!E:E,'DV List for import'!C431)</f>
        <v>0</v>
      </c>
      <c r="E431" t="s">
        <v>2676</v>
      </c>
      <c r="F431" t="str">
        <f>VLOOKUP(A431,'[1]MAIN-101'!$B$13:$M$787,4,FALSE)</f>
        <v>HDMF-Butuan City</v>
      </c>
      <c r="G431" t="str">
        <f>VLOOKUP(A431,'[1]MAIN-101'!$B$13:$M$787,12,FALSE)</f>
        <v>Remittance of HDMF premiums of CARP employees for the month of March 2021</v>
      </c>
      <c r="H431" s="562" t="e">
        <f>SUMIFS('[1]MAIN-101'!$Z$1:$Z$3000,'[1]MAIN-101'!$X$1:$X$3000,A431)</f>
        <v>#VALUE!</v>
      </c>
      <c r="I431" s="562" t="s">
        <v>2662</v>
      </c>
      <c r="J431" t="s">
        <v>2053</v>
      </c>
      <c r="K431" t="s">
        <v>2680</v>
      </c>
      <c r="L431" s="564" t="s">
        <v>2666</v>
      </c>
      <c r="M431" s="562">
        <f>SUMIFS('Recon of ORS and DV'!D:D,'Recon of ORS and DV'!B:B,'DV List for import'!A431)</f>
        <v>0</v>
      </c>
      <c r="N431" s="276" t="e">
        <f t="shared" si="22"/>
        <v>#VALUE!</v>
      </c>
      <c r="O431" t="s">
        <v>2662</v>
      </c>
    </row>
    <row r="432" spans="1:15">
      <c r="A432" t="s">
        <v>2580</v>
      </c>
      <c r="B432" t="str">
        <f t="shared" si="24"/>
        <v>Fund 01-2021-03-0421</v>
      </c>
      <c r="C432" s="564" t="str">
        <f t="shared" si="25"/>
        <v>0000-00-0000</v>
      </c>
      <c r="D432" s="562">
        <f>SUMIFS('Import Process ORS'!L:L,'Import Process ORS'!E:E,'DV List for import'!C432)</f>
        <v>0</v>
      </c>
      <c r="E432" t="s">
        <v>2676</v>
      </c>
      <c r="F432" t="str">
        <f>VLOOKUP(A432,'[1]MAIN-101'!$B$13:$M$787,4,FALSE)</f>
        <v>PHIC- Butuan City</v>
      </c>
      <c r="G432" t="str">
        <f>VLOOKUP(A432,'[1]MAIN-101'!$B$13:$M$787,12,FALSE)</f>
        <v>Remittance of CARP employees PHIC premium for the month of March 2021</v>
      </c>
      <c r="H432" s="562" t="e">
        <f>SUMIFS('[1]MAIN-101'!$Z$1:$Z$3000,'[1]MAIN-101'!$X$1:$X$3000,A432)</f>
        <v>#VALUE!</v>
      </c>
      <c r="I432" s="562" t="s">
        <v>2662</v>
      </c>
      <c r="J432" t="s">
        <v>2053</v>
      </c>
      <c r="K432" t="s">
        <v>2680</v>
      </c>
      <c r="L432" s="564" t="s">
        <v>2666</v>
      </c>
      <c r="M432" s="562">
        <f>SUMIFS('Recon of ORS and DV'!D:D,'Recon of ORS and DV'!B:B,'DV List for import'!A432)</f>
        <v>0</v>
      </c>
      <c r="N432" s="276" t="e">
        <f t="shared" si="22"/>
        <v>#VALUE!</v>
      </c>
      <c r="O432" t="s">
        <v>2662</v>
      </c>
    </row>
    <row r="433" spans="1:15">
      <c r="A433" t="s">
        <v>2581</v>
      </c>
      <c r="B433" t="str">
        <f t="shared" si="24"/>
        <v>Fund 01-2021-03-0422</v>
      </c>
      <c r="C433" s="564" t="str">
        <f t="shared" si="25"/>
        <v>0000-00-0000</v>
      </c>
      <c r="D433" s="562">
        <f>SUMIFS('Import Process ORS'!L:L,'Import Process ORS'!E:E,'DV List for import'!C433)</f>
        <v>0</v>
      </c>
      <c r="E433" t="s">
        <v>2676</v>
      </c>
      <c r="F433" t="str">
        <f>VLOOKUP(A433,'[1]MAIN-101'!$B$13:$M$787,4,FALSE)</f>
        <v>DTI-Provident Fund</v>
      </c>
      <c r="G433" t="str">
        <f>VLOOKUP(A433,'[1]MAIN-101'!$B$13:$M$787,12,FALSE)</f>
        <v>Remittance of PF premiums of CARP employees for the month of March 2021</v>
      </c>
      <c r="H433" s="562" t="e">
        <f>SUMIFS('[1]MAIN-101'!$Z$1:$Z$3000,'[1]MAIN-101'!$X$1:$X$3000,A433)</f>
        <v>#VALUE!</v>
      </c>
      <c r="I433" s="562" t="s">
        <v>2662</v>
      </c>
      <c r="J433" t="s">
        <v>2053</v>
      </c>
      <c r="K433" t="s">
        <v>2680</v>
      </c>
      <c r="L433" s="564" t="s">
        <v>2666</v>
      </c>
      <c r="M433" s="562">
        <f>SUMIFS('Recon of ORS and DV'!D:D,'Recon of ORS and DV'!B:B,'DV List for import'!A433)</f>
        <v>0</v>
      </c>
      <c r="N433" s="276" t="e">
        <f t="shared" si="22"/>
        <v>#VALUE!</v>
      </c>
      <c r="O433" t="s">
        <v>2662</v>
      </c>
    </row>
    <row r="434" spans="1:15">
      <c r="A434" t="s">
        <v>2582</v>
      </c>
      <c r="B434" t="str">
        <f t="shared" si="24"/>
        <v>Fund 01-2021-03-0423</v>
      </c>
      <c r="C434" s="564" t="str">
        <f t="shared" si="25"/>
        <v>0000-00-0000</v>
      </c>
      <c r="D434" s="562">
        <f>SUMIFS('Import Process ORS'!L:L,'Import Process ORS'!E:E,'DV List for import'!C434)</f>
        <v>0</v>
      </c>
      <c r="E434" t="s">
        <v>2676</v>
      </c>
      <c r="F434" t="str">
        <f>VLOOKUP(A434,'[1]MAIN-101'!$B$13:$M$787,4,FALSE)</f>
        <v>DTI-MDBF</v>
      </c>
      <c r="G434" t="str">
        <f>VLOOKUP(A434,'[1]MAIN-101'!$B$13:$M$787,12,FALSE)</f>
        <v>Remittance of MDBF premiums of CARP employees for the month of March 2021</v>
      </c>
      <c r="H434" s="562" t="e">
        <f>SUMIFS('[1]MAIN-101'!$Z$1:$Z$3000,'[1]MAIN-101'!$X$1:$X$3000,A434)</f>
        <v>#VALUE!</v>
      </c>
      <c r="I434" s="562" t="s">
        <v>2662</v>
      </c>
      <c r="J434" t="s">
        <v>2053</v>
      </c>
      <c r="K434" t="s">
        <v>2680</v>
      </c>
      <c r="L434" s="564" t="s">
        <v>2666</v>
      </c>
      <c r="M434" s="562">
        <f>SUMIFS('Recon of ORS and DV'!D:D,'Recon of ORS and DV'!B:B,'DV List for import'!A434)</f>
        <v>0</v>
      </c>
      <c r="N434" s="276" t="e">
        <f t="shared" si="22"/>
        <v>#VALUE!</v>
      </c>
      <c r="O434" t="s">
        <v>2662</v>
      </c>
    </row>
    <row r="435" spans="1:15">
      <c r="A435" t="s">
        <v>2583</v>
      </c>
      <c r="B435" t="str">
        <f t="shared" si="24"/>
        <v>Fund 01-2021-03-0424</v>
      </c>
      <c r="C435" s="564" t="str">
        <f t="shared" si="25"/>
        <v>0000-00-0000</v>
      </c>
      <c r="D435" s="562">
        <f>SUMIFS('Import Process ORS'!L:L,'Import Process ORS'!E:E,'DV List for import'!C435)</f>
        <v>0</v>
      </c>
      <c r="E435" t="s">
        <v>2676</v>
      </c>
      <c r="F435" t="str">
        <f>VLOOKUP(A435,'[1]MAIN-101'!$B$13:$M$787,4,FALSE)</f>
        <v>DTI-EU</v>
      </c>
      <c r="G435" t="str">
        <f>VLOOKUP(A435,'[1]MAIN-101'!$B$13:$M$787,12,FALSE)</f>
        <v>Remittance of DTI-EU dues of Mr. Roboca for the month of March 2021</v>
      </c>
      <c r="H435" s="562" t="e">
        <f>SUMIFS('[1]MAIN-101'!$Z$1:$Z$3000,'[1]MAIN-101'!$X$1:$X$3000,A435)</f>
        <v>#VALUE!</v>
      </c>
      <c r="I435" s="562" t="s">
        <v>2662</v>
      </c>
      <c r="J435" t="s">
        <v>2053</v>
      </c>
      <c r="K435" t="s">
        <v>2680</v>
      </c>
      <c r="L435" s="564" t="s">
        <v>2666</v>
      </c>
      <c r="M435" s="562">
        <f>SUMIFS('Recon of ORS and DV'!D:D,'Recon of ORS and DV'!B:B,'DV List for import'!A435)</f>
        <v>0</v>
      </c>
      <c r="N435" s="276" t="e">
        <f t="shared" si="22"/>
        <v>#VALUE!</v>
      </c>
      <c r="O435" t="s">
        <v>2662</v>
      </c>
    </row>
    <row r="436" spans="1:15">
      <c r="A436" t="s">
        <v>2584</v>
      </c>
      <c r="B436" t="str">
        <f t="shared" si="24"/>
        <v>Fund 01-2021-03-0425</v>
      </c>
      <c r="C436" s="564" t="str">
        <f t="shared" si="25"/>
        <v>0000-00-0000</v>
      </c>
      <c r="D436" s="562">
        <f>SUMIFS('Import Process ORS'!L:L,'Import Process ORS'!E:E,'DV List for import'!C436)</f>
        <v>0</v>
      </c>
      <c r="E436" t="s">
        <v>2676</v>
      </c>
      <c r="F436" t="str">
        <f>VLOOKUP(A436,'[1]MAIN-101'!$B$13:$M$787,4,FALSE)</f>
        <v>Dreamco</v>
      </c>
      <c r="G436" t="str">
        <f>VLOOKUP(A436,'[1]MAIN-101'!$B$13:$M$787,12,FALSE)</f>
        <v>Remittance of coop deduction of CARP employees for the month of March 2021</v>
      </c>
      <c r="H436" s="562" t="e">
        <f>SUMIFS('[1]MAIN-101'!$Z$1:$Z$3000,'[1]MAIN-101'!$X$1:$X$3000,A436)</f>
        <v>#VALUE!</v>
      </c>
      <c r="I436" s="562" t="s">
        <v>2662</v>
      </c>
      <c r="J436" t="s">
        <v>2053</v>
      </c>
      <c r="K436" t="s">
        <v>2680</v>
      </c>
      <c r="L436" s="564" t="s">
        <v>2666</v>
      </c>
      <c r="M436" s="562">
        <f>SUMIFS('Recon of ORS and DV'!D:D,'Recon of ORS and DV'!B:B,'DV List for import'!A436)</f>
        <v>0</v>
      </c>
      <c r="N436" s="276" t="e">
        <f t="shared" si="22"/>
        <v>#VALUE!</v>
      </c>
      <c r="O436" t="s">
        <v>2662</v>
      </c>
    </row>
    <row r="437" spans="1:15">
      <c r="A437" t="s">
        <v>2585</v>
      </c>
      <c r="B437" t="str">
        <f t="shared" si="24"/>
        <v>Fund 01-2021-03-0426</v>
      </c>
      <c r="C437" s="564" t="str">
        <f t="shared" si="25"/>
        <v>0000-00-0000</v>
      </c>
      <c r="D437" s="562">
        <f>SUMIFS('Import Process ORS'!L:L,'Import Process ORS'!E:E,'DV List for import'!C437)</f>
        <v>0</v>
      </c>
      <c r="E437" t="s">
        <v>2676</v>
      </c>
      <c r="F437" t="str">
        <f>VLOOKUP(A437,'[1]MAIN-101'!$B$13:$M$787,4,FALSE)</f>
        <v>GLAD MPC</v>
      </c>
      <c r="G437" t="str">
        <f>VLOOKUP(A437,'[1]MAIN-101'!$B$13:$M$787,12,FALSE)</f>
        <v>Remittance of coop deduction of CARP employees for the month of March 2021</v>
      </c>
      <c r="H437" s="562" t="e">
        <f>SUMIFS('[1]MAIN-101'!$Z$1:$Z$3000,'[1]MAIN-101'!$X$1:$X$3000,A437)</f>
        <v>#VALUE!</v>
      </c>
      <c r="I437" s="562" t="s">
        <v>2662</v>
      </c>
      <c r="J437" t="s">
        <v>2053</v>
      </c>
      <c r="K437" t="s">
        <v>2680</v>
      </c>
      <c r="L437" s="564" t="s">
        <v>2666</v>
      </c>
      <c r="M437" s="562">
        <f>SUMIFS('Recon of ORS and DV'!D:D,'Recon of ORS and DV'!B:B,'DV List for import'!A437)</f>
        <v>0</v>
      </c>
      <c r="N437" s="276" t="e">
        <f t="shared" si="22"/>
        <v>#VALUE!</v>
      </c>
      <c r="O437" t="s">
        <v>2662</v>
      </c>
    </row>
    <row r="438" spans="1:15">
      <c r="A438" t="s">
        <v>2586</v>
      </c>
      <c r="B438" t="str">
        <f t="shared" si="24"/>
        <v>Fund 01-2021-03-0427</v>
      </c>
      <c r="C438" s="564" t="str">
        <f t="shared" si="25"/>
        <v>0000-00-0000</v>
      </c>
      <c r="D438" s="562">
        <f>SUMIFS('Import Process ORS'!L:L,'Import Process ORS'!E:E,'DV List for import'!C438)</f>
        <v>0</v>
      </c>
      <c r="E438" t="s">
        <v>2676</v>
      </c>
      <c r="F438" t="str">
        <f>VLOOKUP(A438,'[1]MAIN-101'!$B$13:$M$787,4,FALSE)</f>
        <v>SURE DEV'T COOPERATIVE</v>
      </c>
      <c r="G438" t="str">
        <f>VLOOKUP(A438,'[1]MAIN-101'!$B$13:$M$787,12,FALSE)</f>
        <v>Remittance of CARP employees for the month of March 2021</v>
      </c>
      <c r="H438" s="562" t="e">
        <f>SUMIFS('[1]MAIN-101'!$Z$1:$Z$3000,'[1]MAIN-101'!$X$1:$X$3000,A438)</f>
        <v>#VALUE!</v>
      </c>
      <c r="I438" s="562" t="s">
        <v>2662</v>
      </c>
      <c r="J438" t="s">
        <v>2053</v>
      </c>
      <c r="K438" t="s">
        <v>2680</v>
      </c>
      <c r="L438" s="564" t="s">
        <v>2666</v>
      </c>
      <c r="M438" s="562">
        <f>SUMIFS('Recon of ORS and DV'!D:D,'Recon of ORS and DV'!B:B,'DV List for import'!A438)</f>
        <v>0</v>
      </c>
      <c r="N438" s="276" t="e">
        <f t="shared" si="22"/>
        <v>#VALUE!</v>
      </c>
      <c r="O438" t="s">
        <v>2662</v>
      </c>
    </row>
    <row r="439" spans="1:15">
      <c r="A439" t="s">
        <v>2587</v>
      </c>
      <c r="B439" t="str">
        <f t="shared" si="24"/>
        <v>Fund 01-2021-03-0428</v>
      </c>
      <c r="C439" s="564" t="str">
        <f t="shared" si="25"/>
        <v>0000-00-0000</v>
      </c>
      <c r="D439" s="562">
        <f>SUMIFS('Import Process ORS'!L:L,'Import Process ORS'!E:E,'DV List for import'!C439)</f>
        <v>0</v>
      </c>
      <c r="E439" t="s">
        <v>2676</v>
      </c>
      <c r="F439" t="str">
        <f>VLOOKUP(A439,'[1]MAIN-101'!$B$13:$M$787,4,FALSE)</f>
        <v>DTI-EU</v>
      </c>
      <c r="G439" t="str">
        <f>VLOOKUP(A439,'[1]MAIN-101'!$B$13:$M$787,12,FALSE)</f>
        <v>Remittance of EU dues and Membership fee premium of NC staff for the month of February 2021.</v>
      </c>
      <c r="H439" s="562" t="e">
        <f>SUMIFS('[1]MAIN-101'!$Z$1:$Z$3000,'[1]MAIN-101'!$X$1:$X$3000,A439)</f>
        <v>#VALUE!</v>
      </c>
      <c r="I439" s="562" t="s">
        <v>2662</v>
      </c>
      <c r="J439" t="s">
        <v>2053</v>
      </c>
      <c r="K439" t="s">
        <v>2680</v>
      </c>
      <c r="L439" s="564" t="s">
        <v>2666</v>
      </c>
      <c r="M439" s="562">
        <f>SUMIFS('Recon of ORS and DV'!D:D,'Recon of ORS and DV'!B:B,'DV List for import'!A439)</f>
        <v>0</v>
      </c>
      <c r="N439" s="276" t="e">
        <f t="shared" si="22"/>
        <v>#VALUE!</v>
      </c>
      <c r="O439" t="s">
        <v>2662</v>
      </c>
    </row>
    <row r="440" spans="1:15">
      <c r="A440" t="s">
        <v>2588</v>
      </c>
      <c r="B440" t="str">
        <f t="shared" si="24"/>
        <v>Fund 01-2021-03-0429</v>
      </c>
      <c r="C440" s="564" t="str">
        <f t="shared" si="25"/>
        <v>0000-00-0000</v>
      </c>
      <c r="D440" s="562">
        <f>SUMIFS('Import Process ORS'!L:L,'Import Process ORS'!E:E,'DV List for import'!C440)</f>
        <v>0</v>
      </c>
      <c r="E440" t="s">
        <v>2676</v>
      </c>
      <c r="F440" t="str">
        <f>VLOOKUP(A440,'[1]MAIN-101'!$B$13:$M$787,4,FALSE)</f>
        <v>DTI-MDBF</v>
      </c>
      <c r="G440" t="str">
        <f>VLOOKUP(A440,'[1]MAIN-101'!$B$13:$M$787,12,FALSE)</f>
        <v>Remittance of MDBF premium of NC Staff for the month of February, 2021</v>
      </c>
      <c r="H440" s="562" t="e">
        <f>SUMIFS('[1]MAIN-101'!$Z$1:$Z$3000,'[1]MAIN-101'!$X$1:$X$3000,A440)</f>
        <v>#VALUE!</v>
      </c>
      <c r="I440" s="562" t="s">
        <v>2662</v>
      </c>
      <c r="J440" t="s">
        <v>2053</v>
      </c>
      <c r="K440" t="s">
        <v>2680</v>
      </c>
      <c r="L440" s="564" t="s">
        <v>2666</v>
      </c>
      <c r="M440" s="562">
        <f>SUMIFS('Recon of ORS and DV'!D:D,'Recon of ORS and DV'!B:B,'DV List for import'!A440)</f>
        <v>0</v>
      </c>
      <c r="N440" s="276" t="e">
        <f t="shared" si="22"/>
        <v>#VALUE!</v>
      </c>
      <c r="O440" t="s">
        <v>2662</v>
      </c>
    </row>
    <row r="441" spans="1:15">
      <c r="A441" t="s">
        <v>2589</v>
      </c>
      <c r="B441" t="str">
        <f t="shared" si="24"/>
        <v>Fund 01-2021-03-0430</v>
      </c>
      <c r="C441" s="564" t="str">
        <f t="shared" si="25"/>
        <v>0000-00-0000</v>
      </c>
      <c r="D441" s="562">
        <f>SUMIFS('Import Process ORS'!L:L,'Import Process ORS'!E:E,'DV List for import'!C441)</f>
        <v>0</v>
      </c>
      <c r="E441" t="s">
        <v>2676</v>
      </c>
      <c r="F441" t="str">
        <f>VLOOKUP(A441,'[1]MAIN-101'!$B$13:$M$787,4,FALSE)</f>
        <v>DTI-Provident Fund</v>
      </c>
      <c r="G441" t="str">
        <f>VLOOKUP(A441,'[1]MAIN-101'!$B$13:$M$787,12,FALSE)</f>
        <v>Remittance of Provident premium of NC Staff for the month of February, 2021</v>
      </c>
      <c r="H441" s="562" t="e">
        <f>SUMIFS('[1]MAIN-101'!$Z$1:$Z$3000,'[1]MAIN-101'!$X$1:$X$3000,A441)</f>
        <v>#VALUE!</v>
      </c>
      <c r="I441" s="562" t="s">
        <v>2662</v>
      </c>
      <c r="J441" t="s">
        <v>2053</v>
      </c>
      <c r="K441" t="s">
        <v>2680</v>
      </c>
      <c r="L441" s="564" t="s">
        <v>2666</v>
      </c>
      <c r="M441" s="562">
        <f>SUMIFS('Recon of ORS and DV'!D:D,'Recon of ORS and DV'!B:B,'DV List for import'!A441)</f>
        <v>0</v>
      </c>
      <c r="N441" s="276" t="e">
        <f t="shared" si="22"/>
        <v>#VALUE!</v>
      </c>
      <c r="O441" t="s">
        <v>2662</v>
      </c>
    </row>
    <row r="442" spans="1:15">
      <c r="A442" t="s">
        <v>2590</v>
      </c>
      <c r="B442" t="str">
        <f t="shared" si="24"/>
        <v>Fund 01-2021-03-0431</v>
      </c>
      <c r="C442" s="564" t="str">
        <f t="shared" si="25"/>
        <v>0000-00-0000</v>
      </c>
      <c r="D442" s="562">
        <f>SUMIFS('Import Process ORS'!L:L,'Import Process ORS'!E:E,'DV List for import'!C442)</f>
        <v>0</v>
      </c>
      <c r="E442" t="s">
        <v>2676</v>
      </c>
      <c r="F442" t="str">
        <f>VLOOKUP(A442,'[1]MAIN-101'!$B$13:$M$787,4,FALSE)</f>
        <v>PHIC Butuan City</v>
      </c>
      <c r="G442" t="str">
        <f>VLOOKUP(A442,'[1]MAIN-101'!$B$13:$M$787,12,FALSE)</f>
        <v>Remittance of PHIC PREMIUMS OF NC staff for the month of Feb 2021</v>
      </c>
      <c r="H442" s="562" t="e">
        <f>SUMIFS('[1]MAIN-101'!$Z$1:$Z$3000,'[1]MAIN-101'!$X$1:$X$3000,A442)</f>
        <v>#VALUE!</v>
      </c>
      <c r="I442" s="562" t="s">
        <v>2662</v>
      </c>
      <c r="J442" t="s">
        <v>2053</v>
      </c>
      <c r="K442" t="s">
        <v>2680</v>
      </c>
      <c r="L442" s="564" t="s">
        <v>2666</v>
      </c>
      <c r="M442" s="562">
        <f>SUMIFS('Recon of ORS and DV'!D:D,'Recon of ORS and DV'!B:B,'DV List for import'!A442)</f>
        <v>0</v>
      </c>
      <c r="N442" s="276" t="e">
        <f t="shared" si="22"/>
        <v>#VALUE!</v>
      </c>
      <c r="O442" t="s">
        <v>2662</v>
      </c>
    </row>
    <row r="443" spans="1:15">
      <c r="A443" t="s">
        <v>2591</v>
      </c>
      <c r="B443" t="str">
        <f t="shared" si="24"/>
        <v>Fund 01-2021-03-0432</v>
      </c>
      <c r="C443" s="564" t="str">
        <f t="shared" si="25"/>
        <v>0000-00-0000</v>
      </c>
      <c r="D443" s="562">
        <f>SUMIFS('Import Process ORS'!L:L,'Import Process ORS'!E:E,'DV List for import'!C443)</f>
        <v>0</v>
      </c>
      <c r="E443" t="s">
        <v>2676</v>
      </c>
      <c r="F443" t="str">
        <f>VLOOKUP(A443,'[1]MAIN-101'!$B$13:$M$787,4,FALSE)</f>
        <v>HDMF-Butuan City</v>
      </c>
      <c r="G443" t="str">
        <f>VLOOKUP(A443,'[1]MAIN-101'!$B$13:$M$787,12,FALSE)</f>
        <v>Remittance of HDMF PREMIUMS OF NC staff for the month of Feb 2021</v>
      </c>
      <c r="H443" s="562" t="e">
        <f>SUMIFS('[1]MAIN-101'!$Z$1:$Z$3000,'[1]MAIN-101'!$X$1:$X$3000,A443)</f>
        <v>#VALUE!</v>
      </c>
      <c r="I443" s="562" t="s">
        <v>2662</v>
      </c>
      <c r="J443" t="s">
        <v>2053</v>
      </c>
      <c r="K443" t="s">
        <v>2680</v>
      </c>
      <c r="L443" s="564" t="s">
        <v>2666</v>
      </c>
      <c r="M443" s="562">
        <f>SUMIFS('Recon of ORS and DV'!D:D,'Recon of ORS and DV'!B:B,'DV List for import'!A443)</f>
        <v>0</v>
      </c>
      <c r="N443" s="276" t="e">
        <f t="shared" si="22"/>
        <v>#VALUE!</v>
      </c>
      <c r="O443" t="s">
        <v>2662</v>
      </c>
    </row>
    <row r="444" spans="1:15">
      <c r="A444" t="s">
        <v>2592</v>
      </c>
      <c r="B444" t="str">
        <f t="shared" si="24"/>
        <v>Fund 01-2021-03-0433</v>
      </c>
      <c r="C444" s="564" t="str">
        <f t="shared" si="25"/>
        <v>0000-00-0000</v>
      </c>
      <c r="D444" s="562">
        <f>SUMIFS('Import Process ORS'!L:L,'Import Process ORS'!E:E,'DV List for import'!C444)</f>
        <v>0</v>
      </c>
      <c r="E444" t="s">
        <v>2676</v>
      </c>
      <c r="F444" t="str">
        <f>VLOOKUP(A444,'[1]MAIN-101'!$B$13:$M$787,4,FALSE)</f>
        <v>GSIS</v>
      </c>
      <c r="G444" t="str">
        <f>VLOOKUP(A444,'[1]MAIN-101'!$B$13:$M$787,12,FALSE)</f>
        <v>Remittance of GSIS premium of NC staff for the month of February, 2021</v>
      </c>
      <c r="H444" s="562" t="e">
        <f>SUMIFS('[1]MAIN-101'!$Z$1:$Z$3000,'[1]MAIN-101'!$X$1:$X$3000,A444)</f>
        <v>#VALUE!</v>
      </c>
      <c r="I444" s="562" t="s">
        <v>2662</v>
      </c>
      <c r="J444" t="s">
        <v>2053</v>
      </c>
      <c r="K444" t="s">
        <v>2680</v>
      </c>
      <c r="L444" s="564" t="s">
        <v>2666</v>
      </c>
      <c r="M444" s="562">
        <f>SUMIFS('Recon of ORS and DV'!D:D,'Recon of ORS and DV'!B:B,'DV List for import'!A444)</f>
        <v>0</v>
      </c>
      <c r="N444" s="276" t="e">
        <f t="shared" si="22"/>
        <v>#VALUE!</v>
      </c>
      <c r="O444" t="s">
        <v>2662</v>
      </c>
    </row>
    <row r="445" spans="1:15">
      <c r="A445" t="s">
        <v>2593</v>
      </c>
      <c r="B445" t="str">
        <f t="shared" si="24"/>
        <v>Fund 01-2021-03-0434</v>
      </c>
      <c r="C445" s="564" t="str">
        <f t="shared" si="25"/>
        <v>0000-00-0000</v>
      </c>
      <c r="D445" s="562">
        <f>SUMIFS('Import Process ORS'!L:L,'Import Process ORS'!E:E,'DV List for import'!C445)</f>
        <v>0</v>
      </c>
      <c r="E445" t="s">
        <v>2676</v>
      </c>
      <c r="F445" t="str">
        <f>VLOOKUP(A445,'[1]MAIN-101'!$B$13:$M$787,4,FALSE)</f>
        <v>DREAMCO</v>
      </c>
      <c r="G445" t="str">
        <f>VLOOKUP(A445,'[1]MAIN-101'!$B$13:$M$787,12,FALSE)</f>
        <v>Remittance of COOP deduction of NC staff for the month of February, 2021</v>
      </c>
      <c r="H445" s="562" t="e">
        <f>SUMIFS('[1]MAIN-101'!$Z$1:$Z$3000,'[1]MAIN-101'!$X$1:$X$3000,A445)</f>
        <v>#VALUE!</v>
      </c>
      <c r="I445" s="562" t="s">
        <v>2662</v>
      </c>
      <c r="J445" t="s">
        <v>2053</v>
      </c>
      <c r="K445" t="s">
        <v>2680</v>
      </c>
      <c r="L445" s="564" t="s">
        <v>2666</v>
      </c>
      <c r="M445" s="562">
        <f>SUMIFS('Recon of ORS and DV'!D:D,'Recon of ORS and DV'!B:B,'DV List for import'!A445)</f>
        <v>0</v>
      </c>
      <c r="N445" s="276" t="e">
        <f t="shared" si="22"/>
        <v>#VALUE!</v>
      </c>
      <c r="O445" t="s">
        <v>2662</v>
      </c>
    </row>
    <row r="446" spans="1:15">
      <c r="A446" t="s">
        <v>2594</v>
      </c>
      <c r="B446" t="str">
        <f t="shared" si="24"/>
        <v>Fund 01-2021-03-0435</v>
      </c>
      <c r="C446" s="564" t="str">
        <f t="shared" si="25"/>
        <v>0000-00-0000</v>
      </c>
      <c r="D446" s="562">
        <f>SUMIFS('Import Process ORS'!L:L,'Import Process ORS'!E:E,'DV List for import'!C446)</f>
        <v>0</v>
      </c>
      <c r="E446" t="s">
        <v>2676</v>
      </c>
      <c r="F446" t="str">
        <f>VLOOKUP(A446,'[1]MAIN-101'!$B$13:$M$787,4,FALSE)</f>
        <v>DTI-Mutual Death Benefit Fund</v>
      </c>
      <c r="G446" t="str">
        <f>VLOOKUP(A446,'[1]MAIN-101'!$B$13:$M$787,12,FALSE)</f>
        <v>Remittance of MDBF premium of NC staff for the month of March, 2021</v>
      </c>
      <c r="H446" s="562" t="e">
        <f>SUMIFS('[1]MAIN-101'!$Z$1:$Z$3000,'[1]MAIN-101'!$X$1:$X$3000,A446)</f>
        <v>#VALUE!</v>
      </c>
      <c r="I446" s="562" t="s">
        <v>2662</v>
      </c>
      <c r="J446" t="s">
        <v>2053</v>
      </c>
      <c r="K446" t="s">
        <v>2680</v>
      </c>
      <c r="L446" s="564" t="s">
        <v>2666</v>
      </c>
      <c r="M446" s="562">
        <f>SUMIFS('Recon of ORS and DV'!D:D,'Recon of ORS and DV'!B:B,'DV List for import'!A446)</f>
        <v>0</v>
      </c>
      <c r="N446" s="276" t="e">
        <f t="shared" si="22"/>
        <v>#VALUE!</v>
      </c>
      <c r="O446" t="s">
        <v>2662</v>
      </c>
    </row>
    <row r="447" spans="1:15">
      <c r="A447" t="s">
        <v>2595</v>
      </c>
      <c r="B447" t="str">
        <f t="shared" si="24"/>
        <v>Fund 01-2021-03-0436</v>
      </c>
      <c r="C447" s="564" t="str">
        <f t="shared" si="25"/>
        <v>0000-00-0000</v>
      </c>
      <c r="D447" s="562">
        <f>SUMIFS('Import Process ORS'!L:L,'Import Process ORS'!E:E,'DV List for import'!C447)</f>
        <v>0</v>
      </c>
      <c r="E447" t="s">
        <v>2676</v>
      </c>
      <c r="F447" t="str">
        <f>VLOOKUP(A447,'[1]MAIN-101'!$B$13:$M$787,4,FALSE)</f>
        <v>DTI-Provident Fund</v>
      </c>
      <c r="G447" t="str">
        <f>VLOOKUP(A447,'[1]MAIN-101'!$B$13:$M$787,12,FALSE)</f>
        <v>Remittance of PF premium of NC staff for the month of March, 2021</v>
      </c>
      <c r="H447" s="562" t="e">
        <f>SUMIFS('[1]MAIN-101'!$Z$1:$Z$3000,'[1]MAIN-101'!$X$1:$X$3000,A447)</f>
        <v>#VALUE!</v>
      </c>
      <c r="I447" s="562" t="s">
        <v>2662</v>
      </c>
      <c r="J447" t="s">
        <v>2053</v>
      </c>
      <c r="K447" t="s">
        <v>2680</v>
      </c>
      <c r="L447" s="564" t="s">
        <v>2666</v>
      </c>
      <c r="M447" s="562">
        <f>SUMIFS('Recon of ORS and DV'!D:D,'Recon of ORS and DV'!B:B,'DV List for import'!A447)</f>
        <v>0</v>
      </c>
      <c r="N447" s="276" t="e">
        <f t="shared" si="22"/>
        <v>#VALUE!</v>
      </c>
      <c r="O447" t="s">
        <v>2662</v>
      </c>
    </row>
    <row r="448" spans="1:15">
      <c r="A448" t="s">
        <v>2596</v>
      </c>
      <c r="B448" t="str">
        <f t="shared" si="24"/>
        <v>Fund 01-2021-03-0437</v>
      </c>
      <c r="C448" s="564" t="str">
        <f t="shared" si="25"/>
        <v>0000-00-0000</v>
      </c>
      <c r="D448" s="562">
        <f>SUMIFS('Import Process ORS'!L:L,'Import Process ORS'!E:E,'DV List for import'!C448)</f>
        <v>0</v>
      </c>
      <c r="E448" t="s">
        <v>2676</v>
      </c>
      <c r="F448" t="str">
        <f>VLOOKUP(A448,'[1]MAIN-101'!$B$13:$M$787,4,FALSE)</f>
        <v>PHIC-Butuan City</v>
      </c>
      <c r="G448" t="str">
        <f>VLOOKUP(A448,'[1]MAIN-101'!$B$13:$M$787,12,FALSE)</f>
        <v>Remittance of PHIC premium of NC staff for the month of March, 2021</v>
      </c>
      <c r="H448" s="562" t="e">
        <f>SUMIFS('[1]MAIN-101'!$Z$1:$Z$3000,'[1]MAIN-101'!$X$1:$X$3000,A448)</f>
        <v>#VALUE!</v>
      </c>
      <c r="I448" s="562" t="s">
        <v>2662</v>
      </c>
      <c r="J448" t="s">
        <v>2053</v>
      </c>
      <c r="K448" t="s">
        <v>2680</v>
      </c>
      <c r="L448" s="564" t="s">
        <v>2666</v>
      </c>
      <c r="M448" s="562">
        <f>SUMIFS('Recon of ORS and DV'!D:D,'Recon of ORS and DV'!B:B,'DV List for import'!A448)</f>
        <v>0</v>
      </c>
      <c r="N448" s="276" t="e">
        <f t="shared" si="22"/>
        <v>#VALUE!</v>
      </c>
      <c r="O448" t="s">
        <v>2662</v>
      </c>
    </row>
    <row r="449" spans="1:17">
      <c r="A449" t="s">
        <v>2597</v>
      </c>
      <c r="B449" t="str">
        <f t="shared" si="24"/>
        <v>Fund 01-2021-03-0438</v>
      </c>
      <c r="C449" s="564" t="str">
        <f t="shared" si="25"/>
        <v>0000-00-0000</v>
      </c>
      <c r="D449" s="562">
        <f>SUMIFS('Import Process ORS'!L:L,'Import Process ORS'!E:E,'DV List for import'!C449)</f>
        <v>0</v>
      </c>
      <c r="E449" t="s">
        <v>2676</v>
      </c>
      <c r="F449" t="str">
        <f>VLOOKUP(A449,'[1]MAIN-101'!$B$13:$M$787,4,FALSE)</f>
        <v>HDMF-Butuan City</v>
      </c>
      <c r="G449" t="str">
        <f>VLOOKUP(A449,'[1]MAIN-101'!$B$13:$M$787,12,FALSE)</f>
        <v>Remittance of HDMF premium of NC staff for the month of March, 2021</v>
      </c>
      <c r="H449" s="562" t="e">
        <f>SUMIFS('[1]MAIN-101'!$Z$1:$Z$3000,'[1]MAIN-101'!$X$1:$X$3000,A449)</f>
        <v>#VALUE!</v>
      </c>
      <c r="I449" s="562" t="s">
        <v>2662</v>
      </c>
      <c r="J449" t="s">
        <v>2053</v>
      </c>
      <c r="K449" t="s">
        <v>2680</v>
      </c>
      <c r="L449" s="564" t="s">
        <v>2666</v>
      </c>
      <c r="M449" s="562">
        <f>SUMIFS('Recon of ORS and DV'!D:D,'Recon of ORS and DV'!B:B,'DV List for import'!A449)</f>
        <v>0</v>
      </c>
      <c r="N449" s="276" t="e">
        <f t="shared" si="22"/>
        <v>#VALUE!</v>
      </c>
      <c r="O449" t="s">
        <v>2662</v>
      </c>
    </row>
    <row r="450" spans="1:17">
      <c r="A450" t="s">
        <v>2598</v>
      </c>
      <c r="B450" t="str">
        <f t="shared" si="24"/>
        <v>Fund 01-2021-03-0439</v>
      </c>
      <c r="C450" s="564" t="str">
        <f t="shared" si="25"/>
        <v>0000-00-0000</v>
      </c>
      <c r="D450" s="562">
        <f>SUMIFS('Import Process ORS'!L:L,'Import Process ORS'!E:E,'DV List for import'!C450)</f>
        <v>0</v>
      </c>
      <c r="E450" t="s">
        <v>2676</v>
      </c>
      <c r="F450" t="str">
        <f>VLOOKUP(A450,'[1]MAIN-101'!$B$13:$M$787,4,FALSE)</f>
        <v>GSIS</v>
      </c>
      <c r="G450" t="str">
        <f>VLOOKUP(A450,'[1]MAIN-101'!$B$13:$M$787,12,FALSE)</f>
        <v>Remittance of GSIS premium of NC staff for the month of March, 2021</v>
      </c>
      <c r="H450" s="562" t="e">
        <f>SUMIFS('[1]MAIN-101'!$Z$1:$Z$3000,'[1]MAIN-101'!$X$1:$X$3000,A450)</f>
        <v>#VALUE!</v>
      </c>
      <c r="I450" s="562" t="s">
        <v>2662</v>
      </c>
      <c r="J450" t="s">
        <v>2053</v>
      </c>
      <c r="K450" t="s">
        <v>2680</v>
      </c>
      <c r="L450" s="564" t="s">
        <v>2666</v>
      </c>
      <c r="M450" s="562">
        <f>SUMIFS('Recon of ORS and DV'!D:D,'Recon of ORS and DV'!B:B,'DV List for import'!A450)</f>
        <v>0</v>
      </c>
      <c r="N450" s="276" t="e">
        <f t="shared" si="22"/>
        <v>#VALUE!</v>
      </c>
      <c r="O450" t="s">
        <v>2662</v>
      </c>
    </row>
    <row r="451" spans="1:17">
      <c r="A451" t="s">
        <v>2599</v>
      </c>
      <c r="B451" t="str">
        <f t="shared" si="24"/>
        <v>Fund 01-2021-03-0440</v>
      </c>
      <c r="C451" s="564" t="str">
        <f t="shared" si="25"/>
        <v>0000-00-0000</v>
      </c>
      <c r="D451" s="562">
        <f>SUMIFS('Import Process ORS'!L:L,'Import Process ORS'!E:E,'DV List for import'!C451)</f>
        <v>0</v>
      </c>
      <c r="E451" t="s">
        <v>2676</v>
      </c>
      <c r="F451" t="str">
        <f>VLOOKUP(A451,'[1]MAIN-101'!$B$13:$M$787,4,FALSE)</f>
        <v>Caraga Realty Corporation</v>
      </c>
      <c r="G451" t="str">
        <f>VLOOKUP(A451,'[1]MAIN-101'!$B$13:$M$787,12,FALSE)</f>
        <v>Payment for office rental for the month of December 2020.</v>
      </c>
      <c r="H451" s="562" t="e">
        <f>SUMIFS('[1]MAIN-101'!$Z$1:$Z$3000,'[1]MAIN-101'!$X$1:$X$3000,A451)</f>
        <v>#VALUE!</v>
      </c>
      <c r="I451" s="562" t="s">
        <v>392</v>
      </c>
      <c r="J451" t="s">
        <v>2681</v>
      </c>
      <c r="K451" t="s">
        <v>2679</v>
      </c>
      <c r="L451" s="564" t="s">
        <v>2666</v>
      </c>
      <c r="M451" s="562">
        <f>SUMIFS('Recon of ORS and DV'!D:D,'Recon of ORS and DV'!B:B,'DV List for import'!A451)</f>
        <v>0</v>
      </c>
      <c r="N451" s="276" t="e">
        <f t="shared" si="22"/>
        <v>#VALUE!</v>
      </c>
      <c r="O451" t="s">
        <v>392</v>
      </c>
      <c r="P451" t="str">
        <f>VLOOKUP(A451,'[1]MAIN-101'!$B$8:$D$783,2,FALSE)</f>
        <v>12</v>
      </c>
      <c r="Q451" t="str">
        <f>VLOOKUP(A451,'[1]MAIN-101'!$B$8:$D$783,3,FALSE)</f>
        <v>2051A</v>
      </c>
    </row>
    <row r="452" spans="1:17">
      <c r="A452" t="s">
        <v>2600</v>
      </c>
      <c r="B452" t="str">
        <f t="shared" si="24"/>
        <v>Fund 01-2021-03-0441</v>
      </c>
      <c r="C452" s="564" t="str">
        <f t="shared" si="25"/>
        <v>0000-00-0000</v>
      </c>
      <c r="D452" s="562">
        <f>SUMIFS('Import Process ORS'!L:L,'Import Process ORS'!E:E,'DV List for import'!C452)</f>
        <v>0</v>
      </c>
      <c r="E452" t="s">
        <v>2676</v>
      </c>
      <c r="F452" t="str">
        <f>VLOOKUP(A452,'[1]MAIN-101'!$B$13:$M$787,4,FALSE)</f>
        <v>CMIJ Green Scenery Garden and Accessories</v>
      </c>
      <c r="G452" t="str">
        <f>VLOOKUP(A452,'[1]MAIN-101'!$B$13:$M$787,12,FALSE)</f>
        <v>Payment for interior plants rental for DTI AND Office use for ecember 2020.</v>
      </c>
      <c r="H452" s="562" t="e">
        <f>SUMIFS('[1]MAIN-101'!$Z$1:$Z$3000,'[1]MAIN-101'!$X$1:$X$3000,A452)</f>
        <v>#VALUE!</v>
      </c>
      <c r="I452" s="562" t="s">
        <v>392</v>
      </c>
      <c r="J452" t="s">
        <v>2681</v>
      </c>
      <c r="K452" t="s">
        <v>2679</v>
      </c>
      <c r="L452" s="564" t="s">
        <v>2666</v>
      </c>
      <c r="M452" s="562">
        <f>SUMIFS('Recon of ORS and DV'!D:D,'Recon of ORS and DV'!B:B,'DV List for import'!A452)</f>
        <v>0</v>
      </c>
      <c r="N452" s="276" t="e">
        <f t="shared" ref="N452:N515" si="26">H452-M452</f>
        <v>#VALUE!</v>
      </c>
      <c r="O452" t="s">
        <v>392</v>
      </c>
      <c r="P452" t="str">
        <f>VLOOKUP(A452,'[1]MAIN-101'!$B$8:$D$783,2,FALSE)</f>
        <v>12</v>
      </c>
      <c r="Q452" t="str">
        <f>VLOOKUP(A452,'[1]MAIN-101'!$B$8:$D$783,3,FALSE)</f>
        <v>2051b</v>
      </c>
    </row>
    <row r="453" spans="1:17">
      <c r="A453" t="s">
        <v>2601</v>
      </c>
      <c r="B453" t="str">
        <f t="shared" si="24"/>
        <v>Fund 01-2021-03-0442</v>
      </c>
      <c r="C453" s="564" t="str">
        <f t="shared" si="25"/>
        <v>0000-00-0000</v>
      </c>
      <c r="D453" s="562">
        <f>SUMIFS('Import Process ORS'!L:L,'Import Process ORS'!E:E,'DV List for import'!C453)</f>
        <v>0</v>
      </c>
      <c r="E453" t="s">
        <v>2676</v>
      </c>
      <c r="F453" t="str">
        <f>VLOOKUP(A453,'[1]MAIN-101'!$B$13:$M$787,4,FALSE)</f>
        <v>Alba's Copy Center and Office  Supplies</v>
      </c>
      <c r="G453" t="str">
        <f>VLOOKUP(A453,'[1]MAIN-101'!$B$13:$M$787,12,FALSE)</f>
        <v>Payment for printing services for DTI-AND Office use for Dec. 7-28, 2020</v>
      </c>
      <c r="H453" s="562" t="e">
        <f>SUMIFS('[1]MAIN-101'!$Z$1:$Z$3000,'[1]MAIN-101'!$X$1:$X$3000,A453)</f>
        <v>#VALUE!</v>
      </c>
      <c r="I453" s="562" t="s">
        <v>392</v>
      </c>
      <c r="J453" t="s">
        <v>2681</v>
      </c>
      <c r="K453" t="s">
        <v>2679</v>
      </c>
      <c r="L453" s="564" t="s">
        <v>2666</v>
      </c>
      <c r="M453" s="562">
        <f>SUMIFS('Recon of ORS and DV'!D:D,'Recon of ORS and DV'!B:B,'DV List for import'!A453)</f>
        <v>0</v>
      </c>
      <c r="N453" s="276" t="e">
        <f t="shared" si="26"/>
        <v>#VALUE!</v>
      </c>
      <c r="O453" t="s">
        <v>392</v>
      </c>
      <c r="P453" t="str">
        <f>VLOOKUP(A453,'[1]MAIN-101'!$B$8:$D$783,2,FALSE)</f>
        <v>12</v>
      </c>
      <c r="Q453" t="str">
        <f>VLOOKUP(A453,'[1]MAIN-101'!$B$8:$D$783,3,FALSE)</f>
        <v>2051c</v>
      </c>
    </row>
    <row r="454" spans="1:17">
      <c r="A454" t="s">
        <v>2602</v>
      </c>
      <c r="B454" t="str">
        <f t="shared" si="24"/>
        <v>Fund 01-2021-03-0443</v>
      </c>
      <c r="C454" s="564" t="str">
        <f t="shared" si="25"/>
        <v>0000-00-0000</v>
      </c>
      <c r="D454" s="562">
        <f>SUMIFS('Import Process ORS'!L:L,'Import Process ORS'!E:E,'DV List for import'!C454)</f>
        <v>0</v>
      </c>
      <c r="E454" t="s">
        <v>2676</v>
      </c>
      <c r="F454" t="str">
        <f>VLOOKUP(A454,'[1]MAIN-101'!$B$13:$M$787,4,FALSE)</f>
        <v>Rosie R. Vellesco</v>
      </c>
      <c r="G454" t="str">
        <f>VLOOKUP(A454,'[1]MAIN-101'!$B$13:$M$787,12,FALSE)</f>
        <v>Reimbursement, petty fare expenses for DTI- AD.N messengerial for October 29- November 11, 2020</v>
      </c>
      <c r="H454" s="562" t="e">
        <f>SUMIFS('[1]MAIN-101'!$Z$1:$Z$3000,'[1]MAIN-101'!$X$1:$X$3000,A454)</f>
        <v>#VALUE!</v>
      </c>
      <c r="I454" s="562" t="s">
        <v>392</v>
      </c>
      <c r="J454" t="s">
        <v>2681</v>
      </c>
      <c r="K454" t="s">
        <v>2679</v>
      </c>
      <c r="L454" s="564" t="s">
        <v>2666</v>
      </c>
      <c r="M454" s="562">
        <f>SUMIFS('Recon of ORS and DV'!D:D,'Recon of ORS and DV'!B:B,'DV List for import'!A454)</f>
        <v>0</v>
      </c>
      <c r="N454" s="276" t="e">
        <f t="shared" si="26"/>
        <v>#VALUE!</v>
      </c>
      <c r="O454" t="s">
        <v>392</v>
      </c>
      <c r="P454" t="str">
        <f>VLOOKUP(A454,'[1]MAIN-101'!$B$8:$D$783,2,FALSE)</f>
        <v>12</v>
      </c>
      <c r="Q454" t="str">
        <f>VLOOKUP(A454,'[1]MAIN-101'!$B$8:$D$783,3,FALSE)</f>
        <v>2051d</v>
      </c>
    </row>
    <row r="455" spans="1:17">
      <c r="A455" t="s">
        <v>2603</v>
      </c>
      <c r="B455" t="str">
        <f t="shared" si="24"/>
        <v>Fund 01-2021-03-0444</v>
      </c>
      <c r="C455" s="564" t="str">
        <f t="shared" si="25"/>
        <v>0000-00-0000</v>
      </c>
      <c r="D455" s="562">
        <f>SUMIFS('Import Process ORS'!L:L,'Import Process ORS'!E:E,'DV List for import'!C455)</f>
        <v>0</v>
      </c>
      <c r="E455" t="s">
        <v>2676</v>
      </c>
      <c r="F455" t="str">
        <f>VLOOKUP(A455,'[1]MAIN-101'!$B$13:$M$787,4,FALSE)</f>
        <v>News Multi-Purpose Cooperative</v>
      </c>
      <c r="G455" t="str">
        <f>VLOOKUP(A455,'[1]MAIN-101'!$B$13:$M$787,12,FALSE)</f>
        <v>Payment for meals re: DTI-PDI 2020 Level 2 planning cum GAD forum, PRAISE Awards for meritorious employees last Dec.14-15, 2020</v>
      </c>
      <c r="H455" s="562" t="e">
        <f>SUMIFS('[1]MAIN-101'!$Z$1:$Z$3000,'[1]MAIN-101'!$X$1:$X$3000,A455)</f>
        <v>#VALUE!</v>
      </c>
      <c r="I455" s="562" t="s">
        <v>392</v>
      </c>
      <c r="J455" t="s">
        <v>2681</v>
      </c>
      <c r="K455" t="s">
        <v>2679</v>
      </c>
      <c r="L455" s="564" t="s">
        <v>2666</v>
      </c>
      <c r="M455" s="562">
        <f>SUMIFS('Recon of ORS and DV'!D:D,'Recon of ORS and DV'!B:B,'DV List for import'!A455)</f>
        <v>0</v>
      </c>
      <c r="N455" s="276" t="e">
        <f t="shared" si="26"/>
        <v>#VALUE!</v>
      </c>
      <c r="O455" t="s">
        <v>392</v>
      </c>
      <c r="P455" t="str">
        <f>VLOOKUP(A455,'[1]MAIN-101'!$B$8:$D$783,2,FALSE)</f>
        <v>12</v>
      </c>
      <c r="Q455" t="str">
        <f>VLOOKUP(A455,'[1]MAIN-101'!$B$8:$D$783,3,FALSE)</f>
        <v>1843A</v>
      </c>
    </row>
    <row r="456" spans="1:17">
      <c r="A456" t="s">
        <v>2604</v>
      </c>
      <c r="B456" t="str">
        <f t="shared" si="24"/>
        <v>Fund 01-2021-03-0445</v>
      </c>
      <c r="C456" s="564" t="str">
        <f t="shared" si="25"/>
        <v>0000-00-0000</v>
      </c>
      <c r="D456" s="562">
        <f>SUMIFS('Import Process ORS'!L:L,'Import Process ORS'!E:E,'DV List for import'!C456)</f>
        <v>0</v>
      </c>
      <c r="E456" t="s">
        <v>2676</v>
      </c>
      <c r="F456" t="str">
        <f>VLOOKUP(A456,'[1]MAIN-101'!$B$13:$M$787,4,FALSE)</f>
        <v>Mahayahay Multi-Purpose Cooperative</v>
      </c>
      <c r="G456" t="str">
        <f>VLOOKUP(A456,'[1]MAIN-101'!$B$13:$M$787,12,FALSE)</f>
        <v>Payment for computer accessories for DTI-PDI webinars and meeting use</v>
      </c>
      <c r="H456" s="562" t="e">
        <f>SUMIFS('[1]MAIN-101'!$Z$1:$Z$3000,'[1]MAIN-101'!$X$1:$X$3000,A456)</f>
        <v>#VALUE!</v>
      </c>
      <c r="I456" s="562" t="s">
        <v>2687</v>
      </c>
      <c r="J456" t="s">
        <v>2683</v>
      </c>
      <c r="K456" t="s">
        <v>2678</v>
      </c>
      <c r="L456" s="564" t="s">
        <v>2666</v>
      </c>
      <c r="M456" s="562">
        <f>SUMIFS('Recon of ORS and DV'!D:D,'Recon of ORS and DV'!B:B,'DV List for import'!A456)</f>
        <v>0</v>
      </c>
      <c r="N456" s="276" t="e">
        <f t="shared" si="26"/>
        <v>#VALUE!</v>
      </c>
    </row>
    <row r="457" spans="1:17">
      <c r="A457" t="s">
        <v>2605</v>
      </c>
      <c r="B457" t="str">
        <f t="shared" si="24"/>
        <v>Fund 01-2021-03-0446</v>
      </c>
      <c r="C457" s="564" t="str">
        <f t="shared" si="25"/>
        <v>0000-00-0000</v>
      </c>
      <c r="D457" s="562">
        <f>SUMIFS('Import Process ORS'!L:L,'Import Process ORS'!E:E,'DV List for import'!C457)</f>
        <v>0</v>
      </c>
      <c r="E457" t="s">
        <v>2676</v>
      </c>
      <c r="F457" t="str">
        <f>VLOOKUP(A457,'[1]MAIN-101'!$B$13:$M$787,4,FALSE)</f>
        <v>Globe Telecom, Inc.</v>
      </c>
      <c r="G457" t="str">
        <f>VLOOKUP(A457,'[1]MAIN-101'!$B$13:$M$787,12,FALSE)</f>
        <v>Payment for post-paid plan subscription, 09178177806 , for the period Jan 27- February 26, 2020 for DTI- PDI Office use</v>
      </c>
      <c r="H457" s="562" t="e">
        <f>SUMIFS('[1]MAIN-101'!$Z$1:$Z$3000,'[1]MAIN-101'!$X$1:$X$3000,A457)</f>
        <v>#VALUE!</v>
      </c>
      <c r="I457" s="562" t="s">
        <v>392</v>
      </c>
      <c r="J457" t="s">
        <v>2681</v>
      </c>
      <c r="K457" t="s">
        <v>2679</v>
      </c>
      <c r="L457" s="564" t="s">
        <v>2666</v>
      </c>
      <c r="M457" s="562">
        <f>SUMIFS('Recon of ORS and DV'!D:D,'Recon of ORS and DV'!B:B,'DV List for import'!A457)</f>
        <v>0</v>
      </c>
      <c r="N457" s="276" t="e">
        <f t="shared" si="26"/>
        <v>#VALUE!</v>
      </c>
      <c r="O457" t="s">
        <v>392</v>
      </c>
      <c r="P457" t="str">
        <f>VLOOKUP(A457,'[1]MAIN-101'!$B$8:$D$783,2,FALSE)</f>
        <v>12</v>
      </c>
      <c r="Q457" t="str">
        <f>VLOOKUP(A457,'[1]MAIN-101'!$B$8:$D$783,3,FALSE)</f>
        <v>1843E</v>
      </c>
    </row>
    <row r="458" spans="1:17">
      <c r="A458" t="s">
        <v>2606</v>
      </c>
      <c r="B458" t="str">
        <f t="shared" si="24"/>
        <v>Fund 01-2021-03-0447</v>
      </c>
      <c r="C458" s="564" t="str">
        <f t="shared" si="25"/>
        <v>0000-00-0000</v>
      </c>
      <c r="D458" s="562">
        <f>SUMIFS('Import Process ORS'!L:L,'Import Process ORS'!E:E,'DV List for import'!C458)</f>
        <v>0</v>
      </c>
      <c r="E458" t="s">
        <v>2676</v>
      </c>
      <c r="F458" t="str">
        <f>VLOOKUP(A458,'[1]MAIN-101'!$B$13:$M$787,4,FALSE)</f>
        <v>Isports Enterprise</v>
      </c>
      <c r="G458" t="str">
        <f>VLOOKUP(A458,'[1]MAIN-101'!$B$13:$M$787,12,FALSE)</f>
        <v>Payment for treadmill for DTI-PDI office use</v>
      </c>
      <c r="H458" s="562" t="e">
        <f>SUMIFS('[1]MAIN-101'!$Z$1:$Z$3000,'[1]MAIN-101'!$X$1:$X$3000,A458)</f>
        <v>#VALUE!</v>
      </c>
      <c r="I458" s="562" t="s">
        <v>2687</v>
      </c>
      <c r="J458" t="s">
        <v>2683</v>
      </c>
      <c r="K458" t="s">
        <v>2678</v>
      </c>
      <c r="L458" s="564" t="s">
        <v>2666</v>
      </c>
      <c r="M458" s="562">
        <f>SUMIFS('Recon of ORS and DV'!D:D,'Recon of ORS and DV'!B:B,'DV List for import'!A458)</f>
        <v>0</v>
      </c>
      <c r="N458" s="276" t="e">
        <f t="shared" si="26"/>
        <v>#VALUE!</v>
      </c>
    </row>
    <row r="459" spans="1:17">
      <c r="A459" t="s">
        <v>2607</v>
      </c>
      <c r="B459" t="str">
        <f t="shared" si="24"/>
        <v>Fund 01-2021-03-0448</v>
      </c>
      <c r="C459" s="564" t="str">
        <f t="shared" si="25"/>
        <v>0000-00-0000</v>
      </c>
      <c r="D459" s="562">
        <f>SUMIFS('Import Process ORS'!L:L,'Import Process ORS'!E:E,'DV List for import'!C459)</f>
        <v>0</v>
      </c>
      <c r="E459" t="s">
        <v>2676</v>
      </c>
      <c r="F459" t="str">
        <f>VLOOKUP(A459,'[1]MAIN-101'!$B$13:$M$787,4,FALSE)</f>
        <v>Fast Tech Computers</v>
      </c>
      <c r="G459" t="str">
        <f>VLOOKUP(A459,'[1]MAIN-101'!$B$13:$M$787,12,FALSE)</f>
        <v>Payment for desktop computer for DTI-PDI Office use</v>
      </c>
      <c r="H459" s="562" t="e">
        <f>SUMIFS('[1]MAIN-101'!$Z$1:$Z$3000,'[1]MAIN-101'!$X$1:$X$3000,A459)</f>
        <v>#VALUE!</v>
      </c>
      <c r="I459" s="562" t="s">
        <v>2687</v>
      </c>
      <c r="J459" t="s">
        <v>2683</v>
      </c>
      <c r="K459" t="s">
        <v>2678</v>
      </c>
      <c r="L459" s="564" t="s">
        <v>2666</v>
      </c>
      <c r="M459" s="562">
        <f>SUMIFS('Recon of ORS and DV'!D:D,'Recon of ORS and DV'!B:B,'DV List for import'!A459)</f>
        <v>0</v>
      </c>
      <c r="N459" s="276" t="e">
        <f t="shared" si="26"/>
        <v>#VALUE!</v>
      </c>
    </row>
    <row r="460" spans="1:17">
      <c r="A460" t="s">
        <v>2275</v>
      </c>
      <c r="B460" t="str">
        <f t="shared" si="24"/>
        <v>Fund 01-2021-03-0449</v>
      </c>
      <c r="C460" s="562" t="e">
        <f>VLOOKUP(L460,'Import Process ORS'!$D$4:$E$1557,2,FALSE)</f>
        <v>#N/A</v>
      </c>
      <c r="D460" s="562">
        <f>SUMIFS('Import Process ORS'!L:L,'Import Process ORS'!E:E,'DV List for import'!C460)</f>
        <v>0</v>
      </c>
      <c r="E460" t="s">
        <v>2676</v>
      </c>
      <c r="F460" t="str">
        <f>VLOOKUP(A460,'[1]MAIN-101'!$B$13:$M$787,4,FALSE)</f>
        <v>Hi-5 Signages Fabricator</v>
      </c>
      <c r="G460" t="str">
        <f>VLOOKUP(A460,'[1]MAIN-101'!$B$13:$M$787,12,FALSE)</f>
        <v>Payment for tarpaulin printing services re: 2021 media and CSO briefing last Feb 3, 2021</v>
      </c>
      <c r="H460" s="562" t="e">
        <f>SUMIFS('[1]MAIN-101'!$Z$1:$Z$3000,'[1]MAIN-101'!$X$1:$X$3000,A460)</f>
        <v>#VALUE!</v>
      </c>
      <c r="I460" s="562" t="s">
        <v>2687</v>
      </c>
      <c r="J460" t="s">
        <v>2683</v>
      </c>
      <c r="K460" t="s">
        <v>2678</v>
      </c>
      <c r="L460" s="562" t="str">
        <f>VLOOKUP(A460,'Format for Import of DV'!$A$3:$S$1556,3,FALSE)</f>
        <v>253</v>
      </c>
      <c r="M460" s="562" t="e">
        <f>SUMIFS('Recon of ORS and DV'!D:D,'Recon of ORS and DV'!B:B,'DV List for import'!A460)</f>
        <v>#VALUE!</v>
      </c>
      <c r="N460" s="276" t="e">
        <f t="shared" si="26"/>
        <v>#VALUE!</v>
      </c>
    </row>
    <row r="461" spans="1:17">
      <c r="A461" t="s">
        <v>2608</v>
      </c>
      <c r="B461" t="str">
        <f t="shared" si="24"/>
        <v>Fund 01-2021-03-0450</v>
      </c>
      <c r="C461" s="564" t="str">
        <f>L461</f>
        <v>0000-00-0000</v>
      </c>
      <c r="D461" s="562">
        <f>SUMIFS('Import Process ORS'!L:L,'Import Process ORS'!E:E,'DV List for import'!C461)</f>
        <v>0</v>
      </c>
      <c r="E461" t="s">
        <v>2676</v>
      </c>
      <c r="F461" t="str">
        <f>VLOOKUP(A461,'[1]MAIN-101'!$B$13:$M$787,4,FALSE)</f>
        <v>Mahayahay Multi-Purpose Cooperative</v>
      </c>
      <c r="G461" t="str">
        <f>VLOOKUP(A461,'[1]MAIN-101'!$B$13:$M$787,12,FALSE)</f>
        <v>Payment for 5 units CISS Printer for DTI-PDI Office use</v>
      </c>
      <c r="H461" s="562" t="e">
        <f>SUMIFS('[1]MAIN-101'!$Z$1:$Z$3000,'[1]MAIN-101'!$X$1:$X$3000,A461)</f>
        <v>#VALUE!</v>
      </c>
      <c r="I461" s="562" t="s">
        <v>2687</v>
      </c>
      <c r="J461" t="s">
        <v>2683</v>
      </c>
      <c r="K461" t="s">
        <v>2678</v>
      </c>
      <c r="L461" s="564" t="s">
        <v>2666</v>
      </c>
      <c r="M461" s="562">
        <f>SUMIFS('Recon of ORS and DV'!D:D,'Recon of ORS and DV'!B:B,'DV List for import'!A461)</f>
        <v>0</v>
      </c>
      <c r="N461" s="276" t="e">
        <f t="shared" si="26"/>
        <v>#VALUE!</v>
      </c>
    </row>
    <row r="462" spans="1:17">
      <c r="A462" t="s">
        <v>2609</v>
      </c>
      <c r="B462" t="str">
        <f t="shared" si="24"/>
        <v>Fund 01-2021-03-0451</v>
      </c>
      <c r="C462" s="564" t="str">
        <f>L462</f>
        <v>0000-00-0000</v>
      </c>
      <c r="D462" s="562">
        <f>SUMIFS('Import Process ORS'!L:L,'Import Process ORS'!E:E,'DV List for import'!C462)</f>
        <v>0</v>
      </c>
      <c r="E462" t="s">
        <v>2676</v>
      </c>
      <c r="F462" t="str">
        <f>VLOOKUP(A462,'[1]MAIN-101'!$B$13:$M$787,4,FALSE)</f>
        <v>Robinsons Appliances Corporation</v>
      </c>
      <c r="G462" t="str">
        <f>VLOOKUP(A462,'[1]MAIN-101'!$B$13:$M$787,12,FALSE)</f>
        <v>Payment for 1 unit laptop for DTI-PDI SSF use</v>
      </c>
      <c r="H462" s="562" t="e">
        <f>SUMIFS('[1]MAIN-101'!$Z$1:$Z$3000,'[1]MAIN-101'!$X$1:$X$3000,A462)</f>
        <v>#VALUE!</v>
      </c>
      <c r="I462" s="562" t="s">
        <v>392</v>
      </c>
      <c r="J462" t="s">
        <v>2681</v>
      </c>
      <c r="K462" t="s">
        <v>2679</v>
      </c>
      <c r="L462" s="564" t="s">
        <v>2666</v>
      </c>
      <c r="M462" s="562">
        <f>SUMIFS('Recon of ORS and DV'!D:D,'Recon of ORS and DV'!B:B,'DV List for import'!A462)</f>
        <v>0</v>
      </c>
      <c r="N462" s="276" t="e">
        <f t="shared" si="26"/>
        <v>#VALUE!</v>
      </c>
      <c r="O462" t="s">
        <v>392</v>
      </c>
      <c r="P462" t="str">
        <f>VLOOKUP(A462,'[1]MAIN-101'!$B$8:$D$783,2,FALSE)</f>
        <v>12</v>
      </c>
      <c r="Q462" t="str">
        <f>VLOOKUP(A462,'[1]MAIN-101'!$B$8:$D$783,3,FALSE)</f>
        <v>1843I</v>
      </c>
    </row>
    <row r="463" spans="1:17">
      <c r="A463" t="s">
        <v>2610</v>
      </c>
      <c r="B463" t="str">
        <f t="shared" si="24"/>
        <v>Fund 01-2021-03-0452</v>
      </c>
      <c r="C463" s="564" t="str">
        <f>L463</f>
        <v>0000-00-0000</v>
      </c>
      <c r="D463" s="562">
        <f>SUMIFS('Import Process ORS'!L:L,'Import Process ORS'!E:E,'DV List for import'!C463)</f>
        <v>0</v>
      </c>
      <c r="E463" t="s">
        <v>2676</v>
      </c>
      <c r="F463" t="str">
        <f>VLOOKUP(A463,'[1]MAIN-101'!$B$13:$M$787,4,FALSE)</f>
        <v>Integrated Services for development of Aquaculture and Fisheries Inc.</v>
      </c>
      <c r="G463" t="str">
        <f>VLOOKUP(A463,'[1]MAIN-101'!$B$13:$M$787,12,FALSE)</f>
        <v>Payment for PF as technical support to DTI-PDI and the cooperator of the SSF on crab Hatchery and Grow out Facility</v>
      </c>
      <c r="H463" s="562" t="e">
        <f>SUMIFS('[1]MAIN-101'!$Z$1:$Z$3000,'[1]MAIN-101'!$X$1:$X$3000,A463)</f>
        <v>#VALUE!</v>
      </c>
      <c r="I463" s="562" t="s">
        <v>2687</v>
      </c>
      <c r="J463" t="s">
        <v>2683</v>
      </c>
      <c r="K463" t="s">
        <v>2678</v>
      </c>
      <c r="L463" s="564" t="s">
        <v>2666</v>
      </c>
      <c r="M463" s="562">
        <f>SUMIFS('Recon of ORS and DV'!D:D,'Recon of ORS and DV'!B:B,'DV List for import'!A463)</f>
        <v>0</v>
      </c>
      <c r="N463" s="276" t="e">
        <f t="shared" si="26"/>
        <v>#VALUE!</v>
      </c>
    </row>
    <row r="464" spans="1:17">
      <c r="A464" t="s">
        <v>2611</v>
      </c>
      <c r="B464" t="str">
        <f t="shared" si="24"/>
        <v>Fund 01-2021-03-0453</v>
      </c>
      <c r="C464" s="564" t="str">
        <f>L464</f>
        <v>0000-00-0000</v>
      </c>
      <c r="D464" s="562">
        <f>SUMIFS('Import Process ORS'!L:L,'Import Process ORS'!E:E,'DV List for import'!C464)</f>
        <v>0</v>
      </c>
      <c r="E464" t="s">
        <v>2676</v>
      </c>
      <c r="F464" t="str">
        <f>VLOOKUP(A464,'[1]MAIN-101'!$B$13:$M$787,4,FALSE)</f>
        <v>Joseph Arnold de Guzman</v>
      </c>
      <c r="G464" t="str">
        <f>VLOOKUP(A464,'[1]MAIN-101'!$B$13:$M$787,12,FALSE)</f>
        <v>Payment of coaching session during KMME Online session batch 2(mentees:Ragas, Magtibay, Nojara) on November 16-27, 2020</v>
      </c>
      <c r="H464" s="562" t="e">
        <f>SUMIFS('[1]MAIN-101'!$Z$1:$Z$3000,'[1]MAIN-101'!$X$1:$X$3000,A464)</f>
        <v>#VALUE!</v>
      </c>
      <c r="I464" s="562" t="s">
        <v>392</v>
      </c>
      <c r="J464" t="s">
        <v>2681</v>
      </c>
      <c r="K464" t="s">
        <v>2679</v>
      </c>
      <c r="L464" s="564" t="s">
        <v>2666</v>
      </c>
      <c r="M464" s="562">
        <f>SUMIFS('Recon of ORS and DV'!D:D,'Recon of ORS and DV'!B:B,'DV List for import'!A464)</f>
        <v>0</v>
      </c>
      <c r="N464" s="276" t="e">
        <f t="shared" si="26"/>
        <v>#VALUE!</v>
      </c>
      <c r="O464" t="s">
        <v>392</v>
      </c>
      <c r="P464" t="str">
        <f>VLOOKUP(A464,'[1]MAIN-101'!$B$8:$D$783,2,FALSE)</f>
        <v>12</v>
      </c>
      <c r="Q464" t="str">
        <f>VLOOKUP(A464,'[1]MAIN-101'!$B$8:$D$783,3,FALSE)</f>
        <v>1990</v>
      </c>
    </row>
    <row r="465" spans="1:17">
      <c r="A465" t="s">
        <v>2274</v>
      </c>
      <c r="B465" t="str">
        <f t="shared" si="24"/>
        <v>Fund 01-2021-03-0454</v>
      </c>
      <c r="C465" s="562" t="e">
        <f>VLOOKUP(L465,'Import Process ORS'!$D$4:$E$1557,2,FALSE)</f>
        <v>#N/A</v>
      </c>
      <c r="D465" s="562">
        <f>SUMIFS('Import Process ORS'!L:L,'Import Process ORS'!E:E,'DV List for import'!C465)</f>
        <v>0</v>
      </c>
      <c r="E465" t="s">
        <v>2676</v>
      </c>
      <c r="F465" t="str">
        <f>VLOOKUP(A465,'[1]MAIN-101'!$B$13:$M$787,4,FALSE)</f>
        <v>Compañero Commercial</v>
      </c>
      <c r="G465" t="str">
        <f>VLOOKUP(A465,'[1]MAIN-101'!$B$13:$M$787,12,FALSE)</f>
        <v>Payment for the 2020 Media AND CSO briefing training kits</v>
      </c>
      <c r="H465" s="562" t="e">
        <f>SUMIFS('[1]MAIN-101'!$Z$1:$Z$3000,'[1]MAIN-101'!$X$1:$X$3000,A465)</f>
        <v>#VALUE!</v>
      </c>
      <c r="I465" s="562" t="s">
        <v>2687</v>
      </c>
      <c r="J465" t="s">
        <v>2683</v>
      </c>
      <c r="K465" t="s">
        <v>2678</v>
      </c>
      <c r="L465" s="562" t="str">
        <f>VLOOKUP(A465,'Format for Import of DV'!$A$3:$S$1556,3,FALSE)</f>
        <v>252</v>
      </c>
      <c r="M465" s="562" t="e">
        <f>SUMIFS('Recon of ORS and DV'!D:D,'Recon of ORS and DV'!B:B,'DV List for import'!A465)</f>
        <v>#VALUE!</v>
      </c>
      <c r="N465" s="276" t="e">
        <f t="shared" si="26"/>
        <v>#VALUE!</v>
      </c>
    </row>
    <row r="466" spans="1:17">
      <c r="A466" t="s">
        <v>2276</v>
      </c>
      <c r="B466" t="str">
        <f t="shared" si="24"/>
        <v>Fund 01-2021-03-0455</v>
      </c>
      <c r="C466" s="562" t="e">
        <f>VLOOKUP(L466,'Import Process ORS'!$D$4:$E$1557,2,FALSE)</f>
        <v>#N/A</v>
      </c>
      <c r="D466" s="562">
        <f>SUMIFS('Import Process ORS'!L:L,'Import Process ORS'!E:E,'DV List for import'!C466)</f>
        <v>0</v>
      </c>
      <c r="E466" t="s">
        <v>2676</v>
      </c>
      <c r="F466" t="str">
        <f>VLOOKUP(A466,'[1]MAIN-101'!$B$13:$M$787,4,FALSE)</f>
        <v>Almont Inland Resort</v>
      </c>
      <c r="G466" t="str">
        <f>VLOOKUP(A466,'[1]MAIN-101'!$B$13:$M$787,12,FALSE)</f>
        <v>Payment for the provision of meals and venue during the 2020 media and cso briefing on Feb 3, 2021</v>
      </c>
      <c r="H466" s="562" t="e">
        <f>SUMIFS('[1]MAIN-101'!$Z$1:$Z$3000,'[1]MAIN-101'!$X$1:$X$3000,A466)</f>
        <v>#VALUE!</v>
      </c>
      <c r="I466" s="562" t="s">
        <v>2687</v>
      </c>
      <c r="J466" t="s">
        <v>2683</v>
      </c>
      <c r="K466" t="s">
        <v>2678</v>
      </c>
      <c r="L466" s="562" t="str">
        <f>VLOOKUP(A466,'Format for Import of DV'!$A$3:$S$1556,3,FALSE)</f>
        <v>254</v>
      </c>
      <c r="M466" s="562" t="e">
        <f>SUMIFS('Recon of ORS and DV'!D:D,'Recon of ORS and DV'!B:B,'DV List for import'!A466)</f>
        <v>#VALUE!</v>
      </c>
      <c r="N466" s="276" t="e">
        <f t="shared" si="26"/>
        <v>#VALUE!</v>
      </c>
    </row>
    <row r="467" spans="1:17">
      <c r="A467" t="s">
        <v>2612</v>
      </c>
      <c r="B467" t="str">
        <f t="shared" si="24"/>
        <v>Fund 01-2021-03-0456</v>
      </c>
      <c r="C467" s="564" t="str">
        <f>L467</f>
        <v>0000-00-0000</v>
      </c>
      <c r="D467" s="562">
        <f>SUMIFS('Import Process ORS'!L:L,'Import Process ORS'!E:E,'DV List for import'!C467)</f>
        <v>0</v>
      </c>
      <c r="E467" t="s">
        <v>2676</v>
      </c>
      <c r="F467" t="str">
        <f>VLOOKUP(A467,'[1]MAIN-101'!$B$13:$M$787,4,FALSE)</f>
        <v>G-Hoven Solutions</v>
      </c>
      <c r="G467" t="str">
        <f>VLOOKUP(A467,'[1]MAIN-101'!$B$13:$M$787,12,FALSE)</f>
        <v>Payment for online video conference and subscription of RPSB activities for 2020 Oct-Dec</v>
      </c>
      <c r="H467" s="562" t="e">
        <f>SUMIFS('[1]MAIN-101'!$Z$1:$Z$3000,'[1]MAIN-101'!$X$1:$X$3000,A467)</f>
        <v>#VALUE!</v>
      </c>
      <c r="I467" s="562" t="s">
        <v>392</v>
      </c>
      <c r="J467" t="s">
        <v>2681</v>
      </c>
      <c r="K467" t="s">
        <v>2679</v>
      </c>
      <c r="L467" s="564" t="s">
        <v>2666</v>
      </c>
      <c r="M467" s="562">
        <f>SUMIFS('Recon of ORS and DV'!D:D,'Recon of ORS and DV'!B:B,'DV List for import'!A467)</f>
        <v>0</v>
      </c>
      <c r="N467" s="276" t="e">
        <f t="shared" si="26"/>
        <v>#VALUE!</v>
      </c>
      <c r="O467" t="s">
        <v>392</v>
      </c>
      <c r="P467" t="str">
        <f>VLOOKUP(A467,'[1]MAIN-101'!$B$8:$D$783,2,FALSE)</f>
        <v>12</v>
      </c>
      <c r="Q467" t="str">
        <f>VLOOKUP(A467,'[1]MAIN-101'!$B$8:$D$783,3,FALSE)</f>
        <v>2023A</v>
      </c>
    </row>
    <row r="468" spans="1:17">
      <c r="A468" t="s">
        <v>2196</v>
      </c>
      <c r="B468" t="str">
        <f t="shared" si="24"/>
        <v>Fund 01-2021-03-0457</v>
      </c>
      <c r="C468" s="562" t="e">
        <f>VLOOKUP(L468,'Import Process ORS'!$D$4:$E$1557,2,FALSE)</f>
        <v>#N/A</v>
      </c>
      <c r="D468" s="562">
        <f>SUMIFS('Import Process ORS'!L:L,'Import Process ORS'!E:E,'DV List for import'!C468)</f>
        <v>0</v>
      </c>
      <c r="E468" t="s">
        <v>2676</v>
      </c>
      <c r="F468" t="str">
        <f>VLOOKUP(A468,'[1]MAIN-101'!$B$13:$M$787,4,FALSE)</f>
        <v>Julieta B. Ogoy</v>
      </c>
      <c r="G468" t="str">
        <f>VLOOKUP(A468,'[1]MAIN-101'!$B$13:$M$787,12,FALSE)</f>
        <v>Reimbursement, Registration fee for Public Service Values in times of adversities for the month of Feb 2021.</v>
      </c>
      <c r="H468" s="562" t="e">
        <f>SUMIFS('[1]MAIN-101'!$Z$1:$Z$3000,'[1]MAIN-101'!$X$1:$X$3000,A468)</f>
        <v>#VALUE!</v>
      </c>
      <c r="I468" s="562" t="s">
        <v>2687</v>
      </c>
      <c r="J468" t="s">
        <v>2683</v>
      </c>
      <c r="K468" t="s">
        <v>2678</v>
      </c>
      <c r="L468" s="562" t="str">
        <f>VLOOKUP(A468,'Format for Import of DV'!$A$3:$S$1556,3,FALSE)</f>
        <v>172</v>
      </c>
      <c r="M468" s="562" t="e">
        <f>SUMIFS('Recon of ORS and DV'!D:D,'Recon of ORS and DV'!B:B,'DV List for import'!A468)</f>
        <v>#VALUE!</v>
      </c>
      <c r="N468" s="276" t="e">
        <f t="shared" si="26"/>
        <v>#VALUE!</v>
      </c>
    </row>
    <row r="469" spans="1:17">
      <c r="A469" t="s">
        <v>2285</v>
      </c>
      <c r="B469" t="str">
        <f t="shared" si="24"/>
        <v>Fund 01-2021-03-0458</v>
      </c>
      <c r="C469" s="562" t="e">
        <f>VLOOKUP(L469,'Import Process ORS'!$D$4:$E$1557,2,FALSE)</f>
        <v>#N/A</v>
      </c>
      <c r="D469" s="562">
        <f>SUMIFS('Import Process ORS'!L:L,'Import Process ORS'!E:E,'DV List for import'!C469)</f>
        <v>0</v>
      </c>
      <c r="E469" t="s">
        <v>2676</v>
      </c>
      <c r="F469" t="str">
        <f>VLOOKUP(A469,'[1]MAIN-101'!$B$13:$M$787,4,FALSE)</f>
        <v>Ralph O. Gorgonio</v>
      </c>
      <c r="G469" t="str">
        <f>VLOOKUP(A469,'[1]MAIN-101'!$B$13:$M$787,12,FALSE)</f>
        <v>Reimbursment, fuel consumption re: pick up DTI-CARAGA MV (Rapid) in CDO</v>
      </c>
      <c r="H469" s="562" t="e">
        <f>SUMIFS('[1]MAIN-101'!$Z$1:$Z$3000,'[1]MAIN-101'!$X$1:$X$3000,A469)</f>
        <v>#VALUE!</v>
      </c>
      <c r="I469" s="562" t="s">
        <v>2687</v>
      </c>
      <c r="J469" t="s">
        <v>2683</v>
      </c>
      <c r="K469" t="s">
        <v>2678</v>
      </c>
      <c r="L469" s="562" t="str">
        <f>VLOOKUP(A469,'Format for Import of DV'!$A$3:$S$1556,3,FALSE)</f>
        <v>263</v>
      </c>
      <c r="M469" s="562" t="e">
        <f>SUMIFS('Recon of ORS and DV'!D:D,'Recon of ORS and DV'!B:B,'DV List for import'!A469)</f>
        <v>#VALUE!</v>
      </c>
      <c r="N469" s="276" t="e">
        <f t="shared" si="26"/>
        <v>#VALUE!</v>
      </c>
    </row>
    <row r="470" spans="1:17">
      <c r="A470" t="s">
        <v>2288</v>
      </c>
      <c r="B470" t="str">
        <f t="shared" si="24"/>
        <v>Fund 01-2021-03-0459</v>
      </c>
      <c r="C470" s="562" t="e">
        <f>VLOOKUP(L470,'Import Process ORS'!$D$4:$E$1557,2,FALSE)</f>
        <v>#N/A</v>
      </c>
      <c r="D470" s="562">
        <f>SUMIFS('Import Process ORS'!L:L,'Import Process ORS'!E:E,'DV List for import'!C470)</f>
        <v>0</v>
      </c>
      <c r="E470" t="s">
        <v>2676</v>
      </c>
      <c r="F470" t="str">
        <f>VLOOKUP(A470,'[1]MAIN-101'!$B$13:$M$787,4,FALSE)</f>
        <v>CSC TRAINING FUND</v>
      </c>
      <c r="G470" t="str">
        <f>VLOOKUP(A470,'[1]MAIN-101'!$B$13:$M$787,12,FALSE)</f>
        <v>Payment of registration fee for the "Online Course on Basic Customer Service Skills(BCSS) on May 4, 7, and 11, 2021</v>
      </c>
      <c r="H470" s="562" t="e">
        <f>SUMIFS('[1]MAIN-101'!$Z$1:$Z$3000,'[1]MAIN-101'!$X$1:$X$3000,A470)</f>
        <v>#VALUE!</v>
      </c>
      <c r="I470" s="562" t="s">
        <v>2687</v>
      </c>
      <c r="J470" t="s">
        <v>2683</v>
      </c>
      <c r="K470" t="s">
        <v>2678</v>
      </c>
      <c r="L470" s="562" t="str">
        <f>VLOOKUP(A470,'Format for Import of DV'!$A$3:$S$1556,3,FALSE)</f>
        <v>266</v>
      </c>
      <c r="M470" s="562" t="e">
        <f>SUMIFS('Recon of ORS and DV'!D:D,'Recon of ORS and DV'!B:B,'DV List for import'!A470)</f>
        <v>#VALUE!</v>
      </c>
      <c r="N470" s="276" t="e">
        <f t="shared" si="26"/>
        <v>#VALUE!</v>
      </c>
    </row>
    <row r="471" spans="1:17">
      <c r="A471" t="s">
        <v>2283</v>
      </c>
      <c r="B471" t="str">
        <f t="shared" si="24"/>
        <v>Fund 01-2021-03-0460</v>
      </c>
      <c r="C471" s="562" t="e">
        <f>VLOOKUP(L471,'Import Process ORS'!$D$4:$E$1557,2,FALSE)</f>
        <v>#N/A</v>
      </c>
      <c r="D471" s="562">
        <f>SUMIFS('Import Process ORS'!L:L,'Import Process ORS'!E:E,'DV List for import'!C471)</f>
        <v>0</v>
      </c>
      <c r="E471" t="s">
        <v>2676</v>
      </c>
      <c r="F471" t="str">
        <f>VLOOKUP(A471,'[1]MAIN-101'!$B$13:$M$787,4,FALSE)</f>
        <v>Globe Telecpm, Inc.</v>
      </c>
      <c r="G471" t="str">
        <f>VLOOKUP(A471,'[1]MAIN-101'!$B$13:$M$787,12,FALSE)</f>
        <v>Payment for post paid plan subscription, DTIU95050-091770054687, for the month of Jan 13- Feb 12, 2021</v>
      </c>
      <c r="H471" s="562" t="e">
        <f>SUMIFS('[1]MAIN-101'!$Z$1:$Z$3000,'[1]MAIN-101'!$X$1:$X$3000,A471)</f>
        <v>#VALUE!</v>
      </c>
      <c r="I471" s="562" t="s">
        <v>2687</v>
      </c>
      <c r="J471" t="s">
        <v>2683</v>
      </c>
      <c r="K471" t="s">
        <v>2678</v>
      </c>
      <c r="L471" s="562" t="str">
        <f>VLOOKUP(A471,'Format for Import of DV'!$A$3:$S$1556,3,FALSE)</f>
        <v>261</v>
      </c>
      <c r="M471" s="562" t="e">
        <f>SUMIFS('Recon of ORS and DV'!D:D,'Recon of ORS and DV'!B:B,'DV List for import'!A471)</f>
        <v>#VALUE!</v>
      </c>
      <c r="N471" s="276" t="e">
        <f t="shared" si="26"/>
        <v>#VALUE!</v>
      </c>
    </row>
    <row r="472" spans="1:17">
      <c r="A472" t="s">
        <v>2265</v>
      </c>
      <c r="B472" t="str">
        <f t="shared" si="24"/>
        <v>Fund 01-2021-03-0461</v>
      </c>
      <c r="C472" s="562" t="e">
        <f>VLOOKUP(L472,'Import Process ORS'!$D$4:$E$1557,2,FALSE)</f>
        <v>#N/A</v>
      </c>
      <c r="D472" s="562">
        <f>SUMIFS('Import Process ORS'!L:L,'Import Process ORS'!E:E,'DV List for import'!C472)</f>
        <v>0</v>
      </c>
      <c r="E472" t="s">
        <v>2676</v>
      </c>
      <c r="F472" t="str">
        <f>VLOOKUP(A472,'[1]MAIN-101'!$B$13:$M$787,4,FALSE)</f>
        <v>PD, DTI-SDS</v>
      </c>
      <c r="G472" t="str">
        <f>VLOOKUP(A472,'[1]MAIN-101'!$B$13:$M$787,12,FALSE)</f>
        <v>Advances , in support to areas affected by TS Auring</v>
      </c>
      <c r="H472" s="562" t="e">
        <f>SUMIFS('[1]MAIN-101'!$Z$1:$Z$3000,'[1]MAIN-101'!$X$1:$X$3000,A472)</f>
        <v>#VALUE!</v>
      </c>
      <c r="I472" s="562" t="s">
        <v>2687</v>
      </c>
      <c r="J472" t="s">
        <v>2683</v>
      </c>
      <c r="K472" t="s">
        <v>2678</v>
      </c>
      <c r="L472" s="562" t="str">
        <f>VLOOKUP(A472,'Format for Import of DV'!$A$3:$S$1556,3,FALSE)</f>
        <v>243</v>
      </c>
      <c r="M472" s="562" t="e">
        <f>SUMIFS('Recon of ORS and DV'!D:D,'Recon of ORS and DV'!B:B,'DV List for import'!A472)</f>
        <v>#VALUE!</v>
      </c>
      <c r="N472" s="276" t="e">
        <f t="shared" si="26"/>
        <v>#VALUE!</v>
      </c>
    </row>
    <row r="473" spans="1:17">
      <c r="A473" t="s">
        <v>2268</v>
      </c>
      <c r="B473" t="str">
        <f t="shared" si="24"/>
        <v>Fund 01-2021-03-0462</v>
      </c>
      <c r="C473" s="562" t="e">
        <f>VLOOKUP(L473,'Import Process ORS'!$D$4:$E$1557,2,FALSE)</f>
        <v>#N/A</v>
      </c>
      <c r="D473" s="562">
        <f>SUMIFS('Import Process ORS'!L:L,'Import Process ORS'!E:E,'DV List for import'!C473)</f>
        <v>0</v>
      </c>
      <c r="E473" t="s">
        <v>2676</v>
      </c>
      <c r="F473" t="str">
        <f>VLOOKUP(A473,'[1]MAIN-101'!$B$13:$M$787,4,FALSE)</f>
        <v>JRS Business Corporation</v>
      </c>
      <c r="G473" t="str">
        <f>VLOOKUP(A473,'[1]MAIN-101'!$B$13:$M$787,12,FALSE)</f>
        <v>Payment for courier services for the month of February 2021</v>
      </c>
      <c r="H473" s="562" t="e">
        <f>SUMIFS('[1]MAIN-101'!$Z$1:$Z$3000,'[1]MAIN-101'!$X$1:$X$3000,A473)</f>
        <v>#VALUE!</v>
      </c>
      <c r="I473" s="562" t="s">
        <v>2687</v>
      </c>
      <c r="J473" t="s">
        <v>2683</v>
      </c>
      <c r="K473" t="s">
        <v>2678</v>
      </c>
      <c r="L473" s="562" t="str">
        <f>VLOOKUP(A473,'Format for Import of DV'!$A$3:$S$1556,3,FALSE)</f>
        <v>246</v>
      </c>
      <c r="M473" s="562" t="e">
        <f>SUMIFS('Recon of ORS and DV'!D:D,'Recon of ORS and DV'!B:B,'DV List for import'!A473)</f>
        <v>#VALUE!</v>
      </c>
      <c r="N473" s="276" t="e">
        <f t="shared" si="26"/>
        <v>#VALUE!</v>
      </c>
    </row>
    <row r="474" spans="1:17">
      <c r="A474" t="s">
        <v>2273</v>
      </c>
      <c r="B474" t="str">
        <f t="shared" si="24"/>
        <v>Fund 01-2021-03-0463</v>
      </c>
      <c r="C474" s="562" t="e">
        <f>VLOOKUP(L474,'Import Process ORS'!$D$4:$E$1557,2,FALSE)</f>
        <v>#N/A</v>
      </c>
      <c r="D474" s="562">
        <f>SUMIFS('Import Process ORS'!L:L,'Import Process ORS'!E:E,'DV List for import'!C474)</f>
        <v>0</v>
      </c>
      <c r="E474" t="s">
        <v>2676</v>
      </c>
      <c r="F474" t="str">
        <f>VLOOKUP(A474,'[1]MAIN-101'!$B$13:$M$787,4,FALSE)</f>
        <v>Janikka's Catering Services</v>
      </c>
      <c r="G474" t="str">
        <f>VLOOKUP(A474,'[1]MAIN-101'!$B$13:$M$787,12,FALSE)</f>
        <v>Payment for meals re: FAD Functional Team meetinglast January 25, 2021</v>
      </c>
      <c r="H474" s="562" t="e">
        <f>SUMIFS('[1]MAIN-101'!$Z$1:$Z$3000,'[1]MAIN-101'!$X$1:$X$3000,A474)</f>
        <v>#VALUE!</v>
      </c>
      <c r="I474" s="562" t="s">
        <v>2687</v>
      </c>
      <c r="J474" t="s">
        <v>2683</v>
      </c>
      <c r="K474" t="s">
        <v>2678</v>
      </c>
      <c r="L474" s="562" t="str">
        <f>VLOOKUP(A474,'Format for Import of DV'!$A$3:$S$1556,3,FALSE)</f>
        <v>251</v>
      </c>
      <c r="M474" s="562" t="e">
        <f>SUMIFS('Recon of ORS and DV'!D:D,'Recon of ORS and DV'!B:B,'DV List for import'!A474)</f>
        <v>#VALUE!</v>
      </c>
      <c r="N474" s="276" t="e">
        <f t="shared" si="26"/>
        <v>#VALUE!</v>
      </c>
    </row>
    <row r="475" spans="1:17">
      <c r="A475" t="s">
        <v>2613</v>
      </c>
      <c r="B475" t="str">
        <f t="shared" si="24"/>
        <v>Fund 01-2021-03-0464</v>
      </c>
      <c r="C475" s="564" t="str">
        <f>L475</f>
        <v>0000-00-0000</v>
      </c>
      <c r="D475" s="562">
        <f>SUMIFS('Import Process ORS'!L:L,'Import Process ORS'!E:E,'DV List for import'!C475)</f>
        <v>0</v>
      </c>
      <c r="E475" t="s">
        <v>2676</v>
      </c>
      <c r="F475" t="str">
        <f>VLOOKUP(A475,'[1]MAIN-101'!$B$13:$M$787,4,FALSE)</f>
        <v>JMN Multimedia Sales and Services</v>
      </c>
      <c r="G475" t="str">
        <f>VLOOKUP(A475,'[1]MAIN-101'!$B$13:$M$787,12,FALSE)</f>
        <v>Payment for prepaid loadcards for OTOP Ph Hub launching last December 18,2020</v>
      </c>
      <c r="H475" s="562" t="e">
        <f>SUMIFS('[1]MAIN-101'!$Z$1:$Z$3000,'[1]MAIN-101'!$X$1:$X$3000,A475)</f>
        <v>#VALUE!</v>
      </c>
      <c r="I475" s="562" t="s">
        <v>392</v>
      </c>
      <c r="J475" t="s">
        <v>2681</v>
      </c>
      <c r="K475" t="s">
        <v>2679</v>
      </c>
      <c r="L475" s="564" t="s">
        <v>2666</v>
      </c>
      <c r="M475" s="562">
        <f>SUMIFS('Recon of ORS and DV'!D:D,'Recon of ORS and DV'!B:B,'DV List for import'!A475)</f>
        <v>0</v>
      </c>
      <c r="N475" s="276" t="e">
        <f t="shared" si="26"/>
        <v>#VALUE!</v>
      </c>
      <c r="O475" t="s">
        <v>392</v>
      </c>
      <c r="P475" t="str">
        <f>VLOOKUP(A475,'[1]MAIN-101'!$B$8:$D$783,2,FALSE)</f>
        <v>12</v>
      </c>
      <c r="Q475" t="str">
        <f>VLOOKUP(A475,'[1]MAIN-101'!$B$8:$D$783,3,FALSE)</f>
        <v>2018</v>
      </c>
    </row>
    <row r="476" spans="1:17">
      <c r="A476" t="s">
        <v>2614</v>
      </c>
      <c r="B476" t="str">
        <f t="shared" si="24"/>
        <v>Fund 01-2021-03-0465</v>
      </c>
      <c r="C476" s="564" t="str">
        <f>L476</f>
        <v>0000-00-0000</v>
      </c>
      <c r="D476" s="562">
        <f>SUMIFS('Import Process ORS'!L:L,'Import Process ORS'!E:E,'DV List for import'!C476)</f>
        <v>0</v>
      </c>
      <c r="E476" t="s">
        <v>2676</v>
      </c>
      <c r="F476" t="str">
        <f>VLOOKUP(A476,'[1]MAIN-101'!$B$13:$M$787,4,FALSE)</f>
        <v>G-Hoven Solutions</v>
      </c>
      <c r="G476" t="str">
        <f>VLOOKUP(A476,'[1]MAIN-101'!$B$13:$M$787,12,FALSE)</f>
        <v>Payment for the online video conference and subscription of RPSB Activities for 2020 June to August</v>
      </c>
      <c r="H476" s="562" t="e">
        <f>SUMIFS('[1]MAIN-101'!$Z$1:$Z$3000,'[1]MAIN-101'!$X$1:$X$3000,A476)</f>
        <v>#VALUE!</v>
      </c>
      <c r="I476" s="562" t="s">
        <v>392</v>
      </c>
      <c r="J476" t="s">
        <v>2681</v>
      </c>
      <c r="K476" t="s">
        <v>2679</v>
      </c>
      <c r="L476" s="564" t="s">
        <v>2666</v>
      </c>
      <c r="M476" s="562">
        <f>SUMIFS('Recon of ORS and DV'!D:D,'Recon of ORS and DV'!B:B,'DV List for import'!A476)</f>
        <v>0</v>
      </c>
      <c r="N476" s="276" t="e">
        <f t="shared" si="26"/>
        <v>#VALUE!</v>
      </c>
      <c r="O476" t="s">
        <v>392</v>
      </c>
      <c r="P476" t="str">
        <f>VLOOKUP(A476,'[1]MAIN-101'!$B$8:$D$783,2,FALSE)</f>
        <v>12</v>
      </c>
      <c r="Q476" t="str">
        <f>VLOOKUP(A476,'[1]MAIN-101'!$B$8:$D$783,3,FALSE)</f>
        <v>2023</v>
      </c>
    </row>
    <row r="477" spans="1:17">
      <c r="A477" t="s">
        <v>2615</v>
      </c>
      <c r="B477" t="str">
        <f t="shared" si="24"/>
        <v>Fund 01-2021-03-0466</v>
      </c>
      <c r="C477" s="564" t="str">
        <f>L477</f>
        <v>0000-00-0000</v>
      </c>
      <c r="D477" s="562">
        <f>SUMIFS('Import Process ORS'!L:L,'Import Process ORS'!E:E,'DV List for import'!C477)</f>
        <v>0</v>
      </c>
      <c r="E477" t="s">
        <v>2676</v>
      </c>
      <c r="F477" t="str">
        <f>VLOOKUP(A477,'[1]MAIN-101'!$B$13:$M$787,4,FALSE)</f>
        <v>Mahaneh Garments</v>
      </c>
      <c r="G477" t="str">
        <f>VLOOKUP(A477,'[1]MAIN-101'!$B$13:$M$787,12,FALSE)</f>
        <v>Payment for poloshirts for rapid use</v>
      </c>
      <c r="H477" s="562" t="e">
        <f>SUMIFS('[1]MAIN-101'!$Z$1:$Z$3000,'[1]MAIN-101'!$X$1:$X$3000,A477)</f>
        <v>#VALUE!</v>
      </c>
      <c r="I477" s="562" t="s">
        <v>392</v>
      </c>
      <c r="J477" t="s">
        <v>2681</v>
      </c>
      <c r="K477" t="s">
        <v>2679</v>
      </c>
      <c r="L477" s="564" t="s">
        <v>2666</v>
      </c>
      <c r="M477" s="562">
        <f>SUMIFS('Recon of ORS and DV'!D:D,'Recon of ORS and DV'!B:B,'DV List for import'!A477)</f>
        <v>0</v>
      </c>
      <c r="N477" s="276" t="e">
        <f t="shared" si="26"/>
        <v>#VALUE!</v>
      </c>
      <c r="O477" t="s">
        <v>392</v>
      </c>
      <c r="P477" t="str">
        <f>VLOOKUP(A477,'[1]MAIN-101'!$B$8:$D$783,2,FALSE)</f>
        <v>12</v>
      </c>
      <c r="Q477" t="str">
        <f>VLOOKUP(A477,'[1]MAIN-101'!$B$8:$D$783,3,FALSE)</f>
        <v>2015</v>
      </c>
    </row>
    <row r="478" spans="1:17">
      <c r="A478" t="s">
        <v>2284</v>
      </c>
      <c r="B478" t="str">
        <f t="shared" si="24"/>
        <v>Fund 01-2021-03-0467</v>
      </c>
      <c r="C478" s="562" t="e">
        <f>VLOOKUP(L478,'Import Process ORS'!$D$4:$E$1557,2,FALSE)</f>
        <v>#N/A</v>
      </c>
      <c r="D478" s="562">
        <f>SUMIFS('Import Process ORS'!L:L,'Import Process ORS'!E:E,'DV List for import'!C478)</f>
        <v>0</v>
      </c>
      <c r="E478" t="s">
        <v>2676</v>
      </c>
      <c r="F478" t="str">
        <f>VLOOKUP(A478,'[1]MAIN-101'!$B$13:$M$787,4,FALSE)</f>
        <v>Prince Warehouse Club, Inc.</v>
      </c>
      <c r="G478" t="str">
        <f>VLOOKUP(A478,'[1]MAIN-101'!$B$13:$M$787,12,FALSE)</f>
        <v>Livelihood kits for TS Auring affected MSME's in Tandag, Surigao del Sur</v>
      </c>
      <c r="H478" s="562" t="e">
        <f>SUMIFS('[1]MAIN-101'!$Z$1:$Z$3000,'[1]MAIN-101'!$X$1:$X$3000,A478)</f>
        <v>#VALUE!</v>
      </c>
      <c r="I478" s="562" t="s">
        <v>2687</v>
      </c>
      <c r="J478" t="s">
        <v>2683</v>
      </c>
      <c r="K478" t="s">
        <v>2678</v>
      </c>
      <c r="L478" s="562" t="str">
        <f>VLOOKUP(A478,'Format for Import of DV'!$A$3:$S$1556,3,FALSE)</f>
        <v>262</v>
      </c>
      <c r="M478" s="562" t="e">
        <f>SUMIFS('Recon of ORS and DV'!D:D,'Recon of ORS and DV'!B:B,'DV List for import'!A478)</f>
        <v>#VALUE!</v>
      </c>
      <c r="N478" s="276" t="e">
        <f t="shared" si="26"/>
        <v>#VALUE!</v>
      </c>
    </row>
    <row r="479" spans="1:17">
      <c r="A479" t="s">
        <v>2616</v>
      </c>
      <c r="B479" t="str">
        <f t="shared" si="24"/>
        <v>Fund 01-2021-03-0468</v>
      </c>
      <c r="C479" s="564" t="str">
        <f>L479</f>
        <v>0000-00-0000</v>
      </c>
      <c r="D479" s="562">
        <f>SUMIFS('Import Process ORS'!L:L,'Import Process ORS'!E:E,'DV List for import'!C479)</f>
        <v>0</v>
      </c>
      <c r="E479" t="s">
        <v>2676</v>
      </c>
      <c r="F479" t="str">
        <f>VLOOKUP(A479,'[1]MAIN-101'!$B$13:$M$787,4,FALSE)</f>
        <v>RK Internet Café and Prints</v>
      </c>
      <c r="G479" t="str">
        <f>VLOOKUP(A479,'[1]MAIN-101'!$B$13:$M$787,12,FALSE)</f>
        <v>Payment for Sintra Board with sticker for OTOP Ph Hub- Caraga</v>
      </c>
      <c r="H479" s="562" t="e">
        <f>SUMIFS('[1]MAIN-101'!$Z$1:$Z$3000,'[1]MAIN-101'!$X$1:$X$3000,A479)</f>
        <v>#VALUE!</v>
      </c>
      <c r="I479" s="562" t="s">
        <v>392</v>
      </c>
      <c r="J479" t="s">
        <v>2681</v>
      </c>
      <c r="K479" t="s">
        <v>2679</v>
      </c>
      <c r="L479" s="564" t="s">
        <v>2666</v>
      </c>
      <c r="M479" s="562">
        <f>SUMIFS('Recon of ORS and DV'!D:D,'Recon of ORS and DV'!B:B,'DV List for import'!A479)</f>
        <v>0</v>
      </c>
      <c r="N479" s="276" t="e">
        <f t="shared" si="26"/>
        <v>#VALUE!</v>
      </c>
      <c r="O479" t="s">
        <v>392</v>
      </c>
      <c r="P479" t="str">
        <f>VLOOKUP(A479,'[1]MAIN-101'!$B$8:$D$783,2,FALSE)</f>
        <v>12</v>
      </c>
      <c r="Q479" t="str">
        <f>VLOOKUP(A479,'[1]MAIN-101'!$B$8:$D$783,3,FALSE)</f>
        <v>2004</v>
      </c>
    </row>
    <row r="480" spans="1:17">
      <c r="A480" t="s">
        <v>2617</v>
      </c>
      <c r="B480" t="str">
        <f t="shared" si="24"/>
        <v>Fund 01-2021-03-0469</v>
      </c>
      <c r="C480" s="564" t="str">
        <f>L480</f>
        <v>0000-00-0000</v>
      </c>
      <c r="D480" s="562">
        <f>SUMIFS('Import Process ORS'!L:L,'Import Process ORS'!E:E,'DV List for import'!C480)</f>
        <v>0</v>
      </c>
      <c r="E480" t="s">
        <v>2676</v>
      </c>
      <c r="F480" t="str">
        <f>VLOOKUP(A480,'[1]MAIN-101'!$B$13:$M$787,4,FALSE)</f>
        <v>Wyn A. Palma</v>
      </c>
      <c r="G480" t="str">
        <f>VLOOKUP(A480,'[1]MAIN-101'!$B$13:$M$787,12,FALSE)</f>
        <v>Full payment of terminal leave benefits of Mr. Wyn A. Palma</v>
      </c>
      <c r="H480" s="562" t="e">
        <f>SUMIFS('[1]MAIN-101'!$Z$1:$Z$3000,'[1]MAIN-101'!$X$1:$X$3000,A480)</f>
        <v>#VALUE!</v>
      </c>
      <c r="I480" s="562" t="s">
        <v>392</v>
      </c>
      <c r="J480" t="s">
        <v>2681</v>
      </c>
      <c r="K480" t="s">
        <v>2679</v>
      </c>
      <c r="L480" s="564" t="s">
        <v>2666</v>
      </c>
      <c r="M480" s="562">
        <f>SUMIFS('Recon of ORS and DV'!D:D,'Recon of ORS and DV'!B:B,'DV List for import'!A480)</f>
        <v>0</v>
      </c>
      <c r="N480" s="276" t="e">
        <f t="shared" si="26"/>
        <v>#VALUE!</v>
      </c>
      <c r="O480" t="s">
        <v>392</v>
      </c>
      <c r="P480" t="str">
        <f>VLOOKUP(A480,'[1]MAIN-101'!$B$8:$D$783,2,FALSE)</f>
        <v>03</v>
      </c>
      <c r="Q480">
        <f>VLOOKUP(A480,'[1]MAIN-101'!$B$8:$D$783,3,FALSE)</f>
        <v>0</v>
      </c>
    </row>
    <row r="481" spans="1:17">
      <c r="A481" t="s">
        <v>2291</v>
      </c>
      <c r="B481" t="str">
        <f t="shared" si="24"/>
        <v>Fund 01-2021-03-0470</v>
      </c>
      <c r="C481" s="562" t="e">
        <f>VLOOKUP(L481,'Import Process ORS'!$D$4:$E$1557,2,FALSE)</f>
        <v>#N/A</v>
      </c>
      <c r="D481" s="562">
        <f>SUMIFS('Import Process ORS'!L:L,'Import Process ORS'!E:E,'DV List for import'!C481)</f>
        <v>0</v>
      </c>
      <c r="E481" t="s">
        <v>2676</v>
      </c>
      <c r="F481" t="str">
        <f>VLOOKUP(A481,'[1]MAIN-101'!$B$13:$M$787,4,FALSE)</f>
        <v>JMN Multimedia Sales and Services</v>
      </c>
      <c r="G481" t="str">
        <f>VLOOKUP(A481,'[1]MAIN-101'!$B$13:$M$787,12,FALSE)</f>
        <v>Payment for the IT supplies for IDD office use</v>
      </c>
      <c r="H481" s="562" t="e">
        <f>SUMIFS('[1]MAIN-101'!$Z$1:$Z$3000,'[1]MAIN-101'!$X$1:$X$3000,A481)</f>
        <v>#VALUE!</v>
      </c>
      <c r="I481" s="562" t="s">
        <v>2687</v>
      </c>
      <c r="J481" t="s">
        <v>2683</v>
      </c>
      <c r="K481" t="s">
        <v>2678</v>
      </c>
      <c r="L481" s="562" t="str">
        <f>VLOOKUP(A481,'Format for Import of DV'!$A$3:$S$1556,3,FALSE)</f>
        <v>269</v>
      </c>
      <c r="M481" s="562" t="e">
        <f>SUMIFS('Recon of ORS and DV'!D:D,'Recon of ORS and DV'!B:B,'DV List for import'!A481)</f>
        <v>#VALUE!</v>
      </c>
      <c r="N481" s="276" t="e">
        <f t="shared" si="26"/>
        <v>#VALUE!</v>
      </c>
    </row>
    <row r="482" spans="1:17">
      <c r="A482" t="s">
        <v>2292</v>
      </c>
      <c r="B482" t="str">
        <f t="shared" si="24"/>
        <v>Fund 01-2021-03-0471</v>
      </c>
      <c r="C482" s="562" t="e">
        <f>VLOOKUP(L482,'Import Process ORS'!$D$4:$E$1557,2,FALSE)</f>
        <v>#N/A</v>
      </c>
      <c r="D482" s="562">
        <f>SUMIFS('Import Process ORS'!L:L,'Import Process ORS'!E:E,'DV List for import'!C482)</f>
        <v>0</v>
      </c>
      <c r="E482" t="s">
        <v>2676</v>
      </c>
      <c r="F482" t="str">
        <f>VLOOKUP(A482,'[1]MAIN-101'!$B$13:$M$787,4,FALSE)</f>
        <v>Mid- Town Computers and Services</v>
      </c>
      <c r="G482" t="str">
        <f>VLOOKUP(A482,'[1]MAIN-101'!$B$13:$M$787,12,FALSE)</f>
        <v>Payment for computer accessories for IDD use</v>
      </c>
      <c r="H482" s="562" t="e">
        <f>SUMIFS('[1]MAIN-101'!$Z$1:$Z$3000,'[1]MAIN-101'!$X$1:$X$3000,A482)</f>
        <v>#VALUE!</v>
      </c>
      <c r="I482" s="562" t="s">
        <v>2687</v>
      </c>
      <c r="J482" t="s">
        <v>2683</v>
      </c>
      <c r="K482" t="s">
        <v>2678</v>
      </c>
      <c r="L482" s="562" t="str">
        <f>VLOOKUP(A482,'Format for Import of DV'!$A$3:$S$1556,3,FALSE)</f>
        <v>270</v>
      </c>
      <c r="M482" s="562" t="e">
        <f>SUMIFS('Recon of ORS and DV'!D:D,'Recon of ORS and DV'!B:B,'DV List for import'!A482)</f>
        <v>#VALUE!</v>
      </c>
      <c r="N482" s="276" t="e">
        <f t="shared" si="26"/>
        <v>#VALUE!</v>
      </c>
    </row>
    <row r="483" spans="1:17">
      <c r="A483" t="s">
        <v>2299</v>
      </c>
      <c r="B483" t="str">
        <f t="shared" si="24"/>
        <v>Fund 01-2021-03-0472</v>
      </c>
      <c r="C483" s="562" t="e">
        <f>VLOOKUP(L483,'Import Process ORS'!$D$4:$E$1557,2,FALSE)</f>
        <v>#N/A</v>
      </c>
      <c r="D483" s="562">
        <f>SUMIFS('Import Process ORS'!L:L,'Import Process ORS'!E:E,'DV List for import'!C483)</f>
        <v>0</v>
      </c>
      <c r="E483" t="s">
        <v>2676</v>
      </c>
      <c r="F483" t="str">
        <f>VLOOKUP(A483,'[1]MAIN-101'!$B$13:$M$787,4,FALSE)</f>
        <v>Create Food, Inc</v>
      </c>
      <c r="G483" t="str">
        <f>VLOOKUP(A483,'[1]MAIN-101'!$B$13:$M$787,12,FALSE)</f>
        <v>Payment for tokens re: Women Honorees/entrepreneurs</v>
      </c>
      <c r="H483" s="562" t="e">
        <f>SUMIFS('[1]MAIN-101'!$Z$1:$Z$3000,'[1]MAIN-101'!$X$1:$X$3000,A483)</f>
        <v>#VALUE!</v>
      </c>
      <c r="I483" s="562" t="s">
        <v>2687</v>
      </c>
      <c r="J483" t="s">
        <v>2683</v>
      </c>
      <c r="K483" t="s">
        <v>2678</v>
      </c>
      <c r="L483" s="562" t="str">
        <f>VLOOKUP(A483,'Format for Import of DV'!$A$3:$S$1556,3,FALSE)</f>
        <v>277</v>
      </c>
      <c r="M483" s="562" t="e">
        <f>SUMIFS('Recon of ORS and DV'!D:D,'Recon of ORS and DV'!B:B,'DV List for import'!A483)</f>
        <v>#VALUE!</v>
      </c>
      <c r="N483" s="276" t="e">
        <f t="shared" si="26"/>
        <v>#VALUE!</v>
      </c>
    </row>
    <row r="484" spans="1:17">
      <c r="A484" t="s">
        <v>2300</v>
      </c>
      <c r="B484" t="str">
        <f t="shared" si="24"/>
        <v>Fund 01-2021-03-0473</v>
      </c>
      <c r="C484" s="562" t="e">
        <f>VLOOKUP(L484,'Import Process ORS'!$D$4:$E$1557,2,FALSE)</f>
        <v>#N/A</v>
      </c>
      <c r="D484" s="562">
        <f>SUMIFS('Import Process ORS'!L:L,'Import Process ORS'!E:E,'DV List for import'!C484)</f>
        <v>0</v>
      </c>
      <c r="E484" t="s">
        <v>2676</v>
      </c>
      <c r="F484" t="str">
        <f>VLOOKUP(A484,'[1]MAIN-101'!$B$13:$M$787,4,FALSE)</f>
        <v>Globe Telecom, Inc</v>
      </c>
      <c r="G484" t="str">
        <f>VLOOKUP(A484,'[1]MAIN-101'!$B$13:$M$787,12,FALSE)</f>
        <v>Payment for post paid plan subscription, 09178656567, for SDD use for Feb 2021.</v>
      </c>
      <c r="H484" s="562" t="e">
        <f>SUMIFS('[1]MAIN-101'!$Z$1:$Z$3000,'[1]MAIN-101'!$X$1:$X$3000,A484)</f>
        <v>#VALUE!</v>
      </c>
      <c r="I484" s="562" t="s">
        <v>2687</v>
      </c>
      <c r="J484" t="s">
        <v>2683</v>
      </c>
      <c r="K484" t="s">
        <v>2678</v>
      </c>
      <c r="L484" s="562" t="str">
        <f>VLOOKUP(A484,'Format for Import of DV'!$A$3:$S$1556,3,FALSE)</f>
        <v>278</v>
      </c>
      <c r="M484" s="562" t="e">
        <f>SUMIFS('Recon of ORS and DV'!D:D,'Recon of ORS and DV'!B:B,'DV List for import'!A484)</f>
        <v>#VALUE!</v>
      </c>
      <c r="N484" s="276" t="e">
        <f t="shared" si="26"/>
        <v>#VALUE!</v>
      </c>
    </row>
    <row r="485" spans="1:17">
      <c r="A485" t="s">
        <v>2301</v>
      </c>
      <c r="B485" t="str">
        <f t="shared" si="24"/>
        <v>Fund 01-2021-03-0474</v>
      </c>
      <c r="C485" s="562" t="e">
        <f>VLOOKUP(L485,'Import Process ORS'!$D$4:$E$1557,2,FALSE)</f>
        <v>#N/A</v>
      </c>
      <c r="D485" s="562">
        <f>SUMIFS('Import Process ORS'!L:L,'Import Process ORS'!E:E,'DV List for import'!C485)</f>
        <v>0</v>
      </c>
      <c r="E485" t="s">
        <v>2676</v>
      </c>
      <c r="F485" t="str">
        <f>VLOOKUP(A485,'[1]MAIN-101'!$B$13:$M$787,4,FALSE)</f>
        <v>LBP F/O DTI-JO</v>
      </c>
      <c r="G485" t="str">
        <f>VLOOKUP(A485,'[1]MAIN-101'!$B$13:$M$787,12,FALSE)</f>
        <v>Payment of job orders for the period March 1- 15, 2021</v>
      </c>
      <c r="H485" s="562" t="e">
        <f>SUMIFS('[1]MAIN-101'!$Z$1:$Z$3000,'[1]MAIN-101'!$X$1:$X$3000,A485)</f>
        <v>#VALUE!</v>
      </c>
      <c r="I485" s="562" t="s">
        <v>2687</v>
      </c>
      <c r="J485" t="s">
        <v>2683</v>
      </c>
      <c r="K485" t="s">
        <v>2678</v>
      </c>
      <c r="L485" s="562" t="str">
        <f>VLOOKUP(A485,'Format for Import of DV'!$A$3:$S$1556,3,FALSE)</f>
        <v>279</v>
      </c>
      <c r="M485" s="562" t="e">
        <f>SUMIFS('Recon of ORS and DV'!D:D,'Recon of ORS and DV'!B:B,'DV List for import'!A485)</f>
        <v>#VALUE!</v>
      </c>
      <c r="N485" s="276" t="e">
        <f t="shared" si="26"/>
        <v>#VALUE!</v>
      </c>
    </row>
    <row r="486" spans="1:17">
      <c r="A486" t="s">
        <v>2302</v>
      </c>
      <c r="B486" t="str">
        <f t="shared" si="24"/>
        <v>Fund 01-2021-03-0475</v>
      </c>
      <c r="C486" s="562" t="e">
        <f>VLOOKUP(L486,'Import Process ORS'!$D$4:$E$1557,2,FALSE)</f>
        <v>#N/A</v>
      </c>
      <c r="D486" s="562">
        <f>SUMIFS('Import Process ORS'!L:L,'Import Process ORS'!E:E,'DV List for import'!C486)</f>
        <v>0</v>
      </c>
      <c r="E486" t="s">
        <v>2676</v>
      </c>
      <c r="F486" t="str">
        <f>VLOOKUP(A486,'[1]MAIN-101'!$B$13:$M$787,4,FALSE)</f>
        <v>LBP F/O DTI-JO</v>
      </c>
      <c r="G486" t="str">
        <f>VLOOKUP(A486,'[1]MAIN-101'!$B$13:$M$787,12,FALSE)</f>
        <v>Payment of job orders for the period March 1- 15, 2021</v>
      </c>
      <c r="H486" s="562" t="e">
        <f>SUMIFS('[1]MAIN-101'!$Z$1:$Z$3000,'[1]MAIN-101'!$X$1:$X$3000,A486)</f>
        <v>#VALUE!</v>
      </c>
      <c r="I486" s="562" t="s">
        <v>2687</v>
      </c>
      <c r="J486" t="s">
        <v>2683</v>
      </c>
      <c r="K486" t="s">
        <v>2678</v>
      </c>
      <c r="L486" s="562" t="str">
        <f>VLOOKUP(A486,'Format for Import of DV'!$A$3:$S$1556,3,FALSE)</f>
        <v>280</v>
      </c>
      <c r="M486" s="562" t="e">
        <f>SUMIFS('Recon of ORS and DV'!D:D,'Recon of ORS and DV'!B:B,'DV List for import'!A486)</f>
        <v>#VALUE!</v>
      </c>
      <c r="N486" s="276" t="e">
        <f t="shared" si="26"/>
        <v>#VALUE!</v>
      </c>
    </row>
    <row r="487" spans="1:17">
      <c r="A487" t="s">
        <v>2303</v>
      </c>
      <c r="B487" t="str">
        <f t="shared" si="24"/>
        <v>Fund 01-2021-03-0476</v>
      </c>
      <c r="C487" s="562" t="e">
        <f>VLOOKUP(L487,'Import Process ORS'!$D$4:$E$1557,2,FALSE)</f>
        <v>#N/A</v>
      </c>
      <c r="D487" s="562">
        <f>SUMIFS('Import Process ORS'!L:L,'Import Process ORS'!E:E,'DV List for import'!C487)</f>
        <v>0</v>
      </c>
      <c r="E487" t="s">
        <v>2676</v>
      </c>
      <c r="F487" t="str">
        <f>VLOOKUP(A487,'[1]MAIN-101'!$B$13:$M$787,4,FALSE)</f>
        <v>Globe Telecom, Inc</v>
      </c>
      <c r="G487" t="str">
        <f>VLOOKUP(A487,'[1]MAIN-101'!$B$13:$M$787,12,FALSE)</f>
        <v>Payment for post paid plan subscription, 09177036798, for CPD use for Feb 2021.</v>
      </c>
      <c r="H487" s="562" t="e">
        <f>SUMIFS('[1]MAIN-101'!$Z$1:$Z$3000,'[1]MAIN-101'!$X$1:$X$3000,A487)</f>
        <v>#VALUE!</v>
      </c>
      <c r="I487" s="562" t="s">
        <v>2687</v>
      </c>
      <c r="J487" t="s">
        <v>2683</v>
      </c>
      <c r="K487" t="s">
        <v>2678</v>
      </c>
      <c r="L487" s="562" t="str">
        <f>VLOOKUP(A487,'Format for Import of DV'!$A$3:$S$1556,3,FALSE)</f>
        <v>281</v>
      </c>
      <c r="M487" s="562" t="e">
        <f>SUMIFS('Recon of ORS and DV'!D:D,'Recon of ORS and DV'!B:B,'DV List for import'!A487)</f>
        <v>#VALUE!</v>
      </c>
      <c r="N487" s="276" t="e">
        <f t="shared" si="26"/>
        <v>#VALUE!</v>
      </c>
    </row>
    <row r="488" spans="1:17">
      <c r="A488" t="s">
        <v>2297</v>
      </c>
      <c r="B488" t="str">
        <f t="shared" ref="B488:B551" si="27">CONCATENATE("Fund 01-2021-03-",A488)</f>
        <v>Fund 01-2021-03-0477</v>
      </c>
      <c r="C488" s="562" t="e">
        <f>VLOOKUP(L488,'Import Process ORS'!$D$4:$E$1557,2,FALSE)</f>
        <v>#N/A</v>
      </c>
      <c r="D488" s="562">
        <f>SUMIFS('Import Process ORS'!L:L,'Import Process ORS'!E:E,'DV List for import'!C488)</f>
        <v>0</v>
      </c>
      <c r="E488" t="s">
        <v>2676</v>
      </c>
      <c r="F488" t="str">
        <f>VLOOKUP(A488,'[1]MAIN-101'!$B$13:$M$787,4,FALSE)</f>
        <v>JWL Sourcing Group, Inc</v>
      </c>
      <c r="G488" t="str">
        <f>VLOOKUP(A488,'[1]MAIN-101'!$B$13:$M$787,12,FALSE)</f>
        <v>Payment for DTI Caraga Motor Vehicle Fuel for the period Feb 1-28,2021</v>
      </c>
      <c r="H488" s="562" t="e">
        <f>SUMIFS('[1]MAIN-101'!$Z$1:$Z$3000,'[1]MAIN-101'!$X$1:$X$3000,A488)</f>
        <v>#VALUE!</v>
      </c>
      <c r="I488" s="562" t="s">
        <v>2687</v>
      </c>
      <c r="J488" t="s">
        <v>2683</v>
      </c>
      <c r="K488" t="s">
        <v>2678</v>
      </c>
      <c r="L488" s="562" t="str">
        <f>VLOOKUP(A488,'Format for Import of DV'!$A$3:$S$1556,3,FALSE)</f>
        <v>275</v>
      </c>
      <c r="M488" s="562" t="e">
        <f>SUMIFS('Recon of ORS and DV'!D:D,'Recon of ORS and DV'!B:B,'DV List for import'!A488)</f>
        <v>#VALUE!</v>
      </c>
      <c r="N488" s="276" t="e">
        <f t="shared" si="26"/>
        <v>#VALUE!</v>
      </c>
    </row>
    <row r="489" spans="1:17">
      <c r="A489" t="s">
        <v>2296</v>
      </c>
      <c r="B489" t="str">
        <f t="shared" si="27"/>
        <v>Fund 01-2021-03-0478</v>
      </c>
      <c r="C489" s="562" t="e">
        <f>VLOOKUP(L489,'Import Process ORS'!$D$4:$E$1557,2,FALSE)</f>
        <v>#N/A</v>
      </c>
      <c r="D489" s="562">
        <f>SUMIFS('Import Process ORS'!L:L,'Import Process ORS'!E:E,'DV List for import'!C489)</f>
        <v>0</v>
      </c>
      <c r="E489" t="s">
        <v>2676</v>
      </c>
      <c r="F489" t="str">
        <f>VLOOKUP(A489,'[1]MAIN-101'!$B$13:$M$787,4,FALSE)</f>
        <v>LBP F/O DTI-JO</v>
      </c>
      <c r="G489" t="str">
        <f>VLOOKUP(A489,'[1]MAIN-101'!$B$13:$M$787,12,FALSE)</f>
        <v>Payment of job orders for the period March 1- 15, 2021</v>
      </c>
      <c r="H489" s="562" t="e">
        <f>SUMIFS('[1]MAIN-101'!$Z$1:$Z$3000,'[1]MAIN-101'!$X$1:$X$3000,A489)</f>
        <v>#VALUE!</v>
      </c>
      <c r="I489" s="562" t="s">
        <v>2687</v>
      </c>
      <c r="J489" t="s">
        <v>2683</v>
      </c>
      <c r="K489" t="s">
        <v>2678</v>
      </c>
      <c r="L489" s="562" t="str">
        <f>VLOOKUP(A489,'Format for Import of DV'!$A$3:$S$1556,3,FALSE)</f>
        <v>274</v>
      </c>
      <c r="M489" s="562" t="e">
        <f>SUMIFS('Recon of ORS and DV'!D:D,'Recon of ORS and DV'!B:B,'DV List for import'!A489)</f>
        <v>#VALUE!</v>
      </c>
      <c r="N489" s="276" t="e">
        <f t="shared" si="26"/>
        <v>#VALUE!</v>
      </c>
    </row>
    <row r="490" spans="1:17">
      <c r="A490" t="s">
        <v>2295</v>
      </c>
      <c r="B490" t="str">
        <f t="shared" si="27"/>
        <v>Fund 01-2021-03-0479</v>
      </c>
      <c r="C490" s="562" t="e">
        <f>VLOOKUP(L490,'Import Process ORS'!$D$4:$E$1557,2,FALSE)</f>
        <v>#N/A</v>
      </c>
      <c r="D490" s="562">
        <f>SUMIFS('Import Process ORS'!L:L,'Import Process ORS'!E:E,'DV List for import'!C490)</f>
        <v>0</v>
      </c>
      <c r="E490" t="s">
        <v>2676</v>
      </c>
      <c r="F490" t="str">
        <f>VLOOKUP(A490,'[1]MAIN-101'!$B$13:$M$787,4,FALSE)</f>
        <v>LBP F/O DTI-JO</v>
      </c>
      <c r="G490" t="str">
        <f>VLOOKUP(A490,'[1]MAIN-101'!$B$13:$M$787,12,FALSE)</f>
        <v>Payment for JO for March 1-15, 2021</v>
      </c>
      <c r="H490" s="562" t="e">
        <f>SUMIFS('[1]MAIN-101'!$Z$1:$Z$3000,'[1]MAIN-101'!$X$1:$X$3000,A490)</f>
        <v>#VALUE!</v>
      </c>
      <c r="I490" s="562" t="s">
        <v>2687</v>
      </c>
      <c r="J490" t="s">
        <v>2683</v>
      </c>
      <c r="K490" t="s">
        <v>2678</v>
      </c>
      <c r="L490" s="562" t="str">
        <f>VLOOKUP(A490,'Format for Import of DV'!$A$3:$S$1556,3,FALSE)</f>
        <v>273</v>
      </c>
      <c r="M490" s="562" t="e">
        <f>SUMIFS('Recon of ORS and DV'!D:D,'Recon of ORS and DV'!B:B,'DV List for import'!A490)</f>
        <v>#VALUE!</v>
      </c>
      <c r="N490" s="276" t="e">
        <f t="shared" si="26"/>
        <v>#VALUE!</v>
      </c>
    </row>
    <row r="491" spans="1:17">
      <c r="A491" t="s">
        <v>2293</v>
      </c>
      <c r="B491" t="str">
        <f t="shared" si="27"/>
        <v>Fund 01-2021-03-0480</v>
      </c>
      <c r="C491" s="562" t="e">
        <f>VLOOKUP(L491,'Import Process ORS'!$D$4:$E$1557,2,FALSE)</f>
        <v>#N/A</v>
      </c>
      <c r="D491" s="562">
        <f>SUMIFS('Import Process ORS'!L:L,'Import Process ORS'!E:E,'DV List for import'!C491)</f>
        <v>0</v>
      </c>
      <c r="E491" t="s">
        <v>2676</v>
      </c>
      <c r="F491" t="str">
        <f>VLOOKUP(A491,'[1]MAIN-101'!$B$13:$M$787,4,FALSE)</f>
        <v>Globe Telecom, Inc</v>
      </c>
      <c r="G491" t="str">
        <f>VLOOKUP(A491,'[1]MAIN-101'!$B$13:$M$787,12,FALSE)</f>
        <v>Payment for globe post paid plan bills for 2mos. Of RD Banquerigo with cp 09177054627</v>
      </c>
      <c r="H491" s="562" t="e">
        <f>SUMIFS('[1]MAIN-101'!$Z$1:$Z$3000,'[1]MAIN-101'!$X$1:$X$3000,A491)</f>
        <v>#VALUE!</v>
      </c>
      <c r="I491" s="562" t="s">
        <v>2687</v>
      </c>
      <c r="J491" t="s">
        <v>2683</v>
      </c>
      <c r="K491" t="s">
        <v>2678</v>
      </c>
      <c r="L491" s="562" t="str">
        <f>VLOOKUP(A491,'Format for Import of DV'!$A$3:$S$1556,3,FALSE)</f>
        <v>271</v>
      </c>
      <c r="M491" s="562" t="e">
        <f>SUMIFS('Recon of ORS and DV'!D:D,'Recon of ORS and DV'!B:B,'DV List for import'!A491)</f>
        <v>#VALUE!</v>
      </c>
      <c r="N491" s="276" t="e">
        <f t="shared" si="26"/>
        <v>#VALUE!</v>
      </c>
    </row>
    <row r="492" spans="1:17">
      <c r="A492" t="s">
        <v>2298</v>
      </c>
      <c r="B492" t="str">
        <f t="shared" si="27"/>
        <v>Fund 01-2021-03-0481</v>
      </c>
      <c r="C492" s="562" t="e">
        <f>VLOOKUP(L492,'Import Process ORS'!$D$4:$E$1557,2,FALSE)</f>
        <v>#N/A</v>
      </c>
      <c r="D492" s="562">
        <f>SUMIFS('Import Process ORS'!L:L,'Import Process ORS'!E:E,'DV List for import'!C492)</f>
        <v>0</v>
      </c>
      <c r="E492" t="s">
        <v>2676</v>
      </c>
      <c r="F492" t="str">
        <f>VLOOKUP(A492,'[1]MAIN-101'!$B$13:$M$787,4,FALSE)</f>
        <v>Hi-5 Signages Fabricator</v>
      </c>
      <c r="G492" t="str">
        <f>VLOOKUP(A492,'[1]MAIN-101'!$B$13:$M$787,12,FALSE)</f>
        <v>Payment for tarpaulin printing services in observance to DSWD's awareness on Legal Adoption Activities</v>
      </c>
      <c r="H492" s="562" t="e">
        <f>SUMIFS('[1]MAIN-101'!$Z$1:$Z$3000,'[1]MAIN-101'!$X$1:$X$3000,A492)</f>
        <v>#VALUE!</v>
      </c>
      <c r="I492" s="562" t="s">
        <v>2687</v>
      </c>
      <c r="J492" t="s">
        <v>2683</v>
      </c>
      <c r="K492" t="s">
        <v>2678</v>
      </c>
      <c r="L492" s="562" t="str">
        <f>VLOOKUP(A492,'Format for Import of DV'!$A$3:$S$1556,3,FALSE)</f>
        <v>276</v>
      </c>
      <c r="M492" s="562" t="e">
        <f>SUMIFS('Recon of ORS and DV'!D:D,'Recon of ORS and DV'!B:B,'DV List for import'!A492)</f>
        <v>#VALUE!</v>
      </c>
      <c r="N492" s="276" t="e">
        <f t="shared" si="26"/>
        <v>#VALUE!</v>
      </c>
    </row>
    <row r="493" spans="1:17">
      <c r="A493" t="s">
        <v>2618</v>
      </c>
      <c r="B493" t="str">
        <f t="shared" si="27"/>
        <v>Fund 01-2021-03-0482</v>
      </c>
      <c r="C493" s="564" t="str">
        <f>L493</f>
        <v>0000-00-0000</v>
      </c>
      <c r="D493" s="562">
        <f>SUMIFS('Import Process ORS'!L:L,'Import Process ORS'!E:E,'DV List for import'!C493)</f>
        <v>0</v>
      </c>
      <c r="E493" t="s">
        <v>2676</v>
      </c>
      <c r="F493" t="str">
        <f>VLOOKUP(A493,'[1]MAIN-101'!$B$13:$M$787,4,FALSE)</f>
        <v>Jon Harley Famador</v>
      </c>
      <c r="G493" t="str">
        <f>VLOOKUP(A493,'[1]MAIN-101'!$B$13:$M$787,12,FALSE)</f>
        <v>Honorarium of panelist on KMME online BIP Presentation- batch 2 Dec 1-3, 2021.</v>
      </c>
      <c r="H493" s="562" t="e">
        <f>SUMIFS('[1]MAIN-101'!$Z$1:$Z$3000,'[1]MAIN-101'!$X$1:$X$3000,A493)</f>
        <v>#VALUE!</v>
      </c>
      <c r="I493" s="562" t="s">
        <v>392</v>
      </c>
      <c r="J493" t="s">
        <v>2681</v>
      </c>
      <c r="K493" t="s">
        <v>2679</v>
      </c>
      <c r="L493" s="564" t="s">
        <v>2666</v>
      </c>
      <c r="M493" s="562">
        <f>SUMIFS('Recon of ORS and DV'!D:D,'Recon of ORS and DV'!B:B,'DV List for import'!A493)</f>
        <v>0</v>
      </c>
      <c r="N493" s="276" t="e">
        <f t="shared" si="26"/>
        <v>#VALUE!</v>
      </c>
      <c r="O493" t="s">
        <v>392</v>
      </c>
      <c r="P493" t="str">
        <f>VLOOKUP(A493,'[1]MAIN-101'!$B$8:$D$783,2,FALSE)</f>
        <v>12</v>
      </c>
      <c r="Q493" t="str">
        <f>VLOOKUP(A493,'[1]MAIN-101'!$B$8:$D$783,3,FALSE)</f>
        <v>1906c</v>
      </c>
    </row>
    <row r="494" spans="1:17">
      <c r="A494" t="s">
        <v>2619</v>
      </c>
      <c r="B494" t="str">
        <f t="shared" si="27"/>
        <v>Fund 01-2021-03-0483</v>
      </c>
      <c r="C494" s="564" t="str">
        <f>L494</f>
        <v>0000-00-0000</v>
      </c>
      <c r="D494" s="562">
        <f>SUMIFS('Import Process ORS'!L:L,'Import Process ORS'!E:E,'DV List for import'!C494)</f>
        <v>0</v>
      </c>
      <c r="E494" t="s">
        <v>2676</v>
      </c>
      <c r="F494" t="str">
        <f>VLOOKUP(A494,'[1]MAIN-101'!$B$13:$M$787,4,FALSE)</f>
        <v>Rene P. Villagantol</v>
      </c>
      <c r="G494" t="str">
        <f>VLOOKUP(A494,'[1]MAIN-101'!$B$13:$M$787,12,FALSE)</f>
        <v>Honorarium of panelist on KMME online BIP Presentation- batch 2 Dec 1-3, 2021.</v>
      </c>
      <c r="H494" s="562" t="e">
        <f>SUMIFS('[1]MAIN-101'!$Z$1:$Z$3000,'[1]MAIN-101'!$X$1:$X$3000,A494)</f>
        <v>#VALUE!</v>
      </c>
      <c r="I494" s="562" t="s">
        <v>392</v>
      </c>
      <c r="J494" t="s">
        <v>2681</v>
      </c>
      <c r="K494" t="s">
        <v>2679</v>
      </c>
      <c r="L494" s="564" t="s">
        <v>2666</v>
      </c>
      <c r="M494" s="562">
        <f>SUMIFS('Recon of ORS and DV'!D:D,'Recon of ORS and DV'!B:B,'DV List for import'!A494)</f>
        <v>0</v>
      </c>
      <c r="N494" s="276" t="e">
        <f t="shared" si="26"/>
        <v>#VALUE!</v>
      </c>
      <c r="O494" t="s">
        <v>392</v>
      </c>
      <c r="P494" t="str">
        <f>VLOOKUP(A494,'[1]MAIN-101'!$B$8:$D$783,2,FALSE)</f>
        <v>12</v>
      </c>
      <c r="Q494" t="str">
        <f>VLOOKUP(A494,'[1]MAIN-101'!$B$8:$D$783,3,FALSE)</f>
        <v>1906a</v>
      </c>
    </row>
    <row r="495" spans="1:17">
      <c r="A495" t="s">
        <v>2620</v>
      </c>
      <c r="B495" t="str">
        <f t="shared" si="27"/>
        <v>Fund 01-2021-03-0484</v>
      </c>
      <c r="C495" s="564" t="str">
        <f>L495</f>
        <v>0000-00-0000</v>
      </c>
      <c r="D495" s="562">
        <f>SUMIFS('Import Process ORS'!L:L,'Import Process ORS'!E:E,'DV List for import'!C495)</f>
        <v>0</v>
      </c>
      <c r="E495" t="s">
        <v>2676</v>
      </c>
      <c r="F495" t="str">
        <f>VLOOKUP(A495,'[1]MAIN-101'!$B$13:$M$787,4,FALSE)</f>
        <v>April Dabalos</v>
      </c>
      <c r="G495" t="str">
        <f>VLOOKUP(A495,'[1]MAIN-101'!$B$13:$M$787,12,FALSE)</f>
        <v>Honorarium of panelist on KMME online BIP Presentation- batch 2 Dec 1-3, 2021.</v>
      </c>
      <c r="H495" s="562" t="e">
        <f>SUMIFS('[1]MAIN-101'!$Z$1:$Z$3000,'[1]MAIN-101'!$X$1:$X$3000,A495)</f>
        <v>#VALUE!</v>
      </c>
      <c r="I495" s="562" t="s">
        <v>392</v>
      </c>
      <c r="J495" t="s">
        <v>2681</v>
      </c>
      <c r="K495" t="s">
        <v>2679</v>
      </c>
      <c r="L495" s="564" t="s">
        <v>2666</v>
      </c>
      <c r="M495" s="562">
        <f>SUMIFS('Recon of ORS and DV'!D:D,'Recon of ORS and DV'!B:B,'DV List for import'!A495)</f>
        <v>0</v>
      </c>
      <c r="N495" s="276" t="e">
        <f t="shared" si="26"/>
        <v>#VALUE!</v>
      </c>
      <c r="O495" t="s">
        <v>392</v>
      </c>
      <c r="P495" t="str">
        <f>VLOOKUP(A495,'[1]MAIN-101'!$B$8:$D$783,2,FALSE)</f>
        <v>12</v>
      </c>
      <c r="Q495" t="str">
        <f>VLOOKUP(A495,'[1]MAIN-101'!$B$8:$D$783,3,FALSE)</f>
        <v>1987</v>
      </c>
    </row>
    <row r="496" spans="1:17">
      <c r="A496" t="s">
        <v>2621</v>
      </c>
      <c r="B496" t="str">
        <f t="shared" si="27"/>
        <v>Fund 01-2021-03-0485</v>
      </c>
      <c r="C496" s="564" t="str">
        <f>L496</f>
        <v>0000-00-0000</v>
      </c>
      <c r="D496" s="562">
        <f>SUMIFS('Import Process ORS'!L:L,'Import Process ORS'!E:E,'DV List for import'!C496)</f>
        <v>0</v>
      </c>
      <c r="E496" t="s">
        <v>2676</v>
      </c>
      <c r="F496" t="str">
        <f>VLOOKUP(A496,'[1]MAIN-101'!$B$13:$M$787,4,FALSE)</f>
        <v>Kamille Angelie N. Mabano</v>
      </c>
      <c r="G496" t="str">
        <f>VLOOKUP(A496,'[1]MAIN-101'!$B$13:$M$787,12,FALSE)</f>
        <v>Honorarium of panelist on KMME online BIP Presentation- batch 2 Dec 1-3, 2021.</v>
      </c>
      <c r="H496" s="562" t="e">
        <f>SUMIFS('[1]MAIN-101'!$Z$1:$Z$3000,'[1]MAIN-101'!$X$1:$X$3000,A496)</f>
        <v>#VALUE!</v>
      </c>
      <c r="I496" s="562" t="s">
        <v>392</v>
      </c>
      <c r="J496" t="s">
        <v>2681</v>
      </c>
      <c r="K496" t="s">
        <v>2679</v>
      </c>
      <c r="L496" s="564" t="s">
        <v>2666</v>
      </c>
      <c r="M496" s="562">
        <f>SUMIFS('Recon of ORS and DV'!D:D,'Recon of ORS and DV'!B:B,'DV List for import'!A496)</f>
        <v>0</v>
      </c>
      <c r="N496" s="276" t="e">
        <f t="shared" si="26"/>
        <v>#VALUE!</v>
      </c>
      <c r="O496" t="s">
        <v>392</v>
      </c>
      <c r="P496" t="str">
        <f>VLOOKUP(A496,'[1]MAIN-101'!$B$8:$D$783,2,FALSE)</f>
        <v>12</v>
      </c>
      <c r="Q496" t="str">
        <f>VLOOKUP(A496,'[1]MAIN-101'!$B$8:$D$783,3,FALSE)</f>
        <v>1906b</v>
      </c>
    </row>
    <row r="497" spans="1:15">
      <c r="A497" t="s">
        <v>2294</v>
      </c>
      <c r="B497" t="str">
        <f t="shared" si="27"/>
        <v>Fund 01-2021-03-0486</v>
      </c>
      <c r="C497" s="562" t="e">
        <f>VLOOKUP(L497,'Import Process ORS'!$D$4:$E$1557,2,FALSE)</f>
        <v>#N/A</v>
      </c>
      <c r="D497" s="562">
        <f>SUMIFS('Import Process ORS'!L:L,'Import Process ORS'!E:E,'DV List for import'!C497)</f>
        <v>0</v>
      </c>
      <c r="E497" t="s">
        <v>2676</v>
      </c>
      <c r="F497" t="str">
        <f>VLOOKUP(A497,'[1]MAIN-101'!$B$13:$M$787,4,FALSE)</f>
        <v>Compañero Commercial</v>
      </c>
      <c r="G497" t="str">
        <f>VLOOKUP(A497,'[1]MAIN-101'!$B$13:$M$787,12,FALSE)</f>
        <v>Payment for the office supplies of IDD office use -1st quarter 2021</v>
      </c>
      <c r="H497" s="562" t="e">
        <f>SUMIFS('[1]MAIN-101'!$Z$1:$Z$3000,'[1]MAIN-101'!$X$1:$X$3000,A497)</f>
        <v>#VALUE!</v>
      </c>
      <c r="I497" s="562" t="s">
        <v>2687</v>
      </c>
      <c r="J497" t="s">
        <v>2683</v>
      </c>
      <c r="K497" t="s">
        <v>2678</v>
      </c>
      <c r="L497" s="562" t="str">
        <f>VLOOKUP(A497,'Format for Import of DV'!$A$3:$S$1556,3,FALSE)</f>
        <v>272</v>
      </c>
      <c r="M497" s="562" t="e">
        <f>SUMIFS('Recon of ORS and DV'!D:D,'Recon of ORS and DV'!B:B,'DV List for import'!A497)</f>
        <v>#VALUE!</v>
      </c>
      <c r="N497" s="276" t="e">
        <f t="shared" si="26"/>
        <v>#VALUE!</v>
      </c>
    </row>
    <row r="498" spans="1:15">
      <c r="A498" t="s">
        <v>2304</v>
      </c>
      <c r="B498" t="str">
        <f t="shared" si="27"/>
        <v>Fund 01-2021-03-0487</v>
      </c>
      <c r="C498" s="562" t="e">
        <f>VLOOKUP(L498,'Import Process ORS'!$D$4:$E$1557,2,FALSE)</f>
        <v>#N/A</v>
      </c>
      <c r="D498" s="562">
        <f>SUMIFS('Import Process ORS'!L:L,'Import Process ORS'!E:E,'DV List for import'!C498)</f>
        <v>0</v>
      </c>
      <c r="E498" t="s">
        <v>2676</v>
      </c>
      <c r="F498" t="str">
        <f>VLOOKUP(A498,'[1]MAIN-101'!$B$13:$M$787,4,FALSE)</f>
        <v>Marson Jan S. Dolendo</v>
      </c>
      <c r="G498" t="str">
        <f>VLOOKUP(A498,'[1]MAIN-101'!$B$13:$M$787,12,FALSE)</f>
        <v>Reimbursement of the payment for the cash gift og Rev. Fr. Nercipino C. Orbus during the blessing of the new DTI Vehicle</v>
      </c>
      <c r="H498" s="562" t="e">
        <f>SUMIFS('[1]MAIN-101'!$Z$1:$Z$3000,'[1]MAIN-101'!$X$1:$X$3000,A498)</f>
        <v>#VALUE!</v>
      </c>
      <c r="I498" s="562" t="s">
        <v>2687</v>
      </c>
      <c r="J498" t="s">
        <v>2683</v>
      </c>
      <c r="K498" t="s">
        <v>2678</v>
      </c>
      <c r="L498" s="562" t="str">
        <f>VLOOKUP(A498,'Format for Import of DV'!$A$3:$S$1556,3,FALSE)</f>
        <v>282</v>
      </c>
      <c r="M498" s="562" t="e">
        <f>SUMIFS('Recon of ORS and DV'!D:D,'Recon of ORS and DV'!B:B,'DV List for import'!A498)</f>
        <v>#VALUE!</v>
      </c>
      <c r="N498" s="276" t="e">
        <f t="shared" si="26"/>
        <v>#VALUE!</v>
      </c>
    </row>
    <row r="499" spans="1:15">
      <c r="A499" t="s">
        <v>2305</v>
      </c>
      <c r="B499" t="str">
        <f t="shared" si="27"/>
        <v>Fund 01-2021-03-0488</v>
      </c>
      <c r="C499" s="562" t="e">
        <f>VLOOKUP(L499,'Import Process ORS'!$D$4:$E$1557,2,FALSE)</f>
        <v>#N/A</v>
      </c>
      <c r="D499" s="562">
        <f>SUMIFS('Import Process ORS'!L:L,'Import Process ORS'!E:E,'DV List for import'!C499)</f>
        <v>0</v>
      </c>
      <c r="E499" t="s">
        <v>2676</v>
      </c>
      <c r="F499" t="str">
        <f>VLOOKUP(A499,'[1]MAIN-101'!$B$13:$M$787,4,FALSE)</f>
        <v>Jasmin B. Faelnar</v>
      </c>
      <c r="G499" t="str">
        <f>VLOOKUP(A499,'[1]MAIN-101'!$B$13:$M$787,12,FALSE)</f>
        <v>Reimb. For the purchase of bouquet of flowers for the successful woman entrepreneur of DTI-AD N</v>
      </c>
      <c r="H499" s="562" t="e">
        <f>SUMIFS('[1]MAIN-101'!$Z$1:$Z$3000,'[1]MAIN-101'!$X$1:$X$3000,A499)</f>
        <v>#VALUE!</v>
      </c>
      <c r="I499" s="562" t="s">
        <v>2687</v>
      </c>
      <c r="J499" t="s">
        <v>2683</v>
      </c>
      <c r="K499" t="s">
        <v>2678</v>
      </c>
      <c r="L499" s="562" t="str">
        <f>VLOOKUP(A499,'Format for Import of DV'!$A$3:$S$1556,3,FALSE)</f>
        <v>283</v>
      </c>
      <c r="M499" s="562" t="e">
        <f>SUMIFS('Recon of ORS and DV'!D:D,'Recon of ORS and DV'!B:B,'DV List for import'!A499)</f>
        <v>#VALUE!</v>
      </c>
      <c r="N499" s="276" t="e">
        <f t="shared" si="26"/>
        <v>#VALUE!</v>
      </c>
    </row>
    <row r="500" spans="1:15">
      <c r="A500" t="s">
        <v>2307</v>
      </c>
      <c r="B500" t="str">
        <f t="shared" si="27"/>
        <v>Fund 01-2021-03-0489</v>
      </c>
      <c r="C500" s="562" t="e">
        <f>VLOOKUP(L500,'Import Process ORS'!$D$4:$E$1557,2,FALSE)</f>
        <v>#N/A</v>
      </c>
      <c r="D500" s="562">
        <f>SUMIFS('Import Process ORS'!L:L,'Import Process ORS'!E:E,'DV List for import'!C500)</f>
        <v>0</v>
      </c>
      <c r="E500" t="s">
        <v>2676</v>
      </c>
      <c r="F500" t="str">
        <f>VLOOKUP(A500,'[1]MAIN-101'!$B$13:$M$787,4,FALSE)</f>
        <v>True Brew Gourmet Coffee Shop</v>
      </c>
      <c r="G500" t="str">
        <f>VLOOKUP(A500,'[1]MAIN-101'!$B$13:$M$787,12,FALSE)</f>
        <v>Payment for the meals and snacks during the 2021 Women's Summit</v>
      </c>
      <c r="H500" s="562" t="e">
        <f>SUMIFS('[1]MAIN-101'!$Z$1:$Z$3000,'[1]MAIN-101'!$X$1:$X$3000,A500)</f>
        <v>#VALUE!</v>
      </c>
      <c r="I500" s="562" t="s">
        <v>2687</v>
      </c>
      <c r="J500" t="s">
        <v>2683</v>
      </c>
      <c r="K500" t="s">
        <v>2678</v>
      </c>
      <c r="L500" s="562" t="str">
        <f>VLOOKUP(A500,'Format for Import of DV'!$A$3:$S$1556,3,FALSE)</f>
        <v>285</v>
      </c>
      <c r="M500" s="562" t="e">
        <f>SUMIFS('Recon of ORS and DV'!D:D,'Recon of ORS and DV'!B:B,'DV List for import'!A500)</f>
        <v>#VALUE!</v>
      </c>
      <c r="N500" s="276" t="e">
        <f t="shared" si="26"/>
        <v>#VALUE!</v>
      </c>
    </row>
    <row r="501" spans="1:15">
      <c r="A501" t="s">
        <v>2308</v>
      </c>
      <c r="B501" t="str">
        <f t="shared" si="27"/>
        <v>Fund 01-2021-03-0490</v>
      </c>
      <c r="C501" s="562" t="e">
        <f>VLOOKUP(L501,'Import Process ORS'!$D$4:$E$1557,2,FALSE)</f>
        <v>#N/A</v>
      </c>
      <c r="D501" s="562">
        <f>SUMIFS('Import Process ORS'!L:L,'Import Process ORS'!E:E,'DV List for import'!C501)</f>
        <v>0</v>
      </c>
      <c r="E501" t="s">
        <v>2676</v>
      </c>
      <c r="F501" t="str">
        <f>VLOOKUP(A501,'[1]MAIN-101'!$B$13:$M$787,4,FALSE)</f>
        <v>Hi-5 Signages Fabricator</v>
      </c>
      <c r="G501" t="str">
        <f>VLOOKUP(A501,'[1]MAIN-101'!$B$13:$M$787,12,FALSE)</f>
        <v>Payment for printing services re: National Women's Month Celebration</v>
      </c>
      <c r="H501" s="562" t="e">
        <f>SUMIFS('[1]MAIN-101'!$Z$1:$Z$3000,'[1]MAIN-101'!$X$1:$X$3000,A501)</f>
        <v>#VALUE!</v>
      </c>
      <c r="I501" s="562" t="s">
        <v>2687</v>
      </c>
      <c r="J501" t="s">
        <v>2683</v>
      </c>
      <c r="K501" t="s">
        <v>2678</v>
      </c>
      <c r="L501" s="562" t="str">
        <f>VLOOKUP(A501,'Format for Import of DV'!$A$3:$S$1556,3,FALSE)</f>
        <v>286</v>
      </c>
      <c r="M501" s="562" t="e">
        <f>SUMIFS('Recon of ORS and DV'!D:D,'Recon of ORS and DV'!B:B,'DV List for import'!A501)</f>
        <v>#VALUE!</v>
      </c>
      <c r="N501" s="276" t="e">
        <f t="shared" si="26"/>
        <v>#VALUE!</v>
      </c>
    </row>
    <row r="502" spans="1:15">
      <c r="A502" t="s">
        <v>2309</v>
      </c>
      <c r="B502" t="str">
        <f t="shared" si="27"/>
        <v>Fund 01-2021-03-0491</v>
      </c>
      <c r="C502" s="562" t="e">
        <f>VLOOKUP(L502,'Import Process ORS'!$D$4:$E$1557,2,FALSE)</f>
        <v>#N/A</v>
      </c>
      <c r="D502" s="562">
        <f>SUMIFS('Import Process ORS'!L:L,'Import Process ORS'!E:E,'DV List for import'!C502)</f>
        <v>0</v>
      </c>
      <c r="E502" t="s">
        <v>2676</v>
      </c>
      <c r="F502" t="str">
        <f>VLOOKUP(A502,'[1]MAIN-101'!$B$13:$M$787,4,FALSE)</f>
        <v>LBP F/O-CARP employee</v>
      </c>
      <c r="G502" t="str">
        <f>VLOOKUP(A502,'[1]MAIN-101'!$B$13:$M$787,12,FALSE)</f>
        <v>Payment for CARP employees cothing allowance for CY 2021</v>
      </c>
      <c r="H502" s="562" t="e">
        <f>SUMIFS('[1]MAIN-101'!$Z$1:$Z$3000,'[1]MAIN-101'!$X$1:$X$3000,A502)</f>
        <v>#VALUE!</v>
      </c>
      <c r="I502" s="562" t="s">
        <v>2687</v>
      </c>
      <c r="J502" t="s">
        <v>2683</v>
      </c>
      <c r="K502" t="s">
        <v>2678</v>
      </c>
      <c r="L502" s="562" t="str">
        <f>VLOOKUP(A502,'Format for Import of DV'!$A$3:$S$1556,3,FALSE)</f>
        <v>287</v>
      </c>
      <c r="M502" s="562" t="e">
        <f>SUMIFS('Recon of ORS and DV'!D:D,'Recon of ORS and DV'!B:B,'DV List for import'!A502)</f>
        <v>#VALUE!</v>
      </c>
      <c r="N502" s="276" t="e">
        <f t="shared" si="26"/>
        <v>#VALUE!</v>
      </c>
    </row>
    <row r="503" spans="1:15">
      <c r="A503" t="s">
        <v>2622</v>
      </c>
      <c r="B503" t="str">
        <f t="shared" si="27"/>
        <v>Fund 01-2021-03-0492</v>
      </c>
      <c r="C503" s="564" t="str">
        <f t="shared" ref="C503:C509" si="28">L503</f>
        <v>0000-00-0000</v>
      </c>
      <c r="D503" s="562">
        <f>SUMIFS('Import Process ORS'!L:L,'Import Process ORS'!E:E,'DV List for import'!C503)</f>
        <v>0</v>
      </c>
      <c r="E503" t="s">
        <v>2676</v>
      </c>
      <c r="F503" t="str">
        <f>VLOOKUP(A503,'[1]MAIN-101'!$B$13:$M$787,4,FALSE)</f>
        <v>LBP F/O DTI-RO</v>
      </c>
      <c r="G503" t="str">
        <f>VLOOKUP(A503,'[1]MAIN-101'!$B$13:$M$787,12,FALSE)</f>
        <v>Payment for salaries and allowances for regular employees for the month of March 16-31, 2021.</v>
      </c>
      <c r="H503" s="562" t="e">
        <f>SUMIFS('[1]MAIN-101'!$Z$1:$Z$3000,'[1]MAIN-101'!$X$1:$X$3000,A503)</f>
        <v>#VALUE!</v>
      </c>
      <c r="I503" s="562" t="s">
        <v>2662</v>
      </c>
      <c r="J503" t="s">
        <v>2053</v>
      </c>
      <c r="K503" t="s">
        <v>2680</v>
      </c>
      <c r="L503" s="564" t="s">
        <v>2666</v>
      </c>
      <c r="M503" s="562">
        <f>SUMIFS('Recon of ORS and DV'!D:D,'Recon of ORS and DV'!B:B,'DV List for import'!A503)</f>
        <v>0</v>
      </c>
      <c r="N503" s="276" t="e">
        <f t="shared" si="26"/>
        <v>#VALUE!</v>
      </c>
      <c r="O503" t="s">
        <v>2664</v>
      </c>
    </row>
    <row r="504" spans="1:15">
      <c r="A504" t="s">
        <v>2623</v>
      </c>
      <c r="B504" t="str">
        <f t="shared" si="27"/>
        <v>Fund 01-2021-03-0493</v>
      </c>
      <c r="C504" s="564" t="str">
        <f t="shared" si="28"/>
        <v>0000-00-0000</v>
      </c>
      <c r="D504" s="562">
        <f>SUMIFS('Import Process ORS'!L:L,'Import Process ORS'!E:E,'DV List for import'!C504)</f>
        <v>0</v>
      </c>
      <c r="E504" t="s">
        <v>2676</v>
      </c>
      <c r="F504" t="str">
        <f>VLOOKUP(A504,'[1]MAIN-101'!$B$13:$M$787,4,FALSE)</f>
        <v>LBP F/O DTI-ads</v>
      </c>
      <c r="G504" t="str">
        <f>VLOOKUP(A504,'[1]MAIN-101'!$B$13:$M$787,12,FALSE)</f>
        <v>Payment for salaries and allowances for regular employees for the month of March 16-31, 2021.</v>
      </c>
      <c r="H504" s="562" t="e">
        <f>SUMIFS('[1]MAIN-101'!$Z$1:$Z$3000,'[1]MAIN-101'!$X$1:$X$3000,A504)</f>
        <v>#VALUE!</v>
      </c>
      <c r="I504" s="562" t="s">
        <v>2662</v>
      </c>
      <c r="J504" t="s">
        <v>2053</v>
      </c>
      <c r="K504" t="s">
        <v>2680</v>
      </c>
      <c r="L504" s="564" t="s">
        <v>2666</v>
      </c>
      <c r="M504" s="562">
        <f>SUMIFS('Recon of ORS and DV'!D:D,'Recon of ORS and DV'!B:B,'DV List for import'!A504)</f>
        <v>0</v>
      </c>
      <c r="N504" s="276" t="e">
        <f t="shared" si="26"/>
        <v>#VALUE!</v>
      </c>
      <c r="O504" t="s">
        <v>2664</v>
      </c>
    </row>
    <row r="505" spans="1:15">
      <c r="A505" t="s">
        <v>2624</v>
      </c>
      <c r="B505" t="str">
        <f t="shared" si="27"/>
        <v>Fund 01-2021-03-0494</v>
      </c>
      <c r="C505" s="564" t="str">
        <f t="shared" si="28"/>
        <v>0000-00-0000</v>
      </c>
      <c r="D505" s="562">
        <f>SUMIFS('Import Process ORS'!L:L,'Import Process ORS'!E:E,'DV List for import'!C505)</f>
        <v>0</v>
      </c>
      <c r="E505" t="s">
        <v>2676</v>
      </c>
      <c r="F505" t="str">
        <f>VLOOKUP(A505,'[1]MAIN-101'!$B$13:$M$787,4,FALSE)</f>
        <v>LBP F/O DTI-SDN</v>
      </c>
      <c r="G505" t="str">
        <f>VLOOKUP(A505,'[1]MAIN-101'!$B$13:$M$787,12,FALSE)</f>
        <v>Payment for salaries and allowances for regular employees for the month of March 16-31, 2021.</v>
      </c>
      <c r="H505" s="562" t="e">
        <f>SUMIFS('[1]MAIN-101'!$Z$1:$Z$3000,'[1]MAIN-101'!$X$1:$X$3000,A505)</f>
        <v>#VALUE!</v>
      </c>
      <c r="I505" s="562" t="s">
        <v>2662</v>
      </c>
      <c r="J505" t="s">
        <v>2053</v>
      </c>
      <c r="K505" t="s">
        <v>2680</v>
      </c>
      <c r="L505" s="564" t="s">
        <v>2666</v>
      </c>
      <c r="M505" s="562">
        <f>SUMIFS('Recon of ORS and DV'!D:D,'Recon of ORS and DV'!B:B,'DV List for import'!A505)</f>
        <v>0</v>
      </c>
      <c r="N505" s="276" t="e">
        <f t="shared" si="26"/>
        <v>#VALUE!</v>
      </c>
      <c r="O505" t="s">
        <v>2664</v>
      </c>
    </row>
    <row r="506" spans="1:15">
      <c r="A506" t="s">
        <v>2625</v>
      </c>
      <c r="B506" t="str">
        <f t="shared" si="27"/>
        <v>Fund 01-2021-03-0495</v>
      </c>
      <c r="C506" s="564" t="str">
        <f t="shared" si="28"/>
        <v>0000-00-0000</v>
      </c>
      <c r="D506" s="562">
        <f>SUMIFS('Import Process ORS'!L:L,'Import Process ORS'!E:E,'DV List for import'!C506)</f>
        <v>0</v>
      </c>
      <c r="E506" t="s">
        <v>2676</v>
      </c>
      <c r="F506" t="str">
        <f>VLOOKUP(A506,'[1]MAIN-101'!$B$13:$M$787,4,FALSE)</f>
        <v>LBP F/O DTI-SDS</v>
      </c>
      <c r="G506" t="str">
        <f>VLOOKUP(A506,'[1]MAIN-101'!$B$13:$M$787,12,FALSE)</f>
        <v>Payment for salaries and allowances for regular employees for the month of March 16-31, 2021.</v>
      </c>
      <c r="H506" s="562" t="e">
        <f>SUMIFS('[1]MAIN-101'!$Z$1:$Z$3000,'[1]MAIN-101'!$X$1:$X$3000,A506)</f>
        <v>#VALUE!</v>
      </c>
      <c r="I506" s="562" t="s">
        <v>2662</v>
      </c>
      <c r="J506" t="s">
        <v>2053</v>
      </c>
      <c r="K506" t="s">
        <v>2680</v>
      </c>
      <c r="L506" s="564" t="s">
        <v>2666</v>
      </c>
      <c r="M506" s="562">
        <f>SUMIFS('Recon of ORS and DV'!D:D,'Recon of ORS and DV'!B:B,'DV List for import'!A506)</f>
        <v>0</v>
      </c>
      <c r="N506" s="276" t="e">
        <f t="shared" si="26"/>
        <v>#VALUE!</v>
      </c>
      <c r="O506" t="s">
        <v>2664</v>
      </c>
    </row>
    <row r="507" spans="1:15">
      <c r="A507" t="s">
        <v>2626</v>
      </c>
      <c r="B507" t="str">
        <f t="shared" si="27"/>
        <v>Fund 01-2021-03-0496</v>
      </c>
      <c r="C507" s="564" t="str">
        <f t="shared" si="28"/>
        <v>0000-00-0000</v>
      </c>
      <c r="D507" s="562">
        <f>SUMIFS('Import Process ORS'!L:L,'Import Process ORS'!E:E,'DV List for import'!C507)</f>
        <v>0</v>
      </c>
      <c r="E507" t="s">
        <v>2676</v>
      </c>
      <c r="F507" t="str">
        <f>VLOOKUP(A507,'[1]MAIN-101'!$B$13:$M$787,4,FALSE)</f>
        <v>LBP F/O DTI-PDI</v>
      </c>
      <c r="G507" t="str">
        <f>VLOOKUP(A507,'[1]MAIN-101'!$B$13:$M$787,12,FALSE)</f>
        <v>Payment for salaries and allowances for regular employees for the month of March 16-31, 2021.</v>
      </c>
      <c r="H507" s="562" t="e">
        <f>SUMIFS('[1]MAIN-101'!$Z$1:$Z$3000,'[1]MAIN-101'!$X$1:$X$3000,A507)</f>
        <v>#VALUE!</v>
      </c>
      <c r="I507" s="562" t="s">
        <v>2662</v>
      </c>
      <c r="J507" t="s">
        <v>2053</v>
      </c>
      <c r="K507" t="s">
        <v>2680</v>
      </c>
      <c r="L507" s="564" t="s">
        <v>2666</v>
      </c>
      <c r="M507" s="562">
        <f>SUMIFS('Recon of ORS and DV'!D:D,'Recon of ORS and DV'!B:B,'DV List for import'!A507)</f>
        <v>0</v>
      </c>
      <c r="N507" s="276" t="e">
        <f t="shared" si="26"/>
        <v>#VALUE!</v>
      </c>
      <c r="O507" t="s">
        <v>2664</v>
      </c>
    </row>
    <row r="508" spans="1:15">
      <c r="A508" t="s">
        <v>2627</v>
      </c>
      <c r="B508" t="str">
        <f t="shared" si="27"/>
        <v>Fund 01-2021-03-0497</v>
      </c>
      <c r="C508" s="564" t="str">
        <f t="shared" si="28"/>
        <v>0000-00-0000</v>
      </c>
      <c r="D508" s="562">
        <f>SUMIFS('Import Process ORS'!L:L,'Import Process ORS'!E:E,'DV List for import'!C508)</f>
        <v>0</v>
      </c>
      <c r="E508" t="s">
        <v>2676</v>
      </c>
      <c r="F508" t="str">
        <f>VLOOKUP(A508,'[1]MAIN-101'!$B$13:$M$787,4,FALSE)</f>
        <v>LBP F/O DTI-ADN</v>
      </c>
      <c r="G508" t="str">
        <f>VLOOKUP(A508,'[1]MAIN-101'!$B$13:$M$787,12,FALSE)</f>
        <v>Payment for salaries and allowances for regular employees for the month of March 16-31, 2021.</v>
      </c>
      <c r="H508" s="562" t="e">
        <f>SUMIFS('[1]MAIN-101'!$Z$1:$Z$3000,'[1]MAIN-101'!$X$1:$X$3000,A508)</f>
        <v>#VALUE!</v>
      </c>
      <c r="I508" s="562" t="s">
        <v>2662</v>
      </c>
      <c r="J508" t="s">
        <v>2053</v>
      </c>
      <c r="K508" t="s">
        <v>2680</v>
      </c>
      <c r="L508" s="564" t="s">
        <v>2666</v>
      </c>
      <c r="M508" s="562">
        <f>SUMIFS('Recon of ORS and DV'!D:D,'Recon of ORS and DV'!B:B,'DV List for import'!A508)</f>
        <v>0</v>
      </c>
      <c r="N508" s="276" t="e">
        <f t="shared" si="26"/>
        <v>#VALUE!</v>
      </c>
      <c r="O508" t="s">
        <v>2664</v>
      </c>
    </row>
    <row r="509" spans="1:15">
      <c r="A509" t="s">
        <v>2628</v>
      </c>
      <c r="B509" t="str">
        <f t="shared" si="27"/>
        <v>Fund 01-2021-03-0498</v>
      </c>
      <c r="C509" s="564" t="str">
        <f t="shared" si="28"/>
        <v>0000-00-0000</v>
      </c>
      <c r="D509" s="562">
        <f>SUMIFS('Import Process ORS'!L:L,'Import Process ORS'!E:E,'DV List for import'!C509)</f>
        <v>0</v>
      </c>
      <c r="E509" t="s">
        <v>2676</v>
      </c>
      <c r="F509" t="str">
        <f>VLOOKUP(A509,'[1]MAIN-101'!$B$13:$M$787,4,FALSE)</f>
        <v>LBP F/O DTI-SDS</v>
      </c>
      <c r="G509" t="str">
        <f>VLOOKUP(A509,'[1]MAIN-101'!$B$13:$M$787,12,FALSE)</f>
        <v>Payment for salaries and allowances for CARP employees for the month of March 16-31, 2021.</v>
      </c>
      <c r="H509" s="562" t="e">
        <f>SUMIFS('[1]MAIN-101'!$Z$1:$Z$3000,'[1]MAIN-101'!$X$1:$X$3000,A509)</f>
        <v>#VALUE!</v>
      </c>
      <c r="I509" s="562" t="s">
        <v>2662</v>
      </c>
      <c r="J509" t="s">
        <v>2053</v>
      </c>
      <c r="K509" t="s">
        <v>2680</v>
      </c>
      <c r="L509" s="564" t="s">
        <v>2666</v>
      </c>
      <c r="M509" s="562">
        <f>SUMIFS('Recon of ORS and DV'!D:D,'Recon of ORS and DV'!B:B,'DV List for import'!A509)</f>
        <v>0</v>
      </c>
      <c r="N509" s="276" t="e">
        <f t="shared" si="26"/>
        <v>#VALUE!</v>
      </c>
      <c r="O509" t="s">
        <v>2664</v>
      </c>
    </row>
    <row r="510" spans="1:15">
      <c r="A510" t="s">
        <v>2311</v>
      </c>
      <c r="B510" t="str">
        <f t="shared" si="27"/>
        <v>Fund 01-2021-03-0499</v>
      </c>
      <c r="C510" s="562" t="e">
        <f>VLOOKUP(L510,'Import Process ORS'!$D$4:$E$1557,2,FALSE)</f>
        <v>#N/A</v>
      </c>
      <c r="D510" s="562">
        <f>SUMIFS('Import Process ORS'!L:L,'Import Process ORS'!E:E,'DV List for import'!C510)</f>
        <v>0</v>
      </c>
      <c r="E510" t="s">
        <v>2676</v>
      </c>
      <c r="F510" t="str">
        <f>VLOOKUP(A510,'[1]MAIN-101'!$B$13:$M$787,4,FALSE)</f>
        <v>Land Bank of the Philippines</v>
      </c>
      <c r="G510" t="str">
        <f>VLOOKUP(A510,'[1]MAIN-101'!$B$13:$M$787,12,FALSE)</f>
        <v>Payment for RAPID PCU SDS staff for March 1-15, 2021</v>
      </c>
      <c r="H510" s="562" t="e">
        <f>SUMIFS('[1]MAIN-101'!$Z$1:$Z$3000,'[1]MAIN-101'!$X$1:$X$3000,A510)</f>
        <v>#VALUE!</v>
      </c>
      <c r="I510" s="562" t="s">
        <v>2687</v>
      </c>
      <c r="J510" t="s">
        <v>2683</v>
      </c>
      <c r="K510" t="s">
        <v>2678</v>
      </c>
      <c r="L510" s="562" t="str">
        <f>VLOOKUP(A510,'Format for Import of DV'!$A$3:$S$1556,3,FALSE)</f>
        <v>289</v>
      </c>
      <c r="M510" s="562" t="e">
        <f>SUMIFS('Recon of ORS and DV'!D:D,'Recon of ORS and DV'!B:B,'DV List for import'!A510)</f>
        <v>#VALUE!</v>
      </c>
      <c r="N510" s="276" t="e">
        <f t="shared" si="26"/>
        <v>#VALUE!</v>
      </c>
    </row>
    <row r="511" spans="1:15">
      <c r="A511" t="s">
        <v>2310</v>
      </c>
      <c r="B511" t="str">
        <f t="shared" si="27"/>
        <v>Fund 01-2021-03-0500</v>
      </c>
      <c r="C511" s="562" t="e">
        <f>VLOOKUP(L511,'Import Process ORS'!$D$4:$E$1557,2,FALSE)</f>
        <v>#N/A</v>
      </c>
      <c r="D511" s="562">
        <f>SUMIFS('Import Process ORS'!L:L,'Import Process ORS'!E:E,'DV List for import'!C511)</f>
        <v>0</v>
      </c>
      <c r="E511" t="s">
        <v>2676</v>
      </c>
      <c r="F511" t="str">
        <f>VLOOKUP(A511,'[1]MAIN-101'!$B$13:$M$787,4,FALSE)</f>
        <v>Land Bank of the Philippines</v>
      </c>
      <c r="G511" t="str">
        <f>VLOOKUP(A511,'[1]MAIN-101'!$B$13:$M$787,12,FALSE)</f>
        <v>Payment for RAPID PCU ADS staff for March 1-15, 2021</v>
      </c>
      <c r="H511" s="562" t="e">
        <f>SUMIFS('[1]MAIN-101'!$Z$1:$Z$3000,'[1]MAIN-101'!$X$1:$X$3000,A511)</f>
        <v>#VALUE!</v>
      </c>
      <c r="I511" s="562" t="s">
        <v>2687</v>
      </c>
      <c r="J511" t="s">
        <v>2683</v>
      </c>
      <c r="K511" t="s">
        <v>2678</v>
      </c>
      <c r="L511" s="562" t="str">
        <f>VLOOKUP(A511,'Format for Import of DV'!$A$3:$S$1556,3,FALSE)</f>
        <v>288</v>
      </c>
      <c r="M511" s="562" t="e">
        <f>SUMIFS('Recon of ORS and DV'!D:D,'Recon of ORS and DV'!B:B,'DV List for import'!A511)</f>
        <v>#VALUE!</v>
      </c>
      <c r="N511" s="276" t="e">
        <f t="shared" si="26"/>
        <v>#VALUE!</v>
      </c>
    </row>
    <row r="512" spans="1:15">
      <c r="A512" t="s">
        <v>2629</v>
      </c>
      <c r="B512" t="str">
        <f t="shared" si="27"/>
        <v>Fund 01-2021-03-0501</v>
      </c>
      <c r="C512" s="564" t="str">
        <f t="shared" ref="C512:C522" si="29">L512</f>
        <v>0000-00-0000</v>
      </c>
      <c r="D512" s="562">
        <f>SUMIFS('Import Process ORS'!L:L,'Import Process ORS'!E:E,'DV List for import'!C512)</f>
        <v>0</v>
      </c>
      <c r="E512" t="s">
        <v>2676</v>
      </c>
      <c r="F512" t="str">
        <f>VLOOKUP(A512,'[1]MAIN-101'!$B$13:$M$787,4,FALSE)</f>
        <v>Joselito B. Paler</v>
      </c>
      <c r="G512" t="str">
        <f>VLOOKUP(A512,'[1]MAIN-101'!$B$13:$M$787,12,FALSE)</f>
        <v>Payment for salaries and allowances for CARP employees for the month of March 16-31, 2021.</v>
      </c>
      <c r="H512" s="562" t="e">
        <f>SUMIFS('[1]MAIN-101'!$Z$1:$Z$3000,'[1]MAIN-101'!$X$1:$X$3000,A512)</f>
        <v>#VALUE!</v>
      </c>
      <c r="I512" s="562" t="s">
        <v>2662</v>
      </c>
      <c r="J512" t="s">
        <v>2053</v>
      </c>
      <c r="K512" t="s">
        <v>2680</v>
      </c>
      <c r="L512" s="564" t="s">
        <v>2666</v>
      </c>
      <c r="M512" s="562">
        <f>SUMIFS('Recon of ORS and DV'!D:D,'Recon of ORS and DV'!B:B,'DV List for import'!A512)</f>
        <v>0</v>
      </c>
      <c r="N512" s="276" t="e">
        <f t="shared" si="26"/>
        <v>#VALUE!</v>
      </c>
      <c r="O512" t="s">
        <v>2664</v>
      </c>
    </row>
    <row r="513" spans="1:17">
      <c r="A513" t="s">
        <v>2630</v>
      </c>
      <c r="B513" t="str">
        <f t="shared" si="27"/>
        <v>Fund 01-2021-03-0502</v>
      </c>
      <c r="C513" s="564" t="str">
        <f t="shared" si="29"/>
        <v>0000-00-0000</v>
      </c>
      <c r="D513" s="562">
        <f>SUMIFS('Import Process ORS'!L:L,'Import Process ORS'!E:E,'DV List for import'!C513)</f>
        <v>0</v>
      </c>
      <c r="E513" t="s">
        <v>2676</v>
      </c>
      <c r="F513" t="str">
        <f>VLOOKUP(A513,'[1]MAIN-101'!$B$13:$M$787,4,FALSE)</f>
        <v>LBP F/O DTI-ADN</v>
      </c>
      <c r="G513" t="str">
        <f>VLOOKUP(A513,'[1]MAIN-101'!$B$13:$M$787,12,FALSE)</f>
        <v>Payment for salaries and allowances for CARP employees for the month of March 16-31, 2021.</v>
      </c>
      <c r="H513" s="562" t="e">
        <f>SUMIFS('[1]MAIN-101'!$Z$1:$Z$3000,'[1]MAIN-101'!$X$1:$X$3000,A513)</f>
        <v>#VALUE!</v>
      </c>
      <c r="I513" s="562" t="s">
        <v>2662</v>
      </c>
      <c r="J513" t="s">
        <v>2053</v>
      </c>
      <c r="K513" t="s">
        <v>2680</v>
      </c>
      <c r="L513" s="564" t="s">
        <v>2666</v>
      </c>
      <c r="M513" s="562">
        <f>SUMIFS('Recon of ORS and DV'!D:D,'Recon of ORS and DV'!B:B,'DV List for import'!A513)</f>
        <v>0</v>
      </c>
      <c r="N513" s="276" t="e">
        <f t="shared" si="26"/>
        <v>#VALUE!</v>
      </c>
      <c r="O513" t="s">
        <v>2664</v>
      </c>
    </row>
    <row r="514" spans="1:17">
      <c r="A514" t="s">
        <v>2631</v>
      </c>
      <c r="B514" t="str">
        <f t="shared" si="27"/>
        <v>Fund 01-2021-03-0503</v>
      </c>
      <c r="C514" s="564" t="str">
        <f t="shared" si="29"/>
        <v>0000-00-0000</v>
      </c>
      <c r="D514" s="562">
        <f>SUMIFS('Import Process ORS'!L:L,'Import Process ORS'!E:E,'DV List for import'!C514)</f>
        <v>0</v>
      </c>
      <c r="E514" t="s">
        <v>2676</v>
      </c>
      <c r="F514" t="str">
        <f>VLOOKUP(A514,'[1]MAIN-101'!$B$13:$M$787,4,FALSE)</f>
        <v>Lemuel D. Roboca</v>
      </c>
      <c r="G514" t="str">
        <f>VLOOKUP(A514,'[1]MAIN-101'!$B$13:$M$787,12,FALSE)</f>
        <v>Payment for salaries and allowances for CARP employees for the month of March 16-31, 2021.</v>
      </c>
      <c r="H514" s="562" t="e">
        <f>SUMIFS('[1]MAIN-101'!$Z$1:$Z$3000,'[1]MAIN-101'!$X$1:$X$3000,A514)</f>
        <v>#VALUE!</v>
      </c>
      <c r="I514" s="562" t="s">
        <v>2662</v>
      </c>
      <c r="J514" t="s">
        <v>2053</v>
      </c>
      <c r="K514" t="s">
        <v>2680</v>
      </c>
      <c r="L514" s="564" t="s">
        <v>2666</v>
      </c>
      <c r="M514" s="562">
        <f>SUMIFS('Recon of ORS and DV'!D:D,'Recon of ORS and DV'!B:B,'DV List for import'!A514)</f>
        <v>0</v>
      </c>
      <c r="N514" s="276" t="e">
        <f t="shared" si="26"/>
        <v>#VALUE!</v>
      </c>
      <c r="O514" t="s">
        <v>2664</v>
      </c>
    </row>
    <row r="515" spans="1:17">
      <c r="A515" t="s">
        <v>2632</v>
      </c>
      <c r="B515" t="str">
        <f t="shared" si="27"/>
        <v>Fund 01-2021-03-0504</v>
      </c>
      <c r="C515" s="564" t="str">
        <f t="shared" si="29"/>
        <v>0000-00-0000</v>
      </c>
      <c r="D515" s="562">
        <f>SUMIFS('Import Process ORS'!L:L,'Import Process ORS'!E:E,'DV List for import'!C515)</f>
        <v>0</v>
      </c>
      <c r="E515" t="s">
        <v>2676</v>
      </c>
      <c r="F515" t="str">
        <f>VLOOKUP(A515,'[1]MAIN-101'!$B$13:$M$787,4,FALSE)</f>
        <v>Ma. Malen B. Catamora</v>
      </c>
      <c r="G515" t="str">
        <f>VLOOKUP(A515,'[1]MAIN-101'!$B$13:$M$787,12,FALSE)</f>
        <v>Payment for salaries and allowances for CARP employees for the month of March 16-31, 2021.</v>
      </c>
      <c r="H515" s="562" t="e">
        <f>SUMIFS('[1]MAIN-101'!$Z$1:$Z$3000,'[1]MAIN-101'!$X$1:$X$3000,A515)</f>
        <v>#VALUE!</v>
      </c>
      <c r="I515" s="562" t="s">
        <v>2662</v>
      </c>
      <c r="J515" t="s">
        <v>2053</v>
      </c>
      <c r="K515" t="s">
        <v>2680</v>
      </c>
      <c r="L515" s="564" t="s">
        <v>2666</v>
      </c>
      <c r="M515" s="562">
        <f>SUMIFS('Recon of ORS and DV'!D:D,'Recon of ORS and DV'!B:B,'DV List for import'!A515)</f>
        <v>0</v>
      </c>
      <c r="N515" s="276" t="e">
        <f t="shared" si="26"/>
        <v>#VALUE!</v>
      </c>
      <c r="O515" t="s">
        <v>2664</v>
      </c>
    </row>
    <row r="516" spans="1:17">
      <c r="A516" t="s">
        <v>2633</v>
      </c>
      <c r="B516" t="str">
        <f t="shared" si="27"/>
        <v>Fund 01-2021-03-0505</v>
      </c>
      <c r="C516" s="564" t="str">
        <f t="shared" si="29"/>
        <v>0000-00-0000</v>
      </c>
      <c r="D516" s="562">
        <f>SUMIFS('Import Process ORS'!L:L,'Import Process ORS'!E:E,'DV List for import'!C516)</f>
        <v>0</v>
      </c>
      <c r="E516" t="s">
        <v>2676</v>
      </c>
      <c r="F516" t="str">
        <f>VLOOKUP(A516,'[1]MAIN-101'!$B$13:$M$787,4,FALSE)</f>
        <v>Jumar H. Llorente</v>
      </c>
      <c r="G516" t="str">
        <f>VLOOKUP(A516,'[1]MAIN-101'!$B$13:$M$787,12,FALSE)</f>
        <v>Payment for salaries and allowances for CARP employees for the month of March 16-31, 2021.</v>
      </c>
      <c r="H516" s="562" t="e">
        <f>SUMIFS('[1]MAIN-101'!$Z$1:$Z$3000,'[1]MAIN-101'!$X$1:$X$3000,A516)</f>
        <v>#VALUE!</v>
      </c>
      <c r="I516" s="562" t="s">
        <v>2662</v>
      </c>
      <c r="J516" t="s">
        <v>2053</v>
      </c>
      <c r="K516" t="s">
        <v>2680</v>
      </c>
      <c r="L516" s="564" t="s">
        <v>2666</v>
      </c>
      <c r="M516" s="562">
        <f>SUMIFS('Recon of ORS and DV'!D:D,'Recon of ORS and DV'!B:B,'DV List for import'!A516)</f>
        <v>0</v>
      </c>
      <c r="N516" s="276" t="e">
        <f t="shared" ref="N516:N579" si="30">H516-M516</f>
        <v>#VALUE!</v>
      </c>
      <c r="O516" t="s">
        <v>2664</v>
      </c>
    </row>
    <row r="517" spans="1:17">
      <c r="A517" t="s">
        <v>2634</v>
      </c>
      <c r="B517" t="str">
        <f t="shared" si="27"/>
        <v>Fund 01-2021-03-0506</v>
      </c>
      <c r="C517" s="564" t="str">
        <f t="shared" si="29"/>
        <v>0000-00-0000</v>
      </c>
      <c r="D517" s="562">
        <f>SUMIFS('Import Process ORS'!L:L,'Import Process ORS'!E:E,'DV List for import'!C517)</f>
        <v>0</v>
      </c>
      <c r="E517" t="s">
        <v>2676</v>
      </c>
      <c r="F517" t="str">
        <f>VLOOKUP(A517,'[1]MAIN-101'!$B$13:$M$787,4,FALSE)</f>
        <v>Carl Mars P. Ravelo</v>
      </c>
      <c r="G517" t="str">
        <f>VLOOKUP(A517,'[1]MAIN-101'!$B$13:$M$787,12,FALSE)</f>
        <v>Payment for salaries and allowances for NC employees for the month of March 16-31, 2021.</v>
      </c>
      <c r="H517" s="562" t="e">
        <f>SUMIFS('[1]MAIN-101'!$Z$1:$Z$3000,'[1]MAIN-101'!$X$1:$X$3000,A517)</f>
        <v>#VALUE!</v>
      </c>
      <c r="I517" s="562" t="s">
        <v>2662</v>
      </c>
      <c r="J517" t="s">
        <v>2053</v>
      </c>
      <c r="K517" t="s">
        <v>2680</v>
      </c>
      <c r="L517" s="564" t="s">
        <v>2666</v>
      </c>
      <c r="M517" s="562">
        <f>SUMIFS('Recon of ORS and DV'!D:D,'Recon of ORS and DV'!B:B,'DV List for import'!A517)</f>
        <v>0</v>
      </c>
      <c r="N517" s="276" t="e">
        <f t="shared" si="30"/>
        <v>#VALUE!</v>
      </c>
      <c r="O517" t="s">
        <v>2664</v>
      </c>
    </row>
    <row r="518" spans="1:17">
      <c r="A518" t="s">
        <v>2635</v>
      </c>
      <c r="B518" t="str">
        <f t="shared" si="27"/>
        <v>Fund 01-2021-03-0507</v>
      </c>
      <c r="C518" s="564" t="str">
        <f t="shared" si="29"/>
        <v>0000-00-0000</v>
      </c>
      <c r="D518" s="562">
        <f>SUMIFS('Import Process ORS'!L:L,'Import Process ORS'!E:E,'DV List for import'!C518)</f>
        <v>0</v>
      </c>
      <c r="E518" t="s">
        <v>2676</v>
      </c>
      <c r="F518" t="str">
        <f>VLOOKUP(A518,'[1]MAIN-101'!$B$13:$M$787,4,FALSE)</f>
        <v>Cresal Grace C. Malabanan</v>
      </c>
      <c r="G518" t="str">
        <f>VLOOKUP(A518,'[1]MAIN-101'!$B$13:$M$787,12,FALSE)</f>
        <v>Payment for salaries and allowances for NC employees for the month of March 16-31, 2021.</v>
      </c>
      <c r="H518" s="562" t="e">
        <f>SUMIFS('[1]MAIN-101'!$Z$1:$Z$3000,'[1]MAIN-101'!$X$1:$X$3000,A518)</f>
        <v>#VALUE!</v>
      </c>
      <c r="I518" s="562" t="s">
        <v>2662</v>
      </c>
      <c r="J518" t="s">
        <v>2053</v>
      </c>
      <c r="K518" t="s">
        <v>2680</v>
      </c>
      <c r="L518" s="564" t="s">
        <v>2666</v>
      </c>
      <c r="M518" s="562">
        <f>SUMIFS('Recon of ORS and DV'!D:D,'Recon of ORS and DV'!B:B,'DV List for import'!A518)</f>
        <v>0</v>
      </c>
      <c r="N518" s="276" t="e">
        <f t="shared" si="30"/>
        <v>#VALUE!</v>
      </c>
      <c r="O518" t="s">
        <v>2664</v>
      </c>
    </row>
    <row r="519" spans="1:17">
      <c r="A519" t="s">
        <v>2636</v>
      </c>
      <c r="B519" t="str">
        <f t="shared" si="27"/>
        <v>Fund 01-2021-03-0508</v>
      </c>
      <c r="C519" s="564" t="str">
        <f t="shared" si="29"/>
        <v>0000-00-0000</v>
      </c>
      <c r="D519" s="562">
        <f>SUMIFS('Import Process ORS'!L:L,'Import Process ORS'!E:E,'DV List for import'!C519)</f>
        <v>0</v>
      </c>
      <c r="E519" t="s">
        <v>2676</v>
      </c>
      <c r="F519" t="str">
        <f>VLOOKUP(A519,'[1]MAIN-101'!$B$13:$M$787,4,FALSE)</f>
        <v>Olimar O. Sulapas</v>
      </c>
      <c r="G519" t="str">
        <f>VLOOKUP(A519,'[1]MAIN-101'!$B$13:$M$787,12,FALSE)</f>
        <v>Payment for salaries and allowances for NC employees for the month of March 16-31, 2021.</v>
      </c>
      <c r="H519" s="562" t="e">
        <f>SUMIFS('[1]MAIN-101'!$Z$1:$Z$3000,'[1]MAIN-101'!$X$1:$X$3000,A519)</f>
        <v>#VALUE!</v>
      </c>
      <c r="I519" s="562" t="s">
        <v>2662</v>
      </c>
      <c r="J519" t="s">
        <v>2053</v>
      </c>
      <c r="K519" t="s">
        <v>2680</v>
      </c>
      <c r="L519" s="564" t="s">
        <v>2666</v>
      </c>
      <c r="M519" s="562">
        <f>SUMIFS('Recon of ORS and DV'!D:D,'Recon of ORS and DV'!B:B,'DV List for import'!A519)</f>
        <v>0</v>
      </c>
      <c r="N519" s="276" t="e">
        <f t="shared" si="30"/>
        <v>#VALUE!</v>
      </c>
      <c r="O519" t="s">
        <v>2664</v>
      </c>
    </row>
    <row r="520" spans="1:17">
      <c r="A520" t="s">
        <v>2637</v>
      </c>
      <c r="B520" t="str">
        <f t="shared" si="27"/>
        <v>Fund 01-2021-03-0509</v>
      </c>
      <c r="C520" s="564" t="str">
        <f t="shared" si="29"/>
        <v>0000-00-0000</v>
      </c>
      <c r="D520" s="562">
        <f>SUMIFS('Import Process ORS'!L:L,'Import Process ORS'!E:E,'DV List for import'!C520)</f>
        <v>0</v>
      </c>
      <c r="E520" t="s">
        <v>2676</v>
      </c>
      <c r="F520" t="str">
        <f>VLOOKUP(A520,'[1]MAIN-101'!$B$13:$M$787,4,FALSE)</f>
        <v>Rezel May C. Goloran</v>
      </c>
      <c r="G520" t="str">
        <f>VLOOKUP(A520,'[1]MAIN-101'!$B$13:$M$787,12,FALSE)</f>
        <v>Payment for salaries and allowances for NC employees for the month of March 16-31, 2021.</v>
      </c>
      <c r="H520" s="562" t="e">
        <f>SUMIFS('[1]MAIN-101'!$Z$1:$Z$3000,'[1]MAIN-101'!$X$1:$X$3000,A520)</f>
        <v>#VALUE!</v>
      </c>
      <c r="I520" s="562" t="s">
        <v>2662</v>
      </c>
      <c r="J520" t="s">
        <v>2053</v>
      </c>
      <c r="K520" t="s">
        <v>2680</v>
      </c>
      <c r="L520" s="564" t="s">
        <v>2666</v>
      </c>
      <c r="M520" s="562">
        <f>SUMIFS('Recon of ORS and DV'!D:D,'Recon of ORS and DV'!B:B,'DV List for import'!A520)</f>
        <v>0</v>
      </c>
      <c r="N520" s="276" t="e">
        <f t="shared" si="30"/>
        <v>#VALUE!</v>
      </c>
      <c r="O520" t="s">
        <v>2664</v>
      </c>
    </row>
    <row r="521" spans="1:17">
      <c r="A521" t="s">
        <v>2638</v>
      </c>
      <c r="B521" t="str">
        <f t="shared" si="27"/>
        <v>Fund 01-2021-03-0510</v>
      </c>
      <c r="C521" s="564" t="str">
        <f t="shared" si="29"/>
        <v>0000-00-0000</v>
      </c>
      <c r="D521" s="562">
        <f>SUMIFS('Import Process ORS'!L:L,'Import Process ORS'!E:E,'DV List for import'!C521)</f>
        <v>0</v>
      </c>
      <c r="E521" t="s">
        <v>2676</v>
      </c>
      <c r="F521" t="str">
        <f>VLOOKUP(A521,'[1]MAIN-101'!$B$13:$M$787,4,FALSE)</f>
        <v>Elyn Rose A. Ranario</v>
      </c>
      <c r="G521" t="str">
        <f>VLOOKUP(A521,'[1]MAIN-101'!$B$13:$M$787,12,FALSE)</f>
        <v>Payment for salaries and allowances for NC employees for the month of March 16-31, 2021.</v>
      </c>
      <c r="H521" s="562" t="e">
        <f>SUMIFS('[1]MAIN-101'!$Z$1:$Z$3000,'[1]MAIN-101'!$X$1:$X$3000,A521)</f>
        <v>#VALUE!</v>
      </c>
      <c r="I521" s="562" t="s">
        <v>2662</v>
      </c>
      <c r="J521" t="s">
        <v>2053</v>
      </c>
      <c r="K521" t="s">
        <v>2680</v>
      </c>
      <c r="L521" s="564" t="s">
        <v>2666</v>
      </c>
      <c r="M521" s="562">
        <f>SUMIFS('Recon of ORS and DV'!D:D,'Recon of ORS and DV'!B:B,'DV List for import'!A521)</f>
        <v>0</v>
      </c>
      <c r="N521" s="276" t="e">
        <f t="shared" si="30"/>
        <v>#VALUE!</v>
      </c>
      <c r="O521" t="s">
        <v>2664</v>
      </c>
    </row>
    <row r="522" spans="1:17">
      <c r="A522" t="s">
        <v>2639</v>
      </c>
      <c r="B522" t="str">
        <f t="shared" si="27"/>
        <v>Fund 01-2021-03-0511</v>
      </c>
      <c r="C522" s="564" t="str">
        <f t="shared" si="29"/>
        <v>0000-00-0000</v>
      </c>
      <c r="D522" s="562">
        <f>SUMIFS('Import Process ORS'!L:L,'Import Process ORS'!E:E,'DV List for import'!C522)</f>
        <v>0</v>
      </c>
      <c r="E522" t="s">
        <v>2676</v>
      </c>
      <c r="F522" t="str">
        <f>VLOOKUP(A522,'[1]MAIN-101'!$B$13:$M$787,4,FALSE)</f>
        <v>Loida C. Gumahin</v>
      </c>
      <c r="G522" t="str">
        <f>VLOOKUP(A522,'[1]MAIN-101'!$B$13:$M$787,12,FALSE)</f>
        <v>Payment for salaries and allowances for NC employees for the month of March 16-31, 2021.</v>
      </c>
      <c r="H522" s="562" t="e">
        <f>SUMIFS('[1]MAIN-101'!$Z$1:$Z$3000,'[1]MAIN-101'!$X$1:$X$3000,A522)</f>
        <v>#VALUE!</v>
      </c>
      <c r="I522" s="562" t="s">
        <v>2662</v>
      </c>
      <c r="J522" t="s">
        <v>2053</v>
      </c>
      <c r="K522" t="s">
        <v>2680</v>
      </c>
      <c r="L522" s="564" t="s">
        <v>2666</v>
      </c>
      <c r="M522" s="562">
        <f>SUMIFS('Recon of ORS and DV'!D:D,'Recon of ORS and DV'!B:B,'DV List for import'!A522)</f>
        <v>0</v>
      </c>
      <c r="N522" s="276" t="e">
        <f t="shared" si="30"/>
        <v>#VALUE!</v>
      </c>
      <c r="O522" t="s">
        <v>2664</v>
      </c>
    </row>
    <row r="523" spans="1:17">
      <c r="A523" t="s">
        <v>2321</v>
      </c>
      <c r="B523" t="str">
        <f t="shared" si="27"/>
        <v>Fund 01-2021-03-0512</v>
      </c>
      <c r="C523" s="562" t="e">
        <f>VLOOKUP(L523,'Import Process ORS'!$D$4:$E$1557,2,FALSE)</f>
        <v>#N/A</v>
      </c>
      <c r="D523" s="562">
        <f>SUMIFS('Import Process ORS'!L:L,'Import Process ORS'!E:E,'DV List for import'!C523)</f>
        <v>0</v>
      </c>
      <c r="E523" t="s">
        <v>2676</v>
      </c>
      <c r="F523" t="str">
        <f>VLOOKUP(A523,'[1]MAIN-101'!$B$13:$M$787,4,FALSE)</f>
        <v>PD, DTI-AD N</v>
      </c>
      <c r="G523" t="str">
        <f>VLOOKUP(A523,'[1]MAIN-101'!$B$13:$M$787,12,FALSE)</f>
        <v>FT for regular transfer MOOE for the month of March- May2021</v>
      </c>
      <c r="H523" s="562" t="e">
        <f>SUMIFS('[1]MAIN-101'!$Z$1:$Z$3000,'[1]MAIN-101'!$X$1:$X$3000,A523)</f>
        <v>#VALUE!</v>
      </c>
      <c r="I523" s="562" t="s">
        <v>2685</v>
      </c>
      <c r="J523" t="s">
        <v>2683</v>
      </c>
      <c r="K523" t="s">
        <v>2678</v>
      </c>
      <c r="L523" s="562" t="str">
        <f>VLOOKUP(A523,'Format for Import of DV'!$A$3:$S$1556,3,FALSE)</f>
        <v>299</v>
      </c>
      <c r="M523" s="562" t="e">
        <f>SUMIFS('Recon of ORS and DV'!D:D,'Recon of ORS and DV'!B:B,'DV List for import'!A523)</f>
        <v>#VALUE!</v>
      </c>
      <c r="N523" s="276" t="e">
        <f t="shared" si="30"/>
        <v>#VALUE!</v>
      </c>
    </row>
    <row r="524" spans="1:17">
      <c r="A524" t="s">
        <v>2322</v>
      </c>
      <c r="B524" t="str">
        <f t="shared" si="27"/>
        <v>Fund 01-2021-03-0513</v>
      </c>
      <c r="C524" s="562" t="e">
        <f>VLOOKUP(L524,'Import Process ORS'!$D$4:$E$1557,2,FALSE)</f>
        <v>#N/A</v>
      </c>
      <c r="D524" s="562">
        <f>SUMIFS('Import Process ORS'!L:L,'Import Process ORS'!E:E,'DV List for import'!C524)</f>
        <v>0</v>
      </c>
      <c r="E524" t="s">
        <v>2676</v>
      </c>
      <c r="F524" t="str">
        <f>VLOOKUP(A524,'[1]MAIN-101'!$B$13:$M$787,4,FALSE)</f>
        <v>OIC, DTI-ADS</v>
      </c>
      <c r="G524" t="str">
        <f>VLOOKUP(A524,'[1]MAIN-101'!$B$13:$M$787,12,FALSE)</f>
        <v>FT for regular transfer MOOE for the month of March- May2021</v>
      </c>
      <c r="H524" s="562" t="e">
        <f>SUMIFS('[1]MAIN-101'!$Z$1:$Z$3000,'[1]MAIN-101'!$X$1:$X$3000,A524)</f>
        <v>#VALUE!</v>
      </c>
      <c r="I524" s="562" t="s">
        <v>2685</v>
      </c>
      <c r="J524" t="s">
        <v>2683</v>
      </c>
      <c r="K524" t="s">
        <v>2678</v>
      </c>
      <c r="L524" s="562" t="str">
        <f>VLOOKUP(A524,'Format for Import of DV'!$A$3:$S$1556,3,FALSE)</f>
        <v>300</v>
      </c>
      <c r="M524" s="562" t="e">
        <f>SUMIFS('Recon of ORS and DV'!D:D,'Recon of ORS and DV'!B:B,'DV List for import'!A524)</f>
        <v>#VALUE!</v>
      </c>
      <c r="N524" s="276" t="e">
        <f t="shared" si="30"/>
        <v>#VALUE!</v>
      </c>
    </row>
    <row r="525" spans="1:17">
      <c r="A525" t="s">
        <v>2640</v>
      </c>
      <c r="B525" t="str">
        <f t="shared" si="27"/>
        <v>Fund 01-2021-03-0514</v>
      </c>
      <c r="C525" s="562" t="e">
        <f>VLOOKUP(L525,'Import Process ORS'!$D$4:$E$1557,2,FALSE)</f>
        <v>#N/A</v>
      </c>
      <c r="D525" s="562">
        <f>SUMIFS('Import Process ORS'!L:L,'Import Process ORS'!E:E,'DV List for import'!C525)</f>
        <v>0</v>
      </c>
      <c r="E525" t="s">
        <v>2676</v>
      </c>
      <c r="F525" t="str">
        <f>VLOOKUP(A525,'[1]MAIN-101'!$B$13:$M$787,4,FALSE)</f>
        <v>PD, DTI-SDN</v>
      </c>
      <c r="G525" t="str">
        <f>VLOOKUP(A525,'[1]MAIN-101'!$B$13:$M$787,12,FALSE)</f>
        <v>FT for regular transfer MOOE for the month of March- May2021</v>
      </c>
      <c r="H525" s="562" t="e">
        <f>SUMIFS('[1]MAIN-101'!$Z$1:$Z$3000,'[1]MAIN-101'!$X$1:$X$3000,A525)</f>
        <v>#VALUE!</v>
      </c>
      <c r="I525" s="562" t="s">
        <v>2685</v>
      </c>
      <c r="J525" t="s">
        <v>2683</v>
      </c>
      <c r="K525" t="s">
        <v>2678</v>
      </c>
      <c r="L525" s="562" t="str">
        <f>VLOOKUP(A525,'Format for Import of DV'!$A$3:$S$1556,3,FALSE)</f>
        <v>301</v>
      </c>
      <c r="M525" s="562">
        <f>SUMIFS('Recon of ORS and DV'!D:D,'Recon of ORS and DV'!B:B,'DV List for import'!A525)</f>
        <v>505666.32</v>
      </c>
      <c r="N525" s="276" t="e">
        <f t="shared" si="30"/>
        <v>#VALUE!</v>
      </c>
      <c r="P525" t="str">
        <f>VLOOKUP(A525,'[1]MAIN-101'!$B$8:$D$783,2,FALSE)</f>
        <v>03</v>
      </c>
      <c r="Q525" t="str">
        <f>VLOOKUP(A525,'[1]MAIN-101'!$B$8:$D$783,3,FALSE)</f>
        <v>0301</v>
      </c>
    </row>
    <row r="526" spans="1:17">
      <c r="A526" t="s">
        <v>2323</v>
      </c>
      <c r="B526" t="str">
        <f t="shared" si="27"/>
        <v>Fund 01-2021-03-0515</v>
      </c>
      <c r="C526" s="562" t="e">
        <f>VLOOKUP(L526,'Import Process ORS'!$D$4:$E$1557,2,FALSE)</f>
        <v>#N/A</v>
      </c>
      <c r="D526" s="562">
        <f>SUMIFS('Import Process ORS'!L:L,'Import Process ORS'!E:E,'DV List for import'!C526)</f>
        <v>0</v>
      </c>
      <c r="E526" t="s">
        <v>2676</v>
      </c>
      <c r="F526" t="str">
        <f>VLOOKUP(A526,'[1]MAIN-101'!$B$13:$M$787,4,FALSE)</f>
        <v>PD, DTI-SDS</v>
      </c>
      <c r="G526" t="str">
        <f>VLOOKUP(A526,'[1]MAIN-101'!$B$13:$M$787,12,FALSE)</f>
        <v>FT for regular transfer MOOE for the month of March- May2021</v>
      </c>
      <c r="H526" s="562" t="e">
        <f>SUMIFS('[1]MAIN-101'!$Z$1:$Z$3000,'[1]MAIN-101'!$X$1:$X$3000,A526)</f>
        <v>#VALUE!</v>
      </c>
      <c r="I526" s="562" t="s">
        <v>2685</v>
      </c>
      <c r="J526" t="s">
        <v>2683</v>
      </c>
      <c r="K526" t="s">
        <v>2678</v>
      </c>
      <c r="L526" s="562" t="str">
        <f>VLOOKUP(A526,'Format for Import of DV'!$A$3:$S$1556,3,FALSE)</f>
        <v>302</v>
      </c>
      <c r="M526" s="562" t="e">
        <f>SUMIFS('Recon of ORS and DV'!D:D,'Recon of ORS and DV'!B:B,'DV List for import'!A526)</f>
        <v>#VALUE!</v>
      </c>
      <c r="N526" s="276" t="e">
        <f t="shared" si="30"/>
        <v>#VALUE!</v>
      </c>
    </row>
    <row r="527" spans="1:17">
      <c r="A527" t="s">
        <v>2324</v>
      </c>
      <c r="B527" t="str">
        <f t="shared" si="27"/>
        <v>Fund 01-2021-03-0516</v>
      </c>
      <c r="C527" s="562" t="e">
        <f>VLOOKUP(L527,'Import Process ORS'!$D$4:$E$1557,2,FALSE)</f>
        <v>#N/A</v>
      </c>
      <c r="D527" s="562">
        <f>SUMIFS('Import Process ORS'!L:L,'Import Process ORS'!E:E,'DV List for import'!C527)</f>
        <v>0</v>
      </c>
      <c r="E527" t="s">
        <v>2676</v>
      </c>
      <c r="F527" t="str">
        <f>VLOOKUP(A527,'[1]MAIN-101'!$B$13:$M$787,4,FALSE)</f>
        <v>OIC, DTI-PDI</v>
      </c>
      <c r="G527" t="str">
        <f>VLOOKUP(A527,'[1]MAIN-101'!$B$13:$M$787,12,FALSE)</f>
        <v>FT for regular transfer MOOE for the month of March- May2021</v>
      </c>
      <c r="H527" s="562" t="e">
        <f>SUMIFS('[1]MAIN-101'!$Z$1:$Z$3000,'[1]MAIN-101'!$X$1:$X$3000,A527)</f>
        <v>#VALUE!</v>
      </c>
      <c r="I527" s="562" t="s">
        <v>2685</v>
      </c>
      <c r="J527" t="s">
        <v>2683</v>
      </c>
      <c r="K527" t="s">
        <v>2678</v>
      </c>
      <c r="L527" s="562" t="str">
        <f>VLOOKUP(A527,'Format for Import of DV'!$A$3:$S$1556,3,FALSE)</f>
        <v>303</v>
      </c>
      <c r="M527" s="562" t="e">
        <f>SUMIFS('Recon of ORS and DV'!D:D,'Recon of ORS and DV'!B:B,'DV List for import'!A527)</f>
        <v>#VALUE!</v>
      </c>
      <c r="N527" s="276" t="e">
        <f t="shared" si="30"/>
        <v>#VALUE!</v>
      </c>
    </row>
    <row r="528" spans="1:17">
      <c r="A528" t="s">
        <v>2325</v>
      </c>
      <c r="B528" t="str">
        <f t="shared" si="27"/>
        <v>Fund 01-2021-03-0517</v>
      </c>
      <c r="C528" s="562" t="e">
        <f>VLOOKUP(L528,'Import Process ORS'!$D$4:$E$1557,2,FALSE)</f>
        <v>#N/A</v>
      </c>
      <c r="D528" s="562">
        <f>SUMIFS('Import Process ORS'!L:L,'Import Process ORS'!E:E,'DV List for import'!C528)</f>
        <v>0</v>
      </c>
      <c r="E528" t="s">
        <v>2676</v>
      </c>
      <c r="F528" t="str">
        <f>VLOOKUP(A528,'[1]MAIN-101'!$B$13:$M$787,4,FALSE)</f>
        <v>PD,DTI-SDN</v>
      </c>
      <c r="G528" t="str">
        <f>VLOOKUP(A528,'[1]MAIN-101'!$B$13:$M$787,12,FALSE)</f>
        <v>FT for LSP-NSB implementation for Jan- Spet, 2021.</v>
      </c>
      <c r="H528" s="562" t="e">
        <f>SUMIFS('[1]MAIN-101'!$Z$1:$Z$3000,'[1]MAIN-101'!$X$1:$X$3000,A528)</f>
        <v>#VALUE!</v>
      </c>
      <c r="I528" s="562" t="s">
        <v>2685</v>
      </c>
      <c r="J528" t="s">
        <v>2683</v>
      </c>
      <c r="K528" t="s">
        <v>2678</v>
      </c>
      <c r="L528" s="562" t="str">
        <f>VLOOKUP(A528,'Format for Import of DV'!$A$3:$S$1556,3,FALSE)</f>
        <v>304</v>
      </c>
      <c r="M528" s="562" t="e">
        <f>SUMIFS('Recon of ORS and DV'!D:D,'Recon of ORS and DV'!B:B,'DV List for import'!A528)</f>
        <v>#VALUE!</v>
      </c>
      <c r="N528" s="276" t="e">
        <f t="shared" si="30"/>
        <v>#VALUE!</v>
      </c>
    </row>
    <row r="529" spans="1:17">
      <c r="A529" t="s">
        <v>2641</v>
      </c>
      <c r="B529" t="str">
        <f t="shared" si="27"/>
        <v>Fund 01-2021-03-0518</v>
      </c>
      <c r="C529" s="564" t="str">
        <f>L529</f>
        <v>0000-00-0000</v>
      </c>
      <c r="D529" s="562">
        <f>SUMIFS('Import Process ORS'!L:L,'Import Process ORS'!E:E,'DV List for import'!C529)</f>
        <v>0</v>
      </c>
      <c r="E529" t="s">
        <v>2676</v>
      </c>
      <c r="F529" t="str">
        <f>VLOOKUP(A529,'[1]MAIN-101'!$B$13:$M$787,4,FALSE)</f>
        <v>Globe Telecom, Inc</v>
      </c>
      <c r="G529" t="str">
        <f>VLOOKUP(A529,'[1]MAIN-101'!$B$13:$M$787,12,FALSE)</f>
        <v>Payment for post paid plan subscription 09178177806 for the period May 27- June 26, 2020</v>
      </c>
      <c r="H529" s="562" t="e">
        <f>SUMIFS('[1]MAIN-101'!$Z$1:$Z$3000,'[1]MAIN-101'!$X$1:$X$3000,A529)</f>
        <v>#VALUE!</v>
      </c>
      <c r="I529" s="562" t="s">
        <v>392</v>
      </c>
      <c r="J529" t="s">
        <v>2681</v>
      </c>
      <c r="K529" t="s">
        <v>2679</v>
      </c>
      <c r="L529" s="564" t="s">
        <v>2666</v>
      </c>
      <c r="M529" s="562">
        <f>SUMIFS('Recon of ORS and DV'!D:D,'Recon of ORS and DV'!B:B,'DV List for import'!A529)</f>
        <v>0</v>
      </c>
      <c r="N529" s="276" t="e">
        <f t="shared" si="30"/>
        <v>#VALUE!</v>
      </c>
      <c r="O529" t="s">
        <v>392</v>
      </c>
      <c r="P529" t="str">
        <f>VLOOKUP(A529,'[1]MAIN-101'!$B$8:$D$783,2,FALSE)</f>
        <v>12</v>
      </c>
      <c r="Q529" t="str">
        <f>VLOOKUP(A529,'[1]MAIN-101'!$B$8:$D$783,3,FALSE)</f>
        <v>1843F</v>
      </c>
    </row>
    <row r="530" spans="1:17">
      <c r="A530" t="s">
        <v>2642</v>
      </c>
      <c r="B530" t="str">
        <f t="shared" si="27"/>
        <v>Fund 01-2021-03-0519</v>
      </c>
      <c r="C530" s="564" t="str">
        <f>L530</f>
        <v>0000-00-0000</v>
      </c>
      <c r="D530" s="562">
        <f>SUMIFS('Import Process ORS'!L:L,'Import Process ORS'!E:E,'DV List for import'!C530)</f>
        <v>0</v>
      </c>
      <c r="E530" t="s">
        <v>2676</v>
      </c>
      <c r="F530" t="str">
        <f>VLOOKUP(A530,'[1]MAIN-101'!$B$13:$M$787,4,FALSE)</f>
        <v>Globe Telecom, Inc</v>
      </c>
      <c r="G530" t="str">
        <f>VLOOKUP(A530,'[1]MAIN-101'!$B$13:$M$787,12,FALSE)</f>
        <v>Payment for post paid plan subscription 09178177806 for the period June 27- H=July 26, 2020 for DTI-PDI Office</v>
      </c>
      <c r="H530" s="562" t="e">
        <f>SUMIFS('[1]MAIN-101'!$Z$1:$Z$3000,'[1]MAIN-101'!$X$1:$X$3000,A530)</f>
        <v>#VALUE!</v>
      </c>
      <c r="I530" s="562" t="s">
        <v>392</v>
      </c>
      <c r="J530" t="s">
        <v>2681</v>
      </c>
      <c r="K530" t="s">
        <v>2679</v>
      </c>
      <c r="L530" s="564" t="s">
        <v>2666</v>
      </c>
      <c r="M530" s="562">
        <f>SUMIFS('Recon of ORS and DV'!D:D,'Recon of ORS and DV'!B:B,'DV List for import'!A530)</f>
        <v>0</v>
      </c>
      <c r="N530" s="276" t="e">
        <f t="shared" si="30"/>
        <v>#VALUE!</v>
      </c>
      <c r="O530" t="s">
        <v>392</v>
      </c>
      <c r="P530" t="str">
        <f>VLOOKUP(A530,'[1]MAIN-101'!$B$8:$D$783,2,FALSE)</f>
        <v>12</v>
      </c>
      <c r="Q530" t="str">
        <f>VLOOKUP(A530,'[1]MAIN-101'!$B$8:$D$783,3,FALSE)</f>
        <v>1843G</v>
      </c>
    </row>
    <row r="531" spans="1:17">
      <c r="A531" t="s">
        <v>2320</v>
      </c>
      <c r="B531" t="str">
        <f t="shared" si="27"/>
        <v>Fund 01-2021-03-0520</v>
      </c>
      <c r="C531" s="562" t="e">
        <f>VLOOKUP(L531,'Import Process ORS'!$D$4:$E$1557,2,FALSE)</f>
        <v>#N/A</v>
      </c>
      <c r="D531" s="562">
        <f>SUMIFS('Import Process ORS'!L:L,'Import Process ORS'!E:E,'DV List for import'!C531)</f>
        <v>0</v>
      </c>
      <c r="E531" t="s">
        <v>2676</v>
      </c>
      <c r="F531" t="str">
        <f>VLOOKUP(A531,'[1]MAIN-101'!$B$13:$M$787,4,FALSE)</f>
        <v>Arleen P. Pahamtang</v>
      </c>
      <c r="G531" t="str">
        <f>VLOOKUP(A531,'[1]MAIN-101'!$B$13:$M$787,12,FALSE)</f>
        <v>Petty cash fund replenishment 2021-02-004 Mach 2-22,2021</v>
      </c>
      <c r="H531" s="562" t="e">
        <f>SUMIFS('[1]MAIN-101'!$Z$1:$Z$3000,'[1]MAIN-101'!$X$1:$X$3000,A531)</f>
        <v>#VALUE!</v>
      </c>
      <c r="I531" s="562" t="s">
        <v>2687</v>
      </c>
      <c r="J531" t="s">
        <v>2683</v>
      </c>
      <c r="K531" t="s">
        <v>2678</v>
      </c>
      <c r="L531" s="562" t="str">
        <f>VLOOKUP(A531,'Format for Import of DV'!$A$3:$S$1556,3,FALSE)</f>
        <v>298</v>
      </c>
      <c r="M531" s="562" t="e">
        <f>SUMIFS('Recon of ORS and DV'!D:D,'Recon of ORS and DV'!B:B,'DV List for import'!A531)</f>
        <v>#VALUE!</v>
      </c>
      <c r="N531" s="276" t="e">
        <f t="shared" si="30"/>
        <v>#VALUE!</v>
      </c>
    </row>
    <row r="532" spans="1:17">
      <c r="A532" t="s">
        <v>2643</v>
      </c>
      <c r="B532" t="str">
        <f t="shared" si="27"/>
        <v>Fund 01-2021-03-0521</v>
      </c>
      <c r="C532" s="564" t="str">
        <f>L532</f>
        <v>0000-00-0000</v>
      </c>
      <c r="D532" s="562">
        <f>SUMIFS('Import Process ORS'!L:L,'Import Process ORS'!E:E,'DV List for import'!C532)</f>
        <v>0</v>
      </c>
      <c r="E532" t="s">
        <v>2676</v>
      </c>
      <c r="F532" t="str">
        <f>VLOOKUP(A532,'[1]MAIN-101'!$B$13:$M$787,4,FALSE)</f>
        <v>Mary Mhel Decamotan</v>
      </c>
      <c r="G532" t="str">
        <f>VLOOKUP(A532,'[1]MAIN-101'!$B$13:$M$787,12,FALSE)</f>
        <v>Reimb. Of the freight for the Rattan Bags as tokens for the PSC Meeting last December 15, 2020</v>
      </c>
      <c r="H532" s="562" t="e">
        <f>SUMIFS('[1]MAIN-101'!$Z$1:$Z$3000,'[1]MAIN-101'!$X$1:$X$3000,A532)</f>
        <v>#VALUE!</v>
      </c>
      <c r="I532" s="562" t="s">
        <v>392</v>
      </c>
      <c r="J532" t="s">
        <v>2681</v>
      </c>
      <c r="K532" t="s">
        <v>2679</v>
      </c>
      <c r="L532" s="564" t="s">
        <v>2666</v>
      </c>
      <c r="M532" s="562">
        <f>SUMIFS('Recon of ORS and DV'!D:D,'Recon of ORS and DV'!B:B,'DV List for import'!A532)</f>
        <v>0</v>
      </c>
      <c r="N532" s="276" t="e">
        <f t="shared" si="30"/>
        <v>#VALUE!</v>
      </c>
      <c r="O532" t="s">
        <v>392</v>
      </c>
      <c r="P532" t="str">
        <f>VLOOKUP(A532,'[1]MAIN-101'!$B$8:$D$783,2,FALSE)</f>
        <v>12</v>
      </c>
      <c r="Q532" t="str">
        <f>VLOOKUP(A532,'[1]MAIN-101'!$B$8:$D$783,3,FALSE)</f>
        <v>2028</v>
      </c>
    </row>
    <row r="533" spans="1:17">
      <c r="A533" t="s">
        <v>2644</v>
      </c>
      <c r="B533" t="str">
        <f t="shared" si="27"/>
        <v>Fund 01-2021-03-0522</v>
      </c>
      <c r="C533" s="564" t="str">
        <f>L533</f>
        <v>0000-00-0000</v>
      </c>
      <c r="D533" s="562">
        <f>SUMIFS('Import Process ORS'!L:L,'Import Process ORS'!E:E,'DV List for import'!C533)</f>
        <v>0</v>
      </c>
      <c r="E533" t="s">
        <v>2676</v>
      </c>
      <c r="F533" t="str">
        <f>VLOOKUP(A533,'[1]MAIN-101'!$B$13:$M$787,4,FALSE)</f>
        <v>Myra Luz A. Gavero</v>
      </c>
      <c r="G533" t="str">
        <f>VLOOKUP(A533,'[1]MAIN-101'!$B$13:$M$787,12,FALSE)</f>
        <v>Payment of terminal leave benefits of Ms. Myra Luz A. Gavero</v>
      </c>
      <c r="H533" s="562" t="e">
        <f>SUMIFS('[1]MAIN-101'!$Z$1:$Z$3000,'[1]MAIN-101'!$X$1:$X$3000,A533)</f>
        <v>#VALUE!</v>
      </c>
      <c r="I533" s="562" t="s">
        <v>392</v>
      </c>
      <c r="J533" t="s">
        <v>2681</v>
      </c>
      <c r="K533" t="s">
        <v>2679</v>
      </c>
      <c r="L533" s="564" t="s">
        <v>2666</v>
      </c>
      <c r="M533" s="562">
        <f>SUMIFS('Recon of ORS and DV'!D:D,'Recon of ORS and DV'!B:B,'DV List for import'!A533)</f>
        <v>0</v>
      </c>
      <c r="N533" s="276" t="e">
        <f t="shared" si="30"/>
        <v>#VALUE!</v>
      </c>
      <c r="O533" t="s">
        <v>392</v>
      </c>
      <c r="P533" t="str">
        <f>VLOOKUP(A533,'[1]MAIN-101'!$B$8:$D$783,2,FALSE)</f>
        <v>12</v>
      </c>
      <c r="Q533" t="str">
        <f>VLOOKUP(A533,'[1]MAIN-101'!$B$8:$D$783,3,FALSE)</f>
        <v>1878</v>
      </c>
    </row>
    <row r="534" spans="1:17">
      <c r="A534" t="s">
        <v>2645</v>
      </c>
      <c r="B534" t="str">
        <f t="shared" si="27"/>
        <v>Fund 01-2021-03-0523</v>
      </c>
      <c r="C534" s="564" t="str">
        <f>L534</f>
        <v>0000-00-0000</v>
      </c>
      <c r="D534" s="562">
        <f>SUMIFS('Import Process ORS'!L:L,'Import Process ORS'!E:E,'DV List for import'!C534)</f>
        <v>0</v>
      </c>
      <c r="E534" t="s">
        <v>2676</v>
      </c>
      <c r="F534" t="str">
        <f>VLOOKUP(A534,'[1]MAIN-101'!$B$13:$M$787,4,FALSE)</f>
        <v>JMN Multimedia Sales and Services</v>
      </c>
      <c r="G534" t="str">
        <f>VLOOKUP(A534,'[1]MAIN-101'!$B$13:$M$787,12,FALSE)</f>
        <v>Payment for ORD Load allowance- 4th q 2020</v>
      </c>
      <c r="H534" s="562" t="e">
        <f>SUMIFS('[1]MAIN-101'!$Z$1:$Z$3000,'[1]MAIN-101'!$X$1:$X$3000,A534)</f>
        <v>#VALUE!</v>
      </c>
      <c r="I534" s="562" t="s">
        <v>392</v>
      </c>
      <c r="J534" t="s">
        <v>2681</v>
      </c>
      <c r="K534" t="s">
        <v>2679</v>
      </c>
      <c r="L534" s="564" t="s">
        <v>2666</v>
      </c>
      <c r="M534" s="562">
        <f>SUMIFS('Recon of ORS and DV'!D:D,'Recon of ORS and DV'!B:B,'DV List for import'!A534)</f>
        <v>0</v>
      </c>
      <c r="N534" s="276" t="e">
        <f t="shared" si="30"/>
        <v>#VALUE!</v>
      </c>
      <c r="O534" t="s">
        <v>392</v>
      </c>
      <c r="P534" t="str">
        <f>VLOOKUP(A534,'[1]MAIN-101'!$B$8:$D$783,2,FALSE)</f>
        <v>12</v>
      </c>
      <c r="Q534" t="str">
        <f>VLOOKUP(A534,'[1]MAIN-101'!$B$8:$D$783,3,FALSE)</f>
        <v>1994</v>
      </c>
    </row>
    <row r="535" spans="1:17">
      <c r="A535" t="s">
        <v>2646</v>
      </c>
      <c r="B535" t="str">
        <f t="shared" si="27"/>
        <v>Fund 01-2021-03-0524</v>
      </c>
      <c r="C535" s="564" t="str">
        <f>L535</f>
        <v>0000-00-0000</v>
      </c>
      <c r="D535" s="562">
        <f>SUMIFS('Import Process ORS'!L:L,'Import Process ORS'!E:E,'DV List for import'!C535)</f>
        <v>0</v>
      </c>
      <c r="E535" t="s">
        <v>2676</v>
      </c>
      <c r="F535" t="str">
        <f>VLOOKUP(A535,'[1]MAIN-101'!$B$13:$M$787,4,FALSE)</f>
        <v>Need Ink Sales &amp; Services</v>
      </c>
      <c r="G535" t="str">
        <f>VLOOKUP(A535,'[1]MAIN-101'!$B$13:$M$787,12,FALSE)</f>
        <v>Payment for Toner cartridge for FAD office use.</v>
      </c>
      <c r="H535" s="562" t="e">
        <f>SUMIFS('[1]MAIN-101'!$Z$1:$Z$3000,'[1]MAIN-101'!$X$1:$X$3000,A535)</f>
        <v>#VALUE!</v>
      </c>
      <c r="I535" s="562" t="s">
        <v>392</v>
      </c>
      <c r="J535" t="s">
        <v>2681</v>
      </c>
      <c r="K535" t="s">
        <v>2679</v>
      </c>
      <c r="L535" s="564" t="s">
        <v>2666</v>
      </c>
      <c r="M535" s="562">
        <f>SUMIFS('Recon of ORS and DV'!D:D,'Recon of ORS and DV'!B:B,'DV List for import'!A535)</f>
        <v>0</v>
      </c>
      <c r="N535" s="276" t="e">
        <f t="shared" si="30"/>
        <v>#VALUE!</v>
      </c>
      <c r="O535" t="s">
        <v>392</v>
      </c>
      <c r="P535" t="str">
        <f>VLOOKUP(A535,'[1]MAIN-101'!$B$8:$D$783,2,FALSE)</f>
        <v>12</v>
      </c>
      <c r="Q535" t="str">
        <f>VLOOKUP(A535,'[1]MAIN-101'!$B$8:$D$783,3,FALSE)</f>
        <v>2013</v>
      </c>
    </row>
    <row r="536" spans="1:17">
      <c r="A536" t="s">
        <v>2326</v>
      </c>
      <c r="B536" t="str">
        <f t="shared" si="27"/>
        <v>Fund 01-2021-03-0525</v>
      </c>
      <c r="C536" s="562" t="e">
        <f>VLOOKUP(L536,'Import Process ORS'!$D$4:$E$1557,2,FALSE)</f>
        <v>#N/A</v>
      </c>
      <c r="D536" s="562">
        <f>SUMIFS('Import Process ORS'!L:L,'Import Process ORS'!E:E,'DV List for import'!C536)</f>
        <v>0</v>
      </c>
      <c r="E536" t="s">
        <v>2676</v>
      </c>
      <c r="F536" t="str">
        <f>VLOOKUP(A536,'[1]MAIN-101'!$B$13:$M$787,4,FALSE)</f>
        <v>PD, DTI-ADN</v>
      </c>
      <c r="G536" t="str">
        <f>VLOOKUP(A536,'[1]MAIN-101'!$B$13:$M$787,12,FALSE)</f>
        <v>Transfer of funds to cover implementation of CPD activities for 2nd and 3rd quarters budget 2021.</v>
      </c>
      <c r="H536" s="562" t="e">
        <f>SUMIFS('[1]MAIN-101'!$Z$1:$Z$3000,'[1]MAIN-101'!$X$1:$X$3000,A536)</f>
        <v>#VALUE!</v>
      </c>
      <c r="I536" s="562" t="s">
        <v>2685</v>
      </c>
      <c r="J536" t="s">
        <v>2683</v>
      </c>
      <c r="K536" t="s">
        <v>2678</v>
      </c>
      <c r="L536" s="562" t="str">
        <f>VLOOKUP(A536,'Format for Import of DV'!$A$3:$S$1556,3,FALSE)</f>
        <v>305</v>
      </c>
      <c r="M536" s="562" t="e">
        <f>SUMIFS('Recon of ORS and DV'!D:D,'Recon of ORS and DV'!B:B,'DV List for import'!A536)</f>
        <v>#VALUE!</v>
      </c>
      <c r="N536" s="276" t="e">
        <f t="shared" si="30"/>
        <v>#VALUE!</v>
      </c>
    </row>
    <row r="537" spans="1:17">
      <c r="A537" t="s">
        <v>2327</v>
      </c>
      <c r="B537" t="str">
        <f t="shared" si="27"/>
        <v>Fund 01-2021-03-0526</v>
      </c>
      <c r="C537" s="562" t="e">
        <f>VLOOKUP(L537,'Import Process ORS'!$D$4:$E$1557,2,FALSE)</f>
        <v>#N/A</v>
      </c>
      <c r="D537" s="562">
        <f>SUMIFS('Import Process ORS'!L:L,'Import Process ORS'!E:E,'DV List for import'!C537)</f>
        <v>0</v>
      </c>
      <c r="E537" t="s">
        <v>2676</v>
      </c>
      <c r="F537" t="str">
        <f>VLOOKUP(A537,'[1]MAIN-101'!$B$13:$M$787,4,FALSE)</f>
        <v>PD, DTI-SDN</v>
      </c>
      <c r="G537" t="str">
        <f>VLOOKUP(A537,'[1]MAIN-101'!$B$13:$M$787,12,FALSE)</f>
        <v>Transfer of funds to cover implementation of CPD activities for 2nd and 3rd quarters budget 2021.</v>
      </c>
      <c r="H537" s="562" t="e">
        <f>SUMIFS('[1]MAIN-101'!$Z$1:$Z$3000,'[1]MAIN-101'!$X$1:$X$3000,A537)</f>
        <v>#VALUE!</v>
      </c>
      <c r="I537" s="562" t="s">
        <v>2685</v>
      </c>
      <c r="J537" t="s">
        <v>2683</v>
      </c>
      <c r="K537" t="s">
        <v>2678</v>
      </c>
      <c r="L537" s="562" t="str">
        <f>VLOOKUP(A537,'Format for Import of DV'!$A$3:$S$1556,3,FALSE)</f>
        <v>306</v>
      </c>
      <c r="M537" s="562" t="e">
        <f>SUMIFS('Recon of ORS and DV'!D:D,'Recon of ORS and DV'!B:B,'DV List for import'!A537)</f>
        <v>#VALUE!</v>
      </c>
      <c r="N537" s="276" t="e">
        <f t="shared" si="30"/>
        <v>#VALUE!</v>
      </c>
    </row>
    <row r="538" spans="1:17">
      <c r="A538" t="s">
        <v>2328</v>
      </c>
      <c r="B538" t="str">
        <f t="shared" si="27"/>
        <v>Fund 01-2021-03-0527</v>
      </c>
      <c r="C538" s="562" t="e">
        <f>VLOOKUP(L538,'Import Process ORS'!$D$4:$E$1557,2,FALSE)</f>
        <v>#N/A</v>
      </c>
      <c r="D538" s="562">
        <f>SUMIFS('Import Process ORS'!L:L,'Import Process ORS'!E:E,'DV List for import'!C538)</f>
        <v>0</v>
      </c>
      <c r="E538" t="s">
        <v>2676</v>
      </c>
      <c r="F538" t="str">
        <f>VLOOKUP(A538,'[1]MAIN-101'!$B$13:$M$787,4,FALSE)</f>
        <v>OIC, DTI-PDI</v>
      </c>
      <c r="G538" t="str">
        <f>VLOOKUP(A538,'[1]MAIN-101'!$B$13:$M$787,12,FALSE)</f>
        <v>Transfer of funds to cover implementation of CPD activities for 2nd and 3rd quarters budget 2021.</v>
      </c>
      <c r="H538" s="562" t="e">
        <f>SUMIFS('[1]MAIN-101'!$Z$1:$Z$3000,'[1]MAIN-101'!$X$1:$X$3000,A538)</f>
        <v>#VALUE!</v>
      </c>
      <c r="I538" s="562" t="s">
        <v>2685</v>
      </c>
      <c r="J538" t="s">
        <v>2683</v>
      </c>
      <c r="K538" t="s">
        <v>2678</v>
      </c>
      <c r="L538" s="562" t="str">
        <f>VLOOKUP(A538,'Format for Import of DV'!$A$3:$S$1556,3,FALSE)</f>
        <v>307</v>
      </c>
      <c r="M538" s="562" t="e">
        <f>SUMIFS('Recon of ORS and DV'!D:D,'Recon of ORS and DV'!B:B,'DV List for import'!A538)</f>
        <v>#VALUE!</v>
      </c>
      <c r="N538" s="276" t="e">
        <f t="shared" si="30"/>
        <v>#VALUE!</v>
      </c>
    </row>
    <row r="539" spans="1:17">
      <c r="A539" t="s">
        <v>2329</v>
      </c>
      <c r="B539" t="str">
        <f t="shared" si="27"/>
        <v>Fund 01-2021-03-0528</v>
      </c>
      <c r="C539" s="562" t="e">
        <f>VLOOKUP(L539,'Import Process ORS'!$D$4:$E$1557,2,FALSE)</f>
        <v>#N/A</v>
      </c>
      <c r="D539" s="562">
        <f>SUMIFS('Import Process ORS'!L:L,'Import Process ORS'!E:E,'DV List for import'!C539)</f>
        <v>0</v>
      </c>
      <c r="E539" t="s">
        <v>2676</v>
      </c>
      <c r="F539" t="str">
        <f>VLOOKUP(A539,'[1]MAIN-101'!$B$13:$M$787,4,FALSE)</f>
        <v>PD, DTI-AD N</v>
      </c>
      <c r="G539" t="str">
        <f>VLOOKUP(A539,'[1]MAIN-101'!$B$13:$M$787,12,FALSE)</f>
        <v>Advances to the SSF MOOE - 1st-3rd Quarter 2021</v>
      </c>
      <c r="H539" s="562" t="e">
        <f>SUMIFS('[1]MAIN-101'!$Z$1:$Z$3000,'[1]MAIN-101'!$X$1:$X$3000,A539)</f>
        <v>#VALUE!</v>
      </c>
      <c r="I539" s="562" t="s">
        <v>2685</v>
      </c>
      <c r="J539" t="s">
        <v>2683</v>
      </c>
      <c r="K539" t="s">
        <v>2678</v>
      </c>
      <c r="L539" s="562" t="str">
        <f>VLOOKUP(A539,'Format for Import of DV'!$A$3:$S$1556,3,FALSE)</f>
        <v>308</v>
      </c>
      <c r="M539" s="562" t="e">
        <f>SUMIFS('Recon of ORS and DV'!D:D,'Recon of ORS and DV'!B:B,'DV List for import'!A539)</f>
        <v>#VALUE!</v>
      </c>
      <c r="N539" s="276" t="e">
        <f t="shared" si="30"/>
        <v>#VALUE!</v>
      </c>
    </row>
    <row r="540" spans="1:17">
      <c r="A540" t="s">
        <v>2330</v>
      </c>
      <c r="B540" t="str">
        <f t="shared" si="27"/>
        <v>Fund 01-2021-03-0529</v>
      </c>
      <c r="C540" s="562" t="e">
        <f>VLOOKUP(L540,'Import Process ORS'!$D$4:$E$1557,2,FALSE)</f>
        <v>#N/A</v>
      </c>
      <c r="D540" s="562">
        <f>SUMIFS('Import Process ORS'!L:L,'Import Process ORS'!E:E,'DV List for import'!C540)</f>
        <v>0</v>
      </c>
      <c r="E540" t="s">
        <v>2676</v>
      </c>
      <c r="F540" t="str">
        <f>VLOOKUP(A540,'[1]MAIN-101'!$B$13:$M$787,4,FALSE)</f>
        <v>OIC, DTI-ADS</v>
      </c>
      <c r="G540" t="str">
        <f>VLOOKUP(A540,'[1]MAIN-101'!$B$13:$M$787,12,FALSE)</f>
        <v>Advances to the SSF MOOE - 2nd-3rd Quarter 2021</v>
      </c>
      <c r="H540" s="562" t="e">
        <f>SUMIFS('[1]MAIN-101'!$Z$1:$Z$3000,'[1]MAIN-101'!$X$1:$X$3000,A540)</f>
        <v>#VALUE!</v>
      </c>
      <c r="I540" s="562" t="s">
        <v>2685</v>
      </c>
      <c r="J540" t="s">
        <v>2683</v>
      </c>
      <c r="K540" t="s">
        <v>2678</v>
      </c>
      <c r="L540" s="562" t="str">
        <f>VLOOKUP(A540,'Format for Import of DV'!$A$3:$S$1556,3,FALSE)</f>
        <v>309</v>
      </c>
      <c r="M540" s="562" t="e">
        <f>SUMIFS('Recon of ORS and DV'!D:D,'Recon of ORS and DV'!B:B,'DV List for import'!A540)</f>
        <v>#VALUE!</v>
      </c>
      <c r="N540" s="276" t="e">
        <f t="shared" si="30"/>
        <v>#VALUE!</v>
      </c>
    </row>
    <row r="541" spans="1:17">
      <c r="A541" t="s">
        <v>2331</v>
      </c>
      <c r="B541" t="str">
        <f t="shared" si="27"/>
        <v>Fund 01-2021-03-0530</v>
      </c>
      <c r="C541" s="562" t="e">
        <f>VLOOKUP(L541,'Import Process ORS'!$D$4:$E$1557,2,FALSE)</f>
        <v>#N/A</v>
      </c>
      <c r="D541" s="562">
        <f>SUMIFS('Import Process ORS'!L:L,'Import Process ORS'!E:E,'DV List for import'!C541)</f>
        <v>0</v>
      </c>
      <c r="E541" t="s">
        <v>2676</v>
      </c>
      <c r="F541" t="str">
        <f>VLOOKUP(A541,'[1]MAIN-101'!$B$13:$M$787,4,FALSE)</f>
        <v>PD, DTI-SDN</v>
      </c>
      <c r="G541" t="str">
        <f>VLOOKUP(A541,'[1]MAIN-101'!$B$13:$M$787,12,FALSE)</f>
        <v>Advances to the SSF MOOE - 2nd-3rd Quarter 2021</v>
      </c>
      <c r="H541" s="562" t="e">
        <f>SUMIFS('[1]MAIN-101'!$Z$1:$Z$3000,'[1]MAIN-101'!$X$1:$X$3000,A541)</f>
        <v>#VALUE!</v>
      </c>
      <c r="I541" s="562" t="s">
        <v>2685</v>
      </c>
      <c r="J541" t="s">
        <v>2683</v>
      </c>
      <c r="K541" t="s">
        <v>2678</v>
      </c>
      <c r="L541" s="562" t="str">
        <f>VLOOKUP(A541,'Format for Import of DV'!$A$3:$S$1556,3,FALSE)</f>
        <v>310</v>
      </c>
      <c r="M541" s="562" t="e">
        <f>SUMIFS('Recon of ORS and DV'!D:D,'Recon of ORS and DV'!B:B,'DV List for import'!A541)</f>
        <v>#VALUE!</v>
      </c>
      <c r="N541" s="276" t="e">
        <f t="shared" si="30"/>
        <v>#VALUE!</v>
      </c>
    </row>
    <row r="542" spans="1:17">
      <c r="A542" t="s">
        <v>2332</v>
      </c>
      <c r="B542" t="str">
        <f t="shared" si="27"/>
        <v>Fund 01-2021-03-0531</v>
      </c>
      <c r="C542" s="562" t="e">
        <f>VLOOKUP(L542,'Import Process ORS'!$D$4:$E$1557,2,FALSE)</f>
        <v>#N/A</v>
      </c>
      <c r="D542" s="562">
        <f>SUMIFS('Import Process ORS'!L:L,'Import Process ORS'!E:E,'DV List for import'!C542)</f>
        <v>0</v>
      </c>
      <c r="E542" t="s">
        <v>2676</v>
      </c>
      <c r="F542" t="str">
        <f>VLOOKUP(A542,'[1]MAIN-101'!$B$13:$M$787,4,FALSE)</f>
        <v>OIC, DTI- PDI</v>
      </c>
      <c r="G542" t="str">
        <f>VLOOKUP(A542,'[1]MAIN-101'!$B$13:$M$787,12,FALSE)</f>
        <v>Advances to the SSF MOOE - 2nd-3rd Quarter 2021</v>
      </c>
      <c r="H542" s="562" t="e">
        <f>SUMIFS('[1]MAIN-101'!$Z$1:$Z$3000,'[1]MAIN-101'!$X$1:$X$3000,A542)</f>
        <v>#VALUE!</v>
      </c>
      <c r="I542" s="562" t="s">
        <v>2685</v>
      </c>
      <c r="J542" t="s">
        <v>2683</v>
      </c>
      <c r="K542" t="s">
        <v>2678</v>
      </c>
      <c r="L542" s="562" t="str">
        <f>VLOOKUP(A542,'Format for Import of DV'!$A$3:$S$1556,3,FALSE)</f>
        <v>311</v>
      </c>
      <c r="M542" s="562" t="e">
        <f>SUMIFS('Recon of ORS and DV'!D:D,'Recon of ORS and DV'!B:B,'DV List for import'!A542)</f>
        <v>#VALUE!</v>
      </c>
      <c r="N542" s="276" t="e">
        <f t="shared" si="30"/>
        <v>#VALUE!</v>
      </c>
    </row>
    <row r="543" spans="1:17">
      <c r="A543" t="s">
        <v>2335</v>
      </c>
      <c r="B543" t="str">
        <f t="shared" si="27"/>
        <v>Fund 01-2021-03-0532</v>
      </c>
      <c r="C543" s="562" t="e">
        <f>VLOOKUP(L543,'Import Process ORS'!$D$4:$E$1557,2,FALSE)</f>
        <v>#N/A</v>
      </c>
      <c r="D543" s="562">
        <f>SUMIFS('Import Process ORS'!L:L,'Import Process ORS'!E:E,'DV List for import'!C543)</f>
        <v>0</v>
      </c>
      <c r="E543" t="s">
        <v>2676</v>
      </c>
      <c r="F543" t="str">
        <f>VLOOKUP(A543,'[1]MAIN-101'!$B$13:$M$787,4,FALSE)</f>
        <v>Globe Telecom, Inc</v>
      </c>
      <c r="G543" t="str">
        <f>VLOOKUP(A543,'[1]MAIN-101'!$B$13:$M$787,12,FALSE)</f>
        <v>Payment for globe post paid plan subscription for the month of January 2021</v>
      </c>
      <c r="H543" s="562" t="e">
        <f>SUMIFS('[1]MAIN-101'!$Z$1:$Z$3000,'[1]MAIN-101'!$X$1:$X$3000,A543)</f>
        <v>#VALUE!</v>
      </c>
      <c r="I543" s="562" t="s">
        <v>2687</v>
      </c>
      <c r="J543" t="s">
        <v>2683</v>
      </c>
      <c r="K543" t="s">
        <v>2678</v>
      </c>
      <c r="L543" s="562" t="str">
        <f>VLOOKUP(A543,'Format for Import of DV'!$A$3:$S$1556,3,FALSE)</f>
        <v>314</v>
      </c>
      <c r="M543" s="562" t="e">
        <f>SUMIFS('Recon of ORS and DV'!D:D,'Recon of ORS and DV'!B:B,'DV List for import'!A543)</f>
        <v>#VALUE!</v>
      </c>
      <c r="N543" s="276" t="e">
        <f t="shared" si="30"/>
        <v>#VALUE!</v>
      </c>
    </row>
    <row r="544" spans="1:17">
      <c r="A544" t="s">
        <v>2341</v>
      </c>
      <c r="B544" t="str">
        <f t="shared" si="27"/>
        <v>Fund 01-2021-03-0533</v>
      </c>
      <c r="C544" s="562" t="e">
        <f>VLOOKUP(L544,'Import Process ORS'!$D$4:$E$1557,2,FALSE)</f>
        <v>#N/A</v>
      </c>
      <c r="D544" s="562">
        <f>SUMIFS('Import Process ORS'!L:L,'Import Process ORS'!E:E,'DV List for import'!C544)</f>
        <v>0</v>
      </c>
      <c r="E544" t="s">
        <v>2676</v>
      </c>
      <c r="F544" t="str">
        <f>VLOOKUP(A544,'[1]MAIN-101'!$B$13:$M$787,4,FALSE)</f>
        <v>Balanhai Hotel</v>
      </c>
      <c r="G544" t="str">
        <f>VLOOKUP(A544,'[1]MAIN-101'!$B$13:$M$787,12,FALSE)</f>
        <v>Payment for meals re: 8th DAR-DTI-DOST synchronized assessment and planning session last March 1-2, 2021</v>
      </c>
      <c r="H544" s="562" t="e">
        <f>SUMIFS('[1]MAIN-101'!$Z$1:$Z$3000,'[1]MAIN-101'!$X$1:$X$3000,A544)</f>
        <v>#VALUE!</v>
      </c>
      <c r="I544" s="562" t="s">
        <v>2687</v>
      </c>
      <c r="J544" t="s">
        <v>2683</v>
      </c>
      <c r="K544" t="s">
        <v>2678</v>
      </c>
      <c r="L544" s="562" t="str">
        <f>VLOOKUP(A544,'Format for Import of DV'!$A$3:$S$1556,3,FALSE)</f>
        <v>320</v>
      </c>
      <c r="M544" s="562" t="e">
        <f>SUMIFS('Recon of ORS and DV'!D:D,'Recon of ORS and DV'!B:B,'DV List for import'!A544)</f>
        <v>#VALUE!</v>
      </c>
      <c r="N544" s="276" t="e">
        <f t="shared" si="30"/>
        <v>#VALUE!</v>
      </c>
    </row>
    <row r="545" spans="1:17">
      <c r="A545" t="s">
        <v>2312</v>
      </c>
      <c r="B545" t="str">
        <f t="shared" si="27"/>
        <v>Fund 01-2021-03-0534</v>
      </c>
      <c r="C545" s="562" t="e">
        <f>VLOOKUP(L545,'Import Process ORS'!$D$4:$E$1557,2,FALSE)</f>
        <v>#N/A</v>
      </c>
      <c r="D545" s="562">
        <f>SUMIFS('Import Process ORS'!L:L,'Import Process ORS'!E:E,'DV List for import'!C545)</f>
        <v>0</v>
      </c>
      <c r="E545" t="s">
        <v>2676</v>
      </c>
      <c r="F545" t="str">
        <f>VLOOKUP(A545,'[1]MAIN-101'!$B$13:$M$787,4,FALSE)</f>
        <v>Columbia Computer Center, Inc</v>
      </c>
      <c r="G545" t="str">
        <f>VLOOKUP(A545,'[1]MAIN-101'!$B$13:$M$787,12,FALSE)</f>
        <v>Payment for desktop computer for ORD use.</v>
      </c>
      <c r="H545" s="562" t="e">
        <f>SUMIFS('[1]MAIN-101'!$Z$1:$Z$3000,'[1]MAIN-101'!$X$1:$X$3000,A545)</f>
        <v>#VALUE!</v>
      </c>
      <c r="I545" s="562" t="s">
        <v>2687</v>
      </c>
      <c r="J545" t="s">
        <v>2683</v>
      </c>
      <c r="K545" t="s">
        <v>2678</v>
      </c>
      <c r="L545" s="562" t="str">
        <f>VLOOKUP(A545,'Format for Import of DV'!$A$3:$S$1556,3,FALSE)</f>
        <v>290</v>
      </c>
      <c r="M545" s="562" t="e">
        <f>SUMIFS('Recon of ORS and DV'!D:D,'Recon of ORS and DV'!B:B,'DV List for import'!A545)</f>
        <v>#VALUE!</v>
      </c>
      <c r="N545" s="276" t="e">
        <f t="shared" si="30"/>
        <v>#VALUE!</v>
      </c>
    </row>
    <row r="546" spans="1:17">
      <c r="A546" t="s">
        <v>2313</v>
      </c>
      <c r="B546" t="str">
        <f t="shared" si="27"/>
        <v>Fund 01-2021-03-0535</v>
      </c>
      <c r="C546" s="562" t="e">
        <f>VLOOKUP(L546,'Import Process ORS'!$D$4:$E$1557,2,FALSE)</f>
        <v>#N/A</v>
      </c>
      <c r="D546" s="562">
        <f>SUMIFS('Import Process ORS'!L:L,'Import Process ORS'!E:E,'DV List for import'!C546)</f>
        <v>0</v>
      </c>
      <c r="E546" t="s">
        <v>2676</v>
      </c>
      <c r="F546" t="str">
        <f>VLOOKUP(A546,'[1]MAIN-101'!$B$13:$M$787,4,FALSE)</f>
        <v>Ralph O. Gorgonio</v>
      </c>
      <c r="G546" t="str">
        <f>VLOOKUP(A546,'[1]MAIN-101'!$B$13:$M$787,12,FALSE)</f>
        <v>Reimbursment,for the procurement of Janitorial Supplies</v>
      </c>
      <c r="H546" s="562" t="e">
        <f>SUMIFS('[1]MAIN-101'!$Z$1:$Z$3000,'[1]MAIN-101'!$X$1:$X$3000,A546)</f>
        <v>#VALUE!</v>
      </c>
      <c r="I546" s="562" t="s">
        <v>2687</v>
      </c>
      <c r="J546" t="s">
        <v>2683</v>
      </c>
      <c r="K546" t="s">
        <v>2678</v>
      </c>
      <c r="L546" s="562" t="str">
        <f>VLOOKUP(A546,'Format for Import of DV'!$A$3:$S$1556,3,FALSE)</f>
        <v>291</v>
      </c>
      <c r="M546" s="562" t="e">
        <f>SUMIFS('Recon of ORS and DV'!D:D,'Recon of ORS and DV'!B:B,'DV List for import'!A546)</f>
        <v>#VALUE!</v>
      </c>
      <c r="N546" s="276" t="e">
        <f t="shared" si="30"/>
        <v>#VALUE!</v>
      </c>
    </row>
    <row r="547" spans="1:17">
      <c r="A547" t="s">
        <v>2314</v>
      </c>
      <c r="B547" t="str">
        <f t="shared" si="27"/>
        <v>Fund 01-2021-03-0536</v>
      </c>
      <c r="C547" s="562" t="e">
        <f>VLOOKUP(L547,'Import Process ORS'!$D$4:$E$1557,2,FALSE)</f>
        <v>#N/A</v>
      </c>
      <c r="D547" s="562">
        <f>SUMIFS('Import Process ORS'!L:L,'Import Process ORS'!E:E,'DV List for import'!C547)</f>
        <v>0</v>
      </c>
      <c r="E547" t="s">
        <v>2676</v>
      </c>
      <c r="F547" t="str">
        <f>VLOOKUP(A547,'[1]MAIN-101'!$B$13:$M$787,4,FALSE)</f>
        <v>Bureau of Treasury</v>
      </c>
      <c r="G547" t="str">
        <f>VLOOKUP(A547,'[1]MAIN-101'!$B$13:$M$787,12,FALSE)</f>
        <v>Paymen for bond premium -renewal of application for accountable officers and employees</v>
      </c>
      <c r="H547" s="562" t="e">
        <f>SUMIFS('[1]MAIN-101'!$Z$1:$Z$3000,'[1]MAIN-101'!$X$1:$X$3000,A547)</f>
        <v>#VALUE!</v>
      </c>
      <c r="I547" s="562" t="s">
        <v>2687</v>
      </c>
      <c r="J547" t="s">
        <v>2683</v>
      </c>
      <c r="K547" t="s">
        <v>2678</v>
      </c>
      <c r="L547" s="562" t="str">
        <f>VLOOKUP(A547,'Format for Import of DV'!$A$3:$S$1556,3,FALSE)</f>
        <v>292</v>
      </c>
      <c r="M547" s="562" t="e">
        <f>SUMIFS('Recon of ORS and DV'!D:D,'Recon of ORS and DV'!B:B,'DV List for import'!A547)</f>
        <v>#VALUE!</v>
      </c>
      <c r="N547" s="276" t="e">
        <f t="shared" si="30"/>
        <v>#VALUE!</v>
      </c>
    </row>
    <row r="548" spans="1:17">
      <c r="A548" t="s">
        <v>2315</v>
      </c>
      <c r="B548" t="str">
        <f t="shared" si="27"/>
        <v>Fund 01-2021-03-0537</v>
      </c>
      <c r="C548" s="562" t="e">
        <f>VLOOKUP(L548,'Import Process ORS'!$D$4:$E$1557,2,FALSE)</f>
        <v>#N/A</v>
      </c>
      <c r="D548" s="562">
        <f>SUMIFS('Import Process ORS'!L:L,'Import Process ORS'!E:E,'DV List for import'!C548)</f>
        <v>0</v>
      </c>
      <c r="E548" t="s">
        <v>2676</v>
      </c>
      <c r="F548" t="str">
        <f>VLOOKUP(A548,'[1]MAIN-101'!$B$13:$M$787,4,FALSE)</f>
        <v>Lorijane D. Sacote</v>
      </c>
      <c r="G548" t="str">
        <f>VLOOKUP(A548,'[1]MAIN-101'!$B$13:$M$787,12,FALSE)</f>
        <v>CA for the conduct of FTL enforcement and monitoring in Agusan del Sur on April 6-7, 2021</v>
      </c>
      <c r="H548" s="562" t="e">
        <f>SUMIFS('[1]MAIN-101'!$Z$1:$Z$3000,'[1]MAIN-101'!$X$1:$X$3000,A548)</f>
        <v>#VALUE!</v>
      </c>
      <c r="I548" s="562" t="s">
        <v>2686</v>
      </c>
      <c r="J548" t="s">
        <v>2683</v>
      </c>
      <c r="K548" t="s">
        <v>2678</v>
      </c>
      <c r="L548" s="562" t="str">
        <f>VLOOKUP(A548,'Format for Import of DV'!$A$3:$S$1556,3,FALSE)</f>
        <v>293</v>
      </c>
      <c r="M548" s="562" t="e">
        <f>SUMIFS('Recon of ORS and DV'!D:D,'Recon of ORS and DV'!B:B,'DV List for import'!A548)</f>
        <v>#VALUE!</v>
      </c>
      <c r="N548" s="276" t="e">
        <f t="shared" si="30"/>
        <v>#VALUE!</v>
      </c>
    </row>
    <row r="549" spans="1:17">
      <c r="A549" t="s">
        <v>2316</v>
      </c>
      <c r="B549" t="str">
        <f t="shared" si="27"/>
        <v>Fund 01-2021-03-0538</v>
      </c>
      <c r="C549" s="562" t="e">
        <f>VLOOKUP(L549,'Import Process ORS'!$D$4:$E$1557,2,FALSE)</f>
        <v>#N/A</v>
      </c>
      <c r="D549" s="562">
        <f>SUMIFS('Import Process ORS'!L:L,'Import Process ORS'!E:E,'DV List for import'!C549)</f>
        <v>0</v>
      </c>
      <c r="E549" t="s">
        <v>2676</v>
      </c>
      <c r="F549" t="str">
        <f>VLOOKUP(A549,'[1]MAIN-101'!$B$13:$M$787,4,FALSE)</f>
        <v>JMN Multimedia Sales and Services</v>
      </c>
      <c r="G549" t="str">
        <f>VLOOKUP(A549,'[1]MAIN-101'!$B$13:$M$787,12,FALSE)</f>
        <v>Payment for the SDD 1st quarter prepaid loadcards</v>
      </c>
      <c r="H549" s="562" t="e">
        <f>SUMIFS('[1]MAIN-101'!$Z$1:$Z$3000,'[1]MAIN-101'!$X$1:$X$3000,A549)</f>
        <v>#VALUE!</v>
      </c>
      <c r="I549" s="562" t="s">
        <v>2687</v>
      </c>
      <c r="J549" t="s">
        <v>2683</v>
      </c>
      <c r="K549" t="s">
        <v>2678</v>
      </c>
      <c r="L549" s="562" t="str">
        <f>VLOOKUP(A549,'Format for Import of DV'!$A$3:$S$1556,3,FALSE)</f>
        <v>294</v>
      </c>
      <c r="M549" s="562" t="e">
        <f>SUMIFS('Recon of ORS and DV'!D:D,'Recon of ORS and DV'!B:B,'DV List for import'!A549)</f>
        <v>#VALUE!</v>
      </c>
      <c r="N549" s="276" t="e">
        <f t="shared" si="30"/>
        <v>#VALUE!</v>
      </c>
    </row>
    <row r="550" spans="1:17">
      <c r="A550" t="s">
        <v>2317</v>
      </c>
      <c r="B550" t="str">
        <f t="shared" si="27"/>
        <v>Fund 01-2021-03-0539</v>
      </c>
      <c r="C550" s="562" t="e">
        <f>VLOOKUP(L550,'Import Process ORS'!$D$4:$E$1557,2,FALSE)</f>
        <v>#N/A</v>
      </c>
      <c r="D550" s="562">
        <f>SUMIFS('Import Process ORS'!L:L,'Import Process ORS'!E:E,'DV List for import'!C550)</f>
        <v>0</v>
      </c>
      <c r="E550" t="s">
        <v>2676</v>
      </c>
      <c r="F550" t="str">
        <f>VLOOKUP(A550,'[1]MAIN-101'!$B$13:$M$787,4,FALSE)</f>
        <v>New Aristocrat Enterprises,Inc.</v>
      </c>
      <c r="G550" t="str">
        <f>VLOOKUP(A550,'[1]MAIN-101'!$B$13:$M$787,12,FALSE)</f>
        <v>Payment for office supplies-glass board for IDD use.</v>
      </c>
      <c r="H550" s="562" t="e">
        <f>SUMIFS('[1]MAIN-101'!$Z$1:$Z$3000,'[1]MAIN-101'!$X$1:$X$3000,A550)</f>
        <v>#VALUE!</v>
      </c>
      <c r="I550" s="562" t="s">
        <v>2687</v>
      </c>
      <c r="J550" t="s">
        <v>2683</v>
      </c>
      <c r="K550" t="s">
        <v>2678</v>
      </c>
      <c r="L550" s="562" t="str">
        <f>VLOOKUP(A550,'Format for Import of DV'!$A$3:$S$1556,3,FALSE)</f>
        <v>295</v>
      </c>
      <c r="M550" s="562" t="e">
        <f>SUMIFS('Recon of ORS and DV'!D:D,'Recon of ORS and DV'!B:B,'DV List for import'!A550)</f>
        <v>#VALUE!</v>
      </c>
      <c r="N550" s="276" t="e">
        <f t="shared" si="30"/>
        <v>#VALUE!</v>
      </c>
    </row>
    <row r="551" spans="1:17">
      <c r="A551" t="s">
        <v>2318</v>
      </c>
      <c r="B551" t="str">
        <f t="shared" si="27"/>
        <v>Fund 01-2021-03-0540</v>
      </c>
      <c r="C551" s="562" t="e">
        <f>VLOOKUP(L551,'Import Process ORS'!$D$4:$E$1557,2,FALSE)</f>
        <v>#N/A</v>
      </c>
      <c r="D551" s="562">
        <f>SUMIFS('Import Process ORS'!L:L,'Import Process ORS'!E:E,'DV List for import'!C551)</f>
        <v>0</v>
      </c>
      <c r="E551" t="s">
        <v>2676</v>
      </c>
      <c r="F551" t="str">
        <f>VLOOKUP(A551,'[1]MAIN-101'!$B$13:$M$787,4,FALSE)</f>
        <v>Hi-5 Signages Fabricator</v>
      </c>
      <c r="G551" t="str">
        <f>VLOOKUP(A551,'[1]MAIN-101'!$B$13:$M$787,12,FALSE)</f>
        <v>Payment for the tarpaulin printing in celebration of the 2021 World Consumer Rights Day</v>
      </c>
      <c r="H551" s="562" t="e">
        <f>SUMIFS('[1]MAIN-101'!$Z$1:$Z$3000,'[1]MAIN-101'!$X$1:$X$3000,A551)</f>
        <v>#VALUE!</v>
      </c>
      <c r="I551" s="562" t="s">
        <v>2687</v>
      </c>
      <c r="J551" t="s">
        <v>2683</v>
      </c>
      <c r="K551" t="s">
        <v>2678</v>
      </c>
      <c r="L551" s="562" t="str">
        <f>VLOOKUP(A551,'Format for Import of DV'!$A$3:$S$1556,3,FALSE)</f>
        <v>296</v>
      </c>
      <c r="M551" s="562" t="e">
        <f>SUMIFS('Recon of ORS and DV'!D:D,'Recon of ORS and DV'!B:B,'DV List for import'!A551)</f>
        <v>#VALUE!</v>
      </c>
      <c r="N551" s="276" t="e">
        <f t="shared" si="30"/>
        <v>#VALUE!</v>
      </c>
    </row>
    <row r="552" spans="1:17">
      <c r="A552" t="s">
        <v>2319</v>
      </c>
      <c r="B552" t="str">
        <f t="shared" ref="B552:B607" si="31">CONCATENATE("Fund 01-2021-03-",A552)</f>
        <v>Fund 01-2021-03-0541</v>
      </c>
      <c r="C552" s="562" t="e">
        <f>VLOOKUP(L552,'Import Process ORS'!$D$4:$E$1557,2,FALSE)</f>
        <v>#N/A</v>
      </c>
      <c r="D552" s="562">
        <f>SUMIFS('Import Process ORS'!L:L,'Import Process ORS'!E:E,'DV List for import'!C552)</f>
        <v>0</v>
      </c>
      <c r="E552" t="s">
        <v>2676</v>
      </c>
      <c r="F552" t="str">
        <f>VLOOKUP(A552,'[1]MAIN-101'!$B$13:$M$787,4,FALSE)</f>
        <v>JT Auto Shop</v>
      </c>
      <c r="G552" t="str">
        <f>VLOOKUP(A552,'[1]MAIN-101'!$B$13:$M$787,12,FALSE)</f>
        <v>DTI Caraga Motor vehicle repair and maintenance</v>
      </c>
      <c r="H552" s="562" t="e">
        <f>SUMIFS('[1]MAIN-101'!$Z$1:$Z$3000,'[1]MAIN-101'!$X$1:$X$3000,A552)</f>
        <v>#VALUE!</v>
      </c>
      <c r="I552" s="562" t="s">
        <v>2687</v>
      </c>
      <c r="J552" t="s">
        <v>2683</v>
      </c>
      <c r="K552" t="s">
        <v>2678</v>
      </c>
      <c r="L552" s="562" t="str">
        <f>VLOOKUP(A552,'Format for Import of DV'!$A$3:$S$1556,3,FALSE)</f>
        <v>297</v>
      </c>
      <c r="M552" s="562" t="e">
        <f>SUMIFS('Recon of ORS and DV'!D:D,'Recon of ORS and DV'!B:B,'DV List for import'!A552)</f>
        <v>#VALUE!</v>
      </c>
      <c r="N552" s="276" t="e">
        <f t="shared" si="30"/>
        <v>#VALUE!</v>
      </c>
    </row>
    <row r="553" spans="1:17">
      <c r="A553" t="s">
        <v>2647</v>
      </c>
      <c r="B553" t="str">
        <f t="shared" si="31"/>
        <v>Fund 01-2021-03-0542</v>
      </c>
      <c r="C553" s="564" t="str">
        <f>L553</f>
        <v>0000-00-0000</v>
      </c>
      <c r="D553" s="562">
        <f>SUMIFS('Import Process ORS'!L:L,'Import Process ORS'!E:E,'DV List for import'!C553)</f>
        <v>0</v>
      </c>
      <c r="E553" t="s">
        <v>2676</v>
      </c>
      <c r="F553" t="str">
        <f>VLOOKUP(A553,'[1]MAIN-101'!$B$13:$M$787,4,FALSE)</f>
        <v>LG Supplies and General Merchandise</v>
      </c>
      <c r="G553" t="str">
        <f>VLOOKUP(A553,'[1]MAIN-101'!$B$13:$M$787,12,FALSE)</f>
        <v>Payment for IT Supplies- ORD use</v>
      </c>
      <c r="H553" s="562" t="e">
        <f>SUMIFS('[1]MAIN-101'!$Z$1:$Z$3000,'[1]MAIN-101'!$X$1:$X$3000,A553)</f>
        <v>#VALUE!</v>
      </c>
      <c r="I553" s="562" t="s">
        <v>392</v>
      </c>
      <c r="J553" t="s">
        <v>2681</v>
      </c>
      <c r="K553" t="s">
        <v>2679</v>
      </c>
      <c r="L553" s="564" t="s">
        <v>2666</v>
      </c>
      <c r="M553" s="562">
        <f>SUMIFS('Recon of ORS and DV'!D:D,'Recon of ORS and DV'!B:B,'DV List for import'!A553)</f>
        <v>0</v>
      </c>
      <c r="N553" s="276" t="e">
        <f t="shared" si="30"/>
        <v>#VALUE!</v>
      </c>
      <c r="O553" t="s">
        <v>392</v>
      </c>
      <c r="P553" t="str">
        <f>VLOOKUP(A553,'[1]MAIN-101'!$B$8:$D$783,2,FALSE)</f>
        <v>12</v>
      </c>
      <c r="Q553" t="str">
        <f>VLOOKUP(A553,'[1]MAIN-101'!$B$8:$D$783,3,FALSE)</f>
        <v>1993</v>
      </c>
    </row>
    <row r="554" spans="1:17">
      <c r="A554" t="s">
        <v>2336</v>
      </c>
      <c r="B554" t="str">
        <f t="shared" si="31"/>
        <v>Fund 01-2021-03-0543</v>
      </c>
      <c r="C554" s="562" t="e">
        <f>VLOOKUP(L554,'Import Process ORS'!$D$4:$E$1557,2,FALSE)</f>
        <v>#N/A</v>
      </c>
      <c r="D554" s="562">
        <f>SUMIFS('Import Process ORS'!L:L,'Import Process ORS'!E:E,'DV List for import'!C554)</f>
        <v>0</v>
      </c>
      <c r="E554" t="s">
        <v>2676</v>
      </c>
      <c r="F554" t="str">
        <f>VLOOKUP(A554,'[1]MAIN-101'!$B$13:$M$787,4,FALSE)</f>
        <v>PD, DTI-AD N</v>
      </c>
      <c r="G554" t="str">
        <f>VLOOKUP(A554,'[1]MAIN-101'!$B$13:$M$787,12,FALSE)</f>
        <v>FT re: under OO3 programs</v>
      </c>
      <c r="H554" s="562" t="e">
        <f>SUMIFS('[1]MAIN-101'!$Z$1:$Z$3000,'[1]MAIN-101'!$X$1:$X$3000,A554)</f>
        <v>#VALUE!</v>
      </c>
      <c r="I554" s="562" t="s">
        <v>2685</v>
      </c>
      <c r="J554" t="s">
        <v>2683</v>
      </c>
      <c r="K554" t="s">
        <v>2678</v>
      </c>
      <c r="L554" s="562" t="str">
        <f>VLOOKUP(A554,'Format for Import of DV'!$A$3:$S$1556,3,FALSE)</f>
        <v>315</v>
      </c>
      <c r="M554" s="562" t="e">
        <f>SUMIFS('Recon of ORS and DV'!D:D,'Recon of ORS and DV'!B:B,'DV List for import'!A554)</f>
        <v>#VALUE!</v>
      </c>
      <c r="N554" s="276" t="e">
        <f t="shared" si="30"/>
        <v>#VALUE!</v>
      </c>
    </row>
    <row r="555" spans="1:17">
      <c r="A555" t="s">
        <v>2337</v>
      </c>
      <c r="B555" t="str">
        <f t="shared" si="31"/>
        <v>Fund 01-2021-03-0544</v>
      </c>
      <c r="C555" s="562" t="e">
        <f>VLOOKUP(L555,'Import Process ORS'!$D$4:$E$1557,2,FALSE)</f>
        <v>#N/A</v>
      </c>
      <c r="D555" s="562">
        <f>SUMIFS('Import Process ORS'!L:L,'Import Process ORS'!E:E,'DV List for import'!C555)</f>
        <v>0</v>
      </c>
      <c r="E555" t="s">
        <v>2676</v>
      </c>
      <c r="F555" t="str">
        <f>VLOOKUP(A555,'[1]MAIN-101'!$B$13:$M$787,4,FALSE)</f>
        <v>OIC, DTI-ADS</v>
      </c>
      <c r="G555" t="str">
        <f>VLOOKUP(A555,'[1]MAIN-101'!$B$13:$M$787,12,FALSE)</f>
        <v>FT re: under OO3 programs</v>
      </c>
      <c r="H555" s="562" t="e">
        <f>SUMIFS('[1]MAIN-101'!$Z$1:$Z$3000,'[1]MAIN-101'!$X$1:$X$3000,A555)</f>
        <v>#VALUE!</v>
      </c>
      <c r="I555" s="562" t="s">
        <v>2685</v>
      </c>
      <c r="J555" t="s">
        <v>2683</v>
      </c>
      <c r="K555" t="s">
        <v>2678</v>
      </c>
      <c r="L555" s="562" t="str">
        <f>VLOOKUP(A555,'Format for Import of DV'!$A$3:$S$1556,3,FALSE)</f>
        <v>316</v>
      </c>
      <c r="M555" s="562" t="e">
        <f>SUMIFS('Recon of ORS and DV'!D:D,'Recon of ORS and DV'!B:B,'DV List for import'!A555)</f>
        <v>#VALUE!</v>
      </c>
      <c r="N555" s="276" t="e">
        <f t="shared" si="30"/>
        <v>#VALUE!</v>
      </c>
    </row>
    <row r="556" spans="1:17">
      <c r="A556" t="s">
        <v>2338</v>
      </c>
      <c r="B556" t="str">
        <f t="shared" si="31"/>
        <v>Fund 01-2021-03-0545</v>
      </c>
      <c r="C556" s="562" t="e">
        <f>VLOOKUP(L556,'Import Process ORS'!$D$4:$E$1557,2,FALSE)</f>
        <v>#N/A</v>
      </c>
      <c r="D556" s="562">
        <f>SUMIFS('Import Process ORS'!L:L,'Import Process ORS'!E:E,'DV List for import'!C556)</f>
        <v>0</v>
      </c>
      <c r="E556" t="s">
        <v>2676</v>
      </c>
      <c r="F556" t="str">
        <f>VLOOKUP(A556,'[1]MAIN-101'!$B$13:$M$787,4,FALSE)</f>
        <v>PD, DTI-SDN</v>
      </c>
      <c r="G556" t="str">
        <f>VLOOKUP(A556,'[1]MAIN-101'!$B$13:$M$787,12,FALSE)</f>
        <v>FT re: under OO3 programs</v>
      </c>
      <c r="H556" s="562" t="e">
        <f>SUMIFS('[1]MAIN-101'!$Z$1:$Z$3000,'[1]MAIN-101'!$X$1:$X$3000,A556)</f>
        <v>#VALUE!</v>
      </c>
      <c r="I556" s="562" t="s">
        <v>2685</v>
      </c>
      <c r="J556" t="s">
        <v>2683</v>
      </c>
      <c r="K556" t="s">
        <v>2678</v>
      </c>
      <c r="L556" s="562" t="str">
        <f>VLOOKUP(A556,'Format for Import of DV'!$A$3:$S$1556,3,FALSE)</f>
        <v>317</v>
      </c>
      <c r="M556" s="562" t="e">
        <f>SUMIFS('Recon of ORS and DV'!D:D,'Recon of ORS and DV'!B:B,'DV List for import'!A556)</f>
        <v>#VALUE!</v>
      </c>
      <c r="N556" s="276" t="e">
        <f t="shared" si="30"/>
        <v>#VALUE!</v>
      </c>
    </row>
    <row r="557" spans="1:17">
      <c r="A557" t="s">
        <v>2339</v>
      </c>
      <c r="B557" t="str">
        <f t="shared" si="31"/>
        <v>Fund 01-2021-03-0546</v>
      </c>
      <c r="C557" s="562" t="e">
        <f>VLOOKUP(L557,'Import Process ORS'!$D$4:$E$1557,2,FALSE)</f>
        <v>#N/A</v>
      </c>
      <c r="D557" s="562">
        <f>SUMIFS('Import Process ORS'!L:L,'Import Process ORS'!E:E,'DV List for import'!C557)</f>
        <v>0</v>
      </c>
      <c r="E557" t="s">
        <v>2676</v>
      </c>
      <c r="F557" t="str">
        <f>VLOOKUP(A557,'[1]MAIN-101'!$B$13:$M$787,4,FALSE)</f>
        <v>PD, DTI-SDS</v>
      </c>
      <c r="G557" t="str">
        <f>VLOOKUP(A557,'[1]MAIN-101'!$B$13:$M$787,12,FALSE)</f>
        <v>FT re: under OO3 programs</v>
      </c>
      <c r="H557" s="562" t="e">
        <f>SUMIFS('[1]MAIN-101'!$Z$1:$Z$3000,'[1]MAIN-101'!$X$1:$X$3000,A557)</f>
        <v>#VALUE!</v>
      </c>
      <c r="I557" s="562" t="s">
        <v>2685</v>
      </c>
      <c r="J557" t="s">
        <v>2683</v>
      </c>
      <c r="K557" t="s">
        <v>2678</v>
      </c>
      <c r="L557" s="562" t="str">
        <f>VLOOKUP(A557,'Format for Import of DV'!$A$3:$S$1556,3,FALSE)</f>
        <v>318</v>
      </c>
      <c r="M557" s="562" t="e">
        <f>SUMIFS('Recon of ORS and DV'!D:D,'Recon of ORS and DV'!B:B,'DV List for import'!A557)</f>
        <v>#VALUE!</v>
      </c>
      <c r="N557" s="276" t="e">
        <f t="shared" si="30"/>
        <v>#VALUE!</v>
      </c>
    </row>
    <row r="558" spans="1:17">
      <c r="A558" t="s">
        <v>2340</v>
      </c>
      <c r="B558" t="str">
        <f t="shared" si="31"/>
        <v>Fund 01-2021-03-0547</v>
      </c>
      <c r="C558" s="562" t="e">
        <f>VLOOKUP(L558,'Import Process ORS'!$D$4:$E$1557,2,FALSE)</f>
        <v>#N/A</v>
      </c>
      <c r="D558" s="562">
        <f>SUMIFS('Import Process ORS'!L:L,'Import Process ORS'!E:E,'DV List for import'!C558)</f>
        <v>0</v>
      </c>
      <c r="E558" t="s">
        <v>2676</v>
      </c>
      <c r="F558" t="str">
        <f>VLOOKUP(A558,'[1]MAIN-101'!$B$13:$M$787,4,FALSE)</f>
        <v>OIC, DTI-PDI</v>
      </c>
      <c r="G558" t="str">
        <f>VLOOKUP(A558,'[1]MAIN-101'!$B$13:$M$787,12,FALSE)</f>
        <v>FT re: under OO3 programs</v>
      </c>
      <c r="H558" s="562" t="e">
        <f>SUMIFS('[1]MAIN-101'!$Z$1:$Z$3000,'[1]MAIN-101'!$X$1:$X$3000,A558)</f>
        <v>#VALUE!</v>
      </c>
      <c r="I558" s="562" t="s">
        <v>2685</v>
      </c>
      <c r="J558" t="s">
        <v>2683</v>
      </c>
      <c r="K558" t="s">
        <v>2678</v>
      </c>
      <c r="L558" s="562" t="str">
        <f>VLOOKUP(A558,'Format for Import of DV'!$A$3:$S$1556,3,FALSE)</f>
        <v>319</v>
      </c>
      <c r="M558" s="562" t="e">
        <f>SUMIFS('Recon of ORS and DV'!D:D,'Recon of ORS and DV'!B:B,'DV List for import'!A558)</f>
        <v>#VALUE!</v>
      </c>
      <c r="N558" s="276" t="e">
        <f t="shared" si="30"/>
        <v>#VALUE!</v>
      </c>
    </row>
    <row r="559" spans="1:17">
      <c r="A559" t="s">
        <v>2648</v>
      </c>
      <c r="B559" t="str">
        <f t="shared" si="31"/>
        <v>Fund 01-2021-03-0548</v>
      </c>
      <c r="C559" s="564" t="str">
        <f>L559</f>
        <v>0000-00-0000</v>
      </c>
      <c r="D559" s="562">
        <f>SUMIFS('Import Process ORS'!L:L,'Import Process ORS'!E:E,'DV List for import'!C559)</f>
        <v>0</v>
      </c>
      <c r="E559" t="s">
        <v>2676</v>
      </c>
      <c r="F559" t="str">
        <f>VLOOKUP(A559,'[1]MAIN-101'!$B$13:$M$787,4,FALSE)</f>
        <v>OIC-DTI-SDN</v>
      </c>
      <c r="G559" t="str">
        <f>VLOOKUP(A559,'[1]MAIN-101'!$B$13:$M$787,12,FALSE)</f>
        <v>Advances, Regular MOOE for the month of November- December 2020</v>
      </c>
      <c r="H559" s="562" t="e">
        <f>SUMIFS('[1]MAIN-101'!$Z$1:$Z$3000,'[1]MAIN-101'!$X$1:$X$3000,A559)</f>
        <v>#VALUE!</v>
      </c>
      <c r="I559" s="562" t="s">
        <v>2685</v>
      </c>
      <c r="J559" t="s">
        <v>2681</v>
      </c>
      <c r="K559" t="s">
        <v>2679</v>
      </c>
      <c r="L559" s="564" t="s">
        <v>2666</v>
      </c>
      <c r="M559" s="562">
        <f>SUMIFS('Recon of ORS and DV'!D:D,'Recon of ORS and DV'!B:B,'DV List for import'!A559)</f>
        <v>0</v>
      </c>
      <c r="N559" s="276" t="e">
        <f t="shared" si="30"/>
        <v>#VALUE!</v>
      </c>
      <c r="O559" t="s">
        <v>392</v>
      </c>
      <c r="P559" t="str">
        <f>VLOOKUP(A559,'[1]MAIN-101'!$B$8:$D$783,2,FALSE)</f>
        <v>12</v>
      </c>
      <c r="Q559" t="str">
        <f>VLOOKUP(A559,'[1]MAIN-101'!$B$8:$D$783,3,FALSE)</f>
        <v>1841</v>
      </c>
    </row>
    <row r="560" spans="1:17">
      <c r="A560" t="s">
        <v>2649</v>
      </c>
      <c r="B560" t="str">
        <f t="shared" si="31"/>
        <v>Fund 01-2021-03-0549</v>
      </c>
      <c r="C560" s="564" t="str">
        <f>L560</f>
        <v>0000-00-0000</v>
      </c>
      <c r="D560" s="562">
        <f>SUMIFS('Import Process ORS'!L:L,'Import Process ORS'!E:E,'DV List for import'!C560)</f>
        <v>0</v>
      </c>
      <c r="E560" t="s">
        <v>2676</v>
      </c>
      <c r="F560" t="str">
        <f>VLOOKUP(A560,'[1]MAIN-101'!$B$13:$M$787,4,FALSE)</f>
        <v>PD, DTI-SDS</v>
      </c>
      <c r="G560" t="str">
        <f>VLOOKUP(A560,'[1]MAIN-101'!$B$13:$M$787,12,FALSE)</f>
        <v>Advances, Regular MOOE for the month of November- December 2020</v>
      </c>
      <c r="H560" s="562" t="e">
        <f>SUMIFS('[1]MAIN-101'!$Z$1:$Z$3000,'[1]MAIN-101'!$X$1:$X$3000,A560)</f>
        <v>#VALUE!</v>
      </c>
      <c r="I560" s="562" t="s">
        <v>2685</v>
      </c>
      <c r="J560" t="s">
        <v>2681</v>
      </c>
      <c r="K560" t="s">
        <v>2679</v>
      </c>
      <c r="L560" s="564" t="s">
        <v>2666</v>
      </c>
      <c r="M560" s="562">
        <f>SUMIFS('Recon of ORS and DV'!D:D,'Recon of ORS and DV'!B:B,'DV List for import'!A560)</f>
        <v>0</v>
      </c>
      <c r="N560" s="276" t="e">
        <f t="shared" si="30"/>
        <v>#VALUE!</v>
      </c>
      <c r="O560" t="s">
        <v>392</v>
      </c>
      <c r="P560" t="str">
        <f>VLOOKUP(A560,'[1]MAIN-101'!$B$8:$D$783,2,FALSE)</f>
        <v>12</v>
      </c>
      <c r="Q560" t="str">
        <f>VLOOKUP(A560,'[1]MAIN-101'!$B$8:$D$783,3,FALSE)</f>
        <v>1842</v>
      </c>
    </row>
    <row r="561" spans="1:17">
      <c r="A561" t="s">
        <v>2650</v>
      </c>
      <c r="B561" t="str">
        <f t="shared" si="31"/>
        <v>Fund 01-2021-03-0550</v>
      </c>
      <c r="C561" s="564" t="str">
        <f>L561</f>
        <v>0000-00-0000</v>
      </c>
      <c r="D561" s="562">
        <f>SUMIFS('Import Process ORS'!L:L,'Import Process ORS'!E:E,'DV List for import'!C561)</f>
        <v>0</v>
      </c>
      <c r="E561" t="s">
        <v>2676</v>
      </c>
      <c r="F561" t="str">
        <f>VLOOKUP(A561,'[1]MAIN-101'!$B$13:$M$787,4,FALSE)</f>
        <v>PD, DTI-PDI</v>
      </c>
      <c r="G561" t="str">
        <f>VLOOKUP(A561,'[1]MAIN-101'!$B$13:$M$787,12,FALSE)</f>
        <v>Advances, Regular MOOE for the month of November- December 2020</v>
      </c>
      <c r="H561" s="562" t="e">
        <f>SUMIFS('[1]MAIN-101'!$Z$1:$Z$3000,'[1]MAIN-101'!$X$1:$X$3000,A561)</f>
        <v>#VALUE!</v>
      </c>
      <c r="I561" s="562" t="s">
        <v>2685</v>
      </c>
      <c r="J561" t="s">
        <v>2681</v>
      </c>
      <c r="K561" t="s">
        <v>2679</v>
      </c>
      <c r="L561" s="564" t="s">
        <v>2666</v>
      </c>
      <c r="M561" s="562">
        <f>SUMIFS('Recon of ORS and DV'!D:D,'Recon of ORS and DV'!B:B,'DV List for import'!A561)</f>
        <v>0</v>
      </c>
      <c r="N561" s="276" t="e">
        <f t="shared" si="30"/>
        <v>#VALUE!</v>
      </c>
      <c r="O561" t="s">
        <v>392</v>
      </c>
      <c r="P561" t="str">
        <f>VLOOKUP(A561,'[1]MAIN-101'!$B$8:$D$783,2,FALSE)</f>
        <v>12</v>
      </c>
      <c r="Q561" t="str">
        <f>VLOOKUP(A561,'[1]MAIN-101'!$B$8:$D$783,3,FALSE)</f>
        <v>1843</v>
      </c>
    </row>
    <row r="562" spans="1:17">
      <c r="A562" t="s">
        <v>2651</v>
      </c>
      <c r="B562" t="str">
        <f t="shared" si="31"/>
        <v>Fund 01-2021-03-0551</v>
      </c>
      <c r="C562" s="564" t="str">
        <f>L562</f>
        <v>0000-00-0000</v>
      </c>
      <c r="D562" s="562">
        <f>SUMIFS('Import Process ORS'!L:L,'Import Process ORS'!E:E,'DV List for import'!C562)</f>
        <v>0</v>
      </c>
      <c r="E562" t="s">
        <v>2676</v>
      </c>
      <c r="F562" t="str">
        <f>VLOOKUP(A562,'[1]MAIN-101'!$B$13:$M$787,4,FALSE)</f>
        <v>Elynur H. Gambet-Minglana</v>
      </c>
      <c r="G562" t="str">
        <f>VLOOKUP(A562,'[1]MAIN-101'!$B$13:$M$787,12,FALSE)</f>
        <v>Payment for salary and allowances for March 16-31, 2021</v>
      </c>
      <c r="H562" s="562" t="e">
        <f>SUMIFS('[1]MAIN-101'!$Z$1:$Z$3000,'[1]MAIN-101'!$X$1:$X$3000,A562)</f>
        <v>#VALUE!</v>
      </c>
      <c r="I562" s="562" t="s">
        <v>2662</v>
      </c>
      <c r="J562" t="s">
        <v>2053</v>
      </c>
      <c r="K562" t="s">
        <v>2680</v>
      </c>
      <c r="L562" s="564" t="s">
        <v>2666</v>
      </c>
      <c r="M562" s="562">
        <f>SUMIFS('Recon of ORS and DV'!D:D,'Recon of ORS and DV'!B:B,'DV List for import'!A562)</f>
        <v>0</v>
      </c>
      <c r="N562" s="276" t="e">
        <f t="shared" si="30"/>
        <v>#VALUE!</v>
      </c>
      <c r="O562" t="s">
        <v>2664</v>
      </c>
    </row>
    <row r="563" spans="1:17">
      <c r="A563" t="s">
        <v>2351</v>
      </c>
      <c r="B563" t="str">
        <f t="shared" si="31"/>
        <v>Fund 01-2021-03-0552</v>
      </c>
      <c r="C563" s="562" t="e">
        <f>VLOOKUP(L563,'Import Process ORS'!$D$4:$E$1557,2,FALSE)</f>
        <v>#N/A</v>
      </c>
      <c r="D563" s="562">
        <f>SUMIFS('Import Process ORS'!L:L,'Import Process ORS'!E:E,'DV List for import'!C563)</f>
        <v>0</v>
      </c>
      <c r="E563" t="s">
        <v>2676</v>
      </c>
      <c r="F563" t="str">
        <f>VLOOKUP(A563,'[1]MAIN-101'!$B$13:$M$787,4,FALSE)</f>
        <v>PD, DTI-ADN</v>
      </c>
      <c r="G563" t="str">
        <f>VLOOKUP(A563,'[1]MAIN-101'!$B$13:$M$787,12,FALSE)</f>
        <v>FT for 2021 GAD activities OO1</v>
      </c>
      <c r="H563" s="562" t="e">
        <f>SUMIFS('[1]MAIN-101'!$Z$1:$Z$3000,'[1]MAIN-101'!$X$1:$X$3000,A563)</f>
        <v>#VALUE!</v>
      </c>
      <c r="I563" s="562" t="s">
        <v>2685</v>
      </c>
      <c r="J563" t="s">
        <v>2683</v>
      </c>
      <c r="K563" t="s">
        <v>2678</v>
      </c>
      <c r="L563" s="562" t="str">
        <f>VLOOKUP(A563,'Format for Import of DV'!$A$3:$S$1556,3,FALSE)</f>
        <v>331</v>
      </c>
      <c r="M563" s="562" t="e">
        <f>SUMIFS('Recon of ORS and DV'!D:D,'Recon of ORS and DV'!B:B,'DV List for import'!A563)</f>
        <v>#VALUE!</v>
      </c>
      <c r="N563" s="276" t="e">
        <f t="shared" si="30"/>
        <v>#VALUE!</v>
      </c>
    </row>
    <row r="564" spans="1:17">
      <c r="A564" t="s">
        <v>2352</v>
      </c>
      <c r="B564" t="str">
        <f t="shared" si="31"/>
        <v>Fund 01-2021-03-0553</v>
      </c>
      <c r="C564" s="562" t="e">
        <f>VLOOKUP(L564,'Import Process ORS'!$D$4:$E$1557,2,FALSE)</f>
        <v>#N/A</v>
      </c>
      <c r="D564" s="562">
        <f>SUMIFS('Import Process ORS'!L:L,'Import Process ORS'!E:E,'DV List for import'!C564)</f>
        <v>0</v>
      </c>
      <c r="E564" t="s">
        <v>2676</v>
      </c>
      <c r="F564" t="str">
        <f>VLOOKUP(A564,'[1]MAIN-101'!$B$13:$M$787,4,FALSE)</f>
        <v>OIC, DTI-ADS</v>
      </c>
      <c r="G564" t="str">
        <f>VLOOKUP(A564,'[1]MAIN-101'!$B$13:$M$787,12,FALSE)</f>
        <v>FT for 2021 GAD activities OO1</v>
      </c>
      <c r="H564" s="562" t="e">
        <f>SUMIFS('[1]MAIN-101'!$Z$1:$Z$3000,'[1]MAIN-101'!$X$1:$X$3000,A564)</f>
        <v>#VALUE!</v>
      </c>
      <c r="I564" s="562" t="s">
        <v>2685</v>
      </c>
      <c r="J564" t="s">
        <v>2683</v>
      </c>
      <c r="K564" t="s">
        <v>2678</v>
      </c>
      <c r="L564" s="562" t="str">
        <f>VLOOKUP(A564,'Format for Import of DV'!$A$3:$S$1556,3,FALSE)</f>
        <v>332</v>
      </c>
      <c r="M564" s="562" t="e">
        <f>SUMIFS('Recon of ORS and DV'!D:D,'Recon of ORS and DV'!B:B,'DV List for import'!A564)</f>
        <v>#VALUE!</v>
      </c>
      <c r="N564" s="276" t="e">
        <f t="shared" si="30"/>
        <v>#VALUE!</v>
      </c>
    </row>
    <row r="565" spans="1:17">
      <c r="A565" t="s">
        <v>2353</v>
      </c>
      <c r="B565" t="str">
        <f t="shared" si="31"/>
        <v>Fund 01-2021-03-0554</v>
      </c>
      <c r="C565" s="562" t="e">
        <f>VLOOKUP(L565,'Import Process ORS'!$D$4:$E$1557,2,FALSE)</f>
        <v>#N/A</v>
      </c>
      <c r="D565" s="562">
        <f>SUMIFS('Import Process ORS'!L:L,'Import Process ORS'!E:E,'DV List for import'!C565)</f>
        <v>0</v>
      </c>
      <c r="E565" t="s">
        <v>2676</v>
      </c>
      <c r="F565" t="str">
        <f>VLOOKUP(A565,'[1]MAIN-101'!$B$13:$M$787,4,FALSE)</f>
        <v>PD, DTI-SDN</v>
      </c>
      <c r="G565" t="str">
        <f>VLOOKUP(A565,'[1]MAIN-101'!$B$13:$M$787,12,FALSE)</f>
        <v>FT for 2021 GAD activities OO1</v>
      </c>
      <c r="H565" s="562" t="e">
        <f>SUMIFS('[1]MAIN-101'!$Z$1:$Z$3000,'[1]MAIN-101'!$X$1:$X$3000,A565)</f>
        <v>#VALUE!</v>
      </c>
      <c r="I565" s="562" t="s">
        <v>2685</v>
      </c>
      <c r="J565" t="s">
        <v>2683</v>
      </c>
      <c r="K565" t="s">
        <v>2678</v>
      </c>
      <c r="L565" s="562" t="str">
        <f>VLOOKUP(A565,'Format for Import of DV'!$A$3:$S$1556,3,FALSE)</f>
        <v>333</v>
      </c>
      <c r="M565" s="562" t="e">
        <f>SUMIFS('Recon of ORS and DV'!D:D,'Recon of ORS and DV'!B:B,'DV List for import'!A565)</f>
        <v>#VALUE!</v>
      </c>
      <c r="N565" s="276" t="e">
        <f t="shared" si="30"/>
        <v>#VALUE!</v>
      </c>
    </row>
    <row r="566" spans="1:17">
      <c r="A566" t="s">
        <v>2354</v>
      </c>
      <c r="B566" t="str">
        <f t="shared" si="31"/>
        <v>Fund 01-2021-03-0555</v>
      </c>
      <c r="C566" s="562" t="e">
        <f>VLOOKUP(L566,'Import Process ORS'!$D$4:$E$1557,2,FALSE)</f>
        <v>#N/A</v>
      </c>
      <c r="D566" s="562">
        <f>SUMIFS('Import Process ORS'!L:L,'Import Process ORS'!E:E,'DV List for import'!C566)</f>
        <v>0</v>
      </c>
      <c r="E566" t="s">
        <v>2676</v>
      </c>
      <c r="F566" t="str">
        <f>VLOOKUP(A566,'[1]MAIN-101'!$B$13:$M$787,4,FALSE)</f>
        <v>OIC, DTI-PDI</v>
      </c>
      <c r="G566" t="str">
        <f>VLOOKUP(A566,'[1]MAIN-101'!$B$13:$M$787,12,FALSE)</f>
        <v>FT for 2021 GAD activities OO1</v>
      </c>
      <c r="H566" s="562" t="e">
        <f>SUMIFS('[1]MAIN-101'!$Z$1:$Z$3000,'[1]MAIN-101'!$X$1:$X$3000,A566)</f>
        <v>#VALUE!</v>
      </c>
      <c r="I566" s="562" t="s">
        <v>2685</v>
      </c>
      <c r="J566" t="s">
        <v>2683</v>
      </c>
      <c r="K566" t="s">
        <v>2678</v>
      </c>
      <c r="L566" s="562" t="str">
        <f>VLOOKUP(A566,'Format for Import of DV'!$A$3:$S$1556,3,FALSE)</f>
        <v>334</v>
      </c>
      <c r="M566" s="562" t="e">
        <f>SUMIFS('Recon of ORS and DV'!D:D,'Recon of ORS and DV'!B:B,'DV List for import'!A566)</f>
        <v>#VALUE!</v>
      </c>
      <c r="N566" s="276" t="e">
        <f t="shared" si="30"/>
        <v>#VALUE!</v>
      </c>
    </row>
    <row r="567" spans="1:17">
      <c r="A567" t="s">
        <v>2343</v>
      </c>
      <c r="B567" t="str">
        <f t="shared" si="31"/>
        <v>Fund 01-2021-03-0556</v>
      </c>
      <c r="C567" s="562" t="e">
        <f>VLOOKUP(L567,'Import Process ORS'!$D$4:$E$1557,2,FALSE)</f>
        <v>#N/A</v>
      </c>
      <c r="D567" s="562">
        <f>SUMIFS('Import Process ORS'!L:L,'Import Process ORS'!E:E,'DV List for import'!C567)</f>
        <v>0</v>
      </c>
      <c r="E567" t="s">
        <v>2676</v>
      </c>
      <c r="F567" t="str">
        <f>VLOOKUP(A567,'[1]MAIN-101'!$B$13:$M$787,4,FALSE)</f>
        <v>LBP F/O DTI-JO</v>
      </c>
      <c r="G567" t="str">
        <f>VLOOKUP(A567,'[1]MAIN-101'!$B$13:$M$787,12,FALSE)</f>
        <v>Payment of Job orders for the period March 16-31, 2021</v>
      </c>
      <c r="H567" s="562" t="e">
        <f>SUMIFS('[1]MAIN-101'!$Z$1:$Z$3000,'[1]MAIN-101'!$X$1:$X$3000,A567)</f>
        <v>#VALUE!</v>
      </c>
      <c r="I567" s="562" t="s">
        <v>2687</v>
      </c>
      <c r="J567" t="s">
        <v>2683</v>
      </c>
      <c r="K567" t="s">
        <v>2678</v>
      </c>
      <c r="L567" s="562" t="str">
        <f>VLOOKUP(A567,'Format for Import of DV'!$A$3:$S$1556,3,FALSE)</f>
        <v>323</v>
      </c>
      <c r="M567" s="562" t="e">
        <f>SUMIFS('Recon of ORS and DV'!D:D,'Recon of ORS and DV'!B:B,'DV List for import'!A567)</f>
        <v>#VALUE!</v>
      </c>
      <c r="N567" s="276" t="e">
        <f t="shared" si="30"/>
        <v>#VALUE!</v>
      </c>
    </row>
    <row r="568" spans="1:17">
      <c r="A568" t="s">
        <v>2344</v>
      </c>
      <c r="B568" t="str">
        <f t="shared" si="31"/>
        <v>Fund 01-2021-03-0557</v>
      </c>
      <c r="C568" s="562" t="e">
        <f>VLOOKUP(L568,'Import Process ORS'!$D$4:$E$1557,2,FALSE)</f>
        <v>#N/A</v>
      </c>
      <c r="D568" s="562">
        <f>SUMIFS('Import Process ORS'!L:L,'Import Process ORS'!E:E,'DV List for import'!C568)</f>
        <v>0</v>
      </c>
      <c r="E568" t="s">
        <v>2676</v>
      </c>
      <c r="F568" t="str">
        <f>VLOOKUP(A568,'[1]MAIN-101'!$B$13:$M$787,4,FALSE)</f>
        <v>Mandaue Foam</v>
      </c>
      <c r="G568" t="str">
        <f>VLOOKUP(A568,'[1]MAIN-101'!$B$13:$M$787,12,FALSE)</f>
        <v>Payment for the mobile pedestal for the office of the RD</v>
      </c>
      <c r="H568" s="562" t="e">
        <f>SUMIFS('[1]MAIN-101'!$Z$1:$Z$3000,'[1]MAIN-101'!$X$1:$X$3000,A568)</f>
        <v>#VALUE!</v>
      </c>
      <c r="I568" s="562" t="s">
        <v>2687</v>
      </c>
      <c r="J568" t="s">
        <v>2683</v>
      </c>
      <c r="K568" t="s">
        <v>2678</v>
      </c>
      <c r="L568" s="562" t="str">
        <f>VLOOKUP(A568,'Format for Import of DV'!$A$3:$S$1556,3,FALSE)</f>
        <v>324</v>
      </c>
      <c r="M568" s="562" t="e">
        <f>SUMIFS('Recon of ORS and DV'!D:D,'Recon of ORS and DV'!B:B,'DV List for import'!A568)</f>
        <v>#VALUE!</v>
      </c>
      <c r="N568" s="276" t="e">
        <f t="shared" si="30"/>
        <v>#VALUE!</v>
      </c>
    </row>
    <row r="569" spans="1:17">
      <c r="A569" t="s">
        <v>2342</v>
      </c>
      <c r="B569" t="str">
        <f t="shared" si="31"/>
        <v>Fund 01-2021-03-0558</v>
      </c>
      <c r="C569" s="562" t="e">
        <f>VLOOKUP(L569,'Import Process ORS'!$D$4:$E$1557,2,FALSE)</f>
        <v>#N/A</v>
      </c>
      <c r="D569" s="562">
        <f>SUMIFS('Import Process ORS'!L:L,'Import Process ORS'!E:E,'DV List for import'!C569)</f>
        <v>0</v>
      </c>
      <c r="E569" t="s">
        <v>2676</v>
      </c>
      <c r="F569" t="str">
        <f>VLOOKUP(A569,'[1]MAIN-101'!$B$13:$M$787,4,FALSE)</f>
        <v>Aneco, Inc.</v>
      </c>
      <c r="G569" t="str">
        <f>VLOOKUP(A569,'[1]MAIN-101'!$B$13:$M$787,12,FALSE)</f>
        <v>Payment for electricity for Dec 20-Jan 19, 2021</v>
      </c>
      <c r="H569" s="562" t="e">
        <f>SUMIFS('[1]MAIN-101'!$Z$1:$Z$3000,'[1]MAIN-101'!$X$1:$X$3000,A569)</f>
        <v>#VALUE!</v>
      </c>
      <c r="I569" s="562" t="s">
        <v>2687</v>
      </c>
      <c r="J569" t="s">
        <v>2683</v>
      </c>
      <c r="K569" t="s">
        <v>2678</v>
      </c>
      <c r="L569" s="562" t="str">
        <f>VLOOKUP(A569,'Format for Import of DV'!$A$3:$S$1556,3,FALSE)</f>
        <v>322</v>
      </c>
      <c r="M569" s="562" t="e">
        <f>SUMIFS('Recon of ORS and DV'!D:D,'Recon of ORS and DV'!B:B,'DV List for import'!A569)</f>
        <v>#VALUE!</v>
      </c>
      <c r="N569" s="276" t="e">
        <f t="shared" si="30"/>
        <v>#VALUE!</v>
      </c>
    </row>
    <row r="570" spans="1:17">
      <c r="A570" t="s">
        <v>2652</v>
      </c>
      <c r="B570" t="str">
        <f t="shared" si="31"/>
        <v>Fund 01-2021-03-0559</v>
      </c>
      <c r="C570" s="564" t="str">
        <f>L570</f>
        <v>0000-00-0000</v>
      </c>
      <c r="D570" s="562">
        <f>SUMIFS('Import Process ORS'!L:L,'Import Process ORS'!E:E,'DV List for import'!C570)</f>
        <v>0</v>
      </c>
      <c r="E570" t="s">
        <v>2676</v>
      </c>
      <c r="F570" t="str">
        <f>VLOOKUP(A570,'[1]MAIN-101'!$B$13:$M$787,4,FALSE)</f>
        <v>Aneco, Inc.</v>
      </c>
      <c r="G570" t="str">
        <f>VLOOKUP(A570,'[1]MAIN-101'!$B$13:$M$787,12,FALSE)</f>
        <v>Payment for electricity for Oct 20-Nov 9, 2020</v>
      </c>
      <c r="H570" s="562" t="e">
        <f>SUMIFS('[1]MAIN-101'!$Z$1:$Z$3000,'[1]MAIN-101'!$X$1:$X$3000,A570)</f>
        <v>#VALUE!</v>
      </c>
      <c r="I570" s="562" t="s">
        <v>392</v>
      </c>
      <c r="J570" t="s">
        <v>2681</v>
      </c>
      <c r="K570" t="s">
        <v>2679</v>
      </c>
      <c r="L570" s="564" t="s">
        <v>2666</v>
      </c>
      <c r="M570" s="562">
        <f>SUMIFS('Recon of ORS and DV'!D:D,'Recon of ORS and DV'!B:B,'DV List for import'!A570)</f>
        <v>0</v>
      </c>
      <c r="N570" s="276" t="e">
        <f t="shared" si="30"/>
        <v>#VALUE!</v>
      </c>
      <c r="O570" t="s">
        <v>392</v>
      </c>
      <c r="P570" t="str">
        <f>VLOOKUP(A570,'[1]MAIN-101'!$B$8:$D$783,2,FALSE)</f>
        <v>12</v>
      </c>
      <c r="Q570" t="str">
        <f>VLOOKUP(A570,'[1]MAIN-101'!$B$8:$D$783,3,FALSE)</f>
        <v>2048</v>
      </c>
    </row>
    <row r="571" spans="1:17">
      <c r="A571" t="s">
        <v>2355</v>
      </c>
      <c r="B571" t="str">
        <f t="shared" si="31"/>
        <v>Fund 01-2021-03-0560</v>
      </c>
      <c r="C571" s="562" t="e">
        <f>VLOOKUP(L571,'Import Process ORS'!$D$4:$E$1557,2,FALSE)</f>
        <v>#N/A</v>
      </c>
      <c r="D571" s="562">
        <f>SUMIFS('Import Process ORS'!L:L,'Import Process ORS'!E:E,'DV List for import'!C571)</f>
        <v>0</v>
      </c>
      <c r="E571" t="s">
        <v>2676</v>
      </c>
      <c r="F571" t="str">
        <f>VLOOKUP(A571,'[1]MAIN-101'!$B$13:$M$787,4,FALSE)</f>
        <v>Land Bank of the Philippines</v>
      </c>
      <c r="G571" t="str">
        <f>VLOOKUP(A571,'[1]MAIN-101'!$B$13:$M$787,12,FALSE)</f>
        <v>Reimb. Of excess expenses from cash advances of various employees</v>
      </c>
      <c r="H571" s="562" t="e">
        <f>SUMIFS('[1]MAIN-101'!$Z$1:$Z$3000,'[1]MAIN-101'!$X$1:$X$3000,A571)</f>
        <v>#VALUE!</v>
      </c>
      <c r="I571" s="562" t="s">
        <v>2687</v>
      </c>
      <c r="J571" t="s">
        <v>2683</v>
      </c>
      <c r="K571" t="s">
        <v>2678</v>
      </c>
      <c r="L571" s="562" t="str">
        <f>VLOOKUP(A571,'Format for Import of DV'!$A$3:$S$1556,3,FALSE)</f>
        <v>335</v>
      </c>
      <c r="M571" s="562" t="e">
        <f>SUMIFS('Recon of ORS and DV'!D:D,'Recon of ORS and DV'!B:B,'DV List for import'!A571)</f>
        <v>#VALUE!</v>
      </c>
      <c r="N571" s="276" t="e">
        <f t="shared" si="30"/>
        <v>#VALUE!</v>
      </c>
    </row>
    <row r="572" spans="1:17">
      <c r="A572" t="s">
        <v>2356</v>
      </c>
      <c r="B572" t="str">
        <f t="shared" si="31"/>
        <v>Fund 01-2021-03-0561</v>
      </c>
      <c r="C572" s="562" t="e">
        <f>VLOOKUP(L572,'Import Process ORS'!$D$4:$E$1557,2,FALSE)</f>
        <v>#N/A</v>
      </c>
      <c r="D572" s="562">
        <f>SUMIFS('Import Process ORS'!L:L,'Import Process ORS'!E:E,'DV List for import'!C572)</f>
        <v>0</v>
      </c>
      <c r="E572" t="s">
        <v>2676</v>
      </c>
      <c r="F572" t="str">
        <f>VLOOKUP(A572,'[1]MAIN-101'!$B$13:$M$787,4,FALSE)</f>
        <v>Al. A. Oliverio</v>
      </c>
      <c r="G572" t="str">
        <f>VLOOKUP(A572,'[1]MAIN-101'!$B$13:$M$787,12,FALSE)</f>
        <v>Salaries for RAPID PCU SDS staff(driver)-March 1-15, 2021</v>
      </c>
      <c r="H572" s="562" t="e">
        <f>SUMIFS('[1]MAIN-101'!$Z$1:$Z$3000,'[1]MAIN-101'!$X$1:$X$3000,A572)</f>
        <v>#VALUE!</v>
      </c>
      <c r="I572" s="562" t="s">
        <v>2687</v>
      </c>
      <c r="J572" t="s">
        <v>2683</v>
      </c>
      <c r="K572" t="s">
        <v>2678</v>
      </c>
      <c r="L572" s="562" t="str">
        <f>VLOOKUP(A572,'Format for Import of DV'!$A$3:$S$1556,3,FALSE)</f>
        <v>336</v>
      </c>
      <c r="M572" s="562" t="e">
        <f>SUMIFS('Recon of ORS and DV'!D:D,'Recon of ORS and DV'!B:B,'DV List for import'!A572)</f>
        <v>#VALUE!</v>
      </c>
      <c r="N572" s="276" t="e">
        <f t="shared" si="30"/>
        <v>#VALUE!</v>
      </c>
    </row>
    <row r="573" spans="1:17">
      <c r="A573" t="s">
        <v>2345</v>
      </c>
      <c r="B573" t="str">
        <f t="shared" si="31"/>
        <v>Fund 01-2021-03-0562</v>
      </c>
      <c r="C573" s="562" t="e">
        <f>VLOOKUP(L573,'Import Process ORS'!$D$4:$E$1557,2,FALSE)</f>
        <v>#N/A</v>
      </c>
      <c r="D573" s="562">
        <f>SUMIFS('Import Process ORS'!L:L,'Import Process ORS'!E:E,'DV List for import'!C573)</f>
        <v>0</v>
      </c>
      <c r="E573" t="s">
        <v>2676</v>
      </c>
      <c r="F573" t="str">
        <f>VLOOKUP(A573,'[1]MAIN-101'!$B$13:$M$787,4,FALSE)</f>
        <v>Globe Telecom, Inc</v>
      </c>
      <c r="G573" t="str">
        <f>VLOOKUP(A573,'[1]MAIN-101'!$B$13:$M$787,12,FALSE)</f>
        <v>To payment of Globe postpaid plan subscription for the month of February 6-March 15, 2021</v>
      </c>
      <c r="H573" s="562" t="e">
        <f>SUMIFS('[1]MAIN-101'!$Z$1:$Z$3000,'[1]MAIN-101'!$X$1:$X$3000,A573)</f>
        <v>#VALUE!</v>
      </c>
      <c r="I573" s="562" t="s">
        <v>2687</v>
      </c>
      <c r="J573" t="s">
        <v>2683</v>
      </c>
      <c r="K573" t="s">
        <v>2678</v>
      </c>
      <c r="L573" s="562" t="str">
        <f>VLOOKUP(A573,'Format for Import of DV'!$A$3:$S$1556,3,FALSE)</f>
        <v>325</v>
      </c>
      <c r="M573" s="562" t="e">
        <f>SUMIFS('Recon of ORS and DV'!D:D,'Recon of ORS and DV'!B:B,'DV List for import'!A573)</f>
        <v>#VALUE!</v>
      </c>
      <c r="N573" s="276" t="e">
        <f t="shared" si="30"/>
        <v>#VALUE!</v>
      </c>
    </row>
    <row r="574" spans="1:17">
      <c r="A574" t="s">
        <v>2346</v>
      </c>
      <c r="B574" t="str">
        <f t="shared" si="31"/>
        <v>Fund 01-2021-03-0563</v>
      </c>
      <c r="C574" s="562" t="e">
        <f>VLOOKUP(L574,'Import Process ORS'!$D$4:$E$1557,2,FALSE)</f>
        <v>#N/A</v>
      </c>
      <c r="D574" s="562">
        <f>SUMIFS('Import Process ORS'!L:L,'Import Process ORS'!E:E,'DV List for import'!C574)</f>
        <v>0</v>
      </c>
      <c r="E574" t="s">
        <v>2676</v>
      </c>
      <c r="F574" t="str">
        <f>VLOOKUP(A574,'[1]MAIN-101'!$B$13:$M$787,4,FALSE)</f>
        <v>Procurement Service</v>
      </c>
      <c r="G574" t="str">
        <f>VLOOKUP(A574,'[1]MAIN-101'!$B$13:$M$787,12,FALSE)</f>
        <v>Payment for SDD 1ST QUARTER 2021 Office supplies</v>
      </c>
      <c r="H574" s="562" t="e">
        <f>SUMIFS('[1]MAIN-101'!$Z$1:$Z$3000,'[1]MAIN-101'!$X$1:$X$3000,A574)</f>
        <v>#VALUE!</v>
      </c>
      <c r="I574" s="562" t="s">
        <v>2687</v>
      </c>
      <c r="J574" t="s">
        <v>2683</v>
      </c>
      <c r="K574" t="s">
        <v>2678</v>
      </c>
      <c r="L574" s="562" t="str">
        <f>VLOOKUP(A574,'Format for Import of DV'!$A$3:$S$1556,3,FALSE)</f>
        <v>326</v>
      </c>
      <c r="M574" s="562" t="e">
        <f>SUMIFS('Recon of ORS and DV'!D:D,'Recon of ORS and DV'!B:B,'DV List for import'!A574)</f>
        <v>#VALUE!</v>
      </c>
      <c r="N574" s="276" t="e">
        <f t="shared" si="30"/>
        <v>#VALUE!</v>
      </c>
    </row>
    <row r="575" spans="1:17">
      <c r="A575" t="s">
        <v>2347</v>
      </c>
      <c r="B575" t="str">
        <f t="shared" si="31"/>
        <v>Fund 01-2021-03-0564</v>
      </c>
      <c r="C575" s="562" t="e">
        <f>VLOOKUP(L575,'Import Process ORS'!$D$4:$E$1557,2,FALSE)</f>
        <v>#N/A</v>
      </c>
      <c r="D575" s="562">
        <f>SUMIFS('Import Process ORS'!L:L,'Import Process ORS'!E:E,'DV List for import'!C575)</f>
        <v>0</v>
      </c>
      <c r="E575" t="s">
        <v>2676</v>
      </c>
      <c r="F575" t="str">
        <f>VLOOKUP(A575,'[1]MAIN-101'!$B$13:$M$787,4,FALSE)</f>
        <v>Fevi V. Silvosa</v>
      </c>
      <c r="G575" t="str">
        <f>VLOOKUP(A575,'[1]MAIN-101'!$B$13:$M$787,12,FALSE)</f>
        <v>Payment of Job orders for the period March 16-31, 2021</v>
      </c>
      <c r="H575" s="562" t="e">
        <f>SUMIFS('[1]MAIN-101'!$Z$1:$Z$3000,'[1]MAIN-101'!$X$1:$X$3000,A575)</f>
        <v>#VALUE!</v>
      </c>
      <c r="I575" s="562" t="s">
        <v>2687</v>
      </c>
      <c r="J575" t="s">
        <v>2683</v>
      </c>
      <c r="K575" t="s">
        <v>2678</v>
      </c>
      <c r="L575" s="562" t="str">
        <f>VLOOKUP(A575,'Format for Import of DV'!$A$3:$S$1556,3,FALSE)</f>
        <v>327</v>
      </c>
      <c r="M575" s="562" t="e">
        <f>SUMIFS('Recon of ORS and DV'!D:D,'Recon of ORS and DV'!B:B,'DV List for import'!A575)</f>
        <v>#VALUE!</v>
      </c>
      <c r="N575" s="276" t="e">
        <f t="shared" si="30"/>
        <v>#VALUE!</v>
      </c>
    </row>
    <row r="576" spans="1:17">
      <c r="A576" t="s">
        <v>2348</v>
      </c>
      <c r="B576" t="str">
        <f t="shared" si="31"/>
        <v>Fund 01-2021-03-0565</v>
      </c>
      <c r="C576" s="562" t="e">
        <f>VLOOKUP(L576,'Import Process ORS'!$D$4:$E$1557,2,FALSE)</f>
        <v>#N/A</v>
      </c>
      <c r="D576" s="562">
        <f>SUMIFS('Import Process ORS'!L:L,'Import Process ORS'!E:E,'DV List for import'!C576)</f>
        <v>0</v>
      </c>
      <c r="E576" t="s">
        <v>2676</v>
      </c>
      <c r="F576" t="str">
        <f>VLOOKUP(A576,'[1]MAIN-101'!$B$13:$M$787,4,FALSE)</f>
        <v>D.O Plaza Holdings Corp.</v>
      </c>
      <c r="G576" t="str">
        <f>VLOOKUP(A576,'[1]MAIN-101'!$B$13:$M$787,12,FALSE)</f>
        <v>Payment for office rental for the month of January 2021</v>
      </c>
      <c r="H576" s="562" t="e">
        <f>SUMIFS('[1]MAIN-101'!$Z$1:$Z$3000,'[1]MAIN-101'!$X$1:$X$3000,A576)</f>
        <v>#VALUE!</v>
      </c>
      <c r="I576" s="562" t="s">
        <v>2687</v>
      </c>
      <c r="J576" t="s">
        <v>2683</v>
      </c>
      <c r="K576" t="s">
        <v>2678</v>
      </c>
      <c r="L576" s="562" t="str">
        <f>VLOOKUP(A576,'Format for Import of DV'!$A$3:$S$1556,3,FALSE)</f>
        <v>328</v>
      </c>
      <c r="M576" s="562" t="e">
        <f>SUMIFS('Recon of ORS and DV'!D:D,'Recon of ORS and DV'!B:B,'DV List for import'!A576)</f>
        <v>#VALUE!</v>
      </c>
      <c r="N576" s="276" t="e">
        <f t="shared" si="30"/>
        <v>#VALUE!</v>
      </c>
    </row>
    <row r="577" spans="1:17">
      <c r="A577" t="s">
        <v>2349</v>
      </c>
      <c r="B577" t="str">
        <f t="shared" si="31"/>
        <v>Fund 01-2021-03-0566</v>
      </c>
      <c r="C577" s="562" t="e">
        <f>VLOOKUP(L577,'Import Process ORS'!$D$4:$E$1557,2,FALSE)</f>
        <v>#N/A</v>
      </c>
      <c r="D577" s="562">
        <f>SUMIFS('Import Process ORS'!L:L,'Import Process ORS'!E:E,'DV List for import'!C577)</f>
        <v>0</v>
      </c>
      <c r="E577" t="s">
        <v>2676</v>
      </c>
      <c r="F577" t="str">
        <f>VLOOKUP(A577,'[1]MAIN-101'!$B$13:$M$787,4,FALSE)</f>
        <v>Butuan City Water District</v>
      </c>
      <c r="G577" t="str">
        <f>VLOOKUP(A577,'[1]MAIN-101'!$B$13:$M$787,12,FALSE)</f>
        <v>Payment for water consumption for Feb 2021</v>
      </c>
      <c r="H577" s="562" t="e">
        <f>SUMIFS('[1]MAIN-101'!$Z$1:$Z$3000,'[1]MAIN-101'!$X$1:$X$3000,A577)</f>
        <v>#VALUE!</v>
      </c>
      <c r="I577" s="562" t="s">
        <v>2687</v>
      </c>
      <c r="J577" t="s">
        <v>2683</v>
      </c>
      <c r="K577" t="s">
        <v>2678</v>
      </c>
      <c r="L577" s="562" t="str">
        <f>VLOOKUP(A577,'Format for Import of DV'!$A$3:$S$1556,3,FALSE)</f>
        <v>329</v>
      </c>
      <c r="M577" s="562" t="e">
        <f>SUMIFS('Recon of ORS and DV'!D:D,'Recon of ORS and DV'!B:B,'DV List for import'!A577)</f>
        <v>#VALUE!</v>
      </c>
      <c r="N577" s="276" t="e">
        <f t="shared" si="30"/>
        <v>#VALUE!</v>
      </c>
    </row>
    <row r="578" spans="1:17">
      <c r="A578" t="s">
        <v>2350</v>
      </c>
      <c r="B578" t="str">
        <f t="shared" si="31"/>
        <v>Fund 01-2021-03-0567</v>
      </c>
      <c r="C578" s="562" t="e">
        <f>VLOOKUP(L578,'Import Process ORS'!$D$4:$E$1557,2,FALSE)</f>
        <v>#N/A</v>
      </c>
      <c r="D578" s="562">
        <f>SUMIFS('Import Process ORS'!L:L,'Import Process ORS'!E:E,'DV List for import'!C578)</f>
        <v>0</v>
      </c>
      <c r="E578" t="s">
        <v>2676</v>
      </c>
      <c r="F578" t="str">
        <f>VLOOKUP(A578,'[1]MAIN-101'!$B$13:$M$787,4,FALSE)</f>
        <v>Aneco, Inc.</v>
      </c>
      <c r="G578" t="str">
        <f>VLOOKUP(A578,'[1]MAIN-101'!$B$13:$M$787,12,FALSE)</f>
        <v>Payment for electricity for November 20-Dec 19, 2020</v>
      </c>
      <c r="H578" s="562" t="e">
        <f>SUMIFS('[1]MAIN-101'!$Z$1:$Z$3000,'[1]MAIN-101'!$X$1:$X$3000,A578)</f>
        <v>#VALUE!</v>
      </c>
      <c r="I578" s="562" t="s">
        <v>2687</v>
      </c>
      <c r="J578" t="s">
        <v>2683</v>
      </c>
      <c r="K578" t="s">
        <v>2678</v>
      </c>
      <c r="L578" s="562" t="str">
        <f>VLOOKUP(A578,'Format for Import of DV'!$A$3:$S$1556,3,FALSE)</f>
        <v>330</v>
      </c>
      <c r="M578" s="562" t="e">
        <f>SUMIFS('Recon of ORS and DV'!D:D,'Recon of ORS and DV'!B:B,'DV List for import'!A578)</f>
        <v>#VALUE!</v>
      </c>
      <c r="N578" s="276" t="e">
        <f t="shared" si="30"/>
        <v>#VALUE!</v>
      </c>
    </row>
    <row r="579" spans="1:17">
      <c r="A579" t="s">
        <v>2653</v>
      </c>
      <c r="B579" t="str">
        <f t="shared" si="31"/>
        <v>Fund 01-2021-03-0568</v>
      </c>
      <c r="C579" s="564" t="str">
        <f>L579</f>
        <v>0000-00-0000</v>
      </c>
      <c r="D579" s="562">
        <f>SUMIFS('Import Process ORS'!L:L,'Import Process ORS'!E:E,'DV List for import'!C579)</f>
        <v>0</v>
      </c>
      <c r="E579" t="s">
        <v>2676</v>
      </c>
      <c r="F579" t="str">
        <f>VLOOKUP(A579,'[1]MAIN-101'!$B$13:$M$787,4,FALSE)</f>
        <v>Aneco, Inc.</v>
      </c>
      <c r="G579" t="str">
        <f>VLOOKUP(A579,'[1]MAIN-101'!$B$13:$M$787,12,FALSE)</f>
        <v>Partial payment for utilities expenses -electricity for the period November 20- December 19, 2020</v>
      </c>
      <c r="H579" s="562" t="e">
        <f>SUMIFS('[1]MAIN-101'!$Z$1:$Z$3000,'[1]MAIN-101'!$X$1:$X$3000,A579)</f>
        <v>#VALUE!</v>
      </c>
      <c r="I579" s="562" t="s">
        <v>392</v>
      </c>
      <c r="J579" t="s">
        <v>2681</v>
      </c>
      <c r="K579" t="s">
        <v>2679</v>
      </c>
      <c r="L579" s="564" t="s">
        <v>2666</v>
      </c>
      <c r="M579" s="562">
        <f>SUMIFS('Recon of ORS and DV'!D:D,'Recon of ORS and DV'!B:B,'DV List for import'!A579)</f>
        <v>0</v>
      </c>
      <c r="N579" s="276" t="e">
        <f t="shared" si="30"/>
        <v>#VALUE!</v>
      </c>
      <c r="O579" t="s">
        <v>392</v>
      </c>
      <c r="P579" t="str">
        <f>VLOOKUP(A579,'[1]MAIN-101'!$B$8:$D$783,2,FALSE)</f>
        <v>12</v>
      </c>
      <c r="Q579" t="str">
        <f>VLOOKUP(A579,'[1]MAIN-101'!$B$8:$D$783,3,FALSE)</f>
        <v>2048A</v>
      </c>
    </row>
    <row r="580" spans="1:17">
      <c r="A580" t="s">
        <v>2654</v>
      </c>
      <c r="B580" t="str">
        <f t="shared" si="31"/>
        <v>Fund 01-2021-03-0569</v>
      </c>
      <c r="C580" s="564" t="str">
        <f>L580</f>
        <v>0000-00-0000</v>
      </c>
      <c r="D580" s="562">
        <f>SUMIFS('Import Process ORS'!L:L,'Import Process ORS'!E:E,'DV List for import'!C580)</f>
        <v>0</v>
      </c>
      <c r="E580" t="s">
        <v>2676</v>
      </c>
      <c r="F580" t="str">
        <f>VLOOKUP(A580,'[1]MAIN-101'!$B$13:$M$787,4,FALSE)</f>
        <v>Land Bank of the Philippines</v>
      </c>
      <c r="G580" t="str">
        <f>VLOOKUP(A580,'[1]MAIN-101'!$B$13:$M$787,12,FALSE)</f>
        <v>Remittance of GSIS premiums (RLIP &amp;SIC) for employees with salary differential due to to step increment (Pascual &amp; Togonon) and SSL 5 (Timogan) for the period January 4-31,2021</v>
      </c>
      <c r="H580" s="562" t="e">
        <f>SUMIFS('[1]MAIN-101'!$Z$1:$Z$3000,'[1]MAIN-101'!$X$1:$X$3000,A580)</f>
        <v>#VALUE!</v>
      </c>
      <c r="I580" s="562" t="s">
        <v>2662</v>
      </c>
      <c r="J580" t="s">
        <v>2053</v>
      </c>
      <c r="K580" t="s">
        <v>2680</v>
      </c>
      <c r="L580" s="564" t="s">
        <v>2666</v>
      </c>
      <c r="M580" s="562">
        <f>SUMIFS('Recon of ORS and DV'!D:D,'Recon of ORS and DV'!B:B,'DV List for import'!A580)</f>
        <v>0</v>
      </c>
      <c r="N580" s="276" t="e">
        <f t="shared" ref="N580:N607" si="32">H580-M580</f>
        <v>#VALUE!</v>
      </c>
      <c r="O580" t="s">
        <v>2662</v>
      </c>
    </row>
    <row r="581" spans="1:17">
      <c r="A581" t="s">
        <v>2306</v>
      </c>
      <c r="B581" t="str">
        <f t="shared" si="31"/>
        <v>Fund 01-2021-03-0570</v>
      </c>
      <c r="C581" s="562" t="e">
        <f>VLOOKUP(L581,'Import Process ORS'!$D$4:$E$1557,2,FALSE)</f>
        <v>#N/A</v>
      </c>
      <c r="D581" s="562">
        <f>SUMIFS('Import Process ORS'!L:L,'Import Process ORS'!E:E,'DV List for import'!C581)</f>
        <v>0</v>
      </c>
      <c r="E581" t="s">
        <v>2676</v>
      </c>
      <c r="F581" t="str">
        <f>VLOOKUP(A581,'[1]MAIN-101'!$B$13:$M$787,4,FALSE)</f>
        <v>Hi-5 Signages Fabricator</v>
      </c>
      <c r="G581" t="str">
        <f>VLOOKUP(A581,'[1]MAIN-101'!$B$13:$M$787,12,FALSE)</f>
        <v>Payment for the plaques for the successful women entreprenuers during the 2021 Women's Summit</v>
      </c>
      <c r="H581" s="562" t="e">
        <f>SUMIFS('[1]MAIN-101'!$Z$1:$Z$3000,'[1]MAIN-101'!$X$1:$X$3000,A581)</f>
        <v>#VALUE!</v>
      </c>
      <c r="I581" s="562" t="s">
        <v>2687</v>
      </c>
      <c r="J581" t="s">
        <v>2683</v>
      </c>
      <c r="K581" t="s">
        <v>2678</v>
      </c>
      <c r="L581" s="562" t="str">
        <f>VLOOKUP(A581,'Format for Import of DV'!$A$3:$S$1556,3,FALSE)</f>
        <v>284</v>
      </c>
      <c r="M581" s="562" t="e">
        <f>SUMIFS('Recon of ORS and DV'!D:D,'Recon of ORS and DV'!B:B,'DV List for import'!A581)</f>
        <v>#VALUE!</v>
      </c>
      <c r="N581" s="276" t="e">
        <f t="shared" si="32"/>
        <v>#VALUE!</v>
      </c>
    </row>
    <row r="582" spans="1:17">
      <c r="A582" t="s">
        <v>2655</v>
      </c>
      <c r="B582" t="str">
        <f t="shared" si="31"/>
        <v>Fund 01-2021-03-0571</v>
      </c>
      <c r="C582" s="564" t="str">
        <f>L582</f>
        <v>0000-00-0000</v>
      </c>
      <c r="D582" s="562">
        <f>SUMIFS('Import Process ORS'!L:L,'Import Process ORS'!E:E,'DV List for import'!C582)</f>
        <v>0</v>
      </c>
      <c r="E582" t="s">
        <v>2676</v>
      </c>
      <c r="F582" t="str">
        <f>VLOOKUP(A582,'[1]MAIN-101'!$B$13:$M$787,4,FALSE)</f>
        <v>Land Bank of Philippines</v>
      </c>
      <c r="G582" t="str">
        <f>VLOOKUP(A582,'[1]MAIN-101'!$B$13:$M$787,12,FALSE)</f>
        <v>Payment of leave monetizations for DTI Caraga Employees for CY 2020.</v>
      </c>
      <c r="H582" s="562" t="e">
        <f>SUMIFS('[1]MAIN-101'!$Z$1:$Z$3000,'[1]MAIN-101'!$X$1:$X$3000,A582)</f>
        <v>#VALUE!</v>
      </c>
      <c r="I582" s="562" t="s">
        <v>392</v>
      </c>
      <c r="J582" t="s">
        <v>2681</v>
      </c>
      <c r="K582" t="s">
        <v>2679</v>
      </c>
      <c r="L582" s="564" t="s">
        <v>2666</v>
      </c>
      <c r="M582" s="562">
        <f>SUMIFS('Recon of ORS and DV'!D:D,'Recon of ORS and DV'!B:B,'DV List for import'!A582)</f>
        <v>0</v>
      </c>
      <c r="N582" s="276" t="e">
        <f t="shared" si="32"/>
        <v>#VALUE!</v>
      </c>
      <c r="O582" t="s">
        <v>392</v>
      </c>
      <c r="P582" t="str">
        <f>VLOOKUP(A582,'[1]MAIN-101'!$B$8:$D$783,2,FALSE)</f>
        <v>12</v>
      </c>
      <c r="Q582" t="str">
        <f>VLOOKUP(A582,'[1]MAIN-101'!$B$8:$D$783,3,FALSE)</f>
        <v>2054</v>
      </c>
    </row>
    <row r="583" spans="1:17">
      <c r="A583" t="s">
        <v>2656</v>
      </c>
      <c r="B583" t="str">
        <f t="shared" si="31"/>
        <v>Fund 01-2021-03-0572</v>
      </c>
      <c r="C583" s="564" t="str">
        <f>L583</f>
        <v>0000-00-0000</v>
      </c>
      <c r="D583" s="562">
        <f>SUMIFS('Import Process ORS'!L:L,'Import Process ORS'!E:E,'DV List for import'!C583)</f>
        <v>0</v>
      </c>
      <c r="E583" t="s">
        <v>2676</v>
      </c>
      <c r="F583" t="str">
        <f>VLOOKUP(A583,'[1]MAIN-101'!$B$13:$M$787,4,FALSE)</f>
        <v>Fruitful Enterprises</v>
      </c>
      <c r="G583" t="str">
        <f>VLOOKUP(A583,'[1]MAIN-101'!$B$13:$M$787,12,FALSE)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</v>
      </c>
      <c r="H583" s="562" t="e">
        <f>SUMIFS('[1]MAIN-101'!$Z$1:$Z$3000,'[1]MAIN-101'!$X$1:$X$3000,A583)</f>
        <v>#VALUE!</v>
      </c>
      <c r="I583" s="562" t="s">
        <v>392</v>
      </c>
      <c r="J583" t="s">
        <v>2681</v>
      </c>
      <c r="K583" t="s">
        <v>2679</v>
      </c>
      <c r="L583" s="564" t="s">
        <v>2666</v>
      </c>
      <c r="M583" s="562">
        <f>SUMIFS('Recon of ORS and DV'!D:D,'Recon of ORS and DV'!B:B,'DV List for import'!A583)</f>
        <v>0</v>
      </c>
      <c r="N583" s="276" t="e">
        <f t="shared" si="32"/>
        <v>#VALUE!</v>
      </c>
      <c r="O583" t="s">
        <v>392</v>
      </c>
      <c r="P583" t="str">
        <f>VLOOKUP(A583,'[1]MAIN-101'!$B$8:$D$783,2,FALSE)</f>
        <v>12</v>
      </c>
      <c r="Q583" t="str">
        <f>VLOOKUP(A583,'[1]MAIN-101'!$B$8:$D$783,3,FALSE)</f>
        <v>2039</v>
      </c>
    </row>
    <row r="584" spans="1:17">
      <c r="A584" t="s">
        <v>2657</v>
      </c>
      <c r="B584" t="str">
        <f t="shared" si="31"/>
        <v>Fund 01-2021-03-0573</v>
      </c>
      <c r="C584" s="564" t="str">
        <f>L584</f>
        <v>0000-00-0000</v>
      </c>
      <c r="D584" s="562">
        <f>SUMIFS('Import Process ORS'!L:L,'Import Process ORS'!E:E,'DV List for import'!C584)</f>
        <v>0</v>
      </c>
      <c r="E584" t="s">
        <v>2676</v>
      </c>
      <c r="F584" t="str">
        <f>VLOOKUP(A584,'[1]MAIN-101'!$B$13:$M$787,4,FALSE)</f>
        <v>Davao Technocraft</v>
      </c>
      <c r="G584" t="str">
        <f>VLOOKUP(A584,'[1]MAIN-101'!$B$13:$M$787,12,FALSE)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H584" s="562" t="e">
        <f>SUMIFS('[1]MAIN-101'!$Z$1:$Z$3000,'[1]MAIN-101'!$X$1:$X$3000,A584)</f>
        <v>#VALUE!</v>
      </c>
      <c r="I584" s="562" t="s">
        <v>392</v>
      </c>
      <c r="J584" t="s">
        <v>2681</v>
      </c>
      <c r="K584" t="s">
        <v>2679</v>
      </c>
      <c r="L584" s="564" t="s">
        <v>2666</v>
      </c>
      <c r="M584" s="562">
        <f>SUMIFS('Recon of ORS and DV'!D:D,'Recon of ORS and DV'!B:B,'DV List for import'!A584)</f>
        <v>0</v>
      </c>
      <c r="N584" s="276" t="e">
        <f t="shared" si="32"/>
        <v>#VALUE!</v>
      </c>
      <c r="O584" t="s">
        <v>392</v>
      </c>
      <c r="P584" t="str">
        <f>VLOOKUP(A584,'[1]MAIN-101'!$B$8:$D$783,2,FALSE)</f>
        <v>12</v>
      </c>
      <c r="Q584" t="str">
        <f>VLOOKUP(A584,'[1]MAIN-101'!$B$8:$D$783,3,FALSE)</f>
        <v>2040</v>
      </c>
    </row>
    <row r="585" spans="1:17">
      <c r="A585" t="s">
        <v>2358</v>
      </c>
      <c r="B585" t="str">
        <f t="shared" si="31"/>
        <v>Fund 01-2021-03-0574</v>
      </c>
      <c r="C585" s="562" t="e">
        <f>VLOOKUP(L585,'Import Process ORS'!$D$4:$E$1557,2,FALSE)</f>
        <v>#N/A</v>
      </c>
      <c r="D585" s="562">
        <f>SUMIFS('Import Process ORS'!L:L,'Import Process ORS'!E:E,'DV List for import'!C585)</f>
        <v>0</v>
      </c>
      <c r="E585" t="s">
        <v>2676</v>
      </c>
      <c r="F585" t="str">
        <f>VLOOKUP(A585,'[1]MAIN-101'!$B$13:$M$787,4,FALSE)</f>
        <v>OIC, DTI-PDI</v>
      </c>
      <c r="G585" t="str">
        <f>VLOOKUP(A585,'[1]MAIN-101'!$B$13:$M$787,12,FALSE)</f>
        <v>FT for DTI-CARP implementation for 1st-3rd Quarter</v>
      </c>
      <c r="H585" s="562" t="e">
        <f>SUMIFS('[1]MAIN-101'!$Z$1:$Z$3000,'[1]MAIN-101'!$X$1:$X$3000,A585)</f>
        <v>#VALUE!</v>
      </c>
      <c r="I585" s="562" t="s">
        <v>2685</v>
      </c>
      <c r="J585" t="s">
        <v>2683</v>
      </c>
      <c r="K585" t="s">
        <v>2678</v>
      </c>
      <c r="L585" s="562" t="str">
        <f>VLOOKUP(A585,'Format for Import of DV'!$A$3:$S$1556,3,FALSE)</f>
        <v>338</v>
      </c>
      <c r="M585" s="562" t="e">
        <f>SUMIFS('Recon of ORS and DV'!D:D,'Recon of ORS and DV'!B:B,'DV List for import'!A585)</f>
        <v>#VALUE!</v>
      </c>
      <c r="N585" s="276" t="e">
        <f t="shared" si="32"/>
        <v>#VALUE!</v>
      </c>
    </row>
    <row r="586" spans="1:17">
      <c r="A586" t="s">
        <v>2359</v>
      </c>
      <c r="B586" t="str">
        <f t="shared" si="31"/>
        <v>Fund 01-2021-03-0575</v>
      </c>
      <c r="C586" s="562" t="e">
        <f>VLOOKUP(L586,'Import Process ORS'!$D$4:$E$1557,2,FALSE)</f>
        <v>#N/A</v>
      </c>
      <c r="D586" s="562">
        <f>SUMIFS('Import Process ORS'!L:L,'Import Process ORS'!E:E,'DV List for import'!C586)</f>
        <v>0</v>
      </c>
      <c r="E586" t="s">
        <v>2676</v>
      </c>
      <c r="F586" t="str">
        <f>VLOOKUP(A586,'[1]MAIN-101'!$B$13:$M$787,4,FALSE)</f>
        <v>PD, DTI-SDN</v>
      </c>
      <c r="G586" t="str">
        <f>VLOOKUP(A586,'[1]MAIN-101'!$B$13:$M$787,12,FALSE)</f>
        <v>FT for DTI-CARP implementation for 1st-3rd Quarter</v>
      </c>
      <c r="H586" s="562" t="e">
        <f>SUMIFS('[1]MAIN-101'!$Z$1:$Z$3000,'[1]MAIN-101'!$X$1:$X$3000,A586)</f>
        <v>#VALUE!</v>
      </c>
      <c r="I586" s="562" t="s">
        <v>2685</v>
      </c>
      <c r="J586" t="s">
        <v>2683</v>
      </c>
      <c r="K586" t="s">
        <v>2678</v>
      </c>
      <c r="L586" s="562" t="str">
        <f>VLOOKUP(A586,'Format for Import of DV'!$A$3:$S$1556,3,FALSE)</f>
        <v>339</v>
      </c>
      <c r="M586" s="562" t="e">
        <f>SUMIFS('Recon of ORS and DV'!D:D,'Recon of ORS and DV'!B:B,'DV List for import'!A586)</f>
        <v>#VALUE!</v>
      </c>
      <c r="N586" s="276" t="e">
        <f t="shared" si="32"/>
        <v>#VALUE!</v>
      </c>
    </row>
    <row r="587" spans="1:17">
      <c r="A587" t="s">
        <v>2357</v>
      </c>
      <c r="B587" t="str">
        <f t="shared" si="31"/>
        <v>Fund 01-2021-03-0576</v>
      </c>
      <c r="C587" s="562" t="e">
        <f>VLOOKUP(L587,'Import Process ORS'!$D$4:$E$1557,2,FALSE)</f>
        <v>#N/A</v>
      </c>
      <c r="D587" s="562">
        <f>SUMIFS('Import Process ORS'!L:L,'Import Process ORS'!E:E,'DV List for import'!C587)</f>
        <v>0</v>
      </c>
      <c r="E587" t="s">
        <v>2676</v>
      </c>
      <c r="F587" t="str">
        <f>VLOOKUP(A587,'[1]MAIN-101'!$B$13:$M$787,4,FALSE)</f>
        <v>LBP, F/O DTI-JO</v>
      </c>
      <c r="G587" t="str">
        <f>VLOOKUP(A587,'[1]MAIN-101'!$B$13:$M$787,12,FALSE)</f>
        <v>Payment of JO for period March 16-31, 2021</v>
      </c>
      <c r="H587" s="562" t="e">
        <f>SUMIFS('[1]MAIN-101'!$Z$1:$Z$3000,'[1]MAIN-101'!$X$1:$X$3000,A587)</f>
        <v>#VALUE!</v>
      </c>
      <c r="I587" s="562" t="s">
        <v>2687</v>
      </c>
      <c r="J587" t="s">
        <v>2683</v>
      </c>
      <c r="K587" t="s">
        <v>2678</v>
      </c>
      <c r="L587" s="562" t="str">
        <f>VLOOKUP(A587,'Format for Import of DV'!$A$3:$S$1556,3,FALSE)</f>
        <v>337</v>
      </c>
      <c r="M587" s="562" t="e">
        <f>SUMIFS('Recon of ORS and DV'!D:D,'Recon of ORS and DV'!B:B,'DV List for import'!A587)</f>
        <v>#VALUE!</v>
      </c>
      <c r="N587" s="276" t="e">
        <f t="shared" si="32"/>
        <v>#VALUE!</v>
      </c>
    </row>
    <row r="588" spans="1:17">
      <c r="A588" t="s">
        <v>2333</v>
      </c>
      <c r="B588" t="str">
        <f t="shared" si="31"/>
        <v>Fund 01-2021-03-0577</v>
      </c>
      <c r="C588" s="562" t="e">
        <f>VLOOKUP(L588,'Import Process ORS'!$D$4:$E$1557,2,FALSE)</f>
        <v>#N/A</v>
      </c>
      <c r="D588" s="562">
        <f>SUMIFS('Import Process ORS'!L:L,'Import Process ORS'!E:E,'DV List for import'!C588)</f>
        <v>0</v>
      </c>
      <c r="E588" t="s">
        <v>2676</v>
      </c>
      <c r="F588" t="str">
        <f>VLOOKUP(A588,'[1]MAIN-101'!$B$13:$M$787,4,FALSE)</f>
        <v>LBP, F/O DTI-JO</v>
      </c>
      <c r="G588" t="str">
        <f>VLOOKUP(A588,'[1]MAIN-101'!$B$13:$M$787,12,FALSE)</f>
        <v>Payment of JO for period March 16-31, 2021</v>
      </c>
      <c r="H588" s="562" t="e">
        <f>SUMIFS('[1]MAIN-101'!$Z$1:$Z$3000,'[1]MAIN-101'!$X$1:$X$3000,A588)</f>
        <v>#VALUE!</v>
      </c>
      <c r="I588" s="562" t="s">
        <v>2687</v>
      </c>
      <c r="J588" t="s">
        <v>2683</v>
      </c>
      <c r="K588" t="s">
        <v>2678</v>
      </c>
      <c r="L588" s="562" t="str">
        <f>VLOOKUP(A588,'Format for Import of DV'!$A$3:$S$1556,3,FALSE)</f>
        <v>312</v>
      </c>
      <c r="M588" s="562" t="e">
        <f>SUMIFS('Recon of ORS and DV'!D:D,'Recon of ORS and DV'!B:B,'DV List for import'!A588)</f>
        <v>#VALUE!</v>
      </c>
      <c r="N588" s="276" t="e">
        <f t="shared" si="32"/>
        <v>#VALUE!</v>
      </c>
    </row>
    <row r="589" spans="1:17">
      <c r="A589" t="s">
        <v>2334</v>
      </c>
      <c r="B589" t="str">
        <f t="shared" si="31"/>
        <v>Fund 01-2021-03-0578</v>
      </c>
      <c r="C589" s="562" t="e">
        <f>VLOOKUP(L589,'Import Process ORS'!$D$4:$E$1557,2,FALSE)</f>
        <v>#N/A</v>
      </c>
      <c r="D589" s="562">
        <f>SUMIFS('Import Process ORS'!L:L,'Import Process ORS'!E:E,'DV List for import'!C589)</f>
        <v>0</v>
      </c>
      <c r="E589" t="s">
        <v>2676</v>
      </c>
      <c r="F589" t="str">
        <f>VLOOKUP(A589,'[1]MAIN-101'!$B$13:$M$787,4,FALSE)</f>
        <v>LBP, F/O DTI-JO</v>
      </c>
      <c r="G589" t="str">
        <f>VLOOKUP(A589,'[1]MAIN-101'!$B$13:$M$787,12,FALSE)</f>
        <v>Payment of JO for period March 16-31, 2021</v>
      </c>
      <c r="H589" s="562" t="e">
        <f>SUMIFS('[1]MAIN-101'!$Z$1:$Z$3000,'[1]MAIN-101'!$X$1:$X$3000,A589)</f>
        <v>#VALUE!</v>
      </c>
      <c r="I589" s="562" t="s">
        <v>2687</v>
      </c>
      <c r="J589" t="s">
        <v>2683</v>
      </c>
      <c r="K589" t="s">
        <v>2678</v>
      </c>
      <c r="L589" s="562" t="str">
        <f>VLOOKUP(A589,'Format for Import of DV'!$A$3:$S$1556,3,FALSE)</f>
        <v>313</v>
      </c>
      <c r="M589" s="562" t="e">
        <f>SUMIFS('Recon of ORS and DV'!D:D,'Recon of ORS and DV'!B:B,'DV List for import'!A589)</f>
        <v>#VALUE!</v>
      </c>
      <c r="N589" s="276" t="e">
        <f t="shared" si="32"/>
        <v>#VALUE!</v>
      </c>
    </row>
    <row r="590" spans="1:17">
      <c r="A590" t="s">
        <v>2658</v>
      </c>
      <c r="B590" t="str">
        <f t="shared" si="31"/>
        <v>Fund 01-2021-03-0579</v>
      </c>
      <c r="C590" s="564" t="str">
        <f>L590</f>
        <v>0000-00-0000</v>
      </c>
      <c r="D590" s="562">
        <f>SUMIFS('Import Process ORS'!L:L,'Import Process ORS'!E:E,'DV List for import'!C590)</f>
        <v>0</v>
      </c>
      <c r="E590" t="s">
        <v>2676</v>
      </c>
      <c r="F590" t="str">
        <f>VLOOKUP(A590,'[1]MAIN-101'!$B$13:$M$787,4,FALSE)</f>
        <v>Fevi V. Silvosa</v>
      </c>
      <c r="G590" t="str">
        <f>VLOOKUP(A590,'[1]MAIN-101'!$B$13:$M$787,12,FALSE)</f>
        <v>Payment of JO for period March 16-31, 2021</v>
      </c>
      <c r="H590" s="562" t="e">
        <f>SUMIFS('[1]MAIN-101'!$Z$1:$Z$3000,'[1]MAIN-101'!$X$1:$X$3000,A590)</f>
        <v>#VALUE!</v>
      </c>
      <c r="I590" s="562" t="s">
        <v>2662</v>
      </c>
      <c r="J590" t="s">
        <v>2053</v>
      </c>
      <c r="K590" t="s">
        <v>2680</v>
      </c>
      <c r="L590" s="564" t="s">
        <v>2666</v>
      </c>
      <c r="M590" s="562">
        <f>SUMIFS('Recon of ORS and DV'!D:D,'Recon of ORS and DV'!B:B,'DV List for import'!A590)</f>
        <v>0</v>
      </c>
      <c r="N590" s="276" t="e">
        <f t="shared" si="32"/>
        <v>#VALUE!</v>
      </c>
      <c r="O590" t="s">
        <v>2664</v>
      </c>
      <c r="P590" t="str">
        <f>VLOOKUP(A590,'[1]MAIN-101'!$B$8:$D$783,2,FALSE)</f>
        <v>03</v>
      </c>
      <c r="Q590" t="str">
        <f>VLOOKUP(A590,'[1]MAIN-101'!$B$8:$D$783,3,FALSE)</f>
        <v>327</v>
      </c>
    </row>
    <row r="591" spans="1:17">
      <c r="A591" t="s">
        <v>2360</v>
      </c>
      <c r="B591" t="str">
        <f t="shared" si="31"/>
        <v>Fund 01-2021-03-0580</v>
      </c>
      <c r="C591" s="562" t="e">
        <f>VLOOKUP(L591,'Import Process ORS'!$D$4:$E$1557,2,FALSE)</f>
        <v>#N/A</v>
      </c>
      <c r="D591" s="562">
        <f>SUMIFS('Import Process ORS'!L:L,'Import Process ORS'!E:E,'DV List for import'!C591)</f>
        <v>0</v>
      </c>
      <c r="E591" t="s">
        <v>2676</v>
      </c>
      <c r="F591" t="str">
        <f>VLOOKUP(A591,'[1]MAIN-101'!$B$13:$M$787,4,FALSE)</f>
        <v>OIC, DTI-ADS</v>
      </c>
      <c r="G591" t="str">
        <f>VLOOKUP(A591,'[1]MAIN-101'!$B$13:$M$787,12,FALSE)</f>
        <v>FT for NC implementation (Feb-Sept 2021)</v>
      </c>
      <c r="H591" s="562" t="e">
        <f>SUMIFS('[1]MAIN-101'!$Z$1:$Z$3000,'[1]MAIN-101'!$X$1:$X$3000,A591)</f>
        <v>#VALUE!</v>
      </c>
      <c r="I591" s="562" t="s">
        <v>2685</v>
      </c>
      <c r="J591" t="s">
        <v>2683</v>
      </c>
      <c r="K591" t="s">
        <v>2678</v>
      </c>
      <c r="L591" s="562" t="str">
        <f>VLOOKUP(A591,'Format for Import of DV'!$A$3:$S$1556,3,FALSE)</f>
        <v>340</v>
      </c>
      <c r="M591" s="562" t="e">
        <f>SUMIFS('Recon of ORS and DV'!D:D,'Recon of ORS and DV'!B:B,'DV List for import'!A591)</f>
        <v>#VALUE!</v>
      </c>
      <c r="N591" s="276" t="e">
        <f t="shared" si="32"/>
        <v>#VALUE!</v>
      </c>
    </row>
    <row r="592" spans="1:17">
      <c r="A592" t="s">
        <v>2361</v>
      </c>
      <c r="B592" t="str">
        <f t="shared" si="31"/>
        <v>Fund 01-2021-03-0581</v>
      </c>
      <c r="C592" s="562" t="e">
        <f>VLOOKUP(L592,'Import Process ORS'!$D$4:$E$1557,2,FALSE)</f>
        <v>#N/A</v>
      </c>
      <c r="D592" s="562">
        <f>SUMIFS('Import Process ORS'!L:L,'Import Process ORS'!E:E,'DV List for import'!C592)</f>
        <v>0</v>
      </c>
      <c r="E592" t="s">
        <v>2676</v>
      </c>
      <c r="F592" t="str">
        <f>VLOOKUP(A592,'[1]MAIN-101'!$B$13:$M$787,4,FALSE)</f>
        <v>PD, D TI-SDN</v>
      </c>
      <c r="G592" t="str">
        <f>VLOOKUP(A592,'[1]MAIN-101'!$B$13:$M$787,12,FALSE)</f>
        <v>FT for NC implementation (Feb-Sept 2021)</v>
      </c>
      <c r="H592" s="562" t="e">
        <f>SUMIFS('[1]MAIN-101'!$Z$1:$Z$3000,'[1]MAIN-101'!$X$1:$X$3000,A592)</f>
        <v>#VALUE!</v>
      </c>
      <c r="I592" s="562" t="s">
        <v>2685</v>
      </c>
      <c r="J592" t="s">
        <v>2683</v>
      </c>
      <c r="K592" t="s">
        <v>2678</v>
      </c>
      <c r="L592" s="562" t="str">
        <f>VLOOKUP(A592,'Format for Import of DV'!$A$3:$S$1556,3,FALSE)</f>
        <v>341</v>
      </c>
      <c r="M592" s="562" t="e">
        <f>SUMIFS('Recon of ORS and DV'!D:D,'Recon of ORS and DV'!B:B,'DV List for import'!A592)</f>
        <v>#VALUE!</v>
      </c>
      <c r="N592" s="276" t="e">
        <f t="shared" si="32"/>
        <v>#VALUE!</v>
      </c>
    </row>
    <row r="593" spans="1:17">
      <c r="A593" t="s">
        <v>2362</v>
      </c>
      <c r="B593" t="str">
        <f t="shared" si="31"/>
        <v>Fund 01-2021-03-0582</v>
      </c>
      <c r="C593" s="562" t="e">
        <f>VLOOKUP(L593,'Import Process ORS'!$D$4:$E$1557,2,FALSE)</f>
        <v>#N/A</v>
      </c>
      <c r="D593" s="562">
        <f>SUMIFS('Import Process ORS'!L:L,'Import Process ORS'!E:E,'DV List for import'!C593)</f>
        <v>0</v>
      </c>
      <c r="E593" t="s">
        <v>2676</v>
      </c>
      <c r="F593" t="str">
        <f>VLOOKUP(A593,'[1]MAIN-101'!$B$13:$M$787,4,FALSE)</f>
        <v>PD, D TI-ADN</v>
      </c>
      <c r="G593" t="str">
        <f>VLOOKUP(A593,'[1]MAIN-101'!$B$13:$M$787,12,FALSE)</f>
        <v>FT(FEB-APRIL, Partial) for the implementation of OTOP NG.</v>
      </c>
      <c r="H593" s="562" t="e">
        <f>SUMIFS('[1]MAIN-101'!$Z$1:$Z$3000,'[1]MAIN-101'!$X$1:$X$3000,A593)</f>
        <v>#VALUE!</v>
      </c>
      <c r="I593" s="562" t="s">
        <v>2685</v>
      </c>
      <c r="J593" t="s">
        <v>2683</v>
      </c>
      <c r="K593" t="s">
        <v>2678</v>
      </c>
      <c r="L593" s="562" t="str">
        <f>VLOOKUP(A593,'Format for Import of DV'!$A$3:$S$1556,3,FALSE)</f>
        <v>342</v>
      </c>
      <c r="M593" s="562" t="e">
        <f>SUMIFS('Recon of ORS and DV'!D:D,'Recon of ORS and DV'!B:B,'DV List for import'!A593)</f>
        <v>#VALUE!</v>
      </c>
      <c r="N593" s="276" t="e">
        <f t="shared" si="32"/>
        <v>#VALUE!</v>
      </c>
    </row>
    <row r="594" spans="1:17">
      <c r="A594" t="s">
        <v>2363</v>
      </c>
      <c r="B594" t="str">
        <f t="shared" si="31"/>
        <v>Fund 01-2021-03-0583</v>
      </c>
      <c r="C594" s="562" t="e">
        <f>VLOOKUP(L594,'Import Process ORS'!$D$4:$E$1557,2,FALSE)</f>
        <v>#N/A</v>
      </c>
      <c r="D594" s="562">
        <f>SUMIFS('Import Process ORS'!L:L,'Import Process ORS'!E:E,'DV List for import'!C594)</f>
        <v>0</v>
      </c>
      <c r="E594" t="s">
        <v>2676</v>
      </c>
      <c r="F594" t="str">
        <f>VLOOKUP(A594,'[1]MAIN-101'!$B$13:$M$787,4,FALSE)</f>
        <v>PD, D TI-SDN</v>
      </c>
      <c r="G594" t="str">
        <f>VLOOKUP(A594,'[1]MAIN-101'!$B$13:$M$787,12,FALSE)</f>
        <v>FT(FEB-APRIL, Partial) for the implementation of OTOP NG.</v>
      </c>
      <c r="H594" s="562" t="e">
        <f>SUMIFS('[1]MAIN-101'!$Z$1:$Z$3000,'[1]MAIN-101'!$X$1:$X$3000,A594)</f>
        <v>#VALUE!</v>
      </c>
      <c r="I594" s="562" t="s">
        <v>2685</v>
      </c>
      <c r="J594" t="s">
        <v>2683</v>
      </c>
      <c r="K594" t="s">
        <v>2678</v>
      </c>
      <c r="L594" s="562" t="str">
        <f>VLOOKUP(A594,'Format for Import of DV'!$A$3:$S$1556,3,FALSE)</f>
        <v>343</v>
      </c>
      <c r="M594" s="562" t="e">
        <f>SUMIFS('Recon of ORS and DV'!D:D,'Recon of ORS and DV'!B:B,'DV List for import'!A594)</f>
        <v>#VALUE!</v>
      </c>
      <c r="N594" s="276" t="e">
        <f t="shared" si="32"/>
        <v>#VALUE!</v>
      </c>
    </row>
    <row r="595" spans="1:17">
      <c r="A595" t="s">
        <v>2364</v>
      </c>
      <c r="B595" t="str">
        <f t="shared" si="31"/>
        <v>Fund 01-2021-03-0584</v>
      </c>
      <c r="C595" s="562" t="e">
        <f>VLOOKUP(L595,'Import Process ORS'!$D$4:$E$1557,2,FALSE)</f>
        <v>#N/A</v>
      </c>
      <c r="D595" s="562">
        <f>SUMIFS('Import Process ORS'!L:L,'Import Process ORS'!E:E,'DV List for import'!C595)</f>
        <v>0</v>
      </c>
      <c r="E595" t="s">
        <v>2676</v>
      </c>
      <c r="F595" t="str">
        <f>VLOOKUP(A595,'[1]MAIN-101'!$B$13:$M$787,4,FALSE)</f>
        <v>OIC, DTI-pdi</v>
      </c>
      <c r="G595" t="str">
        <f>VLOOKUP(A595,'[1]MAIN-101'!$B$13:$M$787,12,FALSE)</f>
        <v>FT(FEB-APRIL, Partial) for the implementation of OTOP NG.</v>
      </c>
      <c r="H595" s="562" t="e">
        <f>SUMIFS('[1]MAIN-101'!$Z$1:$Z$3000,'[1]MAIN-101'!$X$1:$X$3000,A595)</f>
        <v>#VALUE!</v>
      </c>
      <c r="I595" s="562" t="s">
        <v>2685</v>
      </c>
      <c r="J595" t="s">
        <v>2683</v>
      </c>
      <c r="K595" t="s">
        <v>2678</v>
      </c>
      <c r="L595" s="562" t="str">
        <f>VLOOKUP(A595,'Format for Import of DV'!$A$3:$S$1556,3,FALSE)</f>
        <v>344</v>
      </c>
      <c r="M595" s="562" t="e">
        <f>SUMIFS('Recon of ORS and DV'!D:D,'Recon of ORS and DV'!B:B,'DV List for import'!A595)</f>
        <v>#VALUE!</v>
      </c>
      <c r="N595" s="276" t="e">
        <f t="shared" si="32"/>
        <v>#VALUE!</v>
      </c>
    </row>
    <row r="596" spans="1:17">
      <c r="A596" t="s">
        <v>2659</v>
      </c>
      <c r="B596" t="str">
        <f t="shared" si="31"/>
        <v>Fund 01-2021-03-0585</v>
      </c>
      <c r="C596" s="564" t="str">
        <f>L596</f>
        <v>0000-00-0000</v>
      </c>
      <c r="D596" s="562">
        <f>SUMIFS('Import Process ORS'!L:L,'Import Process ORS'!E:E,'DV List for import'!C596)</f>
        <v>0</v>
      </c>
      <c r="E596" t="s">
        <v>2676</v>
      </c>
      <c r="F596" t="str">
        <f>VLOOKUP(A596,'[1]MAIN-101'!$B$13:$M$787,4,FALSE)</f>
        <v>GSIS</v>
      </c>
      <c r="G596" t="str">
        <f>VLOOKUP(A596,'[1]MAIN-101'!$B$13:$M$787,12,FALSE)</f>
        <v>Remittance of NC staff GSIS (ECIP) premium for the month of January 2021</v>
      </c>
      <c r="H596" s="562" t="e">
        <f>SUMIFS('[1]MAIN-101'!$Z$1:$Z$3000,'[1]MAIN-101'!$X$1:$X$3000,A596)</f>
        <v>#VALUE!</v>
      </c>
      <c r="I596" s="562" t="s">
        <v>2662</v>
      </c>
      <c r="J596" t="s">
        <v>2053</v>
      </c>
      <c r="K596" t="s">
        <v>2680</v>
      </c>
      <c r="L596" s="564" t="s">
        <v>2666</v>
      </c>
      <c r="M596" s="562">
        <f>SUMIFS('Recon of ORS and DV'!D:D,'Recon of ORS and DV'!B:B,'DV List for import'!A596)</f>
        <v>0</v>
      </c>
      <c r="N596" s="276" t="e">
        <f t="shared" si="32"/>
        <v>#VALUE!</v>
      </c>
      <c r="O596" t="s">
        <v>2662</v>
      </c>
    </row>
    <row r="597" spans="1:17">
      <c r="A597" t="s">
        <v>2365</v>
      </c>
      <c r="B597" t="str">
        <f t="shared" si="31"/>
        <v>Fund 01-2021-03-0586</v>
      </c>
      <c r="C597" s="562" t="e">
        <f>VLOOKUP(L597,'Import Process ORS'!$D$4:$E$1557,2,FALSE)</f>
        <v>#N/A</v>
      </c>
      <c r="D597" s="562">
        <f>SUMIFS('Import Process ORS'!L:L,'Import Process ORS'!E:E,'DV List for import'!C597)</f>
        <v>0</v>
      </c>
      <c r="E597" t="s">
        <v>2676</v>
      </c>
      <c r="F597" t="str">
        <f>VLOOKUP(A597,'[1]MAIN-101'!$B$13:$M$787,4,FALSE)</f>
        <v>PD, DTI-SDS</v>
      </c>
      <c r="G597" t="str">
        <f>VLOOKUP(A597,'[1]MAIN-101'!$B$13:$M$787,12,FALSE)</f>
        <v>FT for NC implementation (Feb-April 2021)</v>
      </c>
      <c r="H597" s="562" t="e">
        <f>SUMIFS('[1]MAIN-101'!$Z$1:$Z$3000,'[1]MAIN-101'!$X$1:$X$3000,A597)</f>
        <v>#VALUE!</v>
      </c>
      <c r="I597" s="562" t="s">
        <v>2685</v>
      </c>
      <c r="J597" t="s">
        <v>2683</v>
      </c>
      <c r="K597" t="s">
        <v>2678</v>
      </c>
      <c r="L597" s="562" t="str">
        <f>VLOOKUP(A597,'Format for Import of DV'!$A$3:$S$1556,3,FALSE)</f>
        <v>345</v>
      </c>
      <c r="M597" s="562" t="e">
        <f>SUMIFS('Recon of ORS and DV'!D:D,'Recon of ORS and DV'!B:B,'DV List for import'!A597)</f>
        <v>#VALUE!</v>
      </c>
      <c r="N597" s="276" t="e">
        <f t="shared" si="32"/>
        <v>#VALUE!</v>
      </c>
    </row>
    <row r="598" spans="1:17">
      <c r="A598" t="s">
        <v>2366</v>
      </c>
      <c r="B598" t="str">
        <f t="shared" si="31"/>
        <v>Fund 01-2021-03-0587</v>
      </c>
      <c r="C598" s="562" t="e">
        <f>VLOOKUP(L598,'Import Process ORS'!$D$4:$E$1557,2,FALSE)</f>
        <v>#N/A</v>
      </c>
      <c r="D598" s="562">
        <f>SUMIFS('Import Process ORS'!L:L,'Import Process ORS'!E:E,'DV List for import'!C598)</f>
        <v>0</v>
      </c>
      <c r="E598" t="s">
        <v>2676</v>
      </c>
      <c r="F598" t="str">
        <f>VLOOKUP(A598,'[1]MAIN-101'!$B$13:$M$787,4,FALSE)</f>
        <v>PD, DTI-AD N</v>
      </c>
      <c r="G598" t="str">
        <f>VLOOKUP(A598,'[1]MAIN-101'!$B$13:$M$787,12,FALSE)</f>
        <v>Advances to IDD Regular MOOE-OO2 2021-2nd and 3rd quarter 2021</v>
      </c>
      <c r="H598" s="562" t="e">
        <f>SUMIFS('[1]MAIN-101'!$Z$1:$Z$3000,'[1]MAIN-101'!$X$1:$X$3000,A598)</f>
        <v>#VALUE!</v>
      </c>
      <c r="I598" s="562" t="s">
        <v>2685</v>
      </c>
      <c r="J598" t="s">
        <v>2683</v>
      </c>
      <c r="K598" t="s">
        <v>2678</v>
      </c>
      <c r="L598" s="562" t="str">
        <f>VLOOKUP(A598,'Format for Import of DV'!$A$3:$S$1556,3,FALSE)</f>
        <v>346</v>
      </c>
      <c r="M598" s="562" t="e">
        <f>SUMIFS('Recon of ORS and DV'!D:D,'Recon of ORS and DV'!B:B,'DV List for import'!A598)</f>
        <v>#VALUE!</v>
      </c>
      <c r="N598" s="276" t="e">
        <f t="shared" si="32"/>
        <v>#VALUE!</v>
      </c>
    </row>
    <row r="599" spans="1:17">
      <c r="A599" t="s">
        <v>2367</v>
      </c>
      <c r="B599" t="str">
        <f t="shared" si="31"/>
        <v>Fund 01-2021-03-0588</v>
      </c>
      <c r="C599" s="562" t="e">
        <f>VLOOKUP(L599,'Import Process ORS'!$D$4:$E$1557,2,FALSE)</f>
        <v>#N/A</v>
      </c>
      <c r="D599" s="562">
        <f>SUMIFS('Import Process ORS'!L:L,'Import Process ORS'!E:E,'DV List for import'!C599)</f>
        <v>0</v>
      </c>
      <c r="E599" t="s">
        <v>2676</v>
      </c>
      <c r="F599" t="str">
        <f>VLOOKUP(A599,'[1]MAIN-101'!$B$13:$M$787,4,FALSE)</f>
        <v>PD, DTI-SDN</v>
      </c>
      <c r="G599" t="str">
        <f>VLOOKUP(A599,'[1]MAIN-101'!$B$13:$M$787,12,FALSE)</f>
        <v>Advances to IDD Regular MOOE-OO2 2021-2nd and 3rd quarter 2021</v>
      </c>
      <c r="H599" s="562" t="e">
        <f>SUMIFS('[1]MAIN-101'!$Z$1:$Z$3000,'[1]MAIN-101'!$X$1:$X$3000,A599)</f>
        <v>#VALUE!</v>
      </c>
      <c r="I599" s="562" t="s">
        <v>2685</v>
      </c>
      <c r="J599" t="s">
        <v>2683</v>
      </c>
      <c r="K599" t="s">
        <v>2678</v>
      </c>
      <c r="L599" s="562" t="str">
        <f>VLOOKUP(A599,'Format for Import of DV'!$A$3:$S$1556,3,FALSE)</f>
        <v>347</v>
      </c>
      <c r="M599" s="562" t="e">
        <f>SUMIFS('Recon of ORS and DV'!D:D,'Recon of ORS and DV'!B:B,'DV List for import'!A599)</f>
        <v>#VALUE!</v>
      </c>
      <c r="N599" s="276" t="e">
        <f t="shared" si="32"/>
        <v>#VALUE!</v>
      </c>
    </row>
    <row r="600" spans="1:17">
      <c r="A600" t="s">
        <v>2368</v>
      </c>
      <c r="B600" t="str">
        <f t="shared" si="31"/>
        <v>Fund 01-2021-03-0589</v>
      </c>
      <c r="C600" s="562" t="e">
        <f>VLOOKUP(L600,'Import Process ORS'!$D$4:$E$1557,2,FALSE)</f>
        <v>#N/A</v>
      </c>
      <c r="D600" s="562">
        <f>SUMIFS('Import Process ORS'!L:L,'Import Process ORS'!E:E,'DV List for import'!C600)</f>
        <v>0</v>
      </c>
      <c r="E600" t="s">
        <v>2676</v>
      </c>
      <c r="F600" t="str">
        <f>VLOOKUP(A600,'[1]MAIN-101'!$B$13:$M$787,4,FALSE)</f>
        <v>OIC, DTI-PDI</v>
      </c>
      <c r="G600" t="str">
        <f>VLOOKUP(A600,'[1]MAIN-101'!$B$13:$M$787,12,FALSE)</f>
        <v>Advances to IDD Regular MOOE-OO2 2021-2nd and 3rd quarter 2021</v>
      </c>
      <c r="H600" s="562" t="e">
        <f>SUMIFS('[1]MAIN-101'!$Z$1:$Z$3000,'[1]MAIN-101'!$X$1:$X$3000,A600)</f>
        <v>#VALUE!</v>
      </c>
      <c r="I600" s="562" t="s">
        <v>2685</v>
      </c>
      <c r="J600" t="s">
        <v>2683</v>
      </c>
      <c r="K600" t="s">
        <v>2678</v>
      </c>
      <c r="L600" s="562" t="str">
        <f>VLOOKUP(A600,'Format for Import of DV'!$A$3:$S$1556,3,FALSE)</f>
        <v>348</v>
      </c>
      <c r="M600" s="562" t="e">
        <f>SUMIFS('Recon of ORS and DV'!D:D,'Recon of ORS and DV'!B:B,'DV List for import'!A600)</f>
        <v>#VALUE!</v>
      </c>
      <c r="N600" s="276" t="e">
        <f t="shared" si="32"/>
        <v>#VALUE!</v>
      </c>
    </row>
    <row r="601" spans="1:17">
      <c r="A601" t="s">
        <v>2369</v>
      </c>
      <c r="B601" t="str">
        <f t="shared" si="31"/>
        <v>Fund 01-2021-03-0590</v>
      </c>
      <c r="C601" s="562" t="e">
        <f>VLOOKUP(L601,'Import Process ORS'!$D$4:$E$1557,2,FALSE)</f>
        <v>#N/A</v>
      </c>
      <c r="D601" s="562">
        <f>SUMIFS('Import Process ORS'!L:L,'Import Process ORS'!E:E,'DV List for import'!C601)</f>
        <v>0</v>
      </c>
      <c r="E601" t="s">
        <v>2676</v>
      </c>
      <c r="F601" t="str">
        <f>VLOOKUP(A601,'[1]MAIN-101'!$B$13:$M$787,4,FALSE)</f>
        <v>PD, DTI-SDS</v>
      </c>
      <c r="G601" t="str">
        <f>VLOOKUP(A601,'[1]MAIN-101'!$B$13:$M$787,12,FALSE)</f>
        <v>FT for LSP-NSB implementation for 1ST quarter, 2021.</v>
      </c>
      <c r="H601" s="562" t="e">
        <f>SUMIFS('[1]MAIN-101'!$Z$1:$Z$3000,'[1]MAIN-101'!$X$1:$X$3000,A601)</f>
        <v>#VALUE!</v>
      </c>
      <c r="I601" s="562" t="s">
        <v>2685</v>
      </c>
      <c r="J601" t="s">
        <v>2683</v>
      </c>
      <c r="K601" t="s">
        <v>2678</v>
      </c>
      <c r="L601" s="562" t="str">
        <f>VLOOKUP(A601,'Format for Import of DV'!$A$3:$S$1556,3,FALSE)</f>
        <v>349</v>
      </c>
      <c r="M601" s="562" t="e">
        <f>SUMIFS('Recon of ORS and DV'!D:D,'Recon of ORS and DV'!B:B,'DV List for import'!A601)</f>
        <v>#VALUE!</v>
      </c>
      <c r="N601" s="276" t="e">
        <f t="shared" si="32"/>
        <v>#VALUE!</v>
      </c>
    </row>
    <row r="602" spans="1:17">
      <c r="A602" t="s">
        <v>2370</v>
      </c>
      <c r="B602" t="str">
        <f t="shared" si="31"/>
        <v>Fund 01-2021-03-0591</v>
      </c>
      <c r="C602" s="562" t="e">
        <f>VLOOKUP(L602,'Import Process ORS'!$D$4:$E$1557,2,FALSE)</f>
        <v>#N/A</v>
      </c>
      <c r="D602" s="562">
        <f>SUMIFS('Import Process ORS'!L:L,'Import Process ORS'!E:E,'DV List for import'!C602)</f>
        <v>0</v>
      </c>
      <c r="E602" t="s">
        <v>2676</v>
      </c>
      <c r="F602" t="str">
        <f>VLOOKUP(A602,'[1]MAIN-101'!$B$13:$M$787,4,FALSE)</f>
        <v>PD, DTI-SDS</v>
      </c>
      <c r="G602" t="str">
        <f>VLOOKUP(A602,'[1]MAIN-101'!$B$13:$M$787,12,FALSE)</f>
        <v>Advances to the SSF MOOE-1st quarter 2021, 2nd and 3rd quarter 2021</v>
      </c>
      <c r="H602" s="562" t="e">
        <f>SUMIFS('[1]MAIN-101'!$Z$1:$Z$3000,'[1]MAIN-101'!$X$1:$X$3000,A602)</f>
        <v>#VALUE!</v>
      </c>
      <c r="I602" s="562" t="s">
        <v>2685</v>
      </c>
      <c r="J602" t="s">
        <v>2683</v>
      </c>
      <c r="K602" t="s">
        <v>2678</v>
      </c>
      <c r="L602" s="562" t="str">
        <f>VLOOKUP(A602,'Format for Import of DV'!$A$3:$S$1556,3,FALSE)</f>
        <v>350</v>
      </c>
      <c r="M602" s="562" t="e">
        <f>SUMIFS('Recon of ORS and DV'!D:D,'Recon of ORS and DV'!B:B,'DV List for import'!A602)</f>
        <v>#VALUE!</v>
      </c>
      <c r="N602" s="276" t="e">
        <f t="shared" si="32"/>
        <v>#VALUE!</v>
      </c>
    </row>
    <row r="603" spans="1:17">
      <c r="A603" t="s">
        <v>2660</v>
      </c>
      <c r="B603" t="str">
        <f t="shared" si="31"/>
        <v>Fund 01-2021-03-0592</v>
      </c>
      <c r="C603" s="564" t="str">
        <f>L603</f>
        <v>0000-00-0000</v>
      </c>
      <c r="D603" s="562">
        <f>SUMIFS('Import Process ORS'!L:L,'Import Process ORS'!E:E,'DV List for import'!C603)</f>
        <v>0</v>
      </c>
      <c r="E603" t="s">
        <v>2676</v>
      </c>
      <c r="F603" t="str">
        <f>VLOOKUP(A603,'[1]MAIN-101'!$B$13:$M$787,4,FALSE)</f>
        <v>Megamight Enterprises</v>
      </c>
      <c r="G603" t="str">
        <f>VLOOKUP(A603,'[1]MAIN-101'!$B$13:$M$787,12,FALSE)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H603" s="562" t="e">
        <f>SUMIFS('[1]MAIN-101'!$Z$1:$Z$3000,'[1]MAIN-101'!$X$1:$X$3000,A603)</f>
        <v>#VALUE!</v>
      </c>
      <c r="I603" s="562" t="s">
        <v>392</v>
      </c>
      <c r="J603" t="s">
        <v>2681</v>
      </c>
      <c r="K603" t="s">
        <v>2679</v>
      </c>
      <c r="L603" s="564" t="s">
        <v>2666</v>
      </c>
      <c r="M603" s="562">
        <f>SUMIFS('Recon of ORS and DV'!D:D,'Recon of ORS and DV'!B:B,'DV List for import'!A603)</f>
        <v>0</v>
      </c>
      <c r="N603" s="276" t="e">
        <f t="shared" si="32"/>
        <v>#VALUE!</v>
      </c>
      <c r="O603" t="s">
        <v>392</v>
      </c>
      <c r="P603" t="str">
        <f>VLOOKUP(A603,'[1]MAIN-101'!$B$8:$D$783,2,FALSE)</f>
        <v>12</v>
      </c>
      <c r="Q603" t="str">
        <f>VLOOKUP(A603,'[1]MAIN-101'!$B$8:$D$783,3,FALSE)</f>
        <v>1851</v>
      </c>
    </row>
    <row r="604" spans="1:17">
      <c r="A604" t="s">
        <v>2661</v>
      </c>
      <c r="B604" t="str">
        <f t="shared" si="31"/>
        <v>Fund 01-2021-03-0593</v>
      </c>
      <c r="C604" s="564" t="str">
        <f>L604</f>
        <v>0000-00-0000</v>
      </c>
      <c r="D604" s="562">
        <f>SUMIFS('Import Process ORS'!L:L,'Import Process ORS'!E:E,'DV List for import'!C604)</f>
        <v>0</v>
      </c>
      <c r="E604" t="s">
        <v>2676</v>
      </c>
      <c r="F604" t="str">
        <f>VLOOKUP(A604,'[1]MAIN-101'!$B$13:$M$787,4,FALSE)</f>
        <v>MDBF</v>
      </c>
      <c r="G604" t="str">
        <f>VLOOKUP(A604,'[1]MAIN-101'!$B$13:$M$787,12,FALSE)</f>
        <v>Additional remittance for NC staff for the month of February 2021</v>
      </c>
      <c r="H604" s="562" t="e">
        <f>SUMIFS('[1]MAIN-101'!$Z$1:$Z$3000,'[1]MAIN-101'!$X$1:$X$3000,A604)</f>
        <v>#VALUE!</v>
      </c>
      <c r="I604" s="562" t="s">
        <v>2662</v>
      </c>
      <c r="J604" t="s">
        <v>2053</v>
      </c>
      <c r="K604" t="s">
        <v>2680</v>
      </c>
      <c r="L604" s="564" t="s">
        <v>2666</v>
      </c>
      <c r="M604" s="562">
        <f>SUMIFS('Recon of ORS and DV'!D:D,'Recon of ORS and DV'!B:B,'DV List for import'!A604)</f>
        <v>0</v>
      </c>
      <c r="N604" s="276" t="e">
        <f t="shared" si="32"/>
        <v>#VALUE!</v>
      </c>
      <c r="O604" t="s">
        <v>2662</v>
      </c>
    </row>
    <row r="605" spans="1:17">
      <c r="A605" t="s">
        <v>2371</v>
      </c>
      <c r="B605" t="str">
        <f t="shared" si="31"/>
        <v>Fund 01-2021-03-0594</v>
      </c>
      <c r="C605" s="562" t="e">
        <f>VLOOKUP(L605,'Import Process ORS'!$D$4:$E$1557,2,FALSE)</f>
        <v>#N/A</v>
      </c>
      <c r="D605" s="562">
        <f>SUMIFS('Import Process ORS'!L:L,'Import Process ORS'!E:E,'DV List for import'!C605)</f>
        <v>0</v>
      </c>
      <c r="E605" t="s">
        <v>2676</v>
      </c>
      <c r="F605" t="str">
        <f>VLOOKUP(A605,'[1]MAIN-101'!$B$13:$M$787,4,FALSE)</f>
        <v>Globe Telecom, Inc</v>
      </c>
      <c r="G605" t="str">
        <f>VLOOKUP(A605,'[1]MAIN-101'!$B$13:$M$787,12,FALSE)</f>
        <v>Payment for globe plan subscription for the Feb 13,- March 12, 2021 with cp no. 09177054627</v>
      </c>
      <c r="H605" s="562" t="e">
        <f>SUMIFS('[1]MAIN-101'!$Z$1:$Z$3000,'[1]MAIN-101'!$X$1:$X$3000,A605)</f>
        <v>#VALUE!</v>
      </c>
      <c r="I605" s="562" t="s">
        <v>2687</v>
      </c>
      <c r="J605" t="s">
        <v>2683</v>
      </c>
      <c r="K605" t="s">
        <v>2678</v>
      </c>
      <c r="L605" s="562" t="str">
        <f>VLOOKUP(A605,'Format for Import of DV'!$A$3:$S$1556,3,FALSE)</f>
        <v>351</v>
      </c>
      <c r="M605" s="562" t="e">
        <f>SUMIFS('Recon of ORS and DV'!D:D,'Recon of ORS and DV'!B:B,'DV List for import'!A605)</f>
        <v>#VALUE!</v>
      </c>
      <c r="N605" s="276" t="e">
        <f t="shared" si="32"/>
        <v>#VALUE!</v>
      </c>
    </row>
    <row r="606" spans="1:17">
      <c r="A606" t="s">
        <v>2372</v>
      </c>
      <c r="B606" t="str">
        <f t="shared" si="31"/>
        <v>Fund 01-2021-03-0595</v>
      </c>
      <c r="C606" s="562" t="e">
        <f>VLOOKUP(L606,'Import Process ORS'!$D$4:$E$1557,2,FALSE)</f>
        <v>#N/A</v>
      </c>
      <c r="D606" s="562">
        <f>SUMIFS('Import Process ORS'!L:L,'Import Process ORS'!E:E,'DV List for import'!C606)</f>
        <v>0</v>
      </c>
      <c r="E606" t="s">
        <v>2676</v>
      </c>
      <c r="F606" t="str">
        <f>VLOOKUP(A606,'[1]MAIN-101'!$B$13:$M$787,4,FALSE)</f>
        <v>Edwin O. Banquerigo</v>
      </c>
      <c r="G606" t="str">
        <f>VLOOKUP(A606,'[1]MAIN-101'!$B$13:$M$787,12,FALSE)</f>
        <v>Reimbursement Quarter allowance for the period Dec 15- March 15, 2021.</v>
      </c>
      <c r="H606" s="562" t="e">
        <f>SUMIFS('[1]MAIN-101'!$Z$1:$Z$3000,'[1]MAIN-101'!$X$1:$X$3000,A606)</f>
        <v>#VALUE!</v>
      </c>
      <c r="I606" s="562" t="s">
        <v>2687</v>
      </c>
      <c r="J606" t="s">
        <v>2683</v>
      </c>
      <c r="K606" t="s">
        <v>2678</v>
      </c>
      <c r="L606" s="562" t="str">
        <f>VLOOKUP(A606,'Format for Import of DV'!$A$3:$S$1556,3,FALSE)</f>
        <v>352</v>
      </c>
      <c r="M606" s="562" t="e">
        <f>SUMIFS('Recon of ORS and DV'!D:D,'Recon of ORS and DV'!B:B,'DV List for import'!A606)</f>
        <v>#VALUE!</v>
      </c>
      <c r="N606" s="276" t="e">
        <f t="shared" si="32"/>
        <v>#VALUE!</v>
      </c>
    </row>
    <row r="607" spans="1:17">
      <c r="A607" t="s">
        <v>2373</v>
      </c>
      <c r="B607" t="str">
        <f t="shared" si="31"/>
        <v>Fund 01-2021-03-0596</v>
      </c>
      <c r="C607" s="562" t="e">
        <f>VLOOKUP(L607,'Import Process ORS'!$D$4:$E$1557,2,FALSE)</f>
        <v>#N/A</v>
      </c>
      <c r="D607" s="562">
        <f>SUMIFS('Import Process ORS'!L:L,'Import Process ORS'!E:E,'DV List for import'!C607)</f>
        <v>0</v>
      </c>
      <c r="E607" t="s">
        <v>2676</v>
      </c>
      <c r="F607" t="str">
        <f>VLOOKUP(A607,'[1]MAIN-101'!$B$13:$M$787,4,FALSE)</f>
        <v>Elynur H. Gambet-Minglana</v>
      </c>
      <c r="G607" t="str">
        <f>VLOOKUP(A607,'[1]MAIN-101'!$B$13:$M$787,12,FALSE)</f>
        <v>Reimb. Load allowance for Nov, 2020- March 23, 2021</v>
      </c>
      <c r="H607" s="562" t="e">
        <f>SUMIFS('[1]MAIN-101'!$Z$1:$Z$3000,'[1]MAIN-101'!$X$1:$X$3000,A607)</f>
        <v>#VALUE!</v>
      </c>
      <c r="I607" s="562" t="s">
        <v>2687</v>
      </c>
      <c r="J607" t="s">
        <v>2683</v>
      </c>
      <c r="K607" t="s">
        <v>2678</v>
      </c>
      <c r="L607" s="562" t="str">
        <f>VLOOKUP(A607,'Format for Import of DV'!$A$3:$S$1556,3,FALSE)</f>
        <v>353</v>
      </c>
      <c r="M607" s="562" t="e">
        <f>SUMIFS('Recon of ORS and DV'!D:D,'Recon of ORS and DV'!B:B,'DV List for import'!A607)</f>
        <v>#VALUE!</v>
      </c>
      <c r="N607" s="276" t="e">
        <f t="shared" si="32"/>
        <v>#VALUE!</v>
      </c>
    </row>
  </sheetData>
  <autoFilter ref="A3:R607" xr:uid="{00000000-0009-0000-0000-000009000000}"/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954E8-3203-423D-85B1-301EB5BBD121}">
  <sheetPr>
    <pageSetUpPr fitToPage="1"/>
  </sheetPr>
  <dimension ref="A1:O56"/>
  <sheetViews>
    <sheetView topLeftCell="C1" zoomScale="85" zoomScaleNormal="85" workbookViewId="0">
      <pane ySplit="3" topLeftCell="A4" activePane="bottomLeft" state="frozen"/>
      <selection pane="bottomLeft" activeCell="K4" sqref="K4"/>
    </sheetView>
  </sheetViews>
  <sheetFormatPr defaultRowHeight="14.4"/>
  <cols>
    <col min="1" max="1" width="26" bestFit="1" customWidth="1"/>
    <col min="2" max="2" width="11.5546875" customWidth="1"/>
    <col min="3" max="3" width="15.5546875" bestFit="1" customWidth="1"/>
    <col min="4" max="4" width="11.109375" bestFit="1" customWidth="1"/>
    <col min="5" max="5" width="15.109375" customWidth="1"/>
    <col min="6" max="6" width="9.6640625" customWidth="1"/>
    <col min="7" max="7" width="9.6640625" style="281" customWidth="1"/>
    <col min="8" max="8" width="15.109375" style="281" customWidth="1"/>
    <col min="9" max="9" width="40.88671875" bestFit="1" customWidth="1"/>
    <col min="10" max="10" width="14.33203125" style="297" bestFit="1" customWidth="1"/>
    <col min="11" max="11" width="14.6640625" customWidth="1"/>
    <col min="12" max="12" width="14.33203125" bestFit="1" customWidth="1"/>
    <col min="13" max="13" width="10.88671875" style="281" customWidth="1"/>
    <col min="14" max="14" width="16.44140625" bestFit="1" customWidth="1"/>
    <col min="15" max="15" width="39.33203125" bestFit="1" customWidth="1"/>
  </cols>
  <sheetData>
    <row r="1" spans="1:15" ht="31.2">
      <c r="A1" s="295" t="s">
        <v>935</v>
      </c>
      <c r="K1" s="415">
        <f>SUBTOTAL(9,K4:K64)</f>
        <v>45075472.159999996</v>
      </c>
    </row>
    <row r="2" spans="1:15">
      <c r="A2" s="537">
        <v>1</v>
      </c>
      <c r="B2" s="536">
        <v>2</v>
      </c>
      <c r="C2" s="536">
        <v>3</v>
      </c>
      <c r="D2" s="536">
        <v>4</v>
      </c>
      <c r="E2" s="536">
        <v>5</v>
      </c>
      <c r="F2" s="536">
        <v>6</v>
      </c>
      <c r="G2" s="537">
        <v>7</v>
      </c>
      <c r="H2" s="536">
        <v>8</v>
      </c>
      <c r="I2" s="536">
        <v>9</v>
      </c>
      <c r="J2" s="536">
        <v>10</v>
      </c>
      <c r="K2" s="302">
        <v>11</v>
      </c>
      <c r="L2" s="302">
        <v>12</v>
      </c>
      <c r="M2" s="536">
        <v>13</v>
      </c>
      <c r="N2" s="536">
        <v>14</v>
      </c>
      <c r="O2" s="536">
        <v>15</v>
      </c>
    </row>
    <row r="3" spans="1:15" ht="31.5" customHeight="1">
      <c r="A3" s="294" t="s">
        <v>875</v>
      </c>
      <c r="B3" s="294" t="s">
        <v>873</v>
      </c>
      <c r="C3" s="294" t="s">
        <v>882</v>
      </c>
      <c r="D3" s="294" t="s">
        <v>886</v>
      </c>
      <c r="E3" s="294" t="s">
        <v>874</v>
      </c>
      <c r="F3" s="294" t="s">
        <v>875</v>
      </c>
      <c r="G3" s="294" t="s">
        <v>889</v>
      </c>
      <c r="H3" s="294" t="s">
        <v>879</v>
      </c>
      <c r="I3" s="294" t="s">
        <v>880</v>
      </c>
      <c r="J3" s="299" t="s">
        <v>876</v>
      </c>
      <c r="K3" s="294" t="s">
        <v>877</v>
      </c>
      <c r="L3" s="294" t="s">
        <v>878</v>
      </c>
      <c r="M3" s="294" t="s">
        <v>922</v>
      </c>
      <c r="N3" s="294" t="s">
        <v>885</v>
      </c>
      <c r="O3" s="294" t="s">
        <v>930</v>
      </c>
    </row>
    <row r="4" spans="1:15">
      <c r="A4" t="str">
        <f>CONCATENATE(B4,"-",D4,"-",G4,"-",F4)</f>
        <v>GAA-GAS(GMS)-PS-GOP</v>
      </c>
      <c r="B4" t="s">
        <v>881</v>
      </c>
      <c r="C4" t="s">
        <v>883</v>
      </c>
      <c r="D4" t="s">
        <v>892</v>
      </c>
      <c r="E4" s="296" t="s">
        <v>887</v>
      </c>
      <c r="F4" t="s">
        <v>888</v>
      </c>
      <c r="G4" s="281" t="s">
        <v>12</v>
      </c>
      <c r="H4" s="281">
        <v>5010000000</v>
      </c>
      <c r="I4" t="s">
        <v>890</v>
      </c>
      <c r="J4" s="297">
        <v>20425000</v>
      </c>
      <c r="K4" s="401">
        <f>SUMIFS('Revised RAO'!Q:Q,'Revised RAO'!H:H,'Fund Utilization Report'!A4)</f>
        <v>5749986.5999999996</v>
      </c>
      <c r="L4" s="298">
        <f>J4-K4</f>
        <v>14675013.4</v>
      </c>
      <c r="M4" s="281" t="s">
        <v>12</v>
      </c>
      <c r="N4" t="s">
        <v>884</v>
      </c>
      <c r="O4" t="s">
        <v>931</v>
      </c>
    </row>
    <row r="5" spans="1:15">
      <c r="A5" t="str">
        <f>CONCATENATE(B5,"-",D5,"-",G5,"-",F5)</f>
        <v>GAA-GAS(GMS)-MOOE-GOP</v>
      </c>
      <c r="B5" t="s">
        <v>881</v>
      </c>
      <c r="C5" t="s">
        <v>883</v>
      </c>
      <c r="D5" t="s">
        <v>892</v>
      </c>
      <c r="E5" s="296" t="s">
        <v>887</v>
      </c>
      <c r="F5" t="s">
        <v>888</v>
      </c>
      <c r="G5" s="281" t="s">
        <v>13</v>
      </c>
      <c r="H5" s="281">
        <v>5020000000</v>
      </c>
      <c r="I5" t="s">
        <v>891</v>
      </c>
      <c r="J5" s="297">
        <v>11251000</v>
      </c>
      <c r="K5" s="401">
        <f>SUMIFS('Revised RAO'!Q:Q,'Revised RAO'!H:H,'Fund Utilization Report'!A5)</f>
        <v>4945845.7000000011</v>
      </c>
      <c r="L5" s="298">
        <f>J5-K5</f>
        <v>6305154.2999999989</v>
      </c>
      <c r="M5" s="281" t="s">
        <v>13</v>
      </c>
      <c r="N5" t="s">
        <v>884</v>
      </c>
      <c r="O5" t="s">
        <v>931</v>
      </c>
    </row>
    <row r="6" spans="1:15">
      <c r="A6" t="str">
        <f>CONCATENATE(B6,"-",D6,"-",G6,"-",F6)</f>
        <v>GAA-GAS(GMS)-RLIP-GOP</v>
      </c>
      <c r="B6" t="s">
        <v>881</v>
      </c>
      <c r="C6" t="s">
        <v>883</v>
      </c>
      <c r="D6" t="s">
        <v>892</v>
      </c>
      <c r="E6" s="296" t="s">
        <v>887</v>
      </c>
      <c r="F6" t="s">
        <v>888</v>
      </c>
      <c r="G6" s="281" t="s">
        <v>928</v>
      </c>
      <c r="H6" s="281" t="s">
        <v>929</v>
      </c>
      <c r="I6" t="s">
        <v>528</v>
      </c>
      <c r="J6" s="297">
        <v>1872000</v>
      </c>
      <c r="K6" s="401">
        <f>SUMIFS('Revised RAO'!Q:Q,'Revised RAO'!H:H,'Fund Utilization Report'!A6)</f>
        <v>588593.15999999992</v>
      </c>
      <c r="L6" s="298">
        <f>J6-K6</f>
        <v>1283406.8400000001</v>
      </c>
      <c r="M6" s="281" t="s">
        <v>12</v>
      </c>
      <c r="N6" t="s">
        <v>884</v>
      </c>
      <c r="O6" t="s">
        <v>931</v>
      </c>
    </row>
    <row r="7" spans="1:15">
      <c r="A7" t="str">
        <f>CONCATENATE(B7,"-",D7,"-",G7,"-",F7)</f>
        <v>GAA-GAS(ABP)-742-GOP</v>
      </c>
      <c r="B7" t="s">
        <v>881</v>
      </c>
      <c r="C7" t="s">
        <v>883</v>
      </c>
      <c r="D7" t="s">
        <v>893</v>
      </c>
      <c r="E7" s="296" t="s">
        <v>887</v>
      </c>
      <c r="F7" t="s">
        <v>888</v>
      </c>
      <c r="G7" s="281">
        <v>742</v>
      </c>
      <c r="H7" s="281">
        <v>5010403001</v>
      </c>
      <c r="I7" t="s">
        <v>547</v>
      </c>
      <c r="J7" s="297">
        <v>2043000</v>
      </c>
      <c r="K7" s="401">
        <f>SUMIFS('Revised RAO'!Q:Q,'Revised RAO'!H:H,'Fund Utilization Report'!A7)</f>
        <v>0</v>
      </c>
      <c r="L7" s="298">
        <f t="shared" ref="L7:L43" si="0">J7-K7</f>
        <v>2043000</v>
      </c>
      <c r="M7" s="281" t="s">
        <v>12</v>
      </c>
      <c r="N7" t="s">
        <v>884</v>
      </c>
      <c r="O7" t="s">
        <v>932</v>
      </c>
    </row>
    <row r="8" spans="1:15">
      <c r="A8" t="str">
        <f t="shared" ref="A8:A56" si="1">CONCATENATE(B8,"-",D8,"-",G8,"-",F8)</f>
        <v>GAA-OO1-PS-GOP</v>
      </c>
      <c r="B8" t="s">
        <v>881</v>
      </c>
      <c r="C8" t="s">
        <v>883</v>
      </c>
      <c r="D8" t="s">
        <v>894</v>
      </c>
      <c r="E8" s="296" t="s">
        <v>887</v>
      </c>
      <c r="F8" t="s">
        <v>888</v>
      </c>
      <c r="G8" s="281" t="s">
        <v>12</v>
      </c>
      <c r="H8" s="281">
        <v>5010000000</v>
      </c>
      <c r="I8" t="s">
        <v>890</v>
      </c>
      <c r="J8" s="297">
        <v>6704000</v>
      </c>
      <c r="K8" s="401">
        <f>SUMIFS('Revised RAO'!Q:Q,'Revised RAO'!H:H,'Fund Utilization Report'!A8)</f>
        <v>2317077.36</v>
      </c>
      <c r="L8" s="298">
        <f t="shared" si="0"/>
        <v>4386922.6400000006</v>
      </c>
      <c r="M8" s="281" t="s">
        <v>12</v>
      </c>
      <c r="N8" t="s">
        <v>895</v>
      </c>
      <c r="O8" t="s">
        <v>896</v>
      </c>
    </row>
    <row r="9" spans="1:15">
      <c r="A9" t="str">
        <f t="shared" si="1"/>
        <v>GAA-OO1-MOOE-GOP</v>
      </c>
      <c r="B9" t="s">
        <v>881</v>
      </c>
      <c r="C9" t="s">
        <v>883</v>
      </c>
      <c r="D9" t="s">
        <v>894</v>
      </c>
      <c r="E9" s="296" t="s">
        <v>887</v>
      </c>
      <c r="F9" t="s">
        <v>888</v>
      </c>
      <c r="G9" s="281" t="s">
        <v>13</v>
      </c>
      <c r="H9" s="281">
        <v>5020000000</v>
      </c>
      <c r="I9" t="s">
        <v>891</v>
      </c>
      <c r="J9" s="297">
        <v>3219000</v>
      </c>
      <c r="K9" s="401">
        <f>SUMIFS('Revised RAO'!Q:Q,'Revised RAO'!H:H,'Fund Utilization Report'!A9)</f>
        <v>1053444.1599999999</v>
      </c>
      <c r="L9" s="298">
        <f t="shared" si="0"/>
        <v>2165555.84</v>
      </c>
      <c r="M9" s="281" t="s">
        <v>13</v>
      </c>
      <c r="N9" t="s">
        <v>895</v>
      </c>
      <c r="O9" t="s">
        <v>896</v>
      </c>
    </row>
    <row r="10" spans="1:15">
      <c r="A10" t="str">
        <f t="shared" si="1"/>
        <v>GAA-OO1-RLIP-GOP</v>
      </c>
      <c r="B10" t="s">
        <v>881</v>
      </c>
      <c r="C10" t="s">
        <v>883</v>
      </c>
      <c r="D10" t="s">
        <v>894</v>
      </c>
      <c r="E10" s="296" t="s">
        <v>887</v>
      </c>
      <c r="F10" t="s">
        <v>888</v>
      </c>
      <c r="G10" s="281" t="s">
        <v>928</v>
      </c>
      <c r="H10" s="281" t="s">
        <v>929</v>
      </c>
      <c r="I10" t="s">
        <v>528</v>
      </c>
      <c r="J10" s="297">
        <v>638000</v>
      </c>
      <c r="K10" s="401">
        <f>SUMIFS('Revised RAO'!Q:Q,'Revised RAO'!H:H,'Fund Utilization Report'!A10)</f>
        <v>255629.4</v>
      </c>
      <c r="L10" s="298">
        <f t="shared" si="0"/>
        <v>382370.6</v>
      </c>
      <c r="M10" s="281" t="s">
        <v>12</v>
      </c>
      <c r="N10" t="s">
        <v>895</v>
      </c>
      <c r="O10" t="s">
        <v>896</v>
      </c>
    </row>
    <row r="11" spans="1:15">
      <c r="A11" t="str">
        <f t="shared" si="1"/>
        <v>GAA-OO2-PS-GOP</v>
      </c>
      <c r="B11" t="s">
        <v>881</v>
      </c>
      <c r="C11" t="s">
        <v>883</v>
      </c>
      <c r="D11" t="s">
        <v>897</v>
      </c>
      <c r="E11" s="296" t="s">
        <v>887</v>
      </c>
      <c r="F11" t="s">
        <v>888</v>
      </c>
      <c r="G11" s="281" t="s">
        <v>12</v>
      </c>
      <c r="H11" s="281">
        <v>5010000000</v>
      </c>
      <c r="I11" t="s">
        <v>890</v>
      </c>
      <c r="J11" s="297">
        <v>8859000</v>
      </c>
      <c r="K11" s="401">
        <f>SUMIFS('Revised RAO'!Q:Q,'Revised RAO'!H:H,'Fund Utilization Report'!A11)</f>
        <v>1590983.5799999998</v>
      </c>
      <c r="L11" s="298">
        <f t="shared" si="0"/>
        <v>7268016.4199999999</v>
      </c>
      <c r="M11" s="281" t="s">
        <v>12</v>
      </c>
      <c r="N11" t="s">
        <v>899</v>
      </c>
      <c r="O11" t="s">
        <v>900</v>
      </c>
    </row>
    <row r="12" spans="1:15">
      <c r="A12" t="str">
        <f t="shared" si="1"/>
        <v>GAA-OO2-MOOE-GOP</v>
      </c>
      <c r="B12" t="s">
        <v>881</v>
      </c>
      <c r="C12" t="s">
        <v>883</v>
      </c>
      <c r="D12" t="s">
        <v>897</v>
      </c>
      <c r="E12" s="296" t="s">
        <v>887</v>
      </c>
      <c r="F12" t="s">
        <v>888</v>
      </c>
      <c r="G12" s="281" t="s">
        <v>13</v>
      </c>
      <c r="H12" s="281">
        <v>5020000000</v>
      </c>
      <c r="I12" t="s">
        <v>891</v>
      </c>
      <c r="J12" s="297">
        <v>4712000</v>
      </c>
      <c r="K12" s="401">
        <f>SUMIFS('Revised RAO'!Q:Q,'Revised RAO'!H:H,'Fund Utilization Report'!A12)</f>
        <v>1569841.6</v>
      </c>
      <c r="L12" s="298">
        <f t="shared" si="0"/>
        <v>3142158.4</v>
      </c>
      <c r="M12" s="281" t="s">
        <v>13</v>
      </c>
      <c r="N12" t="s">
        <v>899</v>
      </c>
      <c r="O12" t="s">
        <v>900</v>
      </c>
    </row>
    <row r="13" spans="1:15">
      <c r="A13" t="str">
        <f t="shared" si="1"/>
        <v>GAA-OO2-RLIP-GOP</v>
      </c>
      <c r="B13" t="s">
        <v>881</v>
      </c>
      <c r="C13" t="s">
        <v>883</v>
      </c>
      <c r="D13" t="s">
        <v>897</v>
      </c>
      <c r="E13" s="296" t="s">
        <v>887</v>
      </c>
      <c r="F13" t="s">
        <v>888</v>
      </c>
      <c r="G13" s="281" t="s">
        <v>928</v>
      </c>
      <c r="H13" s="281" t="s">
        <v>929</v>
      </c>
      <c r="I13" t="s">
        <v>528</v>
      </c>
      <c r="J13" s="297">
        <v>818000</v>
      </c>
      <c r="K13" s="401">
        <f>SUMIFS('Revised RAO'!Q:Q,'Revised RAO'!H:H,'Fund Utilization Report'!A13)</f>
        <v>166324.20000000004</v>
      </c>
      <c r="L13" s="298">
        <f t="shared" si="0"/>
        <v>651675.79999999993</v>
      </c>
      <c r="M13" s="281" t="s">
        <v>12</v>
      </c>
      <c r="N13" t="s">
        <v>899</v>
      </c>
      <c r="O13" t="s">
        <v>900</v>
      </c>
    </row>
    <row r="14" spans="1:15">
      <c r="A14" t="str">
        <f t="shared" si="1"/>
        <v>GAA-OO3-PS-GOP</v>
      </c>
      <c r="B14" t="s">
        <v>881</v>
      </c>
      <c r="C14" t="s">
        <v>883</v>
      </c>
      <c r="D14" t="s">
        <v>844</v>
      </c>
      <c r="E14" s="296" t="s">
        <v>887</v>
      </c>
      <c r="F14" t="s">
        <v>888</v>
      </c>
      <c r="G14" s="281" t="s">
        <v>12</v>
      </c>
      <c r="H14" s="281">
        <v>5010000000</v>
      </c>
      <c r="I14" t="s">
        <v>890</v>
      </c>
      <c r="J14" s="297">
        <v>9805000</v>
      </c>
      <c r="K14" s="401">
        <f>SUMIFS('Revised RAO'!Q:Q,'Revised RAO'!H:H,'Fund Utilization Report'!A14)</f>
        <v>2846726.1799999997</v>
      </c>
      <c r="L14" s="298">
        <f t="shared" si="0"/>
        <v>6958273.8200000003</v>
      </c>
      <c r="M14" s="281" t="s">
        <v>12</v>
      </c>
      <c r="N14" t="s">
        <v>901</v>
      </c>
      <c r="O14" t="s">
        <v>902</v>
      </c>
    </row>
    <row r="15" spans="1:15">
      <c r="A15" t="str">
        <f t="shared" si="1"/>
        <v>GAA-OO3-MOOE-GOP</v>
      </c>
      <c r="B15" t="s">
        <v>881</v>
      </c>
      <c r="C15" t="s">
        <v>883</v>
      </c>
      <c r="D15" t="s">
        <v>844</v>
      </c>
      <c r="E15" s="296" t="s">
        <v>887</v>
      </c>
      <c r="F15" t="s">
        <v>888</v>
      </c>
      <c r="G15" s="281" t="s">
        <v>13</v>
      </c>
      <c r="H15" s="281">
        <v>5020000000</v>
      </c>
      <c r="I15" t="s">
        <v>891</v>
      </c>
      <c r="J15" s="297">
        <v>8135000</v>
      </c>
      <c r="K15" s="401">
        <f>SUMIFS('Revised RAO'!Q:Q,'Revised RAO'!H:H,'Fund Utilization Report'!A15)</f>
        <v>3065667.3699999996</v>
      </c>
      <c r="L15" s="298">
        <f t="shared" si="0"/>
        <v>5069332.6300000008</v>
      </c>
      <c r="M15" s="281" t="s">
        <v>13</v>
      </c>
      <c r="N15" t="s">
        <v>901</v>
      </c>
      <c r="O15" t="s">
        <v>902</v>
      </c>
    </row>
    <row r="16" spans="1:15">
      <c r="A16" t="str">
        <f t="shared" si="1"/>
        <v>GAA-OO3-RLIP-GOP</v>
      </c>
      <c r="B16" t="s">
        <v>881</v>
      </c>
      <c r="C16" t="s">
        <v>883</v>
      </c>
      <c r="D16" t="s">
        <v>844</v>
      </c>
      <c r="E16" s="296" t="s">
        <v>887</v>
      </c>
      <c r="F16" t="s">
        <v>888</v>
      </c>
      <c r="G16" s="281" t="s">
        <v>928</v>
      </c>
      <c r="H16" s="281" t="s">
        <v>929</v>
      </c>
      <c r="I16" t="s">
        <v>528</v>
      </c>
      <c r="J16" s="297">
        <v>918000</v>
      </c>
      <c r="K16" s="401">
        <f>SUMIFS('Revised RAO'!Q:Q,'Revised RAO'!H:H,'Fund Utilization Report'!A16)</f>
        <v>296208.93999999994</v>
      </c>
      <c r="L16" s="298">
        <f t="shared" si="0"/>
        <v>621791.06000000006</v>
      </c>
      <c r="M16" s="281" t="s">
        <v>12</v>
      </c>
      <c r="N16" t="s">
        <v>901</v>
      </c>
      <c r="O16" t="s">
        <v>902</v>
      </c>
    </row>
    <row r="17" spans="1:15">
      <c r="A17" t="str">
        <f t="shared" ref="A17:A23" si="2">CONCATENATE(B17,"-",D17,"-",G17,"-",F17)</f>
        <v>GAA-OO4.1(FTL)-PS-GOP</v>
      </c>
      <c r="B17" t="s">
        <v>881</v>
      </c>
      <c r="C17" t="s">
        <v>883</v>
      </c>
      <c r="D17" t="s">
        <v>913</v>
      </c>
      <c r="E17" s="296" t="s">
        <v>887</v>
      </c>
      <c r="F17" t="s">
        <v>888</v>
      </c>
      <c r="G17" s="281" t="s">
        <v>12</v>
      </c>
      <c r="H17" s="281">
        <v>5010000000</v>
      </c>
      <c r="I17" t="s">
        <v>890</v>
      </c>
      <c r="J17" s="297">
        <v>7768000</v>
      </c>
      <c r="K17" s="401">
        <f>SUMIFS('Revised RAO'!Q:Q,'Revised RAO'!H:H,'Fund Utilization Report'!A17)</f>
        <v>1451315.3800000001</v>
      </c>
      <c r="L17" s="298">
        <f t="shared" ref="L17:L23" si="3">J17-K17</f>
        <v>6316684.6200000001</v>
      </c>
      <c r="M17" s="281" t="s">
        <v>12</v>
      </c>
      <c r="N17" t="s">
        <v>915</v>
      </c>
      <c r="O17" t="s">
        <v>916</v>
      </c>
    </row>
    <row r="18" spans="1:15">
      <c r="A18" t="str">
        <f t="shared" si="2"/>
        <v>GAA-OO4.1(FTL)-MOOE-GOP</v>
      </c>
      <c r="B18" t="s">
        <v>881</v>
      </c>
      <c r="C18" t="s">
        <v>883</v>
      </c>
      <c r="D18" t="s">
        <v>913</v>
      </c>
      <c r="E18" s="296" t="s">
        <v>887</v>
      </c>
      <c r="F18" t="s">
        <v>888</v>
      </c>
      <c r="G18" s="281" t="s">
        <v>13</v>
      </c>
      <c r="H18" s="281">
        <v>5020000000</v>
      </c>
      <c r="I18" t="s">
        <v>891</v>
      </c>
      <c r="J18" s="297">
        <v>1412000</v>
      </c>
      <c r="K18" s="401">
        <f>SUMIFS('Revised RAO'!Q:Q,'Revised RAO'!H:H,'Fund Utilization Report'!A18)</f>
        <v>287653.33999999997</v>
      </c>
      <c r="L18" s="298">
        <f t="shared" si="3"/>
        <v>1124346.6600000001</v>
      </c>
      <c r="M18" s="281" t="s">
        <v>13</v>
      </c>
      <c r="N18" t="s">
        <v>915</v>
      </c>
      <c r="O18" t="s">
        <v>916</v>
      </c>
    </row>
    <row r="19" spans="1:15">
      <c r="A19" t="str">
        <f t="shared" si="2"/>
        <v>GAA-OO4.1(FTL)-RLIP-GOP</v>
      </c>
      <c r="B19" t="s">
        <v>881</v>
      </c>
      <c r="C19" t="s">
        <v>883</v>
      </c>
      <c r="D19" t="s">
        <v>913</v>
      </c>
      <c r="E19" s="296" t="s">
        <v>887</v>
      </c>
      <c r="F19" t="s">
        <v>888</v>
      </c>
      <c r="G19" s="281" t="s">
        <v>928</v>
      </c>
      <c r="H19" s="281" t="s">
        <v>929</v>
      </c>
      <c r="I19" t="s">
        <v>528</v>
      </c>
      <c r="J19" s="297">
        <v>730000</v>
      </c>
      <c r="K19" s="401">
        <f>SUMIFS('Revised RAO'!Q:Q,'Revised RAO'!H:H,'Fund Utilization Report'!A19)</f>
        <v>150894</v>
      </c>
      <c r="L19" s="298">
        <f t="shared" si="3"/>
        <v>579106</v>
      </c>
      <c r="M19" s="281" t="s">
        <v>12</v>
      </c>
      <c r="N19" t="s">
        <v>915</v>
      </c>
      <c r="O19" t="s">
        <v>916</v>
      </c>
    </row>
    <row r="20" spans="1:15">
      <c r="A20" t="str">
        <f t="shared" si="2"/>
        <v>GAA-OO4.1(Acc)-PS-GOP</v>
      </c>
      <c r="B20" t="s">
        <v>881</v>
      </c>
      <c r="C20" t="s">
        <v>883</v>
      </c>
      <c r="D20" t="s">
        <v>914</v>
      </c>
      <c r="E20" s="296" t="s">
        <v>887</v>
      </c>
      <c r="F20" t="s">
        <v>888</v>
      </c>
      <c r="G20" s="281" t="s">
        <v>12</v>
      </c>
      <c r="H20" s="281">
        <v>5010000000</v>
      </c>
      <c r="I20" t="s">
        <v>890</v>
      </c>
      <c r="J20" s="297">
        <v>2643000</v>
      </c>
      <c r="K20" s="401">
        <f>SUMIFS('Revised RAO'!Q:Q,'Revised RAO'!H:H,'Fund Utilization Report'!A20)</f>
        <v>99072.44</v>
      </c>
      <c r="L20" s="298">
        <f t="shared" si="3"/>
        <v>2543927.56</v>
      </c>
      <c r="M20" s="281" t="s">
        <v>12</v>
      </c>
      <c r="N20" t="s">
        <v>917</v>
      </c>
      <c r="O20" t="s">
        <v>918</v>
      </c>
    </row>
    <row r="21" spans="1:15">
      <c r="A21" t="str">
        <f t="shared" si="2"/>
        <v>GAA-OO4.1(Acc)-MOOE-GOP</v>
      </c>
      <c r="B21" t="s">
        <v>881</v>
      </c>
      <c r="C21" t="s">
        <v>883</v>
      </c>
      <c r="D21" t="s">
        <v>914</v>
      </c>
      <c r="E21" s="296" t="s">
        <v>887</v>
      </c>
      <c r="F21" t="s">
        <v>888</v>
      </c>
      <c r="G21" s="281" t="s">
        <v>13</v>
      </c>
      <c r="H21" s="281">
        <v>5020000000</v>
      </c>
      <c r="I21" t="s">
        <v>891</v>
      </c>
      <c r="J21" s="297">
        <v>1679000</v>
      </c>
      <c r="K21" s="401">
        <f>SUMIFS('Revised RAO'!Q:Q,'Revised RAO'!H:H,'Fund Utilization Report'!A21)</f>
        <v>780540</v>
      </c>
      <c r="L21" s="298">
        <f t="shared" si="3"/>
        <v>898460</v>
      </c>
      <c r="M21" s="281" t="s">
        <v>13</v>
      </c>
      <c r="N21" t="s">
        <v>917</v>
      </c>
      <c r="O21" t="s">
        <v>918</v>
      </c>
    </row>
    <row r="22" spans="1:15">
      <c r="A22" t="str">
        <f t="shared" si="2"/>
        <v>GAA-OO4.1(Acc)-RLIP-GOP</v>
      </c>
      <c r="B22" t="s">
        <v>881</v>
      </c>
      <c r="C22" t="s">
        <v>883</v>
      </c>
      <c r="D22" t="s">
        <v>914</v>
      </c>
      <c r="E22" s="296" t="s">
        <v>887</v>
      </c>
      <c r="F22" t="s">
        <v>888</v>
      </c>
      <c r="G22" s="281" t="s">
        <v>928</v>
      </c>
      <c r="H22" s="281" t="s">
        <v>929</v>
      </c>
      <c r="I22" t="s">
        <v>528</v>
      </c>
      <c r="J22" s="297">
        <v>247000</v>
      </c>
      <c r="K22" s="401">
        <f>SUMIFS('Revised RAO'!Q:Q,'Revised RAO'!H:H,'Fund Utilization Report'!A22)</f>
        <v>10483.44</v>
      </c>
      <c r="L22" s="298">
        <f t="shared" si="3"/>
        <v>236516.56</v>
      </c>
      <c r="M22" s="281" t="s">
        <v>12</v>
      </c>
      <c r="N22" t="s">
        <v>917</v>
      </c>
      <c r="O22" t="s">
        <v>918</v>
      </c>
    </row>
    <row r="23" spans="1:15">
      <c r="A23" t="str">
        <f t="shared" si="2"/>
        <v>GAA-OO 4.2-MOOE-GOP</v>
      </c>
      <c r="B23" t="s">
        <v>881</v>
      </c>
      <c r="C23" t="s">
        <v>883</v>
      </c>
      <c r="D23" t="s">
        <v>921</v>
      </c>
      <c r="E23" s="296" t="s">
        <v>887</v>
      </c>
      <c r="F23" t="s">
        <v>888</v>
      </c>
      <c r="G23" s="281" t="s">
        <v>13</v>
      </c>
      <c r="H23" s="281">
        <v>5020000000</v>
      </c>
      <c r="I23" t="s">
        <v>891</v>
      </c>
      <c r="J23" s="297">
        <v>998000</v>
      </c>
      <c r="K23" s="401">
        <f>SUMIFS('Revised RAO'!Q:Q,'Revised RAO'!H:H,'Fund Utilization Report'!A23)</f>
        <v>379636.18</v>
      </c>
      <c r="L23" s="298">
        <f t="shared" si="3"/>
        <v>618363.82000000007</v>
      </c>
      <c r="M23" s="281" t="s">
        <v>13</v>
      </c>
      <c r="N23" t="s">
        <v>919</v>
      </c>
      <c r="O23" t="s">
        <v>920</v>
      </c>
    </row>
    <row r="24" spans="1:15">
      <c r="A24" t="str">
        <f t="shared" si="1"/>
        <v>GAA-NC-MOOE-GOP</v>
      </c>
      <c r="B24" t="s">
        <v>881</v>
      </c>
      <c r="C24" t="s">
        <v>883</v>
      </c>
      <c r="D24" t="s">
        <v>845</v>
      </c>
      <c r="E24" s="296" t="s">
        <v>887</v>
      </c>
      <c r="F24" t="s">
        <v>888</v>
      </c>
      <c r="G24" s="281" t="s">
        <v>13</v>
      </c>
      <c r="H24" s="281">
        <v>5020000000</v>
      </c>
      <c r="I24" t="s">
        <v>891</v>
      </c>
      <c r="J24" s="297">
        <v>28602000</v>
      </c>
      <c r="K24" s="401">
        <f>SUMIFS('Revised RAO'!Q:Q,'Revised RAO'!H:H,'Fund Utilization Report'!A24)</f>
        <v>5782900.6699999999</v>
      </c>
      <c r="L24" s="298">
        <f t="shared" si="0"/>
        <v>22819099.329999998</v>
      </c>
      <c r="M24" s="281" t="s">
        <v>13</v>
      </c>
      <c r="N24" t="s">
        <v>903</v>
      </c>
      <c r="O24" t="s">
        <v>904</v>
      </c>
    </row>
    <row r="25" spans="1:15">
      <c r="A25" t="str">
        <f t="shared" si="1"/>
        <v>GAA-NC-CO-GOP</v>
      </c>
      <c r="B25" t="s">
        <v>881</v>
      </c>
      <c r="C25" t="s">
        <v>883</v>
      </c>
      <c r="D25" t="s">
        <v>845</v>
      </c>
      <c r="E25" s="296" t="s">
        <v>887</v>
      </c>
      <c r="F25" t="s">
        <v>888</v>
      </c>
      <c r="G25" s="281" t="s">
        <v>145</v>
      </c>
      <c r="H25" s="281">
        <v>5060000000</v>
      </c>
      <c r="I25" t="s">
        <v>898</v>
      </c>
      <c r="J25" s="297">
        <v>5150000</v>
      </c>
      <c r="K25" s="401">
        <f>SUMIFS('Revised RAO'!Q:Q,'Revised RAO'!H:H,'Fund Utilization Report'!A25)</f>
        <v>2076000</v>
      </c>
      <c r="L25" s="298">
        <f t="shared" si="0"/>
        <v>3074000</v>
      </c>
      <c r="M25" s="281" t="s">
        <v>145</v>
      </c>
      <c r="N25" t="s">
        <v>903</v>
      </c>
      <c r="O25" t="s">
        <v>904</v>
      </c>
    </row>
    <row r="26" spans="1:15">
      <c r="A26" t="str">
        <f t="shared" si="1"/>
        <v>GAA-OTOP-MOOE-GOP</v>
      </c>
      <c r="B26" t="s">
        <v>881</v>
      </c>
      <c r="C26" t="s">
        <v>883</v>
      </c>
      <c r="D26" t="s">
        <v>905</v>
      </c>
      <c r="E26" s="296" t="s">
        <v>887</v>
      </c>
      <c r="F26" t="s">
        <v>888</v>
      </c>
      <c r="G26" s="281" t="s">
        <v>13</v>
      </c>
      <c r="H26" s="281">
        <v>5020000000</v>
      </c>
      <c r="I26" t="s">
        <v>891</v>
      </c>
      <c r="J26" s="297">
        <v>6894000</v>
      </c>
      <c r="K26" s="401">
        <f>SUMIFS('Revised RAO'!Q:Q,'Revised RAO'!H:H,'Fund Utilization Report'!A26)</f>
        <v>1116784.19</v>
      </c>
      <c r="L26" s="298">
        <f t="shared" si="0"/>
        <v>5777215.8100000005</v>
      </c>
      <c r="M26" s="281" t="s">
        <v>13</v>
      </c>
      <c r="N26" t="s">
        <v>908</v>
      </c>
      <c r="O26" t="s">
        <v>909</v>
      </c>
    </row>
    <row r="27" spans="1:15">
      <c r="A27" t="str">
        <f t="shared" si="1"/>
        <v>GAA-SSF-MOOE-GOP</v>
      </c>
      <c r="B27" t="s">
        <v>881</v>
      </c>
      <c r="C27" t="s">
        <v>883</v>
      </c>
      <c r="D27" t="s">
        <v>5</v>
      </c>
      <c r="E27" s="296" t="s">
        <v>887</v>
      </c>
      <c r="F27" t="s">
        <v>888</v>
      </c>
      <c r="G27" s="281" t="s">
        <v>13</v>
      </c>
      <c r="H27" s="281">
        <v>5020000000</v>
      </c>
      <c r="I27" t="s">
        <v>891</v>
      </c>
      <c r="J27" s="297">
        <v>4416000</v>
      </c>
      <c r="K27" s="401">
        <f>SUMIFS('Revised RAO'!Q:Q,'Revised RAO'!H:H,'Fund Utilization Report'!A27)</f>
        <v>1934716.9</v>
      </c>
      <c r="L27" s="298">
        <f t="shared" si="0"/>
        <v>2481283.1</v>
      </c>
      <c r="M27" s="281" t="s">
        <v>13</v>
      </c>
      <c r="N27" t="s">
        <v>906</v>
      </c>
      <c r="O27" t="s">
        <v>907</v>
      </c>
    </row>
    <row r="28" spans="1:15">
      <c r="A28" t="str">
        <f t="shared" si="1"/>
        <v>GAA-SSF-CO-GOP</v>
      </c>
      <c r="B28" t="s">
        <v>881</v>
      </c>
      <c r="C28" t="s">
        <v>883</v>
      </c>
      <c r="D28" t="s">
        <v>5</v>
      </c>
      <c r="E28" s="296" t="s">
        <v>887</v>
      </c>
      <c r="F28" t="s">
        <v>888</v>
      </c>
      <c r="G28" s="281" t="s">
        <v>145</v>
      </c>
      <c r="H28" s="281">
        <v>5060000000</v>
      </c>
      <c r="I28" t="s">
        <v>898</v>
      </c>
      <c r="J28" s="297">
        <v>97350000</v>
      </c>
      <c r="K28" s="401">
        <f>SUMIFS('Revised RAO'!Q:Q,'Revised RAO'!H:H,'Fund Utilization Report'!A28)</f>
        <v>59500</v>
      </c>
      <c r="L28" s="298">
        <f t="shared" si="0"/>
        <v>97290500</v>
      </c>
      <c r="M28" s="281" t="s">
        <v>145</v>
      </c>
      <c r="N28" t="s">
        <v>906</v>
      </c>
      <c r="O28" t="s">
        <v>907</v>
      </c>
    </row>
    <row r="29" spans="1:15">
      <c r="A29" t="str">
        <f t="shared" si="1"/>
        <v>GAA-LSP-PBG-MOOE-GOP</v>
      </c>
      <c r="B29" t="s">
        <v>881</v>
      </c>
      <c r="C29" t="s">
        <v>883</v>
      </c>
      <c r="D29" t="s">
        <v>910</v>
      </c>
      <c r="E29" s="296" t="s">
        <v>887</v>
      </c>
      <c r="F29" t="s">
        <v>888</v>
      </c>
      <c r="G29" s="281" t="s">
        <v>13</v>
      </c>
      <c r="H29" s="281">
        <v>5020000000</v>
      </c>
      <c r="I29" t="s">
        <v>891</v>
      </c>
      <c r="J29" s="297">
        <v>8628000</v>
      </c>
      <c r="K29" s="401">
        <f>SUMIFS('Revised RAO'!Q:Q,'Revised RAO'!H:H,'Fund Utilization Report'!A29)</f>
        <v>3850177.64</v>
      </c>
      <c r="L29" s="298">
        <f t="shared" si="0"/>
        <v>4777822.3599999994</v>
      </c>
      <c r="M29" s="281" t="s">
        <v>13</v>
      </c>
      <c r="N29" t="s">
        <v>911</v>
      </c>
      <c r="O29" t="s">
        <v>912</v>
      </c>
    </row>
    <row r="30" spans="1:15">
      <c r="A30" t="str">
        <f t="shared" si="1"/>
        <v>SAA37-CARP-751-GOP</v>
      </c>
      <c r="B30" t="s">
        <v>933</v>
      </c>
      <c r="C30" t="s">
        <v>924</v>
      </c>
      <c r="D30" t="s">
        <v>923</v>
      </c>
      <c r="E30" s="296" t="s">
        <v>887</v>
      </c>
      <c r="F30" t="s">
        <v>888</v>
      </c>
      <c r="G30" s="281">
        <v>751</v>
      </c>
      <c r="H30" s="281" t="s">
        <v>554</v>
      </c>
      <c r="I30" t="s">
        <v>555</v>
      </c>
      <c r="J30" s="297">
        <v>213400</v>
      </c>
      <c r="K30" s="401">
        <f>SUMIFS('Revised RAO'!Q:Q,'Revised RAO'!H:H,'Fund Utilization Report'!A30)</f>
        <v>115500</v>
      </c>
      <c r="L30" s="298">
        <f t="shared" si="0"/>
        <v>97900</v>
      </c>
      <c r="M30" s="281" t="s">
        <v>13</v>
      </c>
      <c r="N30" t="s">
        <v>926</v>
      </c>
      <c r="O30" t="s">
        <v>927</v>
      </c>
    </row>
    <row r="31" spans="1:15">
      <c r="A31" t="str">
        <f t="shared" si="1"/>
        <v>SAA37-CARP-753-GOP</v>
      </c>
      <c r="B31" t="s">
        <v>933</v>
      </c>
      <c r="C31" t="s">
        <v>924</v>
      </c>
      <c r="D31" t="s">
        <v>923</v>
      </c>
      <c r="E31" s="296" t="s">
        <v>887</v>
      </c>
      <c r="F31" t="s">
        <v>888</v>
      </c>
      <c r="G31" s="281">
        <v>753</v>
      </c>
      <c r="H31" s="281" t="s">
        <v>559</v>
      </c>
      <c r="I31" t="s">
        <v>560</v>
      </c>
      <c r="J31" s="297">
        <v>450261.72</v>
      </c>
      <c r="K31" s="401">
        <f>SUMIFS('Revised RAO'!Q:Q,'Revised RAO'!H:H,'Fund Utilization Report'!A31)</f>
        <v>225649</v>
      </c>
      <c r="L31" s="298">
        <f t="shared" si="0"/>
        <v>224612.71999999997</v>
      </c>
      <c r="M31" s="281" t="s">
        <v>13</v>
      </c>
      <c r="N31" t="s">
        <v>926</v>
      </c>
      <c r="O31" t="s">
        <v>927</v>
      </c>
    </row>
    <row r="32" spans="1:15">
      <c r="A32" t="str">
        <f t="shared" si="1"/>
        <v>SAA37-CARP-755-GOP</v>
      </c>
      <c r="B32" t="s">
        <v>933</v>
      </c>
      <c r="C32" t="s">
        <v>924</v>
      </c>
      <c r="D32" t="s">
        <v>923</v>
      </c>
      <c r="E32" s="296" t="s">
        <v>887</v>
      </c>
      <c r="F32" t="s">
        <v>888</v>
      </c>
      <c r="G32" s="281">
        <v>755</v>
      </c>
      <c r="H32" s="281" t="s">
        <v>564</v>
      </c>
      <c r="I32" t="s">
        <v>565</v>
      </c>
      <c r="J32" s="297">
        <v>20004</v>
      </c>
      <c r="K32" s="401">
        <f>SUMIFS('Revised RAO'!Q:Q,'Revised RAO'!H:H,'Fund Utilization Report'!A32)</f>
        <v>12506</v>
      </c>
      <c r="L32" s="298">
        <f t="shared" si="0"/>
        <v>7498</v>
      </c>
      <c r="M32" s="281" t="s">
        <v>13</v>
      </c>
      <c r="N32" t="s">
        <v>926</v>
      </c>
      <c r="O32" t="s">
        <v>927</v>
      </c>
    </row>
    <row r="33" spans="1:15">
      <c r="A33" t="str">
        <f t="shared" si="1"/>
        <v>SAA37-CARP-761-GOP</v>
      </c>
      <c r="B33" t="s">
        <v>933</v>
      </c>
      <c r="C33" t="s">
        <v>924</v>
      </c>
      <c r="D33" t="s">
        <v>923</v>
      </c>
      <c r="E33" s="296" t="s">
        <v>887</v>
      </c>
      <c r="F33" t="s">
        <v>888</v>
      </c>
      <c r="G33" s="281">
        <v>761</v>
      </c>
      <c r="H33" s="281" t="s">
        <v>580</v>
      </c>
      <c r="I33" t="s">
        <v>581</v>
      </c>
      <c r="J33" s="297">
        <v>1000</v>
      </c>
      <c r="K33" s="401">
        <f>SUMIFS('Revised RAO'!Q:Q,'Revised RAO'!H:H,'Fund Utilization Report'!A33)</f>
        <v>0</v>
      </c>
      <c r="L33" s="298">
        <f t="shared" si="0"/>
        <v>1000</v>
      </c>
      <c r="M33" s="281" t="s">
        <v>13</v>
      </c>
      <c r="N33" t="s">
        <v>926</v>
      </c>
      <c r="O33" t="s">
        <v>927</v>
      </c>
    </row>
    <row r="34" spans="1:15">
      <c r="A34" t="str">
        <f t="shared" si="1"/>
        <v>SAA37-CARP-771-GOP</v>
      </c>
      <c r="B34" t="s">
        <v>933</v>
      </c>
      <c r="C34" t="s">
        <v>924</v>
      </c>
      <c r="D34" t="s">
        <v>923</v>
      </c>
      <c r="E34" s="296" t="s">
        <v>887</v>
      </c>
      <c r="F34" t="s">
        <v>888</v>
      </c>
      <c r="G34" s="281">
        <v>771</v>
      </c>
      <c r="H34" s="281" t="s">
        <v>600</v>
      </c>
      <c r="I34" t="s">
        <v>601</v>
      </c>
      <c r="J34" s="297">
        <v>533.28</v>
      </c>
      <c r="K34" s="401">
        <f>SUMIFS('Revised RAO'!Q:Q,'Revised RAO'!H:H,'Fund Utilization Report'!A34)</f>
        <v>0</v>
      </c>
      <c r="L34" s="298">
        <f t="shared" si="0"/>
        <v>533.28</v>
      </c>
      <c r="M34" s="281" t="s">
        <v>13</v>
      </c>
      <c r="N34" t="s">
        <v>926</v>
      </c>
      <c r="O34" t="s">
        <v>927</v>
      </c>
    </row>
    <row r="35" spans="1:15">
      <c r="A35" t="str">
        <f t="shared" si="1"/>
        <v>SAA37-CARP-773-GOP</v>
      </c>
      <c r="B35" t="s">
        <v>933</v>
      </c>
      <c r="C35" t="s">
        <v>924</v>
      </c>
      <c r="D35" t="s">
        <v>923</v>
      </c>
      <c r="E35" s="296" t="s">
        <v>887</v>
      </c>
      <c r="F35" t="s">
        <v>888</v>
      </c>
      <c r="G35" s="281">
        <v>773</v>
      </c>
      <c r="H35" s="281" t="s">
        <v>602</v>
      </c>
      <c r="I35" t="s">
        <v>603</v>
      </c>
      <c r="J35" s="297">
        <v>7900</v>
      </c>
      <c r="K35" s="401">
        <f>SUMIFS('Revised RAO'!Q:Q,'Revised RAO'!H:H,'Fund Utilization Report'!A35)</f>
        <v>4425</v>
      </c>
      <c r="L35" s="298">
        <f t="shared" si="0"/>
        <v>3475</v>
      </c>
      <c r="M35" s="281" t="s">
        <v>13</v>
      </c>
      <c r="N35" t="s">
        <v>926</v>
      </c>
      <c r="O35" t="s">
        <v>927</v>
      </c>
    </row>
    <row r="36" spans="1:15">
      <c r="A36" t="str">
        <f t="shared" si="1"/>
        <v>SAA37-CARP-793-GOP</v>
      </c>
      <c r="B36" t="s">
        <v>933</v>
      </c>
      <c r="C36" t="s">
        <v>924</v>
      </c>
      <c r="D36" t="s">
        <v>923</v>
      </c>
      <c r="E36" s="296" t="s">
        <v>887</v>
      </c>
      <c r="F36" t="s">
        <v>888</v>
      </c>
      <c r="G36" s="281">
        <v>793</v>
      </c>
      <c r="H36" s="281" t="s">
        <v>630</v>
      </c>
      <c r="I36" t="s">
        <v>631</v>
      </c>
      <c r="J36" s="297">
        <v>1600</v>
      </c>
      <c r="K36" s="401">
        <f>SUMIFS('Revised RAO'!Q:Q,'Revised RAO'!H:H,'Fund Utilization Report'!A36)</f>
        <v>400</v>
      </c>
      <c r="L36" s="298">
        <f t="shared" si="0"/>
        <v>1200</v>
      </c>
      <c r="M36" s="281" t="s">
        <v>13</v>
      </c>
      <c r="N36" t="s">
        <v>926</v>
      </c>
      <c r="O36" t="s">
        <v>927</v>
      </c>
    </row>
    <row r="37" spans="1:15">
      <c r="A37" t="str">
        <f t="shared" si="1"/>
        <v>SAA37-CARP-799-GOP</v>
      </c>
      <c r="B37" t="s">
        <v>933</v>
      </c>
      <c r="C37" t="s">
        <v>924</v>
      </c>
      <c r="D37" t="s">
        <v>923</v>
      </c>
      <c r="E37" s="296" t="s">
        <v>887</v>
      </c>
      <c r="F37" t="s">
        <v>888</v>
      </c>
      <c r="G37" s="281">
        <v>799</v>
      </c>
      <c r="H37" s="281" t="s">
        <v>632</v>
      </c>
      <c r="I37" t="s">
        <v>633</v>
      </c>
      <c r="J37" s="297">
        <v>384982.5</v>
      </c>
      <c r="K37" s="401">
        <f>SUMIFS('Revised RAO'!Q:Q,'Revised RAO'!H:H,'Fund Utilization Report'!A37)</f>
        <v>150376</v>
      </c>
      <c r="L37" s="298">
        <f t="shared" si="0"/>
        <v>234606.5</v>
      </c>
      <c r="M37" s="281" t="s">
        <v>13</v>
      </c>
      <c r="N37" t="s">
        <v>926</v>
      </c>
      <c r="O37" t="s">
        <v>927</v>
      </c>
    </row>
    <row r="38" spans="1:15">
      <c r="A38" t="str">
        <f t="shared" si="1"/>
        <v>SAA37-CARP-795-GOP</v>
      </c>
      <c r="B38" t="s">
        <v>933</v>
      </c>
      <c r="C38" t="s">
        <v>924</v>
      </c>
      <c r="D38" t="s">
        <v>923</v>
      </c>
      <c r="E38" s="296" t="s">
        <v>887</v>
      </c>
      <c r="F38" t="s">
        <v>888</v>
      </c>
      <c r="G38" s="281">
        <v>795</v>
      </c>
      <c r="H38" s="281" t="s">
        <v>641</v>
      </c>
      <c r="I38" t="s">
        <v>642</v>
      </c>
      <c r="J38" s="297">
        <v>6000</v>
      </c>
      <c r="K38" s="401">
        <f>SUMIFS('Revised RAO'!Q:Q,'Revised RAO'!H:H,'Fund Utilization Report'!A38)</f>
        <v>102699</v>
      </c>
      <c r="L38" s="298">
        <f t="shared" si="0"/>
        <v>-96699</v>
      </c>
      <c r="M38" s="281" t="s">
        <v>13</v>
      </c>
      <c r="N38" t="s">
        <v>926</v>
      </c>
      <c r="O38" t="s">
        <v>927</v>
      </c>
    </row>
    <row r="39" spans="1:15">
      <c r="A39" t="str">
        <f t="shared" si="1"/>
        <v>SAA37-CARP-781-GOP</v>
      </c>
      <c r="B39" t="s">
        <v>933</v>
      </c>
      <c r="C39" t="s">
        <v>924</v>
      </c>
      <c r="D39" t="s">
        <v>923</v>
      </c>
      <c r="E39" s="296" t="s">
        <v>887</v>
      </c>
      <c r="F39" t="s">
        <v>888</v>
      </c>
      <c r="G39" s="281">
        <v>781</v>
      </c>
      <c r="H39" s="281" t="s">
        <v>675</v>
      </c>
      <c r="I39" t="s">
        <v>676</v>
      </c>
      <c r="J39" s="297">
        <v>937.5</v>
      </c>
      <c r="K39" s="401">
        <f>SUMIFS('Revised RAO'!Q:Q,'Revised RAO'!H:H,'Fund Utilization Report'!A39)</f>
        <v>0</v>
      </c>
      <c r="L39" s="298">
        <f t="shared" si="0"/>
        <v>937.5</v>
      </c>
      <c r="M39" s="281" t="s">
        <v>13</v>
      </c>
      <c r="N39" t="s">
        <v>926</v>
      </c>
      <c r="O39" t="s">
        <v>927</v>
      </c>
    </row>
    <row r="40" spans="1:15">
      <c r="A40" t="str">
        <f t="shared" si="1"/>
        <v>SAA37-CARP-783-GOP</v>
      </c>
      <c r="B40" t="s">
        <v>933</v>
      </c>
      <c r="C40" t="s">
        <v>924</v>
      </c>
      <c r="D40" t="s">
        <v>923</v>
      </c>
      <c r="E40" s="296" t="s">
        <v>887</v>
      </c>
      <c r="F40" t="s">
        <v>888</v>
      </c>
      <c r="G40" s="281">
        <v>783</v>
      </c>
      <c r="H40" s="281" t="s">
        <v>677</v>
      </c>
      <c r="I40" t="s">
        <v>678</v>
      </c>
      <c r="J40" s="297">
        <v>2500</v>
      </c>
      <c r="K40" s="401">
        <f>SUMIFS('Revised RAO'!Q:Q,'Revised RAO'!H:H,'Fund Utilization Report'!A40)</f>
        <v>0</v>
      </c>
      <c r="L40" s="298">
        <f t="shared" si="0"/>
        <v>2500</v>
      </c>
      <c r="M40" s="281" t="s">
        <v>13</v>
      </c>
      <c r="N40" t="s">
        <v>926</v>
      </c>
      <c r="O40" t="s">
        <v>927</v>
      </c>
    </row>
    <row r="41" spans="1:15">
      <c r="A41" t="str">
        <f t="shared" si="1"/>
        <v>SAA37-CARP-784-GOP</v>
      </c>
      <c r="B41" t="s">
        <v>933</v>
      </c>
      <c r="C41" t="s">
        <v>924</v>
      </c>
      <c r="D41" t="s">
        <v>923</v>
      </c>
      <c r="E41" s="296" t="s">
        <v>887</v>
      </c>
      <c r="F41" t="s">
        <v>888</v>
      </c>
      <c r="G41" s="281">
        <v>784</v>
      </c>
      <c r="H41" s="281" t="s">
        <v>679</v>
      </c>
      <c r="I41" t="s">
        <v>680</v>
      </c>
      <c r="J41" s="297">
        <v>500</v>
      </c>
      <c r="K41" s="401">
        <f>SUMIFS('Revised RAO'!Q:Q,'Revised RAO'!H:H,'Fund Utilization Report'!A41)</f>
        <v>0</v>
      </c>
      <c r="L41" s="298">
        <f t="shared" si="0"/>
        <v>500</v>
      </c>
      <c r="M41" s="281" t="s">
        <v>13</v>
      </c>
      <c r="N41" t="s">
        <v>926</v>
      </c>
      <c r="O41" t="s">
        <v>927</v>
      </c>
    </row>
    <row r="42" spans="1:15">
      <c r="A42" t="str">
        <f t="shared" si="1"/>
        <v>SAA37-CARP-969-GOP</v>
      </c>
      <c r="B42" t="s">
        <v>933</v>
      </c>
      <c r="C42" t="s">
        <v>924</v>
      </c>
      <c r="D42" t="s">
        <v>923</v>
      </c>
      <c r="E42" s="296" t="s">
        <v>887</v>
      </c>
      <c r="F42" t="s">
        <v>888</v>
      </c>
      <c r="G42" s="281">
        <v>969</v>
      </c>
      <c r="H42" s="281" t="s">
        <v>700</v>
      </c>
      <c r="I42" t="s">
        <v>672</v>
      </c>
      <c r="J42" s="297">
        <v>2000</v>
      </c>
      <c r="K42" s="401">
        <f>SUMIFS('Revised RAO'!Q:Q,'Revised RAO'!H:H,'Fund Utilization Report'!A42)</f>
        <v>0</v>
      </c>
      <c r="L42" s="298">
        <f t="shared" si="0"/>
        <v>2000</v>
      </c>
      <c r="M42" s="281" t="s">
        <v>13</v>
      </c>
      <c r="N42" t="s">
        <v>926</v>
      </c>
      <c r="O42" t="s">
        <v>927</v>
      </c>
    </row>
    <row r="43" spans="1:15">
      <c r="A43" t="str">
        <f>CONCATENATE(B43,"-",D43,"-",G43,"-",F43)</f>
        <v>SAA15-CARP-706-GOP</v>
      </c>
      <c r="B43" t="s">
        <v>934</v>
      </c>
      <c r="C43" t="s">
        <v>925</v>
      </c>
      <c r="D43" t="s">
        <v>923</v>
      </c>
      <c r="E43" s="296" t="s">
        <v>887</v>
      </c>
      <c r="F43" t="s">
        <v>888</v>
      </c>
      <c r="G43" s="281">
        <v>706</v>
      </c>
      <c r="H43" s="281" t="s">
        <v>500</v>
      </c>
      <c r="I43" t="s">
        <v>501</v>
      </c>
      <c r="J43" s="297">
        <v>5017266.7</v>
      </c>
      <c r="K43" s="401">
        <f>SUMIFS('Revised RAO'!Q:Q,'Revised RAO'!H:H,'Fund Utilization Report'!A43)</f>
        <v>1118615.9099999999</v>
      </c>
      <c r="L43" s="298">
        <f t="shared" si="0"/>
        <v>3898650.79</v>
      </c>
      <c r="M43" s="281" t="s">
        <v>12</v>
      </c>
      <c r="N43" t="s">
        <v>926</v>
      </c>
      <c r="O43" t="s">
        <v>927</v>
      </c>
    </row>
    <row r="44" spans="1:15">
      <c r="A44" t="str">
        <f t="shared" si="1"/>
        <v>---</v>
      </c>
    </row>
    <row r="45" spans="1:15">
      <c r="A45" t="str">
        <f t="shared" si="1"/>
        <v>---</v>
      </c>
    </row>
    <row r="46" spans="1:15">
      <c r="A46" t="str">
        <f t="shared" si="1"/>
        <v>---</v>
      </c>
    </row>
    <row r="47" spans="1:15">
      <c r="A47" t="str">
        <f t="shared" si="1"/>
        <v>SAA040-RAPID GOP-799-GOP</v>
      </c>
      <c r="B47" t="s">
        <v>1216</v>
      </c>
      <c r="C47" t="s">
        <v>1217</v>
      </c>
      <c r="D47" t="s">
        <v>1218</v>
      </c>
      <c r="E47" s="296" t="s">
        <v>887</v>
      </c>
      <c r="F47" t="s">
        <v>888</v>
      </c>
      <c r="G47" s="281">
        <v>799</v>
      </c>
      <c r="H47" s="281">
        <v>5021199000</v>
      </c>
      <c r="I47" t="s">
        <v>633</v>
      </c>
      <c r="J47" s="297">
        <v>3562690.92</v>
      </c>
      <c r="K47" s="415">
        <f>SUMIFS('Revised RAO'!Q:Q,'Revised RAO'!H:H,'Fund Utilization Report'!A47)</f>
        <v>919298.82</v>
      </c>
      <c r="L47" s="298">
        <f>J47-K47</f>
        <v>2643392.1</v>
      </c>
      <c r="M47" s="281" t="s">
        <v>13</v>
      </c>
      <c r="N47" s="296" t="s">
        <v>1219</v>
      </c>
      <c r="O47" t="s">
        <v>1220</v>
      </c>
    </row>
    <row r="48" spans="1:15">
      <c r="A48" t="str">
        <f t="shared" si="1"/>
        <v>---</v>
      </c>
    </row>
    <row r="49" spans="1:1">
      <c r="A49" t="str">
        <f t="shared" si="1"/>
        <v>---</v>
      </c>
    </row>
    <row r="50" spans="1:1">
      <c r="A50" t="str">
        <f t="shared" si="1"/>
        <v>---</v>
      </c>
    </row>
    <row r="51" spans="1:1">
      <c r="A51" t="str">
        <f t="shared" si="1"/>
        <v>---</v>
      </c>
    </row>
    <row r="52" spans="1:1">
      <c r="A52" t="str">
        <f t="shared" si="1"/>
        <v>---</v>
      </c>
    </row>
    <row r="53" spans="1:1">
      <c r="A53" t="str">
        <f t="shared" si="1"/>
        <v>---</v>
      </c>
    </row>
    <row r="54" spans="1:1">
      <c r="A54" t="str">
        <f t="shared" si="1"/>
        <v>---</v>
      </c>
    </row>
    <row r="55" spans="1:1">
      <c r="A55" t="str">
        <f t="shared" si="1"/>
        <v>---</v>
      </c>
    </row>
    <row r="56" spans="1:1">
      <c r="A56" t="str">
        <f t="shared" si="1"/>
        <v>---</v>
      </c>
    </row>
  </sheetData>
  <autoFilter ref="A3:P56" xr:uid="{00000000-0009-0000-0000-00000A000000}"/>
  <pageMargins left="0.7" right="0.7" top="0.75" bottom="0.75" header="0.3" footer="0.3"/>
  <pageSetup paperSize="9" scale="38" fitToHeight="0" orientation="landscape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B80A8-8EEF-4C4B-AD5B-81403ED3B160}">
  <dimension ref="A1:S1924"/>
  <sheetViews>
    <sheetView zoomScale="80" zoomScaleNormal="80" workbookViewId="0">
      <selection activeCell="A3" sqref="A3:A1556"/>
    </sheetView>
  </sheetViews>
  <sheetFormatPr defaultRowHeight="14.4"/>
  <cols>
    <col min="2" max="2" width="17.88671875" bestFit="1" customWidth="1"/>
    <col min="3" max="3" width="10.6640625" customWidth="1"/>
    <col min="4" max="4" width="9.109375" style="281"/>
    <col min="7" max="7" width="31.5546875" customWidth="1"/>
    <col min="8" max="8" width="14.109375" customWidth="1"/>
    <col min="9" max="9" width="14.88671875" customWidth="1"/>
    <col min="10" max="10" width="15.44140625" style="560" customWidth="1"/>
    <col min="11" max="12" width="12.88671875" style="560" customWidth="1"/>
    <col min="13" max="14" width="15.44140625" customWidth="1"/>
    <col min="15" max="15" width="12.5546875" customWidth="1"/>
    <col min="16" max="16" width="11.88671875" customWidth="1"/>
    <col min="18" max="18" width="12.5546875" customWidth="1"/>
  </cols>
  <sheetData>
    <row r="1" spans="1:19">
      <c r="M1" s="562" t="e">
        <f>SUBTOTAL(9,M3:M1556)</f>
        <v>#VALUE!</v>
      </c>
      <c r="N1" s="562"/>
    </row>
    <row r="2" spans="1:19" ht="27.6">
      <c r="A2" s="561" t="s">
        <v>2052</v>
      </c>
      <c r="B2" s="554" t="s">
        <v>146</v>
      </c>
      <c r="C2" s="559" t="s">
        <v>2045</v>
      </c>
      <c r="D2" s="559" t="s">
        <v>2044</v>
      </c>
      <c r="E2" s="327" t="s">
        <v>939</v>
      </c>
      <c r="F2" s="327" t="s">
        <v>880</v>
      </c>
      <c r="G2" s="333" t="s">
        <v>155</v>
      </c>
      <c r="H2" s="333" t="s">
        <v>156</v>
      </c>
      <c r="I2" s="336" t="s">
        <v>879</v>
      </c>
      <c r="J2" s="551" t="s">
        <v>936</v>
      </c>
      <c r="K2" s="551"/>
      <c r="L2" s="551"/>
      <c r="M2" s="551" t="s">
        <v>2048</v>
      </c>
      <c r="N2" s="551"/>
      <c r="O2" s="551" t="s">
        <v>2053</v>
      </c>
      <c r="P2" s="551" t="s">
        <v>2049</v>
      </c>
      <c r="Q2" s="551" t="s">
        <v>2050</v>
      </c>
      <c r="R2" s="551" t="s">
        <v>2051</v>
      </c>
      <c r="S2" s="561" t="s">
        <v>2052</v>
      </c>
    </row>
    <row r="3" spans="1:19">
      <c r="B3" s="553">
        <v>44209</v>
      </c>
      <c r="C3" t="s">
        <v>11</v>
      </c>
      <c r="D3" s="281">
        <v>1</v>
      </c>
      <c r="E3" t="s">
        <v>2024</v>
      </c>
      <c r="F3" t="s">
        <v>505</v>
      </c>
      <c r="G3" t="s">
        <v>1030</v>
      </c>
      <c r="H3" t="s">
        <v>760</v>
      </c>
      <c r="I3">
        <v>5010000000</v>
      </c>
      <c r="J3" s="560">
        <v>45000</v>
      </c>
      <c r="K3" s="560">
        <f>COUNTIFS($C$3:$C$1556,C3)</f>
        <v>8</v>
      </c>
      <c r="L3" s="560">
        <f>COUNTIFS(C3:C1556,C3)</f>
        <v>8</v>
      </c>
      <c r="N3" s="276"/>
    </row>
    <row r="4" spans="1:19">
      <c r="B4" s="553">
        <v>44209</v>
      </c>
      <c r="C4" t="s">
        <v>11</v>
      </c>
      <c r="D4" s="281">
        <v>1</v>
      </c>
      <c r="E4" t="s">
        <v>2025</v>
      </c>
      <c r="F4" t="s">
        <v>506</v>
      </c>
      <c r="G4" t="s">
        <v>1030</v>
      </c>
      <c r="H4" t="s">
        <v>760</v>
      </c>
      <c r="I4">
        <v>5010000000</v>
      </c>
      <c r="J4" s="560">
        <v>45000</v>
      </c>
      <c r="K4" s="560">
        <f t="shared" ref="K4:K67" si="0">COUNTIFS($C$3:$C$1556,C4)</f>
        <v>8</v>
      </c>
      <c r="L4" s="560">
        <f t="shared" ref="L4:L14" si="1">COUNTIFS(C4:C1557,C4)</f>
        <v>7</v>
      </c>
      <c r="N4" s="276"/>
    </row>
    <row r="5" spans="1:19">
      <c r="B5" s="553">
        <v>44209</v>
      </c>
      <c r="C5" t="s">
        <v>11</v>
      </c>
      <c r="D5" s="281">
        <v>4</v>
      </c>
      <c r="E5" t="s">
        <v>2024</v>
      </c>
      <c r="F5" t="s">
        <v>505</v>
      </c>
      <c r="G5" t="s">
        <v>1030</v>
      </c>
      <c r="H5" t="s">
        <v>760</v>
      </c>
      <c r="I5">
        <v>5010000000</v>
      </c>
      <c r="J5" s="560">
        <v>15000</v>
      </c>
      <c r="K5" s="560">
        <f t="shared" si="0"/>
        <v>8</v>
      </c>
      <c r="L5" s="560">
        <f t="shared" si="1"/>
        <v>6</v>
      </c>
      <c r="N5" s="276"/>
    </row>
    <row r="6" spans="1:19">
      <c r="B6" s="553">
        <v>44209</v>
      </c>
      <c r="C6" t="s">
        <v>11</v>
      </c>
      <c r="D6" s="281">
        <v>4</v>
      </c>
      <c r="E6" t="s">
        <v>2025</v>
      </c>
      <c r="F6" t="s">
        <v>506</v>
      </c>
      <c r="G6" t="s">
        <v>1030</v>
      </c>
      <c r="H6" t="s">
        <v>760</v>
      </c>
      <c r="I6">
        <v>5010000000</v>
      </c>
      <c r="J6" s="560">
        <v>15000</v>
      </c>
      <c r="K6" s="560">
        <f t="shared" si="0"/>
        <v>8</v>
      </c>
      <c r="L6" s="560">
        <f t="shared" si="1"/>
        <v>5</v>
      </c>
      <c r="N6" s="276"/>
    </row>
    <row r="7" spans="1:19">
      <c r="B7" s="553">
        <v>44209</v>
      </c>
      <c r="C7" t="s">
        <v>11</v>
      </c>
      <c r="D7" s="281">
        <v>5</v>
      </c>
      <c r="E7" t="s">
        <v>2024</v>
      </c>
      <c r="F7" t="s">
        <v>505</v>
      </c>
      <c r="G7" t="s">
        <v>1030</v>
      </c>
      <c r="H7" t="s">
        <v>760</v>
      </c>
      <c r="I7">
        <v>5010000000</v>
      </c>
      <c r="J7" s="560">
        <v>5000</v>
      </c>
      <c r="K7" s="560">
        <f t="shared" si="0"/>
        <v>8</v>
      </c>
      <c r="L7" s="560">
        <f t="shared" si="1"/>
        <v>4</v>
      </c>
      <c r="N7" s="276"/>
    </row>
    <row r="8" spans="1:19">
      <c r="B8" s="553">
        <v>44209</v>
      </c>
      <c r="C8" t="s">
        <v>11</v>
      </c>
      <c r="D8" s="281">
        <v>5</v>
      </c>
      <c r="E8" t="s">
        <v>2025</v>
      </c>
      <c r="F8" t="s">
        <v>506</v>
      </c>
      <c r="G8" t="s">
        <v>1030</v>
      </c>
      <c r="H8" t="s">
        <v>760</v>
      </c>
      <c r="I8">
        <v>5010000000</v>
      </c>
      <c r="J8" s="560">
        <v>5000</v>
      </c>
      <c r="K8" s="560">
        <f t="shared" si="0"/>
        <v>8</v>
      </c>
      <c r="L8" s="560">
        <f t="shared" si="1"/>
        <v>3</v>
      </c>
      <c r="N8" s="276"/>
    </row>
    <row r="9" spans="1:19">
      <c r="B9" s="553">
        <v>44209</v>
      </c>
      <c r="C9" t="s">
        <v>11</v>
      </c>
      <c r="D9" s="281">
        <v>3</v>
      </c>
      <c r="E9" t="s">
        <v>2024</v>
      </c>
      <c r="F9" t="s">
        <v>505</v>
      </c>
      <c r="G9" t="s">
        <v>1030</v>
      </c>
      <c r="H9" t="s">
        <v>760</v>
      </c>
      <c r="I9">
        <v>5010000000</v>
      </c>
      <c r="J9" s="560">
        <v>10000</v>
      </c>
      <c r="K9" s="560">
        <f t="shared" si="0"/>
        <v>8</v>
      </c>
      <c r="L9" s="560">
        <f t="shared" si="1"/>
        <v>2</v>
      </c>
      <c r="N9" s="276"/>
    </row>
    <row r="10" spans="1:19">
      <c r="A10" t="s">
        <v>2054</v>
      </c>
      <c r="B10" s="553">
        <v>44209</v>
      </c>
      <c r="C10" t="s">
        <v>11</v>
      </c>
      <c r="D10" s="281">
        <v>3</v>
      </c>
      <c r="E10" t="s">
        <v>2025</v>
      </c>
      <c r="F10" t="s">
        <v>506</v>
      </c>
      <c r="G10" t="s">
        <v>1030</v>
      </c>
      <c r="H10" t="s">
        <v>760</v>
      </c>
      <c r="I10">
        <v>5010000000</v>
      </c>
      <c r="J10" s="560">
        <v>10000</v>
      </c>
      <c r="K10" s="560">
        <f t="shared" si="0"/>
        <v>8</v>
      </c>
      <c r="L10" s="560">
        <f t="shared" si="1"/>
        <v>1</v>
      </c>
      <c r="M10" s="560" t="e">
        <f>SUMIFS('[1]MAIN-101'!$Z$1:$Z$3000,'[1]MAIN-101'!$X$1:$X$3000,S10)</f>
        <v>#VALUE!</v>
      </c>
      <c r="N10" s="560"/>
      <c r="O10" s="560"/>
      <c r="S10" t="str">
        <f>VLOOKUP(C10,'Recon of ORS and DV'!$A$4:$B$358,2,FALSE)</f>
        <v>0001</v>
      </c>
    </row>
    <row r="11" spans="1:19">
      <c r="A11" t="s">
        <v>2055</v>
      </c>
      <c r="B11" s="553">
        <v>44209</v>
      </c>
      <c r="C11" t="s">
        <v>8</v>
      </c>
      <c r="D11" s="281">
        <v>1</v>
      </c>
      <c r="E11" t="s">
        <v>1995</v>
      </c>
      <c r="F11" t="s">
        <v>624</v>
      </c>
      <c r="G11" t="s">
        <v>6</v>
      </c>
      <c r="H11" t="s">
        <v>761</v>
      </c>
      <c r="I11">
        <v>5020000000</v>
      </c>
      <c r="J11" s="560">
        <v>10000</v>
      </c>
      <c r="K11" s="560">
        <f t="shared" si="0"/>
        <v>1</v>
      </c>
      <c r="L11" s="560">
        <f t="shared" si="1"/>
        <v>1</v>
      </c>
      <c r="M11" s="560" t="e">
        <f>SUMIFS('[1]MAIN-101'!$Z$1:$Z$3000,'[1]MAIN-101'!$X$1:$X$3000,S11)</f>
        <v>#VALUE!</v>
      </c>
      <c r="N11" s="560"/>
      <c r="O11" s="560"/>
      <c r="S11" t="str">
        <f>VLOOKUP(C11,'Recon of ORS and DV'!$A$4:$B$358,2,FALSE)</f>
        <v>0002</v>
      </c>
    </row>
    <row r="12" spans="1:19">
      <c r="B12" s="553">
        <v>44210</v>
      </c>
      <c r="C12" t="s">
        <v>4</v>
      </c>
      <c r="D12" s="281">
        <v>1</v>
      </c>
      <c r="E12" t="s">
        <v>2026</v>
      </c>
      <c r="F12" t="s">
        <v>499</v>
      </c>
      <c r="G12" t="s">
        <v>10</v>
      </c>
      <c r="H12" t="s">
        <v>762</v>
      </c>
      <c r="I12">
        <v>5010000000</v>
      </c>
      <c r="J12" s="560">
        <v>1634515</v>
      </c>
      <c r="K12" s="560">
        <f t="shared" si="0"/>
        <v>6</v>
      </c>
      <c r="L12" s="560">
        <f t="shared" si="1"/>
        <v>6</v>
      </c>
    </row>
    <row r="13" spans="1:19">
      <c r="B13" s="553">
        <v>44210</v>
      </c>
      <c r="C13" t="s">
        <v>4</v>
      </c>
      <c r="D13" s="281">
        <v>1</v>
      </c>
      <c r="E13" t="s">
        <v>2027</v>
      </c>
      <c r="F13" t="s">
        <v>504</v>
      </c>
      <c r="G13" t="s">
        <v>10</v>
      </c>
      <c r="H13" t="s">
        <v>762</v>
      </c>
      <c r="I13">
        <v>5010000000</v>
      </c>
      <c r="J13" s="560">
        <v>76000</v>
      </c>
      <c r="K13" s="560">
        <f t="shared" si="0"/>
        <v>6</v>
      </c>
      <c r="L13" s="560">
        <f t="shared" si="1"/>
        <v>5</v>
      </c>
    </row>
    <row r="14" spans="1:19">
      <c r="B14" s="553">
        <v>44210</v>
      </c>
      <c r="C14" t="s">
        <v>4</v>
      </c>
      <c r="D14" s="281">
        <v>1</v>
      </c>
      <c r="E14" t="s">
        <v>2028</v>
      </c>
      <c r="F14" t="s">
        <v>528</v>
      </c>
      <c r="G14" t="s">
        <v>10</v>
      </c>
      <c r="H14" t="s">
        <v>762</v>
      </c>
      <c r="I14">
        <v>5010301000</v>
      </c>
      <c r="J14" s="560">
        <v>196141.8</v>
      </c>
      <c r="K14" s="560">
        <f t="shared" si="0"/>
        <v>6</v>
      </c>
      <c r="L14" s="560">
        <f t="shared" si="1"/>
        <v>4</v>
      </c>
    </row>
    <row r="15" spans="1:19">
      <c r="B15" s="553">
        <v>44210</v>
      </c>
      <c r="C15" t="s">
        <v>4</v>
      </c>
      <c r="D15" s="281">
        <v>1</v>
      </c>
      <c r="E15" t="s">
        <v>2029</v>
      </c>
      <c r="F15" t="s">
        <v>530</v>
      </c>
      <c r="G15" t="s">
        <v>10</v>
      </c>
      <c r="H15" t="s">
        <v>762</v>
      </c>
      <c r="I15">
        <v>5010000000</v>
      </c>
      <c r="J15" s="560">
        <v>3800</v>
      </c>
      <c r="K15" s="560">
        <f t="shared" si="0"/>
        <v>6</v>
      </c>
      <c r="L15" s="560">
        <f t="shared" ref="L15:L78" si="2">COUNTIFS(C15:C1568,C15)</f>
        <v>3</v>
      </c>
    </row>
    <row r="16" spans="1:19">
      <c r="B16" s="553">
        <v>44210</v>
      </c>
      <c r="C16" t="s">
        <v>4</v>
      </c>
      <c r="D16" s="281">
        <v>1</v>
      </c>
      <c r="E16" t="s">
        <v>2030</v>
      </c>
      <c r="F16" t="s">
        <v>532</v>
      </c>
      <c r="G16" t="s">
        <v>10</v>
      </c>
      <c r="H16" t="s">
        <v>762</v>
      </c>
      <c r="I16">
        <v>5010000000</v>
      </c>
      <c r="J16" s="560">
        <v>21044.43</v>
      </c>
      <c r="K16" s="560">
        <f t="shared" si="0"/>
        <v>6</v>
      </c>
      <c r="L16" s="560">
        <f t="shared" si="2"/>
        <v>2</v>
      </c>
    </row>
    <row r="17" spans="1:19">
      <c r="A17" t="s">
        <v>2056</v>
      </c>
      <c r="B17" s="553">
        <v>44210</v>
      </c>
      <c r="C17" t="s">
        <v>4</v>
      </c>
      <c r="D17" s="281">
        <v>1</v>
      </c>
      <c r="E17" t="s">
        <v>2031</v>
      </c>
      <c r="F17" t="s">
        <v>534</v>
      </c>
      <c r="G17" t="s">
        <v>10</v>
      </c>
      <c r="H17" t="s">
        <v>762</v>
      </c>
      <c r="I17">
        <v>5010000000</v>
      </c>
      <c r="J17" s="560">
        <v>3800</v>
      </c>
      <c r="K17" s="560">
        <f t="shared" si="0"/>
        <v>6</v>
      </c>
      <c r="L17" s="560">
        <f t="shared" si="2"/>
        <v>1</v>
      </c>
      <c r="M17" s="560" t="e">
        <f>SUMIFS('[1]MAIN-101'!$Z$1:$Z$3000,'[1]MAIN-101'!$X$1:$X$3000,S17)</f>
        <v>#VALUE!</v>
      </c>
      <c r="N17" s="560"/>
      <c r="O17" s="560"/>
      <c r="S17" t="str">
        <f>VLOOKUP(C17,'Recon of ORS and DV'!$A$4:$B$358,2,FALSE)</f>
        <v>0005</v>
      </c>
    </row>
    <row r="18" spans="1:19">
      <c r="B18" s="553">
        <v>44211</v>
      </c>
      <c r="C18" t="s">
        <v>763</v>
      </c>
      <c r="D18" s="281">
        <v>2</v>
      </c>
      <c r="E18" t="s">
        <v>2026</v>
      </c>
      <c r="F18" t="s">
        <v>499</v>
      </c>
      <c r="G18" t="s">
        <v>764</v>
      </c>
      <c r="H18" t="s">
        <v>762</v>
      </c>
      <c r="I18">
        <v>5010000000</v>
      </c>
      <c r="J18" s="560">
        <v>377575</v>
      </c>
      <c r="K18" s="560">
        <f t="shared" si="0"/>
        <v>6</v>
      </c>
      <c r="L18" s="560">
        <f t="shared" si="2"/>
        <v>6</v>
      </c>
    </row>
    <row r="19" spans="1:19">
      <c r="B19" s="553">
        <v>44211</v>
      </c>
      <c r="C19" t="s">
        <v>763</v>
      </c>
      <c r="D19" s="281">
        <v>2</v>
      </c>
      <c r="E19" t="s">
        <v>2027</v>
      </c>
      <c r="F19" t="s">
        <v>504</v>
      </c>
      <c r="G19" t="s">
        <v>764</v>
      </c>
      <c r="H19" t="s">
        <v>762</v>
      </c>
      <c r="I19">
        <v>5010000000</v>
      </c>
      <c r="J19" s="560">
        <v>22000</v>
      </c>
      <c r="K19" s="560">
        <f t="shared" si="0"/>
        <v>6</v>
      </c>
      <c r="L19" s="560">
        <f t="shared" si="2"/>
        <v>5</v>
      </c>
    </row>
    <row r="20" spans="1:19">
      <c r="B20" s="553">
        <v>44211</v>
      </c>
      <c r="C20" t="s">
        <v>763</v>
      </c>
      <c r="D20" s="281">
        <v>2</v>
      </c>
      <c r="E20" t="s">
        <v>2028</v>
      </c>
      <c r="F20" t="s">
        <v>528</v>
      </c>
      <c r="G20" t="s">
        <v>764</v>
      </c>
      <c r="H20" t="s">
        <v>762</v>
      </c>
      <c r="I20">
        <v>5010301000</v>
      </c>
      <c r="J20" s="560">
        <v>45309</v>
      </c>
      <c r="K20" s="560">
        <f t="shared" si="0"/>
        <v>6</v>
      </c>
      <c r="L20" s="560">
        <f t="shared" si="2"/>
        <v>4</v>
      </c>
    </row>
    <row r="21" spans="1:19">
      <c r="B21" s="553">
        <v>44211</v>
      </c>
      <c r="C21" t="s">
        <v>763</v>
      </c>
      <c r="D21" s="281">
        <v>2</v>
      </c>
      <c r="E21" t="s">
        <v>2029</v>
      </c>
      <c r="F21" t="s">
        <v>530</v>
      </c>
      <c r="G21" t="s">
        <v>764</v>
      </c>
      <c r="H21" t="s">
        <v>762</v>
      </c>
      <c r="I21">
        <v>5010000000</v>
      </c>
      <c r="J21" s="560">
        <v>1100</v>
      </c>
      <c r="K21" s="560">
        <f t="shared" si="0"/>
        <v>6</v>
      </c>
      <c r="L21" s="560">
        <f t="shared" si="2"/>
        <v>3</v>
      </c>
    </row>
    <row r="22" spans="1:19">
      <c r="B22" s="553">
        <v>44211</v>
      </c>
      <c r="C22" t="s">
        <v>763</v>
      </c>
      <c r="D22" s="281">
        <v>2</v>
      </c>
      <c r="E22" t="s">
        <v>2030</v>
      </c>
      <c r="F22" t="s">
        <v>532</v>
      </c>
      <c r="G22" t="s">
        <v>764</v>
      </c>
      <c r="H22" t="s">
        <v>762</v>
      </c>
      <c r="I22">
        <v>5010000000</v>
      </c>
      <c r="J22" s="560">
        <v>5560.64</v>
      </c>
      <c r="K22" s="560">
        <f t="shared" si="0"/>
        <v>6</v>
      </c>
      <c r="L22" s="560">
        <f t="shared" si="2"/>
        <v>2</v>
      </c>
    </row>
    <row r="23" spans="1:19">
      <c r="A23" t="s">
        <v>2057</v>
      </c>
      <c r="B23" s="553">
        <v>44211</v>
      </c>
      <c r="C23" t="s">
        <v>763</v>
      </c>
      <c r="D23" s="281">
        <v>2</v>
      </c>
      <c r="E23" t="s">
        <v>2031</v>
      </c>
      <c r="F23" t="s">
        <v>534</v>
      </c>
      <c r="G23" t="s">
        <v>764</v>
      </c>
      <c r="H23" t="s">
        <v>762</v>
      </c>
      <c r="I23">
        <v>5010000000</v>
      </c>
      <c r="J23" s="560">
        <v>1100</v>
      </c>
      <c r="K23" s="560">
        <f t="shared" si="0"/>
        <v>6</v>
      </c>
      <c r="L23" s="560">
        <f t="shared" si="2"/>
        <v>1</v>
      </c>
      <c r="M23" s="560" t="e">
        <f>SUMIFS('[1]MAIN-101'!$Z$1:$Z$3000,'[1]MAIN-101'!$X$1:$X$3000,S23)</f>
        <v>#VALUE!</v>
      </c>
      <c r="N23" s="560"/>
      <c r="O23" s="560"/>
      <c r="S23" t="str">
        <f>VLOOKUP(C23,'Recon of ORS and DV'!$A$4:$B$358,2,FALSE)</f>
        <v>0007</v>
      </c>
    </row>
    <row r="24" spans="1:19">
      <c r="B24" s="553">
        <v>44211</v>
      </c>
      <c r="C24" t="s">
        <v>766</v>
      </c>
      <c r="D24" s="281">
        <v>2</v>
      </c>
      <c r="E24" t="s">
        <v>2026</v>
      </c>
      <c r="F24" t="s">
        <v>499</v>
      </c>
      <c r="G24" t="s">
        <v>765</v>
      </c>
      <c r="H24" t="s">
        <v>762</v>
      </c>
      <c r="I24">
        <v>5010000000</v>
      </c>
      <c r="J24" s="560">
        <v>273461</v>
      </c>
      <c r="K24" s="560">
        <f t="shared" si="0"/>
        <v>6</v>
      </c>
      <c r="L24" s="560">
        <f t="shared" si="2"/>
        <v>6</v>
      </c>
    </row>
    <row r="25" spans="1:19">
      <c r="B25" s="553">
        <v>44211</v>
      </c>
      <c r="C25" t="s">
        <v>766</v>
      </c>
      <c r="D25" s="281">
        <v>2</v>
      </c>
      <c r="E25" t="s">
        <v>2027</v>
      </c>
      <c r="F25" t="s">
        <v>504</v>
      </c>
      <c r="G25" t="s">
        <v>765</v>
      </c>
      <c r="H25" t="s">
        <v>762</v>
      </c>
      <c r="I25">
        <v>5010000000</v>
      </c>
      <c r="J25" s="560">
        <v>14000</v>
      </c>
      <c r="K25" s="560">
        <f t="shared" si="0"/>
        <v>6</v>
      </c>
      <c r="L25" s="560">
        <f t="shared" si="2"/>
        <v>5</v>
      </c>
    </row>
    <row r="26" spans="1:19">
      <c r="B26" s="553">
        <v>44211</v>
      </c>
      <c r="C26" t="s">
        <v>766</v>
      </c>
      <c r="D26" s="281">
        <v>2</v>
      </c>
      <c r="E26" t="s">
        <v>2028</v>
      </c>
      <c r="F26" t="s">
        <v>528</v>
      </c>
      <c r="G26" t="s">
        <v>765</v>
      </c>
      <c r="H26" t="s">
        <v>762</v>
      </c>
      <c r="I26">
        <v>5010301000</v>
      </c>
      <c r="J26" s="560">
        <v>32815.32</v>
      </c>
      <c r="K26" s="560">
        <f t="shared" si="0"/>
        <v>6</v>
      </c>
      <c r="L26" s="560">
        <f t="shared" si="2"/>
        <v>4</v>
      </c>
    </row>
    <row r="27" spans="1:19">
      <c r="B27" s="553">
        <v>44211</v>
      </c>
      <c r="C27" t="s">
        <v>766</v>
      </c>
      <c r="D27" s="281">
        <v>2</v>
      </c>
      <c r="E27" t="s">
        <v>2029</v>
      </c>
      <c r="F27" t="s">
        <v>530</v>
      </c>
      <c r="G27" t="s">
        <v>765</v>
      </c>
      <c r="H27" t="s">
        <v>762</v>
      </c>
      <c r="I27">
        <v>5010000000</v>
      </c>
      <c r="J27" s="560">
        <v>700</v>
      </c>
      <c r="K27" s="560">
        <f t="shared" si="0"/>
        <v>6</v>
      </c>
      <c r="L27" s="560">
        <f t="shared" si="2"/>
        <v>3</v>
      </c>
    </row>
    <row r="28" spans="1:19">
      <c r="B28" s="553">
        <v>44211</v>
      </c>
      <c r="C28" t="s">
        <v>766</v>
      </c>
      <c r="D28" s="281">
        <v>2</v>
      </c>
      <c r="E28" t="s">
        <v>2030</v>
      </c>
      <c r="F28" t="s">
        <v>532</v>
      </c>
      <c r="G28" t="s">
        <v>765</v>
      </c>
      <c r="H28" t="s">
        <v>762</v>
      </c>
      <c r="I28">
        <v>5010000000</v>
      </c>
      <c r="J28" s="560">
        <v>3358.03</v>
      </c>
      <c r="K28" s="560">
        <f t="shared" si="0"/>
        <v>6</v>
      </c>
      <c r="L28" s="560">
        <f t="shared" si="2"/>
        <v>2</v>
      </c>
    </row>
    <row r="29" spans="1:19">
      <c r="A29" t="s">
        <v>2058</v>
      </c>
      <c r="B29" s="553">
        <v>44211</v>
      </c>
      <c r="C29" t="s">
        <v>766</v>
      </c>
      <c r="D29" s="281">
        <v>2</v>
      </c>
      <c r="E29" t="s">
        <v>2031</v>
      </c>
      <c r="F29" t="s">
        <v>534</v>
      </c>
      <c r="G29" t="s">
        <v>765</v>
      </c>
      <c r="H29" t="s">
        <v>762</v>
      </c>
      <c r="I29">
        <v>5010000000</v>
      </c>
      <c r="J29" s="560">
        <v>700</v>
      </c>
      <c r="K29" s="560">
        <f t="shared" si="0"/>
        <v>6</v>
      </c>
      <c r="L29" s="560">
        <f t="shared" si="2"/>
        <v>1</v>
      </c>
      <c r="M29" s="560" t="e">
        <f>SUMIFS('[1]MAIN-101'!$Z$1:$Z$3000,'[1]MAIN-101'!$X$1:$X$3000,S29)</f>
        <v>#VALUE!</v>
      </c>
      <c r="N29" s="560"/>
      <c r="O29" s="560"/>
      <c r="S29" t="str">
        <f>VLOOKUP(C29,'Recon of ORS and DV'!$A$4:$B$358,2,FALSE)</f>
        <v>0010</v>
      </c>
    </row>
    <row r="30" spans="1:19">
      <c r="B30" s="553">
        <v>44211</v>
      </c>
      <c r="C30" t="s">
        <v>767</v>
      </c>
      <c r="D30" s="281">
        <v>2</v>
      </c>
      <c r="E30" t="s">
        <v>2026</v>
      </c>
      <c r="F30" t="s">
        <v>499</v>
      </c>
      <c r="G30" t="s">
        <v>768</v>
      </c>
      <c r="H30" t="s">
        <v>762</v>
      </c>
      <c r="I30">
        <v>5010000000</v>
      </c>
      <c r="J30" s="560">
        <v>565193</v>
      </c>
      <c r="K30" s="560">
        <f t="shared" si="0"/>
        <v>6</v>
      </c>
      <c r="L30" s="560">
        <f t="shared" si="2"/>
        <v>6</v>
      </c>
    </row>
    <row r="31" spans="1:19">
      <c r="B31" s="553">
        <v>44211</v>
      </c>
      <c r="C31" t="s">
        <v>767</v>
      </c>
      <c r="D31" s="281">
        <v>2</v>
      </c>
      <c r="E31" t="s">
        <v>2027</v>
      </c>
      <c r="F31" t="s">
        <v>504</v>
      </c>
      <c r="G31" t="s">
        <v>768</v>
      </c>
      <c r="H31" t="s">
        <v>762</v>
      </c>
      <c r="I31">
        <v>5010000000</v>
      </c>
      <c r="J31" s="560">
        <v>24000</v>
      </c>
      <c r="K31" s="560">
        <f t="shared" si="0"/>
        <v>6</v>
      </c>
      <c r="L31" s="560">
        <f t="shared" si="2"/>
        <v>5</v>
      </c>
    </row>
    <row r="32" spans="1:19">
      <c r="B32" s="553">
        <v>44211</v>
      </c>
      <c r="C32" t="s">
        <v>767</v>
      </c>
      <c r="D32" s="281">
        <v>2</v>
      </c>
      <c r="E32" t="s">
        <v>2028</v>
      </c>
      <c r="F32" t="s">
        <v>528</v>
      </c>
      <c r="G32" t="s">
        <v>768</v>
      </c>
      <c r="H32" t="s">
        <v>762</v>
      </c>
      <c r="I32">
        <v>5010301000</v>
      </c>
      <c r="J32" s="560">
        <v>67823.16</v>
      </c>
      <c r="K32" s="560">
        <f t="shared" si="0"/>
        <v>6</v>
      </c>
      <c r="L32" s="560">
        <f t="shared" si="2"/>
        <v>4</v>
      </c>
    </row>
    <row r="33" spans="1:19">
      <c r="B33" s="553">
        <v>44211</v>
      </c>
      <c r="C33" t="s">
        <v>767</v>
      </c>
      <c r="D33" s="281">
        <v>2</v>
      </c>
      <c r="E33" t="s">
        <v>2029</v>
      </c>
      <c r="F33" t="s">
        <v>530</v>
      </c>
      <c r="G33" t="s">
        <v>768</v>
      </c>
      <c r="H33" t="s">
        <v>762</v>
      </c>
      <c r="I33">
        <v>5010000000</v>
      </c>
      <c r="J33" s="560">
        <v>1200</v>
      </c>
      <c r="K33" s="560">
        <f t="shared" si="0"/>
        <v>6</v>
      </c>
      <c r="L33" s="560">
        <f t="shared" si="2"/>
        <v>3</v>
      </c>
    </row>
    <row r="34" spans="1:19">
      <c r="B34" s="553">
        <v>44211</v>
      </c>
      <c r="C34" t="s">
        <v>767</v>
      </c>
      <c r="D34" s="281">
        <v>2</v>
      </c>
      <c r="E34" t="s">
        <v>2030</v>
      </c>
      <c r="F34" t="s">
        <v>532</v>
      </c>
      <c r="G34" t="s">
        <v>768</v>
      </c>
      <c r="H34" t="s">
        <v>762</v>
      </c>
      <c r="I34">
        <v>5010000000</v>
      </c>
      <c r="J34" s="560">
        <v>7357.93</v>
      </c>
      <c r="K34" s="560">
        <f t="shared" si="0"/>
        <v>6</v>
      </c>
      <c r="L34" s="560">
        <f t="shared" si="2"/>
        <v>2</v>
      </c>
    </row>
    <row r="35" spans="1:19">
      <c r="A35" t="s">
        <v>2059</v>
      </c>
      <c r="B35" s="553">
        <v>44211</v>
      </c>
      <c r="C35" t="s">
        <v>767</v>
      </c>
      <c r="D35" s="281">
        <v>2</v>
      </c>
      <c r="E35" t="s">
        <v>2031</v>
      </c>
      <c r="F35" t="s">
        <v>534</v>
      </c>
      <c r="G35" t="s">
        <v>768</v>
      </c>
      <c r="H35" t="s">
        <v>762</v>
      </c>
      <c r="I35">
        <v>5010000000</v>
      </c>
      <c r="J35" s="560">
        <v>1200</v>
      </c>
      <c r="K35" s="560">
        <f t="shared" si="0"/>
        <v>6</v>
      </c>
      <c r="L35" s="560">
        <f t="shared" si="2"/>
        <v>1</v>
      </c>
      <c r="M35" s="560" t="e">
        <f>SUMIFS('[1]MAIN-101'!$Z$1:$Z$3000,'[1]MAIN-101'!$X$1:$X$3000,S35)</f>
        <v>#VALUE!</v>
      </c>
      <c r="N35" s="560"/>
      <c r="O35" s="560"/>
      <c r="S35" t="str">
        <f>VLOOKUP(C35,'Recon of ORS and DV'!$A$4:$B$358,2,FALSE)</f>
        <v>0009</v>
      </c>
    </row>
    <row r="36" spans="1:19">
      <c r="B36" s="553">
        <v>44214</v>
      </c>
      <c r="C36" t="s">
        <v>772</v>
      </c>
      <c r="D36" s="281">
        <v>1</v>
      </c>
      <c r="E36" t="s">
        <v>2032</v>
      </c>
      <c r="F36" t="s">
        <v>565</v>
      </c>
      <c r="G36" t="s">
        <v>773</v>
      </c>
      <c r="H36" t="s">
        <v>774</v>
      </c>
      <c r="I36">
        <v>5020000000</v>
      </c>
      <c r="J36" s="560">
        <v>1000</v>
      </c>
      <c r="K36" s="560">
        <f t="shared" si="0"/>
        <v>6</v>
      </c>
      <c r="L36" s="560">
        <f t="shared" si="2"/>
        <v>6</v>
      </c>
    </row>
    <row r="37" spans="1:19">
      <c r="B37" s="553">
        <v>44214</v>
      </c>
      <c r="C37" t="s">
        <v>772</v>
      </c>
      <c r="D37" s="281">
        <v>1</v>
      </c>
      <c r="E37" t="s">
        <v>2033</v>
      </c>
      <c r="F37" t="s">
        <v>593</v>
      </c>
      <c r="G37" t="s">
        <v>773</v>
      </c>
      <c r="H37" t="s">
        <v>774</v>
      </c>
      <c r="I37">
        <v>5020000000</v>
      </c>
      <c r="J37" s="560">
        <v>600</v>
      </c>
      <c r="K37" s="560">
        <f t="shared" si="0"/>
        <v>6</v>
      </c>
      <c r="L37" s="560">
        <f t="shared" si="2"/>
        <v>5</v>
      </c>
    </row>
    <row r="38" spans="1:19">
      <c r="B38" s="553">
        <v>44214</v>
      </c>
      <c r="C38" t="s">
        <v>772</v>
      </c>
      <c r="D38" s="281">
        <v>1</v>
      </c>
      <c r="E38" t="s">
        <v>1996</v>
      </c>
      <c r="F38" t="s">
        <v>676</v>
      </c>
      <c r="G38" t="s">
        <v>773</v>
      </c>
      <c r="H38" t="s">
        <v>774</v>
      </c>
      <c r="I38">
        <v>5020000000</v>
      </c>
      <c r="J38" s="560">
        <v>300</v>
      </c>
      <c r="K38" s="560">
        <f t="shared" si="0"/>
        <v>6</v>
      </c>
      <c r="L38" s="560">
        <f t="shared" si="2"/>
        <v>4</v>
      </c>
    </row>
    <row r="39" spans="1:19">
      <c r="B39" s="553">
        <v>44214</v>
      </c>
      <c r="C39" t="s">
        <v>772</v>
      </c>
      <c r="D39" s="281">
        <v>1</v>
      </c>
      <c r="E39" t="s">
        <v>1997</v>
      </c>
      <c r="F39" t="s">
        <v>642</v>
      </c>
      <c r="G39" t="s">
        <v>773</v>
      </c>
      <c r="H39" t="s">
        <v>774</v>
      </c>
      <c r="I39">
        <v>5020000000</v>
      </c>
      <c r="J39" s="560">
        <v>1500</v>
      </c>
      <c r="K39" s="560">
        <f t="shared" si="0"/>
        <v>6</v>
      </c>
      <c r="L39" s="560">
        <f t="shared" si="2"/>
        <v>3</v>
      </c>
    </row>
    <row r="40" spans="1:19">
      <c r="B40" s="553">
        <v>44214</v>
      </c>
      <c r="C40" t="s">
        <v>772</v>
      </c>
      <c r="D40" s="281">
        <v>1</v>
      </c>
      <c r="E40" t="s">
        <v>1998</v>
      </c>
      <c r="F40" t="s">
        <v>633</v>
      </c>
      <c r="G40" t="s">
        <v>773</v>
      </c>
      <c r="H40" t="s">
        <v>774</v>
      </c>
      <c r="I40">
        <v>5020000000</v>
      </c>
      <c r="J40" s="560">
        <v>1000</v>
      </c>
      <c r="K40" s="560">
        <f t="shared" si="0"/>
        <v>6</v>
      </c>
      <c r="L40" s="560">
        <f t="shared" si="2"/>
        <v>2</v>
      </c>
    </row>
    <row r="41" spans="1:19">
      <c r="A41" t="s">
        <v>2060</v>
      </c>
      <c r="B41" s="553">
        <v>44214</v>
      </c>
      <c r="C41" t="s">
        <v>772</v>
      </c>
      <c r="D41" s="281">
        <v>1</v>
      </c>
      <c r="E41" t="s">
        <v>1999</v>
      </c>
      <c r="F41" t="s">
        <v>672</v>
      </c>
      <c r="G41" t="s">
        <v>773</v>
      </c>
      <c r="H41" t="s">
        <v>774</v>
      </c>
      <c r="I41">
        <v>5020000000</v>
      </c>
      <c r="J41" s="560">
        <v>600</v>
      </c>
      <c r="K41" s="560">
        <f t="shared" si="0"/>
        <v>6</v>
      </c>
      <c r="L41" s="560">
        <f t="shared" si="2"/>
        <v>1</v>
      </c>
      <c r="M41" s="560" t="e">
        <f>SUMIFS('[1]MAIN-101'!$Z$1:$Z$3000,'[1]MAIN-101'!$X$1:$X$3000,S41)</f>
        <v>#VALUE!</v>
      </c>
      <c r="N41" s="560"/>
      <c r="O41" s="560"/>
      <c r="S41" t="str">
        <f>VLOOKUP(C41,'Recon of ORS and DV'!$A$4:$B$358,2,FALSE)</f>
        <v>0008</v>
      </c>
    </row>
    <row r="42" spans="1:19">
      <c r="B42" s="553">
        <v>44214</v>
      </c>
      <c r="C42" t="s">
        <v>775</v>
      </c>
      <c r="D42" s="281">
        <v>3</v>
      </c>
      <c r="E42" t="s">
        <v>2026</v>
      </c>
      <c r="F42" t="s">
        <v>499</v>
      </c>
      <c r="G42" t="s">
        <v>777</v>
      </c>
      <c r="H42" t="s">
        <v>762</v>
      </c>
      <c r="I42">
        <v>5010000000</v>
      </c>
      <c r="J42" s="560">
        <v>377147</v>
      </c>
      <c r="K42" s="560">
        <f t="shared" si="0"/>
        <v>6</v>
      </c>
      <c r="L42" s="560">
        <f t="shared" si="2"/>
        <v>6</v>
      </c>
    </row>
    <row r="43" spans="1:19">
      <c r="B43" s="553">
        <v>44214</v>
      </c>
      <c r="C43" t="s">
        <v>775</v>
      </c>
      <c r="D43" s="281">
        <v>3</v>
      </c>
      <c r="E43" t="s">
        <v>2027</v>
      </c>
      <c r="F43" t="s">
        <v>504</v>
      </c>
      <c r="G43" t="s">
        <v>777</v>
      </c>
      <c r="H43" t="s">
        <v>762</v>
      </c>
      <c r="I43">
        <v>5010000000</v>
      </c>
      <c r="J43" s="560">
        <v>22000</v>
      </c>
      <c r="K43" s="560">
        <f t="shared" si="0"/>
        <v>6</v>
      </c>
      <c r="L43" s="560">
        <f t="shared" si="2"/>
        <v>5</v>
      </c>
    </row>
    <row r="44" spans="1:19">
      <c r="B44" s="553">
        <v>44214</v>
      </c>
      <c r="C44" t="s">
        <v>775</v>
      </c>
      <c r="D44" s="281">
        <v>3</v>
      </c>
      <c r="E44" t="s">
        <v>2028</v>
      </c>
      <c r="F44" t="s">
        <v>528</v>
      </c>
      <c r="G44" t="s">
        <v>777</v>
      </c>
      <c r="H44" t="s">
        <v>762</v>
      </c>
      <c r="I44">
        <v>5010301000</v>
      </c>
      <c r="J44" s="560">
        <v>45257.64</v>
      </c>
      <c r="K44" s="560">
        <f t="shared" si="0"/>
        <v>6</v>
      </c>
      <c r="L44" s="560">
        <f t="shared" si="2"/>
        <v>4</v>
      </c>
    </row>
    <row r="45" spans="1:19">
      <c r="B45" s="553">
        <v>44214</v>
      </c>
      <c r="C45" t="s">
        <v>775</v>
      </c>
      <c r="D45" s="281">
        <v>3</v>
      </c>
      <c r="E45" t="s">
        <v>2029</v>
      </c>
      <c r="F45" t="s">
        <v>530</v>
      </c>
      <c r="G45" t="s">
        <v>777</v>
      </c>
      <c r="H45" t="s">
        <v>762</v>
      </c>
      <c r="I45">
        <v>5010000000</v>
      </c>
      <c r="J45" s="560">
        <v>1100</v>
      </c>
      <c r="K45" s="560">
        <f t="shared" si="0"/>
        <v>6</v>
      </c>
      <c r="L45" s="560">
        <f t="shared" si="2"/>
        <v>3</v>
      </c>
    </row>
    <row r="46" spans="1:19">
      <c r="B46" s="553">
        <v>44214</v>
      </c>
      <c r="C46" t="s">
        <v>775</v>
      </c>
      <c r="D46" s="281">
        <v>3</v>
      </c>
      <c r="E46" t="s">
        <v>2030</v>
      </c>
      <c r="F46" t="s">
        <v>532</v>
      </c>
      <c r="G46" t="s">
        <v>777</v>
      </c>
      <c r="H46" t="s">
        <v>762</v>
      </c>
      <c r="I46">
        <v>5010000000</v>
      </c>
      <c r="J46" s="560">
        <v>5521.98</v>
      </c>
      <c r="K46" s="560">
        <f t="shared" si="0"/>
        <v>6</v>
      </c>
      <c r="L46" s="560">
        <f t="shared" si="2"/>
        <v>2</v>
      </c>
    </row>
    <row r="47" spans="1:19">
      <c r="A47" t="s">
        <v>2061</v>
      </c>
      <c r="B47" s="553">
        <v>44214</v>
      </c>
      <c r="C47" t="s">
        <v>775</v>
      </c>
      <c r="D47" s="281">
        <v>3</v>
      </c>
      <c r="E47" t="s">
        <v>2031</v>
      </c>
      <c r="F47" t="s">
        <v>534</v>
      </c>
      <c r="G47" t="s">
        <v>777</v>
      </c>
      <c r="H47" t="s">
        <v>762</v>
      </c>
      <c r="I47">
        <v>5010000000</v>
      </c>
      <c r="J47" s="560">
        <v>1100</v>
      </c>
      <c r="K47" s="560">
        <f t="shared" si="0"/>
        <v>6</v>
      </c>
      <c r="L47" s="560">
        <f t="shared" si="2"/>
        <v>1</v>
      </c>
      <c r="M47" s="560" t="e">
        <f>SUMIFS('[1]MAIN-101'!$Z$1:$Z$3000,'[1]MAIN-101'!$X$1:$X$3000,S47)</f>
        <v>#VALUE!</v>
      </c>
      <c r="N47" s="560"/>
      <c r="O47" s="560"/>
      <c r="S47" t="str">
        <f>VLOOKUP(C47,'Recon of ORS and DV'!$A$4:$B$358,2,FALSE)</f>
        <v>0012</v>
      </c>
    </row>
    <row r="48" spans="1:19">
      <c r="A48" t="s">
        <v>2062</v>
      </c>
      <c r="B48" s="553">
        <v>44214</v>
      </c>
      <c r="C48" t="s">
        <v>778</v>
      </c>
      <c r="D48" s="281">
        <v>1</v>
      </c>
      <c r="E48" t="s">
        <v>2000</v>
      </c>
      <c r="F48" t="s">
        <v>683</v>
      </c>
      <c r="G48" t="s">
        <v>779</v>
      </c>
      <c r="H48" t="s">
        <v>850</v>
      </c>
      <c r="I48">
        <v>5020000000</v>
      </c>
      <c r="J48" s="560">
        <v>160190.04</v>
      </c>
      <c r="K48" s="560">
        <f t="shared" si="0"/>
        <v>1</v>
      </c>
      <c r="L48" s="560">
        <f t="shared" si="2"/>
        <v>1</v>
      </c>
      <c r="M48" s="560" t="e">
        <f>SUMIFS('[1]MAIN-101'!$Z$1:$Z$3000,'[1]MAIN-101'!$X$1:$X$3000,S48)</f>
        <v>#VALUE!</v>
      </c>
      <c r="N48" s="560"/>
      <c r="O48" s="560"/>
      <c r="S48" t="str">
        <f>VLOOKUP(C48,'Recon of ORS and DV'!$A$4:$B$358,2,FALSE)</f>
        <v>0063</v>
      </c>
    </row>
    <row r="49" spans="1:19">
      <c r="A49" t="s">
        <v>2063</v>
      </c>
      <c r="B49" s="553">
        <v>44214</v>
      </c>
      <c r="C49" t="s">
        <v>849</v>
      </c>
      <c r="D49" s="281">
        <v>1</v>
      </c>
      <c r="E49" t="s">
        <v>2000</v>
      </c>
      <c r="F49" t="s">
        <v>683</v>
      </c>
      <c r="G49" t="s">
        <v>779</v>
      </c>
      <c r="H49" t="s">
        <v>780</v>
      </c>
      <c r="I49">
        <v>5020000000</v>
      </c>
      <c r="J49" s="560">
        <v>10311.43</v>
      </c>
      <c r="K49" s="560">
        <f t="shared" si="0"/>
        <v>1</v>
      </c>
      <c r="L49" s="560">
        <f t="shared" si="2"/>
        <v>1</v>
      </c>
      <c r="M49" s="560" t="e">
        <f>SUMIFS('[1]MAIN-101'!$Z$1:$Z$3000,'[1]MAIN-101'!$X$1:$X$3000,S49)</f>
        <v>#VALUE!</v>
      </c>
      <c r="N49" s="560"/>
      <c r="O49" s="560"/>
      <c r="S49" t="str">
        <f>VLOOKUP(C49,'Recon of ORS and DV'!$A$4:$B$358,2,FALSE)</f>
        <v>0064</v>
      </c>
    </row>
    <row r="50" spans="1:19">
      <c r="A50" t="s">
        <v>2064</v>
      </c>
      <c r="B50" s="553">
        <v>44215</v>
      </c>
      <c r="C50" t="s">
        <v>781</v>
      </c>
      <c r="D50" s="281">
        <v>1</v>
      </c>
      <c r="E50" t="s">
        <v>2001</v>
      </c>
      <c r="F50" t="s">
        <v>669</v>
      </c>
      <c r="G50" t="s">
        <v>782</v>
      </c>
      <c r="H50" t="s">
        <v>783</v>
      </c>
      <c r="I50">
        <v>5020000000</v>
      </c>
      <c r="J50" s="560">
        <v>11250</v>
      </c>
      <c r="K50" s="560">
        <f t="shared" si="0"/>
        <v>1</v>
      </c>
      <c r="L50" s="560">
        <f t="shared" si="2"/>
        <v>1</v>
      </c>
      <c r="M50" s="560" t="e">
        <f>SUMIFS('[1]MAIN-101'!$Z$1:$Z$3000,'[1]MAIN-101'!$X$1:$X$3000,S50)</f>
        <v>#VALUE!</v>
      </c>
      <c r="N50" s="560"/>
      <c r="O50" s="560"/>
      <c r="S50" t="str">
        <f>VLOOKUP(C50,'Recon of ORS and DV'!$A$4:$B$358,2,FALSE)</f>
        <v>0026</v>
      </c>
    </row>
    <row r="51" spans="1:19">
      <c r="B51" s="553">
        <v>44215</v>
      </c>
      <c r="C51" t="s">
        <v>787</v>
      </c>
      <c r="D51" s="281">
        <v>4</v>
      </c>
      <c r="E51" t="s">
        <v>2026</v>
      </c>
      <c r="F51" t="s">
        <v>499</v>
      </c>
      <c r="G51" t="s">
        <v>789</v>
      </c>
      <c r="H51" t="s">
        <v>762</v>
      </c>
      <c r="I51">
        <v>5010000000</v>
      </c>
      <c r="J51" s="560">
        <v>487450</v>
      </c>
      <c r="K51" s="560">
        <f t="shared" si="0"/>
        <v>6</v>
      </c>
      <c r="L51" s="560">
        <f t="shared" si="2"/>
        <v>6</v>
      </c>
    </row>
    <row r="52" spans="1:19">
      <c r="B52" s="553">
        <v>44215</v>
      </c>
      <c r="C52" t="s">
        <v>787</v>
      </c>
      <c r="D52" s="281">
        <v>4</v>
      </c>
      <c r="E52" t="s">
        <v>2027</v>
      </c>
      <c r="F52" t="s">
        <v>504</v>
      </c>
      <c r="G52" t="s">
        <v>789</v>
      </c>
      <c r="H52" t="s">
        <v>762</v>
      </c>
      <c r="I52">
        <v>5010000000</v>
      </c>
      <c r="J52" s="560">
        <v>20000</v>
      </c>
      <c r="K52" s="560">
        <f t="shared" si="0"/>
        <v>6</v>
      </c>
      <c r="L52" s="560">
        <f t="shared" si="2"/>
        <v>5</v>
      </c>
    </row>
    <row r="53" spans="1:19">
      <c r="B53" s="553">
        <v>44215</v>
      </c>
      <c r="C53" t="s">
        <v>787</v>
      </c>
      <c r="D53" s="281">
        <v>4</v>
      </c>
      <c r="E53" t="s">
        <v>2028</v>
      </c>
      <c r="F53" t="s">
        <v>528</v>
      </c>
      <c r="G53" t="s">
        <v>789</v>
      </c>
      <c r="H53" t="s">
        <v>762</v>
      </c>
      <c r="I53">
        <v>5010301000</v>
      </c>
      <c r="J53" s="560">
        <v>58494</v>
      </c>
      <c r="K53" s="560">
        <f t="shared" si="0"/>
        <v>6</v>
      </c>
      <c r="L53" s="560">
        <f t="shared" si="2"/>
        <v>4</v>
      </c>
    </row>
    <row r="54" spans="1:19">
      <c r="B54" s="553">
        <v>44215</v>
      </c>
      <c r="C54" t="s">
        <v>787</v>
      </c>
      <c r="D54" s="281">
        <v>4</v>
      </c>
      <c r="E54" t="s">
        <v>2029</v>
      </c>
      <c r="F54" t="s">
        <v>530</v>
      </c>
      <c r="G54" t="s">
        <v>789</v>
      </c>
      <c r="H54" t="s">
        <v>762</v>
      </c>
      <c r="I54">
        <v>5010000000</v>
      </c>
      <c r="J54" s="560">
        <v>1000</v>
      </c>
      <c r="K54" s="560">
        <f t="shared" si="0"/>
        <v>6</v>
      </c>
      <c r="L54" s="560">
        <f t="shared" si="2"/>
        <v>3</v>
      </c>
    </row>
    <row r="55" spans="1:19">
      <c r="B55" s="553">
        <v>44215</v>
      </c>
      <c r="C55" t="s">
        <v>787</v>
      </c>
      <c r="D55" s="281">
        <v>4</v>
      </c>
      <c r="E55" t="s">
        <v>2030</v>
      </c>
      <c r="F55" t="s">
        <v>532</v>
      </c>
      <c r="G55" t="s">
        <v>789</v>
      </c>
      <c r="H55" t="s">
        <v>762</v>
      </c>
      <c r="I55">
        <v>5010000000</v>
      </c>
      <c r="J55" s="560">
        <v>6170.95</v>
      </c>
      <c r="K55" s="560">
        <f t="shared" si="0"/>
        <v>6</v>
      </c>
      <c r="L55" s="560">
        <f t="shared" si="2"/>
        <v>2</v>
      </c>
    </row>
    <row r="56" spans="1:19">
      <c r="A56" t="s">
        <v>2065</v>
      </c>
      <c r="B56" s="553">
        <v>44215</v>
      </c>
      <c r="C56" t="s">
        <v>787</v>
      </c>
      <c r="D56" s="281">
        <v>4</v>
      </c>
      <c r="E56" t="s">
        <v>2031</v>
      </c>
      <c r="F56" t="s">
        <v>534</v>
      </c>
      <c r="G56" t="s">
        <v>789</v>
      </c>
      <c r="H56" t="s">
        <v>762</v>
      </c>
      <c r="I56">
        <v>5010000000</v>
      </c>
      <c r="J56" s="560">
        <v>1000</v>
      </c>
      <c r="K56" s="560">
        <f t="shared" si="0"/>
        <v>6</v>
      </c>
      <c r="L56" s="560">
        <f t="shared" si="2"/>
        <v>1</v>
      </c>
      <c r="M56" s="560" t="e">
        <f>SUMIFS('[1]MAIN-101'!$Z$1:$Z$3000,'[1]MAIN-101'!$X$1:$X$3000,S56)</f>
        <v>#VALUE!</v>
      </c>
      <c r="N56" s="560"/>
      <c r="O56" s="560"/>
      <c r="S56" t="str">
        <f>VLOOKUP(C56,'Recon of ORS and DV'!$A$4:$B$358,2,FALSE)</f>
        <v>0027</v>
      </c>
    </row>
    <row r="57" spans="1:19">
      <c r="A57" t="s">
        <v>2066</v>
      </c>
      <c r="B57" s="553">
        <v>44215</v>
      </c>
      <c r="C57" t="s">
        <v>790</v>
      </c>
      <c r="D57" s="281">
        <v>1</v>
      </c>
      <c r="E57" t="s">
        <v>2002</v>
      </c>
      <c r="F57" t="s">
        <v>603</v>
      </c>
      <c r="G57" t="s">
        <v>791</v>
      </c>
      <c r="H57" t="s">
        <v>792</v>
      </c>
      <c r="I57">
        <v>5020000000</v>
      </c>
      <c r="J57" s="560">
        <v>2500</v>
      </c>
      <c r="K57" s="560">
        <f t="shared" si="0"/>
        <v>1</v>
      </c>
      <c r="L57" s="560">
        <f t="shared" si="2"/>
        <v>1</v>
      </c>
      <c r="M57" s="560" t="e">
        <f>SUMIFS('[1]MAIN-101'!$Z$1:$Z$3000,'[1]MAIN-101'!$X$1:$X$3000,S57)</f>
        <v>#VALUE!</v>
      </c>
      <c r="N57" s="560"/>
      <c r="O57" s="560"/>
      <c r="S57" t="str">
        <f>VLOOKUP(C57,'Recon of ORS and DV'!$A$4:$B$358,2,FALSE)</f>
        <v>0028</v>
      </c>
    </row>
    <row r="58" spans="1:19">
      <c r="A58" t="s">
        <v>2067</v>
      </c>
      <c r="B58" s="553">
        <v>44215</v>
      </c>
      <c r="C58" t="s">
        <v>793</v>
      </c>
      <c r="D58" s="281">
        <v>1</v>
      </c>
      <c r="E58" t="s">
        <v>2003</v>
      </c>
      <c r="F58" t="s">
        <v>609</v>
      </c>
      <c r="G58" t="s">
        <v>794</v>
      </c>
      <c r="H58" t="s">
        <v>795</v>
      </c>
      <c r="I58">
        <v>5020000000</v>
      </c>
      <c r="J58" s="560">
        <v>0</v>
      </c>
      <c r="K58" s="560">
        <f t="shared" si="0"/>
        <v>1</v>
      </c>
      <c r="L58" s="560">
        <f t="shared" si="2"/>
        <v>1</v>
      </c>
      <c r="M58" s="560" t="e">
        <f>SUMIFS('[1]MAIN-101'!$Z$1:$Z$3000,'[1]MAIN-101'!$X$1:$X$3000,S58)</f>
        <v>#VALUE!</v>
      </c>
      <c r="N58" s="560"/>
      <c r="O58" s="560"/>
      <c r="S58" t="str">
        <f>VLOOKUP(C58,'Recon of ORS and DV'!$A$4:$B$358,2,FALSE)</f>
        <v>0029</v>
      </c>
    </row>
    <row r="59" spans="1:19">
      <c r="B59" s="553">
        <v>44217</v>
      </c>
      <c r="C59" t="s">
        <v>807</v>
      </c>
      <c r="D59" s="281">
        <v>1</v>
      </c>
      <c r="E59" t="s">
        <v>2032</v>
      </c>
      <c r="F59" t="s">
        <v>565</v>
      </c>
      <c r="G59" t="s">
        <v>773</v>
      </c>
      <c r="H59" t="s">
        <v>808</v>
      </c>
      <c r="I59">
        <v>5020000000</v>
      </c>
      <c r="J59" s="560">
        <v>1834.25</v>
      </c>
      <c r="K59" s="560">
        <f t="shared" si="0"/>
        <v>4</v>
      </c>
      <c r="L59" s="560">
        <f t="shared" si="2"/>
        <v>4</v>
      </c>
    </row>
    <row r="60" spans="1:19">
      <c r="B60" s="553">
        <v>44217</v>
      </c>
      <c r="C60" t="s">
        <v>807</v>
      </c>
      <c r="D60" s="281">
        <v>1</v>
      </c>
      <c r="E60" t="s">
        <v>2004</v>
      </c>
      <c r="F60" t="s">
        <v>629</v>
      </c>
      <c r="G60" t="s">
        <v>773</v>
      </c>
      <c r="H60" t="s">
        <v>808</v>
      </c>
      <c r="I60">
        <v>5020000000</v>
      </c>
      <c r="J60" s="560">
        <v>219</v>
      </c>
      <c r="K60" s="560">
        <f t="shared" si="0"/>
        <v>4</v>
      </c>
      <c r="L60" s="560">
        <f t="shared" si="2"/>
        <v>3</v>
      </c>
    </row>
    <row r="61" spans="1:19">
      <c r="B61" s="553">
        <v>44217</v>
      </c>
      <c r="C61" t="s">
        <v>807</v>
      </c>
      <c r="D61" s="281">
        <v>1</v>
      </c>
      <c r="E61" t="s">
        <v>1997</v>
      </c>
      <c r="F61" t="s">
        <v>642</v>
      </c>
      <c r="G61" t="s">
        <v>773</v>
      </c>
      <c r="H61" t="s">
        <v>808</v>
      </c>
      <c r="I61">
        <v>5020000000</v>
      </c>
      <c r="J61" s="560">
        <v>1960</v>
      </c>
      <c r="K61" s="560">
        <f t="shared" si="0"/>
        <v>4</v>
      </c>
      <c r="L61" s="560">
        <f t="shared" si="2"/>
        <v>2</v>
      </c>
    </row>
    <row r="62" spans="1:19">
      <c r="A62" t="s">
        <v>2419</v>
      </c>
      <c r="B62" s="553">
        <v>44217</v>
      </c>
      <c r="C62" t="s">
        <v>807</v>
      </c>
      <c r="D62" s="281">
        <v>1</v>
      </c>
      <c r="E62" t="s">
        <v>1998</v>
      </c>
      <c r="F62" t="s">
        <v>633</v>
      </c>
      <c r="G62" t="s">
        <v>773</v>
      </c>
      <c r="H62" t="s">
        <v>808</v>
      </c>
      <c r="I62">
        <v>5020000000</v>
      </c>
      <c r="J62" s="560">
        <v>300</v>
      </c>
      <c r="K62" s="560">
        <f t="shared" si="0"/>
        <v>4</v>
      </c>
      <c r="L62" s="560">
        <f t="shared" si="2"/>
        <v>1</v>
      </c>
      <c r="M62" s="560" t="e">
        <f>SUMIFS('[1]MAIN-101'!$Z$1:$Z$3000,'[1]MAIN-101'!$X$1:$X$3000,S62)</f>
        <v>#VALUE!</v>
      </c>
      <c r="N62" s="560"/>
      <c r="O62" s="560"/>
      <c r="S62" t="str">
        <f>VLOOKUP(C62,'Recon of ORS and DV'!$A$4:$B$358,2,FALSE)</f>
        <v>0060</v>
      </c>
    </row>
    <row r="63" spans="1:19">
      <c r="A63" t="s">
        <v>2068</v>
      </c>
      <c r="B63" s="553">
        <v>44218</v>
      </c>
      <c r="C63" t="s">
        <v>809</v>
      </c>
      <c r="D63" s="281">
        <v>4</v>
      </c>
      <c r="E63" t="s">
        <v>2034</v>
      </c>
      <c r="F63" t="s">
        <v>581</v>
      </c>
      <c r="G63" t="s">
        <v>810</v>
      </c>
      <c r="H63" t="s">
        <v>811</v>
      </c>
      <c r="I63">
        <v>5020000000</v>
      </c>
      <c r="J63" s="560">
        <v>22550.49</v>
      </c>
      <c r="K63" s="560">
        <f t="shared" si="0"/>
        <v>1</v>
      </c>
      <c r="L63" s="560">
        <f t="shared" si="2"/>
        <v>1</v>
      </c>
      <c r="M63" s="560" t="e">
        <f>SUMIFS('[1]MAIN-101'!$Z$1:$Z$3000,'[1]MAIN-101'!$X$1:$X$3000,S63)</f>
        <v>#VALUE!</v>
      </c>
      <c r="N63" s="560"/>
      <c r="O63" s="560"/>
      <c r="S63" t="str">
        <f>VLOOKUP(C63,'Recon of ORS and DV'!$A$4:$B$358,2,FALSE)</f>
        <v>0048</v>
      </c>
    </row>
    <row r="64" spans="1:19">
      <c r="A64" t="s">
        <v>2073</v>
      </c>
      <c r="B64" s="553">
        <v>44221</v>
      </c>
      <c r="C64" t="s">
        <v>817</v>
      </c>
      <c r="D64" s="281">
        <v>1</v>
      </c>
      <c r="E64" t="s">
        <v>2005</v>
      </c>
      <c r="F64" t="s">
        <v>678</v>
      </c>
      <c r="G64" t="s">
        <v>818</v>
      </c>
      <c r="H64" t="s">
        <v>819</v>
      </c>
      <c r="I64">
        <v>5020000000</v>
      </c>
      <c r="J64" s="560">
        <v>7800</v>
      </c>
      <c r="K64" s="560">
        <f t="shared" si="0"/>
        <v>1</v>
      </c>
      <c r="L64" s="560">
        <f t="shared" si="2"/>
        <v>1</v>
      </c>
      <c r="M64" s="560" t="e">
        <f>SUMIFS('[1]MAIN-101'!$Z$1:$Z$3000,'[1]MAIN-101'!$X$1:$X$3000,S64)</f>
        <v>#VALUE!</v>
      </c>
      <c r="N64" s="560"/>
      <c r="O64" s="560"/>
      <c r="S64" t="str">
        <f>VLOOKUP(C64,'Recon of ORS and DV'!$A$4:$B$358,2,FALSE)</f>
        <v>0053</v>
      </c>
    </row>
    <row r="65" spans="1:19">
      <c r="A65" t="s">
        <v>2069</v>
      </c>
      <c r="B65" s="553">
        <v>44221</v>
      </c>
      <c r="C65" t="s">
        <v>824</v>
      </c>
      <c r="D65" s="281">
        <v>1</v>
      </c>
      <c r="E65" t="s">
        <v>2005</v>
      </c>
      <c r="F65" t="s">
        <v>678</v>
      </c>
      <c r="G65" t="s">
        <v>820</v>
      </c>
      <c r="H65" t="s">
        <v>819</v>
      </c>
      <c r="I65">
        <v>5020000000</v>
      </c>
      <c r="J65" s="560">
        <v>7800</v>
      </c>
      <c r="K65" s="560">
        <f t="shared" si="0"/>
        <v>1</v>
      </c>
      <c r="L65" s="560">
        <f t="shared" si="2"/>
        <v>1</v>
      </c>
      <c r="M65" s="560" t="e">
        <f>SUMIFS('[1]MAIN-101'!$Z$1:$Z$3000,'[1]MAIN-101'!$X$1:$X$3000,S65)</f>
        <v>#VALUE!</v>
      </c>
      <c r="N65" s="560"/>
      <c r="O65" s="560"/>
      <c r="S65" t="str">
        <f>VLOOKUP(C65,'Recon of ORS and DV'!$A$4:$B$358,2,FALSE)</f>
        <v>0049</v>
      </c>
    </row>
    <row r="66" spans="1:19">
      <c r="A66" t="s">
        <v>2070</v>
      </c>
      <c r="B66" s="553">
        <v>44221</v>
      </c>
      <c r="C66" t="s">
        <v>825</v>
      </c>
      <c r="D66" s="281">
        <v>1</v>
      </c>
      <c r="E66" t="s">
        <v>2005</v>
      </c>
      <c r="F66" t="s">
        <v>678</v>
      </c>
      <c r="G66" t="s">
        <v>821</v>
      </c>
      <c r="H66" t="s">
        <v>819</v>
      </c>
      <c r="I66">
        <v>5020000000</v>
      </c>
      <c r="J66" s="560">
        <v>7800</v>
      </c>
      <c r="K66" s="560">
        <f t="shared" si="0"/>
        <v>1</v>
      </c>
      <c r="L66" s="560">
        <f t="shared" si="2"/>
        <v>1</v>
      </c>
      <c r="M66" s="560" t="e">
        <f>SUMIFS('[1]MAIN-101'!$Z$1:$Z$3000,'[1]MAIN-101'!$X$1:$X$3000,S66)</f>
        <v>#VALUE!</v>
      </c>
      <c r="N66" s="560"/>
      <c r="O66" s="560"/>
      <c r="S66" t="str">
        <f>VLOOKUP(C66,'Recon of ORS and DV'!$A$4:$B$358,2,FALSE)</f>
        <v>0050</v>
      </c>
    </row>
    <row r="67" spans="1:19">
      <c r="A67" t="s">
        <v>2071</v>
      </c>
      <c r="B67" s="553">
        <v>44221</v>
      </c>
      <c r="C67" t="s">
        <v>826</v>
      </c>
      <c r="D67" s="281">
        <v>1</v>
      </c>
      <c r="E67" t="s">
        <v>2005</v>
      </c>
      <c r="F67" t="s">
        <v>678</v>
      </c>
      <c r="G67" t="s">
        <v>822</v>
      </c>
      <c r="H67" t="s">
        <v>819</v>
      </c>
      <c r="I67">
        <v>5020000000</v>
      </c>
      <c r="J67" s="560">
        <v>7800</v>
      </c>
      <c r="K67" s="560">
        <f t="shared" si="0"/>
        <v>1</v>
      </c>
      <c r="L67" s="560">
        <f t="shared" si="2"/>
        <v>1</v>
      </c>
      <c r="M67" s="560" t="e">
        <f>SUMIFS('[1]MAIN-101'!$Z$1:$Z$3000,'[1]MAIN-101'!$X$1:$X$3000,S67)</f>
        <v>#VALUE!</v>
      </c>
      <c r="N67" s="560"/>
      <c r="O67" s="560"/>
      <c r="S67" t="str">
        <f>VLOOKUP(C67,'Recon of ORS and DV'!$A$4:$B$358,2,FALSE)</f>
        <v>0051</v>
      </c>
    </row>
    <row r="68" spans="1:19">
      <c r="A68" t="s">
        <v>2072</v>
      </c>
      <c r="B68" s="553">
        <v>44221</v>
      </c>
      <c r="C68" t="s">
        <v>827</v>
      </c>
      <c r="D68" s="281">
        <v>1</v>
      </c>
      <c r="E68" t="s">
        <v>2005</v>
      </c>
      <c r="F68" t="s">
        <v>678</v>
      </c>
      <c r="G68" t="s">
        <v>823</v>
      </c>
      <c r="H68" t="s">
        <v>819</v>
      </c>
      <c r="I68">
        <v>5020000000</v>
      </c>
      <c r="J68" s="560">
        <v>7800</v>
      </c>
      <c r="K68" s="560">
        <f t="shared" ref="K68:K131" si="3">COUNTIFS($C$3:$C$1556,C68)</f>
        <v>1</v>
      </c>
      <c r="L68" s="560">
        <f t="shared" si="2"/>
        <v>1</v>
      </c>
      <c r="M68" s="560" t="e">
        <f>SUMIFS('[1]MAIN-101'!$Z$1:$Z$3000,'[1]MAIN-101'!$X$1:$X$3000,S68)</f>
        <v>#VALUE!</v>
      </c>
      <c r="N68" s="560"/>
      <c r="O68" s="560"/>
      <c r="S68" t="str">
        <f>VLOOKUP(C68,'Recon of ORS and DV'!$A$4:$B$358,2,FALSE)</f>
        <v>0052</v>
      </c>
    </row>
    <row r="69" spans="1:19">
      <c r="A69" t="s">
        <v>2425</v>
      </c>
      <c r="B69" s="553">
        <v>44222</v>
      </c>
      <c r="C69" t="s">
        <v>829</v>
      </c>
      <c r="D69" s="281">
        <v>10</v>
      </c>
      <c r="E69" t="s">
        <v>2006</v>
      </c>
      <c r="F69" t="s">
        <v>651</v>
      </c>
      <c r="G69" t="s">
        <v>830</v>
      </c>
      <c r="H69" t="s">
        <v>831</v>
      </c>
      <c r="I69">
        <v>5060000000</v>
      </c>
      <c r="J69" s="560">
        <v>59500</v>
      </c>
      <c r="K69" s="560">
        <f t="shared" si="3"/>
        <v>1</v>
      </c>
      <c r="L69" s="560">
        <f t="shared" si="2"/>
        <v>1</v>
      </c>
      <c r="M69" s="560" t="e">
        <f>SUMIFS('[1]MAIN-101'!$Z$1:$Z$3000,'[1]MAIN-101'!$X$1:$X$3000,S69)</f>
        <v>#VALUE!</v>
      </c>
      <c r="N69" s="560"/>
      <c r="O69" s="560"/>
      <c r="S69" t="str">
        <f>VLOOKUP(C69,'Recon of ORS and DV'!$A$4:$B$358,2,FALSE)</f>
        <v>0068</v>
      </c>
    </row>
    <row r="70" spans="1:19">
      <c r="B70" s="553">
        <v>44222</v>
      </c>
      <c r="C70" t="s">
        <v>832</v>
      </c>
      <c r="D70" s="281">
        <v>1</v>
      </c>
      <c r="E70" t="s">
        <v>2026</v>
      </c>
      <c r="F70" t="s">
        <v>499</v>
      </c>
      <c r="G70" t="s">
        <v>833</v>
      </c>
      <c r="H70" t="s">
        <v>834</v>
      </c>
      <c r="I70">
        <v>5010000000</v>
      </c>
      <c r="J70" s="560">
        <v>14112.73</v>
      </c>
      <c r="K70" s="560">
        <f t="shared" si="3"/>
        <v>6</v>
      </c>
      <c r="L70" s="560">
        <f t="shared" si="2"/>
        <v>6</v>
      </c>
    </row>
    <row r="71" spans="1:19">
      <c r="B71" s="553">
        <v>44222</v>
      </c>
      <c r="C71" t="s">
        <v>832</v>
      </c>
      <c r="D71" s="281">
        <v>1</v>
      </c>
      <c r="E71" t="s">
        <v>2027</v>
      </c>
      <c r="F71" t="s">
        <v>504</v>
      </c>
      <c r="G71" t="s">
        <v>833</v>
      </c>
      <c r="H71" t="s">
        <v>834</v>
      </c>
      <c r="I71">
        <v>5010000000</v>
      </c>
      <c r="J71" s="560">
        <v>1818.18</v>
      </c>
      <c r="K71" s="560">
        <f t="shared" si="3"/>
        <v>6</v>
      </c>
      <c r="L71" s="560">
        <f t="shared" si="2"/>
        <v>5</v>
      </c>
    </row>
    <row r="72" spans="1:19">
      <c r="B72" s="553">
        <v>44222</v>
      </c>
      <c r="C72" t="s">
        <v>832</v>
      </c>
      <c r="D72" s="281">
        <v>1</v>
      </c>
      <c r="E72" t="s">
        <v>2028</v>
      </c>
      <c r="F72" t="s">
        <v>528</v>
      </c>
      <c r="G72" t="s">
        <v>833</v>
      </c>
      <c r="H72" t="s">
        <v>834</v>
      </c>
      <c r="I72">
        <v>5010301000</v>
      </c>
      <c r="J72" s="560">
        <v>1682.6</v>
      </c>
      <c r="K72" s="560">
        <f t="shared" si="3"/>
        <v>6</v>
      </c>
      <c r="L72" s="560">
        <f t="shared" si="2"/>
        <v>4</v>
      </c>
    </row>
    <row r="73" spans="1:19">
      <c r="B73" s="553">
        <v>44222</v>
      </c>
      <c r="C73" t="s">
        <v>832</v>
      </c>
      <c r="D73" s="281">
        <v>1</v>
      </c>
      <c r="E73" t="s">
        <v>2029</v>
      </c>
      <c r="F73" t="s">
        <v>530</v>
      </c>
      <c r="G73" t="s">
        <v>833</v>
      </c>
      <c r="H73" t="s">
        <v>834</v>
      </c>
      <c r="I73">
        <v>5010000000</v>
      </c>
      <c r="J73" s="560">
        <v>100</v>
      </c>
      <c r="K73" s="560">
        <f t="shared" si="3"/>
        <v>6</v>
      </c>
      <c r="L73" s="560">
        <f t="shared" si="2"/>
        <v>3</v>
      </c>
    </row>
    <row r="74" spans="1:19">
      <c r="B74" s="553">
        <v>44222</v>
      </c>
      <c r="C74" t="s">
        <v>832</v>
      </c>
      <c r="D74" s="281">
        <v>1</v>
      </c>
      <c r="E74" t="s">
        <v>2030</v>
      </c>
      <c r="F74" t="s">
        <v>532</v>
      </c>
      <c r="G74" t="s">
        <v>833</v>
      </c>
      <c r="H74" t="s">
        <v>834</v>
      </c>
      <c r="I74">
        <v>5010000000</v>
      </c>
      <c r="J74" s="560">
        <v>232.86</v>
      </c>
      <c r="K74" s="560">
        <f t="shared" si="3"/>
        <v>6</v>
      </c>
      <c r="L74" s="560">
        <f t="shared" si="2"/>
        <v>2</v>
      </c>
    </row>
    <row r="75" spans="1:19">
      <c r="A75" t="s">
        <v>2074</v>
      </c>
      <c r="B75" s="553">
        <v>44222</v>
      </c>
      <c r="C75" t="s">
        <v>832</v>
      </c>
      <c r="D75" s="281">
        <v>1</v>
      </c>
      <c r="E75" t="s">
        <v>2031</v>
      </c>
      <c r="F75" t="s">
        <v>534</v>
      </c>
      <c r="G75" t="s">
        <v>833</v>
      </c>
      <c r="H75" t="s">
        <v>834</v>
      </c>
      <c r="I75">
        <v>5010000000</v>
      </c>
      <c r="J75" s="560">
        <v>100</v>
      </c>
      <c r="K75" s="560">
        <f t="shared" si="3"/>
        <v>6</v>
      </c>
      <c r="L75" s="560">
        <f t="shared" si="2"/>
        <v>1</v>
      </c>
      <c r="M75" s="560" t="e">
        <f>SUMIFS('[1]MAIN-101'!$Z$1:$Z$3000,'[1]MAIN-101'!$X$1:$X$3000,S75)</f>
        <v>#VALUE!</v>
      </c>
      <c r="N75" s="560"/>
      <c r="O75" s="560"/>
      <c r="S75" t="str">
        <f>VLOOKUP(C75,'Recon of ORS and DV'!$A$4:$B$358,2,FALSE)</f>
        <v>0069</v>
      </c>
    </row>
    <row r="76" spans="1:19">
      <c r="A76" t="s">
        <v>2075</v>
      </c>
      <c r="B76" s="553">
        <v>44223</v>
      </c>
      <c r="C76" t="s">
        <v>835</v>
      </c>
      <c r="D76" s="281">
        <v>1</v>
      </c>
      <c r="E76" t="s">
        <v>2035</v>
      </c>
      <c r="F76" t="s">
        <v>596</v>
      </c>
      <c r="G76" t="s">
        <v>836</v>
      </c>
      <c r="H76" t="s">
        <v>837</v>
      </c>
      <c r="I76">
        <v>5020000000</v>
      </c>
      <c r="J76" s="560">
        <v>3675</v>
      </c>
      <c r="K76" s="560">
        <f t="shared" si="3"/>
        <v>1</v>
      </c>
      <c r="L76" s="560">
        <f t="shared" si="2"/>
        <v>1</v>
      </c>
      <c r="M76" s="560" t="e">
        <f>SUMIFS('[1]MAIN-101'!$Z$1:$Z$3000,'[1]MAIN-101'!$X$1:$X$3000,S76)</f>
        <v>#VALUE!</v>
      </c>
      <c r="N76" s="560"/>
      <c r="O76" s="560"/>
      <c r="S76" t="str">
        <f>VLOOKUP(C76,'Recon of ORS and DV'!$A$4:$B$358,2,FALSE)</f>
        <v>0091</v>
      </c>
    </row>
    <row r="77" spans="1:19">
      <c r="A77" t="s">
        <v>2076</v>
      </c>
      <c r="B77" s="553">
        <v>44223</v>
      </c>
      <c r="C77" t="s">
        <v>838</v>
      </c>
      <c r="D77" s="281">
        <v>1</v>
      </c>
      <c r="E77" t="s">
        <v>2035</v>
      </c>
      <c r="F77" t="s">
        <v>596</v>
      </c>
      <c r="G77" t="s">
        <v>839</v>
      </c>
      <c r="H77" t="s">
        <v>840</v>
      </c>
      <c r="I77">
        <v>5020000000</v>
      </c>
      <c r="J77" s="560">
        <v>10895.41</v>
      </c>
      <c r="K77" s="560">
        <f t="shared" si="3"/>
        <v>1</v>
      </c>
      <c r="L77" s="560">
        <f t="shared" si="2"/>
        <v>1</v>
      </c>
      <c r="M77" s="560" t="e">
        <f>SUMIFS('[1]MAIN-101'!$Z$1:$Z$3000,'[1]MAIN-101'!$X$1:$X$3000,S77)</f>
        <v>#VALUE!</v>
      </c>
      <c r="N77" s="560"/>
      <c r="O77" s="560"/>
      <c r="S77" t="str">
        <f>VLOOKUP(C77,'Recon of ORS and DV'!$A$4:$B$358,2,FALSE)</f>
        <v>0090</v>
      </c>
    </row>
    <row r="78" spans="1:19">
      <c r="B78" s="553">
        <v>44223</v>
      </c>
      <c r="C78" t="s">
        <v>841</v>
      </c>
      <c r="D78" s="281">
        <v>1</v>
      </c>
      <c r="E78" t="s">
        <v>1997</v>
      </c>
      <c r="F78" t="s">
        <v>642</v>
      </c>
      <c r="G78" t="s">
        <v>843</v>
      </c>
      <c r="H78" t="s">
        <v>855</v>
      </c>
      <c r="I78">
        <v>5020000000</v>
      </c>
      <c r="J78" s="560">
        <v>2480</v>
      </c>
      <c r="K78" s="560">
        <f t="shared" si="3"/>
        <v>3</v>
      </c>
      <c r="L78" s="560">
        <f t="shared" si="2"/>
        <v>3</v>
      </c>
    </row>
    <row r="79" spans="1:19">
      <c r="B79" s="553">
        <v>44223</v>
      </c>
      <c r="C79" t="s">
        <v>841</v>
      </c>
      <c r="D79" s="281">
        <v>1</v>
      </c>
      <c r="E79" t="s">
        <v>2007</v>
      </c>
      <c r="F79" t="s">
        <v>638</v>
      </c>
      <c r="G79" t="s">
        <v>843</v>
      </c>
      <c r="H79" t="s">
        <v>855</v>
      </c>
      <c r="I79">
        <v>5020000000</v>
      </c>
      <c r="J79" s="560">
        <v>7600</v>
      </c>
      <c r="K79" s="560">
        <f t="shared" si="3"/>
        <v>3</v>
      </c>
      <c r="L79" s="560">
        <f t="shared" ref="L79:L142" si="4">COUNTIFS(C79:C1632,C79)</f>
        <v>2</v>
      </c>
    </row>
    <row r="80" spans="1:19">
      <c r="A80" t="s">
        <v>2077</v>
      </c>
      <c r="B80" s="553">
        <v>44223</v>
      </c>
      <c r="C80" t="s">
        <v>841</v>
      </c>
      <c r="D80" s="281">
        <v>1</v>
      </c>
      <c r="E80" t="s">
        <v>1998</v>
      </c>
      <c r="F80" t="s">
        <v>633</v>
      </c>
      <c r="G80" t="s">
        <v>843</v>
      </c>
      <c r="H80" t="s">
        <v>855</v>
      </c>
      <c r="I80">
        <v>5020000000</v>
      </c>
      <c r="J80" s="560">
        <v>4000</v>
      </c>
      <c r="K80" s="560">
        <f t="shared" si="3"/>
        <v>3</v>
      </c>
      <c r="L80" s="560">
        <f t="shared" si="4"/>
        <v>1</v>
      </c>
      <c r="M80" s="560" t="e">
        <f>SUMIFS('[1]MAIN-101'!$Z$1:$Z$3000,'[1]MAIN-101'!$X$1:$X$3000,S80)</f>
        <v>#VALUE!</v>
      </c>
      <c r="N80" s="560"/>
      <c r="O80" s="560"/>
      <c r="S80" t="str">
        <f>VLOOKUP(C80,'Recon of ORS and DV'!$A$4:$B$358,2,FALSE)</f>
        <v>0087</v>
      </c>
    </row>
    <row r="81" spans="1:19">
      <c r="A81" t="s">
        <v>2078</v>
      </c>
      <c r="B81" s="553">
        <v>44223</v>
      </c>
      <c r="C81" t="s">
        <v>846</v>
      </c>
      <c r="D81" s="281">
        <v>1</v>
      </c>
      <c r="E81" t="s">
        <v>1999</v>
      </c>
      <c r="F81" t="s">
        <v>672</v>
      </c>
      <c r="G81" t="s">
        <v>847</v>
      </c>
      <c r="H81" t="s">
        <v>848</v>
      </c>
      <c r="I81">
        <v>5020000000</v>
      </c>
      <c r="J81" s="560">
        <v>1880</v>
      </c>
      <c r="K81" s="560">
        <f t="shared" si="3"/>
        <v>1</v>
      </c>
      <c r="L81" s="560">
        <f t="shared" si="4"/>
        <v>1</v>
      </c>
      <c r="M81" s="560" t="e">
        <f>SUMIFS('[1]MAIN-101'!$Z$1:$Z$3000,'[1]MAIN-101'!$X$1:$X$3000,S81)</f>
        <v>#VALUE!</v>
      </c>
      <c r="N81" s="560"/>
      <c r="O81" s="560"/>
      <c r="S81" t="str">
        <f>VLOOKUP(C81,'Recon of ORS and DV'!$A$4:$B$358,2,FALSE)</f>
        <v>0092</v>
      </c>
    </row>
    <row r="82" spans="1:19">
      <c r="A82" t="s">
        <v>2079</v>
      </c>
      <c r="B82" s="553">
        <v>44224</v>
      </c>
      <c r="C82" t="s">
        <v>851</v>
      </c>
      <c r="D82" s="281">
        <v>1</v>
      </c>
      <c r="E82" t="s">
        <v>2000</v>
      </c>
      <c r="F82" t="s">
        <v>683</v>
      </c>
      <c r="G82" t="s">
        <v>852</v>
      </c>
      <c r="H82" t="s">
        <v>853</v>
      </c>
      <c r="I82">
        <v>5020000000</v>
      </c>
      <c r="J82" s="560">
        <v>0</v>
      </c>
      <c r="K82" s="560">
        <f t="shared" si="3"/>
        <v>1</v>
      </c>
      <c r="L82" s="560">
        <f t="shared" si="4"/>
        <v>1</v>
      </c>
      <c r="M82" s="560" t="e">
        <f>SUMIFS('[1]MAIN-101'!$Z$1:$Z$3000,'[1]MAIN-101'!$X$1:$X$3000,S82)</f>
        <v>#VALUE!</v>
      </c>
      <c r="N82" s="560"/>
      <c r="O82" s="560"/>
      <c r="S82" t="str">
        <f>VLOOKUP(C82,'Recon of ORS and DV'!$A$4:$B$358,2,FALSE)</f>
        <v>0089</v>
      </c>
    </row>
    <row r="83" spans="1:19">
      <c r="B83" s="553">
        <v>44224</v>
      </c>
      <c r="C83" t="s">
        <v>854</v>
      </c>
      <c r="D83" s="281">
        <v>1</v>
      </c>
      <c r="E83" t="s">
        <v>2004</v>
      </c>
      <c r="F83" t="s">
        <v>629</v>
      </c>
      <c r="G83" t="s">
        <v>843</v>
      </c>
      <c r="H83" t="s">
        <v>855</v>
      </c>
      <c r="I83">
        <v>5020000000</v>
      </c>
      <c r="J83" s="560">
        <v>5534</v>
      </c>
      <c r="K83" s="560">
        <f t="shared" si="3"/>
        <v>3</v>
      </c>
      <c r="L83" s="560">
        <f t="shared" si="4"/>
        <v>3</v>
      </c>
    </row>
    <row r="84" spans="1:19">
      <c r="B84" s="553">
        <v>44224</v>
      </c>
      <c r="C84" t="s">
        <v>854</v>
      </c>
      <c r="D84" s="281">
        <v>1</v>
      </c>
      <c r="E84" t="s">
        <v>1997</v>
      </c>
      <c r="F84" t="s">
        <v>642</v>
      </c>
      <c r="G84" t="s">
        <v>843</v>
      </c>
      <c r="H84" t="s">
        <v>855</v>
      </c>
      <c r="I84">
        <v>5020000000</v>
      </c>
      <c r="J84" s="560">
        <v>4527.82</v>
      </c>
      <c r="K84" s="560">
        <f t="shared" si="3"/>
        <v>3</v>
      </c>
      <c r="L84" s="560">
        <f t="shared" si="4"/>
        <v>2</v>
      </c>
    </row>
    <row r="85" spans="1:19">
      <c r="A85" t="s">
        <v>2080</v>
      </c>
      <c r="B85" s="553">
        <v>44224</v>
      </c>
      <c r="C85" t="s">
        <v>854</v>
      </c>
      <c r="D85" s="281">
        <v>10</v>
      </c>
      <c r="E85" t="s">
        <v>1998</v>
      </c>
      <c r="F85" t="s">
        <v>633</v>
      </c>
      <c r="G85" t="s">
        <v>843</v>
      </c>
      <c r="H85" t="s">
        <v>855</v>
      </c>
      <c r="I85">
        <v>5020000000</v>
      </c>
      <c r="J85" s="560">
        <v>10000</v>
      </c>
      <c r="K85" s="560">
        <f t="shared" si="3"/>
        <v>3</v>
      </c>
      <c r="L85" s="560">
        <f t="shared" si="4"/>
        <v>1</v>
      </c>
      <c r="M85" s="560" t="e">
        <f>SUMIFS('[1]MAIN-101'!$Z$1:$Z$3000,'[1]MAIN-101'!$X$1:$X$3000,S85)</f>
        <v>#VALUE!</v>
      </c>
      <c r="N85" s="560"/>
      <c r="O85" s="560"/>
      <c r="S85" t="str">
        <f>VLOOKUP(C85,'Recon of ORS and DV'!$A$4:$B$358,2,FALSE)</f>
        <v>0085</v>
      </c>
    </row>
    <row r="86" spans="1:19">
      <c r="B86" s="553">
        <v>44224</v>
      </c>
      <c r="C86" t="s">
        <v>856</v>
      </c>
      <c r="D86" s="281">
        <v>9</v>
      </c>
      <c r="E86" t="s">
        <v>1998</v>
      </c>
      <c r="F86" t="s">
        <v>633</v>
      </c>
      <c r="G86" t="s">
        <v>843</v>
      </c>
      <c r="H86" t="s">
        <v>855</v>
      </c>
      <c r="I86">
        <v>5020000000</v>
      </c>
      <c r="J86" s="560">
        <v>11158</v>
      </c>
      <c r="K86" s="560">
        <f t="shared" si="3"/>
        <v>3</v>
      </c>
      <c r="L86" s="560">
        <f t="shared" si="4"/>
        <v>3</v>
      </c>
    </row>
    <row r="87" spans="1:19">
      <c r="B87" s="553">
        <v>44224</v>
      </c>
      <c r="C87" t="s">
        <v>856</v>
      </c>
      <c r="D87" s="281">
        <v>11</v>
      </c>
      <c r="E87" t="s">
        <v>1998</v>
      </c>
      <c r="F87" t="s">
        <v>633</v>
      </c>
      <c r="G87" t="s">
        <v>843</v>
      </c>
      <c r="H87" t="s">
        <v>855</v>
      </c>
      <c r="I87">
        <v>5020000000</v>
      </c>
      <c r="J87" s="560">
        <v>11158</v>
      </c>
      <c r="K87" s="560">
        <f t="shared" si="3"/>
        <v>3</v>
      </c>
      <c r="L87" s="560">
        <f t="shared" si="4"/>
        <v>2</v>
      </c>
    </row>
    <row r="88" spans="1:19">
      <c r="A88" t="s">
        <v>2081</v>
      </c>
      <c r="B88" s="553">
        <v>44224</v>
      </c>
      <c r="C88" t="s">
        <v>856</v>
      </c>
      <c r="D88" s="281">
        <v>8</v>
      </c>
      <c r="E88" t="s">
        <v>1998</v>
      </c>
      <c r="F88" t="s">
        <v>633</v>
      </c>
      <c r="G88" t="s">
        <v>843</v>
      </c>
      <c r="H88" t="s">
        <v>855</v>
      </c>
      <c r="I88">
        <v>5020000000</v>
      </c>
      <c r="J88" s="560">
        <v>11158</v>
      </c>
      <c r="K88" s="560">
        <f t="shared" si="3"/>
        <v>3</v>
      </c>
      <c r="L88" s="560">
        <f t="shared" si="4"/>
        <v>1</v>
      </c>
      <c r="M88" s="560" t="e">
        <f>SUMIFS('[1]MAIN-101'!$Z$1:$Z$3000,'[1]MAIN-101'!$X$1:$X$3000,S88)</f>
        <v>#VALUE!</v>
      </c>
      <c r="N88" s="560"/>
      <c r="O88" s="560"/>
      <c r="S88" t="str">
        <f>VLOOKUP(C88,'Recon of ORS and DV'!$A$4:$B$358,2,FALSE)</f>
        <v>0086</v>
      </c>
    </row>
    <row r="89" spans="1:19">
      <c r="A89">
        <v>0</v>
      </c>
      <c r="B89" s="553">
        <v>44224</v>
      </c>
      <c r="C89" t="s">
        <v>858</v>
      </c>
      <c r="D89" s="281">
        <v>1</v>
      </c>
      <c r="E89" t="s">
        <v>2032</v>
      </c>
      <c r="F89" t="s">
        <v>565</v>
      </c>
      <c r="G89" t="s">
        <v>859</v>
      </c>
      <c r="H89" t="s">
        <v>860</v>
      </c>
      <c r="I89">
        <v>5020000000</v>
      </c>
      <c r="J89" s="560">
        <v>0</v>
      </c>
      <c r="K89" s="560">
        <f t="shared" si="3"/>
        <v>1</v>
      </c>
      <c r="L89" s="560">
        <f t="shared" si="4"/>
        <v>1</v>
      </c>
      <c r="M89" s="560" t="e">
        <f>SUMIFS('[1]MAIN-101'!$Z$1:$Z$3000,'[1]MAIN-101'!$X$1:$X$3000,S89)</f>
        <v>#VALUE!</v>
      </c>
      <c r="N89" s="560"/>
      <c r="O89" s="560"/>
      <c r="S89">
        <f>VLOOKUP(C89,'Recon of ORS and DV'!$A$4:$B$358,2,FALSE)</f>
        <v>0</v>
      </c>
    </row>
    <row r="90" spans="1:19">
      <c r="B90" s="553">
        <v>44224</v>
      </c>
      <c r="C90" t="s">
        <v>861</v>
      </c>
      <c r="D90" s="281">
        <v>13</v>
      </c>
      <c r="E90" t="s">
        <v>2036</v>
      </c>
      <c r="F90" t="s">
        <v>501</v>
      </c>
      <c r="G90" t="s">
        <v>863</v>
      </c>
      <c r="H90" t="s">
        <v>864</v>
      </c>
      <c r="I90" t="s">
        <v>2036</v>
      </c>
      <c r="J90" s="560">
        <v>43681</v>
      </c>
      <c r="K90" s="560">
        <f t="shared" si="3"/>
        <v>6</v>
      </c>
      <c r="L90" s="560">
        <f t="shared" si="4"/>
        <v>6</v>
      </c>
    </row>
    <row r="91" spans="1:19">
      <c r="B91" s="553">
        <v>44224</v>
      </c>
      <c r="C91" t="s">
        <v>861</v>
      </c>
      <c r="D91" s="281">
        <v>13</v>
      </c>
      <c r="E91" t="s">
        <v>2027</v>
      </c>
      <c r="F91" t="s">
        <v>504</v>
      </c>
      <c r="G91" t="s">
        <v>863</v>
      </c>
      <c r="H91" t="s">
        <v>864</v>
      </c>
      <c r="I91" t="s">
        <v>2036</v>
      </c>
      <c r="J91" s="560">
        <v>2000</v>
      </c>
      <c r="K91" s="560">
        <f t="shared" si="3"/>
        <v>6</v>
      </c>
      <c r="L91" s="560">
        <f t="shared" si="4"/>
        <v>5</v>
      </c>
    </row>
    <row r="92" spans="1:19">
      <c r="B92" s="553">
        <v>44224</v>
      </c>
      <c r="C92" t="s">
        <v>861</v>
      </c>
      <c r="D92" s="281">
        <v>13</v>
      </c>
      <c r="E92" t="s">
        <v>2028</v>
      </c>
      <c r="F92" t="s">
        <v>528</v>
      </c>
      <c r="G92" t="s">
        <v>863</v>
      </c>
      <c r="H92" t="s">
        <v>864</v>
      </c>
      <c r="I92" t="s">
        <v>2036</v>
      </c>
      <c r="J92" s="560">
        <v>5241.72</v>
      </c>
      <c r="K92" s="560">
        <f t="shared" si="3"/>
        <v>6</v>
      </c>
      <c r="L92" s="560">
        <f t="shared" si="4"/>
        <v>4</v>
      </c>
    </row>
    <row r="93" spans="1:19">
      <c r="B93" s="553">
        <v>44224</v>
      </c>
      <c r="C93" t="s">
        <v>861</v>
      </c>
      <c r="D93" s="281">
        <v>13</v>
      </c>
      <c r="E93" t="s">
        <v>2029</v>
      </c>
      <c r="F93" t="s">
        <v>530</v>
      </c>
      <c r="G93" t="s">
        <v>863</v>
      </c>
      <c r="H93" t="s">
        <v>864</v>
      </c>
      <c r="I93" t="s">
        <v>2036</v>
      </c>
      <c r="J93" s="560">
        <v>100</v>
      </c>
      <c r="K93" s="560">
        <f t="shared" si="3"/>
        <v>6</v>
      </c>
      <c r="L93" s="560">
        <f t="shared" si="4"/>
        <v>3</v>
      </c>
    </row>
    <row r="94" spans="1:19">
      <c r="B94" s="553">
        <v>44224</v>
      </c>
      <c r="C94" t="s">
        <v>861</v>
      </c>
      <c r="D94" s="281">
        <v>13</v>
      </c>
      <c r="E94" t="s">
        <v>2030</v>
      </c>
      <c r="F94" t="s">
        <v>532</v>
      </c>
      <c r="G94" t="s">
        <v>863</v>
      </c>
      <c r="H94" t="s">
        <v>864</v>
      </c>
      <c r="I94" t="s">
        <v>2036</v>
      </c>
      <c r="J94" s="560">
        <v>655.22</v>
      </c>
      <c r="K94" s="560">
        <f t="shared" si="3"/>
        <v>6</v>
      </c>
      <c r="L94" s="560">
        <f t="shared" si="4"/>
        <v>2</v>
      </c>
    </row>
    <row r="95" spans="1:19">
      <c r="A95" t="s">
        <v>2082</v>
      </c>
      <c r="B95" s="553">
        <v>44224</v>
      </c>
      <c r="C95" t="s">
        <v>861</v>
      </c>
      <c r="D95" s="281">
        <v>13</v>
      </c>
      <c r="E95" t="s">
        <v>2031</v>
      </c>
      <c r="F95" t="s">
        <v>534</v>
      </c>
      <c r="G95" t="s">
        <v>863</v>
      </c>
      <c r="H95" t="s">
        <v>864</v>
      </c>
      <c r="I95" t="s">
        <v>2036</v>
      </c>
      <c r="J95" s="560">
        <v>100</v>
      </c>
      <c r="K95" s="560">
        <f t="shared" si="3"/>
        <v>6</v>
      </c>
      <c r="L95" s="560">
        <f t="shared" si="4"/>
        <v>1</v>
      </c>
      <c r="M95" s="560" t="e">
        <f>SUMIFS('[1]MAIN-101'!$Z$1:$Z$3000,'[1]MAIN-101'!$X$1:$X$3000,S95)</f>
        <v>#VALUE!</v>
      </c>
      <c r="N95" s="560"/>
      <c r="O95" s="560"/>
      <c r="S95" t="str">
        <f>VLOOKUP(C95,'Recon of ORS and DV'!$A$4:$B$358,2,FALSE)</f>
        <v>0104</v>
      </c>
    </row>
    <row r="96" spans="1:19">
      <c r="B96" s="553">
        <v>44224</v>
      </c>
      <c r="C96" t="s">
        <v>865</v>
      </c>
      <c r="D96" s="281">
        <v>13</v>
      </c>
      <c r="E96" t="s">
        <v>2036</v>
      </c>
      <c r="F96" t="s">
        <v>501</v>
      </c>
      <c r="G96" t="s">
        <v>789</v>
      </c>
      <c r="H96" t="s">
        <v>864</v>
      </c>
      <c r="I96" t="s">
        <v>2036</v>
      </c>
      <c r="J96" s="560">
        <v>77256</v>
      </c>
      <c r="K96" s="560">
        <f t="shared" si="3"/>
        <v>6</v>
      </c>
      <c r="L96" s="560">
        <f t="shared" si="4"/>
        <v>6</v>
      </c>
    </row>
    <row r="97" spans="1:19">
      <c r="B97" s="553">
        <v>44224</v>
      </c>
      <c r="C97" t="s">
        <v>865</v>
      </c>
      <c r="D97" s="281">
        <v>13</v>
      </c>
      <c r="E97" t="s">
        <v>2027</v>
      </c>
      <c r="F97" t="s">
        <v>504</v>
      </c>
      <c r="G97" t="s">
        <v>789</v>
      </c>
      <c r="H97" t="s">
        <v>864</v>
      </c>
      <c r="I97" t="s">
        <v>2036</v>
      </c>
      <c r="J97" s="560">
        <v>4000</v>
      </c>
      <c r="K97" s="560">
        <f t="shared" si="3"/>
        <v>6</v>
      </c>
      <c r="L97" s="560">
        <f t="shared" si="4"/>
        <v>5</v>
      </c>
    </row>
    <row r="98" spans="1:19">
      <c r="B98" s="553">
        <v>44224</v>
      </c>
      <c r="C98" t="s">
        <v>865</v>
      </c>
      <c r="D98" s="281">
        <v>13</v>
      </c>
      <c r="E98" t="s">
        <v>2028</v>
      </c>
      <c r="F98" t="s">
        <v>528</v>
      </c>
      <c r="G98" t="s">
        <v>789</v>
      </c>
      <c r="H98" t="s">
        <v>864</v>
      </c>
      <c r="I98" t="s">
        <v>2036</v>
      </c>
      <c r="J98" s="560">
        <v>9270.7199999999993</v>
      </c>
      <c r="K98" s="560">
        <f t="shared" si="3"/>
        <v>6</v>
      </c>
      <c r="L98" s="560">
        <f t="shared" si="4"/>
        <v>4</v>
      </c>
    </row>
    <row r="99" spans="1:19">
      <c r="B99" s="553">
        <v>44224</v>
      </c>
      <c r="C99" t="s">
        <v>865</v>
      </c>
      <c r="D99" s="281">
        <v>13</v>
      </c>
      <c r="E99" t="s">
        <v>2029</v>
      </c>
      <c r="F99" t="s">
        <v>530</v>
      </c>
      <c r="G99" t="s">
        <v>789</v>
      </c>
      <c r="H99" t="s">
        <v>864</v>
      </c>
      <c r="I99" t="s">
        <v>2036</v>
      </c>
      <c r="J99" s="560">
        <v>200</v>
      </c>
      <c r="K99" s="560">
        <f t="shared" si="3"/>
        <v>6</v>
      </c>
      <c r="L99" s="560">
        <f t="shared" si="4"/>
        <v>3</v>
      </c>
    </row>
    <row r="100" spans="1:19">
      <c r="B100" s="553">
        <v>44224</v>
      </c>
      <c r="C100" t="s">
        <v>865</v>
      </c>
      <c r="D100" s="281">
        <v>13</v>
      </c>
      <c r="E100" t="s">
        <v>2030</v>
      </c>
      <c r="F100" t="s">
        <v>532</v>
      </c>
      <c r="G100" t="s">
        <v>789</v>
      </c>
      <c r="H100" t="s">
        <v>864</v>
      </c>
      <c r="I100" t="s">
        <v>2036</v>
      </c>
      <c r="J100" s="560">
        <v>1158.8499999999999</v>
      </c>
      <c r="K100" s="560">
        <f t="shared" si="3"/>
        <v>6</v>
      </c>
      <c r="L100" s="560">
        <f t="shared" si="4"/>
        <v>2</v>
      </c>
    </row>
    <row r="101" spans="1:19">
      <c r="A101" t="s">
        <v>2083</v>
      </c>
      <c r="B101" s="553">
        <v>44224</v>
      </c>
      <c r="C101" t="s">
        <v>865</v>
      </c>
      <c r="D101" s="281">
        <v>13</v>
      </c>
      <c r="E101" t="s">
        <v>2031</v>
      </c>
      <c r="F101" t="s">
        <v>534</v>
      </c>
      <c r="G101" t="s">
        <v>789</v>
      </c>
      <c r="H101" t="s">
        <v>864</v>
      </c>
      <c r="I101" t="s">
        <v>2036</v>
      </c>
      <c r="J101" s="560">
        <v>200</v>
      </c>
      <c r="K101" s="560">
        <f t="shared" si="3"/>
        <v>6</v>
      </c>
      <c r="L101" s="560">
        <f t="shared" si="4"/>
        <v>1</v>
      </c>
      <c r="M101" s="560" t="e">
        <f>SUMIFS('[1]MAIN-101'!$Z$1:$Z$3000,'[1]MAIN-101'!$X$1:$X$3000,S101)</f>
        <v>#VALUE!</v>
      </c>
      <c r="N101" s="560"/>
      <c r="O101" s="560"/>
      <c r="S101" t="str">
        <f>VLOOKUP(C101,'Recon of ORS and DV'!$A$4:$B$358,2,FALSE)</f>
        <v>0105</v>
      </c>
    </row>
    <row r="102" spans="1:19">
      <c r="B102" s="553">
        <v>44224</v>
      </c>
      <c r="C102" t="s">
        <v>866</v>
      </c>
      <c r="D102" s="281">
        <v>13</v>
      </c>
      <c r="E102" t="s">
        <v>2036</v>
      </c>
      <c r="F102" t="s">
        <v>501</v>
      </c>
      <c r="G102" t="s">
        <v>867</v>
      </c>
      <c r="H102" t="s">
        <v>864</v>
      </c>
      <c r="I102" t="s">
        <v>2036</v>
      </c>
      <c r="J102" s="560">
        <v>33575</v>
      </c>
      <c r="K102" s="560">
        <f t="shared" si="3"/>
        <v>6</v>
      </c>
      <c r="L102" s="560">
        <f t="shared" si="4"/>
        <v>6</v>
      </c>
    </row>
    <row r="103" spans="1:19">
      <c r="B103" s="553">
        <v>44224</v>
      </c>
      <c r="C103" t="s">
        <v>866</v>
      </c>
      <c r="D103" s="281">
        <v>13</v>
      </c>
      <c r="E103" t="s">
        <v>2027</v>
      </c>
      <c r="F103" t="s">
        <v>504</v>
      </c>
      <c r="G103" t="s">
        <v>867</v>
      </c>
      <c r="H103" t="s">
        <v>864</v>
      </c>
      <c r="I103" t="s">
        <v>2036</v>
      </c>
      <c r="J103" s="560">
        <v>2000</v>
      </c>
      <c r="K103" s="560">
        <f t="shared" si="3"/>
        <v>6</v>
      </c>
      <c r="L103" s="560">
        <f t="shared" si="4"/>
        <v>5</v>
      </c>
    </row>
    <row r="104" spans="1:19">
      <c r="B104" s="553">
        <v>44224</v>
      </c>
      <c r="C104" t="s">
        <v>866</v>
      </c>
      <c r="D104" s="281">
        <v>13</v>
      </c>
      <c r="E104" t="s">
        <v>2028</v>
      </c>
      <c r="F104" t="s">
        <v>528</v>
      </c>
      <c r="G104" t="s">
        <v>867</v>
      </c>
      <c r="H104" t="s">
        <v>864</v>
      </c>
      <c r="I104" t="s">
        <v>2036</v>
      </c>
      <c r="J104" s="560">
        <v>4029</v>
      </c>
      <c r="K104" s="560">
        <f t="shared" si="3"/>
        <v>6</v>
      </c>
      <c r="L104" s="560">
        <f t="shared" si="4"/>
        <v>4</v>
      </c>
    </row>
    <row r="105" spans="1:19">
      <c r="B105" s="553">
        <v>44224</v>
      </c>
      <c r="C105" t="s">
        <v>866</v>
      </c>
      <c r="D105" s="281">
        <v>13</v>
      </c>
      <c r="E105" t="s">
        <v>2029</v>
      </c>
      <c r="F105" t="s">
        <v>530</v>
      </c>
      <c r="G105" t="s">
        <v>867</v>
      </c>
      <c r="H105" t="s">
        <v>864</v>
      </c>
      <c r="I105" t="s">
        <v>2036</v>
      </c>
      <c r="J105" s="560">
        <v>100</v>
      </c>
      <c r="K105" s="560">
        <f t="shared" si="3"/>
        <v>6</v>
      </c>
      <c r="L105" s="560">
        <f t="shared" si="4"/>
        <v>3</v>
      </c>
    </row>
    <row r="106" spans="1:19">
      <c r="B106" s="553">
        <v>44224</v>
      </c>
      <c r="C106" t="s">
        <v>866</v>
      </c>
      <c r="D106" s="281">
        <v>13</v>
      </c>
      <c r="E106" t="s">
        <v>2030</v>
      </c>
      <c r="F106" t="s">
        <v>532</v>
      </c>
      <c r="G106" t="s">
        <v>867</v>
      </c>
      <c r="H106" t="s">
        <v>864</v>
      </c>
      <c r="I106" t="s">
        <v>2036</v>
      </c>
      <c r="J106" s="560">
        <v>503.63</v>
      </c>
      <c r="K106" s="560">
        <f t="shared" si="3"/>
        <v>6</v>
      </c>
      <c r="L106" s="560">
        <f t="shared" si="4"/>
        <v>2</v>
      </c>
    </row>
    <row r="107" spans="1:19">
      <c r="A107" t="s">
        <v>2084</v>
      </c>
      <c r="B107" s="553">
        <v>44224</v>
      </c>
      <c r="C107" t="s">
        <v>866</v>
      </c>
      <c r="D107" s="281">
        <v>13</v>
      </c>
      <c r="E107" t="s">
        <v>2031</v>
      </c>
      <c r="F107" t="s">
        <v>534</v>
      </c>
      <c r="G107" t="s">
        <v>867</v>
      </c>
      <c r="H107" t="s">
        <v>864</v>
      </c>
      <c r="I107" t="s">
        <v>2036</v>
      </c>
      <c r="J107" s="560">
        <v>100</v>
      </c>
      <c r="K107" s="560">
        <f t="shared" si="3"/>
        <v>6</v>
      </c>
      <c r="L107" s="560">
        <f t="shared" si="4"/>
        <v>1</v>
      </c>
      <c r="M107" s="560" t="e">
        <f>SUMIFS('[1]MAIN-101'!$Z$1:$Z$3000,'[1]MAIN-101'!$X$1:$X$3000,S107)</f>
        <v>#VALUE!</v>
      </c>
      <c r="N107" s="560"/>
      <c r="O107" s="560"/>
      <c r="S107" t="str">
        <f>VLOOKUP(C107,'Recon of ORS and DV'!$A$4:$B$358,2,FALSE)</f>
        <v>0106</v>
      </c>
    </row>
    <row r="108" spans="1:19">
      <c r="B108" s="553">
        <v>44224</v>
      </c>
      <c r="C108" t="s">
        <v>868</v>
      </c>
      <c r="D108" s="281">
        <v>13</v>
      </c>
      <c r="E108" t="s">
        <v>2036</v>
      </c>
      <c r="F108" t="s">
        <v>501</v>
      </c>
      <c r="G108" t="s">
        <v>869</v>
      </c>
      <c r="H108" t="s">
        <v>864</v>
      </c>
      <c r="I108" t="s">
        <v>2036</v>
      </c>
      <c r="J108" s="560">
        <v>33575</v>
      </c>
      <c r="K108" s="560">
        <f t="shared" si="3"/>
        <v>6</v>
      </c>
      <c r="L108" s="560">
        <f t="shared" si="4"/>
        <v>6</v>
      </c>
    </row>
    <row r="109" spans="1:19">
      <c r="B109" s="553">
        <v>44224</v>
      </c>
      <c r="C109" t="s">
        <v>868</v>
      </c>
      <c r="D109" s="281">
        <v>13</v>
      </c>
      <c r="E109" t="s">
        <v>2027</v>
      </c>
      <c r="F109" t="s">
        <v>504</v>
      </c>
      <c r="G109" t="s">
        <v>869</v>
      </c>
      <c r="H109" t="s">
        <v>864</v>
      </c>
      <c r="I109" t="s">
        <v>2036</v>
      </c>
      <c r="J109" s="560">
        <v>2000</v>
      </c>
      <c r="K109" s="560">
        <f t="shared" si="3"/>
        <v>6</v>
      </c>
      <c r="L109" s="560">
        <f t="shared" si="4"/>
        <v>5</v>
      </c>
    </row>
    <row r="110" spans="1:19">
      <c r="B110" s="553">
        <v>44224</v>
      </c>
      <c r="C110" t="s">
        <v>868</v>
      </c>
      <c r="D110" s="281">
        <v>13</v>
      </c>
      <c r="E110" t="s">
        <v>2028</v>
      </c>
      <c r="F110" t="s">
        <v>528</v>
      </c>
      <c r="G110" t="s">
        <v>869</v>
      </c>
      <c r="H110" t="s">
        <v>864</v>
      </c>
      <c r="I110" t="s">
        <v>2036</v>
      </c>
      <c r="J110" s="560">
        <v>4029</v>
      </c>
      <c r="K110" s="560">
        <f t="shared" si="3"/>
        <v>6</v>
      </c>
      <c r="L110" s="560">
        <f t="shared" si="4"/>
        <v>4</v>
      </c>
    </row>
    <row r="111" spans="1:19">
      <c r="B111" s="553">
        <v>44224</v>
      </c>
      <c r="C111" t="s">
        <v>868</v>
      </c>
      <c r="D111" s="281">
        <v>13</v>
      </c>
      <c r="E111" t="s">
        <v>2029</v>
      </c>
      <c r="F111" t="s">
        <v>530</v>
      </c>
      <c r="G111" t="s">
        <v>869</v>
      </c>
      <c r="H111" t="s">
        <v>864</v>
      </c>
      <c r="I111" t="s">
        <v>2036</v>
      </c>
      <c r="J111" s="560">
        <v>100</v>
      </c>
      <c r="K111" s="560">
        <f t="shared" si="3"/>
        <v>6</v>
      </c>
      <c r="L111" s="560">
        <f t="shared" si="4"/>
        <v>3</v>
      </c>
    </row>
    <row r="112" spans="1:19">
      <c r="B112" s="553">
        <v>44224</v>
      </c>
      <c r="C112" t="s">
        <v>868</v>
      </c>
      <c r="D112" s="281">
        <v>13</v>
      </c>
      <c r="E112" t="s">
        <v>2030</v>
      </c>
      <c r="F112" t="s">
        <v>532</v>
      </c>
      <c r="G112" t="s">
        <v>869</v>
      </c>
      <c r="H112" t="s">
        <v>864</v>
      </c>
      <c r="I112" t="s">
        <v>2036</v>
      </c>
      <c r="J112" s="560">
        <v>503.63</v>
      </c>
      <c r="K112" s="560">
        <f t="shared" si="3"/>
        <v>6</v>
      </c>
      <c r="L112" s="560">
        <f t="shared" si="4"/>
        <v>2</v>
      </c>
    </row>
    <row r="113" spans="1:19">
      <c r="A113" t="s">
        <v>2085</v>
      </c>
      <c r="B113" s="553">
        <v>44224</v>
      </c>
      <c r="C113" t="s">
        <v>868</v>
      </c>
      <c r="D113" s="281">
        <v>13</v>
      </c>
      <c r="E113" t="s">
        <v>2031</v>
      </c>
      <c r="F113" t="s">
        <v>534</v>
      </c>
      <c r="G113" t="s">
        <v>869</v>
      </c>
      <c r="H113" t="s">
        <v>864</v>
      </c>
      <c r="I113" t="s">
        <v>2036</v>
      </c>
      <c r="J113" s="560">
        <v>100</v>
      </c>
      <c r="K113" s="560">
        <f t="shared" si="3"/>
        <v>6</v>
      </c>
      <c r="L113" s="560">
        <f t="shared" si="4"/>
        <v>1</v>
      </c>
      <c r="M113" s="560" t="e">
        <f>SUMIFS('[1]MAIN-101'!$Z$1:$Z$3000,'[1]MAIN-101'!$X$1:$X$3000,S113)</f>
        <v>#VALUE!</v>
      </c>
      <c r="N113" s="560"/>
      <c r="O113" s="560"/>
      <c r="S113" t="str">
        <f>VLOOKUP(C113,'Recon of ORS and DV'!$A$4:$B$358,2,FALSE)</f>
        <v>0107</v>
      </c>
    </row>
    <row r="114" spans="1:19">
      <c r="B114" s="553">
        <v>44224</v>
      </c>
      <c r="C114" t="s">
        <v>870</v>
      </c>
      <c r="D114" s="281">
        <v>13</v>
      </c>
      <c r="E114" t="s">
        <v>2036</v>
      </c>
      <c r="F114" t="s">
        <v>501</v>
      </c>
      <c r="G114" t="s">
        <v>768</v>
      </c>
      <c r="H114" t="s">
        <v>864</v>
      </c>
      <c r="I114" t="s">
        <v>2036</v>
      </c>
      <c r="J114" s="560">
        <v>77256</v>
      </c>
      <c r="K114" s="560">
        <f t="shared" si="3"/>
        <v>6</v>
      </c>
      <c r="L114" s="560">
        <f t="shared" si="4"/>
        <v>6</v>
      </c>
    </row>
    <row r="115" spans="1:19">
      <c r="B115" s="553">
        <v>44224</v>
      </c>
      <c r="C115" t="s">
        <v>870</v>
      </c>
      <c r="D115" s="281">
        <v>13</v>
      </c>
      <c r="E115" t="s">
        <v>2027</v>
      </c>
      <c r="F115" t="s">
        <v>504</v>
      </c>
      <c r="G115" t="s">
        <v>768</v>
      </c>
      <c r="H115" t="s">
        <v>864</v>
      </c>
      <c r="I115" t="s">
        <v>2036</v>
      </c>
      <c r="J115" s="560">
        <v>4000</v>
      </c>
      <c r="K115" s="560">
        <f t="shared" si="3"/>
        <v>6</v>
      </c>
      <c r="L115" s="560">
        <f t="shared" si="4"/>
        <v>5</v>
      </c>
    </row>
    <row r="116" spans="1:19">
      <c r="B116" s="553">
        <v>44224</v>
      </c>
      <c r="C116" t="s">
        <v>870</v>
      </c>
      <c r="D116" s="281">
        <v>13</v>
      </c>
      <c r="E116" t="s">
        <v>2028</v>
      </c>
      <c r="F116" t="s">
        <v>528</v>
      </c>
      <c r="G116" t="s">
        <v>768</v>
      </c>
      <c r="H116" t="s">
        <v>864</v>
      </c>
      <c r="I116" t="s">
        <v>2036</v>
      </c>
      <c r="J116" s="560">
        <v>9270.7199999999993</v>
      </c>
      <c r="K116" s="560">
        <f t="shared" si="3"/>
        <v>6</v>
      </c>
      <c r="L116" s="560">
        <f t="shared" si="4"/>
        <v>4</v>
      </c>
    </row>
    <row r="117" spans="1:19">
      <c r="B117" s="553">
        <v>44224</v>
      </c>
      <c r="C117" t="s">
        <v>870</v>
      </c>
      <c r="D117" s="281">
        <v>13</v>
      </c>
      <c r="E117" t="s">
        <v>2029</v>
      </c>
      <c r="F117" t="s">
        <v>530</v>
      </c>
      <c r="G117" t="s">
        <v>768</v>
      </c>
      <c r="H117" t="s">
        <v>864</v>
      </c>
      <c r="I117" t="s">
        <v>2036</v>
      </c>
      <c r="J117" s="560">
        <v>200</v>
      </c>
      <c r="K117" s="560">
        <f t="shared" si="3"/>
        <v>6</v>
      </c>
      <c r="L117" s="560">
        <f t="shared" si="4"/>
        <v>3</v>
      </c>
    </row>
    <row r="118" spans="1:19">
      <c r="B118" s="553">
        <v>44224</v>
      </c>
      <c r="C118" t="s">
        <v>870</v>
      </c>
      <c r="D118" s="281">
        <v>13</v>
      </c>
      <c r="E118" t="s">
        <v>2030</v>
      </c>
      <c r="F118" t="s">
        <v>532</v>
      </c>
      <c r="G118" t="s">
        <v>768</v>
      </c>
      <c r="H118" t="s">
        <v>864</v>
      </c>
      <c r="I118" t="s">
        <v>2036</v>
      </c>
      <c r="J118" s="560">
        <v>1158.8499999999999</v>
      </c>
      <c r="K118" s="560">
        <f t="shared" si="3"/>
        <v>6</v>
      </c>
      <c r="L118" s="560">
        <f t="shared" si="4"/>
        <v>2</v>
      </c>
    </row>
    <row r="119" spans="1:19">
      <c r="A119" t="s">
        <v>2086</v>
      </c>
      <c r="B119" s="553">
        <v>44224</v>
      </c>
      <c r="C119" t="s">
        <v>870</v>
      </c>
      <c r="D119" s="281">
        <v>13</v>
      </c>
      <c r="E119" t="s">
        <v>2031</v>
      </c>
      <c r="F119" t="s">
        <v>534</v>
      </c>
      <c r="G119" t="s">
        <v>768</v>
      </c>
      <c r="H119" t="s">
        <v>864</v>
      </c>
      <c r="I119" t="s">
        <v>2036</v>
      </c>
      <c r="J119" s="560">
        <v>200</v>
      </c>
      <c r="K119" s="560">
        <f t="shared" si="3"/>
        <v>6</v>
      </c>
      <c r="L119" s="560">
        <f t="shared" si="4"/>
        <v>1</v>
      </c>
      <c r="M119" s="560" t="e">
        <f>SUMIFS('[1]MAIN-101'!$Z$1:$Z$3000,'[1]MAIN-101'!$X$1:$X$3000,S119)</f>
        <v>#VALUE!</v>
      </c>
      <c r="N119" s="560"/>
      <c r="O119" s="560"/>
      <c r="S119" t="str">
        <f>VLOOKUP(C119,'Recon of ORS and DV'!$A$4:$B$358,2,FALSE)</f>
        <v>0108</v>
      </c>
    </row>
    <row r="120" spans="1:19">
      <c r="B120" s="553">
        <v>44224</v>
      </c>
      <c r="C120" t="s">
        <v>871</v>
      </c>
      <c r="D120" s="281">
        <v>13</v>
      </c>
      <c r="E120" t="s">
        <v>2036</v>
      </c>
      <c r="F120" t="s">
        <v>501</v>
      </c>
      <c r="G120" t="s">
        <v>872</v>
      </c>
      <c r="H120" t="s">
        <v>864</v>
      </c>
      <c r="I120" t="s">
        <v>2036</v>
      </c>
      <c r="J120" s="560">
        <v>33575</v>
      </c>
      <c r="K120" s="560">
        <f t="shared" si="3"/>
        <v>6</v>
      </c>
      <c r="L120" s="560">
        <f t="shared" si="4"/>
        <v>6</v>
      </c>
    </row>
    <row r="121" spans="1:19">
      <c r="B121" s="553">
        <v>44224</v>
      </c>
      <c r="C121" t="s">
        <v>871</v>
      </c>
      <c r="D121" s="281">
        <v>13</v>
      </c>
      <c r="E121" t="s">
        <v>2027</v>
      </c>
      <c r="F121" t="s">
        <v>504</v>
      </c>
      <c r="G121" t="s">
        <v>872</v>
      </c>
      <c r="H121" t="s">
        <v>864</v>
      </c>
      <c r="I121" t="s">
        <v>2036</v>
      </c>
      <c r="J121" s="560">
        <v>2000</v>
      </c>
      <c r="K121" s="560">
        <f t="shared" si="3"/>
        <v>6</v>
      </c>
      <c r="L121" s="560">
        <f t="shared" si="4"/>
        <v>5</v>
      </c>
    </row>
    <row r="122" spans="1:19">
      <c r="B122" s="553">
        <v>44224</v>
      </c>
      <c r="C122" t="s">
        <v>871</v>
      </c>
      <c r="D122" s="281">
        <v>13</v>
      </c>
      <c r="E122" t="s">
        <v>2028</v>
      </c>
      <c r="F122" t="s">
        <v>528</v>
      </c>
      <c r="G122" t="s">
        <v>872</v>
      </c>
      <c r="H122" t="s">
        <v>864</v>
      </c>
      <c r="I122" t="s">
        <v>2036</v>
      </c>
      <c r="J122" s="560">
        <v>4029</v>
      </c>
      <c r="K122" s="560">
        <f t="shared" si="3"/>
        <v>6</v>
      </c>
      <c r="L122" s="560">
        <f t="shared" si="4"/>
        <v>4</v>
      </c>
    </row>
    <row r="123" spans="1:19">
      <c r="B123" s="553">
        <v>44224</v>
      </c>
      <c r="C123" t="s">
        <v>871</v>
      </c>
      <c r="D123" s="281">
        <v>13</v>
      </c>
      <c r="E123" t="s">
        <v>2029</v>
      </c>
      <c r="F123" t="s">
        <v>530</v>
      </c>
      <c r="G123" t="s">
        <v>872</v>
      </c>
      <c r="H123" t="s">
        <v>864</v>
      </c>
      <c r="I123" t="s">
        <v>2036</v>
      </c>
      <c r="J123" s="560">
        <v>100</v>
      </c>
      <c r="K123" s="560">
        <f t="shared" si="3"/>
        <v>6</v>
      </c>
      <c r="L123" s="560">
        <f t="shared" si="4"/>
        <v>3</v>
      </c>
    </row>
    <row r="124" spans="1:19">
      <c r="B124" s="553">
        <v>44224</v>
      </c>
      <c r="C124" t="s">
        <v>871</v>
      </c>
      <c r="D124" s="281">
        <v>13</v>
      </c>
      <c r="E124" t="s">
        <v>2030</v>
      </c>
      <c r="F124" t="s">
        <v>532</v>
      </c>
      <c r="G124" t="s">
        <v>872</v>
      </c>
      <c r="H124" t="s">
        <v>864</v>
      </c>
      <c r="I124" t="s">
        <v>2036</v>
      </c>
      <c r="J124" s="560">
        <v>503.63</v>
      </c>
      <c r="K124" s="560">
        <f t="shared" si="3"/>
        <v>6</v>
      </c>
      <c r="L124" s="560">
        <f t="shared" si="4"/>
        <v>2</v>
      </c>
    </row>
    <row r="125" spans="1:19">
      <c r="A125" t="s">
        <v>2087</v>
      </c>
      <c r="B125" s="553">
        <v>44224</v>
      </c>
      <c r="C125" t="s">
        <v>871</v>
      </c>
      <c r="D125" s="281">
        <v>13</v>
      </c>
      <c r="E125" t="s">
        <v>2031</v>
      </c>
      <c r="F125" t="s">
        <v>534</v>
      </c>
      <c r="G125" t="s">
        <v>872</v>
      </c>
      <c r="H125" t="s">
        <v>864</v>
      </c>
      <c r="I125" t="s">
        <v>2036</v>
      </c>
      <c r="J125" s="560">
        <v>100</v>
      </c>
      <c r="K125" s="560">
        <f t="shared" si="3"/>
        <v>6</v>
      </c>
      <c r="L125" s="560">
        <f t="shared" si="4"/>
        <v>1</v>
      </c>
      <c r="M125" s="560" t="e">
        <f>SUMIFS('[1]MAIN-101'!$Z$1:$Z$3000,'[1]MAIN-101'!$X$1:$X$3000,S125)</f>
        <v>#VALUE!</v>
      </c>
      <c r="N125" s="560"/>
      <c r="O125" s="560"/>
      <c r="S125" t="str">
        <f>VLOOKUP(C125,'Recon of ORS and DV'!$A$4:$B$358,2,FALSE)</f>
        <v>0109</v>
      </c>
    </row>
    <row r="126" spans="1:19">
      <c r="B126" s="553">
        <v>44229</v>
      </c>
      <c r="C126" t="s">
        <v>1029</v>
      </c>
      <c r="D126" s="281">
        <v>1</v>
      </c>
      <c r="E126" t="s">
        <v>2024</v>
      </c>
      <c r="F126" t="s">
        <v>505</v>
      </c>
      <c r="G126" t="s">
        <v>1030</v>
      </c>
      <c r="H126" t="s">
        <v>1031</v>
      </c>
      <c r="I126">
        <v>5010000000</v>
      </c>
      <c r="J126" s="560">
        <v>45000</v>
      </c>
      <c r="K126" s="560">
        <f t="shared" si="3"/>
        <v>10</v>
      </c>
      <c r="L126" s="560">
        <f t="shared" si="4"/>
        <v>10</v>
      </c>
    </row>
    <row r="127" spans="1:19">
      <c r="B127" s="553">
        <v>44229</v>
      </c>
      <c r="C127" t="s">
        <v>1029</v>
      </c>
      <c r="D127" s="281">
        <v>1</v>
      </c>
      <c r="E127" t="s">
        <v>2025</v>
      </c>
      <c r="F127" t="s">
        <v>506</v>
      </c>
      <c r="G127" t="s">
        <v>1030</v>
      </c>
      <c r="H127" t="s">
        <v>1031</v>
      </c>
      <c r="I127">
        <v>5010000000</v>
      </c>
      <c r="J127" s="560">
        <v>45000</v>
      </c>
      <c r="K127" s="560">
        <f t="shared" si="3"/>
        <v>10</v>
      </c>
      <c r="L127" s="560">
        <f t="shared" si="4"/>
        <v>9</v>
      </c>
    </row>
    <row r="128" spans="1:19">
      <c r="B128" s="553">
        <v>44229</v>
      </c>
      <c r="C128" t="s">
        <v>1029</v>
      </c>
      <c r="D128" s="281">
        <v>2</v>
      </c>
      <c r="E128" t="s">
        <v>2024</v>
      </c>
      <c r="F128" t="s">
        <v>505</v>
      </c>
      <c r="G128" t="s">
        <v>1030</v>
      </c>
      <c r="H128" t="s">
        <v>1031</v>
      </c>
      <c r="I128">
        <v>5010000000</v>
      </c>
      <c r="J128" s="560">
        <v>5000</v>
      </c>
      <c r="K128" s="560">
        <f t="shared" si="3"/>
        <v>10</v>
      </c>
      <c r="L128" s="560">
        <f t="shared" si="4"/>
        <v>8</v>
      </c>
    </row>
    <row r="129" spans="1:19">
      <c r="B129" s="553">
        <v>44229</v>
      </c>
      <c r="C129" t="s">
        <v>1029</v>
      </c>
      <c r="D129" s="281">
        <v>2</v>
      </c>
      <c r="E129" t="s">
        <v>2025</v>
      </c>
      <c r="F129" t="s">
        <v>506</v>
      </c>
      <c r="G129" t="s">
        <v>1030</v>
      </c>
      <c r="H129" t="s">
        <v>1031</v>
      </c>
      <c r="I129">
        <v>5010000000</v>
      </c>
      <c r="J129" s="560">
        <v>5000</v>
      </c>
      <c r="K129" s="560">
        <f t="shared" si="3"/>
        <v>10</v>
      </c>
      <c r="L129" s="560">
        <f t="shared" si="4"/>
        <v>7</v>
      </c>
    </row>
    <row r="130" spans="1:19">
      <c r="B130" s="553">
        <v>44229</v>
      </c>
      <c r="C130" t="s">
        <v>1029</v>
      </c>
      <c r="D130" s="281">
        <v>3</v>
      </c>
      <c r="E130" t="s">
        <v>2024</v>
      </c>
      <c r="F130" t="s">
        <v>505</v>
      </c>
      <c r="G130" t="s">
        <v>1030</v>
      </c>
      <c r="H130" t="s">
        <v>1031</v>
      </c>
      <c r="I130">
        <v>5010000000</v>
      </c>
      <c r="J130" s="560">
        <v>10000</v>
      </c>
      <c r="K130" s="560">
        <f t="shared" si="3"/>
        <v>10</v>
      </c>
      <c r="L130" s="560">
        <f t="shared" si="4"/>
        <v>6</v>
      </c>
    </row>
    <row r="131" spans="1:19">
      <c r="B131" s="553">
        <v>44229</v>
      </c>
      <c r="C131" t="s">
        <v>1029</v>
      </c>
      <c r="D131" s="281">
        <v>3</v>
      </c>
      <c r="E131" t="s">
        <v>2025</v>
      </c>
      <c r="F131" t="s">
        <v>506</v>
      </c>
      <c r="G131" t="s">
        <v>1030</v>
      </c>
      <c r="H131" t="s">
        <v>1031</v>
      </c>
      <c r="I131">
        <v>5010000000</v>
      </c>
      <c r="J131" s="560">
        <v>10000</v>
      </c>
      <c r="K131" s="560">
        <f t="shared" si="3"/>
        <v>10</v>
      </c>
      <c r="L131" s="560">
        <f t="shared" si="4"/>
        <v>5</v>
      </c>
    </row>
    <row r="132" spans="1:19">
      <c r="B132" s="553">
        <v>44229</v>
      </c>
      <c r="C132" t="s">
        <v>1029</v>
      </c>
      <c r="D132" s="281">
        <v>4</v>
      </c>
      <c r="E132" t="s">
        <v>2024</v>
      </c>
      <c r="F132" t="s">
        <v>505</v>
      </c>
      <c r="G132" t="s">
        <v>1030</v>
      </c>
      <c r="H132" t="s">
        <v>1031</v>
      </c>
      <c r="I132">
        <v>5010000000</v>
      </c>
      <c r="J132" s="560">
        <v>10000</v>
      </c>
      <c r="K132" s="560">
        <f t="shared" ref="K132:K195" si="5">COUNTIFS($C$3:$C$1556,C132)</f>
        <v>10</v>
      </c>
      <c r="L132" s="560">
        <f t="shared" si="4"/>
        <v>4</v>
      </c>
    </row>
    <row r="133" spans="1:19">
      <c r="B133" s="553">
        <v>44229</v>
      </c>
      <c r="C133" t="s">
        <v>1029</v>
      </c>
      <c r="D133" s="281">
        <v>4</v>
      </c>
      <c r="E133" t="s">
        <v>2025</v>
      </c>
      <c r="F133" t="s">
        <v>506</v>
      </c>
      <c r="G133" t="s">
        <v>1030</v>
      </c>
      <c r="H133" t="s">
        <v>1031</v>
      </c>
      <c r="I133">
        <v>5010000000</v>
      </c>
      <c r="J133" s="560">
        <v>10000</v>
      </c>
      <c r="K133" s="560">
        <f t="shared" si="5"/>
        <v>10</v>
      </c>
      <c r="L133" s="560">
        <f t="shared" si="4"/>
        <v>3</v>
      </c>
    </row>
    <row r="134" spans="1:19">
      <c r="B134" s="553">
        <v>44229</v>
      </c>
      <c r="C134" t="s">
        <v>1029</v>
      </c>
      <c r="D134" s="281">
        <v>5</v>
      </c>
      <c r="E134" t="s">
        <v>2024</v>
      </c>
      <c r="F134" t="s">
        <v>505</v>
      </c>
      <c r="G134" t="s">
        <v>1030</v>
      </c>
      <c r="H134" t="s">
        <v>1031</v>
      </c>
      <c r="I134">
        <v>5010000000</v>
      </c>
      <c r="J134" s="560">
        <v>5000</v>
      </c>
      <c r="K134" s="560">
        <f t="shared" si="5"/>
        <v>10</v>
      </c>
      <c r="L134" s="560">
        <f t="shared" si="4"/>
        <v>2</v>
      </c>
    </row>
    <row r="135" spans="1:19">
      <c r="A135" t="s">
        <v>2088</v>
      </c>
      <c r="B135" s="553">
        <v>44229</v>
      </c>
      <c r="C135" t="s">
        <v>1029</v>
      </c>
      <c r="D135" s="281">
        <v>5</v>
      </c>
      <c r="E135" t="s">
        <v>2025</v>
      </c>
      <c r="F135" t="s">
        <v>506</v>
      </c>
      <c r="G135" t="s">
        <v>1030</v>
      </c>
      <c r="H135" t="s">
        <v>1031</v>
      </c>
      <c r="I135">
        <v>5010000000</v>
      </c>
      <c r="J135" s="560">
        <v>5000</v>
      </c>
      <c r="K135" s="560">
        <f t="shared" si="5"/>
        <v>10</v>
      </c>
      <c r="L135" s="560">
        <f t="shared" si="4"/>
        <v>1</v>
      </c>
      <c r="M135" s="560" t="e">
        <f>SUMIFS('[1]MAIN-101'!$Z$1:$Z$3000,'[1]MAIN-101'!$X$1:$X$3000,S135)</f>
        <v>#VALUE!</v>
      </c>
      <c r="N135" s="560"/>
      <c r="O135" s="560"/>
      <c r="S135" t="str">
        <f>VLOOKUP(C135,'Recon of ORS and DV'!$A$4:$B$358,2,FALSE)</f>
        <v>0133</v>
      </c>
    </row>
    <row r="136" spans="1:19">
      <c r="A136" t="s">
        <v>2089</v>
      </c>
      <c r="B136" s="553">
        <v>44229</v>
      </c>
      <c r="C136" t="s">
        <v>1032</v>
      </c>
      <c r="D136" s="281">
        <v>1</v>
      </c>
      <c r="E136" t="s">
        <v>1995</v>
      </c>
      <c r="F136" t="s">
        <v>624</v>
      </c>
      <c r="G136" t="s">
        <v>6</v>
      </c>
      <c r="H136" t="s">
        <v>1033</v>
      </c>
      <c r="I136">
        <v>5020000000</v>
      </c>
      <c r="J136" s="560">
        <v>10000</v>
      </c>
      <c r="K136" s="560">
        <f t="shared" si="5"/>
        <v>1</v>
      </c>
      <c r="L136" s="560">
        <f t="shared" si="4"/>
        <v>1</v>
      </c>
      <c r="M136" s="560" t="e">
        <f>SUMIFS('[1]MAIN-101'!$Z$1:$Z$3000,'[1]MAIN-101'!$X$1:$X$3000,S136)</f>
        <v>#VALUE!</v>
      </c>
      <c r="N136" s="560"/>
      <c r="O136" s="560"/>
      <c r="S136" t="str">
        <f>VLOOKUP(C136,'Recon of ORS and DV'!$A$4:$B$358,2,FALSE)</f>
        <v>0157</v>
      </c>
    </row>
    <row r="137" spans="1:19">
      <c r="B137" s="553">
        <v>44229</v>
      </c>
      <c r="C137" t="s">
        <v>1034</v>
      </c>
      <c r="D137" s="281">
        <v>1</v>
      </c>
      <c r="E137" t="s">
        <v>2024</v>
      </c>
      <c r="F137" t="s">
        <v>505</v>
      </c>
      <c r="G137" t="s">
        <v>1030</v>
      </c>
      <c r="H137" t="s">
        <v>1035</v>
      </c>
      <c r="I137">
        <v>5010000000</v>
      </c>
      <c r="J137" s="560">
        <v>15000</v>
      </c>
      <c r="K137" s="560">
        <f t="shared" si="5"/>
        <v>2</v>
      </c>
      <c r="L137" s="560">
        <f t="shared" si="4"/>
        <v>2</v>
      </c>
    </row>
    <row r="138" spans="1:19">
      <c r="A138" t="s">
        <v>2090</v>
      </c>
      <c r="B138" s="553">
        <v>44229</v>
      </c>
      <c r="C138" t="s">
        <v>1034</v>
      </c>
      <c r="D138" s="281">
        <v>1</v>
      </c>
      <c r="E138" t="s">
        <v>2025</v>
      </c>
      <c r="F138" t="s">
        <v>506</v>
      </c>
      <c r="G138" t="s">
        <v>1030</v>
      </c>
      <c r="H138" t="s">
        <v>1035</v>
      </c>
      <c r="I138">
        <v>5010000000</v>
      </c>
      <c r="J138" s="560">
        <v>13636.36</v>
      </c>
      <c r="K138" s="560">
        <f t="shared" si="5"/>
        <v>2</v>
      </c>
      <c r="L138" s="560">
        <f t="shared" si="4"/>
        <v>1</v>
      </c>
      <c r="M138" s="560" t="e">
        <f>SUMIFS('[1]MAIN-101'!$Z$1:$Z$3000,'[1]MAIN-101'!$X$1:$X$3000,S138)</f>
        <v>#VALUE!</v>
      </c>
      <c r="N138" s="560"/>
      <c r="O138" s="560"/>
      <c r="S138" t="str">
        <f>VLOOKUP(C138,'Recon of ORS and DV'!$A$4:$B$358,2,FALSE)</f>
        <v>0158</v>
      </c>
    </row>
    <row r="139" spans="1:19">
      <c r="A139" t="s">
        <v>2091</v>
      </c>
      <c r="B139" s="553">
        <v>44230</v>
      </c>
      <c r="C139" t="s">
        <v>1046</v>
      </c>
      <c r="D139" s="281">
        <v>3</v>
      </c>
      <c r="E139" t="s">
        <v>2032</v>
      </c>
      <c r="F139" t="s">
        <v>565</v>
      </c>
      <c r="G139" t="s">
        <v>1036</v>
      </c>
      <c r="H139" t="s">
        <v>1037</v>
      </c>
      <c r="I139">
        <v>5020000000</v>
      </c>
      <c r="J139" s="560">
        <v>2073.09</v>
      </c>
      <c r="K139" s="560">
        <f t="shared" si="5"/>
        <v>1</v>
      </c>
      <c r="L139" s="560">
        <f t="shared" si="4"/>
        <v>1</v>
      </c>
      <c r="M139" s="560" t="e">
        <f>SUMIFS('[1]MAIN-101'!$Z$1:$Z$3000,'[1]MAIN-101'!$X$1:$X$3000,S139)</f>
        <v>#VALUE!</v>
      </c>
      <c r="N139" s="560"/>
      <c r="O139" s="560"/>
      <c r="S139" t="str">
        <f>VLOOKUP(C139,'Recon of ORS and DV'!$A$4:$B$358,2,FALSE)</f>
        <v>0170</v>
      </c>
    </row>
    <row r="140" spans="1:19">
      <c r="A140" t="s">
        <v>2092</v>
      </c>
      <c r="B140" s="553">
        <v>44230</v>
      </c>
      <c r="C140" t="s">
        <v>1047</v>
      </c>
      <c r="D140" s="281">
        <v>3</v>
      </c>
      <c r="E140" t="s">
        <v>2032</v>
      </c>
      <c r="F140" t="s">
        <v>565</v>
      </c>
      <c r="G140" t="s">
        <v>1038</v>
      </c>
      <c r="H140" t="s">
        <v>1039</v>
      </c>
      <c r="I140">
        <v>5020000000</v>
      </c>
      <c r="J140" s="560">
        <v>0</v>
      </c>
      <c r="K140" s="560">
        <f t="shared" si="5"/>
        <v>1</v>
      </c>
      <c r="L140" s="560">
        <f t="shared" si="4"/>
        <v>1</v>
      </c>
      <c r="M140" s="560" t="e">
        <f>SUMIFS('[1]MAIN-101'!$Z$1:$Z$3000,'[1]MAIN-101'!$X$1:$X$3000,S140)</f>
        <v>#VALUE!</v>
      </c>
      <c r="N140" s="560"/>
      <c r="O140" s="560"/>
      <c r="S140" t="str">
        <f>VLOOKUP(C140,'Recon of ORS and DV'!$A$4:$B$358,2,FALSE)</f>
        <v>0171</v>
      </c>
    </row>
    <row r="141" spans="1:19">
      <c r="A141" t="s">
        <v>2457</v>
      </c>
      <c r="B141" s="553">
        <v>44230</v>
      </c>
      <c r="C141" t="s">
        <v>1264</v>
      </c>
      <c r="D141" s="281">
        <v>1</v>
      </c>
      <c r="E141" t="s">
        <v>2000</v>
      </c>
      <c r="F141" t="s">
        <v>683</v>
      </c>
      <c r="G141" t="s">
        <v>852</v>
      </c>
      <c r="H141" t="s">
        <v>853</v>
      </c>
      <c r="I141">
        <v>5020000000</v>
      </c>
      <c r="J141" s="560">
        <v>17600</v>
      </c>
      <c r="K141" s="560">
        <f t="shared" si="5"/>
        <v>1</v>
      </c>
      <c r="L141" s="560">
        <f t="shared" si="4"/>
        <v>1</v>
      </c>
      <c r="M141" s="560" t="e">
        <f>SUMIFS('[1]MAIN-101'!$Z$1:$Z$3000,'[1]MAIN-101'!$X$1:$X$3000,S141)</f>
        <v>#VALUE!</v>
      </c>
      <c r="N141" s="560"/>
      <c r="O141" s="560"/>
      <c r="S141" t="str">
        <f>VLOOKUP(C141,'Recon of ORS and DV'!$A$4:$B$358,2,FALSE)</f>
        <v>0113A</v>
      </c>
    </row>
    <row r="142" spans="1:19">
      <c r="B142" s="553">
        <v>44230</v>
      </c>
      <c r="C142" t="s">
        <v>1048</v>
      </c>
      <c r="D142" s="281">
        <v>10</v>
      </c>
      <c r="E142" t="s">
        <v>2008</v>
      </c>
      <c r="F142" t="s">
        <v>653</v>
      </c>
      <c r="G142" t="s">
        <v>818</v>
      </c>
      <c r="H142" t="s">
        <v>1040</v>
      </c>
      <c r="I142">
        <v>5020000000</v>
      </c>
      <c r="J142" s="560">
        <v>50000</v>
      </c>
      <c r="K142" s="560">
        <f t="shared" si="5"/>
        <v>2</v>
      </c>
      <c r="L142" s="560">
        <f t="shared" si="4"/>
        <v>2</v>
      </c>
    </row>
    <row r="143" spans="1:19">
      <c r="A143" t="s">
        <v>2093</v>
      </c>
      <c r="B143" s="553">
        <v>44230</v>
      </c>
      <c r="C143" t="s">
        <v>1048</v>
      </c>
      <c r="D143" s="281">
        <v>10</v>
      </c>
      <c r="E143" t="s">
        <v>2009</v>
      </c>
      <c r="F143" t="s">
        <v>680</v>
      </c>
      <c r="G143" t="s">
        <v>818</v>
      </c>
      <c r="H143" t="s">
        <v>1040</v>
      </c>
      <c r="I143">
        <v>5020000000</v>
      </c>
      <c r="J143" s="560">
        <v>30000</v>
      </c>
      <c r="K143" s="560">
        <f t="shared" si="5"/>
        <v>2</v>
      </c>
      <c r="L143" s="560">
        <f t="shared" ref="L143:L206" si="6">COUNTIFS(C143:C1696,C143)</f>
        <v>1</v>
      </c>
      <c r="M143" s="560" t="e">
        <f>SUMIFS('[1]MAIN-101'!$Z$1:$Z$3000,'[1]MAIN-101'!$X$1:$X$3000,S143)</f>
        <v>#VALUE!</v>
      </c>
      <c r="N143" s="560"/>
      <c r="O143" s="560"/>
      <c r="S143" t="str">
        <f>VLOOKUP(C143,'Recon of ORS and DV'!$A$4:$B$358,2,FALSE)</f>
        <v>0135</v>
      </c>
    </row>
    <row r="144" spans="1:19">
      <c r="A144" t="s">
        <v>2094</v>
      </c>
      <c r="B144" s="553">
        <v>44230</v>
      </c>
      <c r="C144" t="s">
        <v>1049</v>
      </c>
      <c r="D144" s="281">
        <v>10</v>
      </c>
      <c r="E144" t="s">
        <v>2037</v>
      </c>
      <c r="F144" t="s">
        <v>555</v>
      </c>
      <c r="G144" t="s">
        <v>1062</v>
      </c>
      <c r="H144" t="s">
        <v>1041</v>
      </c>
      <c r="I144">
        <v>5020000000</v>
      </c>
      <c r="J144" s="560">
        <v>750</v>
      </c>
      <c r="K144" s="560">
        <f t="shared" si="5"/>
        <v>1</v>
      </c>
      <c r="L144" s="560">
        <f t="shared" si="6"/>
        <v>1</v>
      </c>
      <c r="M144" s="560" t="e">
        <f>SUMIFS('[1]MAIN-101'!$Z$1:$Z$3000,'[1]MAIN-101'!$X$1:$X$3000,S144)</f>
        <v>#VALUE!</v>
      </c>
      <c r="N144" s="560"/>
      <c r="O144" s="560"/>
      <c r="S144" t="str">
        <f>VLOOKUP(C144,'Recon of ORS and DV'!$A$4:$B$358,2,FALSE)</f>
        <v>0162</v>
      </c>
    </row>
    <row r="145" spans="1:19">
      <c r="A145" t="s">
        <v>2095</v>
      </c>
      <c r="B145" s="553">
        <v>44230</v>
      </c>
      <c r="C145" t="s">
        <v>1050</v>
      </c>
      <c r="D145" s="281">
        <v>10</v>
      </c>
      <c r="E145" t="s">
        <v>2037</v>
      </c>
      <c r="F145" t="s">
        <v>555</v>
      </c>
      <c r="G145" t="s">
        <v>1042</v>
      </c>
      <c r="H145" t="s">
        <v>1041</v>
      </c>
      <c r="I145">
        <v>5020000000</v>
      </c>
      <c r="J145" s="560">
        <v>750</v>
      </c>
      <c r="K145" s="560">
        <f t="shared" si="5"/>
        <v>1</v>
      </c>
      <c r="L145" s="560">
        <f t="shared" si="6"/>
        <v>1</v>
      </c>
      <c r="M145" s="560" t="e">
        <f>SUMIFS('[1]MAIN-101'!$Z$1:$Z$3000,'[1]MAIN-101'!$X$1:$X$3000,S145)</f>
        <v>#VALUE!</v>
      </c>
      <c r="N145" s="560"/>
      <c r="O145" s="560"/>
      <c r="S145" t="str">
        <f>VLOOKUP(C145,'Recon of ORS and DV'!$A$4:$B$358,2,FALSE)</f>
        <v>0163</v>
      </c>
    </row>
    <row r="146" spans="1:19">
      <c r="A146" t="s">
        <v>2096</v>
      </c>
      <c r="B146" s="553">
        <v>44230</v>
      </c>
      <c r="C146" t="s">
        <v>1051</v>
      </c>
      <c r="D146" s="281">
        <v>10</v>
      </c>
      <c r="E146" t="s">
        <v>2037</v>
      </c>
      <c r="F146" t="s">
        <v>555</v>
      </c>
      <c r="G146" t="s">
        <v>1043</v>
      </c>
      <c r="H146" t="s">
        <v>1041</v>
      </c>
      <c r="I146">
        <v>5020000000</v>
      </c>
      <c r="J146" s="560">
        <v>750</v>
      </c>
      <c r="K146" s="560">
        <f t="shared" si="5"/>
        <v>1</v>
      </c>
      <c r="L146" s="560">
        <f t="shared" si="6"/>
        <v>1</v>
      </c>
      <c r="M146" s="560" t="e">
        <f>SUMIFS('[1]MAIN-101'!$Z$1:$Z$3000,'[1]MAIN-101'!$X$1:$X$3000,S146)</f>
        <v>#VALUE!</v>
      </c>
      <c r="N146" s="560"/>
      <c r="O146" s="560"/>
      <c r="S146" t="str">
        <f>VLOOKUP(C146,'Recon of ORS and DV'!$A$4:$B$358,2,FALSE)</f>
        <v>0164</v>
      </c>
    </row>
    <row r="147" spans="1:19">
      <c r="B147" s="553">
        <v>44230</v>
      </c>
      <c r="C147" t="s">
        <v>1052</v>
      </c>
      <c r="D147" s="281">
        <v>3</v>
      </c>
      <c r="E147" t="s">
        <v>2037</v>
      </c>
      <c r="F147" t="s">
        <v>555</v>
      </c>
      <c r="G147" t="s">
        <v>818</v>
      </c>
      <c r="H147" t="s">
        <v>1044</v>
      </c>
      <c r="I147">
        <v>5020000000</v>
      </c>
      <c r="J147" s="560">
        <v>15000</v>
      </c>
      <c r="K147" s="560">
        <f t="shared" si="5"/>
        <v>3</v>
      </c>
      <c r="L147" s="560">
        <f t="shared" si="6"/>
        <v>3</v>
      </c>
    </row>
    <row r="148" spans="1:19">
      <c r="B148" s="553">
        <v>44230</v>
      </c>
      <c r="C148" t="s">
        <v>1052</v>
      </c>
      <c r="D148" s="281">
        <v>3</v>
      </c>
      <c r="E148" t="s">
        <v>2032</v>
      </c>
      <c r="F148" t="s">
        <v>565</v>
      </c>
      <c r="G148" t="s">
        <v>818</v>
      </c>
      <c r="H148" t="s">
        <v>1044</v>
      </c>
      <c r="I148">
        <v>5020000000</v>
      </c>
      <c r="J148" s="560">
        <v>13000</v>
      </c>
      <c r="K148" s="560">
        <f t="shared" si="5"/>
        <v>3</v>
      </c>
      <c r="L148" s="560">
        <f t="shared" si="6"/>
        <v>2</v>
      </c>
    </row>
    <row r="149" spans="1:19">
      <c r="A149" t="s">
        <v>2097</v>
      </c>
      <c r="B149" s="553">
        <v>44230</v>
      </c>
      <c r="C149" t="s">
        <v>1052</v>
      </c>
      <c r="D149" s="281">
        <v>3</v>
      </c>
      <c r="E149" t="s">
        <v>2005</v>
      </c>
      <c r="F149" t="s">
        <v>678</v>
      </c>
      <c r="G149" t="s">
        <v>818</v>
      </c>
      <c r="H149" t="s">
        <v>1044</v>
      </c>
      <c r="I149">
        <v>5020000000</v>
      </c>
      <c r="J149" s="560">
        <v>69200</v>
      </c>
      <c r="K149" s="560">
        <f t="shared" si="5"/>
        <v>3</v>
      </c>
      <c r="L149" s="560">
        <f t="shared" si="6"/>
        <v>1</v>
      </c>
      <c r="M149" s="560" t="e">
        <f>SUMIFS('[1]MAIN-101'!$Z$1:$Z$3000,'[1]MAIN-101'!$X$1:$X$3000,S149)</f>
        <v>#VALUE!</v>
      </c>
      <c r="N149" s="560"/>
      <c r="O149" s="560"/>
      <c r="S149" t="str">
        <f>VLOOKUP(C149,'Recon of ORS and DV'!$A$4:$B$358,2,FALSE)</f>
        <v>0136</v>
      </c>
    </row>
    <row r="150" spans="1:19">
      <c r="B150" s="553">
        <v>44230</v>
      </c>
      <c r="C150" t="s">
        <v>1053</v>
      </c>
      <c r="D150" s="281">
        <v>3</v>
      </c>
      <c r="E150" t="s">
        <v>2037</v>
      </c>
      <c r="F150" t="s">
        <v>555</v>
      </c>
      <c r="G150" t="s">
        <v>820</v>
      </c>
      <c r="H150" t="s">
        <v>1044</v>
      </c>
      <c r="I150">
        <v>5020000000</v>
      </c>
      <c r="J150" s="560">
        <v>15000</v>
      </c>
      <c r="K150" s="560">
        <f t="shared" si="5"/>
        <v>3</v>
      </c>
      <c r="L150" s="560">
        <f t="shared" si="6"/>
        <v>3</v>
      </c>
    </row>
    <row r="151" spans="1:19">
      <c r="B151" s="553">
        <v>44230</v>
      </c>
      <c r="C151" t="s">
        <v>1053</v>
      </c>
      <c r="D151" s="281">
        <v>3</v>
      </c>
      <c r="E151" t="s">
        <v>2032</v>
      </c>
      <c r="F151" t="s">
        <v>565</v>
      </c>
      <c r="G151" t="s">
        <v>820</v>
      </c>
      <c r="H151" t="s">
        <v>1044</v>
      </c>
      <c r="I151">
        <v>5020000000</v>
      </c>
      <c r="J151" s="560">
        <v>13000</v>
      </c>
      <c r="K151" s="560">
        <f t="shared" si="5"/>
        <v>3</v>
      </c>
      <c r="L151" s="560">
        <f t="shared" si="6"/>
        <v>2</v>
      </c>
    </row>
    <row r="152" spans="1:19">
      <c r="A152" t="s">
        <v>2098</v>
      </c>
      <c r="B152" s="553">
        <v>44230</v>
      </c>
      <c r="C152" t="s">
        <v>1053</v>
      </c>
      <c r="D152" s="281">
        <v>3</v>
      </c>
      <c r="E152" t="s">
        <v>2005</v>
      </c>
      <c r="F152" t="s">
        <v>678</v>
      </c>
      <c r="G152" t="s">
        <v>820</v>
      </c>
      <c r="H152" t="s">
        <v>1044</v>
      </c>
      <c r="I152">
        <v>5020000000</v>
      </c>
      <c r="J152" s="560">
        <v>69200</v>
      </c>
      <c r="K152" s="560">
        <f t="shared" si="5"/>
        <v>3</v>
      </c>
      <c r="L152" s="560">
        <f t="shared" si="6"/>
        <v>1</v>
      </c>
      <c r="M152" s="560" t="e">
        <f>SUMIFS('[1]MAIN-101'!$Z$1:$Z$3000,'[1]MAIN-101'!$X$1:$X$3000,S152)</f>
        <v>#VALUE!</v>
      </c>
      <c r="N152" s="560"/>
      <c r="O152" s="560"/>
      <c r="S152" t="str">
        <f>VLOOKUP(C152,'Recon of ORS and DV'!$A$4:$B$358,2,FALSE)</f>
        <v>0137</v>
      </c>
    </row>
    <row r="153" spans="1:19">
      <c r="B153" s="553">
        <v>44230</v>
      </c>
      <c r="C153" t="s">
        <v>1054</v>
      </c>
      <c r="D153" s="281">
        <v>3</v>
      </c>
      <c r="E153" t="s">
        <v>2037</v>
      </c>
      <c r="F153" t="s">
        <v>555</v>
      </c>
      <c r="G153" t="s">
        <v>821</v>
      </c>
      <c r="H153" t="s">
        <v>1044</v>
      </c>
      <c r="I153">
        <v>5020000000</v>
      </c>
      <c r="J153" s="560">
        <v>15000</v>
      </c>
      <c r="K153" s="560">
        <f t="shared" si="5"/>
        <v>3</v>
      </c>
      <c r="L153" s="560">
        <f t="shared" si="6"/>
        <v>3</v>
      </c>
    </row>
    <row r="154" spans="1:19">
      <c r="B154" s="553">
        <v>44230</v>
      </c>
      <c r="C154" t="s">
        <v>1054</v>
      </c>
      <c r="D154" s="281">
        <v>3</v>
      </c>
      <c r="E154" t="s">
        <v>2032</v>
      </c>
      <c r="F154" t="s">
        <v>565</v>
      </c>
      <c r="G154" t="s">
        <v>821</v>
      </c>
      <c r="H154" t="s">
        <v>1044</v>
      </c>
      <c r="I154">
        <v>5020000000</v>
      </c>
      <c r="J154" s="560">
        <v>13000</v>
      </c>
      <c r="K154" s="560">
        <f t="shared" si="5"/>
        <v>3</v>
      </c>
      <c r="L154" s="560">
        <f t="shared" si="6"/>
        <v>2</v>
      </c>
    </row>
    <row r="155" spans="1:19">
      <c r="A155" t="s">
        <v>2099</v>
      </c>
      <c r="B155" s="553">
        <v>44230</v>
      </c>
      <c r="C155" t="s">
        <v>1054</v>
      </c>
      <c r="D155" s="281">
        <v>3</v>
      </c>
      <c r="E155" t="s">
        <v>2005</v>
      </c>
      <c r="F155" t="s">
        <v>678</v>
      </c>
      <c r="G155" t="s">
        <v>821</v>
      </c>
      <c r="H155" t="s">
        <v>1044</v>
      </c>
      <c r="I155">
        <v>5020000000</v>
      </c>
      <c r="J155" s="560">
        <v>69200</v>
      </c>
      <c r="K155" s="560">
        <f t="shared" si="5"/>
        <v>3</v>
      </c>
      <c r="L155" s="560">
        <f t="shared" si="6"/>
        <v>1</v>
      </c>
      <c r="M155" s="560" t="e">
        <f>SUMIFS('[1]MAIN-101'!$Z$1:$Z$3000,'[1]MAIN-101'!$X$1:$X$3000,S155)</f>
        <v>#VALUE!</v>
      </c>
      <c r="N155" s="560"/>
      <c r="O155" s="560"/>
      <c r="S155" t="str">
        <f>VLOOKUP(C155,'Recon of ORS and DV'!$A$4:$B$358,2,FALSE)</f>
        <v>0138</v>
      </c>
    </row>
    <row r="156" spans="1:19">
      <c r="B156" s="553">
        <v>44230</v>
      </c>
      <c r="C156" t="s">
        <v>1055</v>
      </c>
      <c r="D156" s="281">
        <v>3</v>
      </c>
      <c r="E156" t="s">
        <v>2037</v>
      </c>
      <c r="F156" t="s">
        <v>555</v>
      </c>
      <c r="G156" t="s">
        <v>822</v>
      </c>
      <c r="H156" t="s">
        <v>1044</v>
      </c>
      <c r="I156">
        <v>5020000000</v>
      </c>
      <c r="J156" s="560">
        <v>15000</v>
      </c>
      <c r="K156" s="560">
        <f t="shared" si="5"/>
        <v>3</v>
      </c>
      <c r="L156" s="560">
        <f t="shared" si="6"/>
        <v>3</v>
      </c>
    </row>
    <row r="157" spans="1:19">
      <c r="B157" s="553">
        <v>44230</v>
      </c>
      <c r="C157" t="s">
        <v>1055</v>
      </c>
      <c r="D157" s="281">
        <v>3</v>
      </c>
      <c r="E157" t="s">
        <v>2032</v>
      </c>
      <c r="F157" t="s">
        <v>565</v>
      </c>
      <c r="G157" t="s">
        <v>822</v>
      </c>
      <c r="H157" t="s">
        <v>1044</v>
      </c>
      <c r="I157">
        <v>5020000000</v>
      </c>
      <c r="J157" s="560">
        <v>13000</v>
      </c>
      <c r="K157" s="560">
        <f t="shared" si="5"/>
        <v>3</v>
      </c>
      <c r="L157" s="560">
        <f t="shared" si="6"/>
        <v>2</v>
      </c>
    </row>
    <row r="158" spans="1:19">
      <c r="A158" t="s">
        <v>2100</v>
      </c>
      <c r="B158" s="553">
        <v>44230</v>
      </c>
      <c r="C158" t="s">
        <v>1055</v>
      </c>
      <c r="D158" s="281">
        <v>3</v>
      </c>
      <c r="E158" t="s">
        <v>2005</v>
      </c>
      <c r="F158" t="s">
        <v>678</v>
      </c>
      <c r="G158" t="s">
        <v>822</v>
      </c>
      <c r="H158" t="s">
        <v>1044</v>
      </c>
      <c r="I158">
        <v>5020000000</v>
      </c>
      <c r="J158" s="560">
        <v>69200</v>
      </c>
      <c r="K158" s="560">
        <f t="shared" si="5"/>
        <v>3</v>
      </c>
      <c r="L158" s="560">
        <f t="shared" si="6"/>
        <v>1</v>
      </c>
      <c r="M158" s="560" t="e">
        <f>SUMIFS('[1]MAIN-101'!$Z$1:$Z$3000,'[1]MAIN-101'!$X$1:$X$3000,S158)</f>
        <v>#VALUE!</v>
      </c>
      <c r="N158" s="560"/>
      <c r="O158" s="560"/>
      <c r="S158" t="str">
        <f>VLOOKUP(C158,'Recon of ORS and DV'!$A$4:$B$358,2,FALSE)</f>
        <v>0139</v>
      </c>
    </row>
    <row r="159" spans="1:19">
      <c r="B159" s="553">
        <v>44230</v>
      </c>
      <c r="C159" t="s">
        <v>1056</v>
      </c>
      <c r="D159" s="281">
        <v>3</v>
      </c>
      <c r="E159" t="s">
        <v>2037</v>
      </c>
      <c r="F159" t="s">
        <v>555</v>
      </c>
      <c r="G159" t="s">
        <v>823</v>
      </c>
      <c r="H159" t="s">
        <v>1044</v>
      </c>
      <c r="I159">
        <v>5020000000</v>
      </c>
      <c r="J159" s="560">
        <v>15000</v>
      </c>
      <c r="K159" s="560">
        <f t="shared" si="5"/>
        <v>3</v>
      </c>
      <c r="L159" s="560">
        <f t="shared" si="6"/>
        <v>3</v>
      </c>
    </row>
    <row r="160" spans="1:19">
      <c r="B160" s="553">
        <v>44230</v>
      </c>
      <c r="C160" t="s">
        <v>1056</v>
      </c>
      <c r="D160" s="281">
        <v>3</v>
      </c>
      <c r="E160" t="s">
        <v>2032</v>
      </c>
      <c r="F160" t="s">
        <v>565</v>
      </c>
      <c r="G160" t="s">
        <v>823</v>
      </c>
      <c r="H160" t="s">
        <v>1044</v>
      </c>
      <c r="I160">
        <v>5020000000</v>
      </c>
      <c r="J160" s="560">
        <v>13000</v>
      </c>
      <c r="K160" s="560">
        <f t="shared" si="5"/>
        <v>3</v>
      </c>
      <c r="L160" s="560">
        <f t="shared" si="6"/>
        <v>2</v>
      </c>
    </row>
    <row r="161" spans="1:19">
      <c r="A161" t="s">
        <v>2101</v>
      </c>
      <c r="B161" s="553">
        <v>44230</v>
      </c>
      <c r="C161" t="s">
        <v>1056</v>
      </c>
      <c r="D161" s="281">
        <v>3</v>
      </c>
      <c r="E161" t="s">
        <v>2005</v>
      </c>
      <c r="F161" t="s">
        <v>678</v>
      </c>
      <c r="G161" t="s">
        <v>823</v>
      </c>
      <c r="H161" t="s">
        <v>1044</v>
      </c>
      <c r="I161">
        <v>5020000000</v>
      </c>
      <c r="J161" s="560">
        <v>69200</v>
      </c>
      <c r="K161" s="560">
        <f t="shared" si="5"/>
        <v>3</v>
      </c>
      <c r="L161" s="560">
        <f t="shared" si="6"/>
        <v>1</v>
      </c>
      <c r="M161" s="560" t="e">
        <f>SUMIFS('[1]MAIN-101'!$Z$1:$Z$3000,'[1]MAIN-101'!$X$1:$X$3000,S161)</f>
        <v>#VALUE!</v>
      </c>
      <c r="N161" s="560"/>
      <c r="O161" s="560"/>
      <c r="S161" t="str">
        <f>VLOOKUP(C161,'Recon of ORS and DV'!$A$4:$B$358,2,FALSE)</f>
        <v>0140</v>
      </c>
    </row>
    <row r="162" spans="1:19">
      <c r="B162" s="553">
        <v>44230</v>
      </c>
      <c r="C162" t="s">
        <v>1057</v>
      </c>
      <c r="D162" s="281">
        <v>2</v>
      </c>
      <c r="E162" t="s">
        <v>2037</v>
      </c>
      <c r="F162" t="s">
        <v>555</v>
      </c>
      <c r="G162" t="s">
        <v>818</v>
      </c>
      <c r="H162" t="s">
        <v>1045</v>
      </c>
      <c r="I162">
        <v>5020000000</v>
      </c>
      <c r="J162" s="560">
        <v>20000</v>
      </c>
      <c r="K162" s="560">
        <f t="shared" si="5"/>
        <v>4</v>
      </c>
      <c r="L162" s="560">
        <f t="shared" si="6"/>
        <v>4</v>
      </c>
    </row>
    <row r="163" spans="1:19">
      <c r="B163" s="553">
        <v>44230</v>
      </c>
      <c r="C163" t="s">
        <v>1057</v>
      </c>
      <c r="D163" s="281">
        <v>2</v>
      </c>
      <c r="E163" t="s">
        <v>1998</v>
      </c>
      <c r="F163" t="s">
        <v>633</v>
      </c>
      <c r="G163" t="s">
        <v>818</v>
      </c>
      <c r="H163" t="s">
        <v>1045</v>
      </c>
      <c r="I163">
        <v>5020000000</v>
      </c>
      <c r="J163" s="560">
        <v>5000</v>
      </c>
      <c r="K163" s="560">
        <f t="shared" si="5"/>
        <v>4</v>
      </c>
      <c r="L163" s="560">
        <f t="shared" si="6"/>
        <v>3</v>
      </c>
    </row>
    <row r="164" spans="1:19">
      <c r="B164" s="553">
        <v>44230</v>
      </c>
      <c r="C164" t="s">
        <v>1057</v>
      </c>
      <c r="D164" s="281">
        <v>2</v>
      </c>
      <c r="E164" t="s">
        <v>2005</v>
      </c>
      <c r="F164" t="s">
        <v>678</v>
      </c>
      <c r="G164" t="s">
        <v>818</v>
      </c>
      <c r="H164" t="s">
        <v>1045</v>
      </c>
      <c r="I164">
        <v>5020000000</v>
      </c>
      <c r="J164" s="560">
        <v>32500</v>
      </c>
      <c r="K164" s="560">
        <f t="shared" si="5"/>
        <v>4</v>
      </c>
      <c r="L164" s="560">
        <f t="shared" si="6"/>
        <v>2</v>
      </c>
    </row>
    <row r="165" spans="1:19">
      <c r="A165" t="s">
        <v>2102</v>
      </c>
      <c r="B165" s="553">
        <v>44230</v>
      </c>
      <c r="C165" t="s">
        <v>1057</v>
      </c>
      <c r="D165" s="281">
        <v>2</v>
      </c>
      <c r="E165" t="s">
        <v>1999</v>
      </c>
      <c r="F165" t="s">
        <v>672</v>
      </c>
      <c r="G165" t="s">
        <v>818</v>
      </c>
      <c r="H165" t="s">
        <v>1045</v>
      </c>
      <c r="I165">
        <v>5020000000</v>
      </c>
      <c r="J165" s="560">
        <v>5000</v>
      </c>
      <c r="K165" s="560">
        <f t="shared" si="5"/>
        <v>4</v>
      </c>
      <c r="L165" s="560">
        <f t="shared" si="6"/>
        <v>1</v>
      </c>
      <c r="M165" s="560" t="e">
        <f>SUMIFS('[1]MAIN-101'!$Z$1:$Z$3000,'[1]MAIN-101'!$X$1:$X$3000,S165)</f>
        <v>#VALUE!</v>
      </c>
      <c r="N165" s="560"/>
      <c r="O165" s="560"/>
      <c r="S165" t="str">
        <f>VLOOKUP(C165,'Recon of ORS and DV'!$A$4:$B$358,2,FALSE)</f>
        <v>0141</v>
      </c>
    </row>
    <row r="166" spans="1:19">
      <c r="B166" s="553">
        <v>44230</v>
      </c>
      <c r="C166" t="s">
        <v>1058</v>
      </c>
      <c r="D166" s="281">
        <v>2</v>
      </c>
      <c r="E166" t="s">
        <v>2037</v>
      </c>
      <c r="F166" t="s">
        <v>555</v>
      </c>
      <c r="G166" t="s">
        <v>820</v>
      </c>
      <c r="H166" t="s">
        <v>1045</v>
      </c>
      <c r="I166">
        <v>5020000000</v>
      </c>
      <c r="J166" s="560">
        <v>20000</v>
      </c>
      <c r="K166" s="560">
        <f t="shared" si="5"/>
        <v>4</v>
      </c>
      <c r="L166" s="560">
        <f t="shared" si="6"/>
        <v>4</v>
      </c>
    </row>
    <row r="167" spans="1:19">
      <c r="B167" s="553">
        <v>44230</v>
      </c>
      <c r="C167" t="s">
        <v>1058</v>
      </c>
      <c r="D167" s="281">
        <v>2</v>
      </c>
      <c r="E167" t="s">
        <v>1998</v>
      </c>
      <c r="F167" t="s">
        <v>633</v>
      </c>
      <c r="G167" t="s">
        <v>820</v>
      </c>
      <c r="H167" t="s">
        <v>1045</v>
      </c>
      <c r="I167">
        <v>5020000000</v>
      </c>
      <c r="J167" s="560">
        <v>5000</v>
      </c>
      <c r="K167" s="560">
        <f t="shared" si="5"/>
        <v>4</v>
      </c>
      <c r="L167" s="560">
        <f t="shared" si="6"/>
        <v>3</v>
      </c>
    </row>
    <row r="168" spans="1:19">
      <c r="B168" s="553">
        <v>44230</v>
      </c>
      <c r="C168" t="s">
        <v>1058</v>
      </c>
      <c r="D168" s="281">
        <v>2</v>
      </c>
      <c r="E168" t="s">
        <v>2005</v>
      </c>
      <c r="F168" t="s">
        <v>678</v>
      </c>
      <c r="G168" t="s">
        <v>820</v>
      </c>
      <c r="H168" t="s">
        <v>1045</v>
      </c>
      <c r="I168">
        <v>5020000000</v>
      </c>
      <c r="J168" s="560">
        <v>20000</v>
      </c>
      <c r="K168" s="560">
        <f t="shared" si="5"/>
        <v>4</v>
      </c>
      <c r="L168" s="560">
        <f t="shared" si="6"/>
        <v>2</v>
      </c>
    </row>
    <row r="169" spans="1:19">
      <c r="A169" t="s">
        <v>2103</v>
      </c>
      <c r="B169" s="553">
        <v>44230</v>
      </c>
      <c r="C169" t="s">
        <v>1058</v>
      </c>
      <c r="D169" s="281">
        <v>2</v>
      </c>
      <c r="E169" t="s">
        <v>1999</v>
      </c>
      <c r="F169" t="s">
        <v>672</v>
      </c>
      <c r="G169" t="s">
        <v>820</v>
      </c>
      <c r="H169" t="s">
        <v>1045</v>
      </c>
      <c r="I169">
        <v>5020000000</v>
      </c>
      <c r="J169" s="560">
        <v>5000</v>
      </c>
      <c r="K169" s="560">
        <f t="shared" si="5"/>
        <v>4</v>
      </c>
      <c r="L169" s="560">
        <f t="shared" si="6"/>
        <v>1</v>
      </c>
      <c r="M169" s="560" t="e">
        <f>SUMIFS('[1]MAIN-101'!$Z$1:$Z$3000,'[1]MAIN-101'!$X$1:$X$3000,S169)</f>
        <v>#VALUE!</v>
      </c>
      <c r="N169" s="560"/>
      <c r="O169" s="560"/>
      <c r="S169" t="str">
        <f>VLOOKUP(C169,'Recon of ORS and DV'!$A$4:$B$358,2,FALSE)</f>
        <v>0142</v>
      </c>
    </row>
    <row r="170" spans="1:19">
      <c r="B170" s="553">
        <v>44230</v>
      </c>
      <c r="C170" t="s">
        <v>1059</v>
      </c>
      <c r="D170" s="281">
        <v>2</v>
      </c>
      <c r="E170" t="s">
        <v>2037</v>
      </c>
      <c r="F170" t="s">
        <v>555</v>
      </c>
      <c r="G170" t="s">
        <v>821</v>
      </c>
      <c r="H170" t="s">
        <v>1045</v>
      </c>
      <c r="I170">
        <v>5020000000</v>
      </c>
      <c r="J170" s="560">
        <v>20000</v>
      </c>
      <c r="K170" s="560">
        <f t="shared" si="5"/>
        <v>4</v>
      </c>
      <c r="L170" s="560">
        <f t="shared" si="6"/>
        <v>4</v>
      </c>
    </row>
    <row r="171" spans="1:19">
      <c r="B171" s="553">
        <v>44230</v>
      </c>
      <c r="C171" t="s">
        <v>1059</v>
      </c>
      <c r="D171" s="281">
        <v>2</v>
      </c>
      <c r="E171" t="s">
        <v>1998</v>
      </c>
      <c r="F171" t="s">
        <v>633</v>
      </c>
      <c r="G171" t="s">
        <v>821</v>
      </c>
      <c r="H171" t="s">
        <v>1045</v>
      </c>
      <c r="I171">
        <v>5020000000</v>
      </c>
      <c r="J171" s="560">
        <v>5000</v>
      </c>
      <c r="K171" s="560">
        <f t="shared" si="5"/>
        <v>4</v>
      </c>
      <c r="L171" s="560">
        <f t="shared" si="6"/>
        <v>3</v>
      </c>
    </row>
    <row r="172" spans="1:19">
      <c r="B172" s="553">
        <v>44230</v>
      </c>
      <c r="C172" t="s">
        <v>1059</v>
      </c>
      <c r="D172" s="281">
        <v>2</v>
      </c>
      <c r="E172" t="s">
        <v>2005</v>
      </c>
      <c r="F172" t="s">
        <v>678</v>
      </c>
      <c r="G172" t="s">
        <v>821</v>
      </c>
      <c r="H172" t="s">
        <v>1045</v>
      </c>
      <c r="I172">
        <v>5020000000</v>
      </c>
      <c r="J172" s="560">
        <v>20000</v>
      </c>
      <c r="K172" s="560">
        <f t="shared" si="5"/>
        <v>4</v>
      </c>
      <c r="L172" s="560">
        <f t="shared" si="6"/>
        <v>2</v>
      </c>
    </row>
    <row r="173" spans="1:19">
      <c r="A173" t="s">
        <v>2104</v>
      </c>
      <c r="B173" s="553">
        <v>44230</v>
      </c>
      <c r="C173" t="s">
        <v>1059</v>
      </c>
      <c r="D173" s="281">
        <v>2</v>
      </c>
      <c r="E173" t="s">
        <v>1999</v>
      </c>
      <c r="F173" t="s">
        <v>672</v>
      </c>
      <c r="G173" t="s">
        <v>821</v>
      </c>
      <c r="H173" t="s">
        <v>1045</v>
      </c>
      <c r="I173">
        <v>5020000000</v>
      </c>
      <c r="J173" s="560">
        <v>5000</v>
      </c>
      <c r="K173" s="560">
        <f t="shared" si="5"/>
        <v>4</v>
      </c>
      <c r="L173" s="560">
        <f t="shared" si="6"/>
        <v>1</v>
      </c>
      <c r="M173" s="560" t="e">
        <f>SUMIFS('[1]MAIN-101'!$Z$1:$Z$3000,'[1]MAIN-101'!$X$1:$X$3000,S173)</f>
        <v>#VALUE!</v>
      </c>
      <c r="N173" s="560"/>
      <c r="O173" s="560"/>
      <c r="S173" t="str">
        <f>VLOOKUP(C173,'Recon of ORS and DV'!$A$4:$B$358,2,FALSE)</f>
        <v>0143</v>
      </c>
    </row>
    <row r="174" spans="1:19">
      <c r="B174" s="553">
        <v>44230</v>
      </c>
      <c r="C174" t="s">
        <v>1060</v>
      </c>
      <c r="D174" s="281">
        <v>2</v>
      </c>
      <c r="E174" t="s">
        <v>2037</v>
      </c>
      <c r="F174" t="s">
        <v>555</v>
      </c>
      <c r="G174" t="s">
        <v>822</v>
      </c>
      <c r="H174" t="s">
        <v>1045</v>
      </c>
      <c r="I174">
        <v>5020000000</v>
      </c>
      <c r="J174" s="560">
        <v>20000</v>
      </c>
      <c r="K174" s="560">
        <f t="shared" si="5"/>
        <v>4</v>
      </c>
      <c r="L174" s="560">
        <f t="shared" si="6"/>
        <v>4</v>
      </c>
    </row>
    <row r="175" spans="1:19">
      <c r="B175" s="553">
        <v>44230</v>
      </c>
      <c r="C175" t="s">
        <v>1060</v>
      </c>
      <c r="D175" s="281">
        <v>2</v>
      </c>
      <c r="E175" t="s">
        <v>1998</v>
      </c>
      <c r="F175" t="s">
        <v>633</v>
      </c>
      <c r="G175" t="s">
        <v>822</v>
      </c>
      <c r="H175" t="s">
        <v>1045</v>
      </c>
      <c r="I175">
        <v>5020000000</v>
      </c>
      <c r="J175" s="560">
        <v>5000</v>
      </c>
      <c r="K175" s="560">
        <f t="shared" si="5"/>
        <v>4</v>
      </c>
      <c r="L175" s="560">
        <f t="shared" si="6"/>
        <v>3</v>
      </c>
    </row>
    <row r="176" spans="1:19">
      <c r="B176" s="553">
        <v>44230</v>
      </c>
      <c r="C176" t="s">
        <v>1060</v>
      </c>
      <c r="D176" s="281">
        <v>2</v>
      </c>
      <c r="E176" t="s">
        <v>2005</v>
      </c>
      <c r="F176" t="s">
        <v>678</v>
      </c>
      <c r="G176" t="s">
        <v>822</v>
      </c>
      <c r="H176" t="s">
        <v>1045</v>
      </c>
      <c r="I176">
        <v>5020000000</v>
      </c>
      <c r="J176" s="560">
        <v>20000</v>
      </c>
      <c r="K176" s="560">
        <f t="shared" si="5"/>
        <v>4</v>
      </c>
      <c r="L176" s="560">
        <f t="shared" si="6"/>
        <v>2</v>
      </c>
    </row>
    <row r="177" spans="1:19">
      <c r="A177" t="s">
        <v>2105</v>
      </c>
      <c r="B177" s="553">
        <v>44230</v>
      </c>
      <c r="C177" t="s">
        <v>1060</v>
      </c>
      <c r="D177" s="281">
        <v>2</v>
      </c>
      <c r="E177" t="s">
        <v>1999</v>
      </c>
      <c r="F177" t="s">
        <v>672</v>
      </c>
      <c r="G177" t="s">
        <v>822</v>
      </c>
      <c r="H177" t="s">
        <v>1045</v>
      </c>
      <c r="I177">
        <v>5020000000</v>
      </c>
      <c r="J177" s="560">
        <v>5000</v>
      </c>
      <c r="K177" s="560">
        <f t="shared" si="5"/>
        <v>4</v>
      </c>
      <c r="L177" s="560">
        <f t="shared" si="6"/>
        <v>1</v>
      </c>
      <c r="M177" s="560" t="e">
        <f>SUMIFS('[1]MAIN-101'!$Z$1:$Z$3000,'[1]MAIN-101'!$X$1:$X$3000,S177)</f>
        <v>#VALUE!</v>
      </c>
      <c r="N177" s="560"/>
      <c r="O177" s="560"/>
      <c r="S177" t="str">
        <f>VLOOKUP(C177,'Recon of ORS and DV'!$A$4:$B$358,2,FALSE)</f>
        <v>0144</v>
      </c>
    </row>
    <row r="178" spans="1:19">
      <c r="B178" s="553">
        <v>44230</v>
      </c>
      <c r="C178" t="s">
        <v>1061</v>
      </c>
      <c r="D178" s="281">
        <v>2</v>
      </c>
      <c r="E178" t="s">
        <v>2037</v>
      </c>
      <c r="F178" t="s">
        <v>555</v>
      </c>
      <c r="G178" t="s">
        <v>823</v>
      </c>
      <c r="H178" t="s">
        <v>1045</v>
      </c>
      <c r="I178">
        <v>5020000000</v>
      </c>
      <c r="J178" s="560">
        <v>20000</v>
      </c>
      <c r="K178" s="560">
        <f t="shared" si="5"/>
        <v>4</v>
      </c>
      <c r="L178" s="560">
        <f t="shared" si="6"/>
        <v>4</v>
      </c>
    </row>
    <row r="179" spans="1:19">
      <c r="B179" s="553">
        <v>44230</v>
      </c>
      <c r="C179" t="s">
        <v>1061</v>
      </c>
      <c r="D179" s="281">
        <v>2</v>
      </c>
      <c r="E179" t="s">
        <v>1998</v>
      </c>
      <c r="F179" t="s">
        <v>633</v>
      </c>
      <c r="G179" t="s">
        <v>823</v>
      </c>
      <c r="H179" t="s">
        <v>1045</v>
      </c>
      <c r="I179">
        <v>5020000000</v>
      </c>
      <c r="J179" s="560">
        <v>5000</v>
      </c>
      <c r="K179" s="560">
        <f t="shared" si="5"/>
        <v>4</v>
      </c>
      <c r="L179" s="560">
        <f t="shared" si="6"/>
        <v>3</v>
      </c>
    </row>
    <row r="180" spans="1:19">
      <c r="B180" s="553">
        <v>44230</v>
      </c>
      <c r="C180" t="s">
        <v>1061</v>
      </c>
      <c r="D180" s="281">
        <v>2</v>
      </c>
      <c r="E180" t="s">
        <v>2005</v>
      </c>
      <c r="F180" t="s">
        <v>678</v>
      </c>
      <c r="G180" t="s">
        <v>823</v>
      </c>
      <c r="H180" t="s">
        <v>1045</v>
      </c>
      <c r="I180">
        <v>5020000000</v>
      </c>
      <c r="J180" s="560">
        <v>20000</v>
      </c>
      <c r="K180" s="560">
        <f t="shared" si="5"/>
        <v>4</v>
      </c>
      <c r="L180" s="560">
        <f t="shared" si="6"/>
        <v>2</v>
      </c>
    </row>
    <row r="181" spans="1:19">
      <c r="A181" t="s">
        <v>2106</v>
      </c>
      <c r="B181" s="553">
        <v>44230</v>
      </c>
      <c r="C181" t="s">
        <v>1061</v>
      </c>
      <c r="D181" s="281">
        <v>2</v>
      </c>
      <c r="E181" t="s">
        <v>1999</v>
      </c>
      <c r="F181" t="s">
        <v>672</v>
      </c>
      <c r="G181" t="s">
        <v>823</v>
      </c>
      <c r="H181" t="s">
        <v>1045</v>
      </c>
      <c r="I181">
        <v>5020000000</v>
      </c>
      <c r="J181" s="560">
        <v>5000</v>
      </c>
      <c r="K181" s="560">
        <f t="shared" si="5"/>
        <v>4</v>
      </c>
      <c r="L181" s="560">
        <f t="shared" si="6"/>
        <v>1</v>
      </c>
      <c r="M181" s="560" t="e">
        <f>SUMIFS('[1]MAIN-101'!$Z$1:$Z$3000,'[1]MAIN-101'!$X$1:$X$3000,S181)</f>
        <v>#VALUE!</v>
      </c>
      <c r="N181" s="560"/>
      <c r="O181" s="560"/>
      <c r="S181" t="str">
        <f>VLOOKUP(C181,'Recon of ORS and DV'!$A$4:$B$358,2,FALSE)</f>
        <v>0145</v>
      </c>
    </row>
    <row r="182" spans="1:19">
      <c r="B182" s="553">
        <v>44230</v>
      </c>
      <c r="C182" t="s">
        <v>1063</v>
      </c>
      <c r="D182" s="281">
        <v>1</v>
      </c>
      <c r="E182" t="s">
        <v>2032</v>
      </c>
      <c r="F182" t="s">
        <v>565</v>
      </c>
      <c r="G182" t="s">
        <v>773</v>
      </c>
      <c r="H182" t="s">
        <v>1064</v>
      </c>
      <c r="I182">
        <v>5020000000</v>
      </c>
      <c r="J182" s="560">
        <v>1074.25</v>
      </c>
      <c r="K182" s="560">
        <f t="shared" si="5"/>
        <v>3</v>
      </c>
      <c r="L182" s="560">
        <f t="shared" si="6"/>
        <v>3</v>
      </c>
    </row>
    <row r="183" spans="1:19">
      <c r="B183" s="553">
        <v>44230</v>
      </c>
      <c r="C183" t="s">
        <v>1063</v>
      </c>
      <c r="D183" s="281">
        <v>1</v>
      </c>
      <c r="E183" t="s">
        <v>1997</v>
      </c>
      <c r="F183" t="s">
        <v>642</v>
      </c>
      <c r="G183" t="s">
        <v>773</v>
      </c>
      <c r="H183" t="s">
        <v>1064</v>
      </c>
      <c r="I183">
        <v>5020000000</v>
      </c>
      <c r="J183" s="560">
        <v>960</v>
      </c>
      <c r="K183" s="560">
        <f t="shared" si="5"/>
        <v>3</v>
      </c>
      <c r="L183" s="560">
        <f t="shared" si="6"/>
        <v>2</v>
      </c>
    </row>
    <row r="184" spans="1:19">
      <c r="A184" t="s">
        <v>2107</v>
      </c>
      <c r="B184" s="553">
        <v>44230</v>
      </c>
      <c r="C184" t="s">
        <v>1063</v>
      </c>
      <c r="D184" s="281">
        <v>1</v>
      </c>
      <c r="E184" t="s">
        <v>1998</v>
      </c>
      <c r="F184" t="s">
        <v>633</v>
      </c>
      <c r="G184" t="s">
        <v>773</v>
      </c>
      <c r="H184" t="s">
        <v>1064</v>
      </c>
      <c r="I184">
        <v>5020000000</v>
      </c>
      <c r="J184" s="560">
        <v>2700</v>
      </c>
      <c r="K184" s="560">
        <f t="shared" si="5"/>
        <v>3</v>
      </c>
      <c r="L184" s="560">
        <f t="shared" si="6"/>
        <v>1</v>
      </c>
      <c r="M184" s="560" t="e">
        <f>SUMIFS('[1]MAIN-101'!$Z$1:$Z$3000,'[1]MAIN-101'!$X$1:$X$3000,S184)</f>
        <v>#VALUE!</v>
      </c>
      <c r="N184" s="560"/>
      <c r="O184" s="560"/>
      <c r="S184" t="str">
        <f>VLOOKUP(C184,'Recon of ORS and DV'!$A$4:$B$358,2,FALSE)</f>
        <v>0160</v>
      </c>
    </row>
    <row r="185" spans="1:19">
      <c r="A185" t="s">
        <v>2108</v>
      </c>
      <c r="B185" s="553">
        <v>44230</v>
      </c>
      <c r="C185" t="s">
        <v>1077</v>
      </c>
      <c r="D185" s="281">
        <v>2</v>
      </c>
      <c r="E185" t="s">
        <v>2010</v>
      </c>
      <c r="F185" t="s">
        <v>693</v>
      </c>
      <c r="G185" t="s">
        <v>1072</v>
      </c>
      <c r="H185" t="s">
        <v>1073</v>
      </c>
      <c r="I185">
        <v>5020000000</v>
      </c>
      <c r="J185" s="560">
        <v>1350</v>
      </c>
      <c r="K185" s="560">
        <f t="shared" si="5"/>
        <v>1</v>
      </c>
      <c r="L185" s="560">
        <f t="shared" si="6"/>
        <v>1</v>
      </c>
      <c r="M185" s="560" t="e">
        <f>SUMIFS('[1]MAIN-101'!$Z$1:$Z$3000,'[1]MAIN-101'!$X$1:$X$3000,S185)</f>
        <v>#VALUE!</v>
      </c>
      <c r="N185" s="560"/>
      <c r="O185" s="560"/>
      <c r="S185" t="str">
        <f>VLOOKUP(C185,'Recon of ORS and DV'!$A$4:$B$358,2,FALSE)</f>
        <v>0161</v>
      </c>
    </row>
    <row r="186" spans="1:19">
      <c r="B186" s="553">
        <v>44230</v>
      </c>
      <c r="C186" t="s">
        <v>1078</v>
      </c>
      <c r="D186" s="281">
        <v>1</v>
      </c>
      <c r="E186" t="s">
        <v>2038</v>
      </c>
      <c r="F186" t="s">
        <v>567</v>
      </c>
      <c r="G186" t="s">
        <v>818</v>
      </c>
      <c r="H186" t="s">
        <v>1074</v>
      </c>
      <c r="I186">
        <v>5020000000</v>
      </c>
      <c r="J186" s="560">
        <v>1660</v>
      </c>
      <c r="K186" s="560">
        <f t="shared" si="5"/>
        <v>26</v>
      </c>
      <c r="L186" s="560">
        <f t="shared" si="6"/>
        <v>26</v>
      </c>
    </row>
    <row r="187" spans="1:19">
      <c r="B187" s="553">
        <v>44230</v>
      </c>
      <c r="C187" t="s">
        <v>1078</v>
      </c>
      <c r="D187" s="281">
        <v>1</v>
      </c>
      <c r="E187" t="s">
        <v>2039</v>
      </c>
      <c r="F187" t="s">
        <v>560</v>
      </c>
      <c r="G187" t="s">
        <v>818</v>
      </c>
      <c r="H187" t="s">
        <v>1074</v>
      </c>
      <c r="I187">
        <v>5020000000</v>
      </c>
      <c r="J187" s="560">
        <v>10790</v>
      </c>
      <c r="K187" s="560">
        <f t="shared" si="5"/>
        <v>26</v>
      </c>
      <c r="L187" s="560">
        <f t="shared" si="6"/>
        <v>25</v>
      </c>
    </row>
    <row r="188" spans="1:19">
      <c r="B188" s="553">
        <v>44230</v>
      </c>
      <c r="C188" t="s">
        <v>1078</v>
      </c>
      <c r="D188" s="281">
        <v>1</v>
      </c>
      <c r="E188" t="s">
        <v>2034</v>
      </c>
      <c r="F188" t="s">
        <v>581</v>
      </c>
      <c r="G188" t="s">
        <v>818</v>
      </c>
      <c r="H188" t="s">
        <v>1074</v>
      </c>
      <c r="I188">
        <v>5020000000</v>
      </c>
      <c r="J188" s="560">
        <v>8509.99</v>
      </c>
      <c r="K188" s="560">
        <f t="shared" si="5"/>
        <v>26</v>
      </c>
      <c r="L188" s="560">
        <f t="shared" si="6"/>
        <v>24</v>
      </c>
    </row>
    <row r="189" spans="1:19">
      <c r="B189" s="553">
        <v>44230</v>
      </c>
      <c r="C189" t="s">
        <v>1078</v>
      </c>
      <c r="D189" s="281">
        <v>1</v>
      </c>
      <c r="E189" t="s">
        <v>2035</v>
      </c>
      <c r="F189" t="s">
        <v>596</v>
      </c>
      <c r="G189" t="s">
        <v>818</v>
      </c>
      <c r="H189" t="s">
        <v>1074</v>
      </c>
      <c r="I189">
        <v>5020000000</v>
      </c>
      <c r="J189" s="560">
        <v>4731</v>
      </c>
      <c r="K189" s="560">
        <f t="shared" si="5"/>
        <v>26</v>
      </c>
      <c r="L189" s="560">
        <f t="shared" si="6"/>
        <v>23</v>
      </c>
    </row>
    <row r="190" spans="1:19">
      <c r="B190" s="553">
        <v>44230</v>
      </c>
      <c r="C190" t="s">
        <v>1078</v>
      </c>
      <c r="D190" s="281">
        <v>1</v>
      </c>
      <c r="E190" t="s">
        <v>2040</v>
      </c>
      <c r="F190" t="s">
        <v>598</v>
      </c>
      <c r="G190" t="s">
        <v>818</v>
      </c>
      <c r="H190" t="s">
        <v>1074</v>
      </c>
      <c r="I190">
        <v>5020000000</v>
      </c>
      <c r="J190" s="560">
        <v>42745</v>
      </c>
      <c r="K190" s="560">
        <f t="shared" si="5"/>
        <v>26</v>
      </c>
      <c r="L190" s="560">
        <f t="shared" si="6"/>
        <v>22</v>
      </c>
    </row>
    <row r="191" spans="1:19">
      <c r="B191" s="553">
        <v>44230</v>
      </c>
      <c r="C191" t="s">
        <v>1078</v>
      </c>
      <c r="D191" s="281">
        <v>1</v>
      </c>
      <c r="E191" t="s">
        <v>2041</v>
      </c>
      <c r="F191" t="s">
        <v>601</v>
      </c>
      <c r="G191" t="s">
        <v>818</v>
      </c>
      <c r="H191" t="s">
        <v>1074</v>
      </c>
      <c r="I191">
        <v>5020000000</v>
      </c>
      <c r="J191" s="560">
        <v>2075</v>
      </c>
      <c r="K191" s="560">
        <f t="shared" si="5"/>
        <v>26</v>
      </c>
      <c r="L191" s="560">
        <f t="shared" si="6"/>
        <v>21</v>
      </c>
    </row>
    <row r="192" spans="1:19">
      <c r="B192" s="553">
        <v>44230</v>
      </c>
      <c r="C192" t="s">
        <v>1078</v>
      </c>
      <c r="D192" s="281">
        <v>1</v>
      </c>
      <c r="E192" t="s">
        <v>2011</v>
      </c>
      <c r="F192" t="s">
        <v>605</v>
      </c>
      <c r="G192" t="s">
        <v>818</v>
      </c>
      <c r="H192" t="s">
        <v>1074</v>
      </c>
      <c r="I192">
        <v>5020000000</v>
      </c>
      <c r="J192" s="560">
        <v>762.27</v>
      </c>
      <c r="K192" s="560">
        <f t="shared" si="5"/>
        <v>26</v>
      </c>
      <c r="L192" s="560">
        <f t="shared" si="6"/>
        <v>20</v>
      </c>
    </row>
    <row r="193" spans="2:12">
      <c r="B193" s="553">
        <v>44230</v>
      </c>
      <c r="C193" t="s">
        <v>1078</v>
      </c>
      <c r="D193" s="281">
        <v>1</v>
      </c>
      <c r="E193" t="s">
        <v>2002</v>
      </c>
      <c r="F193" t="s">
        <v>603</v>
      </c>
      <c r="G193" t="s">
        <v>818</v>
      </c>
      <c r="H193" t="s">
        <v>1074</v>
      </c>
      <c r="I193">
        <v>5020000000</v>
      </c>
      <c r="J193" s="560">
        <v>6972</v>
      </c>
      <c r="K193" s="560">
        <f t="shared" si="5"/>
        <v>26</v>
      </c>
      <c r="L193" s="560">
        <f t="shared" si="6"/>
        <v>19</v>
      </c>
    </row>
    <row r="194" spans="2:12">
      <c r="B194" s="553">
        <v>44230</v>
      </c>
      <c r="C194" t="s">
        <v>1078</v>
      </c>
      <c r="D194" s="281">
        <v>1</v>
      </c>
      <c r="E194" t="s">
        <v>2003</v>
      </c>
      <c r="F194" t="s">
        <v>609</v>
      </c>
      <c r="G194" t="s">
        <v>818</v>
      </c>
      <c r="H194" t="s">
        <v>1074</v>
      </c>
      <c r="I194">
        <v>5020000000</v>
      </c>
      <c r="J194" s="560">
        <v>539.5</v>
      </c>
      <c r="K194" s="560">
        <f t="shared" si="5"/>
        <v>26</v>
      </c>
      <c r="L194" s="560">
        <f t="shared" si="6"/>
        <v>18</v>
      </c>
    </row>
    <row r="195" spans="2:12">
      <c r="B195" s="553">
        <v>44230</v>
      </c>
      <c r="C195" t="s">
        <v>1078</v>
      </c>
      <c r="D195" s="281">
        <v>1</v>
      </c>
      <c r="E195" t="s">
        <v>2012</v>
      </c>
      <c r="F195" t="s">
        <v>627</v>
      </c>
      <c r="G195" t="s">
        <v>818</v>
      </c>
      <c r="H195" t="s">
        <v>1074</v>
      </c>
      <c r="I195">
        <v>5020000000</v>
      </c>
      <c r="J195" s="560">
        <v>498</v>
      </c>
      <c r="K195" s="560">
        <f t="shared" si="5"/>
        <v>26</v>
      </c>
      <c r="L195" s="560">
        <f t="shared" si="6"/>
        <v>17</v>
      </c>
    </row>
    <row r="196" spans="2:12">
      <c r="B196" s="553">
        <v>44230</v>
      </c>
      <c r="C196" t="s">
        <v>1078</v>
      </c>
      <c r="D196" s="281">
        <v>1</v>
      </c>
      <c r="E196" t="s">
        <v>1997</v>
      </c>
      <c r="F196" t="s">
        <v>642</v>
      </c>
      <c r="G196" t="s">
        <v>818</v>
      </c>
      <c r="H196" t="s">
        <v>1074</v>
      </c>
      <c r="I196">
        <v>5020000000</v>
      </c>
      <c r="J196" s="560">
        <v>169498.73</v>
      </c>
      <c r="K196" s="560">
        <f t="shared" ref="K196:K259" si="7">COUNTIFS($C$3:$C$1556,C196)</f>
        <v>26</v>
      </c>
      <c r="L196" s="560">
        <f t="shared" si="6"/>
        <v>16</v>
      </c>
    </row>
    <row r="197" spans="2:12">
      <c r="B197" s="553">
        <v>44230</v>
      </c>
      <c r="C197" t="s">
        <v>1078</v>
      </c>
      <c r="D197" s="281">
        <v>4</v>
      </c>
      <c r="E197" t="s">
        <v>2013</v>
      </c>
      <c r="F197" t="s">
        <v>311</v>
      </c>
      <c r="G197" t="s">
        <v>818</v>
      </c>
      <c r="H197" t="s">
        <v>1074</v>
      </c>
      <c r="I197">
        <v>5020000000</v>
      </c>
      <c r="J197" s="560">
        <v>2766.67</v>
      </c>
      <c r="K197" s="560">
        <f t="shared" si="7"/>
        <v>26</v>
      </c>
      <c r="L197" s="560">
        <f t="shared" si="6"/>
        <v>15</v>
      </c>
    </row>
    <row r="198" spans="2:12">
      <c r="B198" s="553">
        <v>44230</v>
      </c>
      <c r="C198" t="s">
        <v>1078</v>
      </c>
      <c r="D198" s="281">
        <v>3</v>
      </c>
      <c r="E198" t="s">
        <v>2014</v>
      </c>
      <c r="F198" t="s">
        <v>651</v>
      </c>
      <c r="G198" t="s">
        <v>818</v>
      </c>
      <c r="H198" t="s">
        <v>1074</v>
      </c>
      <c r="I198">
        <v>5020000000</v>
      </c>
      <c r="J198" s="560">
        <v>2766.67</v>
      </c>
      <c r="K198" s="560">
        <f t="shared" si="7"/>
        <v>26</v>
      </c>
      <c r="L198" s="560">
        <f t="shared" si="6"/>
        <v>14</v>
      </c>
    </row>
    <row r="199" spans="2:12">
      <c r="B199" s="553">
        <v>44230</v>
      </c>
      <c r="C199" t="s">
        <v>1078</v>
      </c>
      <c r="D199" s="281">
        <v>3</v>
      </c>
      <c r="E199" t="s">
        <v>2015</v>
      </c>
      <c r="F199" t="s">
        <v>662</v>
      </c>
      <c r="G199" t="s">
        <v>818</v>
      </c>
      <c r="H199" t="s">
        <v>1074</v>
      </c>
      <c r="I199">
        <v>5020000000</v>
      </c>
      <c r="J199" s="560">
        <v>1383.33</v>
      </c>
      <c r="K199" s="560">
        <f t="shared" si="7"/>
        <v>26</v>
      </c>
      <c r="L199" s="560">
        <f t="shared" si="6"/>
        <v>13</v>
      </c>
    </row>
    <row r="200" spans="2:12">
      <c r="B200" s="553">
        <v>44230</v>
      </c>
      <c r="C200" t="s">
        <v>1078</v>
      </c>
      <c r="D200" s="281">
        <v>1</v>
      </c>
      <c r="E200" t="s">
        <v>2016</v>
      </c>
      <c r="F200" t="s">
        <v>319</v>
      </c>
      <c r="G200" t="s">
        <v>818</v>
      </c>
      <c r="H200" t="s">
        <v>1074</v>
      </c>
      <c r="I200">
        <v>5020000000</v>
      </c>
      <c r="J200" s="560">
        <v>13833.33</v>
      </c>
      <c r="K200" s="560">
        <f t="shared" si="7"/>
        <v>26</v>
      </c>
      <c r="L200" s="560">
        <f t="shared" si="6"/>
        <v>12</v>
      </c>
    </row>
    <row r="201" spans="2:12">
      <c r="B201" s="553">
        <v>44230</v>
      </c>
      <c r="C201" t="s">
        <v>1078</v>
      </c>
      <c r="D201" s="281">
        <v>1</v>
      </c>
      <c r="E201" t="s">
        <v>2017</v>
      </c>
      <c r="F201" t="s">
        <v>665</v>
      </c>
      <c r="G201" t="s">
        <v>818</v>
      </c>
      <c r="H201" t="s">
        <v>1074</v>
      </c>
      <c r="I201">
        <v>5020000000</v>
      </c>
      <c r="J201" s="560">
        <v>691.67</v>
      </c>
      <c r="K201" s="560">
        <f t="shared" si="7"/>
        <v>26</v>
      </c>
      <c r="L201" s="560">
        <f t="shared" si="6"/>
        <v>11</v>
      </c>
    </row>
    <row r="202" spans="2:12">
      <c r="B202" s="553">
        <v>44230</v>
      </c>
      <c r="C202" t="s">
        <v>1078</v>
      </c>
      <c r="D202" s="281">
        <v>1</v>
      </c>
      <c r="E202" t="s">
        <v>2001</v>
      </c>
      <c r="F202" t="s">
        <v>669</v>
      </c>
      <c r="G202" t="s">
        <v>818</v>
      </c>
      <c r="H202" t="s">
        <v>1074</v>
      </c>
      <c r="I202">
        <v>5020000000</v>
      </c>
      <c r="J202" s="560">
        <v>1909.52</v>
      </c>
      <c r="K202" s="560">
        <f t="shared" si="7"/>
        <v>26</v>
      </c>
      <c r="L202" s="560">
        <f t="shared" si="6"/>
        <v>10</v>
      </c>
    </row>
    <row r="203" spans="2:12">
      <c r="B203" s="553">
        <v>44230</v>
      </c>
      <c r="C203" t="s">
        <v>1078</v>
      </c>
      <c r="D203" s="281">
        <v>1</v>
      </c>
      <c r="E203" t="s">
        <v>2018</v>
      </c>
      <c r="F203" t="s">
        <v>671</v>
      </c>
      <c r="G203" t="s">
        <v>818</v>
      </c>
      <c r="H203" t="s">
        <v>1074</v>
      </c>
      <c r="I203">
        <v>5020000000</v>
      </c>
      <c r="J203" s="560">
        <v>4810.3100000000004</v>
      </c>
      <c r="K203" s="560">
        <f t="shared" si="7"/>
        <v>26</v>
      </c>
      <c r="L203" s="560">
        <f t="shared" si="6"/>
        <v>9</v>
      </c>
    </row>
    <row r="204" spans="2:12">
      <c r="B204" s="553">
        <v>44230</v>
      </c>
      <c r="C204" t="s">
        <v>1078</v>
      </c>
      <c r="D204" s="281">
        <v>1</v>
      </c>
      <c r="E204" t="s">
        <v>2000</v>
      </c>
      <c r="F204" t="s">
        <v>683</v>
      </c>
      <c r="G204" t="s">
        <v>818</v>
      </c>
      <c r="H204" t="s">
        <v>1074</v>
      </c>
      <c r="I204">
        <v>5020000000</v>
      </c>
      <c r="J204" s="560">
        <v>220858.58</v>
      </c>
      <c r="K204" s="560">
        <f t="shared" si="7"/>
        <v>26</v>
      </c>
      <c r="L204" s="560">
        <f t="shared" si="6"/>
        <v>8</v>
      </c>
    </row>
    <row r="205" spans="2:12">
      <c r="B205" s="553">
        <v>44230</v>
      </c>
      <c r="C205" t="s">
        <v>1078</v>
      </c>
      <c r="D205" s="281">
        <v>1</v>
      </c>
      <c r="E205" t="s">
        <v>2010</v>
      </c>
      <c r="F205" t="s">
        <v>693</v>
      </c>
      <c r="G205" t="s">
        <v>818</v>
      </c>
      <c r="H205" t="s">
        <v>1074</v>
      </c>
      <c r="I205">
        <v>5020000000</v>
      </c>
      <c r="J205" s="560">
        <v>1521.67</v>
      </c>
      <c r="K205" s="560">
        <f t="shared" si="7"/>
        <v>26</v>
      </c>
      <c r="L205" s="560">
        <f t="shared" si="6"/>
        <v>7</v>
      </c>
    </row>
    <row r="206" spans="2:12">
      <c r="B206" s="553">
        <v>44230</v>
      </c>
      <c r="C206" t="s">
        <v>1078</v>
      </c>
      <c r="D206" s="281">
        <v>1</v>
      </c>
      <c r="E206" t="s">
        <v>2037</v>
      </c>
      <c r="F206" t="s">
        <v>555</v>
      </c>
      <c r="G206" t="s">
        <v>818</v>
      </c>
      <c r="H206" t="s">
        <v>1074</v>
      </c>
      <c r="I206">
        <v>5020000000</v>
      </c>
      <c r="J206" s="560">
        <v>1383.33</v>
      </c>
      <c r="K206" s="560">
        <f t="shared" si="7"/>
        <v>26</v>
      </c>
      <c r="L206" s="560">
        <f t="shared" si="6"/>
        <v>6</v>
      </c>
    </row>
    <row r="207" spans="2:12">
      <c r="B207" s="553">
        <v>44230</v>
      </c>
      <c r="C207" t="s">
        <v>1078</v>
      </c>
      <c r="D207" s="281">
        <v>1</v>
      </c>
      <c r="E207" t="s">
        <v>2032</v>
      </c>
      <c r="F207" t="s">
        <v>565</v>
      </c>
      <c r="G207" t="s">
        <v>818</v>
      </c>
      <c r="H207" t="s">
        <v>1074</v>
      </c>
      <c r="I207">
        <v>5020000000</v>
      </c>
      <c r="J207" s="560">
        <v>6916.67</v>
      </c>
      <c r="K207" s="560">
        <f t="shared" si="7"/>
        <v>26</v>
      </c>
      <c r="L207" s="560">
        <f t="shared" ref="L207:L270" si="8">COUNTIFS(C207:C1760,C207)</f>
        <v>5</v>
      </c>
    </row>
    <row r="208" spans="2:12">
      <c r="B208" s="553">
        <v>44230</v>
      </c>
      <c r="C208" t="s">
        <v>1078</v>
      </c>
      <c r="D208" s="281">
        <v>1</v>
      </c>
      <c r="E208" t="s">
        <v>1996</v>
      </c>
      <c r="F208" t="s">
        <v>676</v>
      </c>
      <c r="G208" t="s">
        <v>818</v>
      </c>
      <c r="H208" t="s">
        <v>1074</v>
      </c>
      <c r="I208">
        <v>5020000000</v>
      </c>
      <c r="J208" s="560">
        <v>4980</v>
      </c>
      <c r="K208" s="560">
        <f t="shared" si="7"/>
        <v>26</v>
      </c>
      <c r="L208" s="560">
        <f t="shared" si="8"/>
        <v>4</v>
      </c>
    </row>
    <row r="209" spans="1:19">
      <c r="B209" s="553">
        <v>44230</v>
      </c>
      <c r="C209" t="s">
        <v>1078</v>
      </c>
      <c r="D209" s="281">
        <v>1</v>
      </c>
      <c r="E209" t="s">
        <v>2005</v>
      </c>
      <c r="F209" t="s">
        <v>678</v>
      </c>
      <c r="G209" t="s">
        <v>818</v>
      </c>
      <c r="H209" t="s">
        <v>1074</v>
      </c>
      <c r="I209">
        <v>5020000000</v>
      </c>
      <c r="J209" s="560">
        <v>3541.33</v>
      </c>
      <c r="K209" s="560">
        <f t="shared" si="7"/>
        <v>26</v>
      </c>
      <c r="L209" s="560">
        <f t="shared" si="8"/>
        <v>3</v>
      </c>
    </row>
    <row r="210" spans="1:19">
      <c r="B210" s="553">
        <v>44230</v>
      </c>
      <c r="C210" t="s">
        <v>1078</v>
      </c>
      <c r="D210" s="281">
        <v>3</v>
      </c>
      <c r="E210" t="s">
        <v>2009</v>
      </c>
      <c r="F210" t="s">
        <v>680</v>
      </c>
      <c r="G210" t="s">
        <v>818</v>
      </c>
      <c r="H210" t="s">
        <v>1074</v>
      </c>
      <c r="I210">
        <v>5020000000</v>
      </c>
      <c r="J210" s="560">
        <v>3320</v>
      </c>
      <c r="K210" s="560">
        <f t="shared" si="7"/>
        <v>26</v>
      </c>
      <c r="L210" s="560">
        <f t="shared" si="8"/>
        <v>2</v>
      </c>
    </row>
    <row r="211" spans="1:19">
      <c r="A211" t="s">
        <v>2109</v>
      </c>
      <c r="B211" s="553">
        <v>44230</v>
      </c>
      <c r="C211" t="s">
        <v>1078</v>
      </c>
      <c r="D211" s="281">
        <v>1</v>
      </c>
      <c r="E211" t="s">
        <v>1999</v>
      </c>
      <c r="F211" t="s">
        <v>672</v>
      </c>
      <c r="G211" t="s">
        <v>818</v>
      </c>
      <c r="H211" t="s">
        <v>1074</v>
      </c>
      <c r="I211">
        <v>5020000000</v>
      </c>
      <c r="J211" s="560">
        <v>9376.91</v>
      </c>
      <c r="K211" s="560">
        <f t="shared" si="7"/>
        <v>26</v>
      </c>
      <c r="L211" s="560">
        <f t="shared" si="8"/>
        <v>1</v>
      </c>
      <c r="M211" s="560" t="e">
        <f>SUMIFS('[1]MAIN-101'!$Z$1:$Z$3000,'[1]MAIN-101'!$X$1:$X$3000,S211)</f>
        <v>#VALUE!</v>
      </c>
      <c r="N211" s="560"/>
      <c r="O211" s="560"/>
      <c r="S211" t="str">
        <f>VLOOKUP(C211,'Recon of ORS and DV'!$A$4:$B$358,2,FALSE)</f>
        <v>0146</v>
      </c>
    </row>
    <row r="212" spans="1:19">
      <c r="B212" s="553">
        <v>44230</v>
      </c>
      <c r="C212" t="s">
        <v>1079</v>
      </c>
      <c r="D212" s="281">
        <v>1</v>
      </c>
      <c r="E212" t="s">
        <v>2038</v>
      </c>
      <c r="F212" t="s">
        <v>567</v>
      </c>
      <c r="G212" t="s">
        <v>820</v>
      </c>
      <c r="H212" t="s">
        <v>1074</v>
      </c>
      <c r="I212">
        <v>5020000000</v>
      </c>
      <c r="J212" s="560">
        <v>1660</v>
      </c>
      <c r="K212" s="560">
        <f t="shared" si="7"/>
        <v>25</v>
      </c>
      <c r="L212" s="560">
        <f t="shared" si="8"/>
        <v>25</v>
      </c>
    </row>
    <row r="213" spans="1:19">
      <c r="B213" s="553">
        <v>44230</v>
      </c>
      <c r="C213" t="s">
        <v>1079</v>
      </c>
      <c r="D213" s="281">
        <v>1</v>
      </c>
      <c r="E213" t="s">
        <v>2039</v>
      </c>
      <c r="F213" t="s">
        <v>560</v>
      </c>
      <c r="G213" t="s">
        <v>820</v>
      </c>
      <c r="H213" t="s">
        <v>1074</v>
      </c>
      <c r="I213">
        <v>5020000000</v>
      </c>
      <c r="J213" s="560">
        <v>9960</v>
      </c>
      <c r="K213" s="560">
        <f t="shared" si="7"/>
        <v>25</v>
      </c>
      <c r="L213" s="560">
        <f t="shared" si="8"/>
        <v>24</v>
      </c>
    </row>
    <row r="214" spans="1:19">
      <c r="B214" s="553">
        <v>44230</v>
      </c>
      <c r="C214" t="s">
        <v>1079</v>
      </c>
      <c r="D214" s="281">
        <v>1</v>
      </c>
      <c r="E214" t="s">
        <v>2034</v>
      </c>
      <c r="F214" t="s">
        <v>581</v>
      </c>
      <c r="G214" t="s">
        <v>820</v>
      </c>
      <c r="H214" t="s">
        <v>1074</v>
      </c>
      <c r="I214">
        <v>5020000000</v>
      </c>
      <c r="J214" s="560">
        <v>11066.67</v>
      </c>
      <c r="K214" s="560">
        <f t="shared" si="7"/>
        <v>25</v>
      </c>
      <c r="L214" s="560">
        <f t="shared" si="8"/>
        <v>23</v>
      </c>
    </row>
    <row r="215" spans="1:19">
      <c r="B215" s="553">
        <v>44230</v>
      </c>
      <c r="C215" t="s">
        <v>1079</v>
      </c>
      <c r="D215" s="281">
        <v>1</v>
      </c>
      <c r="E215" t="s">
        <v>2035</v>
      </c>
      <c r="F215" t="s">
        <v>596</v>
      </c>
      <c r="G215" t="s">
        <v>820</v>
      </c>
      <c r="H215" t="s">
        <v>1074</v>
      </c>
      <c r="I215">
        <v>5020000000</v>
      </c>
      <c r="J215" s="560">
        <v>2158</v>
      </c>
      <c r="K215" s="560">
        <f t="shared" si="7"/>
        <v>25</v>
      </c>
      <c r="L215" s="560">
        <f t="shared" si="8"/>
        <v>22</v>
      </c>
    </row>
    <row r="216" spans="1:19">
      <c r="B216" s="553">
        <v>44230</v>
      </c>
      <c r="C216" t="s">
        <v>1079</v>
      </c>
      <c r="D216" s="281">
        <v>1</v>
      </c>
      <c r="E216" t="s">
        <v>2040</v>
      </c>
      <c r="F216" t="s">
        <v>598</v>
      </c>
      <c r="G216" t="s">
        <v>820</v>
      </c>
      <c r="H216" t="s">
        <v>1074</v>
      </c>
      <c r="I216">
        <v>5020000000</v>
      </c>
      <c r="J216" s="560">
        <v>38180</v>
      </c>
      <c r="K216" s="560">
        <f t="shared" si="7"/>
        <v>25</v>
      </c>
      <c r="L216" s="560">
        <f t="shared" si="8"/>
        <v>21</v>
      </c>
    </row>
    <row r="217" spans="1:19">
      <c r="B217" s="553">
        <v>44230</v>
      </c>
      <c r="C217" t="s">
        <v>1079</v>
      </c>
      <c r="D217" s="281">
        <v>1</v>
      </c>
      <c r="E217" t="s">
        <v>2041</v>
      </c>
      <c r="F217" t="s">
        <v>601</v>
      </c>
      <c r="G217" t="s">
        <v>820</v>
      </c>
      <c r="H217" t="s">
        <v>1074</v>
      </c>
      <c r="I217">
        <v>5020000000</v>
      </c>
      <c r="J217" s="560">
        <v>4150</v>
      </c>
      <c r="K217" s="560">
        <f t="shared" si="7"/>
        <v>25</v>
      </c>
      <c r="L217" s="560">
        <f t="shared" si="8"/>
        <v>20</v>
      </c>
    </row>
    <row r="218" spans="1:19">
      <c r="B218" s="553">
        <v>44230</v>
      </c>
      <c r="C218" t="s">
        <v>1079</v>
      </c>
      <c r="D218" s="281">
        <v>1</v>
      </c>
      <c r="E218" t="s">
        <v>2002</v>
      </c>
      <c r="F218" t="s">
        <v>603</v>
      </c>
      <c r="G218" t="s">
        <v>820</v>
      </c>
      <c r="H218" t="s">
        <v>1074</v>
      </c>
      <c r="I218">
        <v>5020000000</v>
      </c>
      <c r="J218" s="560">
        <v>2988</v>
      </c>
      <c r="K218" s="560">
        <f t="shared" si="7"/>
        <v>25</v>
      </c>
      <c r="L218" s="560">
        <f t="shared" si="8"/>
        <v>19</v>
      </c>
    </row>
    <row r="219" spans="1:19">
      <c r="B219" s="553">
        <v>44230</v>
      </c>
      <c r="C219" t="s">
        <v>1079</v>
      </c>
      <c r="D219" s="281">
        <v>1</v>
      </c>
      <c r="E219" t="s">
        <v>2003</v>
      </c>
      <c r="F219" t="s">
        <v>609</v>
      </c>
      <c r="G219" t="s">
        <v>820</v>
      </c>
      <c r="H219" t="s">
        <v>1074</v>
      </c>
      <c r="I219">
        <v>5020000000</v>
      </c>
      <c r="J219" s="560">
        <v>830</v>
      </c>
      <c r="K219" s="560">
        <f t="shared" si="7"/>
        <v>25</v>
      </c>
      <c r="L219" s="560">
        <f t="shared" si="8"/>
        <v>18</v>
      </c>
    </row>
    <row r="220" spans="1:19">
      <c r="B220" s="553">
        <v>44230</v>
      </c>
      <c r="C220" t="s">
        <v>1079</v>
      </c>
      <c r="D220" s="281">
        <v>1</v>
      </c>
      <c r="E220" t="s">
        <v>2012</v>
      </c>
      <c r="F220" t="s">
        <v>627</v>
      </c>
      <c r="G220" t="s">
        <v>820</v>
      </c>
      <c r="H220" t="s">
        <v>1074</v>
      </c>
      <c r="I220">
        <v>5020000000</v>
      </c>
      <c r="J220" s="560">
        <v>498</v>
      </c>
      <c r="K220" s="560">
        <f t="shared" si="7"/>
        <v>25</v>
      </c>
      <c r="L220" s="560">
        <f t="shared" si="8"/>
        <v>17</v>
      </c>
    </row>
    <row r="221" spans="1:19">
      <c r="B221" s="553">
        <v>44230</v>
      </c>
      <c r="C221" t="s">
        <v>1079</v>
      </c>
      <c r="D221" s="281">
        <v>1</v>
      </c>
      <c r="E221" t="s">
        <v>2007</v>
      </c>
      <c r="F221" t="s">
        <v>638</v>
      </c>
      <c r="G221" t="s">
        <v>820</v>
      </c>
      <c r="H221" t="s">
        <v>1074</v>
      </c>
      <c r="I221">
        <v>5020000000</v>
      </c>
      <c r="J221" s="560">
        <v>13847.17</v>
      </c>
      <c r="K221" s="560">
        <f t="shared" si="7"/>
        <v>25</v>
      </c>
      <c r="L221" s="560">
        <f t="shared" si="8"/>
        <v>16</v>
      </c>
    </row>
    <row r="222" spans="1:19">
      <c r="B222" s="553">
        <v>44230</v>
      </c>
      <c r="C222" t="s">
        <v>1079</v>
      </c>
      <c r="D222" s="281">
        <v>1</v>
      </c>
      <c r="E222" t="s">
        <v>1997</v>
      </c>
      <c r="F222" t="s">
        <v>642</v>
      </c>
      <c r="G222" t="s">
        <v>820</v>
      </c>
      <c r="H222" t="s">
        <v>1074</v>
      </c>
      <c r="I222">
        <v>5020000000</v>
      </c>
      <c r="J222" s="560">
        <v>66782.91</v>
      </c>
      <c r="K222" s="560">
        <f t="shared" si="7"/>
        <v>25</v>
      </c>
      <c r="L222" s="560">
        <f t="shared" si="8"/>
        <v>15</v>
      </c>
    </row>
    <row r="223" spans="1:19">
      <c r="B223" s="553">
        <v>44230</v>
      </c>
      <c r="C223" t="s">
        <v>1079</v>
      </c>
      <c r="D223" s="281">
        <v>3</v>
      </c>
      <c r="E223" t="s">
        <v>2019</v>
      </c>
      <c r="F223" t="s">
        <v>646</v>
      </c>
      <c r="G223" t="s">
        <v>820</v>
      </c>
      <c r="H223" t="s">
        <v>1074</v>
      </c>
      <c r="I223">
        <v>5020000000</v>
      </c>
      <c r="J223" s="560">
        <v>39807.910000000003</v>
      </c>
      <c r="K223" s="560">
        <f t="shared" si="7"/>
        <v>25</v>
      </c>
      <c r="L223" s="560">
        <f t="shared" si="8"/>
        <v>14</v>
      </c>
    </row>
    <row r="224" spans="1:19">
      <c r="B224" s="553">
        <v>44230</v>
      </c>
      <c r="C224" t="s">
        <v>1079</v>
      </c>
      <c r="D224" s="281">
        <v>4</v>
      </c>
      <c r="E224" t="s">
        <v>2013</v>
      </c>
      <c r="F224" t="s">
        <v>311</v>
      </c>
      <c r="G224" t="s">
        <v>820</v>
      </c>
      <c r="H224" t="s">
        <v>1074</v>
      </c>
      <c r="I224">
        <v>5020000000</v>
      </c>
      <c r="J224" s="560">
        <v>2766.67</v>
      </c>
      <c r="K224" s="560">
        <f t="shared" si="7"/>
        <v>25</v>
      </c>
      <c r="L224" s="560">
        <f t="shared" si="8"/>
        <v>13</v>
      </c>
    </row>
    <row r="225" spans="1:19">
      <c r="B225" s="553">
        <v>44230</v>
      </c>
      <c r="C225" t="s">
        <v>1079</v>
      </c>
      <c r="D225" s="281">
        <v>3</v>
      </c>
      <c r="E225" t="s">
        <v>2014</v>
      </c>
      <c r="F225" t="s">
        <v>651</v>
      </c>
      <c r="G225" t="s">
        <v>820</v>
      </c>
      <c r="H225" t="s">
        <v>1074</v>
      </c>
      <c r="I225">
        <v>5020000000</v>
      </c>
      <c r="J225" s="560">
        <v>2766.67</v>
      </c>
      <c r="K225" s="560">
        <f t="shared" si="7"/>
        <v>25</v>
      </c>
      <c r="L225" s="560">
        <f t="shared" si="8"/>
        <v>12</v>
      </c>
    </row>
    <row r="226" spans="1:19">
      <c r="B226" s="553">
        <v>44230</v>
      </c>
      <c r="C226" t="s">
        <v>1079</v>
      </c>
      <c r="D226" s="281">
        <v>3</v>
      </c>
      <c r="E226" t="s">
        <v>2015</v>
      </c>
      <c r="F226" t="s">
        <v>662</v>
      </c>
      <c r="G226" t="s">
        <v>820</v>
      </c>
      <c r="H226" t="s">
        <v>1074</v>
      </c>
      <c r="I226">
        <v>5020000000</v>
      </c>
      <c r="J226" s="560">
        <v>1383.33</v>
      </c>
      <c r="K226" s="560">
        <f t="shared" si="7"/>
        <v>25</v>
      </c>
      <c r="L226" s="560">
        <f t="shared" si="8"/>
        <v>11</v>
      </c>
    </row>
    <row r="227" spans="1:19">
      <c r="B227" s="553">
        <v>44230</v>
      </c>
      <c r="C227" t="s">
        <v>1079</v>
      </c>
      <c r="D227" s="281">
        <v>1</v>
      </c>
      <c r="E227" t="s">
        <v>2016</v>
      </c>
      <c r="F227" t="s">
        <v>319</v>
      </c>
      <c r="G227" t="s">
        <v>820</v>
      </c>
      <c r="H227" t="s">
        <v>1074</v>
      </c>
      <c r="I227">
        <v>5020000000</v>
      </c>
      <c r="J227" s="560">
        <v>13833.33</v>
      </c>
      <c r="K227" s="560">
        <f t="shared" si="7"/>
        <v>25</v>
      </c>
      <c r="L227" s="560">
        <f t="shared" si="8"/>
        <v>10</v>
      </c>
    </row>
    <row r="228" spans="1:19">
      <c r="B228" s="553">
        <v>44230</v>
      </c>
      <c r="C228" t="s">
        <v>1079</v>
      </c>
      <c r="D228" s="281">
        <v>1</v>
      </c>
      <c r="E228" t="s">
        <v>2017</v>
      </c>
      <c r="F228" t="s">
        <v>665</v>
      </c>
      <c r="G228" t="s">
        <v>820</v>
      </c>
      <c r="H228" t="s">
        <v>1074</v>
      </c>
      <c r="I228">
        <v>5020000000</v>
      </c>
      <c r="J228" s="560">
        <v>691.67</v>
      </c>
      <c r="K228" s="560">
        <f t="shared" si="7"/>
        <v>25</v>
      </c>
      <c r="L228" s="560">
        <f t="shared" si="8"/>
        <v>9</v>
      </c>
    </row>
    <row r="229" spans="1:19">
      <c r="B229" s="553">
        <v>44230</v>
      </c>
      <c r="C229" t="s">
        <v>1079</v>
      </c>
      <c r="D229" s="281">
        <v>1</v>
      </c>
      <c r="E229" t="s">
        <v>2001</v>
      </c>
      <c r="F229" t="s">
        <v>669</v>
      </c>
      <c r="G229" t="s">
        <v>820</v>
      </c>
      <c r="H229" t="s">
        <v>1074</v>
      </c>
      <c r="I229">
        <v>5020000000</v>
      </c>
      <c r="J229" s="560">
        <v>1798.33</v>
      </c>
      <c r="K229" s="560">
        <f t="shared" si="7"/>
        <v>25</v>
      </c>
      <c r="L229" s="560">
        <f t="shared" si="8"/>
        <v>8</v>
      </c>
    </row>
    <row r="230" spans="1:19">
      <c r="B230" s="553">
        <v>44230</v>
      </c>
      <c r="C230" t="s">
        <v>1079</v>
      </c>
      <c r="D230" s="281">
        <v>1</v>
      </c>
      <c r="E230" t="s">
        <v>2018</v>
      </c>
      <c r="F230" t="s">
        <v>671</v>
      </c>
      <c r="G230" t="s">
        <v>820</v>
      </c>
      <c r="H230" t="s">
        <v>1074</v>
      </c>
      <c r="I230">
        <v>5020000000</v>
      </c>
      <c r="J230" s="560">
        <v>3609.82</v>
      </c>
      <c r="K230" s="560">
        <f t="shared" si="7"/>
        <v>25</v>
      </c>
      <c r="L230" s="560">
        <f t="shared" si="8"/>
        <v>7</v>
      </c>
    </row>
    <row r="231" spans="1:19">
      <c r="B231" s="553">
        <v>44230</v>
      </c>
      <c r="C231" t="s">
        <v>1079</v>
      </c>
      <c r="D231" s="281">
        <v>1</v>
      </c>
      <c r="E231" t="s">
        <v>2037</v>
      </c>
      <c r="F231" t="s">
        <v>555</v>
      </c>
      <c r="G231" t="s">
        <v>820</v>
      </c>
      <c r="H231" t="s">
        <v>1074</v>
      </c>
      <c r="I231">
        <v>5020000000</v>
      </c>
      <c r="J231" s="560">
        <v>1383.33</v>
      </c>
      <c r="K231" s="560">
        <f t="shared" si="7"/>
        <v>25</v>
      </c>
      <c r="L231" s="560">
        <f t="shared" si="8"/>
        <v>6</v>
      </c>
    </row>
    <row r="232" spans="1:19">
      <c r="B232" s="553">
        <v>44230</v>
      </c>
      <c r="C232" t="s">
        <v>1079</v>
      </c>
      <c r="D232" s="281">
        <v>1</v>
      </c>
      <c r="E232" t="s">
        <v>2032</v>
      </c>
      <c r="F232" t="s">
        <v>565</v>
      </c>
      <c r="G232" t="s">
        <v>820</v>
      </c>
      <c r="H232" t="s">
        <v>1074</v>
      </c>
      <c r="I232">
        <v>5020000000</v>
      </c>
      <c r="J232" s="560">
        <v>6916.67</v>
      </c>
      <c r="K232" s="560">
        <f t="shared" si="7"/>
        <v>25</v>
      </c>
      <c r="L232" s="560">
        <f t="shared" si="8"/>
        <v>5</v>
      </c>
    </row>
    <row r="233" spans="1:19">
      <c r="B233" s="553">
        <v>44230</v>
      </c>
      <c r="C233" t="s">
        <v>1079</v>
      </c>
      <c r="D233" s="281">
        <v>1</v>
      </c>
      <c r="E233" t="s">
        <v>1996</v>
      </c>
      <c r="F233" t="s">
        <v>676</v>
      </c>
      <c r="G233" t="s">
        <v>820</v>
      </c>
      <c r="H233" t="s">
        <v>1074</v>
      </c>
      <c r="I233">
        <v>5020000000</v>
      </c>
      <c r="J233" s="560">
        <v>2075</v>
      </c>
      <c r="K233" s="560">
        <f t="shared" si="7"/>
        <v>25</v>
      </c>
      <c r="L233" s="560">
        <f t="shared" si="8"/>
        <v>4</v>
      </c>
    </row>
    <row r="234" spans="1:19">
      <c r="B234" s="553">
        <v>44230</v>
      </c>
      <c r="C234" t="s">
        <v>1079</v>
      </c>
      <c r="D234" s="281">
        <v>1</v>
      </c>
      <c r="E234" t="s">
        <v>2005</v>
      </c>
      <c r="F234" t="s">
        <v>678</v>
      </c>
      <c r="G234" t="s">
        <v>820</v>
      </c>
      <c r="H234" t="s">
        <v>1074</v>
      </c>
      <c r="I234">
        <v>5020000000</v>
      </c>
      <c r="J234" s="560">
        <v>3375.33</v>
      </c>
      <c r="K234" s="560">
        <f t="shared" si="7"/>
        <v>25</v>
      </c>
      <c r="L234" s="560">
        <f t="shared" si="8"/>
        <v>3</v>
      </c>
    </row>
    <row r="235" spans="1:19">
      <c r="B235" s="553">
        <v>44230</v>
      </c>
      <c r="C235" t="s">
        <v>1079</v>
      </c>
      <c r="D235" s="281">
        <v>3</v>
      </c>
      <c r="E235" t="s">
        <v>2009</v>
      </c>
      <c r="F235" t="s">
        <v>680</v>
      </c>
      <c r="G235" t="s">
        <v>820</v>
      </c>
      <c r="H235" t="s">
        <v>1074</v>
      </c>
      <c r="I235">
        <v>5020000000</v>
      </c>
      <c r="J235" s="560">
        <v>691.67</v>
      </c>
      <c r="K235" s="560">
        <f t="shared" si="7"/>
        <v>25</v>
      </c>
      <c r="L235" s="560">
        <f t="shared" si="8"/>
        <v>2</v>
      </c>
    </row>
    <row r="236" spans="1:19">
      <c r="A236" t="s">
        <v>2110</v>
      </c>
      <c r="B236" s="553">
        <v>44230</v>
      </c>
      <c r="C236" t="s">
        <v>1079</v>
      </c>
      <c r="D236" s="281">
        <v>1</v>
      </c>
      <c r="E236" t="s">
        <v>1999</v>
      </c>
      <c r="F236" t="s">
        <v>672</v>
      </c>
      <c r="G236" t="s">
        <v>820</v>
      </c>
      <c r="H236" t="s">
        <v>1074</v>
      </c>
      <c r="I236">
        <v>5020000000</v>
      </c>
      <c r="J236" s="560">
        <v>8308.2099999999991</v>
      </c>
      <c r="K236" s="560">
        <f t="shared" si="7"/>
        <v>25</v>
      </c>
      <c r="L236" s="560">
        <f t="shared" si="8"/>
        <v>1</v>
      </c>
      <c r="M236" s="560" t="e">
        <f>SUMIFS('[1]MAIN-101'!$Z$1:$Z$3000,'[1]MAIN-101'!$X$1:$X$3000,S236)</f>
        <v>#VALUE!</v>
      </c>
      <c r="N236" s="560"/>
      <c r="O236" s="560"/>
      <c r="S236" t="str">
        <f>VLOOKUP(C236,'Recon of ORS and DV'!$A$4:$B$358,2,FALSE)</f>
        <v>0147</v>
      </c>
    </row>
    <row r="237" spans="1:19">
      <c r="B237" s="553">
        <v>44230</v>
      </c>
      <c r="C237" t="s">
        <v>1080</v>
      </c>
      <c r="D237" s="281">
        <v>1</v>
      </c>
      <c r="E237" t="s">
        <v>2038</v>
      </c>
      <c r="F237" t="s">
        <v>567</v>
      </c>
      <c r="G237" t="s">
        <v>821</v>
      </c>
      <c r="H237" t="s">
        <v>1074</v>
      </c>
      <c r="I237">
        <v>5020000000</v>
      </c>
      <c r="J237" s="560">
        <v>1245</v>
      </c>
      <c r="K237" s="560">
        <f t="shared" si="7"/>
        <v>27</v>
      </c>
      <c r="L237" s="560">
        <f t="shared" si="8"/>
        <v>27</v>
      </c>
    </row>
    <row r="238" spans="1:19">
      <c r="B238" s="553">
        <v>44230</v>
      </c>
      <c r="C238" t="s">
        <v>1080</v>
      </c>
      <c r="D238" s="281">
        <v>1</v>
      </c>
      <c r="E238" t="s">
        <v>2039</v>
      </c>
      <c r="F238" t="s">
        <v>560</v>
      </c>
      <c r="G238" t="s">
        <v>821</v>
      </c>
      <c r="H238" t="s">
        <v>1074</v>
      </c>
      <c r="I238">
        <v>5020000000</v>
      </c>
      <c r="J238" s="560">
        <v>9960</v>
      </c>
      <c r="K238" s="560">
        <f t="shared" si="7"/>
        <v>27</v>
      </c>
      <c r="L238" s="560">
        <f t="shared" si="8"/>
        <v>26</v>
      </c>
    </row>
    <row r="239" spans="1:19">
      <c r="B239" s="553">
        <v>44230</v>
      </c>
      <c r="C239" t="s">
        <v>1080</v>
      </c>
      <c r="D239" s="281">
        <v>1</v>
      </c>
      <c r="E239" t="s">
        <v>2034</v>
      </c>
      <c r="F239" t="s">
        <v>581</v>
      </c>
      <c r="G239" t="s">
        <v>821</v>
      </c>
      <c r="H239" t="s">
        <v>1074</v>
      </c>
      <c r="I239">
        <v>5020000000</v>
      </c>
      <c r="J239" s="560">
        <v>7211.11</v>
      </c>
      <c r="K239" s="560">
        <f t="shared" si="7"/>
        <v>27</v>
      </c>
      <c r="L239" s="560">
        <f t="shared" si="8"/>
        <v>25</v>
      </c>
    </row>
    <row r="240" spans="1:19">
      <c r="B240" s="553">
        <v>44230</v>
      </c>
      <c r="C240" t="s">
        <v>1080</v>
      </c>
      <c r="D240" s="281">
        <v>1</v>
      </c>
      <c r="E240" t="s">
        <v>2035</v>
      </c>
      <c r="F240" t="s">
        <v>596</v>
      </c>
      <c r="G240" t="s">
        <v>821</v>
      </c>
      <c r="H240" t="s">
        <v>1074</v>
      </c>
      <c r="I240">
        <v>5020000000</v>
      </c>
      <c r="J240" s="560">
        <v>1412.1</v>
      </c>
      <c r="K240" s="560">
        <f t="shared" si="7"/>
        <v>27</v>
      </c>
      <c r="L240" s="560">
        <f t="shared" si="8"/>
        <v>24</v>
      </c>
    </row>
    <row r="241" spans="2:12">
      <c r="B241" s="553">
        <v>44230</v>
      </c>
      <c r="C241" t="s">
        <v>1080</v>
      </c>
      <c r="D241" s="281">
        <v>1</v>
      </c>
      <c r="E241" t="s">
        <v>2040</v>
      </c>
      <c r="F241" t="s">
        <v>598</v>
      </c>
      <c r="G241" t="s">
        <v>821</v>
      </c>
      <c r="H241" t="s">
        <v>1074</v>
      </c>
      <c r="I241">
        <v>5020000000</v>
      </c>
      <c r="J241" s="560">
        <v>31391.81</v>
      </c>
      <c r="K241" s="560">
        <f t="shared" si="7"/>
        <v>27</v>
      </c>
      <c r="L241" s="560">
        <f t="shared" si="8"/>
        <v>23</v>
      </c>
    </row>
    <row r="242" spans="2:12">
      <c r="B242" s="553">
        <v>44230</v>
      </c>
      <c r="C242" t="s">
        <v>1080</v>
      </c>
      <c r="D242" s="281">
        <v>1</v>
      </c>
      <c r="E242" t="s">
        <v>2041</v>
      </c>
      <c r="F242" t="s">
        <v>601</v>
      </c>
      <c r="G242" t="s">
        <v>821</v>
      </c>
      <c r="H242" t="s">
        <v>1074</v>
      </c>
      <c r="I242">
        <v>5020000000</v>
      </c>
      <c r="J242" s="560">
        <v>830</v>
      </c>
      <c r="K242" s="560">
        <f t="shared" si="7"/>
        <v>27</v>
      </c>
      <c r="L242" s="560">
        <f t="shared" si="8"/>
        <v>22</v>
      </c>
    </row>
    <row r="243" spans="2:12">
      <c r="B243" s="553">
        <v>44230</v>
      </c>
      <c r="C243" t="s">
        <v>1080</v>
      </c>
      <c r="D243" s="281">
        <v>1</v>
      </c>
      <c r="E243" t="s">
        <v>2011</v>
      </c>
      <c r="F243" t="s">
        <v>605</v>
      </c>
      <c r="G243" t="s">
        <v>821</v>
      </c>
      <c r="H243" t="s">
        <v>1074</v>
      </c>
      <c r="I243">
        <v>5020000000</v>
      </c>
      <c r="J243" s="560">
        <v>5057.87</v>
      </c>
      <c r="K243" s="560">
        <f t="shared" si="7"/>
        <v>27</v>
      </c>
      <c r="L243" s="560">
        <f t="shared" si="8"/>
        <v>21</v>
      </c>
    </row>
    <row r="244" spans="2:12">
      <c r="B244" s="553">
        <v>44230</v>
      </c>
      <c r="C244" t="s">
        <v>1080</v>
      </c>
      <c r="D244" s="281">
        <v>1</v>
      </c>
      <c r="E244" t="s">
        <v>2002</v>
      </c>
      <c r="F244" t="s">
        <v>603</v>
      </c>
      <c r="G244" t="s">
        <v>821</v>
      </c>
      <c r="H244" t="s">
        <v>1074</v>
      </c>
      <c r="I244">
        <v>5020000000</v>
      </c>
      <c r="J244" s="560">
        <v>2988</v>
      </c>
      <c r="K244" s="560">
        <f t="shared" si="7"/>
        <v>27</v>
      </c>
      <c r="L244" s="560">
        <f t="shared" si="8"/>
        <v>20</v>
      </c>
    </row>
    <row r="245" spans="2:12">
      <c r="B245" s="553">
        <v>44230</v>
      </c>
      <c r="C245" t="s">
        <v>1080</v>
      </c>
      <c r="D245" s="281">
        <v>1</v>
      </c>
      <c r="E245" t="s">
        <v>2003</v>
      </c>
      <c r="F245" t="s">
        <v>609</v>
      </c>
      <c r="G245" t="s">
        <v>821</v>
      </c>
      <c r="H245" t="s">
        <v>1074</v>
      </c>
      <c r="I245">
        <v>5020000000</v>
      </c>
      <c r="J245" s="560">
        <v>581</v>
      </c>
      <c r="K245" s="560">
        <f t="shared" si="7"/>
        <v>27</v>
      </c>
      <c r="L245" s="560">
        <f t="shared" si="8"/>
        <v>19</v>
      </c>
    </row>
    <row r="246" spans="2:12">
      <c r="B246" s="553">
        <v>44230</v>
      </c>
      <c r="C246" t="s">
        <v>1080</v>
      </c>
      <c r="D246" s="281">
        <v>1</v>
      </c>
      <c r="E246" t="s">
        <v>2012</v>
      </c>
      <c r="F246" t="s">
        <v>627</v>
      </c>
      <c r="G246" t="s">
        <v>821</v>
      </c>
      <c r="H246" t="s">
        <v>1074</v>
      </c>
      <c r="I246">
        <v>5020000000</v>
      </c>
      <c r="J246" s="560">
        <v>498</v>
      </c>
      <c r="K246" s="560">
        <f t="shared" si="7"/>
        <v>27</v>
      </c>
      <c r="L246" s="560">
        <f t="shared" si="8"/>
        <v>18</v>
      </c>
    </row>
    <row r="247" spans="2:12">
      <c r="B247" s="553">
        <v>44230</v>
      </c>
      <c r="C247" t="s">
        <v>1080</v>
      </c>
      <c r="D247" s="281">
        <v>1</v>
      </c>
      <c r="E247" t="s">
        <v>2007</v>
      </c>
      <c r="F247" t="s">
        <v>638</v>
      </c>
      <c r="G247" t="s">
        <v>821</v>
      </c>
      <c r="H247" t="s">
        <v>1074</v>
      </c>
      <c r="I247">
        <v>5020000000</v>
      </c>
      <c r="J247" s="560">
        <v>14386.67</v>
      </c>
      <c r="K247" s="560">
        <f t="shared" si="7"/>
        <v>27</v>
      </c>
      <c r="L247" s="560">
        <f t="shared" si="8"/>
        <v>17</v>
      </c>
    </row>
    <row r="248" spans="2:12">
      <c r="B248" s="553">
        <v>44230</v>
      </c>
      <c r="C248" t="s">
        <v>1080</v>
      </c>
      <c r="D248" s="281">
        <v>1</v>
      </c>
      <c r="E248" t="s">
        <v>1997</v>
      </c>
      <c r="F248" t="s">
        <v>642</v>
      </c>
      <c r="G248" t="s">
        <v>821</v>
      </c>
      <c r="H248" t="s">
        <v>1074</v>
      </c>
      <c r="I248">
        <v>5020000000</v>
      </c>
      <c r="J248" s="560">
        <v>109583.24</v>
      </c>
      <c r="K248" s="560">
        <f t="shared" si="7"/>
        <v>27</v>
      </c>
      <c r="L248" s="560">
        <f t="shared" si="8"/>
        <v>16</v>
      </c>
    </row>
    <row r="249" spans="2:12">
      <c r="B249" s="553">
        <v>44230</v>
      </c>
      <c r="C249" t="s">
        <v>1080</v>
      </c>
      <c r="D249" s="281">
        <v>3</v>
      </c>
      <c r="E249" t="s">
        <v>2019</v>
      </c>
      <c r="F249" t="s">
        <v>646</v>
      </c>
      <c r="G249" t="s">
        <v>821</v>
      </c>
      <c r="H249" t="s">
        <v>1074</v>
      </c>
      <c r="I249">
        <v>5020000000</v>
      </c>
      <c r="J249" s="560">
        <v>16600</v>
      </c>
      <c r="K249" s="560">
        <f t="shared" si="7"/>
        <v>27</v>
      </c>
      <c r="L249" s="560">
        <f t="shared" si="8"/>
        <v>15</v>
      </c>
    </row>
    <row r="250" spans="2:12">
      <c r="B250" s="553">
        <v>44230</v>
      </c>
      <c r="C250" t="s">
        <v>1080</v>
      </c>
      <c r="D250" s="281">
        <v>4</v>
      </c>
      <c r="E250" t="s">
        <v>2013</v>
      </c>
      <c r="F250" t="s">
        <v>311</v>
      </c>
      <c r="G250" t="s">
        <v>821</v>
      </c>
      <c r="H250" t="s">
        <v>1074</v>
      </c>
      <c r="I250">
        <v>5020000000</v>
      </c>
      <c r="J250" s="560">
        <v>2766.67</v>
      </c>
      <c r="K250" s="560">
        <f t="shared" si="7"/>
        <v>27</v>
      </c>
      <c r="L250" s="560">
        <f t="shared" si="8"/>
        <v>14</v>
      </c>
    </row>
    <row r="251" spans="2:12">
      <c r="B251" s="553">
        <v>44230</v>
      </c>
      <c r="C251" t="s">
        <v>1080</v>
      </c>
      <c r="D251" s="281">
        <v>3</v>
      </c>
      <c r="E251" t="s">
        <v>2014</v>
      </c>
      <c r="F251" t="s">
        <v>651</v>
      </c>
      <c r="G251" t="s">
        <v>821</v>
      </c>
      <c r="H251" t="s">
        <v>1074</v>
      </c>
      <c r="I251">
        <v>5020000000</v>
      </c>
      <c r="J251" s="560">
        <v>2766.67</v>
      </c>
      <c r="K251" s="560">
        <f t="shared" si="7"/>
        <v>27</v>
      </c>
      <c r="L251" s="560">
        <f t="shared" si="8"/>
        <v>13</v>
      </c>
    </row>
    <row r="252" spans="2:12">
      <c r="B252" s="553">
        <v>44230</v>
      </c>
      <c r="C252" t="s">
        <v>1080</v>
      </c>
      <c r="D252" s="281">
        <v>3</v>
      </c>
      <c r="E252" t="s">
        <v>2015</v>
      </c>
      <c r="F252" t="s">
        <v>662</v>
      </c>
      <c r="G252" t="s">
        <v>821</v>
      </c>
      <c r="H252" t="s">
        <v>1074</v>
      </c>
      <c r="I252">
        <v>5020000000</v>
      </c>
      <c r="J252" s="560">
        <v>1383.33</v>
      </c>
      <c r="K252" s="560">
        <f t="shared" si="7"/>
        <v>27</v>
      </c>
      <c r="L252" s="560">
        <f t="shared" si="8"/>
        <v>12</v>
      </c>
    </row>
    <row r="253" spans="2:12">
      <c r="B253" s="553">
        <v>44230</v>
      </c>
      <c r="C253" t="s">
        <v>1080</v>
      </c>
      <c r="D253" s="281">
        <v>1</v>
      </c>
      <c r="E253" t="s">
        <v>2016</v>
      </c>
      <c r="F253" t="s">
        <v>319</v>
      </c>
      <c r="G253" t="s">
        <v>821</v>
      </c>
      <c r="H253" t="s">
        <v>1074</v>
      </c>
      <c r="I253">
        <v>5020000000</v>
      </c>
      <c r="J253" s="560">
        <v>13833.33</v>
      </c>
      <c r="K253" s="560">
        <f t="shared" si="7"/>
        <v>27</v>
      </c>
      <c r="L253" s="560">
        <f t="shared" si="8"/>
        <v>11</v>
      </c>
    </row>
    <row r="254" spans="2:12">
      <c r="B254" s="553">
        <v>44230</v>
      </c>
      <c r="C254" t="s">
        <v>1080</v>
      </c>
      <c r="D254" s="281">
        <v>1</v>
      </c>
      <c r="E254" t="s">
        <v>2017</v>
      </c>
      <c r="F254" t="s">
        <v>665</v>
      </c>
      <c r="G254" t="s">
        <v>821</v>
      </c>
      <c r="H254" t="s">
        <v>1074</v>
      </c>
      <c r="I254">
        <v>5020000000</v>
      </c>
      <c r="J254" s="560">
        <v>1037.5</v>
      </c>
      <c r="K254" s="560">
        <f t="shared" si="7"/>
        <v>27</v>
      </c>
      <c r="L254" s="560">
        <f t="shared" si="8"/>
        <v>10</v>
      </c>
    </row>
    <row r="255" spans="2:12">
      <c r="B255" s="553">
        <v>44230</v>
      </c>
      <c r="C255" t="s">
        <v>1080</v>
      </c>
      <c r="D255" s="281">
        <v>1</v>
      </c>
      <c r="E255" t="s">
        <v>2001</v>
      </c>
      <c r="F255" t="s">
        <v>669</v>
      </c>
      <c r="G255" t="s">
        <v>821</v>
      </c>
      <c r="H255" t="s">
        <v>1074</v>
      </c>
      <c r="I255">
        <v>5020000000</v>
      </c>
      <c r="J255" s="560">
        <v>1390.25</v>
      </c>
      <c r="K255" s="560">
        <f t="shared" si="7"/>
        <v>27</v>
      </c>
      <c r="L255" s="560">
        <f t="shared" si="8"/>
        <v>9</v>
      </c>
    </row>
    <row r="256" spans="2:12">
      <c r="B256" s="553">
        <v>44230</v>
      </c>
      <c r="C256" t="s">
        <v>1080</v>
      </c>
      <c r="D256" s="281">
        <v>1</v>
      </c>
      <c r="E256" t="s">
        <v>2018</v>
      </c>
      <c r="F256" t="s">
        <v>671</v>
      </c>
      <c r="G256" t="s">
        <v>821</v>
      </c>
      <c r="H256" t="s">
        <v>1074</v>
      </c>
      <c r="I256">
        <v>5020000000</v>
      </c>
      <c r="J256" s="560">
        <v>3043.33</v>
      </c>
      <c r="K256" s="560">
        <f t="shared" si="7"/>
        <v>27</v>
      </c>
      <c r="L256" s="560">
        <f t="shared" si="8"/>
        <v>8</v>
      </c>
    </row>
    <row r="257" spans="1:19">
      <c r="B257" s="553">
        <v>44230</v>
      </c>
      <c r="C257" t="s">
        <v>1080</v>
      </c>
      <c r="D257" s="281">
        <v>1</v>
      </c>
      <c r="E257" t="s">
        <v>2000</v>
      </c>
      <c r="F257" t="s">
        <v>683</v>
      </c>
      <c r="G257" t="s">
        <v>821</v>
      </c>
      <c r="H257" t="s">
        <v>1074</v>
      </c>
      <c r="I257">
        <v>5020000000</v>
      </c>
      <c r="J257" s="560">
        <v>85490</v>
      </c>
      <c r="K257" s="560">
        <f t="shared" si="7"/>
        <v>27</v>
      </c>
      <c r="L257" s="560">
        <f t="shared" si="8"/>
        <v>7</v>
      </c>
    </row>
    <row r="258" spans="1:19">
      <c r="B258" s="553">
        <v>44230</v>
      </c>
      <c r="C258" t="s">
        <v>1080</v>
      </c>
      <c r="D258" s="281">
        <v>1</v>
      </c>
      <c r="E258" t="s">
        <v>2037</v>
      </c>
      <c r="F258" t="s">
        <v>555</v>
      </c>
      <c r="G258" t="s">
        <v>821</v>
      </c>
      <c r="H258" t="s">
        <v>1074</v>
      </c>
      <c r="I258">
        <v>5020000000</v>
      </c>
      <c r="J258" s="560">
        <v>1383.33</v>
      </c>
      <c r="K258" s="560">
        <f t="shared" si="7"/>
        <v>27</v>
      </c>
      <c r="L258" s="560">
        <f t="shared" si="8"/>
        <v>6</v>
      </c>
    </row>
    <row r="259" spans="1:19">
      <c r="B259" s="553">
        <v>44230</v>
      </c>
      <c r="C259" t="s">
        <v>1080</v>
      </c>
      <c r="D259" s="281">
        <v>1</v>
      </c>
      <c r="E259" t="s">
        <v>2032</v>
      </c>
      <c r="F259" t="s">
        <v>565</v>
      </c>
      <c r="G259" t="s">
        <v>821</v>
      </c>
      <c r="H259" t="s">
        <v>1074</v>
      </c>
      <c r="I259">
        <v>5020000000</v>
      </c>
      <c r="J259" s="560">
        <v>6916.67</v>
      </c>
      <c r="K259" s="560">
        <f t="shared" si="7"/>
        <v>27</v>
      </c>
      <c r="L259" s="560">
        <f t="shared" si="8"/>
        <v>5</v>
      </c>
    </row>
    <row r="260" spans="1:19">
      <c r="B260" s="553">
        <v>44230</v>
      </c>
      <c r="C260" t="s">
        <v>1080</v>
      </c>
      <c r="D260" s="281">
        <v>1</v>
      </c>
      <c r="E260" t="s">
        <v>1996</v>
      </c>
      <c r="F260" t="s">
        <v>676</v>
      </c>
      <c r="G260" t="s">
        <v>821</v>
      </c>
      <c r="H260" t="s">
        <v>1074</v>
      </c>
      <c r="I260">
        <v>5020000000</v>
      </c>
      <c r="J260" s="560">
        <v>691.67</v>
      </c>
      <c r="K260" s="560">
        <f t="shared" ref="K260:K323" si="9">COUNTIFS($C$3:$C$1556,C260)</f>
        <v>27</v>
      </c>
      <c r="L260" s="560">
        <f t="shared" si="8"/>
        <v>4</v>
      </c>
    </row>
    <row r="261" spans="1:19">
      <c r="B261" s="553">
        <v>44230</v>
      </c>
      <c r="C261" t="s">
        <v>1080</v>
      </c>
      <c r="D261" s="281">
        <v>1</v>
      </c>
      <c r="E261" t="s">
        <v>2005</v>
      </c>
      <c r="F261" t="s">
        <v>678</v>
      </c>
      <c r="G261" t="s">
        <v>821</v>
      </c>
      <c r="H261" t="s">
        <v>1074</v>
      </c>
      <c r="I261">
        <v>5020000000</v>
      </c>
      <c r="J261" s="560">
        <v>3375.33</v>
      </c>
      <c r="K261" s="560">
        <f t="shared" si="9"/>
        <v>27</v>
      </c>
      <c r="L261" s="560">
        <f t="shared" si="8"/>
        <v>3</v>
      </c>
    </row>
    <row r="262" spans="1:19">
      <c r="B262" s="553">
        <v>44230</v>
      </c>
      <c r="C262" t="s">
        <v>1080</v>
      </c>
      <c r="D262" s="281">
        <v>3</v>
      </c>
      <c r="E262" t="s">
        <v>2009</v>
      </c>
      <c r="F262" t="s">
        <v>680</v>
      </c>
      <c r="G262" t="s">
        <v>821</v>
      </c>
      <c r="H262" t="s">
        <v>1074</v>
      </c>
      <c r="I262">
        <v>5020000000</v>
      </c>
      <c r="J262" s="560">
        <v>3320</v>
      </c>
      <c r="K262" s="560">
        <f t="shared" si="9"/>
        <v>27</v>
      </c>
      <c r="L262" s="560">
        <f t="shared" si="8"/>
        <v>2</v>
      </c>
    </row>
    <row r="263" spans="1:19">
      <c r="A263" t="s">
        <v>2111</v>
      </c>
      <c r="B263" s="553">
        <v>44230</v>
      </c>
      <c r="C263" t="s">
        <v>1080</v>
      </c>
      <c r="D263" s="281">
        <v>1</v>
      </c>
      <c r="E263" t="s">
        <v>1999</v>
      </c>
      <c r="F263" t="s">
        <v>672</v>
      </c>
      <c r="G263" t="s">
        <v>821</v>
      </c>
      <c r="H263" t="s">
        <v>1074</v>
      </c>
      <c r="I263">
        <v>5020000000</v>
      </c>
      <c r="J263" s="560">
        <v>8443.52</v>
      </c>
      <c r="K263" s="560">
        <f t="shared" si="9"/>
        <v>27</v>
      </c>
      <c r="L263" s="560">
        <f t="shared" si="8"/>
        <v>1</v>
      </c>
      <c r="M263" s="560" t="e">
        <f>SUMIFS('[1]MAIN-101'!$Z$1:$Z$3000,'[1]MAIN-101'!$X$1:$X$3000,S263)</f>
        <v>#VALUE!</v>
      </c>
      <c r="N263" s="560"/>
      <c r="O263" s="560"/>
      <c r="S263" t="str">
        <f>VLOOKUP(C263,'Recon of ORS and DV'!$A$4:$B$358,2,FALSE)</f>
        <v>0148</v>
      </c>
    </row>
    <row r="264" spans="1:19">
      <c r="B264" s="553">
        <v>44230</v>
      </c>
      <c r="C264" t="s">
        <v>1081</v>
      </c>
      <c r="D264" s="281">
        <v>1</v>
      </c>
      <c r="E264" t="s">
        <v>2038</v>
      </c>
      <c r="F264" t="s">
        <v>567</v>
      </c>
      <c r="G264" t="s">
        <v>822</v>
      </c>
      <c r="H264" t="s">
        <v>1074</v>
      </c>
      <c r="I264">
        <v>5020000000</v>
      </c>
      <c r="J264" s="560">
        <v>1660</v>
      </c>
      <c r="K264" s="560">
        <f t="shared" si="9"/>
        <v>27</v>
      </c>
      <c r="L264" s="560">
        <f t="shared" si="8"/>
        <v>27</v>
      </c>
    </row>
    <row r="265" spans="1:19">
      <c r="B265" s="553">
        <v>44230</v>
      </c>
      <c r="C265" t="s">
        <v>1081</v>
      </c>
      <c r="D265" s="281">
        <v>1</v>
      </c>
      <c r="E265" t="s">
        <v>2039</v>
      </c>
      <c r="F265" t="s">
        <v>560</v>
      </c>
      <c r="G265" t="s">
        <v>822</v>
      </c>
      <c r="H265" t="s">
        <v>1074</v>
      </c>
      <c r="I265">
        <v>5020000000</v>
      </c>
      <c r="J265" s="560">
        <v>9960</v>
      </c>
      <c r="K265" s="560">
        <f t="shared" si="9"/>
        <v>27</v>
      </c>
      <c r="L265" s="560">
        <f t="shared" si="8"/>
        <v>26</v>
      </c>
    </row>
    <row r="266" spans="1:19">
      <c r="B266" s="553">
        <v>44230</v>
      </c>
      <c r="C266" t="s">
        <v>1081</v>
      </c>
      <c r="D266" s="281">
        <v>1</v>
      </c>
      <c r="E266" t="s">
        <v>2034</v>
      </c>
      <c r="F266" t="s">
        <v>581</v>
      </c>
      <c r="G266" t="s">
        <v>822</v>
      </c>
      <c r="H266" t="s">
        <v>1074</v>
      </c>
      <c r="I266">
        <v>5020000000</v>
      </c>
      <c r="J266" s="560">
        <v>4980</v>
      </c>
      <c r="K266" s="560">
        <f t="shared" si="9"/>
        <v>27</v>
      </c>
      <c r="L266" s="560">
        <f t="shared" si="8"/>
        <v>25</v>
      </c>
    </row>
    <row r="267" spans="1:19">
      <c r="B267" s="553">
        <v>44230</v>
      </c>
      <c r="C267" t="s">
        <v>1081</v>
      </c>
      <c r="D267" s="281">
        <v>1</v>
      </c>
      <c r="E267" t="s">
        <v>2035</v>
      </c>
      <c r="F267" t="s">
        <v>596</v>
      </c>
      <c r="G267" t="s">
        <v>822</v>
      </c>
      <c r="H267" t="s">
        <v>1074</v>
      </c>
      <c r="I267">
        <v>5020000000</v>
      </c>
      <c r="J267" s="560">
        <v>1328</v>
      </c>
      <c r="K267" s="560">
        <f t="shared" si="9"/>
        <v>27</v>
      </c>
      <c r="L267" s="560">
        <f t="shared" si="8"/>
        <v>24</v>
      </c>
    </row>
    <row r="268" spans="1:19">
      <c r="B268" s="553">
        <v>44230</v>
      </c>
      <c r="C268" t="s">
        <v>1081</v>
      </c>
      <c r="D268" s="281">
        <v>1</v>
      </c>
      <c r="E268" t="s">
        <v>2040</v>
      </c>
      <c r="F268" t="s">
        <v>598</v>
      </c>
      <c r="G268" t="s">
        <v>822</v>
      </c>
      <c r="H268" t="s">
        <v>1074</v>
      </c>
      <c r="I268">
        <v>5020000000</v>
      </c>
      <c r="J268" s="560">
        <v>48416.67</v>
      </c>
      <c r="K268" s="560">
        <f t="shared" si="9"/>
        <v>27</v>
      </c>
      <c r="L268" s="560">
        <f t="shared" si="8"/>
        <v>23</v>
      </c>
    </row>
    <row r="269" spans="1:19">
      <c r="B269" s="553">
        <v>44230</v>
      </c>
      <c r="C269" t="s">
        <v>1081</v>
      </c>
      <c r="D269" s="281">
        <v>1</v>
      </c>
      <c r="E269" t="s">
        <v>2041</v>
      </c>
      <c r="F269" t="s">
        <v>601</v>
      </c>
      <c r="G269" t="s">
        <v>822</v>
      </c>
      <c r="H269" t="s">
        <v>1074</v>
      </c>
      <c r="I269">
        <v>5020000000</v>
      </c>
      <c r="J269" s="560">
        <v>8300</v>
      </c>
      <c r="K269" s="560">
        <f t="shared" si="9"/>
        <v>27</v>
      </c>
      <c r="L269" s="560">
        <f t="shared" si="8"/>
        <v>22</v>
      </c>
    </row>
    <row r="270" spans="1:19">
      <c r="B270" s="553">
        <v>44230</v>
      </c>
      <c r="C270" t="s">
        <v>1081</v>
      </c>
      <c r="D270" s="281">
        <v>1</v>
      </c>
      <c r="E270" t="s">
        <v>2011</v>
      </c>
      <c r="F270" t="s">
        <v>605</v>
      </c>
      <c r="G270" t="s">
        <v>822</v>
      </c>
      <c r="H270" t="s">
        <v>1074</v>
      </c>
      <c r="I270">
        <v>5020000000</v>
      </c>
      <c r="J270" s="560">
        <v>2490</v>
      </c>
      <c r="K270" s="560">
        <f t="shared" si="9"/>
        <v>27</v>
      </c>
      <c r="L270" s="560">
        <f t="shared" si="8"/>
        <v>21</v>
      </c>
    </row>
    <row r="271" spans="1:19">
      <c r="B271" s="553">
        <v>44230</v>
      </c>
      <c r="C271" t="s">
        <v>1081</v>
      </c>
      <c r="D271" s="281">
        <v>1</v>
      </c>
      <c r="E271" t="s">
        <v>2002</v>
      </c>
      <c r="F271" t="s">
        <v>603</v>
      </c>
      <c r="G271" t="s">
        <v>822</v>
      </c>
      <c r="H271" t="s">
        <v>1074</v>
      </c>
      <c r="I271">
        <v>5020000000</v>
      </c>
      <c r="J271" s="560">
        <v>4980</v>
      </c>
      <c r="K271" s="560">
        <f t="shared" si="9"/>
        <v>27</v>
      </c>
      <c r="L271" s="560">
        <f t="shared" ref="L271:L334" si="10">COUNTIFS(C271:C1824,C271)</f>
        <v>20</v>
      </c>
    </row>
    <row r="272" spans="1:19">
      <c r="B272" s="553">
        <v>44230</v>
      </c>
      <c r="C272" t="s">
        <v>1081</v>
      </c>
      <c r="D272" s="281">
        <v>1</v>
      </c>
      <c r="E272" t="s">
        <v>2003</v>
      </c>
      <c r="F272" t="s">
        <v>609</v>
      </c>
      <c r="G272" t="s">
        <v>822</v>
      </c>
      <c r="H272" t="s">
        <v>1074</v>
      </c>
      <c r="I272">
        <v>5020000000</v>
      </c>
      <c r="J272" s="560">
        <v>1668.3</v>
      </c>
      <c r="K272" s="560">
        <f t="shared" si="9"/>
        <v>27</v>
      </c>
      <c r="L272" s="560">
        <f t="shared" si="10"/>
        <v>19</v>
      </c>
    </row>
    <row r="273" spans="2:12">
      <c r="B273" s="553">
        <v>44230</v>
      </c>
      <c r="C273" t="s">
        <v>1081</v>
      </c>
      <c r="D273" s="281">
        <v>1</v>
      </c>
      <c r="E273" t="s">
        <v>2012</v>
      </c>
      <c r="F273" t="s">
        <v>627</v>
      </c>
      <c r="G273" t="s">
        <v>822</v>
      </c>
      <c r="H273" t="s">
        <v>1074</v>
      </c>
      <c r="I273">
        <v>5020000000</v>
      </c>
      <c r="J273" s="560">
        <v>332</v>
      </c>
      <c r="K273" s="560">
        <f t="shared" si="9"/>
        <v>27</v>
      </c>
      <c r="L273" s="560">
        <f t="shared" si="10"/>
        <v>18</v>
      </c>
    </row>
    <row r="274" spans="2:12">
      <c r="B274" s="553">
        <v>44230</v>
      </c>
      <c r="C274" t="s">
        <v>1081</v>
      </c>
      <c r="D274" s="281">
        <v>1</v>
      </c>
      <c r="E274" t="s">
        <v>2007</v>
      </c>
      <c r="F274" t="s">
        <v>638</v>
      </c>
      <c r="G274" t="s">
        <v>822</v>
      </c>
      <c r="H274" t="s">
        <v>1074</v>
      </c>
      <c r="I274">
        <v>5020000000</v>
      </c>
      <c r="J274" s="560">
        <v>27694.33</v>
      </c>
      <c r="K274" s="560">
        <f t="shared" si="9"/>
        <v>27</v>
      </c>
      <c r="L274" s="560">
        <f t="shared" si="10"/>
        <v>17</v>
      </c>
    </row>
    <row r="275" spans="2:12">
      <c r="B275" s="553">
        <v>44230</v>
      </c>
      <c r="C275" t="s">
        <v>1081</v>
      </c>
      <c r="D275" s="281">
        <v>2</v>
      </c>
      <c r="E275" t="s">
        <v>1997</v>
      </c>
      <c r="F275" t="s">
        <v>642</v>
      </c>
      <c r="G275" t="s">
        <v>822</v>
      </c>
      <c r="H275" t="s">
        <v>1074</v>
      </c>
      <c r="I275">
        <v>5020000000</v>
      </c>
      <c r="J275" s="560">
        <v>111561.41</v>
      </c>
      <c r="K275" s="560">
        <f t="shared" si="9"/>
        <v>27</v>
      </c>
      <c r="L275" s="560">
        <f t="shared" si="10"/>
        <v>16</v>
      </c>
    </row>
    <row r="276" spans="2:12">
      <c r="B276" s="553">
        <v>44230</v>
      </c>
      <c r="C276" t="s">
        <v>1081</v>
      </c>
      <c r="D276" s="281">
        <v>4</v>
      </c>
      <c r="E276" t="s">
        <v>2013</v>
      </c>
      <c r="F276" t="s">
        <v>311</v>
      </c>
      <c r="G276" t="s">
        <v>822</v>
      </c>
      <c r="H276" t="s">
        <v>1074</v>
      </c>
      <c r="I276">
        <v>5020000000</v>
      </c>
      <c r="J276" s="560">
        <v>2766.67</v>
      </c>
      <c r="K276" s="560">
        <f t="shared" si="9"/>
        <v>27</v>
      </c>
      <c r="L276" s="560">
        <f t="shared" si="10"/>
        <v>15</v>
      </c>
    </row>
    <row r="277" spans="2:12">
      <c r="B277" s="553">
        <v>44230</v>
      </c>
      <c r="C277" t="s">
        <v>1081</v>
      </c>
      <c r="D277" s="281">
        <v>3</v>
      </c>
      <c r="E277" t="s">
        <v>2014</v>
      </c>
      <c r="F277" t="s">
        <v>651</v>
      </c>
      <c r="G277" t="s">
        <v>822</v>
      </c>
      <c r="H277" t="s">
        <v>1074</v>
      </c>
      <c r="I277">
        <v>5020000000</v>
      </c>
      <c r="J277" s="560">
        <v>2766.67</v>
      </c>
      <c r="K277" s="560">
        <f t="shared" si="9"/>
        <v>27</v>
      </c>
      <c r="L277" s="560">
        <f t="shared" si="10"/>
        <v>14</v>
      </c>
    </row>
    <row r="278" spans="2:12">
      <c r="B278" s="553">
        <v>44230</v>
      </c>
      <c r="C278" t="s">
        <v>1081</v>
      </c>
      <c r="D278" s="281">
        <v>3</v>
      </c>
      <c r="E278" t="s">
        <v>2015</v>
      </c>
      <c r="F278" t="s">
        <v>662</v>
      </c>
      <c r="G278" t="s">
        <v>822</v>
      </c>
      <c r="H278" t="s">
        <v>1074</v>
      </c>
      <c r="I278">
        <v>5020000000</v>
      </c>
      <c r="J278" s="560">
        <v>1383.33</v>
      </c>
      <c r="K278" s="560">
        <f t="shared" si="9"/>
        <v>27</v>
      </c>
      <c r="L278" s="560">
        <f t="shared" si="10"/>
        <v>13</v>
      </c>
    </row>
    <row r="279" spans="2:12">
      <c r="B279" s="553">
        <v>44230</v>
      </c>
      <c r="C279" t="s">
        <v>1081</v>
      </c>
      <c r="D279" s="281">
        <v>1</v>
      </c>
      <c r="E279" t="s">
        <v>2016</v>
      </c>
      <c r="F279" t="s">
        <v>319</v>
      </c>
      <c r="G279" t="s">
        <v>822</v>
      </c>
      <c r="H279" t="s">
        <v>1074</v>
      </c>
      <c r="I279">
        <v>5020000000</v>
      </c>
      <c r="J279" s="560">
        <v>11066.67</v>
      </c>
      <c r="K279" s="560">
        <f t="shared" si="9"/>
        <v>27</v>
      </c>
      <c r="L279" s="560">
        <f t="shared" si="10"/>
        <v>12</v>
      </c>
    </row>
    <row r="280" spans="2:12">
      <c r="B280" s="553">
        <v>44230</v>
      </c>
      <c r="C280" t="s">
        <v>1081</v>
      </c>
      <c r="D280" s="281">
        <v>1</v>
      </c>
      <c r="E280" t="s">
        <v>2017</v>
      </c>
      <c r="F280" t="s">
        <v>665</v>
      </c>
      <c r="G280" t="s">
        <v>822</v>
      </c>
      <c r="H280" t="s">
        <v>1074</v>
      </c>
      <c r="I280">
        <v>5020000000</v>
      </c>
      <c r="J280" s="560">
        <v>691.67</v>
      </c>
      <c r="K280" s="560">
        <f t="shared" si="9"/>
        <v>27</v>
      </c>
      <c r="L280" s="560">
        <f t="shared" si="10"/>
        <v>11</v>
      </c>
    </row>
    <row r="281" spans="2:12">
      <c r="B281" s="553">
        <v>44230</v>
      </c>
      <c r="C281" t="s">
        <v>1081</v>
      </c>
      <c r="D281" s="281">
        <v>1</v>
      </c>
      <c r="E281" t="s">
        <v>2001</v>
      </c>
      <c r="F281" t="s">
        <v>669</v>
      </c>
      <c r="G281" t="s">
        <v>822</v>
      </c>
      <c r="H281" t="s">
        <v>1074</v>
      </c>
      <c r="I281">
        <v>5020000000</v>
      </c>
      <c r="J281" s="560">
        <v>1383.33</v>
      </c>
      <c r="K281" s="560">
        <f t="shared" si="9"/>
        <v>27</v>
      </c>
      <c r="L281" s="560">
        <f t="shared" si="10"/>
        <v>10</v>
      </c>
    </row>
    <row r="282" spans="2:12">
      <c r="B282" s="553">
        <v>44230</v>
      </c>
      <c r="C282" t="s">
        <v>1081</v>
      </c>
      <c r="D282" s="281">
        <v>1</v>
      </c>
      <c r="E282" t="s">
        <v>2018</v>
      </c>
      <c r="F282" t="s">
        <v>671</v>
      </c>
      <c r="G282" t="s">
        <v>822</v>
      </c>
      <c r="H282" t="s">
        <v>1074</v>
      </c>
      <c r="I282">
        <v>5020000000</v>
      </c>
      <c r="J282" s="560">
        <v>3043.33</v>
      </c>
      <c r="K282" s="560">
        <f t="shared" si="9"/>
        <v>27</v>
      </c>
      <c r="L282" s="560">
        <f t="shared" si="10"/>
        <v>9</v>
      </c>
    </row>
    <row r="283" spans="2:12">
      <c r="B283" s="553">
        <v>44230</v>
      </c>
      <c r="C283" t="s">
        <v>1081</v>
      </c>
      <c r="D283" s="281">
        <v>1</v>
      </c>
      <c r="E283" t="s">
        <v>2000</v>
      </c>
      <c r="F283" t="s">
        <v>683</v>
      </c>
      <c r="G283" t="s">
        <v>822</v>
      </c>
      <c r="H283" t="s">
        <v>1074</v>
      </c>
      <c r="I283">
        <v>5020000000</v>
      </c>
      <c r="J283" s="560">
        <v>82446.67</v>
      </c>
      <c r="K283" s="560">
        <f t="shared" si="9"/>
        <v>27</v>
      </c>
      <c r="L283" s="560">
        <f t="shared" si="10"/>
        <v>8</v>
      </c>
    </row>
    <row r="284" spans="2:12">
      <c r="B284" s="553">
        <v>44230</v>
      </c>
      <c r="C284" t="s">
        <v>1081</v>
      </c>
      <c r="D284" s="281">
        <v>1</v>
      </c>
      <c r="E284" t="s">
        <v>2010</v>
      </c>
      <c r="F284" t="s">
        <v>693</v>
      </c>
      <c r="G284" t="s">
        <v>822</v>
      </c>
      <c r="H284" t="s">
        <v>1074</v>
      </c>
      <c r="I284">
        <v>5020000000</v>
      </c>
      <c r="J284" s="560">
        <v>1660</v>
      </c>
      <c r="K284" s="560">
        <f t="shared" si="9"/>
        <v>27</v>
      </c>
      <c r="L284" s="560">
        <f t="shared" si="10"/>
        <v>7</v>
      </c>
    </row>
    <row r="285" spans="2:12">
      <c r="B285" s="553">
        <v>44230</v>
      </c>
      <c r="C285" t="s">
        <v>1081</v>
      </c>
      <c r="D285" s="281">
        <v>1</v>
      </c>
      <c r="E285" t="s">
        <v>2037</v>
      </c>
      <c r="F285" t="s">
        <v>555</v>
      </c>
      <c r="G285" t="s">
        <v>822</v>
      </c>
      <c r="H285" t="s">
        <v>1074</v>
      </c>
      <c r="I285">
        <v>5020000000</v>
      </c>
      <c r="J285" s="560">
        <v>1383.33</v>
      </c>
      <c r="K285" s="560">
        <f t="shared" si="9"/>
        <v>27</v>
      </c>
      <c r="L285" s="560">
        <f t="shared" si="10"/>
        <v>6</v>
      </c>
    </row>
    <row r="286" spans="2:12">
      <c r="B286" s="553">
        <v>44230</v>
      </c>
      <c r="C286" t="s">
        <v>1081</v>
      </c>
      <c r="D286" s="281">
        <v>1</v>
      </c>
      <c r="E286" t="s">
        <v>2032</v>
      </c>
      <c r="F286" t="s">
        <v>565</v>
      </c>
      <c r="G286" t="s">
        <v>822</v>
      </c>
      <c r="H286" t="s">
        <v>1074</v>
      </c>
      <c r="I286">
        <v>5020000000</v>
      </c>
      <c r="J286" s="560">
        <v>6916.67</v>
      </c>
      <c r="K286" s="560">
        <f t="shared" si="9"/>
        <v>27</v>
      </c>
      <c r="L286" s="560">
        <f t="shared" si="10"/>
        <v>5</v>
      </c>
    </row>
    <row r="287" spans="2:12">
      <c r="B287" s="553">
        <v>44230</v>
      </c>
      <c r="C287" t="s">
        <v>1081</v>
      </c>
      <c r="D287" s="281">
        <v>1</v>
      </c>
      <c r="E287" t="s">
        <v>1996</v>
      </c>
      <c r="F287" t="s">
        <v>676</v>
      </c>
      <c r="G287" t="s">
        <v>822</v>
      </c>
      <c r="H287" t="s">
        <v>1074</v>
      </c>
      <c r="I287">
        <v>5020000000</v>
      </c>
      <c r="J287" s="560">
        <v>1383.33</v>
      </c>
      <c r="K287" s="560">
        <f t="shared" si="9"/>
        <v>27</v>
      </c>
      <c r="L287" s="560">
        <f t="shared" si="10"/>
        <v>4</v>
      </c>
    </row>
    <row r="288" spans="2:12">
      <c r="B288" s="553">
        <v>44230</v>
      </c>
      <c r="C288" t="s">
        <v>1081</v>
      </c>
      <c r="D288" s="281">
        <v>1</v>
      </c>
      <c r="E288" t="s">
        <v>2005</v>
      </c>
      <c r="F288" t="s">
        <v>678</v>
      </c>
      <c r="G288" t="s">
        <v>822</v>
      </c>
      <c r="H288" t="s">
        <v>1074</v>
      </c>
      <c r="I288">
        <v>5020000000</v>
      </c>
      <c r="J288" s="560">
        <v>3375.33</v>
      </c>
      <c r="K288" s="560">
        <f t="shared" si="9"/>
        <v>27</v>
      </c>
      <c r="L288" s="560">
        <f t="shared" si="10"/>
        <v>3</v>
      </c>
    </row>
    <row r="289" spans="1:19">
      <c r="B289" s="553">
        <v>44230</v>
      </c>
      <c r="C289" t="s">
        <v>1081</v>
      </c>
      <c r="D289" s="281">
        <v>3</v>
      </c>
      <c r="E289" t="s">
        <v>2009</v>
      </c>
      <c r="F289" t="s">
        <v>680</v>
      </c>
      <c r="G289" t="s">
        <v>822</v>
      </c>
      <c r="H289" t="s">
        <v>1074</v>
      </c>
      <c r="I289">
        <v>5020000000</v>
      </c>
      <c r="J289" s="560">
        <v>3320</v>
      </c>
      <c r="K289" s="560">
        <f t="shared" si="9"/>
        <v>27</v>
      </c>
      <c r="L289" s="560">
        <f t="shared" si="10"/>
        <v>2</v>
      </c>
    </row>
    <row r="290" spans="1:19">
      <c r="A290" t="s">
        <v>2112</v>
      </c>
      <c r="B290" s="553">
        <v>44230</v>
      </c>
      <c r="C290" t="s">
        <v>1081</v>
      </c>
      <c r="D290" s="281">
        <v>1</v>
      </c>
      <c r="E290" t="s">
        <v>1999</v>
      </c>
      <c r="F290" t="s">
        <v>672</v>
      </c>
      <c r="G290" t="s">
        <v>822</v>
      </c>
      <c r="H290" t="s">
        <v>1074</v>
      </c>
      <c r="I290">
        <v>5020000000</v>
      </c>
      <c r="J290" s="560">
        <v>8468.65</v>
      </c>
      <c r="K290" s="560">
        <f t="shared" si="9"/>
        <v>27</v>
      </c>
      <c r="L290" s="560">
        <f t="shared" si="10"/>
        <v>1</v>
      </c>
      <c r="M290" s="560" t="e">
        <f>SUMIFS('[1]MAIN-101'!$Z$1:$Z$3000,'[1]MAIN-101'!$X$1:$X$3000,S290)</f>
        <v>#VALUE!</v>
      </c>
      <c r="N290" s="560"/>
      <c r="O290" s="560"/>
      <c r="S290" t="str">
        <f>VLOOKUP(C290,'Recon of ORS and DV'!$A$4:$B$358,2,FALSE)</f>
        <v>0149</v>
      </c>
    </row>
    <row r="291" spans="1:19">
      <c r="B291" s="553">
        <v>44230</v>
      </c>
      <c r="C291" t="s">
        <v>1082</v>
      </c>
      <c r="D291" s="281">
        <v>1</v>
      </c>
      <c r="E291" t="s">
        <v>2038</v>
      </c>
      <c r="F291" t="s">
        <v>567</v>
      </c>
      <c r="G291" t="s">
        <v>823</v>
      </c>
      <c r="H291" t="s">
        <v>1074</v>
      </c>
      <c r="I291">
        <v>5020000000</v>
      </c>
      <c r="J291" s="560">
        <v>996</v>
      </c>
      <c r="K291" s="560">
        <f t="shared" si="9"/>
        <v>26</v>
      </c>
      <c r="L291" s="560">
        <f t="shared" si="10"/>
        <v>26</v>
      </c>
    </row>
    <row r="292" spans="1:19">
      <c r="B292" s="553">
        <v>44230</v>
      </c>
      <c r="C292" t="s">
        <v>1082</v>
      </c>
      <c r="D292" s="281">
        <v>1</v>
      </c>
      <c r="E292" t="s">
        <v>2039</v>
      </c>
      <c r="F292" t="s">
        <v>560</v>
      </c>
      <c r="G292" t="s">
        <v>823</v>
      </c>
      <c r="H292" t="s">
        <v>1074</v>
      </c>
      <c r="I292">
        <v>5020000000</v>
      </c>
      <c r="J292" s="560">
        <v>7470</v>
      </c>
      <c r="K292" s="560">
        <f t="shared" si="9"/>
        <v>26</v>
      </c>
      <c r="L292" s="560">
        <f t="shared" si="10"/>
        <v>25</v>
      </c>
    </row>
    <row r="293" spans="1:19">
      <c r="B293" s="553">
        <v>44230</v>
      </c>
      <c r="C293" t="s">
        <v>1082</v>
      </c>
      <c r="D293" s="281">
        <v>1</v>
      </c>
      <c r="E293" t="s">
        <v>2034</v>
      </c>
      <c r="F293" t="s">
        <v>581</v>
      </c>
      <c r="G293" t="s">
        <v>823</v>
      </c>
      <c r="H293" t="s">
        <v>1074</v>
      </c>
      <c r="I293">
        <v>5020000000</v>
      </c>
      <c r="J293" s="560">
        <v>4150</v>
      </c>
      <c r="K293" s="560">
        <f t="shared" si="9"/>
        <v>26</v>
      </c>
      <c r="L293" s="560">
        <f t="shared" si="10"/>
        <v>24</v>
      </c>
    </row>
    <row r="294" spans="1:19">
      <c r="B294" s="553">
        <v>44230</v>
      </c>
      <c r="C294" t="s">
        <v>1082</v>
      </c>
      <c r="D294" s="281">
        <v>1</v>
      </c>
      <c r="E294" t="s">
        <v>2035</v>
      </c>
      <c r="F294" t="s">
        <v>596</v>
      </c>
      <c r="G294" t="s">
        <v>823</v>
      </c>
      <c r="H294" t="s">
        <v>1074</v>
      </c>
      <c r="I294">
        <v>5020000000</v>
      </c>
      <c r="J294" s="560">
        <v>1660</v>
      </c>
      <c r="K294" s="560">
        <f t="shared" si="9"/>
        <v>26</v>
      </c>
      <c r="L294" s="560">
        <f t="shared" si="10"/>
        <v>23</v>
      </c>
    </row>
    <row r="295" spans="1:19">
      <c r="B295" s="553">
        <v>44230</v>
      </c>
      <c r="C295" t="s">
        <v>1082</v>
      </c>
      <c r="D295" s="281">
        <v>1</v>
      </c>
      <c r="E295" t="s">
        <v>2040</v>
      </c>
      <c r="F295" t="s">
        <v>598</v>
      </c>
      <c r="G295" t="s">
        <v>823</v>
      </c>
      <c r="H295" t="s">
        <v>1074</v>
      </c>
      <c r="I295">
        <v>5020000000</v>
      </c>
      <c r="J295" s="560">
        <v>6640</v>
      </c>
      <c r="K295" s="560">
        <f t="shared" si="9"/>
        <v>26</v>
      </c>
      <c r="L295" s="560">
        <f t="shared" si="10"/>
        <v>22</v>
      </c>
    </row>
    <row r="296" spans="1:19">
      <c r="B296" s="553">
        <v>44230</v>
      </c>
      <c r="C296" t="s">
        <v>1082</v>
      </c>
      <c r="D296" s="281">
        <v>1</v>
      </c>
      <c r="E296" t="s">
        <v>2041</v>
      </c>
      <c r="F296" t="s">
        <v>601</v>
      </c>
      <c r="G296" t="s">
        <v>823</v>
      </c>
      <c r="H296" t="s">
        <v>1074</v>
      </c>
      <c r="I296">
        <v>5020000000</v>
      </c>
      <c r="J296" s="560">
        <v>3320</v>
      </c>
      <c r="K296" s="560">
        <f t="shared" si="9"/>
        <v>26</v>
      </c>
      <c r="L296" s="560">
        <f t="shared" si="10"/>
        <v>21</v>
      </c>
    </row>
    <row r="297" spans="1:19">
      <c r="B297" s="553">
        <v>44230</v>
      </c>
      <c r="C297" t="s">
        <v>1082</v>
      </c>
      <c r="D297" s="281">
        <v>1</v>
      </c>
      <c r="E297" t="s">
        <v>2011</v>
      </c>
      <c r="F297" t="s">
        <v>605</v>
      </c>
      <c r="G297" t="s">
        <v>823</v>
      </c>
      <c r="H297" t="s">
        <v>1074</v>
      </c>
      <c r="I297">
        <v>5020000000</v>
      </c>
      <c r="J297" s="560">
        <v>1660</v>
      </c>
      <c r="K297" s="560">
        <f t="shared" si="9"/>
        <v>26</v>
      </c>
      <c r="L297" s="560">
        <f t="shared" si="10"/>
        <v>20</v>
      </c>
    </row>
    <row r="298" spans="1:19">
      <c r="B298" s="553">
        <v>44230</v>
      </c>
      <c r="C298" t="s">
        <v>1082</v>
      </c>
      <c r="D298" s="281">
        <v>1</v>
      </c>
      <c r="E298" t="s">
        <v>2002</v>
      </c>
      <c r="F298" t="s">
        <v>603</v>
      </c>
      <c r="G298" t="s">
        <v>823</v>
      </c>
      <c r="H298" t="s">
        <v>1074</v>
      </c>
      <c r="I298">
        <v>5020000000</v>
      </c>
      <c r="J298" s="560">
        <v>2988</v>
      </c>
      <c r="K298" s="560">
        <f t="shared" si="9"/>
        <v>26</v>
      </c>
      <c r="L298" s="560">
        <f t="shared" si="10"/>
        <v>19</v>
      </c>
    </row>
    <row r="299" spans="1:19">
      <c r="B299" s="553">
        <v>44230</v>
      </c>
      <c r="C299" t="s">
        <v>1082</v>
      </c>
      <c r="D299" s="281">
        <v>1</v>
      </c>
      <c r="E299" t="s">
        <v>2003</v>
      </c>
      <c r="F299" t="s">
        <v>609</v>
      </c>
      <c r="G299" t="s">
        <v>823</v>
      </c>
      <c r="H299" t="s">
        <v>1074</v>
      </c>
      <c r="I299">
        <v>5020000000</v>
      </c>
      <c r="J299" s="560">
        <v>581</v>
      </c>
      <c r="K299" s="560">
        <f t="shared" si="9"/>
        <v>26</v>
      </c>
      <c r="L299" s="560">
        <f t="shared" si="10"/>
        <v>18</v>
      </c>
    </row>
    <row r="300" spans="1:19">
      <c r="B300" s="553">
        <v>44230</v>
      </c>
      <c r="C300" t="s">
        <v>1082</v>
      </c>
      <c r="D300" s="281">
        <v>1</v>
      </c>
      <c r="E300" t="s">
        <v>2012</v>
      </c>
      <c r="F300" t="s">
        <v>627</v>
      </c>
      <c r="G300" t="s">
        <v>823</v>
      </c>
      <c r="H300" t="s">
        <v>1074</v>
      </c>
      <c r="I300">
        <v>5020000000</v>
      </c>
      <c r="J300" s="560">
        <v>1590.83</v>
      </c>
      <c r="K300" s="560">
        <f t="shared" si="9"/>
        <v>26</v>
      </c>
      <c r="L300" s="560">
        <f t="shared" si="10"/>
        <v>17</v>
      </c>
    </row>
    <row r="301" spans="1:19">
      <c r="B301" s="553">
        <v>44230</v>
      </c>
      <c r="C301" t="s">
        <v>1082</v>
      </c>
      <c r="D301" s="281">
        <v>1</v>
      </c>
      <c r="E301" t="s">
        <v>2007</v>
      </c>
      <c r="F301" t="s">
        <v>638</v>
      </c>
      <c r="G301" t="s">
        <v>823</v>
      </c>
      <c r="H301" t="s">
        <v>1074</v>
      </c>
      <c r="I301">
        <v>5020000000</v>
      </c>
      <c r="J301" s="560">
        <v>15825.33</v>
      </c>
      <c r="K301" s="560">
        <f t="shared" si="9"/>
        <v>26</v>
      </c>
      <c r="L301" s="560">
        <f t="shared" si="10"/>
        <v>16</v>
      </c>
    </row>
    <row r="302" spans="1:19">
      <c r="B302" s="553">
        <v>44230</v>
      </c>
      <c r="C302" t="s">
        <v>1082</v>
      </c>
      <c r="D302" s="281">
        <v>2</v>
      </c>
      <c r="E302" t="s">
        <v>1997</v>
      </c>
      <c r="F302" t="s">
        <v>642</v>
      </c>
      <c r="G302" t="s">
        <v>823</v>
      </c>
      <c r="H302" t="s">
        <v>1074</v>
      </c>
      <c r="I302">
        <v>5020000000</v>
      </c>
      <c r="J302" s="560">
        <v>86564.57</v>
      </c>
      <c r="K302" s="560">
        <f t="shared" si="9"/>
        <v>26</v>
      </c>
      <c r="L302" s="560">
        <f t="shared" si="10"/>
        <v>15</v>
      </c>
    </row>
    <row r="303" spans="1:19">
      <c r="B303" s="553">
        <v>44230</v>
      </c>
      <c r="C303" t="s">
        <v>1082</v>
      </c>
      <c r="D303" s="281">
        <v>4</v>
      </c>
      <c r="E303" t="s">
        <v>2013</v>
      </c>
      <c r="F303" t="s">
        <v>311</v>
      </c>
      <c r="G303" t="s">
        <v>823</v>
      </c>
      <c r="H303" t="s">
        <v>1074</v>
      </c>
      <c r="I303">
        <v>5020000000</v>
      </c>
      <c r="J303" s="560">
        <v>6916.67</v>
      </c>
      <c r="K303" s="560">
        <f t="shared" si="9"/>
        <v>26</v>
      </c>
      <c r="L303" s="560">
        <f t="shared" si="10"/>
        <v>14</v>
      </c>
    </row>
    <row r="304" spans="1:19">
      <c r="B304" s="553">
        <v>44230</v>
      </c>
      <c r="C304" t="s">
        <v>1082</v>
      </c>
      <c r="D304" s="281">
        <v>3</v>
      </c>
      <c r="E304" t="s">
        <v>2014</v>
      </c>
      <c r="F304" t="s">
        <v>651</v>
      </c>
      <c r="G304" t="s">
        <v>823</v>
      </c>
      <c r="H304" t="s">
        <v>1074</v>
      </c>
      <c r="I304">
        <v>5020000000</v>
      </c>
      <c r="J304" s="560">
        <v>2766.67</v>
      </c>
      <c r="K304" s="560">
        <f t="shared" si="9"/>
        <v>26</v>
      </c>
      <c r="L304" s="560">
        <f t="shared" si="10"/>
        <v>13</v>
      </c>
    </row>
    <row r="305" spans="1:19">
      <c r="B305" s="553">
        <v>44230</v>
      </c>
      <c r="C305" t="s">
        <v>1082</v>
      </c>
      <c r="D305" s="281">
        <v>3</v>
      </c>
      <c r="E305" t="s">
        <v>2015</v>
      </c>
      <c r="F305" t="s">
        <v>662</v>
      </c>
      <c r="G305" t="s">
        <v>823</v>
      </c>
      <c r="H305" t="s">
        <v>1074</v>
      </c>
      <c r="I305">
        <v>5020000000</v>
      </c>
      <c r="J305" s="560">
        <v>1383.33</v>
      </c>
      <c r="K305" s="560">
        <f t="shared" si="9"/>
        <v>26</v>
      </c>
      <c r="L305" s="560">
        <f t="shared" si="10"/>
        <v>12</v>
      </c>
    </row>
    <row r="306" spans="1:19">
      <c r="B306" s="553">
        <v>44230</v>
      </c>
      <c r="C306" t="s">
        <v>1082</v>
      </c>
      <c r="D306" s="281">
        <v>1</v>
      </c>
      <c r="E306" t="s">
        <v>2016</v>
      </c>
      <c r="F306" t="s">
        <v>319</v>
      </c>
      <c r="G306" t="s">
        <v>823</v>
      </c>
      <c r="H306" t="s">
        <v>1074</v>
      </c>
      <c r="I306">
        <v>5020000000</v>
      </c>
      <c r="J306" s="560">
        <v>20750</v>
      </c>
      <c r="K306" s="560">
        <f t="shared" si="9"/>
        <v>26</v>
      </c>
      <c r="L306" s="560">
        <f t="shared" si="10"/>
        <v>11</v>
      </c>
    </row>
    <row r="307" spans="1:19">
      <c r="B307" s="553">
        <v>44230</v>
      </c>
      <c r="C307" t="s">
        <v>1082</v>
      </c>
      <c r="D307" s="281">
        <v>1</v>
      </c>
      <c r="E307" t="s">
        <v>2017</v>
      </c>
      <c r="F307" t="s">
        <v>665</v>
      </c>
      <c r="G307" t="s">
        <v>823</v>
      </c>
      <c r="H307" t="s">
        <v>1074</v>
      </c>
      <c r="I307">
        <v>5020000000</v>
      </c>
      <c r="J307" s="560">
        <v>691.67</v>
      </c>
      <c r="K307" s="560">
        <f t="shared" si="9"/>
        <v>26</v>
      </c>
      <c r="L307" s="560">
        <f t="shared" si="10"/>
        <v>10</v>
      </c>
    </row>
    <row r="308" spans="1:19">
      <c r="B308" s="553">
        <v>44230</v>
      </c>
      <c r="C308" t="s">
        <v>1082</v>
      </c>
      <c r="D308" s="281">
        <v>1</v>
      </c>
      <c r="E308" t="s">
        <v>2001</v>
      </c>
      <c r="F308" t="s">
        <v>669</v>
      </c>
      <c r="G308" t="s">
        <v>823</v>
      </c>
      <c r="H308" t="s">
        <v>1074</v>
      </c>
      <c r="I308">
        <v>5020000000</v>
      </c>
      <c r="J308" s="560">
        <v>1746.46</v>
      </c>
      <c r="K308" s="560">
        <f t="shared" si="9"/>
        <v>26</v>
      </c>
      <c r="L308" s="560">
        <f t="shared" si="10"/>
        <v>9</v>
      </c>
    </row>
    <row r="309" spans="1:19">
      <c r="B309" s="553">
        <v>44230</v>
      </c>
      <c r="C309" t="s">
        <v>1082</v>
      </c>
      <c r="D309" s="281">
        <v>1</v>
      </c>
      <c r="E309" t="s">
        <v>2018</v>
      </c>
      <c r="F309" t="s">
        <v>671</v>
      </c>
      <c r="G309" t="s">
        <v>823</v>
      </c>
      <c r="H309" t="s">
        <v>1074</v>
      </c>
      <c r="I309">
        <v>5020000000</v>
      </c>
      <c r="J309" s="560">
        <v>3043.33</v>
      </c>
      <c r="K309" s="560">
        <f t="shared" si="9"/>
        <v>26</v>
      </c>
      <c r="L309" s="560">
        <f t="shared" si="10"/>
        <v>8</v>
      </c>
    </row>
    <row r="310" spans="1:19">
      <c r="B310" s="553">
        <v>44230</v>
      </c>
      <c r="C310" t="s">
        <v>1082</v>
      </c>
      <c r="D310" s="281">
        <v>1</v>
      </c>
      <c r="E310" t="s">
        <v>2000</v>
      </c>
      <c r="F310" t="s">
        <v>683</v>
      </c>
      <c r="G310" t="s">
        <v>823</v>
      </c>
      <c r="H310" t="s">
        <v>1074</v>
      </c>
      <c r="I310">
        <v>5020000000</v>
      </c>
      <c r="J310" s="560">
        <v>36520</v>
      </c>
      <c r="K310" s="560">
        <f t="shared" si="9"/>
        <v>26</v>
      </c>
      <c r="L310" s="560">
        <f t="shared" si="10"/>
        <v>7</v>
      </c>
    </row>
    <row r="311" spans="1:19">
      <c r="B311" s="553">
        <v>44230</v>
      </c>
      <c r="C311" t="s">
        <v>1082</v>
      </c>
      <c r="D311" s="281">
        <v>1</v>
      </c>
      <c r="E311" t="s">
        <v>2037</v>
      </c>
      <c r="F311" t="s">
        <v>555</v>
      </c>
      <c r="G311" t="s">
        <v>823</v>
      </c>
      <c r="H311" t="s">
        <v>1074</v>
      </c>
      <c r="I311">
        <v>5020000000</v>
      </c>
      <c r="J311" s="560">
        <v>1383.33</v>
      </c>
      <c r="K311" s="560">
        <f t="shared" si="9"/>
        <v>26</v>
      </c>
      <c r="L311" s="560">
        <f t="shared" si="10"/>
        <v>6</v>
      </c>
    </row>
    <row r="312" spans="1:19">
      <c r="B312" s="553">
        <v>44230</v>
      </c>
      <c r="C312" t="s">
        <v>1082</v>
      </c>
      <c r="D312" s="281">
        <v>1</v>
      </c>
      <c r="E312" t="s">
        <v>2032</v>
      </c>
      <c r="F312" t="s">
        <v>565</v>
      </c>
      <c r="G312" t="s">
        <v>823</v>
      </c>
      <c r="H312" t="s">
        <v>1074</v>
      </c>
      <c r="I312">
        <v>5020000000</v>
      </c>
      <c r="J312" s="560">
        <v>6916.67</v>
      </c>
      <c r="K312" s="560">
        <f t="shared" si="9"/>
        <v>26</v>
      </c>
      <c r="L312" s="560">
        <f t="shared" si="10"/>
        <v>5</v>
      </c>
    </row>
    <row r="313" spans="1:19">
      <c r="B313" s="553">
        <v>44230</v>
      </c>
      <c r="C313" t="s">
        <v>1082</v>
      </c>
      <c r="D313" s="281">
        <v>1</v>
      </c>
      <c r="E313" t="s">
        <v>1996</v>
      </c>
      <c r="F313" t="s">
        <v>676</v>
      </c>
      <c r="G313" t="s">
        <v>823</v>
      </c>
      <c r="H313" t="s">
        <v>1074</v>
      </c>
      <c r="I313">
        <v>5020000000</v>
      </c>
      <c r="J313" s="560">
        <v>691.67</v>
      </c>
      <c r="K313" s="560">
        <f t="shared" si="9"/>
        <v>26</v>
      </c>
      <c r="L313" s="560">
        <f t="shared" si="10"/>
        <v>4</v>
      </c>
    </row>
    <row r="314" spans="1:19">
      <c r="B314" s="553">
        <v>44230</v>
      </c>
      <c r="C314" t="s">
        <v>1082</v>
      </c>
      <c r="D314" s="281">
        <v>1</v>
      </c>
      <c r="E314" t="s">
        <v>2005</v>
      </c>
      <c r="F314" t="s">
        <v>678</v>
      </c>
      <c r="G314" t="s">
        <v>823</v>
      </c>
      <c r="H314" t="s">
        <v>1074</v>
      </c>
      <c r="I314">
        <v>5020000000</v>
      </c>
      <c r="J314" s="560">
        <v>2877.33</v>
      </c>
      <c r="K314" s="560">
        <f t="shared" si="9"/>
        <v>26</v>
      </c>
      <c r="L314" s="560">
        <f t="shared" si="10"/>
        <v>3</v>
      </c>
    </row>
    <row r="315" spans="1:19">
      <c r="B315" s="553">
        <v>44230</v>
      </c>
      <c r="C315" t="s">
        <v>1082</v>
      </c>
      <c r="D315" s="281">
        <v>3</v>
      </c>
      <c r="E315" t="s">
        <v>2009</v>
      </c>
      <c r="F315" t="s">
        <v>680</v>
      </c>
      <c r="G315" t="s">
        <v>823</v>
      </c>
      <c r="H315" t="s">
        <v>1074</v>
      </c>
      <c r="I315">
        <v>5020000000</v>
      </c>
      <c r="J315" s="560">
        <v>5533.33</v>
      </c>
      <c r="K315" s="560">
        <f t="shared" si="9"/>
        <v>26</v>
      </c>
      <c r="L315" s="560">
        <f t="shared" si="10"/>
        <v>2</v>
      </c>
    </row>
    <row r="316" spans="1:19">
      <c r="A316" t="s">
        <v>2113</v>
      </c>
      <c r="B316" s="553">
        <v>44230</v>
      </c>
      <c r="C316" t="s">
        <v>1082</v>
      </c>
      <c r="D316" s="281">
        <v>1</v>
      </c>
      <c r="E316" t="s">
        <v>1999</v>
      </c>
      <c r="F316" t="s">
        <v>672</v>
      </c>
      <c r="G316" t="s">
        <v>823</v>
      </c>
      <c r="H316" t="s">
        <v>1074</v>
      </c>
      <c r="I316">
        <v>5020000000</v>
      </c>
      <c r="J316" s="560">
        <v>6301.33</v>
      </c>
      <c r="K316" s="560">
        <f t="shared" si="9"/>
        <v>26</v>
      </c>
      <c r="L316" s="560">
        <f t="shared" si="10"/>
        <v>1</v>
      </c>
      <c r="M316" s="560" t="e">
        <f>SUMIFS('[1]MAIN-101'!$Z$1:$Z$3000,'[1]MAIN-101'!$X$1:$X$3000,S316)</f>
        <v>#VALUE!</v>
      </c>
      <c r="N316" s="560"/>
      <c r="O316" s="560"/>
      <c r="S316" t="str">
        <f>VLOOKUP(C316,'Recon of ORS and DV'!$A$4:$B$358,2,FALSE)</f>
        <v>0150</v>
      </c>
    </row>
    <row r="317" spans="1:19">
      <c r="B317" s="553">
        <v>44230</v>
      </c>
      <c r="C317" t="s">
        <v>1083</v>
      </c>
      <c r="D317" s="281">
        <v>4</v>
      </c>
      <c r="E317" t="s">
        <v>1997</v>
      </c>
      <c r="F317" t="s">
        <v>642</v>
      </c>
      <c r="G317" t="s">
        <v>1075</v>
      </c>
      <c r="H317" t="s">
        <v>1076</v>
      </c>
      <c r="I317">
        <v>5020000000</v>
      </c>
      <c r="J317" s="560">
        <v>33384</v>
      </c>
      <c r="K317" s="560">
        <f t="shared" si="9"/>
        <v>4</v>
      </c>
      <c r="L317" s="560">
        <f t="shared" si="10"/>
        <v>4</v>
      </c>
    </row>
    <row r="318" spans="1:19">
      <c r="B318" s="553">
        <v>44230</v>
      </c>
      <c r="C318" t="s">
        <v>1083</v>
      </c>
      <c r="D318" s="281">
        <v>10</v>
      </c>
      <c r="E318" t="s">
        <v>1998</v>
      </c>
      <c r="F318" t="s">
        <v>633</v>
      </c>
      <c r="G318" t="s">
        <v>1075</v>
      </c>
      <c r="H318" t="s">
        <v>1076</v>
      </c>
      <c r="I318">
        <v>5020000000</v>
      </c>
      <c r="J318" s="560">
        <v>20564.91</v>
      </c>
      <c r="K318" s="560">
        <f t="shared" si="9"/>
        <v>4</v>
      </c>
      <c r="L318" s="560">
        <f t="shared" si="10"/>
        <v>3</v>
      </c>
    </row>
    <row r="319" spans="1:19">
      <c r="B319" s="553">
        <v>44230</v>
      </c>
      <c r="C319" t="s">
        <v>1083</v>
      </c>
      <c r="D319" s="281">
        <v>1</v>
      </c>
      <c r="E319" t="s">
        <v>2004</v>
      </c>
      <c r="F319" t="s">
        <v>629</v>
      </c>
      <c r="G319" t="s">
        <v>1075</v>
      </c>
      <c r="H319" t="s">
        <v>1076</v>
      </c>
      <c r="I319">
        <v>5020000000</v>
      </c>
      <c r="J319" s="560">
        <v>5534</v>
      </c>
      <c r="K319" s="560">
        <f t="shared" si="9"/>
        <v>4</v>
      </c>
      <c r="L319" s="560">
        <f t="shared" si="10"/>
        <v>2</v>
      </c>
    </row>
    <row r="320" spans="1:19">
      <c r="A320" t="s">
        <v>2114</v>
      </c>
      <c r="B320" s="553">
        <v>44230</v>
      </c>
      <c r="C320" t="s">
        <v>1083</v>
      </c>
      <c r="D320" s="281">
        <v>1</v>
      </c>
      <c r="E320" t="s">
        <v>1997</v>
      </c>
      <c r="F320" t="s">
        <v>642</v>
      </c>
      <c r="G320" t="s">
        <v>1075</v>
      </c>
      <c r="H320" t="s">
        <v>1076</v>
      </c>
      <c r="I320">
        <v>5020000000</v>
      </c>
      <c r="J320" s="560">
        <v>5534</v>
      </c>
      <c r="K320" s="560">
        <f t="shared" si="9"/>
        <v>4</v>
      </c>
      <c r="L320" s="560">
        <f t="shared" si="10"/>
        <v>1</v>
      </c>
      <c r="M320" s="560" t="e">
        <f>SUMIFS('[1]MAIN-101'!$Z$1:$Z$3000,'[1]MAIN-101'!$X$1:$X$3000,S320)</f>
        <v>#VALUE!</v>
      </c>
      <c r="N320" s="560"/>
      <c r="O320" s="560"/>
      <c r="S320" t="str">
        <f>VLOOKUP(C320,'Recon of ORS and DV'!$A$4:$B$358,2,FALSE)</f>
        <v>0151</v>
      </c>
    </row>
    <row r="321" spans="1:19">
      <c r="B321" s="553">
        <v>44230</v>
      </c>
      <c r="C321" t="s">
        <v>1084</v>
      </c>
      <c r="D321" s="281">
        <v>4</v>
      </c>
      <c r="E321" t="s">
        <v>1998</v>
      </c>
      <c r="F321" t="s">
        <v>633</v>
      </c>
      <c r="G321" t="s">
        <v>1075</v>
      </c>
      <c r="H321" t="s">
        <v>1076</v>
      </c>
      <c r="I321">
        <v>5020000000</v>
      </c>
      <c r="J321" s="560">
        <v>5000</v>
      </c>
      <c r="K321" s="560">
        <f t="shared" si="9"/>
        <v>3</v>
      </c>
      <c r="L321" s="560">
        <f t="shared" si="10"/>
        <v>3</v>
      </c>
    </row>
    <row r="322" spans="1:19">
      <c r="B322" s="553">
        <v>44230</v>
      </c>
      <c r="C322" t="s">
        <v>1084</v>
      </c>
      <c r="D322" s="281">
        <v>1</v>
      </c>
      <c r="E322" t="s">
        <v>2007</v>
      </c>
      <c r="F322" t="s">
        <v>638</v>
      </c>
      <c r="G322" t="s">
        <v>1075</v>
      </c>
      <c r="H322" t="s">
        <v>1076</v>
      </c>
      <c r="I322">
        <v>5020000000</v>
      </c>
      <c r="J322" s="560">
        <v>6281.33</v>
      </c>
      <c r="K322" s="560">
        <f t="shared" si="9"/>
        <v>3</v>
      </c>
      <c r="L322" s="560">
        <f t="shared" si="10"/>
        <v>2</v>
      </c>
    </row>
    <row r="323" spans="1:19">
      <c r="A323" t="s">
        <v>2115</v>
      </c>
      <c r="B323" s="553">
        <v>44230</v>
      </c>
      <c r="C323" t="s">
        <v>1084</v>
      </c>
      <c r="D323" s="281">
        <v>1</v>
      </c>
      <c r="E323" t="s">
        <v>1997</v>
      </c>
      <c r="F323" t="s">
        <v>642</v>
      </c>
      <c r="G323" t="s">
        <v>1075</v>
      </c>
      <c r="H323" t="s">
        <v>1076</v>
      </c>
      <c r="I323">
        <v>5020000000</v>
      </c>
      <c r="J323" s="560">
        <v>5600</v>
      </c>
      <c r="K323" s="560">
        <f t="shared" si="9"/>
        <v>3</v>
      </c>
      <c r="L323" s="560">
        <f t="shared" si="10"/>
        <v>1</v>
      </c>
      <c r="M323" s="560" t="e">
        <f>SUMIFS('[1]MAIN-101'!$Z$1:$Z$3000,'[1]MAIN-101'!$X$1:$X$3000,S323)</f>
        <v>#VALUE!</v>
      </c>
      <c r="N323" s="560"/>
      <c r="O323" s="560"/>
      <c r="S323" t="str">
        <f>VLOOKUP(C323,'Recon of ORS and DV'!$A$4:$B$358,2,FALSE)</f>
        <v>0152</v>
      </c>
    </row>
    <row r="324" spans="1:19">
      <c r="B324" s="553">
        <v>44231</v>
      </c>
      <c r="C324" t="s">
        <v>1085</v>
      </c>
      <c r="D324" s="281">
        <v>1</v>
      </c>
      <c r="E324" t="s">
        <v>2026</v>
      </c>
      <c r="F324" t="s">
        <v>499</v>
      </c>
      <c r="G324" t="s">
        <v>796</v>
      </c>
      <c r="H324" t="s">
        <v>1086</v>
      </c>
      <c r="I324">
        <v>5010000000</v>
      </c>
      <c r="J324" s="560">
        <v>3952.09</v>
      </c>
      <c r="K324" s="560">
        <f t="shared" ref="K324:K387" si="11">COUNTIFS($C$3:$C$1556,C324)</f>
        <v>2</v>
      </c>
      <c r="L324" s="560">
        <f t="shared" si="10"/>
        <v>2</v>
      </c>
    </row>
    <row r="325" spans="1:19">
      <c r="A325" t="s">
        <v>2116</v>
      </c>
      <c r="B325" s="553">
        <v>44231</v>
      </c>
      <c r="C325" t="s">
        <v>1085</v>
      </c>
      <c r="D325" s="281">
        <v>1</v>
      </c>
      <c r="E325" t="s">
        <v>2028</v>
      </c>
      <c r="F325" t="s">
        <v>528</v>
      </c>
      <c r="G325" t="s">
        <v>796</v>
      </c>
      <c r="H325" t="s">
        <v>1086</v>
      </c>
      <c r="I325">
        <v>5010301000</v>
      </c>
      <c r="J325" s="560">
        <v>242.64</v>
      </c>
      <c r="K325" s="560">
        <f t="shared" si="11"/>
        <v>2</v>
      </c>
      <c r="L325" s="560">
        <f t="shared" si="10"/>
        <v>1</v>
      </c>
      <c r="M325" s="560" t="e">
        <f>SUMIFS('[1]MAIN-101'!$Z$1:$Z$3000,'[1]MAIN-101'!$X$1:$X$3000,S325)</f>
        <v>#VALUE!</v>
      </c>
      <c r="N325" s="560"/>
      <c r="O325" s="560"/>
      <c r="S325" t="str">
        <f>VLOOKUP(C325,'Recon of ORS and DV'!$A$4:$B$358,2,FALSE)</f>
        <v>0172</v>
      </c>
    </row>
    <row r="326" spans="1:19">
      <c r="B326" s="553">
        <v>44231</v>
      </c>
      <c r="C326" t="s">
        <v>1087</v>
      </c>
      <c r="D326" s="281">
        <v>9</v>
      </c>
      <c r="E326" t="s">
        <v>1998</v>
      </c>
      <c r="F326" t="s">
        <v>633</v>
      </c>
      <c r="G326" t="s">
        <v>843</v>
      </c>
      <c r="H326" t="s">
        <v>1076</v>
      </c>
      <c r="I326">
        <v>5020000000</v>
      </c>
      <c r="J326" s="560">
        <v>11158</v>
      </c>
      <c r="K326" s="560">
        <f t="shared" si="11"/>
        <v>3</v>
      </c>
      <c r="L326" s="560">
        <f t="shared" si="10"/>
        <v>3</v>
      </c>
    </row>
    <row r="327" spans="1:19">
      <c r="B327" s="553">
        <v>44231</v>
      </c>
      <c r="C327" t="s">
        <v>1087</v>
      </c>
      <c r="D327" s="281">
        <v>11</v>
      </c>
      <c r="E327" t="s">
        <v>1998</v>
      </c>
      <c r="F327" t="s">
        <v>633</v>
      </c>
      <c r="G327" t="s">
        <v>843</v>
      </c>
      <c r="H327" t="s">
        <v>1076</v>
      </c>
      <c r="I327">
        <v>5020000000</v>
      </c>
      <c r="J327" s="560">
        <v>10000</v>
      </c>
      <c r="K327" s="560">
        <f t="shared" si="11"/>
        <v>3</v>
      </c>
      <c r="L327" s="560">
        <f t="shared" si="10"/>
        <v>2</v>
      </c>
    </row>
    <row r="328" spans="1:19">
      <c r="A328" t="s">
        <v>2117</v>
      </c>
      <c r="B328" s="553">
        <v>44231</v>
      </c>
      <c r="C328" t="s">
        <v>1087</v>
      </c>
      <c r="D328" s="281">
        <v>4</v>
      </c>
      <c r="E328" t="s">
        <v>1997</v>
      </c>
      <c r="F328" t="s">
        <v>642</v>
      </c>
      <c r="G328" t="s">
        <v>843</v>
      </c>
      <c r="H328" t="s">
        <v>1076</v>
      </c>
      <c r="I328">
        <v>5020000000</v>
      </c>
      <c r="J328" s="560">
        <v>15000</v>
      </c>
      <c r="K328" s="560">
        <f t="shared" si="11"/>
        <v>3</v>
      </c>
      <c r="L328" s="560">
        <f t="shared" si="10"/>
        <v>1</v>
      </c>
      <c r="M328" s="560" t="e">
        <f>SUMIFS('[1]MAIN-101'!$Z$1:$Z$3000,'[1]MAIN-101'!$X$1:$X$3000,S328)</f>
        <v>#VALUE!</v>
      </c>
      <c r="N328" s="560"/>
      <c r="O328" s="560"/>
      <c r="S328" t="str">
        <f>VLOOKUP(C328,'Recon of ORS and DV'!$A$4:$B$358,2,FALSE)</f>
        <v>0176</v>
      </c>
    </row>
    <row r="329" spans="1:19">
      <c r="B329" s="553">
        <v>44231</v>
      </c>
      <c r="C329" t="s">
        <v>1088</v>
      </c>
      <c r="D329" s="281">
        <v>8</v>
      </c>
      <c r="E329" t="s">
        <v>1998</v>
      </c>
      <c r="F329" t="s">
        <v>633</v>
      </c>
      <c r="G329" t="s">
        <v>818</v>
      </c>
      <c r="H329" t="s">
        <v>1089</v>
      </c>
      <c r="I329">
        <v>5020000000</v>
      </c>
      <c r="J329" s="560">
        <v>546300</v>
      </c>
      <c r="K329" s="560">
        <f t="shared" si="11"/>
        <v>2</v>
      </c>
      <c r="L329" s="560">
        <f t="shared" si="10"/>
        <v>2</v>
      </c>
    </row>
    <row r="330" spans="1:19">
      <c r="A330" t="s">
        <v>2118</v>
      </c>
      <c r="B330" s="553">
        <v>44231</v>
      </c>
      <c r="C330" t="s">
        <v>1088</v>
      </c>
      <c r="D330" s="281">
        <v>8</v>
      </c>
      <c r="E330">
        <v>5060405002</v>
      </c>
      <c r="F330" t="s">
        <v>1994</v>
      </c>
      <c r="G330" t="s">
        <v>818</v>
      </c>
      <c r="H330" t="s">
        <v>1089</v>
      </c>
      <c r="I330">
        <v>5060000000</v>
      </c>
      <c r="J330" s="560">
        <v>500000</v>
      </c>
      <c r="K330" s="560">
        <f t="shared" si="11"/>
        <v>2</v>
      </c>
      <c r="L330" s="560">
        <f t="shared" si="10"/>
        <v>1</v>
      </c>
      <c r="M330" s="560" t="e">
        <f>SUMIFS('[1]MAIN-101'!$Z$1:$Z$3000,'[1]MAIN-101'!$X$1:$X$3000,S330)</f>
        <v>#VALUE!</v>
      </c>
      <c r="N330" s="560"/>
      <c r="O330" s="560"/>
      <c r="S330" t="str">
        <f>VLOOKUP(C330,'Recon of ORS and DV'!$A$4:$B$358,2,FALSE)</f>
        <v>0177</v>
      </c>
    </row>
    <row r="331" spans="1:19">
      <c r="A331" t="s">
        <v>2119</v>
      </c>
      <c r="B331" s="553">
        <v>44231</v>
      </c>
      <c r="C331" t="s">
        <v>1090</v>
      </c>
      <c r="D331" s="281">
        <v>8</v>
      </c>
      <c r="E331" t="s">
        <v>1998</v>
      </c>
      <c r="F331" t="s">
        <v>633</v>
      </c>
      <c r="G331" t="s">
        <v>820</v>
      </c>
      <c r="H331" t="s">
        <v>1089</v>
      </c>
      <c r="I331">
        <v>5020000000</v>
      </c>
      <c r="J331" s="560">
        <v>535050</v>
      </c>
      <c r="K331" s="560">
        <f t="shared" si="11"/>
        <v>1</v>
      </c>
      <c r="L331" s="560">
        <f t="shared" si="10"/>
        <v>1</v>
      </c>
      <c r="M331" s="560" t="e">
        <f>SUMIFS('[1]MAIN-101'!$Z$1:$Z$3000,'[1]MAIN-101'!$X$1:$X$3000,S331)</f>
        <v>#VALUE!</v>
      </c>
      <c r="N331" s="560"/>
      <c r="O331" s="560"/>
      <c r="S331" t="str">
        <f>VLOOKUP(C331,'Recon of ORS and DV'!$A$4:$B$358,2,FALSE)</f>
        <v>0178</v>
      </c>
    </row>
    <row r="332" spans="1:19">
      <c r="B332" s="553">
        <v>44231</v>
      </c>
      <c r="C332" t="s">
        <v>1091</v>
      </c>
      <c r="D332" s="281">
        <v>8</v>
      </c>
      <c r="E332" t="s">
        <v>1998</v>
      </c>
      <c r="F332" t="s">
        <v>633</v>
      </c>
      <c r="G332" t="s">
        <v>821</v>
      </c>
      <c r="H332" t="s">
        <v>1089</v>
      </c>
      <c r="I332">
        <v>5020000000</v>
      </c>
      <c r="J332" s="560">
        <v>463500</v>
      </c>
      <c r="K332" s="560">
        <f t="shared" si="11"/>
        <v>2</v>
      </c>
      <c r="L332" s="560">
        <f t="shared" si="10"/>
        <v>2</v>
      </c>
    </row>
    <row r="333" spans="1:19">
      <c r="A333" t="s">
        <v>2120</v>
      </c>
      <c r="B333" s="553">
        <v>44231</v>
      </c>
      <c r="C333" t="s">
        <v>1091</v>
      </c>
      <c r="D333" s="281">
        <v>8</v>
      </c>
      <c r="E333">
        <v>5060405002</v>
      </c>
      <c r="F333" t="s">
        <v>1994</v>
      </c>
      <c r="G333" t="s">
        <v>821</v>
      </c>
      <c r="H333" t="s">
        <v>1089</v>
      </c>
      <c r="I333">
        <v>5060000000</v>
      </c>
      <c r="J333" s="560">
        <v>500000</v>
      </c>
      <c r="K333" s="560">
        <f t="shared" si="11"/>
        <v>2</v>
      </c>
      <c r="L333" s="560">
        <f t="shared" si="10"/>
        <v>1</v>
      </c>
      <c r="M333" s="560" t="e">
        <f>SUMIFS('[1]MAIN-101'!$Z$1:$Z$3000,'[1]MAIN-101'!$X$1:$X$3000,S333)</f>
        <v>#VALUE!</v>
      </c>
      <c r="N333" s="560"/>
      <c r="O333" s="560"/>
      <c r="S333" t="str">
        <f>VLOOKUP(C333,'Recon of ORS and DV'!$A$4:$B$358,2,FALSE)</f>
        <v>0179</v>
      </c>
    </row>
    <row r="334" spans="1:19">
      <c r="B334" s="553">
        <v>44231</v>
      </c>
      <c r="C334" t="s">
        <v>1092</v>
      </c>
      <c r="D334" s="281">
        <v>8</v>
      </c>
      <c r="E334" t="s">
        <v>1998</v>
      </c>
      <c r="F334" t="s">
        <v>633</v>
      </c>
      <c r="G334" t="s">
        <v>822</v>
      </c>
      <c r="H334" t="s">
        <v>1089</v>
      </c>
      <c r="I334">
        <v>5020000000</v>
      </c>
      <c r="J334" s="560">
        <v>370350</v>
      </c>
      <c r="K334" s="560">
        <f t="shared" si="11"/>
        <v>2</v>
      </c>
      <c r="L334" s="560">
        <f t="shared" si="10"/>
        <v>2</v>
      </c>
    </row>
    <row r="335" spans="1:19">
      <c r="A335" t="s">
        <v>2121</v>
      </c>
      <c r="B335" s="553">
        <v>44231</v>
      </c>
      <c r="C335" t="s">
        <v>1092</v>
      </c>
      <c r="D335" s="281">
        <v>8</v>
      </c>
      <c r="E335">
        <v>5060405002</v>
      </c>
      <c r="F335" t="s">
        <v>1994</v>
      </c>
      <c r="G335" t="s">
        <v>822</v>
      </c>
      <c r="H335" t="s">
        <v>1089</v>
      </c>
      <c r="I335">
        <v>5060000000</v>
      </c>
      <c r="J335" s="560">
        <v>500000</v>
      </c>
      <c r="K335" s="560">
        <f t="shared" si="11"/>
        <v>2</v>
      </c>
      <c r="L335" s="560">
        <f t="shared" ref="L335:L398" si="12">COUNTIFS(C335:C1888,C335)</f>
        <v>1</v>
      </c>
      <c r="M335" s="560" t="e">
        <f>SUMIFS('[1]MAIN-101'!$Z$1:$Z$3000,'[1]MAIN-101'!$X$1:$X$3000,S335)</f>
        <v>#VALUE!</v>
      </c>
      <c r="N335" s="560"/>
      <c r="O335" s="560"/>
      <c r="S335" t="str">
        <f>VLOOKUP(C335,'Recon of ORS and DV'!$A$4:$B$358,2,FALSE)</f>
        <v>0180</v>
      </c>
    </row>
    <row r="336" spans="1:19">
      <c r="B336" s="553">
        <v>44231</v>
      </c>
      <c r="C336" t="s">
        <v>1093</v>
      </c>
      <c r="D336" s="281">
        <v>8</v>
      </c>
      <c r="E336" t="s">
        <v>1998</v>
      </c>
      <c r="F336" t="s">
        <v>633</v>
      </c>
      <c r="G336" t="s">
        <v>823</v>
      </c>
      <c r="H336" t="s">
        <v>1089</v>
      </c>
      <c r="I336">
        <v>5020000000</v>
      </c>
      <c r="J336" s="560">
        <v>315900</v>
      </c>
      <c r="K336" s="560">
        <f t="shared" si="11"/>
        <v>2</v>
      </c>
      <c r="L336" s="560">
        <f t="shared" si="12"/>
        <v>2</v>
      </c>
    </row>
    <row r="337" spans="1:19">
      <c r="A337" t="s">
        <v>2122</v>
      </c>
      <c r="B337" s="553">
        <v>44231</v>
      </c>
      <c r="C337" t="s">
        <v>1093</v>
      </c>
      <c r="D337" s="281">
        <v>8</v>
      </c>
      <c r="E337">
        <v>5060405002</v>
      </c>
      <c r="F337" t="s">
        <v>1994</v>
      </c>
      <c r="G337" t="s">
        <v>823</v>
      </c>
      <c r="H337" t="s">
        <v>1089</v>
      </c>
      <c r="I337">
        <v>5060000000</v>
      </c>
      <c r="J337" s="560">
        <v>500000</v>
      </c>
      <c r="K337" s="560">
        <f t="shared" si="11"/>
        <v>2</v>
      </c>
      <c r="L337" s="560">
        <f t="shared" si="12"/>
        <v>1</v>
      </c>
      <c r="M337" s="560" t="e">
        <f>SUMIFS('[1]MAIN-101'!$Z$1:$Z$3000,'[1]MAIN-101'!$X$1:$X$3000,S337)</f>
        <v>#VALUE!</v>
      </c>
      <c r="N337" s="560"/>
      <c r="O337" s="560"/>
      <c r="S337" t="str">
        <f>VLOOKUP(C337,'Recon of ORS and DV'!$A$4:$B$358,2,FALSE)</f>
        <v>0181</v>
      </c>
    </row>
    <row r="338" spans="1:19">
      <c r="B338" s="553">
        <v>44235</v>
      </c>
      <c r="C338" t="s">
        <v>1094</v>
      </c>
      <c r="D338" s="281">
        <v>1</v>
      </c>
      <c r="E338" t="s">
        <v>2026</v>
      </c>
      <c r="F338" t="s">
        <v>499</v>
      </c>
      <c r="G338" t="s">
        <v>10</v>
      </c>
      <c r="H338" t="s">
        <v>1095</v>
      </c>
      <c r="I338">
        <v>5010000000</v>
      </c>
      <c r="J338" s="560">
        <v>54795</v>
      </c>
      <c r="K338" s="560">
        <f t="shared" si="11"/>
        <v>3</v>
      </c>
      <c r="L338" s="560">
        <f t="shared" si="12"/>
        <v>3</v>
      </c>
    </row>
    <row r="339" spans="1:19">
      <c r="B339" s="553">
        <v>44235</v>
      </c>
      <c r="C339" t="s">
        <v>1094</v>
      </c>
      <c r="D339" s="281">
        <v>1</v>
      </c>
      <c r="E339" t="s">
        <v>2028</v>
      </c>
      <c r="F339" t="s">
        <v>528</v>
      </c>
      <c r="G339" t="s">
        <v>10</v>
      </c>
      <c r="H339" t="s">
        <v>1095</v>
      </c>
      <c r="I339">
        <v>5010301000</v>
      </c>
      <c r="J339" s="560">
        <v>6575.4</v>
      </c>
      <c r="K339" s="560">
        <f t="shared" si="11"/>
        <v>3</v>
      </c>
      <c r="L339" s="560">
        <f t="shared" si="12"/>
        <v>2</v>
      </c>
    </row>
    <row r="340" spans="1:19">
      <c r="A340" t="s">
        <v>2123</v>
      </c>
      <c r="B340" s="553">
        <v>44235</v>
      </c>
      <c r="C340" t="s">
        <v>1094</v>
      </c>
      <c r="D340" s="281">
        <v>1</v>
      </c>
      <c r="E340" t="s">
        <v>2030</v>
      </c>
      <c r="F340" t="s">
        <v>532</v>
      </c>
      <c r="G340" t="s">
        <v>10</v>
      </c>
      <c r="H340" t="s">
        <v>1095</v>
      </c>
      <c r="I340">
        <v>5010000000</v>
      </c>
      <c r="J340" s="560">
        <v>643.82000000000005</v>
      </c>
      <c r="K340" s="560">
        <f t="shared" si="11"/>
        <v>3</v>
      </c>
      <c r="L340" s="560">
        <f t="shared" si="12"/>
        <v>1</v>
      </c>
      <c r="M340" s="560" t="e">
        <f>SUMIFS('[1]MAIN-101'!$Z$1:$Z$3000,'[1]MAIN-101'!$X$1:$X$3000,S340)</f>
        <v>#VALUE!</v>
      </c>
      <c r="N340" s="560"/>
      <c r="O340" s="560"/>
      <c r="S340" t="str">
        <f>VLOOKUP(C340,'Recon of ORS and DV'!$A$4:$B$358,2,FALSE)</f>
        <v>0185</v>
      </c>
    </row>
    <row r="341" spans="1:19">
      <c r="B341" s="553">
        <v>44235</v>
      </c>
      <c r="C341" t="s">
        <v>1096</v>
      </c>
      <c r="D341" s="281">
        <v>1</v>
      </c>
      <c r="E341" t="s">
        <v>2026</v>
      </c>
      <c r="F341" t="s">
        <v>499</v>
      </c>
      <c r="G341" t="s">
        <v>789</v>
      </c>
      <c r="H341" t="s">
        <v>1095</v>
      </c>
      <c r="I341">
        <v>5010000000</v>
      </c>
      <c r="J341" s="560">
        <v>15120</v>
      </c>
      <c r="K341" s="560">
        <f t="shared" si="11"/>
        <v>3</v>
      </c>
      <c r="L341" s="560">
        <f t="shared" si="12"/>
        <v>3</v>
      </c>
    </row>
    <row r="342" spans="1:19">
      <c r="B342" s="553">
        <v>44235</v>
      </c>
      <c r="C342" t="s">
        <v>1096</v>
      </c>
      <c r="D342" s="281">
        <v>1</v>
      </c>
      <c r="E342" t="s">
        <v>2028</v>
      </c>
      <c r="F342" t="s">
        <v>528</v>
      </c>
      <c r="G342" t="s">
        <v>789</v>
      </c>
      <c r="H342" t="s">
        <v>1095</v>
      </c>
      <c r="I342">
        <v>5010301000</v>
      </c>
      <c r="J342" s="560">
        <v>1878.6</v>
      </c>
      <c r="K342" s="560">
        <f t="shared" si="11"/>
        <v>3</v>
      </c>
      <c r="L342" s="560">
        <f t="shared" si="12"/>
        <v>2</v>
      </c>
    </row>
    <row r="343" spans="1:19">
      <c r="A343" t="s">
        <v>2124</v>
      </c>
      <c r="B343" s="553">
        <v>44235</v>
      </c>
      <c r="C343" t="s">
        <v>1096</v>
      </c>
      <c r="D343" s="281">
        <v>1</v>
      </c>
      <c r="E343" t="s">
        <v>2030</v>
      </c>
      <c r="F343" t="s">
        <v>532</v>
      </c>
      <c r="G343" t="s">
        <v>789</v>
      </c>
      <c r="H343" t="s">
        <v>1095</v>
      </c>
      <c r="I343">
        <v>5010000000</v>
      </c>
      <c r="J343" s="560">
        <v>169.13</v>
      </c>
      <c r="K343" s="560">
        <f t="shared" si="11"/>
        <v>3</v>
      </c>
      <c r="L343" s="560">
        <f t="shared" si="12"/>
        <v>1</v>
      </c>
      <c r="M343" s="560" t="e">
        <f>SUMIFS('[1]MAIN-101'!$Z$1:$Z$3000,'[1]MAIN-101'!$X$1:$X$3000,S343)</f>
        <v>#VALUE!</v>
      </c>
      <c r="N343" s="560"/>
      <c r="O343" s="560"/>
      <c r="S343" t="str">
        <f>VLOOKUP(C343,'Recon of ORS and DV'!$A$4:$B$358,2,FALSE)</f>
        <v>0186</v>
      </c>
    </row>
    <row r="344" spans="1:19">
      <c r="B344" s="553">
        <v>44235</v>
      </c>
      <c r="C344" t="s">
        <v>1097</v>
      </c>
      <c r="D344" s="281">
        <v>1</v>
      </c>
      <c r="E344" t="s">
        <v>2026</v>
      </c>
      <c r="F344" t="s">
        <v>499</v>
      </c>
      <c r="G344" t="s">
        <v>777</v>
      </c>
      <c r="H344" t="s">
        <v>1095</v>
      </c>
      <c r="I344">
        <v>5010000000</v>
      </c>
      <c r="J344" s="560">
        <v>15614</v>
      </c>
      <c r="K344" s="560">
        <f t="shared" si="11"/>
        <v>3</v>
      </c>
      <c r="L344" s="560">
        <f t="shared" si="12"/>
        <v>3</v>
      </c>
    </row>
    <row r="345" spans="1:19">
      <c r="B345" s="553">
        <v>44235</v>
      </c>
      <c r="C345" t="s">
        <v>1097</v>
      </c>
      <c r="D345" s="281">
        <v>1</v>
      </c>
      <c r="E345" t="s">
        <v>2028</v>
      </c>
      <c r="F345" t="s">
        <v>528</v>
      </c>
      <c r="G345" t="s">
        <v>777</v>
      </c>
      <c r="H345" t="s">
        <v>1095</v>
      </c>
      <c r="I345">
        <v>5010301000</v>
      </c>
      <c r="J345" s="560">
        <v>1873.68</v>
      </c>
      <c r="K345" s="560">
        <f t="shared" si="11"/>
        <v>3</v>
      </c>
      <c r="L345" s="560">
        <f t="shared" si="12"/>
        <v>2</v>
      </c>
    </row>
    <row r="346" spans="1:19">
      <c r="A346" t="s">
        <v>2125</v>
      </c>
      <c r="B346" s="553">
        <v>44235</v>
      </c>
      <c r="C346" t="s">
        <v>1097</v>
      </c>
      <c r="D346" s="281">
        <v>1</v>
      </c>
      <c r="E346" t="s">
        <v>2030</v>
      </c>
      <c r="F346" t="s">
        <v>532</v>
      </c>
      <c r="G346" t="s">
        <v>777</v>
      </c>
      <c r="H346" t="s">
        <v>1095</v>
      </c>
      <c r="I346">
        <v>5010000000</v>
      </c>
      <c r="J346" s="560">
        <v>211</v>
      </c>
      <c r="K346" s="560">
        <f t="shared" si="11"/>
        <v>3</v>
      </c>
      <c r="L346" s="560">
        <f t="shared" si="12"/>
        <v>1</v>
      </c>
      <c r="M346" s="560" t="e">
        <f>SUMIFS('[1]MAIN-101'!$Z$1:$Z$3000,'[1]MAIN-101'!$X$1:$X$3000,S346)</f>
        <v>#VALUE!</v>
      </c>
      <c r="N346" s="560"/>
      <c r="O346" s="560"/>
      <c r="S346" t="str">
        <f>VLOOKUP(C346,'Recon of ORS and DV'!$A$4:$B$358,2,FALSE)</f>
        <v>0187</v>
      </c>
    </row>
    <row r="347" spans="1:19">
      <c r="B347" s="553">
        <v>44235</v>
      </c>
      <c r="C347" t="s">
        <v>1098</v>
      </c>
      <c r="D347" s="281">
        <v>1</v>
      </c>
      <c r="E347" t="s">
        <v>2026</v>
      </c>
      <c r="F347" t="s">
        <v>499</v>
      </c>
      <c r="G347" t="s">
        <v>764</v>
      </c>
      <c r="H347" t="s">
        <v>1095</v>
      </c>
      <c r="I347">
        <v>5010000000</v>
      </c>
      <c r="J347" s="560">
        <v>16027</v>
      </c>
      <c r="K347" s="560">
        <f t="shared" si="11"/>
        <v>3</v>
      </c>
      <c r="L347" s="560">
        <f t="shared" si="12"/>
        <v>3</v>
      </c>
    </row>
    <row r="348" spans="1:19">
      <c r="B348" s="553">
        <v>44235</v>
      </c>
      <c r="C348" t="s">
        <v>1098</v>
      </c>
      <c r="D348" s="281">
        <v>1</v>
      </c>
      <c r="E348" t="s">
        <v>2028</v>
      </c>
      <c r="F348" t="s">
        <v>528</v>
      </c>
      <c r="G348" t="s">
        <v>764</v>
      </c>
      <c r="H348" t="s">
        <v>1095</v>
      </c>
      <c r="I348">
        <v>5010301000</v>
      </c>
      <c r="J348" s="560">
        <v>1923.24</v>
      </c>
      <c r="K348" s="560">
        <f t="shared" si="11"/>
        <v>3</v>
      </c>
      <c r="L348" s="560">
        <f t="shared" si="12"/>
        <v>2</v>
      </c>
    </row>
    <row r="349" spans="1:19">
      <c r="A349" t="s">
        <v>2126</v>
      </c>
      <c r="B349" s="553">
        <v>44235</v>
      </c>
      <c r="C349" t="s">
        <v>1098</v>
      </c>
      <c r="D349" s="281">
        <v>1</v>
      </c>
      <c r="E349" t="s">
        <v>2030</v>
      </c>
      <c r="F349" t="s">
        <v>532</v>
      </c>
      <c r="G349" t="s">
        <v>764</v>
      </c>
      <c r="H349" t="s">
        <v>1095</v>
      </c>
      <c r="I349">
        <v>5010000000</v>
      </c>
      <c r="J349" s="560">
        <v>217.2</v>
      </c>
      <c r="K349" s="560">
        <f t="shared" si="11"/>
        <v>3</v>
      </c>
      <c r="L349" s="560">
        <f t="shared" si="12"/>
        <v>1</v>
      </c>
      <c r="M349" s="560" t="e">
        <f>SUMIFS('[1]MAIN-101'!$Z$1:$Z$3000,'[1]MAIN-101'!$X$1:$X$3000,S349)</f>
        <v>#VALUE!</v>
      </c>
      <c r="N349" s="560"/>
      <c r="O349" s="560"/>
      <c r="S349" t="str">
        <f>VLOOKUP(C349,'Recon of ORS and DV'!$A$4:$B$358,2,FALSE)</f>
        <v>0188</v>
      </c>
    </row>
    <row r="350" spans="1:19">
      <c r="B350" s="553">
        <v>44235</v>
      </c>
      <c r="C350" t="s">
        <v>1099</v>
      </c>
      <c r="D350" s="281">
        <v>1</v>
      </c>
      <c r="E350" t="s">
        <v>2026</v>
      </c>
      <c r="F350" t="s">
        <v>499</v>
      </c>
      <c r="G350" t="s">
        <v>768</v>
      </c>
      <c r="H350" t="s">
        <v>1095</v>
      </c>
      <c r="I350">
        <v>5010000000</v>
      </c>
      <c r="J350" s="560">
        <v>19076</v>
      </c>
      <c r="K350" s="560">
        <f t="shared" si="11"/>
        <v>3</v>
      </c>
      <c r="L350" s="560">
        <f t="shared" si="12"/>
        <v>3</v>
      </c>
    </row>
    <row r="351" spans="1:19">
      <c r="B351" s="553">
        <v>44235</v>
      </c>
      <c r="C351" t="s">
        <v>1099</v>
      </c>
      <c r="D351" s="281">
        <v>1</v>
      </c>
      <c r="E351" t="s">
        <v>2028</v>
      </c>
      <c r="F351" t="s">
        <v>528</v>
      </c>
      <c r="G351" t="s">
        <v>768</v>
      </c>
      <c r="H351" t="s">
        <v>1095</v>
      </c>
      <c r="I351">
        <v>5010301000</v>
      </c>
      <c r="J351" s="560">
        <v>2289.12</v>
      </c>
      <c r="K351" s="560">
        <f t="shared" si="11"/>
        <v>3</v>
      </c>
      <c r="L351" s="560">
        <f t="shared" si="12"/>
        <v>2</v>
      </c>
    </row>
    <row r="352" spans="1:19">
      <c r="A352" t="s">
        <v>2127</v>
      </c>
      <c r="B352" s="553">
        <v>44235</v>
      </c>
      <c r="C352" t="s">
        <v>1099</v>
      </c>
      <c r="D352" s="281">
        <v>1</v>
      </c>
      <c r="E352" t="s">
        <v>2030</v>
      </c>
      <c r="F352" t="s">
        <v>532</v>
      </c>
      <c r="G352" t="s">
        <v>768</v>
      </c>
      <c r="H352" t="s">
        <v>1095</v>
      </c>
      <c r="I352">
        <v>5010000000</v>
      </c>
      <c r="J352" s="560">
        <v>228.89</v>
      </c>
      <c r="K352" s="560">
        <f t="shared" si="11"/>
        <v>3</v>
      </c>
      <c r="L352" s="560">
        <f t="shared" si="12"/>
        <v>1</v>
      </c>
      <c r="M352" s="560" t="e">
        <f>SUMIFS('[1]MAIN-101'!$Z$1:$Z$3000,'[1]MAIN-101'!$X$1:$X$3000,S352)</f>
        <v>#VALUE!</v>
      </c>
      <c r="N352" s="560"/>
      <c r="O352" s="560"/>
      <c r="S352" t="str">
        <f>VLOOKUP(C352,'Recon of ORS and DV'!$A$4:$B$358,2,FALSE)</f>
        <v>0189</v>
      </c>
    </row>
    <row r="353" spans="1:19">
      <c r="B353" s="553">
        <v>44235</v>
      </c>
      <c r="C353" t="s">
        <v>1100</v>
      </c>
      <c r="D353" s="281">
        <v>1</v>
      </c>
      <c r="E353" t="s">
        <v>2026</v>
      </c>
      <c r="F353" t="s">
        <v>499</v>
      </c>
      <c r="G353" t="s">
        <v>765</v>
      </c>
      <c r="H353" t="s">
        <v>1095</v>
      </c>
      <c r="I353">
        <v>5010000000</v>
      </c>
      <c r="J353" s="560">
        <v>11398</v>
      </c>
      <c r="K353" s="560">
        <f t="shared" si="11"/>
        <v>3</v>
      </c>
      <c r="L353" s="560">
        <f t="shared" si="12"/>
        <v>3</v>
      </c>
    </row>
    <row r="354" spans="1:19">
      <c r="B354" s="553">
        <v>44235</v>
      </c>
      <c r="C354" t="s">
        <v>1100</v>
      </c>
      <c r="D354" s="281">
        <v>1</v>
      </c>
      <c r="E354" t="s">
        <v>2028</v>
      </c>
      <c r="F354" t="s">
        <v>528</v>
      </c>
      <c r="G354" t="s">
        <v>765</v>
      </c>
      <c r="H354" t="s">
        <v>1095</v>
      </c>
      <c r="I354">
        <v>5010301000</v>
      </c>
      <c r="J354" s="560">
        <v>1367.76</v>
      </c>
      <c r="K354" s="560">
        <f t="shared" si="11"/>
        <v>3</v>
      </c>
      <c r="L354" s="560">
        <f t="shared" si="12"/>
        <v>2</v>
      </c>
    </row>
    <row r="355" spans="1:19">
      <c r="A355" t="s">
        <v>2128</v>
      </c>
      <c r="B355" s="553">
        <v>44235</v>
      </c>
      <c r="C355" t="s">
        <v>1100</v>
      </c>
      <c r="D355" s="281">
        <v>1</v>
      </c>
      <c r="E355" t="s">
        <v>2030</v>
      </c>
      <c r="F355" t="s">
        <v>532</v>
      </c>
      <c r="G355" t="s">
        <v>765</v>
      </c>
      <c r="H355" t="s">
        <v>1095</v>
      </c>
      <c r="I355">
        <v>5010000000</v>
      </c>
      <c r="J355" s="560">
        <v>138.75</v>
      </c>
      <c r="K355" s="560">
        <f t="shared" si="11"/>
        <v>3</v>
      </c>
      <c r="L355" s="560">
        <f t="shared" si="12"/>
        <v>1</v>
      </c>
      <c r="M355" s="560" t="e">
        <f>SUMIFS('[1]MAIN-101'!$Z$1:$Z$3000,'[1]MAIN-101'!$X$1:$X$3000,S355)</f>
        <v>#VALUE!</v>
      </c>
      <c r="N355" s="560"/>
      <c r="O355" s="560"/>
      <c r="S355" t="str">
        <f>VLOOKUP(C355,'Recon of ORS and DV'!$A$4:$B$358,2,FALSE)</f>
        <v>0190</v>
      </c>
    </row>
    <row r="356" spans="1:19">
      <c r="A356" t="s">
        <v>2129</v>
      </c>
      <c r="B356" s="553">
        <v>44235</v>
      </c>
      <c r="C356" t="s">
        <v>1101</v>
      </c>
      <c r="D356" s="281">
        <v>5</v>
      </c>
      <c r="E356" t="s">
        <v>2002</v>
      </c>
      <c r="F356" t="s">
        <v>603</v>
      </c>
      <c r="G356" t="s">
        <v>1102</v>
      </c>
      <c r="H356" t="s">
        <v>1103</v>
      </c>
      <c r="I356">
        <v>5020000000</v>
      </c>
      <c r="J356" s="560">
        <v>1200</v>
      </c>
      <c r="K356" s="560">
        <f t="shared" si="11"/>
        <v>1</v>
      </c>
      <c r="L356" s="560">
        <f t="shared" si="12"/>
        <v>1</v>
      </c>
      <c r="M356" s="560" t="e">
        <f>SUMIFS('[1]MAIN-101'!$Z$1:$Z$3000,'[1]MAIN-101'!$X$1:$X$3000,S356)</f>
        <v>#VALUE!</v>
      </c>
      <c r="N356" s="560"/>
      <c r="O356" s="560"/>
      <c r="S356" t="str">
        <f>VLOOKUP(C356,'Recon of ORS and DV'!$A$4:$B$358,2,FALSE)</f>
        <v>0191</v>
      </c>
    </row>
    <row r="357" spans="1:19">
      <c r="A357" t="s">
        <v>2130</v>
      </c>
      <c r="B357" s="553">
        <v>44235</v>
      </c>
      <c r="C357" t="s">
        <v>1104</v>
      </c>
      <c r="D357" s="281">
        <v>1</v>
      </c>
      <c r="E357" t="s">
        <v>2018</v>
      </c>
      <c r="F357" t="s">
        <v>671</v>
      </c>
      <c r="G357" t="s">
        <v>1105</v>
      </c>
      <c r="H357" t="s">
        <v>1106</v>
      </c>
      <c r="I357">
        <v>5020000000</v>
      </c>
      <c r="J357" s="560">
        <v>8885.08</v>
      </c>
      <c r="K357" s="560">
        <f t="shared" si="11"/>
        <v>1</v>
      </c>
      <c r="L357" s="560">
        <f t="shared" si="12"/>
        <v>1</v>
      </c>
      <c r="M357" s="560" t="e">
        <f>SUMIFS('[1]MAIN-101'!$Z$1:$Z$3000,'[1]MAIN-101'!$X$1:$X$3000,S357)</f>
        <v>#VALUE!</v>
      </c>
      <c r="N357" s="560"/>
      <c r="O357" s="560"/>
      <c r="S357" t="str">
        <f>VLOOKUP(C357,'Recon of ORS and DV'!$A$4:$B$358,2,FALSE)</f>
        <v>0192</v>
      </c>
    </row>
    <row r="358" spans="1:19">
      <c r="A358" t="s">
        <v>2131</v>
      </c>
      <c r="B358" s="553">
        <v>44235</v>
      </c>
      <c r="C358" t="s">
        <v>1107</v>
      </c>
      <c r="D358" s="281">
        <v>4</v>
      </c>
      <c r="E358" t="s">
        <v>2005</v>
      </c>
      <c r="F358" t="s">
        <v>678</v>
      </c>
      <c r="G358" t="s">
        <v>1108</v>
      </c>
      <c r="H358" t="s">
        <v>1109</v>
      </c>
      <c r="I358">
        <v>5020000000</v>
      </c>
      <c r="J358" s="560">
        <v>10600</v>
      </c>
      <c r="K358" s="560">
        <f t="shared" si="11"/>
        <v>1</v>
      </c>
      <c r="L358" s="560">
        <f t="shared" si="12"/>
        <v>1</v>
      </c>
      <c r="M358" s="560" t="e">
        <f>SUMIFS('[1]MAIN-101'!$Z$1:$Z$3000,'[1]MAIN-101'!$X$1:$X$3000,S358)</f>
        <v>#VALUE!</v>
      </c>
      <c r="N358" s="560"/>
      <c r="O358" s="560"/>
      <c r="S358" t="str">
        <f>VLOOKUP(C358,'Recon of ORS and DV'!$A$4:$B$358,2,FALSE)</f>
        <v>0194</v>
      </c>
    </row>
    <row r="359" spans="1:19">
      <c r="A359" t="s">
        <v>2132</v>
      </c>
      <c r="B359" s="553">
        <v>44235</v>
      </c>
      <c r="C359" t="s">
        <v>1110</v>
      </c>
      <c r="D359" s="281">
        <v>4</v>
      </c>
      <c r="E359" t="s">
        <v>2002</v>
      </c>
      <c r="F359" t="s">
        <v>603</v>
      </c>
      <c r="G359" t="s">
        <v>1102</v>
      </c>
      <c r="H359" t="s">
        <v>1111</v>
      </c>
      <c r="I359">
        <v>5020000000</v>
      </c>
      <c r="J359" s="560">
        <v>2400</v>
      </c>
      <c r="K359" s="560">
        <f t="shared" si="11"/>
        <v>1</v>
      </c>
      <c r="L359" s="560">
        <f t="shared" si="12"/>
        <v>1</v>
      </c>
      <c r="M359" s="560" t="e">
        <f>SUMIFS('[1]MAIN-101'!$Z$1:$Z$3000,'[1]MAIN-101'!$X$1:$X$3000,S359)</f>
        <v>#VALUE!</v>
      </c>
      <c r="N359" s="560"/>
      <c r="O359" s="560"/>
      <c r="S359" t="str">
        <f>VLOOKUP(C359,'Recon of ORS and DV'!$A$4:$B$358,2,FALSE)</f>
        <v>0193</v>
      </c>
    </row>
    <row r="360" spans="1:19">
      <c r="B360" s="553">
        <v>44237</v>
      </c>
      <c r="C360" t="s">
        <v>1112</v>
      </c>
      <c r="D360" s="281">
        <v>1</v>
      </c>
      <c r="E360" t="s">
        <v>2026</v>
      </c>
      <c r="F360" t="s">
        <v>499</v>
      </c>
      <c r="G360" t="s">
        <v>10</v>
      </c>
      <c r="H360" t="s">
        <v>1113</v>
      </c>
      <c r="I360">
        <v>5010000000</v>
      </c>
      <c r="J360" s="560">
        <v>1057756</v>
      </c>
      <c r="K360" s="560">
        <f t="shared" si="11"/>
        <v>30</v>
      </c>
      <c r="L360" s="560">
        <f t="shared" si="12"/>
        <v>30</v>
      </c>
    </row>
    <row r="361" spans="1:19">
      <c r="B361" s="553">
        <v>44237</v>
      </c>
      <c r="C361" t="s">
        <v>1112</v>
      </c>
      <c r="D361" s="281">
        <v>1</v>
      </c>
      <c r="E361" t="s">
        <v>2027</v>
      </c>
      <c r="F361" t="s">
        <v>504</v>
      </c>
      <c r="G361" t="s">
        <v>10</v>
      </c>
      <c r="H361" t="s">
        <v>1113</v>
      </c>
      <c r="I361">
        <v>5010000000</v>
      </c>
      <c r="J361" s="560">
        <v>44000</v>
      </c>
      <c r="K361" s="560">
        <f t="shared" si="11"/>
        <v>30</v>
      </c>
      <c r="L361" s="560">
        <f t="shared" si="12"/>
        <v>29</v>
      </c>
    </row>
    <row r="362" spans="1:19">
      <c r="B362" s="553">
        <v>44237</v>
      </c>
      <c r="C362" t="s">
        <v>1112</v>
      </c>
      <c r="D362" s="281">
        <v>1</v>
      </c>
      <c r="E362" t="s">
        <v>2028</v>
      </c>
      <c r="F362" t="s">
        <v>528</v>
      </c>
      <c r="G362" t="s">
        <v>10</v>
      </c>
      <c r="H362" t="s">
        <v>1113</v>
      </c>
      <c r="I362">
        <v>5010301000</v>
      </c>
      <c r="J362" s="560">
        <v>126930.72</v>
      </c>
      <c r="K362" s="560">
        <f t="shared" si="11"/>
        <v>30</v>
      </c>
      <c r="L362" s="560">
        <f t="shared" si="12"/>
        <v>28</v>
      </c>
    </row>
    <row r="363" spans="1:19">
      <c r="B363" s="553">
        <v>44237</v>
      </c>
      <c r="C363" t="s">
        <v>1112</v>
      </c>
      <c r="D363" s="281">
        <v>1</v>
      </c>
      <c r="E363" t="s">
        <v>2029</v>
      </c>
      <c r="F363" t="s">
        <v>530</v>
      </c>
      <c r="G363" t="s">
        <v>10</v>
      </c>
      <c r="H363" t="s">
        <v>1113</v>
      </c>
      <c r="I363">
        <v>5010000000</v>
      </c>
      <c r="J363" s="560">
        <v>2200</v>
      </c>
      <c r="K363" s="560">
        <f t="shared" si="11"/>
        <v>30</v>
      </c>
      <c r="L363" s="560">
        <f t="shared" si="12"/>
        <v>27</v>
      </c>
    </row>
    <row r="364" spans="1:19">
      <c r="B364" s="553">
        <v>44237</v>
      </c>
      <c r="C364" t="s">
        <v>1112</v>
      </c>
      <c r="D364" s="281">
        <v>1</v>
      </c>
      <c r="E364" t="s">
        <v>2030</v>
      </c>
      <c r="F364" t="s">
        <v>532</v>
      </c>
      <c r="G364" t="s">
        <v>10</v>
      </c>
      <c r="H364" t="s">
        <v>1113</v>
      </c>
      <c r="I364">
        <v>5010000000</v>
      </c>
      <c r="J364" s="560">
        <v>12310.77</v>
      </c>
      <c r="K364" s="560">
        <f t="shared" si="11"/>
        <v>30</v>
      </c>
      <c r="L364" s="560">
        <f t="shared" si="12"/>
        <v>26</v>
      </c>
    </row>
    <row r="365" spans="1:19">
      <c r="B365" s="553">
        <v>44237</v>
      </c>
      <c r="C365" t="s">
        <v>1112</v>
      </c>
      <c r="D365" s="281">
        <v>1</v>
      </c>
      <c r="E365" t="s">
        <v>2031</v>
      </c>
      <c r="F365" t="s">
        <v>534</v>
      </c>
      <c r="G365" t="s">
        <v>10</v>
      </c>
      <c r="H365" t="s">
        <v>1113</v>
      </c>
      <c r="I365">
        <v>5010000000</v>
      </c>
      <c r="J365" s="560">
        <v>2200</v>
      </c>
      <c r="K365" s="560">
        <f t="shared" si="11"/>
        <v>30</v>
      </c>
      <c r="L365" s="560">
        <f t="shared" si="12"/>
        <v>25</v>
      </c>
    </row>
    <row r="366" spans="1:19">
      <c r="B366" s="553">
        <v>44237</v>
      </c>
      <c r="C366" t="s">
        <v>1112</v>
      </c>
      <c r="D366" s="281">
        <v>2</v>
      </c>
      <c r="E366" t="s">
        <v>2026</v>
      </c>
      <c r="F366" t="s">
        <v>499</v>
      </c>
      <c r="G366" t="s">
        <v>10</v>
      </c>
      <c r="H366" t="s">
        <v>1113</v>
      </c>
      <c r="I366">
        <v>5010000000</v>
      </c>
      <c r="J366" s="560">
        <v>80214</v>
      </c>
      <c r="K366" s="560">
        <f t="shared" si="11"/>
        <v>30</v>
      </c>
      <c r="L366" s="560">
        <f t="shared" si="12"/>
        <v>24</v>
      </c>
    </row>
    <row r="367" spans="1:19">
      <c r="B367" s="553">
        <v>44237</v>
      </c>
      <c r="C367" t="s">
        <v>1112</v>
      </c>
      <c r="D367" s="281">
        <v>2</v>
      </c>
      <c r="E367" t="s">
        <v>2027</v>
      </c>
      <c r="F367" t="s">
        <v>504</v>
      </c>
      <c r="G367" t="s">
        <v>10</v>
      </c>
      <c r="H367" t="s">
        <v>1113</v>
      </c>
      <c r="I367">
        <v>5010000000</v>
      </c>
      <c r="J367" s="560">
        <v>4000</v>
      </c>
      <c r="K367" s="560">
        <f t="shared" si="11"/>
        <v>30</v>
      </c>
      <c r="L367" s="560">
        <f t="shared" si="12"/>
        <v>23</v>
      </c>
    </row>
    <row r="368" spans="1:19">
      <c r="B368" s="553">
        <v>44237</v>
      </c>
      <c r="C368" t="s">
        <v>1112</v>
      </c>
      <c r="D368" s="281">
        <v>2</v>
      </c>
      <c r="E368" t="s">
        <v>2028</v>
      </c>
      <c r="F368" t="s">
        <v>528</v>
      </c>
      <c r="G368" t="s">
        <v>10</v>
      </c>
      <c r="H368" t="s">
        <v>1113</v>
      </c>
      <c r="I368">
        <v>5010301000</v>
      </c>
      <c r="J368" s="560">
        <v>9625.68</v>
      </c>
      <c r="K368" s="560">
        <f t="shared" si="11"/>
        <v>30</v>
      </c>
      <c r="L368" s="560">
        <f t="shared" si="12"/>
        <v>22</v>
      </c>
    </row>
    <row r="369" spans="2:12">
      <c r="B369" s="553">
        <v>44237</v>
      </c>
      <c r="C369" t="s">
        <v>1112</v>
      </c>
      <c r="D369" s="281">
        <v>2</v>
      </c>
      <c r="E369" t="s">
        <v>2029</v>
      </c>
      <c r="F369" t="s">
        <v>530</v>
      </c>
      <c r="G369" t="s">
        <v>10</v>
      </c>
      <c r="H369" t="s">
        <v>1113</v>
      </c>
      <c r="I369">
        <v>5010000000</v>
      </c>
      <c r="J369" s="560">
        <v>200</v>
      </c>
      <c r="K369" s="560">
        <f t="shared" si="11"/>
        <v>30</v>
      </c>
      <c r="L369" s="560">
        <f t="shared" si="12"/>
        <v>21</v>
      </c>
    </row>
    <row r="370" spans="2:12">
      <c r="B370" s="553">
        <v>44237</v>
      </c>
      <c r="C370" t="s">
        <v>1112</v>
      </c>
      <c r="D370" s="281">
        <v>2</v>
      </c>
      <c r="E370" t="s">
        <v>2030</v>
      </c>
      <c r="F370" t="s">
        <v>532</v>
      </c>
      <c r="G370" t="s">
        <v>10</v>
      </c>
      <c r="H370" t="s">
        <v>1113</v>
      </c>
      <c r="I370">
        <v>5010000000</v>
      </c>
      <c r="J370" s="560">
        <v>1203.22</v>
      </c>
      <c r="K370" s="560">
        <f t="shared" si="11"/>
        <v>30</v>
      </c>
      <c r="L370" s="560">
        <f t="shared" si="12"/>
        <v>20</v>
      </c>
    </row>
    <row r="371" spans="2:12">
      <c r="B371" s="553">
        <v>44237</v>
      </c>
      <c r="C371" t="s">
        <v>1112</v>
      </c>
      <c r="D371" s="281">
        <v>2</v>
      </c>
      <c r="E371" t="s">
        <v>2031</v>
      </c>
      <c r="F371" t="s">
        <v>534</v>
      </c>
      <c r="G371" t="s">
        <v>10</v>
      </c>
      <c r="H371" t="s">
        <v>1113</v>
      </c>
      <c r="I371">
        <v>5010000000</v>
      </c>
      <c r="J371" s="560">
        <v>200</v>
      </c>
      <c r="K371" s="560">
        <f t="shared" si="11"/>
        <v>30</v>
      </c>
      <c r="L371" s="560">
        <f t="shared" si="12"/>
        <v>19</v>
      </c>
    </row>
    <row r="372" spans="2:12">
      <c r="B372" s="553">
        <v>44237</v>
      </c>
      <c r="C372" t="s">
        <v>1112</v>
      </c>
      <c r="D372" s="281">
        <v>3</v>
      </c>
      <c r="E372" t="s">
        <v>2026</v>
      </c>
      <c r="F372" t="s">
        <v>499</v>
      </c>
      <c r="G372" t="s">
        <v>10</v>
      </c>
      <c r="H372" t="s">
        <v>1113</v>
      </c>
      <c r="I372">
        <v>5010000000</v>
      </c>
      <c r="J372" s="560">
        <v>199631</v>
      </c>
      <c r="K372" s="560">
        <f t="shared" si="11"/>
        <v>30</v>
      </c>
      <c r="L372" s="560">
        <f t="shared" si="12"/>
        <v>18</v>
      </c>
    </row>
    <row r="373" spans="2:12">
      <c r="B373" s="553">
        <v>44237</v>
      </c>
      <c r="C373" t="s">
        <v>1112</v>
      </c>
      <c r="D373" s="281">
        <v>3</v>
      </c>
      <c r="E373" t="s">
        <v>2027</v>
      </c>
      <c r="F373" t="s">
        <v>504</v>
      </c>
      <c r="G373" t="s">
        <v>10</v>
      </c>
      <c r="H373" t="s">
        <v>1113</v>
      </c>
      <c r="I373">
        <v>5010000000</v>
      </c>
      <c r="J373" s="560">
        <v>10000</v>
      </c>
      <c r="K373" s="560">
        <f t="shared" si="11"/>
        <v>30</v>
      </c>
      <c r="L373" s="560">
        <f t="shared" si="12"/>
        <v>17</v>
      </c>
    </row>
    <row r="374" spans="2:12">
      <c r="B374" s="553">
        <v>44237</v>
      </c>
      <c r="C374" t="s">
        <v>1112</v>
      </c>
      <c r="D374" s="281">
        <v>3</v>
      </c>
      <c r="E374" t="s">
        <v>2028</v>
      </c>
      <c r="F374" t="s">
        <v>528</v>
      </c>
      <c r="G374" t="s">
        <v>10</v>
      </c>
      <c r="H374" t="s">
        <v>1113</v>
      </c>
      <c r="I374">
        <v>5010301000</v>
      </c>
      <c r="J374" s="560">
        <v>23955.72</v>
      </c>
      <c r="K374" s="560">
        <f t="shared" si="11"/>
        <v>30</v>
      </c>
      <c r="L374" s="560">
        <f t="shared" si="12"/>
        <v>16</v>
      </c>
    </row>
    <row r="375" spans="2:12">
      <c r="B375" s="553">
        <v>44237</v>
      </c>
      <c r="C375" t="s">
        <v>1112</v>
      </c>
      <c r="D375" s="281">
        <v>3</v>
      </c>
      <c r="E375" t="s">
        <v>2029</v>
      </c>
      <c r="F375" t="s">
        <v>530</v>
      </c>
      <c r="G375" t="s">
        <v>10</v>
      </c>
      <c r="H375" t="s">
        <v>1113</v>
      </c>
      <c r="I375">
        <v>5010000000</v>
      </c>
      <c r="J375" s="560">
        <v>500</v>
      </c>
      <c r="K375" s="560">
        <f t="shared" si="11"/>
        <v>30</v>
      </c>
      <c r="L375" s="560">
        <f t="shared" si="12"/>
        <v>15</v>
      </c>
    </row>
    <row r="376" spans="2:12">
      <c r="B376" s="553">
        <v>44237</v>
      </c>
      <c r="C376" t="s">
        <v>1112</v>
      </c>
      <c r="D376" s="281">
        <v>3</v>
      </c>
      <c r="E376" t="s">
        <v>2030</v>
      </c>
      <c r="F376" t="s">
        <v>532</v>
      </c>
      <c r="G376" t="s">
        <v>10</v>
      </c>
      <c r="H376" t="s">
        <v>1113</v>
      </c>
      <c r="I376">
        <v>5010000000</v>
      </c>
      <c r="J376" s="560">
        <v>2593.35</v>
      </c>
      <c r="K376" s="560">
        <f t="shared" si="11"/>
        <v>30</v>
      </c>
      <c r="L376" s="560">
        <f t="shared" si="12"/>
        <v>14</v>
      </c>
    </row>
    <row r="377" spans="2:12">
      <c r="B377" s="553">
        <v>44237</v>
      </c>
      <c r="C377" t="s">
        <v>1112</v>
      </c>
      <c r="D377" s="281">
        <v>3</v>
      </c>
      <c r="E377" t="s">
        <v>2031</v>
      </c>
      <c r="F377" t="s">
        <v>534</v>
      </c>
      <c r="G377" t="s">
        <v>10</v>
      </c>
      <c r="H377" t="s">
        <v>1113</v>
      </c>
      <c r="I377">
        <v>5010000000</v>
      </c>
      <c r="J377" s="560">
        <v>500</v>
      </c>
      <c r="K377" s="560">
        <f t="shared" si="11"/>
        <v>30</v>
      </c>
      <c r="L377" s="560">
        <f t="shared" si="12"/>
        <v>13</v>
      </c>
    </row>
    <row r="378" spans="2:12">
      <c r="B378" s="553">
        <v>44237</v>
      </c>
      <c r="C378" t="s">
        <v>1112</v>
      </c>
      <c r="D378" s="281">
        <v>4</v>
      </c>
      <c r="E378" t="s">
        <v>2026</v>
      </c>
      <c r="F378" t="s">
        <v>499</v>
      </c>
      <c r="G378" t="s">
        <v>10</v>
      </c>
      <c r="H378" t="s">
        <v>1113</v>
      </c>
      <c r="I378">
        <v>5010000000</v>
      </c>
      <c r="J378" s="560">
        <v>190370</v>
      </c>
      <c r="K378" s="560">
        <f t="shared" si="11"/>
        <v>30</v>
      </c>
      <c r="L378" s="560">
        <f t="shared" si="12"/>
        <v>12</v>
      </c>
    </row>
    <row r="379" spans="2:12">
      <c r="B379" s="553">
        <v>44237</v>
      </c>
      <c r="C379" t="s">
        <v>1112</v>
      </c>
      <c r="D379" s="281">
        <v>4</v>
      </c>
      <c r="E379" t="s">
        <v>2027</v>
      </c>
      <c r="F379" t="s">
        <v>504</v>
      </c>
      <c r="G379" t="s">
        <v>10</v>
      </c>
      <c r="H379" t="s">
        <v>1113</v>
      </c>
      <c r="I379">
        <v>5010000000</v>
      </c>
      <c r="J379" s="560">
        <v>10000</v>
      </c>
      <c r="K379" s="560">
        <f t="shared" si="11"/>
        <v>30</v>
      </c>
      <c r="L379" s="560">
        <f t="shared" si="12"/>
        <v>11</v>
      </c>
    </row>
    <row r="380" spans="2:12">
      <c r="B380" s="553">
        <v>44237</v>
      </c>
      <c r="C380" t="s">
        <v>1112</v>
      </c>
      <c r="D380" s="281">
        <v>4</v>
      </c>
      <c r="E380" t="s">
        <v>2028</v>
      </c>
      <c r="F380" t="s">
        <v>528</v>
      </c>
      <c r="G380" t="s">
        <v>10</v>
      </c>
      <c r="H380" t="s">
        <v>1113</v>
      </c>
      <c r="I380">
        <v>5010301000</v>
      </c>
      <c r="J380" s="560">
        <v>22844.400000000001</v>
      </c>
      <c r="K380" s="560">
        <f t="shared" si="11"/>
        <v>30</v>
      </c>
      <c r="L380" s="560">
        <f t="shared" si="12"/>
        <v>10</v>
      </c>
    </row>
    <row r="381" spans="2:12">
      <c r="B381" s="553">
        <v>44237</v>
      </c>
      <c r="C381" t="s">
        <v>1112</v>
      </c>
      <c r="D381" s="281">
        <v>4</v>
      </c>
      <c r="E381" t="s">
        <v>2029</v>
      </c>
      <c r="F381" t="s">
        <v>530</v>
      </c>
      <c r="G381" t="s">
        <v>10</v>
      </c>
      <c r="H381" t="s">
        <v>1113</v>
      </c>
      <c r="I381">
        <v>5010000000</v>
      </c>
      <c r="J381" s="560">
        <v>500</v>
      </c>
      <c r="K381" s="560">
        <f t="shared" si="11"/>
        <v>30</v>
      </c>
      <c r="L381" s="560">
        <f t="shared" si="12"/>
        <v>9</v>
      </c>
    </row>
    <row r="382" spans="2:12">
      <c r="B382" s="553">
        <v>44237</v>
      </c>
      <c r="C382" t="s">
        <v>1112</v>
      </c>
      <c r="D382" s="281">
        <v>4</v>
      </c>
      <c r="E382" t="s">
        <v>2030</v>
      </c>
      <c r="F382" t="s">
        <v>532</v>
      </c>
      <c r="G382" t="s">
        <v>10</v>
      </c>
      <c r="H382" t="s">
        <v>1113</v>
      </c>
      <c r="I382">
        <v>5010000000</v>
      </c>
      <c r="J382" s="560">
        <v>2855.56</v>
      </c>
      <c r="K382" s="560">
        <f t="shared" si="11"/>
        <v>30</v>
      </c>
      <c r="L382" s="560">
        <f t="shared" si="12"/>
        <v>8</v>
      </c>
    </row>
    <row r="383" spans="2:12">
      <c r="B383" s="553">
        <v>44237</v>
      </c>
      <c r="C383" t="s">
        <v>1112</v>
      </c>
      <c r="D383" s="281">
        <v>4</v>
      </c>
      <c r="E383" t="s">
        <v>2031</v>
      </c>
      <c r="F383" t="s">
        <v>534</v>
      </c>
      <c r="G383" t="s">
        <v>10</v>
      </c>
      <c r="H383" t="s">
        <v>1113</v>
      </c>
      <c r="I383">
        <v>5010000000</v>
      </c>
      <c r="J383" s="560">
        <v>500</v>
      </c>
      <c r="K383" s="560">
        <f t="shared" si="11"/>
        <v>30</v>
      </c>
      <c r="L383" s="560">
        <f t="shared" si="12"/>
        <v>7</v>
      </c>
    </row>
    <row r="384" spans="2:12">
      <c r="B384" s="553">
        <v>44237</v>
      </c>
      <c r="C384" t="s">
        <v>1112</v>
      </c>
      <c r="D384" s="281">
        <v>5</v>
      </c>
      <c r="E384" t="s">
        <v>2026</v>
      </c>
      <c r="F384" t="s">
        <v>499</v>
      </c>
      <c r="G384" t="s">
        <v>10</v>
      </c>
      <c r="H384" t="s">
        <v>1113</v>
      </c>
      <c r="I384">
        <v>5010000000</v>
      </c>
      <c r="J384" s="560">
        <v>206068</v>
      </c>
      <c r="K384" s="560">
        <f t="shared" si="11"/>
        <v>30</v>
      </c>
      <c r="L384" s="560">
        <f t="shared" si="12"/>
        <v>6</v>
      </c>
    </row>
    <row r="385" spans="1:19">
      <c r="B385" s="553">
        <v>44237</v>
      </c>
      <c r="C385" t="s">
        <v>1112</v>
      </c>
      <c r="D385" s="281">
        <v>5</v>
      </c>
      <c r="E385" t="s">
        <v>2027</v>
      </c>
      <c r="F385" t="s">
        <v>504</v>
      </c>
      <c r="G385" t="s">
        <v>10</v>
      </c>
      <c r="H385" t="s">
        <v>1113</v>
      </c>
      <c r="I385">
        <v>5010000000</v>
      </c>
      <c r="J385" s="560">
        <v>10000</v>
      </c>
      <c r="K385" s="560">
        <f t="shared" si="11"/>
        <v>30</v>
      </c>
      <c r="L385" s="560">
        <f t="shared" si="12"/>
        <v>5</v>
      </c>
    </row>
    <row r="386" spans="1:19">
      <c r="B386" s="553">
        <v>44237</v>
      </c>
      <c r="C386" t="s">
        <v>1112</v>
      </c>
      <c r="D386" s="281">
        <v>5</v>
      </c>
      <c r="E386" t="s">
        <v>2028</v>
      </c>
      <c r="F386" t="s">
        <v>528</v>
      </c>
      <c r="G386" t="s">
        <v>10</v>
      </c>
      <c r="H386" t="s">
        <v>1113</v>
      </c>
      <c r="I386">
        <v>5010301000</v>
      </c>
      <c r="J386" s="560">
        <v>24728.16</v>
      </c>
      <c r="K386" s="560">
        <f t="shared" si="11"/>
        <v>30</v>
      </c>
      <c r="L386" s="560">
        <f t="shared" si="12"/>
        <v>4</v>
      </c>
    </row>
    <row r="387" spans="1:19">
      <c r="B387" s="553">
        <v>44237</v>
      </c>
      <c r="C387" t="s">
        <v>1112</v>
      </c>
      <c r="D387" s="281">
        <v>5</v>
      </c>
      <c r="E387" t="s">
        <v>2029</v>
      </c>
      <c r="F387" t="s">
        <v>530</v>
      </c>
      <c r="G387" t="s">
        <v>10</v>
      </c>
      <c r="H387" t="s">
        <v>1113</v>
      </c>
      <c r="I387">
        <v>5010000000</v>
      </c>
      <c r="J387" s="560">
        <v>500</v>
      </c>
      <c r="K387" s="560">
        <f t="shared" si="11"/>
        <v>30</v>
      </c>
      <c r="L387" s="560">
        <f t="shared" si="12"/>
        <v>3</v>
      </c>
    </row>
    <row r="388" spans="1:19">
      <c r="B388" s="553">
        <v>44237</v>
      </c>
      <c r="C388" t="s">
        <v>1112</v>
      </c>
      <c r="D388" s="281">
        <v>5</v>
      </c>
      <c r="E388" t="s">
        <v>2030</v>
      </c>
      <c r="F388" t="s">
        <v>532</v>
      </c>
      <c r="G388" t="s">
        <v>10</v>
      </c>
      <c r="H388" t="s">
        <v>1113</v>
      </c>
      <c r="I388">
        <v>5010000000</v>
      </c>
      <c r="J388" s="560">
        <v>3077.52</v>
      </c>
      <c r="K388" s="560">
        <f t="shared" ref="K388:K451" si="13">COUNTIFS($C$3:$C$1556,C388)</f>
        <v>30</v>
      </c>
      <c r="L388" s="560">
        <f t="shared" si="12"/>
        <v>2</v>
      </c>
    </row>
    <row r="389" spans="1:19">
      <c r="A389" t="s">
        <v>2133</v>
      </c>
      <c r="B389" s="553">
        <v>44237</v>
      </c>
      <c r="C389" t="s">
        <v>1112</v>
      </c>
      <c r="D389" s="281">
        <v>5</v>
      </c>
      <c r="E389" t="s">
        <v>2031</v>
      </c>
      <c r="F389" t="s">
        <v>534</v>
      </c>
      <c r="G389" t="s">
        <v>10</v>
      </c>
      <c r="H389" t="s">
        <v>1113</v>
      </c>
      <c r="I389">
        <v>5010000000</v>
      </c>
      <c r="J389" s="560">
        <v>500</v>
      </c>
      <c r="K389" s="560">
        <f t="shared" si="13"/>
        <v>30</v>
      </c>
      <c r="L389" s="560">
        <f t="shared" si="12"/>
        <v>1</v>
      </c>
      <c r="M389" s="560" t="e">
        <f>SUMIFS('[1]MAIN-101'!$Z$1:$Z$3000,'[1]MAIN-101'!$X$1:$X$3000,S389)</f>
        <v>#VALUE!</v>
      </c>
      <c r="N389" s="560"/>
      <c r="O389" s="560"/>
      <c r="S389" t="str">
        <f>VLOOKUP(C389,'Recon of ORS and DV'!$A$4:$B$358,2,FALSE)</f>
        <v>0195</v>
      </c>
    </row>
    <row r="390" spans="1:19">
      <c r="B390" s="553">
        <v>44237</v>
      </c>
      <c r="C390" t="s">
        <v>1114</v>
      </c>
      <c r="D390" s="281">
        <v>1</v>
      </c>
      <c r="E390" t="s">
        <v>2026</v>
      </c>
      <c r="F390" t="s">
        <v>499</v>
      </c>
      <c r="G390" t="s">
        <v>777</v>
      </c>
      <c r="H390" t="s">
        <v>1113</v>
      </c>
      <c r="I390">
        <v>5010000000</v>
      </c>
      <c r="J390" s="560">
        <v>97270</v>
      </c>
      <c r="K390" s="560">
        <f t="shared" si="13"/>
        <v>24</v>
      </c>
      <c r="L390" s="560">
        <f t="shared" si="12"/>
        <v>24</v>
      </c>
    </row>
    <row r="391" spans="1:19">
      <c r="B391" s="553">
        <v>44237</v>
      </c>
      <c r="C391" t="s">
        <v>1114</v>
      </c>
      <c r="D391" s="281">
        <v>1</v>
      </c>
      <c r="E391" t="s">
        <v>2027</v>
      </c>
      <c r="F391" t="s">
        <v>504</v>
      </c>
      <c r="G391" t="s">
        <v>777</v>
      </c>
      <c r="H391" t="s">
        <v>1113</v>
      </c>
      <c r="I391">
        <v>5010000000</v>
      </c>
      <c r="J391" s="560">
        <v>8000</v>
      </c>
      <c r="K391" s="560">
        <f t="shared" si="13"/>
        <v>24</v>
      </c>
      <c r="L391" s="560">
        <f t="shared" si="12"/>
        <v>23</v>
      </c>
    </row>
    <row r="392" spans="1:19">
      <c r="B392" s="553">
        <v>44237</v>
      </c>
      <c r="C392" t="s">
        <v>1114</v>
      </c>
      <c r="D392" s="281">
        <v>1</v>
      </c>
      <c r="E392" t="s">
        <v>2028</v>
      </c>
      <c r="F392" t="s">
        <v>528</v>
      </c>
      <c r="G392" t="s">
        <v>777</v>
      </c>
      <c r="H392" t="s">
        <v>1113</v>
      </c>
      <c r="I392">
        <v>5010301000</v>
      </c>
      <c r="J392" s="560">
        <v>11672.4</v>
      </c>
      <c r="K392" s="560">
        <f t="shared" si="13"/>
        <v>24</v>
      </c>
      <c r="L392" s="560">
        <f t="shared" si="12"/>
        <v>22</v>
      </c>
    </row>
    <row r="393" spans="1:19">
      <c r="B393" s="553">
        <v>44237</v>
      </c>
      <c r="C393" t="s">
        <v>1114</v>
      </c>
      <c r="D393" s="281">
        <v>1</v>
      </c>
      <c r="E393" t="s">
        <v>2029</v>
      </c>
      <c r="F393" t="s">
        <v>530</v>
      </c>
      <c r="G393" t="s">
        <v>777</v>
      </c>
      <c r="H393" t="s">
        <v>1113</v>
      </c>
      <c r="I393">
        <v>5010000000</v>
      </c>
      <c r="J393" s="560">
        <v>400</v>
      </c>
      <c r="K393" s="560">
        <f t="shared" si="13"/>
        <v>24</v>
      </c>
      <c r="L393" s="560">
        <f t="shared" si="12"/>
        <v>21</v>
      </c>
    </row>
    <row r="394" spans="1:19">
      <c r="B394" s="553">
        <v>44237</v>
      </c>
      <c r="C394" t="s">
        <v>1114</v>
      </c>
      <c r="D394" s="281">
        <v>1</v>
      </c>
      <c r="E394" t="s">
        <v>2030</v>
      </c>
      <c r="F394" t="s">
        <v>532</v>
      </c>
      <c r="G394" t="s">
        <v>777</v>
      </c>
      <c r="H394" t="s">
        <v>1113</v>
      </c>
      <c r="I394">
        <v>5010000000</v>
      </c>
      <c r="J394" s="560">
        <v>1450.46</v>
      </c>
      <c r="K394" s="560">
        <f t="shared" si="13"/>
        <v>24</v>
      </c>
      <c r="L394" s="560">
        <f t="shared" si="12"/>
        <v>20</v>
      </c>
    </row>
    <row r="395" spans="1:19">
      <c r="B395" s="553">
        <v>44237</v>
      </c>
      <c r="C395" t="s">
        <v>1114</v>
      </c>
      <c r="D395" s="281">
        <v>1</v>
      </c>
      <c r="E395" t="s">
        <v>2031</v>
      </c>
      <c r="F395" t="s">
        <v>534</v>
      </c>
      <c r="G395" t="s">
        <v>777</v>
      </c>
      <c r="H395" t="s">
        <v>1113</v>
      </c>
      <c r="I395">
        <v>5010000000</v>
      </c>
      <c r="J395" s="560">
        <v>400</v>
      </c>
      <c r="K395" s="560">
        <f t="shared" si="13"/>
        <v>24</v>
      </c>
      <c r="L395" s="560">
        <f t="shared" si="12"/>
        <v>19</v>
      </c>
    </row>
    <row r="396" spans="1:19">
      <c r="B396" s="553">
        <v>44237</v>
      </c>
      <c r="C396" t="s">
        <v>1114</v>
      </c>
      <c r="D396" s="281">
        <v>2</v>
      </c>
      <c r="E396" t="s">
        <v>2026</v>
      </c>
      <c r="F396" t="s">
        <v>499</v>
      </c>
      <c r="G396" t="s">
        <v>777</v>
      </c>
      <c r="H396" t="s">
        <v>1113</v>
      </c>
      <c r="I396">
        <v>5010000000</v>
      </c>
      <c r="J396" s="560">
        <v>44184</v>
      </c>
      <c r="K396" s="560">
        <f t="shared" si="13"/>
        <v>24</v>
      </c>
      <c r="L396" s="560">
        <f t="shared" si="12"/>
        <v>18</v>
      </c>
    </row>
    <row r="397" spans="1:19">
      <c r="B397" s="553">
        <v>44237</v>
      </c>
      <c r="C397" t="s">
        <v>1114</v>
      </c>
      <c r="D397" s="281">
        <v>2</v>
      </c>
      <c r="E397" t="s">
        <v>2027</v>
      </c>
      <c r="F397" t="s">
        <v>504</v>
      </c>
      <c r="G397" t="s">
        <v>777</v>
      </c>
      <c r="H397" t="s">
        <v>1113</v>
      </c>
      <c r="I397">
        <v>5010000000</v>
      </c>
      <c r="J397" s="560">
        <v>2000</v>
      </c>
      <c r="K397" s="560">
        <f t="shared" si="13"/>
        <v>24</v>
      </c>
      <c r="L397" s="560">
        <f t="shared" si="12"/>
        <v>17</v>
      </c>
    </row>
    <row r="398" spans="1:19">
      <c r="B398" s="553">
        <v>44237</v>
      </c>
      <c r="C398" t="s">
        <v>1114</v>
      </c>
      <c r="D398" s="281">
        <v>2</v>
      </c>
      <c r="E398" t="s">
        <v>2028</v>
      </c>
      <c r="F398" t="s">
        <v>528</v>
      </c>
      <c r="G398" t="s">
        <v>777</v>
      </c>
      <c r="H398" t="s">
        <v>1113</v>
      </c>
      <c r="I398">
        <v>5010301000</v>
      </c>
      <c r="J398" s="560">
        <v>5302.08</v>
      </c>
      <c r="K398" s="560">
        <f t="shared" si="13"/>
        <v>24</v>
      </c>
      <c r="L398" s="560">
        <f t="shared" si="12"/>
        <v>16</v>
      </c>
    </row>
    <row r="399" spans="1:19">
      <c r="B399" s="553">
        <v>44237</v>
      </c>
      <c r="C399" t="s">
        <v>1114</v>
      </c>
      <c r="D399" s="281">
        <v>2</v>
      </c>
      <c r="E399" t="s">
        <v>2029</v>
      </c>
      <c r="F399" t="s">
        <v>530</v>
      </c>
      <c r="G399" t="s">
        <v>777</v>
      </c>
      <c r="H399" t="s">
        <v>1113</v>
      </c>
      <c r="I399">
        <v>5010000000</v>
      </c>
      <c r="J399" s="560">
        <v>100</v>
      </c>
      <c r="K399" s="560">
        <f t="shared" si="13"/>
        <v>24</v>
      </c>
      <c r="L399" s="560">
        <f t="shared" ref="L399:L462" si="14">COUNTIFS(C399:C1952,C399)</f>
        <v>15</v>
      </c>
    </row>
    <row r="400" spans="1:19">
      <c r="B400" s="553">
        <v>44237</v>
      </c>
      <c r="C400" t="s">
        <v>1114</v>
      </c>
      <c r="D400" s="281">
        <v>2</v>
      </c>
      <c r="E400" t="s">
        <v>2030</v>
      </c>
      <c r="F400" t="s">
        <v>532</v>
      </c>
      <c r="G400" t="s">
        <v>777</v>
      </c>
      <c r="H400" t="s">
        <v>1113</v>
      </c>
      <c r="I400">
        <v>5010000000</v>
      </c>
      <c r="J400" s="560">
        <v>662.76</v>
      </c>
      <c r="K400" s="560">
        <f t="shared" si="13"/>
        <v>24</v>
      </c>
      <c r="L400" s="560">
        <f t="shared" si="14"/>
        <v>14</v>
      </c>
    </row>
    <row r="401" spans="1:19">
      <c r="B401" s="553">
        <v>44237</v>
      </c>
      <c r="C401" t="s">
        <v>1114</v>
      </c>
      <c r="D401" s="281">
        <v>2</v>
      </c>
      <c r="E401" t="s">
        <v>2031</v>
      </c>
      <c r="F401" t="s">
        <v>534</v>
      </c>
      <c r="G401" t="s">
        <v>777</v>
      </c>
      <c r="H401" t="s">
        <v>1113</v>
      </c>
      <c r="I401">
        <v>5010000000</v>
      </c>
      <c r="J401" s="560">
        <v>100</v>
      </c>
      <c r="K401" s="560">
        <f t="shared" si="13"/>
        <v>24</v>
      </c>
      <c r="L401" s="560">
        <f t="shared" si="14"/>
        <v>13</v>
      </c>
    </row>
    <row r="402" spans="1:19">
      <c r="B402" s="553">
        <v>44237</v>
      </c>
      <c r="C402" t="s">
        <v>1114</v>
      </c>
      <c r="D402" s="281">
        <v>4</v>
      </c>
      <c r="E402" t="s">
        <v>2026</v>
      </c>
      <c r="F402" t="s">
        <v>499</v>
      </c>
      <c r="G402" t="s">
        <v>777</v>
      </c>
      <c r="H402" t="s">
        <v>1113</v>
      </c>
      <c r="I402">
        <v>5010000000</v>
      </c>
      <c r="J402" s="560">
        <v>67911</v>
      </c>
      <c r="K402" s="560">
        <f t="shared" si="13"/>
        <v>24</v>
      </c>
      <c r="L402" s="560">
        <f t="shared" si="14"/>
        <v>12</v>
      </c>
    </row>
    <row r="403" spans="1:19">
      <c r="B403" s="553">
        <v>44237</v>
      </c>
      <c r="C403" t="s">
        <v>1114</v>
      </c>
      <c r="D403" s="281">
        <v>4</v>
      </c>
      <c r="E403" t="s">
        <v>2027</v>
      </c>
      <c r="F403" t="s">
        <v>504</v>
      </c>
      <c r="G403" t="s">
        <v>777</v>
      </c>
      <c r="H403" t="s">
        <v>1113</v>
      </c>
      <c r="I403">
        <v>5010000000</v>
      </c>
      <c r="J403" s="560">
        <v>4000</v>
      </c>
      <c r="K403" s="560">
        <f t="shared" si="13"/>
        <v>24</v>
      </c>
      <c r="L403" s="560">
        <f t="shared" si="14"/>
        <v>11</v>
      </c>
    </row>
    <row r="404" spans="1:19">
      <c r="B404" s="553">
        <v>44237</v>
      </c>
      <c r="C404" t="s">
        <v>1114</v>
      </c>
      <c r="D404" s="281">
        <v>4</v>
      </c>
      <c r="E404" t="s">
        <v>2028</v>
      </c>
      <c r="F404" t="s">
        <v>528</v>
      </c>
      <c r="G404" t="s">
        <v>777</v>
      </c>
      <c r="H404" t="s">
        <v>1113</v>
      </c>
      <c r="I404">
        <v>5010301000</v>
      </c>
      <c r="J404" s="560">
        <v>8149.32</v>
      </c>
      <c r="K404" s="560">
        <f t="shared" si="13"/>
        <v>24</v>
      </c>
      <c r="L404" s="560">
        <f t="shared" si="14"/>
        <v>10</v>
      </c>
    </row>
    <row r="405" spans="1:19">
      <c r="B405" s="553">
        <v>44237</v>
      </c>
      <c r="C405" t="s">
        <v>1114</v>
      </c>
      <c r="D405" s="281">
        <v>4</v>
      </c>
      <c r="E405" t="s">
        <v>2029</v>
      </c>
      <c r="F405" t="s">
        <v>530</v>
      </c>
      <c r="G405" t="s">
        <v>777</v>
      </c>
      <c r="H405" t="s">
        <v>1113</v>
      </c>
      <c r="I405">
        <v>5010000000</v>
      </c>
      <c r="J405" s="560">
        <v>200</v>
      </c>
      <c r="K405" s="560">
        <f t="shared" si="13"/>
        <v>24</v>
      </c>
      <c r="L405" s="560">
        <f t="shared" si="14"/>
        <v>9</v>
      </c>
    </row>
    <row r="406" spans="1:19">
      <c r="B406" s="553">
        <v>44237</v>
      </c>
      <c r="C406" t="s">
        <v>1114</v>
      </c>
      <c r="D406" s="281">
        <v>4</v>
      </c>
      <c r="E406" t="s">
        <v>2030</v>
      </c>
      <c r="F406" t="s">
        <v>532</v>
      </c>
      <c r="G406" t="s">
        <v>777</v>
      </c>
      <c r="H406" t="s">
        <v>1113</v>
      </c>
      <c r="I406">
        <v>5010000000</v>
      </c>
      <c r="J406" s="560">
        <v>1018.67</v>
      </c>
      <c r="K406" s="560">
        <f t="shared" si="13"/>
        <v>24</v>
      </c>
      <c r="L406" s="560">
        <f t="shared" si="14"/>
        <v>8</v>
      </c>
    </row>
    <row r="407" spans="1:19">
      <c r="B407" s="553">
        <v>44237</v>
      </c>
      <c r="C407" t="s">
        <v>1114</v>
      </c>
      <c r="D407" s="281">
        <v>4</v>
      </c>
      <c r="E407" t="s">
        <v>2031</v>
      </c>
      <c r="F407" t="s">
        <v>534</v>
      </c>
      <c r="G407" t="s">
        <v>777</v>
      </c>
      <c r="H407" t="s">
        <v>1113</v>
      </c>
      <c r="I407">
        <v>5010000000</v>
      </c>
      <c r="J407" s="560">
        <v>200</v>
      </c>
      <c r="K407" s="560">
        <f t="shared" si="13"/>
        <v>24</v>
      </c>
      <c r="L407" s="560">
        <f t="shared" si="14"/>
        <v>7</v>
      </c>
    </row>
    <row r="408" spans="1:19">
      <c r="B408" s="553">
        <v>44237</v>
      </c>
      <c r="C408" t="s">
        <v>1114</v>
      </c>
      <c r="D408" s="281">
        <v>5</v>
      </c>
      <c r="E408" t="s">
        <v>2026</v>
      </c>
      <c r="F408" t="s">
        <v>499</v>
      </c>
      <c r="G408" t="s">
        <v>777</v>
      </c>
      <c r="H408" t="s">
        <v>1113</v>
      </c>
      <c r="I408">
        <v>5010000000</v>
      </c>
      <c r="J408" s="560">
        <v>149727</v>
      </c>
      <c r="K408" s="560">
        <f t="shared" si="13"/>
        <v>24</v>
      </c>
      <c r="L408" s="560">
        <f t="shared" si="14"/>
        <v>6</v>
      </c>
    </row>
    <row r="409" spans="1:19">
      <c r="B409" s="553">
        <v>44237</v>
      </c>
      <c r="C409" t="s">
        <v>1114</v>
      </c>
      <c r="D409" s="281">
        <v>5</v>
      </c>
      <c r="E409" t="s">
        <v>2027</v>
      </c>
      <c r="F409" t="s">
        <v>504</v>
      </c>
      <c r="G409" t="s">
        <v>777</v>
      </c>
      <c r="H409" t="s">
        <v>1113</v>
      </c>
      <c r="I409">
        <v>5010000000</v>
      </c>
      <c r="J409" s="560">
        <v>6000</v>
      </c>
      <c r="K409" s="560">
        <f t="shared" si="13"/>
        <v>24</v>
      </c>
      <c r="L409" s="560">
        <f t="shared" si="14"/>
        <v>5</v>
      </c>
    </row>
    <row r="410" spans="1:19">
      <c r="B410" s="553">
        <v>44237</v>
      </c>
      <c r="C410" t="s">
        <v>1114</v>
      </c>
      <c r="D410" s="281">
        <v>5</v>
      </c>
      <c r="E410" t="s">
        <v>2028</v>
      </c>
      <c r="F410" t="s">
        <v>528</v>
      </c>
      <c r="G410" t="s">
        <v>777</v>
      </c>
      <c r="H410" t="s">
        <v>1113</v>
      </c>
      <c r="I410">
        <v>5010301000</v>
      </c>
      <c r="J410" s="560">
        <v>17967.240000000002</v>
      </c>
      <c r="K410" s="560">
        <f t="shared" si="13"/>
        <v>24</v>
      </c>
      <c r="L410" s="560">
        <f t="shared" si="14"/>
        <v>4</v>
      </c>
    </row>
    <row r="411" spans="1:19">
      <c r="B411" s="553">
        <v>44237</v>
      </c>
      <c r="C411" t="s">
        <v>1114</v>
      </c>
      <c r="D411" s="281">
        <v>5</v>
      </c>
      <c r="E411" t="s">
        <v>2029</v>
      </c>
      <c r="F411" t="s">
        <v>530</v>
      </c>
      <c r="G411" t="s">
        <v>777</v>
      </c>
      <c r="H411" t="s">
        <v>1113</v>
      </c>
      <c r="I411">
        <v>5010000000</v>
      </c>
      <c r="J411" s="560">
        <v>300</v>
      </c>
      <c r="K411" s="560">
        <f t="shared" si="13"/>
        <v>24</v>
      </c>
      <c r="L411" s="560">
        <f t="shared" si="14"/>
        <v>3</v>
      </c>
    </row>
    <row r="412" spans="1:19">
      <c r="B412" s="553">
        <v>44237</v>
      </c>
      <c r="C412" t="s">
        <v>1114</v>
      </c>
      <c r="D412" s="281">
        <v>5</v>
      </c>
      <c r="E412" t="s">
        <v>2030</v>
      </c>
      <c r="F412" t="s">
        <v>532</v>
      </c>
      <c r="G412" t="s">
        <v>777</v>
      </c>
      <c r="H412" t="s">
        <v>1113</v>
      </c>
      <c r="I412">
        <v>5010000000</v>
      </c>
      <c r="J412" s="560">
        <v>2087.44</v>
      </c>
      <c r="K412" s="560">
        <f t="shared" si="13"/>
        <v>24</v>
      </c>
      <c r="L412" s="560">
        <f t="shared" si="14"/>
        <v>2</v>
      </c>
    </row>
    <row r="413" spans="1:19">
      <c r="A413" t="s">
        <v>2134</v>
      </c>
      <c r="B413" s="553">
        <v>44237</v>
      </c>
      <c r="C413" t="s">
        <v>1114</v>
      </c>
      <c r="D413" s="281">
        <v>5</v>
      </c>
      <c r="E413" t="s">
        <v>2031</v>
      </c>
      <c r="F413" t="s">
        <v>534</v>
      </c>
      <c r="G413" t="s">
        <v>777</v>
      </c>
      <c r="H413" t="s">
        <v>1113</v>
      </c>
      <c r="I413">
        <v>5010000000</v>
      </c>
      <c r="J413" s="560">
        <v>300</v>
      </c>
      <c r="K413" s="560">
        <f t="shared" si="13"/>
        <v>24</v>
      </c>
      <c r="L413" s="560">
        <f t="shared" si="14"/>
        <v>1</v>
      </c>
      <c r="M413" s="560" t="e">
        <f>SUMIFS('[1]MAIN-101'!$Z$1:$Z$3000,'[1]MAIN-101'!$X$1:$X$3000,S413)</f>
        <v>#VALUE!</v>
      </c>
      <c r="N413" s="560"/>
      <c r="O413" s="560"/>
      <c r="S413" t="str">
        <f>VLOOKUP(C413,'Recon of ORS and DV'!$A$4:$B$358,2,FALSE)</f>
        <v>0196</v>
      </c>
    </row>
    <row r="414" spans="1:19">
      <c r="B414" s="553">
        <v>44237</v>
      </c>
      <c r="C414" t="s">
        <v>1115</v>
      </c>
      <c r="D414" s="281">
        <v>1</v>
      </c>
      <c r="E414" t="s">
        <v>2026</v>
      </c>
      <c r="F414" t="s">
        <v>499</v>
      </c>
      <c r="G414" t="s">
        <v>765</v>
      </c>
      <c r="H414" t="s">
        <v>1113</v>
      </c>
      <c r="I414">
        <v>5010000000</v>
      </c>
      <c r="J414" s="560">
        <v>57452</v>
      </c>
      <c r="K414" s="560">
        <f t="shared" si="13"/>
        <v>24</v>
      </c>
      <c r="L414" s="560">
        <f t="shared" si="14"/>
        <v>24</v>
      </c>
    </row>
    <row r="415" spans="1:19">
      <c r="B415" s="553">
        <v>44237</v>
      </c>
      <c r="C415" t="s">
        <v>1115</v>
      </c>
      <c r="D415" s="281">
        <v>1</v>
      </c>
      <c r="E415" t="s">
        <v>2027</v>
      </c>
      <c r="F415" t="s">
        <v>504</v>
      </c>
      <c r="G415" t="s">
        <v>765</v>
      </c>
      <c r="H415" t="s">
        <v>1113</v>
      </c>
      <c r="I415">
        <v>5010000000</v>
      </c>
      <c r="J415" s="560">
        <v>4000</v>
      </c>
      <c r="K415" s="560">
        <f t="shared" si="13"/>
        <v>24</v>
      </c>
      <c r="L415" s="560">
        <f t="shared" si="14"/>
        <v>23</v>
      </c>
    </row>
    <row r="416" spans="1:19">
      <c r="B416" s="553">
        <v>44237</v>
      </c>
      <c r="C416" t="s">
        <v>1115</v>
      </c>
      <c r="D416" s="281">
        <v>1</v>
      </c>
      <c r="E416" t="s">
        <v>2028</v>
      </c>
      <c r="F416" t="s">
        <v>528</v>
      </c>
      <c r="G416" t="s">
        <v>765</v>
      </c>
      <c r="H416" t="s">
        <v>1113</v>
      </c>
      <c r="I416">
        <v>5010301000</v>
      </c>
      <c r="J416" s="560">
        <v>6894.24</v>
      </c>
      <c r="K416" s="560">
        <f t="shared" si="13"/>
        <v>24</v>
      </c>
      <c r="L416" s="560">
        <f t="shared" si="14"/>
        <v>22</v>
      </c>
    </row>
    <row r="417" spans="2:12">
      <c r="B417" s="553">
        <v>44237</v>
      </c>
      <c r="C417" t="s">
        <v>1115</v>
      </c>
      <c r="D417" s="281">
        <v>1</v>
      </c>
      <c r="E417" t="s">
        <v>2029</v>
      </c>
      <c r="F417" t="s">
        <v>530</v>
      </c>
      <c r="G417" t="s">
        <v>765</v>
      </c>
      <c r="H417" t="s">
        <v>1113</v>
      </c>
      <c r="I417">
        <v>5010000000</v>
      </c>
      <c r="J417" s="560">
        <v>200</v>
      </c>
      <c r="K417" s="560">
        <f t="shared" si="13"/>
        <v>24</v>
      </c>
      <c r="L417" s="560">
        <f t="shared" si="14"/>
        <v>21</v>
      </c>
    </row>
    <row r="418" spans="2:12">
      <c r="B418" s="553">
        <v>44237</v>
      </c>
      <c r="C418" t="s">
        <v>1115</v>
      </c>
      <c r="D418" s="281">
        <v>1</v>
      </c>
      <c r="E418" t="s">
        <v>2030</v>
      </c>
      <c r="F418" t="s">
        <v>532</v>
      </c>
      <c r="G418" t="s">
        <v>765</v>
      </c>
      <c r="H418" t="s">
        <v>1113</v>
      </c>
      <c r="I418">
        <v>5010000000</v>
      </c>
      <c r="J418" s="560">
        <v>861.79</v>
      </c>
      <c r="K418" s="560">
        <f t="shared" si="13"/>
        <v>24</v>
      </c>
      <c r="L418" s="560">
        <f t="shared" si="14"/>
        <v>20</v>
      </c>
    </row>
    <row r="419" spans="2:12">
      <c r="B419" s="553">
        <v>44237</v>
      </c>
      <c r="C419" t="s">
        <v>1115</v>
      </c>
      <c r="D419" s="281">
        <v>1</v>
      </c>
      <c r="E419" t="s">
        <v>2031</v>
      </c>
      <c r="F419" t="s">
        <v>534</v>
      </c>
      <c r="G419" t="s">
        <v>765</v>
      </c>
      <c r="H419" t="s">
        <v>1113</v>
      </c>
      <c r="I419">
        <v>5010000000</v>
      </c>
      <c r="J419" s="560">
        <v>200</v>
      </c>
      <c r="K419" s="560">
        <f t="shared" si="13"/>
        <v>24</v>
      </c>
      <c r="L419" s="560">
        <f t="shared" si="14"/>
        <v>19</v>
      </c>
    </row>
    <row r="420" spans="2:12">
      <c r="B420" s="553">
        <v>44237</v>
      </c>
      <c r="C420" t="s">
        <v>1115</v>
      </c>
      <c r="D420" s="281">
        <v>2</v>
      </c>
      <c r="E420" t="s">
        <v>2026</v>
      </c>
      <c r="F420" t="s">
        <v>499</v>
      </c>
      <c r="G420" t="s">
        <v>765</v>
      </c>
      <c r="H420" t="s">
        <v>1113</v>
      </c>
      <c r="I420">
        <v>5010000000</v>
      </c>
      <c r="J420" s="560">
        <v>111742</v>
      </c>
      <c r="K420" s="560">
        <f t="shared" si="13"/>
        <v>24</v>
      </c>
      <c r="L420" s="560">
        <f t="shared" si="14"/>
        <v>18</v>
      </c>
    </row>
    <row r="421" spans="2:12">
      <c r="B421" s="553">
        <v>44237</v>
      </c>
      <c r="C421" t="s">
        <v>1115</v>
      </c>
      <c r="D421" s="281">
        <v>2</v>
      </c>
      <c r="E421" t="s">
        <v>2027</v>
      </c>
      <c r="F421" t="s">
        <v>504</v>
      </c>
      <c r="G421" t="s">
        <v>765</v>
      </c>
      <c r="H421" t="s">
        <v>1113</v>
      </c>
      <c r="I421">
        <v>5010000000</v>
      </c>
      <c r="J421" s="560">
        <v>2000</v>
      </c>
      <c r="K421" s="560">
        <f t="shared" si="13"/>
        <v>24</v>
      </c>
      <c r="L421" s="560">
        <f t="shared" si="14"/>
        <v>17</v>
      </c>
    </row>
    <row r="422" spans="2:12">
      <c r="B422" s="553">
        <v>44237</v>
      </c>
      <c r="C422" t="s">
        <v>1115</v>
      </c>
      <c r="D422" s="281">
        <v>2</v>
      </c>
      <c r="E422" t="s">
        <v>2028</v>
      </c>
      <c r="F422" t="s">
        <v>528</v>
      </c>
      <c r="G422" t="s">
        <v>765</v>
      </c>
      <c r="H422" t="s">
        <v>1113</v>
      </c>
      <c r="I422">
        <v>5010301000</v>
      </c>
      <c r="J422" s="560">
        <v>13409.04</v>
      </c>
      <c r="K422" s="560">
        <f t="shared" si="13"/>
        <v>24</v>
      </c>
      <c r="L422" s="560">
        <f t="shared" si="14"/>
        <v>16</v>
      </c>
    </row>
    <row r="423" spans="2:12">
      <c r="B423" s="553">
        <v>44237</v>
      </c>
      <c r="C423" t="s">
        <v>1115</v>
      </c>
      <c r="D423" s="281">
        <v>2</v>
      </c>
      <c r="E423" t="s">
        <v>2029</v>
      </c>
      <c r="F423" t="s">
        <v>530</v>
      </c>
      <c r="G423" t="s">
        <v>765</v>
      </c>
      <c r="H423" t="s">
        <v>1113</v>
      </c>
      <c r="I423">
        <v>5010000000</v>
      </c>
      <c r="J423" s="560">
        <v>100</v>
      </c>
      <c r="K423" s="560">
        <f t="shared" si="13"/>
        <v>24</v>
      </c>
      <c r="L423" s="560">
        <f t="shared" si="14"/>
        <v>15</v>
      </c>
    </row>
    <row r="424" spans="2:12">
      <c r="B424" s="553">
        <v>44237</v>
      </c>
      <c r="C424" t="s">
        <v>1115</v>
      </c>
      <c r="D424" s="281">
        <v>2</v>
      </c>
      <c r="E424" t="s">
        <v>2030</v>
      </c>
      <c r="F424" t="s">
        <v>532</v>
      </c>
      <c r="G424" t="s">
        <v>765</v>
      </c>
      <c r="H424" t="s">
        <v>1113</v>
      </c>
      <c r="I424">
        <v>5010000000</v>
      </c>
      <c r="J424" s="560">
        <v>900</v>
      </c>
      <c r="K424" s="560">
        <f t="shared" si="13"/>
        <v>24</v>
      </c>
      <c r="L424" s="560">
        <f t="shared" si="14"/>
        <v>14</v>
      </c>
    </row>
    <row r="425" spans="2:12">
      <c r="B425" s="553">
        <v>44237</v>
      </c>
      <c r="C425" t="s">
        <v>1115</v>
      </c>
      <c r="D425" s="281">
        <v>2</v>
      </c>
      <c r="E425" t="s">
        <v>2031</v>
      </c>
      <c r="F425" t="s">
        <v>534</v>
      </c>
      <c r="G425" t="s">
        <v>765</v>
      </c>
      <c r="H425" t="s">
        <v>1113</v>
      </c>
      <c r="I425">
        <v>5010000000</v>
      </c>
      <c r="J425" s="560">
        <v>100</v>
      </c>
      <c r="K425" s="560">
        <f t="shared" si="13"/>
        <v>24</v>
      </c>
      <c r="L425" s="560">
        <f t="shared" si="14"/>
        <v>13</v>
      </c>
    </row>
    <row r="426" spans="2:12">
      <c r="B426" s="553">
        <v>44237</v>
      </c>
      <c r="C426" t="s">
        <v>1115</v>
      </c>
      <c r="D426" s="281">
        <v>3</v>
      </c>
      <c r="E426" t="s">
        <v>2026</v>
      </c>
      <c r="F426" t="s">
        <v>499</v>
      </c>
      <c r="G426" t="s">
        <v>765</v>
      </c>
      <c r="H426" t="s">
        <v>1113</v>
      </c>
      <c r="I426">
        <v>5010000000</v>
      </c>
      <c r="J426" s="560">
        <v>81329</v>
      </c>
      <c r="K426" s="560">
        <f t="shared" si="13"/>
        <v>24</v>
      </c>
      <c r="L426" s="560">
        <f t="shared" si="14"/>
        <v>12</v>
      </c>
    </row>
    <row r="427" spans="2:12">
      <c r="B427" s="553">
        <v>44237</v>
      </c>
      <c r="C427" t="s">
        <v>1115</v>
      </c>
      <c r="D427" s="281">
        <v>3</v>
      </c>
      <c r="E427" t="s">
        <v>2027</v>
      </c>
      <c r="F427" t="s">
        <v>504</v>
      </c>
      <c r="G427" t="s">
        <v>765</v>
      </c>
      <c r="H427" t="s">
        <v>1113</v>
      </c>
      <c r="I427">
        <v>5010000000</v>
      </c>
      <c r="J427" s="560">
        <v>6000</v>
      </c>
      <c r="K427" s="560">
        <f t="shared" si="13"/>
        <v>24</v>
      </c>
      <c r="L427" s="560">
        <f t="shared" si="14"/>
        <v>11</v>
      </c>
    </row>
    <row r="428" spans="2:12">
      <c r="B428" s="553">
        <v>44237</v>
      </c>
      <c r="C428" t="s">
        <v>1115</v>
      </c>
      <c r="D428" s="281">
        <v>3</v>
      </c>
      <c r="E428" t="s">
        <v>2028</v>
      </c>
      <c r="F428" t="s">
        <v>528</v>
      </c>
      <c r="G428" t="s">
        <v>765</v>
      </c>
      <c r="H428" t="s">
        <v>1113</v>
      </c>
      <c r="I428">
        <v>5010301000</v>
      </c>
      <c r="J428" s="560">
        <v>9759.48</v>
      </c>
      <c r="K428" s="560">
        <f t="shared" si="13"/>
        <v>24</v>
      </c>
      <c r="L428" s="560">
        <f t="shared" si="14"/>
        <v>10</v>
      </c>
    </row>
    <row r="429" spans="2:12">
      <c r="B429" s="553">
        <v>44237</v>
      </c>
      <c r="C429" t="s">
        <v>1115</v>
      </c>
      <c r="D429" s="281">
        <v>3</v>
      </c>
      <c r="E429" t="s">
        <v>2029</v>
      </c>
      <c r="F429" t="s">
        <v>530</v>
      </c>
      <c r="G429" t="s">
        <v>765</v>
      </c>
      <c r="H429" t="s">
        <v>1113</v>
      </c>
      <c r="I429">
        <v>5010000000</v>
      </c>
      <c r="J429" s="560">
        <v>300</v>
      </c>
      <c r="K429" s="560">
        <f t="shared" si="13"/>
        <v>24</v>
      </c>
      <c r="L429" s="560">
        <f t="shared" si="14"/>
        <v>9</v>
      </c>
    </row>
    <row r="430" spans="2:12">
      <c r="B430" s="553">
        <v>44237</v>
      </c>
      <c r="C430" t="s">
        <v>1115</v>
      </c>
      <c r="D430" s="281">
        <v>3</v>
      </c>
      <c r="E430" t="s">
        <v>2030</v>
      </c>
      <c r="F430" t="s">
        <v>532</v>
      </c>
      <c r="G430" t="s">
        <v>765</v>
      </c>
      <c r="H430" t="s">
        <v>1113</v>
      </c>
      <c r="I430">
        <v>5010000000</v>
      </c>
      <c r="J430" s="560">
        <v>1219.95</v>
      </c>
      <c r="K430" s="560">
        <f t="shared" si="13"/>
        <v>24</v>
      </c>
      <c r="L430" s="560">
        <f t="shared" si="14"/>
        <v>8</v>
      </c>
    </row>
    <row r="431" spans="2:12">
      <c r="B431" s="553">
        <v>44237</v>
      </c>
      <c r="C431" t="s">
        <v>1115</v>
      </c>
      <c r="D431" s="281">
        <v>3</v>
      </c>
      <c r="E431" t="s">
        <v>2031</v>
      </c>
      <c r="F431" t="s">
        <v>534</v>
      </c>
      <c r="G431" t="s">
        <v>765</v>
      </c>
      <c r="H431" t="s">
        <v>1113</v>
      </c>
      <c r="I431">
        <v>5010000000</v>
      </c>
      <c r="J431" s="560">
        <v>300</v>
      </c>
      <c r="K431" s="560">
        <f t="shared" si="13"/>
        <v>24</v>
      </c>
      <c r="L431" s="560">
        <f t="shared" si="14"/>
        <v>7</v>
      </c>
    </row>
    <row r="432" spans="2:12">
      <c r="B432" s="553">
        <v>44237</v>
      </c>
      <c r="C432" t="s">
        <v>1115</v>
      </c>
      <c r="D432" s="281">
        <v>4</v>
      </c>
      <c r="E432" t="s">
        <v>2026</v>
      </c>
      <c r="F432" t="s">
        <v>499</v>
      </c>
      <c r="G432" t="s">
        <v>765</v>
      </c>
      <c r="H432" t="s">
        <v>1113</v>
      </c>
      <c r="I432">
        <v>5010000000</v>
      </c>
      <c r="J432" s="560">
        <v>78017</v>
      </c>
      <c r="K432" s="560">
        <f t="shared" si="13"/>
        <v>24</v>
      </c>
      <c r="L432" s="560">
        <f t="shared" si="14"/>
        <v>6</v>
      </c>
    </row>
    <row r="433" spans="1:19">
      <c r="B433" s="553">
        <v>44237</v>
      </c>
      <c r="C433" t="s">
        <v>1115</v>
      </c>
      <c r="D433" s="281">
        <v>4</v>
      </c>
      <c r="E433" t="s">
        <v>2027</v>
      </c>
      <c r="F433" t="s">
        <v>504</v>
      </c>
      <c r="G433" t="s">
        <v>765</v>
      </c>
      <c r="H433" t="s">
        <v>1113</v>
      </c>
      <c r="I433">
        <v>5010000000</v>
      </c>
      <c r="J433" s="560">
        <v>4000</v>
      </c>
      <c r="K433" s="560">
        <f t="shared" si="13"/>
        <v>24</v>
      </c>
      <c r="L433" s="560">
        <f t="shared" si="14"/>
        <v>5</v>
      </c>
    </row>
    <row r="434" spans="1:19">
      <c r="B434" s="553">
        <v>44237</v>
      </c>
      <c r="C434" t="s">
        <v>1115</v>
      </c>
      <c r="D434" s="281">
        <v>4</v>
      </c>
      <c r="E434" t="s">
        <v>2028</v>
      </c>
      <c r="F434" t="s">
        <v>528</v>
      </c>
      <c r="G434" t="s">
        <v>765</v>
      </c>
      <c r="H434" t="s">
        <v>1113</v>
      </c>
      <c r="I434">
        <v>5010301000</v>
      </c>
      <c r="J434" s="560">
        <v>9362.0400000000009</v>
      </c>
      <c r="K434" s="560">
        <f t="shared" si="13"/>
        <v>24</v>
      </c>
      <c r="L434" s="560">
        <f t="shared" si="14"/>
        <v>4</v>
      </c>
    </row>
    <row r="435" spans="1:19">
      <c r="B435" s="553">
        <v>44237</v>
      </c>
      <c r="C435" t="s">
        <v>1115</v>
      </c>
      <c r="D435" s="281">
        <v>4</v>
      </c>
      <c r="E435" t="s">
        <v>2029</v>
      </c>
      <c r="F435" t="s">
        <v>530</v>
      </c>
      <c r="G435" t="s">
        <v>765</v>
      </c>
      <c r="H435" t="s">
        <v>1113</v>
      </c>
      <c r="I435">
        <v>5010000000</v>
      </c>
      <c r="J435" s="560">
        <v>200</v>
      </c>
      <c r="K435" s="560">
        <f t="shared" si="13"/>
        <v>24</v>
      </c>
      <c r="L435" s="560">
        <f t="shared" si="14"/>
        <v>3</v>
      </c>
    </row>
    <row r="436" spans="1:19">
      <c r="B436" s="553">
        <v>44237</v>
      </c>
      <c r="C436" t="s">
        <v>1115</v>
      </c>
      <c r="D436" s="281">
        <v>4</v>
      </c>
      <c r="E436" t="s">
        <v>2030</v>
      </c>
      <c r="F436" t="s">
        <v>532</v>
      </c>
      <c r="G436" t="s">
        <v>765</v>
      </c>
      <c r="H436" t="s">
        <v>1113</v>
      </c>
      <c r="I436">
        <v>5010000000</v>
      </c>
      <c r="J436" s="560">
        <v>1170.26</v>
      </c>
      <c r="K436" s="560">
        <f t="shared" si="13"/>
        <v>24</v>
      </c>
      <c r="L436" s="560">
        <f t="shared" si="14"/>
        <v>2</v>
      </c>
    </row>
    <row r="437" spans="1:19">
      <c r="A437" t="s">
        <v>2135</v>
      </c>
      <c r="B437" s="553">
        <v>44237</v>
      </c>
      <c r="C437" t="s">
        <v>1115</v>
      </c>
      <c r="D437" s="281">
        <v>4</v>
      </c>
      <c r="E437" t="s">
        <v>2031</v>
      </c>
      <c r="F437" t="s">
        <v>534</v>
      </c>
      <c r="G437" t="s">
        <v>765</v>
      </c>
      <c r="H437" t="s">
        <v>1113</v>
      </c>
      <c r="I437">
        <v>5010000000</v>
      </c>
      <c r="J437" s="560">
        <v>200</v>
      </c>
      <c r="K437" s="560">
        <f t="shared" si="13"/>
        <v>24</v>
      </c>
      <c r="L437" s="560">
        <f t="shared" si="14"/>
        <v>1</v>
      </c>
      <c r="M437" s="560" t="e">
        <f>SUMIFS('[1]MAIN-101'!$Z$1:$Z$3000,'[1]MAIN-101'!$X$1:$X$3000,S437)</f>
        <v>#VALUE!</v>
      </c>
      <c r="N437" s="560"/>
      <c r="O437" s="560"/>
      <c r="S437" t="str">
        <f>VLOOKUP(C437,'Recon of ORS and DV'!$A$4:$B$358,2,FALSE)</f>
        <v>0197</v>
      </c>
    </row>
    <row r="438" spans="1:19">
      <c r="B438" s="553">
        <v>44237</v>
      </c>
      <c r="C438" t="s">
        <v>1116</v>
      </c>
      <c r="D438" s="281">
        <v>1</v>
      </c>
      <c r="E438" t="s">
        <v>2026</v>
      </c>
      <c r="F438" t="s">
        <v>499</v>
      </c>
      <c r="G438" t="s">
        <v>847</v>
      </c>
      <c r="H438" t="s">
        <v>1117</v>
      </c>
      <c r="I438">
        <v>5010000000</v>
      </c>
      <c r="J438" s="560">
        <v>457.27</v>
      </c>
      <c r="K438" s="560">
        <f t="shared" si="13"/>
        <v>2</v>
      </c>
      <c r="L438" s="560">
        <f t="shared" si="14"/>
        <v>2</v>
      </c>
    </row>
    <row r="439" spans="1:19">
      <c r="A439" t="s">
        <v>2136</v>
      </c>
      <c r="B439" s="553">
        <v>44237</v>
      </c>
      <c r="C439" t="s">
        <v>1116</v>
      </c>
      <c r="D439" s="281">
        <v>1</v>
      </c>
      <c r="E439" t="s">
        <v>2028</v>
      </c>
      <c r="F439" t="s">
        <v>528</v>
      </c>
      <c r="G439" t="s">
        <v>847</v>
      </c>
      <c r="H439" t="s">
        <v>1117</v>
      </c>
      <c r="I439">
        <v>5010301000</v>
      </c>
      <c r="J439" s="560">
        <v>0</v>
      </c>
      <c r="K439" s="560">
        <f t="shared" si="13"/>
        <v>2</v>
      </c>
      <c r="L439" s="560">
        <f t="shared" si="14"/>
        <v>1</v>
      </c>
      <c r="M439" s="560" t="e">
        <f>SUMIFS('[1]MAIN-101'!$Z$1:$Z$3000,'[1]MAIN-101'!$X$1:$X$3000,S439)</f>
        <v>#VALUE!</v>
      </c>
      <c r="N439" s="560"/>
      <c r="O439" s="560"/>
      <c r="S439" t="str">
        <f>VLOOKUP(C439,'Recon of ORS and DV'!$A$4:$B$358,2,FALSE)</f>
        <v>0198</v>
      </c>
    </row>
    <row r="440" spans="1:19">
      <c r="B440" s="553">
        <v>44237</v>
      </c>
      <c r="C440" t="s">
        <v>1118</v>
      </c>
      <c r="D440" s="281">
        <v>1</v>
      </c>
      <c r="E440" t="s">
        <v>2026</v>
      </c>
      <c r="F440" t="s">
        <v>499</v>
      </c>
      <c r="G440" t="s">
        <v>1119</v>
      </c>
      <c r="H440" t="s">
        <v>1117</v>
      </c>
      <c r="I440">
        <v>5010000000</v>
      </c>
      <c r="J440" s="560">
        <v>258.18</v>
      </c>
      <c r="K440" s="560">
        <f t="shared" si="13"/>
        <v>2</v>
      </c>
      <c r="L440" s="560">
        <f t="shared" si="14"/>
        <v>2</v>
      </c>
    </row>
    <row r="441" spans="1:19">
      <c r="A441" t="s">
        <v>2137</v>
      </c>
      <c r="B441" s="553">
        <v>44237</v>
      </c>
      <c r="C441" t="s">
        <v>1118</v>
      </c>
      <c r="D441" s="281">
        <v>1</v>
      </c>
      <c r="E441" t="s">
        <v>2028</v>
      </c>
      <c r="F441" t="s">
        <v>528</v>
      </c>
      <c r="G441" t="s">
        <v>1119</v>
      </c>
      <c r="H441" t="s">
        <v>1117</v>
      </c>
      <c r="I441">
        <v>5010301000</v>
      </c>
      <c r="J441" s="560">
        <v>0</v>
      </c>
      <c r="K441" s="560">
        <f t="shared" si="13"/>
        <v>2</v>
      </c>
      <c r="L441" s="560">
        <f t="shared" si="14"/>
        <v>1</v>
      </c>
      <c r="M441" s="560" t="e">
        <f>SUMIFS('[1]MAIN-101'!$Z$1:$Z$3000,'[1]MAIN-101'!$X$1:$X$3000,S441)</f>
        <v>#VALUE!</v>
      </c>
      <c r="N441" s="560"/>
      <c r="O441" s="560"/>
      <c r="S441" t="str">
        <f>VLOOKUP(C441,'Recon of ORS and DV'!$A$4:$B$358,2,FALSE)</f>
        <v>0199</v>
      </c>
    </row>
    <row r="442" spans="1:19">
      <c r="B442" s="553">
        <v>44237</v>
      </c>
      <c r="C442" t="s">
        <v>1120</v>
      </c>
      <c r="D442" s="281">
        <v>1</v>
      </c>
      <c r="E442" t="s">
        <v>2026</v>
      </c>
      <c r="F442" t="s">
        <v>499</v>
      </c>
      <c r="G442" t="s">
        <v>833</v>
      </c>
      <c r="H442" t="s">
        <v>1121</v>
      </c>
      <c r="I442">
        <v>5010000000</v>
      </c>
      <c r="J442" s="560">
        <v>614.54999999999995</v>
      </c>
      <c r="K442" s="560">
        <f t="shared" si="13"/>
        <v>2</v>
      </c>
      <c r="L442" s="560">
        <f t="shared" si="14"/>
        <v>2</v>
      </c>
    </row>
    <row r="443" spans="1:19">
      <c r="A443" t="s">
        <v>2138</v>
      </c>
      <c r="B443" s="553">
        <v>44237</v>
      </c>
      <c r="C443" t="s">
        <v>1120</v>
      </c>
      <c r="D443" s="281">
        <v>1</v>
      </c>
      <c r="E443" t="s">
        <v>2028</v>
      </c>
      <c r="F443" t="s">
        <v>528</v>
      </c>
      <c r="G443" t="s">
        <v>833</v>
      </c>
      <c r="H443" t="s">
        <v>1121</v>
      </c>
      <c r="I443">
        <v>5010301000</v>
      </c>
      <c r="J443" s="560">
        <v>0</v>
      </c>
      <c r="K443" s="560">
        <f t="shared" si="13"/>
        <v>2</v>
      </c>
      <c r="L443" s="560">
        <f t="shared" si="14"/>
        <v>1</v>
      </c>
      <c r="M443" s="560" t="e">
        <f>SUMIFS('[1]MAIN-101'!$Z$1:$Z$3000,'[1]MAIN-101'!$X$1:$X$3000,S443)</f>
        <v>#VALUE!</v>
      </c>
      <c r="N443" s="560"/>
      <c r="O443" s="560"/>
      <c r="S443" t="str">
        <f>VLOOKUP(C443,'Recon of ORS and DV'!$A$4:$B$358,2,FALSE)</f>
        <v>0200</v>
      </c>
    </row>
    <row r="444" spans="1:19">
      <c r="B444" s="553">
        <v>44237</v>
      </c>
      <c r="C444" t="s">
        <v>1122</v>
      </c>
      <c r="D444" s="281">
        <v>1</v>
      </c>
      <c r="E444" t="s">
        <v>2026</v>
      </c>
      <c r="F444" t="s">
        <v>499</v>
      </c>
      <c r="G444" t="s">
        <v>1030</v>
      </c>
      <c r="H444" t="s">
        <v>1123</v>
      </c>
      <c r="I444">
        <v>5010000000</v>
      </c>
      <c r="J444" s="560">
        <v>93091.81</v>
      </c>
      <c r="K444" s="560">
        <f t="shared" si="13"/>
        <v>3</v>
      </c>
      <c r="L444" s="560">
        <f t="shared" si="14"/>
        <v>3</v>
      </c>
    </row>
    <row r="445" spans="1:19">
      <c r="B445" s="553">
        <v>44237</v>
      </c>
      <c r="C445" t="s">
        <v>1122</v>
      </c>
      <c r="D445" s="281">
        <v>1</v>
      </c>
      <c r="E445" t="s">
        <v>2028</v>
      </c>
      <c r="F445" t="s">
        <v>528</v>
      </c>
      <c r="G445" t="s">
        <v>1030</v>
      </c>
      <c r="H445" t="s">
        <v>1123</v>
      </c>
      <c r="I445">
        <v>5010301000</v>
      </c>
      <c r="J445" s="560">
        <v>11098.96</v>
      </c>
      <c r="K445" s="560">
        <f t="shared" si="13"/>
        <v>3</v>
      </c>
      <c r="L445" s="560">
        <f t="shared" si="14"/>
        <v>2</v>
      </c>
    </row>
    <row r="446" spans="1:19">
      <c r="A446" t="s">
        <v>2139</v>
      </c>
      <c r="B446" s="553">
        <v>44237</v>
      </c>
      <c r="C446" t="s">
        <v>1122</v>
      </c>
      <c r="D446" s="281">
        <v>1</v>
      </c>
      <c r="E446" t="s">
        <v>2030</v>
      </c>
      <c r="F446" t="s">
        <v>532</v>
      </c>
      <c r="G446" t="s">
        <v>1030</v>
      </c>
      <c r="H446" t="s">
        <v>1123</v>
      </c>
      <c r="I446">
        <v>5010000000</v>
      </c>
      <c r="J446" s="560">
        <v>858.77</v>
      </c>
      <c r="K446" s="560">
        <f t="shared" si="13"/>
        <v>3</v>
      </c>
      <c r="L446" s="560">
        <f t="shared" si="14"/>
        <v>1</v>
      </c>
      <c r="M446" s="560" t="e">
        <f>SUMIFS('[1]MAIN-101'!$Z$1:$Z$3000,'[1]MAIN-101'!$X$1:$X$3000,S446)</f>
        <v>#VALUE!</v>
      </c>
      <c r="N446" s="560"/>
      <c r="O446" s="560"/>
      <c r="S446" t="str">
        <f>VLOOKUP(C446,'Recon of ORS and DV'!$A$4:$B$358,2,FALSE)</f>
        <v>0201</v>
      </c>
    </row>
    <row r="447" spans="1:19">
      <c r="B447" s="553">
        <v>44237</v>
      </c>
      <c r="C447" t="s">
        <v>1124</v>
      </c>
      <c r="D447" s="281">
        <v>13</v>
      </c>
      <c r="E447" t="s">
        <v>2036</v>
      </c>
      <c r="F447" t="s">
        <v>501</v>
      </c>
      <c r="G447" t="s">
        <v>872</v>
      </c>
      <c r="H447" t="s">
        <v>1125</v>
      </c>
      <c r="I447" t="s">
        <v>2036</v>
      </c>
      <c r="J447" s="560">
        <v>33575</v>
      </c>
      <c r="K447" s="560">
        <f t="shared" si="13"/>
        <v>6</v>
      </c>
      <c r="L447" s="560">
        <f t="shared" si="14"/>
        <v>6</v>
      </c>
    </row>
    <row r="448" spans="1:19">
      <c r="B448" s="553">
        <v>44237</v>
      </c>
      <c r="C448" t="s">
        <v>1124</v>
      </c>
      <c r="D448" s="281">
        <v>13</v>
      </c>
      <c r="E448" t="s">
        <v>2027</v>
      </c>
      <c r="F448" t="s">
        <v>504</v>
      </c>
      <c r="G448" t="s">
        <v>872</v>
      </c>
      <c r="H448" t="s">
        <v>1125</v>
      </c>
      <c r="I448" t="s">
        <v>2036</v>
      </c>
      <c r="J448" s="560">
        <v>2000</v>
      </c>
      <c r="K448" s="560">
        <f t="shared" si="13"/>
        <v>6</v>
      </c>
      <c r="L448" s="560">
        <f t="shared" si="14"/>
        <v>5</v>
      </c>
    </row>
    <row r="449" spans="1:19">
      <c r="B449" s="553">
        <v>44237</v>
      </c>
      <c r="C449" t="s">
        <v>1124</v>
      </c>
      <c r="D449" s="281">
        <v>13</v>
      </c>
      <c r="E449" t="s">
        <v>2028</v>
      </c>
      <c r="F449" t="s">
        <v>528</v>
      </c>
      <c r="G449" t="s">
        <v>872</v>
      </c>
      <c r="H449" t="s">
        <v>1125</v>
      </c>
      <c r="I449" t="s">
        <v>2036</v>
      </c>
      <c r="J449" s="560">
        <v>4029</v>
      </c>
      <c r="K449" s="560">
        <f t="shared" si="13"/>
        <v>6</v>
      </c>
      <c r="L449" s="560">
        <f t="shared" si="14"/>
        <v>4</v>
      </c>
    </row>
    <row r="450" spans="1:19">
      <c r="B450" s="553">
        <v>44237</v>
      </c>
      <c r="C450" t="s">
        <v>1124</v>
      </c>
      <c r="D450" s="281">
        <v>13</v>
      </c>
      <c r="E450" t="s">
        <v>2029</v>
      </c>
      <c r="F450" t="s">
        <v>530</v>
      </c>
      <c r="G450" t="s">
        <v>872</v>
      </c>
      <c r="H450" t="s">
        <v>1125</v>
      </c>
      <c r="I450" t="s">
        <v>2036</v>
      </c>
      <c r="J450" s="560">
        <v>100</v>
      </c>
      <c r="K450" s="560">
        <f t="shared" si="13"/>
        <v>6</v>
      </c>
      <c r="L450" s="560">
        <f t="shared" si="14"/>
        <v>3</v>
      </c>
    </row>
    <row r="451" spans="1:19">
      <c r="B451" s="553">
        <v>44237</v>
      </c>
      <c r="C451" t="s">
        <v>1124</v>
      </c>
      <c r="D451" s="281">
        <v>13</v>
      </c>
      <c r="E451" t="s">
        <v>2030</v>
      </c>
      <c r="F451" t="s">
        <v>532</v>
      </c>
      <c r="G451" t="s">
        <v>872</v>
      </c>
      <c r="H451" t="s">
        <v>1125</v>
      </c>
      <c r="I451" t="s">
        <v>2036</v>
      </c>
      <c r="J451" s="560">
        <v>503.63</v>
      </c>
      <c r="K451" s="560">
        <f t="shared" si="13"/>
        <v>6</v>
      </c>
      <c r="L451" s="560">
        <f t="shared" si="14"/>
        <v>2</v>
      </c>
    </row>
    <row r="452" spans="1:19">
      <c r="A452" t="s">
        <v>2140</v>
      </c>
      <c r="B452" s="553">
        <v>44237</v>
      </c>
      <c r="C452" t="s">
        <v>1124</v>
      </c>
      <c r="D452" s="281">
        <v>13</v>
      </c>
      <c r="E452" t="s">
        <v>2031</v>
      </c>
      <c r="F452" t="s">
        <v>534</v>
      </c>
      <c r="G452" t="s">
        <v>872</v>
      </c>
      <c r="H452" t="s">
        <v>1125</v>
      </c>
      <c r="I452" t="s">
        <v>2036</v>
      </c>
      <c r="J452" s="560">
        <v>100</v>
      </c>
      <c r="K452" s="560">
        <f t="shared" ref="K452:K515" si="15">COUNTIFS($C$3:$C$1556,C452)</f>
        <v>6</v>
      </c>
      <c r="L452" s="560">
        <f t="shared" si="14"/>
        <v>1</v>
      </c>
      <c r="M452" s="560" t="e">
        <f>SUMIFS('[1]MAIN-101'!$Z$1:$Z$3000,'[1]MAIN-101'!$X$1:$X$3000,S452)</f>
        <v>#VALUE!</v>
      </c>
      <c r="N452" s="560"/>
      <c r="O452" s="560"/>
      <c r="S452" t="str">
        <f>VLOOKUP(C452,'Recon of ORS and DV'!$A$4:$B$358,2,FALSE)</f>
        <v>0202</v>
      </c>
    </row>
    <row r="453" spans="1:19">
      <c r="B453" s="553">
        <v>44237</v>
      </c>
      <c r="C453" t="s">
        <v>1126</v>
      </c>
      <c r="D453" s="281">
        <v>13</v>
      </c>
      <c r="E453" t="s">
        <v>2036</v>
      </c>
      <c r="F453" t="s">
        <v>501</v>
      </c>
      <c r="G453" t="s">
        <v>863</v>
      </c>
      <c r="H453" t="s">
        <v>1125</v>
      </c>
      <c r="I453" t="s">
        <v>2036</v>
      </c>
      <c r="J453" s="560">
        <v>43681</v>
      </c>
      <c r="K453" s="560">
        <f t="shared" si="15"/>
        <v>6</v>
      </c>
      <c r="L453" s="560">
        <f t="shared" si="14"/>
        <v>6</v>
      </c>
    </row>
    <row r="454" spans="1:19">
      <c r="B454" s="553">
        <v>44237</v>
      </c>
      <c r="C454" t="s">
        <v>1126</v>
      </c>
      <c r="D454" s="281">
        <v>13</v>
      </c>
      <c r="E454" t="s">
        <v>2027</v>
      </c>
      <c r="F454" t="s">
        <v>504</v>
      </c>
      <c r="G454" t="s">
        <v>863</v>
      </c>
      <c r="H454" t="s">
        <v>1125</v>
      </c>
      <c r="I454" t="s">
        <v>2036</v>
      </c>
      <c r="J454" s="560">
        <v>2000</v>
      </c>
      <c r="K454" s="560">
        <f t="shared" si="15"/>
        <v>6</v>
      </c>
      <c r="L454" s="560">
        <f t="shared" si="14"/>
        <v>5</v>
      </c>
    </row>
    <row r="455" spans="1:19">
      <c r="B455" s="553">
        <v>44237</v>
      </c>
      <c r="C455" t="s">
        <v>1126</v>
      </c>
      <c r="D455" s="281">
        <v>13</v>
      </c>
      <c r="E455" t="s">
        <v>2028</v>
      </c>
      <c r="F455" t="s">
        <v>528</v>
      </c>
      <c r="G455" t="s">
        <v>863</v>
      </c>
      <c r="H455" t="s">
        <v>1125</v>
      </c>
      <c r="I455" t="s">
        <v>2036</v>
      </c>
      <c r="J455" s="560">
        <v>5241.72</v>
      </c>
      <c r="K455" s="560">
        <f t="shared" si="15"/>
        <v>6</v>
      </c>
      <c r="L455" s="560">
        <f t="shared" si="14"/>
        <v>4</v>
      </c>
    </row>
    <row r="456" spans="1:19">
      <c r="B456" s="553">
        <v>44237</v>
      </c>
      <c r="C456" t="s">
        <v>1126</v>
      </c>
      <c r="D456" s="281">
        <v>13</v>
      </c>
      <c r="E456" t="s">
        <v>2029</v>
      </c>
      <c r="F456" t="s">
        <v>530</v>
      </c>
      <c r="G456" t="s">
        <v>863</v>
      </c>
      <c r="H456" t="s">
        <v>1125</v>
      </c>
      <c r="I456" t="s">
        <v>2036</v>
      </c>
      <c r="J456" s="560">
        <v>100</v>
      </c>
      <c r="K456" s="560">
        <f t="shared" si="15"/>
        <v>6</v>
      </c>
      <c r="L456" s="560">
        <f t="shared" si="14"/>
        <v>3</v>
      </c>
    </row>
    <row r="457" spans="1:19">
      <c r="B457" s="553">
        <v>44237</v>
      </c>
      <c r="C457" t="s">
        <v>1126</v>
      </c>
      <c r="D457" s="281">
        <v>13</v>
      </c>
      <c r="E457" t="s">
        <v>2030</v>
      </c>
      <c r="F457" t="s">
        <v>532</v>
      </c>
      <c r="G457" t="s">
        <v>863</v>
      </c>
      <c r="H457" t="s">
        <v>1125</v>
      </c>
      <c r="I457" t="s">
        <v>2036</v>
      </c>
      <c r="J457" s="560">
        <v>655.21</v>
      </c>
      <c r="K457" s="560">
        <f t="shared" si="15"/>
        <v>6</v>
      </c>
      <c r="L457" s="560">
        <f t="shared" si="14"/>
        <v>2</v>
      </c>
    </row>
    <row r="458" spans="1:19">
      <c r="A458" t="s">
        <v>2141</v>
      </c>
      <c r="B458" s="553">
        <v>44237</v>
      </c>
      <c r="C458" t="s">
        <v>1126</v>
      </c>
      <c r="D458" s="281">
        <v>13</v>
      </c>
      <c r="E458" t="s">
        <v>2031</v>
      </c>
      <c r="F458" t="s">
        <v>534</v>
      </c>
      <c r="G458" t="s">
        <v>863</v>
      </c>
      <c r="H458" t="s">
        <v>1125</v>
      </c>
      <c r="I458" t="s">
        <v>2036</v>
      </c>
      <c r="J458" s="560">
        <v>100</v>
      </c>
      <c r="K458" s="560">
        <f t="shared" si="15"/>
        <v>6</v>
      </c>
      <c r="L458" s="560">
        <f t="shared" si="14"/>
        <v>1</v>
      </c>
      <c r="M458" s="560" t="e">
        <f>SUMIFS('[1]MAIN-101'!$Z$1:$Z$3000,'[1]MAIN-101'!$X$1:$X$3000,S458)</f>
        <v>#VALUE!</v>
      </c>
      <c r="N458" s="560"/>
      <c r="O458" s="560"/>
      <c r="S458" t="str">
        <f>VLOOKUP(C458,'Recon of ORS and DV'!$A$4:$B$358,2,FALSE)</f>
        <v>0203</v>
      </c>
    </row>
    <row r="459" spans="1:19">
      <c r="A459">
        <v>0</v>
      </c>
      <c r="B459" s="553">
        <v>44237</v>
      </c>
      <c r="C459" t="s">
        <v>1127</v>
      </c>
      <c r="D459" s="281">
        <v>1</v>
      </c>
      <c r="E459" t="s">
        <v>2008</v>
      </c>
      <c r="F459" t="s">
        <v>653</v>
      </c>
      <c r="G459" t="s">
        <v>1128</v>
      </c>
      <c r="H459" t="s">
        <v>1129</v>
      </c>
      <c r="I459">
        <v>5020000000</v>
      </c>
      <c r="J459" s="560">
        <v>0</v>
      </c>
      <c r="K459" s="560">
        <f t="shared" si="15"/>
        <v>1</v>
      </c>
      <c r="L459" s="560">
        <f t="shared" si="14"/>
        <v>1</v>
      </c>
      <c r="M459" s="560" t="e">
        <f>SUMIFS('[1]MAIN-101'!$Z$1:$Z$3000,'[1]MAIN-101'!$X$1:$X$3000,S459)</f>
        <v>#VALUE!</v>
      </c>
      <c r="N459" s="560"/>
      <c r="O459" s="560"/>
      <c r="S459">
        <f>VLOOKUP(C459,'Recon of ORS and DV'!$A$4:$B$358,2,FALSE)</f>
        <v>0</v>
      </c>
    </row>
    <row r="460" spans="1:19">
      <c r="A460" t="s">
        <v>2142</v>
      </c>
      <c r="B460" s="553">
        <v>44237</v>
      </c>
      <c r="C460" t="s">
        <v>1130</v>
      </c>
      <c r="D460" s="281">
        <v>1</v>
      </c>
      <c r="E460" t="s">
        <v>2020</v>
      </c>
      <c r="F460" t="s">
        <v>607</v>
      </c>
      <c r="G460" t="s">
        <v>1131</v>
      </c>
      <c r="H460" t="s">
        <v>1132</v>
      </c>
      <c r="I460">
        <v>5020000000</v>
      </c>
      <c r="J460" s="560">
        <v>25000</v>
      </c>
      <c r="K460" s="560">
        <f t="shared" si="15"/>
        <v>1</v>
      </c>
      <c r="L460" s="560">
        <f t="shared" si="14"/>
        <v>1</v>
      </c>
      <c r="M460" s="560" t="e">
        <f>SUMIFS('[1]MAIN-101'!$Z$1:$Z$3000,'[1]MAIN-101'!$X$1:$X$3000,S460)</f>
        <v>#VALUE!</v>
      </c>
      <c r="N460" s="560"/>
      <c r="O460" s="560"/>
      <c r="S460" t="str">
        <f>VLOOKUP(C460,'Recon of ORS and DV'!$A$4:$B$358,2,FALSE)</f>
        <v>0238</v>
      </c>
    </row>
    <row r="461" spans="1:19">
      <c r="A461" t="s">
        <v>2143</v>
      </c>
      <c r="B461" s="553">
        <v>44237</v>
      </c>
      <c r="C461" t="s">
        <v>1133</v>
      </c>
      <c r="D461" s="281">
        <v>2</v>
      </c>
      <c r="E461" t="s">
        <v>2035</v>
      </c>
      <c r="F461" t="s">
        <v>596</v>
      </c>
      <c r="G461" t="s">
        <v>1134</v>
      </c>
      <c r="H461" t="s">
        <v>1135</v>
      </c>
      <c r="I461">
        <v>5020000000</v>
      </c>
      <c r="J461" s="560">
        <v>1990</v>
      </c>
      <c r="K461" s="560">
        <f t="shared" si="15"/>
        <v>1</v>
      </c>
      <c r="L461" s="560">
        <f t="shared" si="14"/>
        <v>1</v>
      </c>
      <c r="M461" s="560" t="e">
        <f>SUMIFS('[1]MAIN-101'!$Z$1:$Z$3000,'[1]MAIN-101'!$X$1:$X$3000,S461)</f>
        <v>#VALUE!</v>
      </c>
      <c r="N461" s="560"/>
      <c r="O461" s="560"/>
      <c r="S461" t="str">
        <f>VLOOKUP(C461,'Recon of ORS and DV'!$A$4:$B$358,2,FALSE)</f>
        <v>0239</v>
      </c>
    </row>
    <row r="462" spans="1:19">
      <c r="A462" t="s">
        <v>2144</v>
      </c>
      <c r="B462" s="553">
        <v>44237</v>
      </c>
      <c r="C462" t="s">
        <v>1136</v>
      </c>
      <c r="D462" s="281">
        <v>2</v>
      </c>
      <c r="E462" t="s">
        <v>2000</v>
      </c>
      <c r="F462" t="s">
        <v>683</v>
      </c>
      <c r="G462" t="s">
        <v>779</v>
      </c>
      <c r="H462" t="s">
        <v>1137</v>
      </c>
      <c r="I462">
        <v>5020000000</v>
      </c>
      <c r="J462" s="560">
        <v>170501.47</v>
      </c>
      <c r="K462" s="560">
        <f t="shared" si="15"/>
        <v>1</v>
      </c>
      <c r="L462" s="560">
        <f t="shared" si="14"/>
        <v>1</v>
      </c>
      <c r="M462" s="560" t="e">
        <f>SUMIFS('[1]MAIN-101'!$Z$1:$Z$3000,'[1]MAIN-101'!$X$1:$X$3000,S462)</f>
        <v>#VALUE!</v>
      </c>
      <c r="N462" s="560"/>
      <c r="O462" s="560"/>
      <c r="S462" t="str">
        <f>VLOOKUP(C462,'Recon of ORS and DV'!$A$4:$B$358,2,FALSE)</f>
        <v>0224</v>
      </c>
    </row>
    <row r="463" spans="1:19">
      <c r="B463" s="553">
        <v>44237</v>
      </c>
      <c r="C463" t="s">
        <v>1138</v>
      </c>
      <c r="D463" s="281">
        <v>11</v>
      </c>
      <c r="E463" t="s">
        <v>2037</v>
      </c>
      <c r="F463" t="s">
        <v>555</v>
      </c>
      <c r="G463" t="s">
        <v>818</v>
      </c>
      <c r="H463" t="s">
        <v>1139</v>
      </c>
      <c r="I463">
        <v>5020000000</v>
      </c>
      <c r="J463" s="560">
        <v>0</v>
      </c>
      <c r="K463" s="560">
        <f t="shared" si="15"/>
        <v>4</v>
      </c>
      <c r="L463" s="560">
        <f t="shared" ref="L463:L526" si="16">COUNTIFS(C463:C2016,C463)</f>
        <v>4</v>
      </c>
    </row>
    <row r="464" spans="1:19">
      <c r="B464" s="553">
        <v>44237</v>
      </c>
      <c r="C464" t="s">
        <v>1138</v>
      </c>
      <c r="D464" s="281">
        <v>11</v>
      </c>
      <c r="E464" t="s">
        <v>2039</v>
      </c>
      <c r="F464" t="s">
        <v>560</v>
      </c>
      <c r="G464" t="s">
        <v>818</v>
      </c>
      <c r="H464" t="s">
        <v>1139</v>
      </c>
      <c r="I464">
        <v>5020000000</v>
      </c>
      <c r="J464" s="560">
        <v>0</v>
      </c>
      <c r="K464" s="560">
        <f t="shared" si="15"/>
        <v>4</v>
      </c>
      <c r="L464" s="560">
        <f t="shared" si="16"/>
        <v>3</v>
      </c>
    </row>
    <row r="465" spans="1:19">
      <c r="B465" s="553">
        <v>44237</v>
      </c>
      <c r="C465" t="s">
        <v>1138</v>
      </c>
      <c r="D465" s="281">
        <v>11</v>
      </c>
      <c r="E465" t="s">
        <v>2002</v>
      </c>
      <c r="F465" t="s">
        <v>603</v>
      </c>
      <c r="G465" t="s">
        <v>818</v>
      </c>
      <c r="H465" t="s">
        <v>1139</v>
      </c>
      <c r="I465">
        <v>5020000000</v>
      </c>
      <c r="J465" s="560">
        <v>0</v>
      </c>
      <c r="K465" s="560">
        <f t="shared" si="15"/>
        <v>4</v>
      </c>
      <c r="L465" s="560">
        <f t="shared" si="16"/>
        <v>2</v>
      </c>
    </row>
    <row r="466" spans="1:19">
      <c r="A466" t="s">
        <v>2145</v>
      </c>
      <c r="B466" s="553">
        <v>44237</v>
      </c>
      <c r="C466" t="s">
        <v>1138</v>
      </c>
      <c r="D466" s="281">
        <v>11</v>
      </c>
      <c r="E466" t="s">
        <v>1998</v>
      </c>
      <c r="F466" t="s">
        <v>633</v>
      </c>
      <c r="G466" t="s">
        <v>818</v>
      </c>
      <c r="H466" t="s">
        <v>1139</v>
      </c>
      <c r="I466">
        <v>5020000000</v>
      </c>
      <c r="J466" s="560">
        <v>0</v>
      </c>
      <c r="K466" s="560">
        <f t="shared" si="15"/>
        <v>4</v>
      </c>
      <c r="L466" s="560">
        <f t="shared" si="16"/>
        <v>1</v>
      </c>
      <c r="M466" s="560" t="e">
        <f>SUMIFS('[1]MAIN-101'!$Z$1:$Z$3000,'[1]MAIN-101'!$X$1:$X$3000,S466)</f>
        <v>#VALUE!</v>
      </c>
      <c r="N466" s="560"/>
      <c r="O466" s="560"/>
      <c r="S466" t="str">
        <f>VLOOKUP(C466,'Recon of ORS and DV'!$A$4:$B$358,2,FALSE)</f>
        <v>0218</v>
      </c>
    </row>
    <row r="467" spans="1:19">
      <c r="B467" s="553">
        <v>44237</v>
      </c>
      <c r="C467" t="s">
        <v>1140</v>
      </c>
      <c r="D467" s="281">
        <v>11</v>
      </c>
      <c r="E467" t="s">
        <v>2037</v>
      </c>
      <c r="F467" t="s">
        <v>555</v>
      </c>
      <c r="G467" t="s">
        <v>820</v>
      </c>
      <c r="H467" t="s">
        <v>1139</v>
      </c>
      <c r="I467">
        <v>5020000000</v>
      </c>
      <c r="J467" s="560">
        <v>57498</v>
      </c>
      <c r="K467" s="560">
        <f t="shared" si="15"/>
        <v>4</v>
      </c>
      <c r="L467" s="560">
        <f t="shared" si="16"/>
        <v>4</v>
      </c>
    </row>
    <row r="468" spans="1:19">
      <c r="B468" s="553">
        <v>44237</v>
      </c>
      <c r="C468" t="s">
        <v>1140</v>
      </c>
      <c r="D468" s="281">
        <v>11</v>
      </c>
      <c r="E468" t="s">
        <v>2039</v>
      </c>
      <c r="F468" t="s">
        <v>560</v>
      </c>
      <c r="G468" t="s">
        <v>820</v>
      </c>
      <c r="H468" t="s">
        <v>1139</v>
      </c>
      <c r="I468">
        <v>5020000000</v>
      </c>
      <c r="J468" s="560">
        <v>525004</v>
      </c>
      <c r="K468" s="560">
        <f t="shared" si="15"/>
        <v>4</v>
      </c>
      <c r="L468" s="560">
        <f t="shared" si="16"/>
        <v>3</v>
      </c>
    </row>
    <row r="469" spans="1:19">
      <c r="B469" s="553">
        <v>44237</v>
      </c>
      <c r="C469" t="s">
        <v>1140</v>
      </c>
      <c r="D469" s="281">
        <v>11</v>
      </c>
      <c r="E469" t="s">
        <v>2002</v>
      </c>
      <c r="F469" t="s">
        <v>603</v>
      </c>
      <c r="G469" t="s">
        <v>820</v>
      </c>
      <c r="H469" t="s">
        <v>1139</v>
      </c>
      <c r="I469">
        <v>5020000000</v>
      </c>
      <c r="J469" s="560">
        <v>19166</v>
      </c>
      <c r="K469" s="560">
        <f t="shared" si="15"/>
        <v>4</v>
      </c>
      <c r="L469" s="560">
        <f t="shared" si="16"/>
        <v>2</v>
      </c>
    </row>
    <row r="470" spans="1:19">
      <c r="A470" t="s">
        <v>2146</v>
      </c>
      <c r="B470" s="553">
        <v>44237</v>
      </c>
      <c r="C470" t="s">
        <v>1140</v>
      </c>
      <c r="D470" s="281">
        <v>11</v>
      </c>
      <c r="E470" t="s">
        <v>1998</v>
      </c>
      <c r="F470" t="s">
        <v>633</v>
      </c>
      <c r="G470" t="s">
        <v>820</v>
      </c>
      <c r="H470" t="s">
        <v>1139</v>
      </c>
      <c r="I470">
        <v>5020000000</v>
      </c>
      <c r="J470" s="560">
        <v>38332</v>
      </c>
      <c r="K470" s="560">
        <f t="shared" si="15"/>
        <v>4</v>
      </c>
      <c r="L470" s="560">
        <f t="shared" si="16"/>
        <v>1</v>
      </c>
      <c r="M470" s="560" t="e">
        <f>SUMIFS('[1]MAIN-101'!$Z$1:$Z$3000,'[1]MAIN-101'!$X$1:$X$3000,S470)</f>
        <v>#VALUE!</v>
      </c>
      <c r="N470" s="560"/>
      <c r="O470" s="560"/>
      <c r="S470" t="str">
        <f>VLOOKUP(C470,'Recon of ORS and DV'!$A$4:$B$358,2,FALSE)</f>
        <v>0219</v>
      </c>
    </row>
    <row r="471" spans="1:19">
      <c r="B471" s="553">
        <v>44237</v>
      </c>
      <c r="C471" t="s">
        <v>1141</v>
      </c>
      <c r="D471" s="281">
        <v>11</v>
      </c>
      <c r="E471" t="s">
        <v>2037</v>
      </c>
      <c r="F471" t="s">
        <v>555</v>
      </c>
      <c r="G471" t="s">
        <v>821</v>
      </c>
      <c r="H471" t="s">
        <v>1139</v>
      </c>
      <c r="I471">
        <v>5020000000</v>
      </c>
      <c r="J471" s="560">
        <v>0</v>
      </c>
      <c r="K471" s="560">
        <f t="shared" si="15"/>
        <v>4</v>
      </c>
      <c r="L471" s="560">
        <f t="shared" si="16"/>
        <v>4</v>
      </c>
    </row>
    <row r="472" spans="1:19">
      <c r="B472" s="553">
        <v>44237</v>
      </c>
      <c r="C472" t="s">
        <v>1141</v>
      </c>
      <c r="D472" s="281">
        <v>11</v>
      </c>
      <c r="E472" t="s">
        <v>2039</v>
      </c>
      <c r="F472" t="s">
        <v>560</v>
      </c>
      <c r="G472" t="s">
        <v>821</v>
      </c>
      <c r="H472" t="s">
        <v>1139</v>
      </c>
      <c r="I472">
        <v>5020000000</v>
      </c>
      <c r="J472" s="560">
        <v>0</v>
      </c>
      <c r="K472" s="560">
        <f t="shared" si="15"/>
        <v>4</v>
      </c>
      <c r="L472" s="560">
        <f t="shared" si="16"/>
        <v>3</v>
      </c>
    </row>
    <row r="473" spans="1:19">
      <c r="B473" s="553">
        <v>44237</v>
      </c>
      <c r="C473" t="s">
        <v>1141</v>
      </c>
      <c r="D473" s="281">
        <v>11</v>
      </c>
      <c r="E473" t="s">
        <v>2002</v>
      </c>
      <c r="F473" t="s">
        <v>603</v>
      </c>
      <c r="G473" t="s">
        <v>821</v>
      </c>
      <c r="H473" t="s">
        <v>1139</v>
      </c>
      <c r="I473">
        <v>5020000000</v>
      </c>
      <c r="J473" s="560">
        <v>0</v>
      </c>
      <c r="K473" s="560">
        <f t="shared" si="15"/>
        <v>4</v>
      </c>
      <c r="L473" s="560">
        <f t="shared" si="16"/>
        <v>2</v>
      </c>
    </row>
    <row r="474" spans="1:19">
      <c r="A474" t="s">
        <v>2147</v>
      </c>
      <c r="B474" s="553">
        <v>44237</v>
      </c>
      <c r="C474" t="s">
        <v>1141</v>
      </c>
      <c r="D474" s="281">
        <v>11</v>
      </c>
      <c r="E474" t="s">
        <v>1998</v>
      </c>
      <c r="F474" t="s">
        <v>633</v>
      </c>
      <c r="G474" t="s">
        <v>821</v>
      </c>
      <c r="H474" t="s">
        <v>1139</v>
      </c>
      <c r="I474">
        <v>5020000000</v>
      </c>
      <c r="J474" s="560">
        <v>0</v>
      </c>
      <c r="K474" s="560">
        <f t="shared" si="15"/>
        <v>4</v>
      </c>
      <c r="L474" s="560">
        <f t="shared" si="16"/>
        <v>1</v>
      </c>
      <c r="M474" s="560" t="e">
        <f>SUMIFS('[1]MAIN-101'!$Z$1:$Z$3000,'[1]MAIN-101'!$X$1:$X$3000,S474)</f>
        <v>#VALUE!</v>
      </c>
      <c r="N474" s="560"/>
      <c r="O474" s="560"/>
      <c r="S474" t="str">
        <f>VLOOKUP(C474,'Recon of ORS and DV'!$A$4:$B$358,2,FALSE)</f>
        <v>0220</v>
      </c>
    </row>
    <row r="475" spans="1:19">
      <c r="B475" s="553">
        <v>44237</v>
      </c>
      <c r="C475" t="s">
        <v>1142</v>
      </c>
      <c r="D475" s="281">
        <v>11</v>
      </c>
      <c r="E475" t="s">
        <v>2037</v>
      </c>
      <c r="F475" t="s">
        <v>555</v>
      </c>
      <c r="G475" t="s">
        <v>822</v>
      </c>
      <c r="H475" t="s">
        <v>1139</v>
      </c>
      <c r="I475">
        <v>5020000000</v>
      </c>
      <c r="J475" s="560">
        <v>0</v>
      </c>
      <c r="K475" s="560">
        <f t="shared" si="15"/>
        <v>4</v>
      </c>
      <c r="L475" s="560">
        <f t="shared" si="16"/>
        <v>4</v>
      </c>
    </row>
    <row r="476" spans="1:19">
      <c r="B476" s="553">
        <v>44237</v>
      </c>
      <c r="C476" t="s">
        <v>1142</v>
      </c>
      <c r="D476" s="281">
        <v>11</v>
      </c>
      <c r="E476" t="s">
        <v>2039</v>
      </c>
      <c r="F476" t="s">
        <v>560</v>
      </c>
      <c r="G476" t="s">
        <v>822</v>
      </c>
      <c r="H476" t="s">
        <v>1139</v>
      </c>
      <c r="I476">
        <v>5020000000</v>
      </c>
      <c r="J476" s="560">
        <v>0</v>
      </c>
      <c r="K476" s="560">
        <f t="shared" si="15"/>
        <v>4</v>
      </c>
      <c r="L476" s="560">
        <f t="shared" si="16"/>
        <v>3</v>
      </c>
    </row>
    <row r="477" spans="1:19">
      <c r="B477" s="553">
        <v>44237</v>
      </c>
      <c r="C477" t="s">
        <v>1142</v>
      </c>
      <c r="D477" s="281">
        <v>11</v>
      </c>
      <c r="E477" t="s">
        <v>2002</v>
      </c>
      <c r="F477" t="s">
        <v>603</v>
      </c>
      <c r="G477" t="s">
        <v>822</v>
      </c>
      <c r="H477" t="s">
        <v>1139</v>
      </c>
      <c r="I477">
        <v>5020000000</v>
      </c>
      <c r="J477" s="560">
        <v>0</v>
      </c>
      <c r="K477" s="560">
        <f t="shared" si="15"/>
        <v>4</v>
      </c>
      <c r="L477" s="560">
        <f t="shared" si="16"/>
        <v>2</v>
      </c>
    </row>
    <row r="478" spans="1:19">
      <c r="A478" t="s">
        <v>2148</v>
      </c>
      <c r="B478" s="553">
        <v>44237</v>
      </c>
      <c r="C478" t="s">
        <v>1142</v>
      </c>
      <c r="D478" s="281">
        <v>11</v>
      </c>
      <c r="E478" t="s">
        <v>1998</v>
      </c>
      <c r="F478" t="s">
        <v>633</v>
      </c>
      <c r="G478" t="s">
        <v>822</v>
      </c>
      <c r="H478" t="s">
        <v>1139</v>
      </c>
      <c r="I478">
        <v>5020000000</v>
      </c>
      <c r="J478" s="560">
        <v>0</v>
      </c>
      <c r="K478" s="560">
        <f t="shared" si="15"/>
        <v>4</v>
      </c>
      <c r="L478" s="560">
        <f t="shared" si="16"/>
        <v>1</v>
      </c>
      <c r="M478" s="560" t="e">
        <f>SUMIFS('[1]MAIN-101'!$Z$1:$Z$3000,'[1]MAIN-101'!$X$1:$X$3000,S478)</f>
        <v>#VALUE!</v>
      </c>
      <c r="N478" s="560"/>
      <c r="O478" s="560"/>
      <c r="S478" t="str">
        <f>VLOOKUP(C478,'Recon of ORS and DV'!$A$4:$B$358,2,FALSE)</f>
        <v>0221</v>
      </c>
    </row>
    <row r="479" spans="1:19">
      <c r="B479" s="553">
        <v>44237</v>
      </c>
      <c r="C479" t="s">
        <v>1143</v>
      </c>
      <c r="D479" s="281">
        <v>11</v>
      </c>
      <c r="E479" t="s">
        <v>2037</v>
      </c>
      <c r="F479" t="s">
        <v>555</v>
      </c>
      <c r="G479" t="s">
        <v>823</v>
      </c>
      <c r="H479" t="s">
        <v>1139</v>
      </c>
      <c r="I479">
        <v>5020000000</v>
      </c>
      <c r="J479" s="560">
        <v>0</v>
      </c>
      <c r="K479" s="560">
        <f t="shared" si="15"/>
        <v>4</v>
      </c>
      <c r="L479" s="560">
        <f t="shared" si="16"/>
        <v>4</v>
      </c>
    </row>
    <row r="480" spans="1:19">
      <c r="B480" s="553">
        <v>44237</v>
      </c>
      <c r="C480" t="s">
        <v>1143</v>
      </c>
      <c r="D480" s="281">
        <v>11</v>
      </c>
      <c r="E480" t="s">
        <v>2039</v>
      </c>
      <c r="F480" t="s">
        <v>560</v>
      </c>
      <c r="G480" t="s">
        <v>823</v>
      </c>
      <c r="H480" t="s">
        <v>1139</v>
      </c>
      <c r="I480">
        <v>5020000000</v>
      </c>
      <c r="J480" s="560">
        <v>0</v>
      </c>
      <c r="K480" s="560">
        <f t="shared" si="15"/>
        <v>4</v>
      </c>
      <c r="L480" s="560">
        <f t="shared" si="16"/>
        <v>3</v>
      </c>
    </row>
    <row r="481" spans="1:19">
      <c r="B481" s="553">
        <v>44237</v>
      </c>
      <c r="C481" t="s">
        <v>1143</v>
      </c>
      <c r="D481" s="281">
        <v>11</v>
      </c>
      <c r="E481" t="s">
        <v>2002</v>
      </c>
      <c r="F481" t="s">
        <v>603</v>
      </c>
      <c r="G481" t="s">
        <v>823</v>
      </c>
      <c r="H481" t="s">
        <v>1139</v>
      </c>
      <c r="I481">
        <v>5020000000</v>
      </c>
      <c r="J481" s="560">
        <v>0</v>
      </c>
      <c r="K481" s="560">
        <f t="shared" si="15"/>
        <v>4</v>
      </c>
      <c r="L481" s="560">
        <f t="shared" si="16"/>
        <v>2</v>
      </c>
    </row>
    <row r="482" spans="1:19">
      <c r="A482" t="s">
        <v>2149</v>
      </c>
      <c r="B482" s="553">
        <v>44237</v>
      </c>
      <c r="C482" t="s">
        <v>1143</v>
      </c>
      <c r="D482" s="281">
        <v>11</v>
      </c>
      <c r="E482" t="s">
        <v>1998</v>
      </c>
      <c r="F482" t="s">
        <v>633</v>
      </c>
      <c r="G482" t="s">
        <v>823</v>
      </c>
      <c r="H482" t="s">
        <v>1139</v>
      </c>
      <c r="I482">
        <v>5020000000</v>
      </c>
      <c r="J482" s="560">
        <v>0</v>
      </c>
      <c r="K482" s="560">
        <f t="shared" si="15"/>
        <v>4</v>
      </c>
      <c r="L482" s="560">
        <f t="shared" si="16"/>
        <v>1</v>
      </c>
      <c r="M482" s="560" t="e">
        <f>SUMIFS('[1]MAIN-101'!$Z$1:$Z$3000,'[1]MAIN-101'!$X$1:$X$3000,S482)</f>
        <v>#VALUE!</v>
      </c>
      <c r="N482" s="560"/>
      <c r="O482" s="560"/>
      <c r="S482" t="str">
        <f>VLOOKUP(C482,'Recon of ORS and DV'!$A$4:$B$358,2,FALSE)</f>
        <v>0222</v>
      </c>
    </row>
    <row r="483" spans="1:19">
      <c r="B483" s="553">
        <v>44237</v>
      </c>
      <c r="C483" t="s">
        <v>1144</v>
      </c>
      <c r="D483" s="281">
        <v>10</v>
      </c>
      <c r="E483" t="s">
        <v>2037</v>
      </c>
      <c r="F483" t="s">
        <v>555</v>
      </c>
      <c r="G483" t="s">
        <v>818</v>
      </c>
      <c r="H483" t="s">
        <v>1145</v>
      </c>
      <c r="I483">
        <v>5020000000</v>
      </c>
      <c r="J483" s="560">
        <v>0</v>
      </c>
      <c r="K483" s="560">
        <f t="shared" si="15"/>
        <v>4</v>
      </c>
      <c r="L483" s="560">
        <f t="shared" si="16"/>
        <v>4</v>
      </c>
    </row>
    <row r="484" spans="1:19">
      <c r="B484" s="553">
        <v>44237</v>
      </c>
      <c r="C484" t="s">
        <v>1144</v>
      </c>
      <c r="D484" s="281">
        <v>10</v>
      </c>
      <c r="E484" t="s">
        <v>2039</v>
      </c>
      <c r="F484" t="s">
        <v>560</v>
      </c>
      <c r="G484" t="s">
        <v>818</v>
      </c>
      <c r="H484" t="s">
        <v>1145</v>
      </c>
      <c r="I484">
        <v>5020000000</v>
      </c>
      <c r="J484" s="560">
        <v>0</v>
      </c>
      <c r="K484" s="560">
        <f t="shared" si="15"/>
        <v>4</v>
      </c>
      <c r="L484" s="560">
        <f t="shared" si="16"/>
        <v>3</v>
      </c>
    </row>
    <row r="485" spans="1:19">
      <c r="B485" s="553">
        <v>44237</v>
      </c>
      <c r="C485" t="s">
        <v>1144</v>
      </c>
      <c r="D485" s="281">
        <v>10</v>
      </c>
      <c r="E485" t="s">
        <v>2002</v>
      </c>
      <c r="F485" t="s">
        <v>603</v>
      </c>
      <c r="G485" t="s">
        <v>818</v>
      </c>
      <c r="H485" t="s">
        <v>1145</v>
      </c>
      <c r="I485">
        <v>5020000000</v>
      </c>
      <c r="J485" s="560">
        <v>0</v>
      </c>
      <c r="K485" s="560">
        <f t="shared" si="15"/>
        <v>4</v>
      </c>
      <c r="L485" s="560">
        <f t="shared" si="16"/>
        <v>2</v>
      </c>
    </row>
    <row r="486" spans="1:19">
      <c r="A486">
        <v>0</v>
      </c>
      <c r="B486" s="553">
        <v>44237</v>
      </c>
      <c r="C486" t="s">
        <v>1144</v>
      </c>
      <c r="D486" s="281">
        <v>10</v>
      </c>
      <c r="E486" t="s">
        <v>1998</v>
      </c>
      <c r="F486" t="s">
        <v>633</v>
      </c>
      <c r="G486" t="s">
        <v>818</v>
      </c>
      <c r="H486" t="s">
        <v>1145</v>
      </c>
      <c r="I486">
        <v>5020000000</v>
      </c>
      <c r="J486" s="560">
        <v>0</v>
      </c>
      <c r="K486" s="560">
        <f t="shared" si="15"/>
        <v>4</v>
      </c>
      <c r="L486" s="560">
        <f t="shared" si="16"/>
        <v>1</v>
      </c>
      <c r="M486" s="560" t="e">
        <f>SUMIFS('[1]MAIN-101'!$Z$1:$Z$3000,'[1]MAIN-101'!$X$1:$X$3000,S486)</f>
        <v>#VALUE!</v>
      </c>
      <c r="N486" s="560"/>
      <c r="O486" s="560"/>
      <c r="S486">
        <f>VLOOKUP(C486,'Recon of ORS and DV'!$A$4:$B$358,2,FALSE)</f>
        <v>0</v>
      </c>
    </row>
    <row r="487" spans="1:19">
      <c r="B487" s="553">
        <v>44237</v>
      </c>
      <c r="C487" t="s">
        <v>1146</v>
      </c>
      <c r="D487" s="281">
        <v>10</v>
      </c>
      <c r="E487" t="s">
        <v>2037</v>
      </c>
      <c r="F487" t="s">
        <v>555</v>
      </c>
      <c r="G487" t="s">
        <v>820</v>
      </c>
      <c r="H487" t="s">
        <v>1145</v>
      </c>
      <c r="I487">
        <v>5020000000</v>
      </c>
      <c r="J487" s="560">
        <v>0</v>
      </c>
      <c r="K487" s="560">
        <f t="shared" si="15"/>
        <v>4</v>
      </c>
      <c r="L487" s="560">
        <f t="shared" si="16"/>
        <v>4</v>
      </c>
    </row>
    <row r="488" spans="1:19">
      <c r="B488" s="553">
        <v>44237</v>
      </c>
      <c r="C488" t="s">
        <v>1146</v>
      </c>
      <c r="D488" s="281">
        <v>10</v>
      </c>
      <c r="E488" t="s">
        <v>2039</v>
      </c>
      <c r="F488" t="s">
        <v>560</v>
      </c>
      <c r="G488" t="s">
        <v>820</v>
      </c>
      <c r="H488" t="s">
        <v>1145</v>
      </c>
      <c r="I488">
        <v>5020000000</v>
      </c>
      <c r="J488" s="560">
        <v>0</v>
      </c>
      <c r="K488" s="560">
        <f t="shared" si="15"/>
        <v>4</v>
      </c>
      <c r="L488" s="560">
        <f t="shared" si="16"/>
        <v>3</v>
      </c>
    </row>
    <row r="489" spans="1:19">
      <c r="B489" s="553">
        <v>44237</v>
      </c>
      <c r="C489" t="s">
        <v>1146</v>
      </c>
      <c r="D489" s="281">
        <v>10</v>
      </c>
      <c r="E489" t="s">
        <v>2002</v>
      </c>
      <c r="F489" t="s">
        <v>603</v>
      </c>
      <c r="G489" t="s">
        <v>820</v>
      </c>
      <c r="H489" t="s">
        <v>1145</v>
      </c>
      <c r="I489">
        <v>5020000000</v>
      </c>
      <c r="J489" s="560">
        <v>0</v>
      </c>
      <c r="K489" s="560">
        <f t="shared" si="15"/>
        <v>4</v>
      </c>
      <c r="L489" s="560">
        <f t="shared" si="16"/>
        <v>2</v>
      </c>
    </row>
    <row r="490" spans="1:19">
      <c r="A490">
        <v>0</v>
      </c>
      <c r="B490" s="553">
        <v>44237</v>
      </c>
      <c r="C490" t="s">
        <v>1146</v>
      </c>
      <c r="D490" s="281">
        <v>10</v>
      </c>
      <c r="E490" t="s">
        <v>1998</v>
      </c>
      <c r="F490" t="s">
        <v>633</v>
      </c>
      <c r="G490" t="s">
        <v>820</v>
      </c>
      <c r="H490" t="s">
        <v>1145</v>
      </c>
      <c r="I490">
        <v>5020000000</v>
      </c>
      <c r="J490" s="560">
        <v>0</v>
      </c>
      <c r="K490" s="560">
        <f t="shared" si="15"/>
        <v>4</v>
      </c>
      <c r="L490" s="560">
        <f t="shared" si="16"/>
        <v>1</v>
      </c>
      <c r="M490" s="560" t="e">
        <f>SUMIFS('[1]MAIN-101'!$Z$1:$Z$3000,'[1]MAIN-101'!$X$1:$X$3000,S490)</f>
        <v>#VALUE!</v>
      </c>
      <c r="N490" s="560"/>
      <c r="O490" s="560"/>
      <c r="S490">
        <f>VLOOKUP(C490,'Recon of ORS and DV'!$A$4:$B$358,2,FALSE)</f>
        <v>0</v>
      </c>
    </row>
    <row r="491" spans="1:19">
      <c r="B491" s="553">
        <v>44237</v>
      </c>
      <c r="C491" t="s">
        <v>1147</v>
      </c>
      <c r="D491" s="281">
        <v>10</v>
      </c>
      <c r="E491" t="s">
        <v>2037</v>
      </c>
      <c r="F491" t="s">
        <v>555</v>
      </c>
      <c r="G491" t="s">
        <v>821</v>
      </c>
      <c r="H491" t="s">
        <v>1145</v>
      </c>
      <c r="I491">
        <v>5020000000</v>
      </c>
      <c r="J491" s="560">
        <v>25000</v>
      </c>
      <c r="K491" s="560">
        <f t="shared" si="15"/>
        <v>4</v>
      </c>
      <c r="L491" s="560">
        <f t="shared" si="16"/>
        <v>4</v>
      </c>
    </row>
    <row r="492" spans="1:19">
      <c r="B492" s="553">
        <v>44237</v>
      </c>
      <c r="C492" t="s">
        <v>1147</v>
      </c>
      <c r="D492" s="281">
        <v>10</v>
      </c>
      <c r="E492" t="s">
        <v>2039</v>
      </c>
      <c r="F492" t="s">
        <v>560</v>
      </c>
      <c r="G492" t="s">
        <v>821</v>
      </c>
      <c r="H492" t="s">
        <v>1145</v>
      </c>
      <c r="I492">
        <v>5020000000</v>
      </c>
      <c r="J492" s="560">
        <v>40000</v>
      </c>
      <c r="K492" s="560">
        <f t="shared" si="15"/>
        <v>4</v>
      </c>
      <c r="L492" s="560">
        <f t="shared" si="16"/>
        <v>3</v>
      </c>
    </row>
    <row r="493" spans="1:19">
      <c r="B493" s="553">
        <v>44237</v>
      </c>
      <c r="C493" t="s">
        <v>1147</v>
      </c>
      <c r="D493" s="281">
        <v>10</v>
      </c>
      <c r="E493" t="s">
        <v>2002</v>
      </c>
      <c r="F493" t="s">
        <v>603</v>
      </c>
      <c r="G493" t="s">
        <v>821</v>
      </c>
      <c r="H493" t="s">
        <v>1145</v>
      </c>
      <c r="I493">
        <v>5020000000</v>
      </c>
      <c r="J493" s="560">
        <v>5000</v>
      </c>
      <c r="K493" s="560">
        <f t="shared" si="15"/>
        <v>4</v>
      </c>
      <c r="L493" s="560">
        <f t="shared" si="16"/>
        <v>2</v>
      </c>
    </row>
    <row r="494" spans="1:19">
      <c r="A494" t="s">
        <v>2150</v>
      </c>
      <c r="B494" s="553">
        <v>44237</v>
      </c>
      <c r="C494" t="s">
        <v>1147</v>
      </c>
      <c r="D494" s="281">
        <v>10</v>
      </c>
      <c r="E494" t="s">
        <v>1998</v>
      </c>
      <c r="F494" t="s">
        <v>633</v>
      </c>
      <c r="G494" t="s">
        <v>821</v>
      </c>
      <c r="H494" t="s">
        <v>1145</v>
      </c>
      <c r="I494">
        <v>5020000000</v>
      </c>
      <c r="J494" s="560">
        <v>10335.709999999999</v>
      </c>
      <c r="K494" s="560">
        <f t="shared" si="15"/>
        <v>4</v>
      </c>
      <c r="L494" s="560">
        <f t="shared" si="16"/>
        <v>1</v>
      </c>
      <c r="M494" s="560" t="e">
        <f>SUMIFS('[1]MAIN-101'!$Z$1:$Z$3000,'[1]MAIN-101'!$X$1:$X$3000,S494)</f>
        <v>#VALUE!</v>
      </c>
      <c r="N494" s="560"/>
      <c r="O494" s="560"/>
      <c r="S494" t="str">
        <f>VLOOKUP(C494,'Recon of ORS and DV'!$A$4:$B$358,2,FALSE)</f>
        <v>0245</v>
      </c>
    </row>
    <row r="495" spans="1:19">
      <c r="B495" s="553">
        <v>44237</v>
      </c>
      <c r="C495" t="s">
        <v>1148</v>
      </c>
      <c r="D495" s="281">
        <v>10</v>
      </c>
      <c r="E495" t="s">
        <v>2037</v>
      </c>
      <c r="F495" t="s">
        <v>555</v>
      </c>
      <c r="G495" t="s">
        <v>822</v>
      </c>
      <c r="H495" t="s">
        <v>1145</v>
      </c>
      <c r="I495">
        <v>5020000000</v>
      </c>
      <c r="J495" s="560">
        <v>0</v>
      </c>
      <c r="K495" s="560">
        <f t="shared" si="15"/>
        <v>4</v>
      </c>
      <c r="L495" s="560">
        <f t="shared" si="16"/>
        <v>4</v>
      </c>
    </row>
    <row r="496" spans="1:19">
      <c r="B496" s="553">
        <v>44237</v>
      </c>
      <c r="C496" t="s">
        <v>1148</v>
      </c>
      <c r="D496" s="281">
        <v>10</v>
      </c>
      <c r="E496" t="s">
        <v>2039</v>
      </c>
      <c r="F496" t="s">
        <v>560</v>
      </c>
      <c r="G496" t="s">
        <v>822</v>
      </c>
      <c r="H496" t="s">
        <v>1145</v>
      </c>
      <c r="I496">
        <v>5020000000</v>
      </c>
      <c r="J496" s="560">
        <v>0</v>
      </c>
      <c r="K496" s="560">
        <f t="shared" si="15"/>
        <v>4</v>
      </c>
      <c r="L496" s="560">
        <f t="shared" si="16"/>
        <v>3</v>
      </c>
    </row>
    <row r="497" spans="1:19">
      <c r="B497" s="553">
        <v>44237</v>
      </c>
      <c r="C497" t="s">
        <v>1148</v>
      </c>
      <c r="D497" s="281">
        <v>10</v>
      </c>
      <c r="E497" t="s">
        <v>2002</v>
      </c>
      <c r="F497" t="s">
        <v>603</v>
      </c>
      <c r="G497" t="s">
        <v>822</v>
      </c>
      <c r="H497" t="s">
        <v>1145</v>
      </c>
      <c r="I497">
        <v>5020000000</v>
      </c>
      <c r="J497" s="560">
        <v>0</v>
      </c>
      <c r="K497" s="560">
        <f t="shared" si="15"/>
        <v>4</v>
      </c>
      <c r="L497" s="560">
        <f t="shared" si="16"/>
        <v>2</v>
      </c>
    </row>
    <row r="498" spans="1:19">
      <c r="A498">
        <v>0</v>
      </c>
      <c r="B498" s="553">
        <v>44237</v>
      </c>
      <c r="C498" t="s">
        <v>1148</v>
      </c>
      <c r="D498" s="281">
        <v>10</v>
      </c>
      <c r="E498" t="s">
        <v>1998</v>
      </c>
      <c r="F498" t="s">
        <v>633</v>
      </c>
      <c r="G498" t="s">
        <v>822</v>
      </c>
      <c r="H498" t="s">
        <v>1145</v>
      </c>
      <c r="I498">
        <v>5020000000</v>
      </c>
      <c r="J498" s="560">
        <v>0</v>
      </c>
      <c r="K498" s="560">
        <f t="shared" si="15"/>
        <v>4</v>
      </c>
      <c r="L498" s="560">
        <f t="shared" si="16"/>
        <v>1</v>
      </c>
      <c r="M498" s="560" t="e">
        <f>SUMIFS('[1]MAIN-101'!$Z$1:$Z$3000,'[1]MAIN-101'!$X$1:$X$3000,S498)</f>
        <v>#VALUE!</v>
      </c>
      <c r="N498" s="560"/>
      <c r="O498" s="560"/>
      <c r="S498">
        <f>VLOOKUP(C498,'Recon of ORS and DV'!$A$4:$B$358,2,FALSE)</f>
        <v>0</v>
      </c>
    </row>
    <row r="499" spans="1:19">
      <c r="B499" s="553">
        <v>44237</v>
      </c>
      <c r="C499" t="s">
        <v>1149</v>
      </c>
      <c r="D499" s="281">
        <v>10</v>
      </c>
      <c r="E499" t="s">
        <v>2037</v>
      </c>
      <c r="F499" t="s">
        <v>555</v>
      </c>
      <c r="G499" t="s">
        <v>823</v>
      </c>
      <c r="H499" t="s">
        <v>1145</v>
      </c>
      <c r="I499">
        <v>5020000000</v>
      </c>
      <c r="J499" s="560">
        <v>0</v>
      </c>
      <c r="K499" s="560">
        <f t="shared" si="15"/>
        <v>4</v>
      </c>
      <c r="L499" s="560">
        <f t="shared" si="16"/>
        <v>4</v>
      </c>
    </row>
    <row r="500" spans="1:19">
      <c r="B500" s="553">
        <v>44237</v>
      </c>
      <c r="C500" t="s">
        <v>1149</v>
      </c>
      <c r="D500" s="281">
        <v>10</v>
      </c>
      <c r="E500" t="s">
        <v>2039</v>
      </c>
      <c r="F500" t="s">
        <v>560</v>
      </c>
      <c r="G500" t="s">
        <v>823</v>
      </c>
      <c r="H500" t="s">
        <v>1145</v>
      </c>
      <c r="I500">
        <v>5020000000</v>
      </c>
      <c r="J500" s="560">
        <v>0</v>
      </c>
      <c r="K500" s="560">
        <f t="shared" si="15"/>
        <v>4</v>
      </c>
      <c r="L500" s="560">
        <f t="shared" si="16"/>
        <v>3</v>
      </c>
    </row>
    <row r="501" spans="1:19">
      <c r="B501" s="553">
        <v>44237</v>
      </c>
      <c r="C501" t="s">
        <v>1149</v>
      </c>
      <c r="D501" s="281">
        <v>10</v>
      </c>
      <c r="E501" t="s">
        <v>2002</v>
      </c>
      <c r="F501" t="s">
        <v>603</v>
      </c>
      <c r="G501" t="s">
        <v>823</v>
      </c>
      <c r="H501" t="s">
        <v>1145</v>
      </c>
      <c r="I501">
        <v>5020000000</v>
      </c>
      <c r="J501" s="560">
        <v>0</v>
      </c>
      <c r="K501" s="560">
        <f t="shared" si="15"/>
        <v>4</v>
      </c>
      <c r="L501" s="560">
        <f t="shared" si="16"/>
        <v>2</v>
      </c>
    </row>
    <row r="502" spans="1:19">
      <c r="A502">
        <v>0</v>
      </c>
      <c r="B502" s="553">
        <v>44237</v>
      </c>
      <c r="C502" t="s">
        <v>1149</v>
      </c>
      <c r="D502" s="281">
        <v>10</v>
      </c>
      <c r="E502" t="s">
        <v>1998</v>
      </c>
      <c r="F502" t="s">
        <v>633</v>
      </c>
      <c r="G502" t="s">
        <v>823</v>
      </c>
      <c r="H502" t="s">
        <v>1145</v>
      </c>
      <c r="I502">
        <v>5020000000</v>
      </c>
      <c r="J502" s="560">
        <v>0</v>
      </c>
      <c r="K502" s="560">
        <f t="shared" si="15"/>
        <v>4</v>
      </c>
      <c r="L502" s="560">
        <f t="shared" si="16"/>
        <v>1</v>
      </c>
      <c r="M502" s="560" t="e">
        <f>SUMIFS('[1]MAIN-101'!$Z$1:$Z$3000,'[1]MAIN-101'!$X$1:$X$3000,S502)</f>
        <v>#VALUE!</v>
      </c>
      <c r="N502" s="560"/>
      <c r="O502" s="560"/>
      <c r="S502">
        <f>VLOOKUP(C502,'Recon of ORS and DV'!$A$4:$B$358,2,FALSE)</f>
        <v>0</v>
      </c>
    </row>
    <row r="503" spans="1:19">
      <c r="B503" s="553">
        <v>44237</v>
      </c>
      <c r="C503" t="s">
        <v>1151</v>
      </c>
      <c r="D503" s="281">
        <v>12</v>
      </c>
      <c r="E503" t="s">
        <v>2037</v>
      </c>
      <c r="F503" t="s">
        <v>555</v>
      </c>
      <c r="G503" t="s">
        <v>818</v>
      </c>
      <c r="H503" t="s">
        <v>1150</v>
      </c>
      <c r="I503" t="s">
        <v>2037</v>
      </c>
      <c r="J503" s="560">
        <v>0</v>
      </c>
      <c r="K503" s="560">
        <f t="shared" si="15"/>
        <v>6</v>
      </c>
      <c r="L503" s="560">
        <f t="shared" si="16"/>
        <v>6</v>
      </c>
    </row>
    <row r="504" spans="1:19">
      <c r="B504" s="553">
        <v>44237</v>
      </c>
      <c r="C504" t="s">
        <v>1151</v>
      </c>
      <c r="D504" s="281">
        <v>12</v>
      </c>
      <c r="E504" t="s">
        <v>2039</v>
      </c>
      <c r="F504" t="s">
        <v>560</v>
      </c>
      <c r="G504" t="s">
        <v>818</v>
      </c>
      <c r="H504" t="s">
        <v>1150</v>
      </c>
      <c r="I504" t="s">
        <v>2039</v>
      </c>
      <c r="J504" s="560">
        <v>0</v>
      </c>
      <c r="K504" s="560">
        <f t="shared" si="15"/>
        <v>6</v>
      </c>
      <c r="L504" s="560">
        <f t="shared" si="16"/>
        <v>5</v>
      </c>
    </row>
    <row r="505" spans="1:19">
      <c r="B505" s="553">
        <v>44237</v>
      </c>
      <c r="C505" t="s">
        <v>1151</v>
      </c>
      <c r="D505" s="281">
        <v>12</v>
      </c>
      <c r="E505" t="s">
        <v>2032</v>
      </c>
      <c r="F505" t="s">
        <v>565</v>
      </c>
      <c r="G505" t="s">
        <v>818</v>
      </c>
      <c r="H505" t="s">
        <v>1150</v>
      </c>
      <c r="I505" t="s">
        <v>2032</v>
      </c>
      <c r="J505" s="560">
        <v>0</v>
      </c>
      <c r="K505" s="560">
        <f t="shared" si="15"/>
        <v>6</v>
      </c>
      <c r="L505" s="560">
        <f t="shared" si="16"/>
        <v>4</v>
      </c>
    </row>
    <row r="506" spans="1:19">
      <c r="B506" s="553">
        <v>44237</v>
      </c>
      <c r="C506" t="s">
        <v>1151</v>
      </c>
      <c r="D506" s="281">
        <v>12</v>
      </c>
      <c r="E506" t="s">
        <v>2002</v>
      </c>
      <c r="F506" t="s">
        <v>603</v>
      </c>
      <c r="G506" t="s">
        <v>818</v>
      </c>
      <c r="H506" t="s">
        <v>1150</v>
      </c>
      <c r="I506" t="s">
        <v>2002</v>
      </c>
      <c r="J506" s="560">
        <v>0</v>
      </c>
      <c r="K506" s="560">
        <f t="shared" si="15"/>
        <v>6</v>
      </c>
      <c r="L506" s="560">
        <f t="shared" si="16"/>
        <v>3</v>
      </c>
    </row>
    <row r="507" spans="1:19">
      <c r="B507" s="553">
        <v>44237</v>
      </c>
      <c r="C507" t="s">
        <v>1151</v>
      </c>
      <c r="D507" s="281">
        <v>12</v>
      </c>
      <c r="E507" t="s">
        <v>1998</v>
      </c>
      <c r="F507" t="s">
        <v>633</v>
      </c>
      <c r="G507" t="s">
        <v>818</v>
      </c>
      <c r="H507" t="s">
        <v>1150</v>
      </c>
      <c r="I507" t="s">
        <v>1998</v>
      </c>
      <c r="J507" s="560">
        <v>0</v>
      </c>
      <c r="K507" s="560">
        <f t="shared" si="15"/>
        <v>6</v>
      </c>
      <c r="L507" s="560">
        <f t="shared" si="16"/>
        <v>2</v>
      </c>
    </row>
    <row r="508" spans="1:19">
      <c r="A508">
        <v>0</v>
      </c>
      <c r="B508" s="553">
        <v>44237</v>
      </c>
      <c r="C508" t="s">
        <v>1151</v>
      </c>
      <c r="D508" s="281">
        <v>12</v>
      </c>
      <c r="E508" t="s">
        <v>1997</v>
      </c>
      <c r="F508" t="s">
        <v>642</v>
      </c>
      <c r="G508" t="s">
        <v>818</v>
      </c>
      <c r="H508" t="s">
        <v>1150</v>
      </c>
      <c r="I508" t="s">
        <v>1997</v>
      </c>
      <c r="J508" s="560">
        <v>0</v>
      </c>
      <c r="K508" s="560">
        <f t="shared" si="15"/>
        <v>6</v>
      </c>
      <c r="L508" s="560">
        <f t="shared" si="16"/>
        <v>1</v>
      </c>
      <c r="M508" s="560" t="e">
        <f>SUMIFS('[1]MAIN-101'!$Z$1:$Z$3000,'[1]MAIN-101'!$X$1:$X$3000,S508)</f>
        <v>#VALUE!</v>
      </c>
      <c r="N508" s="560"/>
      <c r="O508" s="560"/>
      <c r="S508">
        <f>VLOOKUP(C508,'Recon of ORS and DV'!$A$4:$B$358,2,FALSE)</f>
        <v>0</v>
      </c>
    </row>
    <row r="509" spans="1:19">
      <c r="B509" s="553">
        <v>44237</v>
      </c>
      <c r="C509" t="s">
        <v>1152</v>
      </c>
      <c r="D509" s="281">
        <v>12</v>
      </c>
      <c r="E509" t="s">
        <v>2037</v>
      </c>
      <c r="F509" t="s">
        <v>555</v>
      </c>
      <c r="G509" t="s">
        <v>820</v>
      </c>
      <c r="H509" t="s">
        <v>1150</v>
      </c>
      <c r="I509" t="s">
        <v>2037</v>
      </c>
      <c r="J509" s="560">
        <v>8800</v>
      </c>
      <c r="K509" s="560">
        <f t="shared" si="15"/>
        <v>6</v>
      </c>
      <c r="L509" s="560">
        <f t="shared" si="16"/>
        <v>6</v>
      </c>
    </row>
    <row r="510" spans="1:19">
      <c r="B510" s="553">
        <v>44237</v>
      </c>
      <c r="C510" t="s">
        <v>1152</v>
      </c>
      <c r="D510" s="281">
        <v>12</v>
      </c>
      <c r="E510" t="s">
        <v>2039</v>
      </c>
      <c r="F510" t="s">
        <v>560</v>
      </c>
      <c r="G510" t="s">
        <v>820</v>
      </c>
      <c r="H510" t="s">
        <v>1150</v>
      </c>
      <c r="I510" t="s">
        <v>2039</v>
      </c>
      <c r="J510" s="560">
        <v>5000</v>
      </c>
      <c r="K510" s="560">
        <f t="shared" si="15"/>
        <v>6</v>
      </c>
      <c r="L510" s="560">
        <f t="shared" si="16"/>
        <v>5</v>
      </c>
    </row>
    <row r="511" spans="1:19">
      <c r="B511" s="553">
        <v>44237</v>
      </c>
      <c r="C511" t="s">
        <v>1152</v>
      </c>
      <c r="D511" s="281">
        <v>12</v>
      </c>
      <c r="E511" t="s">
        <v>2032</v>
      </c>
      <c r="F511" t="s">
        <v>565</v>
      </c>
      <c r="G511" t="s">
        <v>820</v>
      </c>
      <c r="H511" t="s">
        <v>1150</v>
      </c>
      <c r="I511" t="s">
        <v>2032</v>
      </c>
      <c r="J511" s="560">
        <v>1256</v>
      </c>
      <c r="K511" s="560">
        <f t="shared" si="15"/>
        <v>6</v>
      </c>
      <c r="L511" s="560">
        <f t="shared" si="16"/>
        <v>4</v>
      </c>
    </row>
    <row r="512" spans="1:19">
      <c r="B512" s="553">
        <v>44237</v>
      </c>
      <c r="C512" t="s">
        <v>1152</v>
      </c>
      <c r="D512" s="281">
        <v>12</v>
      </c>
      <c r="E512" t="s">
        <v>2002</v>
      </c>
      <c r="F512" t="s">
        <v>603</v>
      </c>
      <c r="G512" t="s">
        <v>820</v>
      </c>
      <c r="H512" t="s">
        <v>1150</v>
      </c>
      <c r="I512" t="s">
        <v>2002</v>
      </c>
      <c r="J512" s="560">
        <v>300</v>
      </c>
      <c r="K512" s="560">
        <f t="shared" si="15"/>
        <v>6</v>
      </c>
      <c r="L512" s="560">
        <f t="shared" si="16"/>
        <v>3</v>
      </c>
    </row>
    <row r="513" spans="1:19">
      <c r="B513" s="553">
        <v>44237</v>
      </c>
      <c r="C513" t="s">
        <v>1152</v>
      </c>
      <c r="D513" s="281">
        <v>12</v>
      </c>
      <c r="E513" t="s">
        <v>1998</v>
      </c>
      <c r="F513" t="s">
        <v>633</v>
      </c>
      <c r="G513" t="s">
        <v>820</v>
      </c>
      <c r="H513" t="s">
        <v>1150</v>
      </c>
      <c r="I513" t="s">
        <v>1998</v>
      </c>
      <c r="J513" s="560">
        <v>15000</v>
      </c>
      <c r="K513" s="560">
        <f t="shared" si="15"/>
        <v>6</v>
      </c>
      <c r="L513" s="560">
        <f t="shared" si="16"/>
        <v>2</v>
      </c>
    </row>
    <row r="514" spans="1:19">
      <c r="A514" t="s">
        <v>2151</v>
      </c>
      <c r="B514" s="553">
        <v>44237</v>
      </c>
      <c r="C514" t="s">
        <v>1152</v>
      </c>
      <c r="D514" s="281">
        <v>12</v>
      </c>
      <c r="E514" t="s">
        <v>1997</v>
      </c>
      <c r="F514" t="s">
        <v>642</v>
      </c>
      <c r="G514" t="s">
        <v>820</v>
      </c>
      <c r="H514" t="s">
        <v>1150</v>
      </c>
      <c r="I514" t="s">
        <v>1997</v>
      </c>
      <c r="J514" s="560">
        <v>1000</v>
      </c>
      <c r="K514" s="560">
        <f t="shared" si="15"/>
        <v>6</v>
      </c>
      <c r="L514" s="560">
        <f t="shared" si="16"/>
        <v>1</v>
      </c>
      <c r="M514" s="560" t="e">
        <f>SUMIFS('[1]MAIN-101'!$Z$1:$Z$3000,'[1]MAIN-101'!$X$1:$X$3000,S514)</f>
        <v>#VALUE!</v>
      </c>
      <c r="N514" s="560"/>
      <c r="O514" s="560"/>
      <c r="S514" t="str">
        <f>VLOOKUP(C514,'Recon of ORS and DV'!$A$4:$B$358,2,FALSE)</f>
        <v>0246</v>
      </c>
    </row>
    <row r="515" spans="1:19">
      <c r="B515" s="553">
        <v>44237</v>
      </c>
      <c r="C515" t="s">
        <v>1153</v>
      </c>
      <c r="D515" s="281">
        <v>12</v>
      </c>
      <c r="E515" t="s">
        <v>2037</v>
      </c>
      <c r="F515" t="s">
        <v>555</v>
      </c>
      <c r="G515" t="s">
        <v>823</v>
      </c>
      <c r="H515" t="s">
        <v>1150</v>
      </c>
      <c r="I515" t="s">
        <v>2037</v>
      </c>
      <c r="J515" s="560">
        <v>0</v>
      </c>
      <c r="K515" s="560">
        <f t="shared" si="15"/>
        <v>7</v>
      </c>
      <c r="L515" s="560">
        <f t="shared" si="16"/>
        <v>7</v>
      </c>
    </row>
    <row r="516" spans="1:19">
      <c r="B516" s="553">
        <v>44237</v>
      </c>
      <c r="C516" t="s">
        <v>1153</v>
      </c>
      <c r="D516" s="281">
        <v>12</v>
      </c>
      <c r="E516" t="s">
        <v>2039</v>
      </c>
      <c r="F516" t="s">
        <v>560</v>
      </c>
      <c r="G516" t="s">
        <v>823</v>
      </c>
      <c r="H516" t="s">
        <v>1150</v>
      </c>
      <c r="I516" t="s">
        <v>2039</v>
      </c>
      <c r="J516" s="560">
        <v>0</v>
      </c>
      <c r="K516" s="560">
        <f t="shared" ref="K516:K579" si="17">COUNTIFS($C$3:$C$1556,C516)</f>
        <v>7</v>
      </c>
      <c r="L516" s="560">
        <f t="shared" si="16"/>
        <v>6</v>
      </c>
    </row>
    <row r="517" spans="1:19">
      <c r="B517" s="553">
        <v>44237</v>
      </c>
      <c r="C517" t="s">
        <v>1153</v>
      </c>
      <c r="D517" s="281">
        <v>12</v>
      </c>
      <c r="E517" t="s">
        <v>2032</v>
      </c>
      <c r="F517" t="s">
        <v>565</v>
      </c>
      <c r="G517" t="s">
        <v>823</v>
      </c>
      <c r="H517" t="s">
        <v>1150</v>
      </c>
      <c r="I517" t="s">
        <v>2032</v>
      </c>
      <c r="J517" s="560">
        <v>0</v>
      </c>
      <c r="K517" s="560">
        <f t="shared" si="17"/>
        <v>7</v>
      </c>
      <c r="L517" s="560">
        <f t="shared" si="16"/>
        <v>5</v>
      </c>
    </row>
    <row r="518" spans="1:19">
      <c r="B518" s="553">
        <v>44237</v>
      </c>
      <c r="C518" t="s">
        <v>1153</v>
      </c>
      <c r="D518" s="281">
        <v>12</v>
      </c>
      <c r="E518" t="s">
        <v>2002</v>
      </c>
      <c r="F518" t="s">
        <v>603</v>
      </c>
      <c r="G518" t="s">
        <v>823</v>
      </c>
      <c r="H518" t="s">
        <v>1150</v>
      </c>
      <c r="I518" t="s">
        <v>2002</v>
      </c>
      <c r="J518" s="560">
        <v>0</v>
      </c>
      <c r="K518" s="560">
        <f t="shared" si="17"/>
        <v>7</v>
      </c>
      <c r="L518" s="560">
        <f t="shared" si="16"/>
        <v>4</v>
      </c>
    </row>
    <row r="519" spans="1:19">
      <c r="B519" s="553">
        <v>44237</v>
      </c>
      <c r="C519" t="s">
        <v>1153</v>
      </c>
      <c r="D519" s="281">
        <v>12</v>
      </c>
      <c r="E519" t="s">
        <v>2021</v>
      </c>
      <c r="F519" t="s">
        <v>631</v>
      </c>
      <c r="G519" t="s">
        <v>823</v>
      </c>
      <c r="H519" t="s">
        <v>1150</v>
      </c>
      <c r="I519" t="s">
        <v>2021</v>
      </c>
      <c r="J519" s="560">
        <v>0</v>
      </c>
      <c r="K519" s="560">
        <f t="shared" si="17"/>
        <v>7</v>
      </c>
      <c r="L519" s="560">
        <f t="shared" si="16"/>
        <v>3</v>
      </c>
    </row>
    <row r="520" spans="1:19">
      <c r="B520" s="553">
        <v>44237</v>
      </c>
      <c r="C520" t="s">
        <v>1153</v>
      </c>
      <c r="D520" s="281">
        <v>12</v>
      </c>
      <c r="E520" t="s">
        <v>1998</v>
      </c>
      <c r="F520" t="s">
        <v>633</v>
      </c>
      <c r="G520" t="s">
        <v>823</v>
      </c>
      <c r="H520" t="s">
        <v>1150</v>
      </c>
      <c r="I520" t="s">
        <v>1998</v>
      </c>
      <c r="J520" s="560">
        <v>0</v>
      </c>
      <c r="K520" s="560">
        <f t="shared" si="17"/>
        <v>7</v>
      </c>
      <c r="L520" s="560">
        <f t="shared" si="16"/>
        <v>2</v>
      </c>
    </row>
    <row r="521" spans="1:19">
      <c r="A521">
        <v>0</v>
      </c>
      <c r="B521" s="553">
        <v>44237</v>
      </c>
      <c r="C521" t="s">
        <v>1153</v>
      </c>
      <c r="D521" s="281">
        <v>12</v>
      </c>
      <c r="E521" t="s">
        <v>1997</v>
      </c>
      <c r="F521" t="s">
        <v>642</v>
      </c>
      <c r="G521" t="s">
        <v>823</v>
      </c>
      <c r="H521" t="s">
        <v>1150</v>
      </c>
      <c r="I521" t="s">
        <v>1997</v>
      </c>
      <c r="J521" s="560">
        <v>0</v>
      </c>
      <c r="K521" s="560">
        <f t="shared" si="17"/>
        <v>7</v>
      </c>
      <c r="L521" s="560">
        <f t="shared" si="16"/>
        <v>1</v>
      </c>
      <c r="M521" s="560" t="e">
        <f>SUMIFS('[1]MAIN-101'!$Z$1:$Z$3000,'[1]MAIN-101'!$X$1:$X$3000,S521)</f>
        <v>#VALUE!</v>
      </c>
      <c r="N521" s="560"/>
      <c r="O521" s="560"/>
      <c r="S521">
        <f>VLOOKUP(C521,'Recon of ORS and DV'!$A$4:$B$358,2,FALSE)</f>
        <v>0</v>
      </c>
    </row>
    <row r="522" spans="1:19">
      <c r="B522" s="553">
        <v>44237</v>
      </c>
      <c r="C522" t="s">
        <v>1154</v>
      </c>
      <c r="D522" s="281">
        <v>12</v>
      </c>
      <c r="E522" t="s">
        <v>2037</v>
      </c>
      <c r="F522" t="s">
        <v>555</v>
      </c>
      <c r="G522" t="s">
        <v>821</v>
      </c>
      <c r="H522" t="s">
        <v>1150</v>
      </c>
      <c r="I522" t="s">
        <v>2037</v>
      </c>
      <c r="J522" s="560">
        <v>0</v>
      </c>
      <c r="K522" s="560">
        <f t="shared" si="17"/>
        <v>5</v>
      </c>
      <c r="L522" s="560">
        <f t="shared" si="16"/>
        <v>5</v>
      </c>
    </row>
    <row r="523" spans="1:19">
      <c r="B523" s="553">
        <v>44237</v>
      </c>
      <c r="C523" t="s">
        <v>1154</v>
      </c>
      <c r="D523" s="281">
        <v>12</v>
      </c>
      <c r="E523" t="s">
        <v>2039</v>
      </c>
      <c r="F523" t="s">
        <v>560</v>
      </c>
      <c r="G523" t="s">
        <v>821</v>
      </c>
      <c r="H523" t="s">
        <v>1150</v>
      </c>
      <c r="I523" t="s">
        <v>2039</v>
      </c>
      <c r="J523" s="560">
        <v>0</v>
      </c>
      <c r="K523" s="560">
        <f t="shared" si="17"/>
        <v>5</v>
      </c>
      <c r="L523" s="560">
        <f t="shared" si="16"/>
        <v>4</v>
      </c>
    </row>
    <row r="524" spans="1:19">
      <c r="B524" s="553">
        <v>44237</v>
      </c>
      <c r="C524" t="s">
        <v>1154</v>
      </c>
      <c r="D524" s="281">
        <v>12</v>
      </c>
      <c r="E524" t="s">
        <v>2032</v>
      </c>
      <c r="F524" t="s">
        <v>565</v>
      </c>
      <c r="G524" t="s">
        <v>821</v>
      </c>
      <c r="H524" t="s">
        <v>1150</v>
      </c>
      <c r="I524" t="s">
        <v>2032</v>
      </c>
      <c r="J524" s="560">
        <v>0</v>
      </c>
      <c r="K524" s="560">
        <f t="shared" si="17"/>
        <v>5</v>
      </c>
      <c r="L524" s="560">
        <f t="shared" si="16"/>
        <v>3</v>
      </c>
    </row>
    <row r="525" spans="1:19">
      <c r="B525" s="553">
        <v>44237</v>
      </c>
      <c r="C525" t="s">
        <v>1154</v>
      </c>
      <c r="D525" s="281">
        <v>12</v>
      </c>
      <c r="E525" t="s">
        <v>2002</v>
      </c>
      <c r="F525" t="s">
        <v>603</v>
      </c>
      <c r="G525" t="s">
        <v>821</v>
      </c>
      <c r="H525" t="s">
        <v>1150</v>
      </c>
      <c r="I525" t="s">
        <v>2002</v>
      </c>
      <c r="J525" s="560">
        <v>0</v>
      </c>
      <c r="K525" s="560">
        <f t="shared" si="17"/>
        <v>5</v>
      </c>
      <c r="L525" s="560">
        <f t="shared" si="16"/>
        <v>2</v>
      </c>
    </row>
    <row r="526" spans="1:19">
      <c r="A526">
        <v>0</v>
      </c>
      <c r="B526" s="553">
        <v>44237</v>
      </c>
      <c r="C526" t="s">
        <v>1154</v>
      </c>
      <c r="D526" s="281">
        <v>12</v>
      </c>
      <c r="E526" t="s">
        <v>1997</v>
      </c>
      <c r="F526" t="s">
        <v>642</v>
      </c>
      <c r="G526" t="s">
        <v>821</v>
      </c>
      <c r="H526" t="s">
        <v>1150</v>
      </c>
      <c r="I526" t="s">
        <v>1997</v>
      </c>
      <c r="J526" s="560">
        <v>0</v>
      </c>
      <c r="K526" s="560">
        <f t="shared" si="17"/>
        <v>5</v>
      </c>
      <c r="L526" s="560">
        <f t="shared" si="16"/>
        <v>1</v>
      </c>
      <c r="M526" s="560" t="e">
        <f>SUMIFS('[1]MAIN-101'!$Z$1:$Z$3000,'[1]MAIN-101'!$X$1:$X$3000,S526)</f>
        <v>#VALUE!</v>
      </c>
      <c r="N526" s="560"/>
      <c r="O526" s="560"/>
      <c r="S526">
        <f>VLOOKUP(C526,'Recon of ORS and DV'!$A$4:$B$358,2,FALSE)</f>
        <v>0</v>
      </c>
    </row>
    <row r="527" spans="1:19">
      <c r="B527" s="553">
        <v>44237</v>
      </c>
      <c r="C527" t="s">
        <v>1155</v>
      </c>
      <c r="D527" s="281">
        <v>12</v>
      </c>
      <c r="E527" t="s">
        <v>2037</v>
      </c>
      <c r="F527" t="s">
        <v>555</v>
      </c>
      <c r="G527" t="s">
        <v>822</v>
      </c>
      <c r="H527" t="s">
        <v>1150</v>
      </c>
      <c r="I527" t="s">
        <v>2037</v>
      </c>
      <c r="J527" s="560">
        <v>0</v>
      </c>
      <c r="K527" s="560">
        <f t="shared" si="17"/>
        <v>5</v>
      </c>
      <c r="L527" s="560">
        <f t="shared" ref="L527:L590" si="18">COUNTIFS(C527:C2080,C527)</f>
        <v>5</v>
      </c>
    </row>
    <row r="528" spans="1:19">
      <c r="B528" s="553">
        <v>44237</v>
      </c>
      <c r="C528" t="s">
        <v>1155</v>
      </c>
      <c r="D528" s="281">
        <v>12</v>
      </c>
      <c r="E528" t="s">
        <v>2039</v>
      </c>
      <c r="F528" t="s">
        <v>560</v>
      </c>
      <c r="G528" t="s">
        <v>822</v>
      </c>
      <c r="H528" t="s">
        <v>1150</v>
      </c>
      <c r="I528" t="s">
        <v>2039</v>
      </c>
      <c r="J528" s="560">
        <v>0</v>
      </c>
      <c r="K528" s="560">
        <f t="shared" si="17"/>
        <v>5</v>
      </c>
      <c r="L528" s="560">
        <f t="shared" si="18"/>
        <v>4</v>
      </c>
    </row>
    <row r="529" spans="1:19">
      <c r="B529" s="553">
        <v>44237</v>
      </c>
      <c r="C529" t="s">
        <v>1155</v>
      </c>
      <c r="D529" s="281">
        <v>12</v>
      </c>
      <c r="E529" t="s">
        <v>2032</v>
      </c>
      <c r="F529" t="s">
        <v>565</v>
      </c>
      <c r="G529" t="s">
        <v>822</v>
      </c>
      <c r="H529" t="s">
        <v>1150</v>
      </c>
      <c r="I529" t="s">
        <v>2032</v>
      </c>
      <c r="J529" s="560">
        <v>0</v>
      </c>
      <c r="K529" s="560">
        <f t="shared" si="17"/>
        <v>5</v>
      </c>
      <c r="L529" s="560">
        <f t="shared" si="18"/>
        <v>3</v>
      </c>
    </row>
    <row r="530" spans="1:19">
      <c r="B530" s="553">
        <v>44237</v>
      </c>
      <c r="C530" t="s">
        <v>1155</v>
      </c>
      <c r="D530" s="281">
        <v>12</v>
      </c>
      <c r="E530" t="s">
        <v>2002</v>
      </c>
      <c r="F530" t="s">
        <v>603</v>
      </c>
      <c r="G530" t="s">
        <v>822</v>
      </c>
      <c r="H530" t="s">
        <v>1150</v>
      </c>
      <c r="I530" t="s">
        <v>2002</v>
      </c>
      <c r="J530" s="560">
        <v>0</v>
      </c>
      <c r="K530" s="560">
        <f t="shared" si="17"/>
        <v>5</v>
      </c>
      <c r="L530" s="560">
        <f t="shared" si="18"/>
        <v>2</v>
      </c>
    </row>
    <row r="531" spans="1:19">
      <c r="A531">
        <v>0</v>
      </c>
      <c r="B531" s="553">
        <v>44237</v>
      </c>
      <c r="C531" t="s">
        <v>1155</v>
      </c>
      <c r="D531" s="281">
        <v>12</v>
      </c>
      <c r="E531" t="s">
        <v>1998</v>
      </c>
      <c r="F531" t="s">
        <v>633</v>
      </c>
      <c r="G531" t="s">
        <v>822</v>
      </c>
      <c r="H531" t="s">
        <v>1150</v>
      </c>
      <c r="I531" t="s">
        <v>1998</v>
      </c>
      <c r="J531" s="560">
        <v>0</v>
      </c>
      <c r="K531" s="560">
        <f t="shared" si="17"/>
        <v>5</v>
      </c>
      <c r="L531" s="560">
        <f t="shared" si="18"/>
        <v>1</v>
      </c>
      <c r="M531" s="560" t="e">
        <f>SUMIFS('[1]MAIN-101'!$Z$1:$Z$3000,'[1]MAIN-101'!$X$1:$X$3000,S531)</f>
        <v>#VALUE!</v>
      </c>
      <c r="N531" s="560"/>
      <c r="O531" s="560"/>
      <c r="S531">
        <f>VLOOKUP(C531,'Recon of ORS and DV'!$A$4:$B$358,2,FALSE)</f>
        <v>0</v>
      </c>
    </row>
    <row r="532" spans="1:19">
      <c r="A532" t="s">
        <v>2152</v>
      </c>
      <c r="B532" s="553">
        <v>44237</v>
      </c>
      <c r="C532" t="s">
        <v>1156</v>
      </c>
      <c r="D532" s="281">
        <v>9</v>
      </c>
      <c r="E532" t="s">
        <v>2022</v>
      </c>
      <c r="F532" t="s">
        <v>689</v>
      </c>
      <c r="G532" t="s">
        <v>1157</v>
      </c>
      <c r="H532" t="s">
        <v>1158</v>
      </c>
      <c r="I532">
        <v>5020000000</v>
      </c>
      <c r="J532" s="560">
        <v>11500</v>
      </c>
      <c r="K532" s="560">
        <f t="shared" si="17"/>
        <v>1</v>
      </c>
      <c r="L532" s="560">
        <f t="shared" si="18"/>
        <v>1</v>
      </c>
      <c r="M532" s="560" t="e">
        <f>SUMIFS('[1]MAIN-101'!$Z$1:$Z$3000,'[1]MAIN-101'!$X$1:$X$3000,S532)</f>
        <v>#VALUE!</v>
      </c>
      <c r="N532" s="560"/>
      <c r="O532" s="560"/>
      <c r="S532" t="str">
        <f>VLOOKUP(C532,'Recon of ORS and DV'!$A$4:$B$358,2,FALSE)</f>
        <v>0225</v>
      </c>
    </row>
    <row r="533" spans="1:19">
      <c r="B533" s="553">
        <v>44238</v>
      </c>
      <c r="C533" t="s">
        <v>1159</v>
      </c>
      <c r="D533" s="281">
        <v>1</v>
      </c>
      <c r="E533" t="s">
        <v>2026</v>
      </c>
      <c r="F533" t="s">
        <v>499</v>
      </c>
      <c r="G533" t="s">
        <v>789</v>
      </c>
      <c r="H533" t="s">
        <v>1113</v>
      </c>
      <c r="I533">
        <v>5010000000</v>
      </c>
      <c r="J533" s="560">
        <v>57452</v>
      </c>
      <c r="K533" s="560">
        <f t="shared" si="17"/>
        <v>36</v>
      </c>
      <c r="L533" s="560">
        <f t="shared" si="18"/>
        <v>36</v>
      </c>
    </row>
    <row r="534" spans="1:19">
      <c r="B534" s="553">
        <v>44238</v>
      </c>
      <c r="C534" t="s">
        <v>1159</v>
      </c>
      <c r="D534" s="281">
        <v>1</v>
      </c>
      <c r="E534" t="s">
        <v>2027</v>
      </c>
      <c r="F534" t="s">
        <v>504</v>
      </c>
      <c r="G534" t="s">
        <v>789</v>
      </c>
      <c r="H534" t="s">
        <v>1113</v>
      </c>
      <c r="I534">
        <v>5010000000</v>
      </c>
      <c r="J534" s="560">
        <v>4000</v>
      </c>
      <c r="K534" s="560">
        <f t="shared" si="17"/>
        <v>36</v>
      </c>
      <c r="L534" s="560">
        <f t="shared" si="18"/>
        <v>35</v>
      </c>
    </row>
    <row r="535" spans="1:19">
      <c r="B535" s="553">
        <v>44238</v>
      </c>
      <c r="C535" t="s">
        <v>1159</v>
      </c>
      <c r="D535" s="281">
        <v>1</v>
      </c>
      <c r="E535" t="s">
        <v>2028</v>
      </c>
      <c r="F535" t="s">
        <v>528</v>
      </c>
      <c r="G535" t="s">
        <v>789</v>
      </c>
      <c r="H535" t="s">
        <v>1113</v>
      </c>
      <c r="I535">
        <v>5010301000</v>
      </c>
      <c r="J535" s="560">
        <v>6894.24</v>
      </c>
      <c r="K535" s="560">
        <f t="shared" si="17"/>
        <v>36</v>
      </c>
      <c r="L535" s="560">
        <f t="shared" si="18"/>
        <v>34</v>
      </c>
    </row>
    <row r="536" spans="1:19">
      <c r="B536" s="553">
        <v>44238</v>
      </c>
      <c r="C536" t="s">
        <v>1159</v>
      </c>
      <c r="D536" s="281">
        <v>1</v>
      </c>
      <c r="E536" t="s">
        <v>2029</v>
      </c>
      <c r="F536" t="s">
        <v>530</v>
      </c>
      <c r="G536" t="s">
        <v>789</v>
      </c>
      <c r="H536" t="s">
        <v>1113</v>
      </c>
      <c r="I536">
        <v>5010000000</v>
      </c>
      <c r="J536" s="560">
        <v>200</v>
      </c>
      <c r="K536" s="560">
        <f t="shared" si="17"/>
        <v>36</v>
      </c>
      <c r="L536" s="560">
        <f t="shared" si="18"/>
        <v>33</v>
      </c>
    </row>
    <row r="537" spans="1:19">
      <c r="B537" s="553">
        <v>44238</v>
      </c>
      <c r="C537" t="s">
        <v>1159</v>
      </c>
      <c r="D537" s="281">
        <v>1</v>
      </c>
      <c r="E537" t="s">
        <v>2030</v>
      </c>
      <c r="F537" t="s">
        <v>532</v>
      </c>
      <c r="G537" t="s">
        <v>789</v>
      </c>
      <c r="H537" t="s">
        <v>1113</v>
      </c>
      <c r="I537">
        <v>5010000000</v>
      </c>
      <c r="J537" s="560">
        <v>861.79</v>
      </c>
      <c r="K537" s="560">
        <f t="shared" si="17"/>
        <v>36</v>
      </c>
      <c r="L537" s="560">
        <f t="shared" si="18"/>
        <v>32</v>
      </c>
    </row>
    <row r="538" spans="1:19">
      <c r="B538" s="553">
        <v>44238</v>
      </c>
      <c r="C538" t="s">
        <v>1159</v>
      </c>
      <c r="D538" s="281">
        <v>1</v>
      </c>
      <c r="E538" t="s">
        <v>2031</v>
      </c>
      <c r="F538" t="s">
        <v>534</v>
      </c>
      <c r="G538" t="s">
        <v>789</v>
      </c>
      <c r="H538" t="s">
        <v>1113</v>
      </c>
      <c r="I538">
        <v>5010000000</v>
      </c>
      <c r="J538" s="560">
        <v>200</v>
      </c>
      <c r="K538" s="560">
        <f t="shared" si="17"/>
        <v>36</v>
      </c>
      <c r="L538" s="560">
        <f t="shared" si="18"/>
        <v>31</v>
      </c>
    </row>
    <row r="539" spans="1:19">
      <c r="B539" s="553">
        <v>44238</v>
      </c>
      <c r="C539" t="s">
        <v>1159</v>
      </c>
      <c r="D539" s="281">
        <v>2</v>
      </c>
      <c r="E539" t="s">
        <v>2026</v>
      </c>
      <c r="F539" t="s">
        <v>499</v>
      </c>
      <c r="G539" t="s">
        <v>789</v>
      </c>
      <c r="H539" t="s">
        <v>1113</v>
      </c>
      <c r="I539">
        <v>5010000000</v>
      </c>
      <c r="J539" s="560">
        <v>130423</v>
      </c>
      <c r="K539" s="560">
        <f t="shared" si="17"/>
        <v>36</v>
      </c>
      <c r="L539" s="560">
        <f t="shared" si="18"/>
        <v>30</v>
      </c>
    </row>
    <row r="540" spans="1:19">
      <c r="B540" s="553">
        <v>44238</v>
      </c>
      <c r="C540" t="s">
        <v>1159</v>
      </c>
      <c r="D540" s="281">
        <v>2</v>
      </c>
      <c r="E540" t="s">
        <v>2027</v>
      </c>
      <c r="F540" t="s">
        <v>504</v>
      </c>
      <c r="G540" t="s">
        <v>789</v>
      </c>
      <c r="H540" t="s">
        <v>1113</v>
      </c>
      <c r="I540">
        <v>5010000000</v>
      </c>
      <c r="J540" s="560">
        <v>4000</v>
      </c>
      <c r="K540" s="560">
        <f t="shared" si="17"/>
        <v>36</v>
      </c>
      <c r="L540" s="560">
        <f t="shared" si="18"/>
        <v>29</v>
      </c>
    </row>
    <row r="541" spans="1:19">
      <c r="B541" s="553">
        <v>44238</v>
      </c>
      <c r="C541" t="s">
        <v>1159</v>
      </c>
      <c r="D541" s="281">
        <v>2</v>
      </c>
      <c r="E541" t="s">
        <v>2028</v>
      </c>
      <c r="F541" t="s">
        <v>528</v>
      </c>
      <c r="G541" t="s">
        <v>789</v>
      </c>
      <c r="H541" t="s">
        <v>1113</v>
      </c>
      <c r="I541">
        <v>5010301000</v>
      </c>
      <c r="J541" s="560">
        <v>15650.76</v>
      </c>
      <c r="K541" s="560">
        <f t="shared" si="17"/>
        <v>36</v>
      </c>
      <c r="L541" s="560">
        <f t="shared" si="18"/>
        <v>28</v>
      </c>
    </row>
    <row r="542" spans="1:19">
      <c r="B542" s="553">
        <v>44238</v>
      </c>
      <c r="C542" t="s">
        <v>1159</v>
      </c>
      <c r="D542" s="281">
        <v>2</v>
      </c>
      <c r="E542" t="s">
        <v>2029</v>
      </c>
      <c r="F542" t="s">
        <v>530</v>
      </c>
      <c r="G542" t="s">
        <v>789</v>
      </c>
      <c r="H542" t="s">
        <v>1113</v>
      </c>
      <c r="I542">
        <v>5010000000</v>
      </c>
      <c r="J542" s="560">
        <v>200</v>
      </c>
      <c r="K542" s="560">
        <f t="shared" si="17"/>
        <v>36</v>
      </c>
      <c r="L542" s="560">
        <f t="shared" si="18"/>
        <v>27</v>
      </c>
    </row>
    <row r="543" spans="1:19">
      <c r="B543" s="553">
        <v>44238</v>
      </c>
      <c r="C543" t="s">
        <v>1159</v>
      </c>
      <c r="D543" s="281">
        <v>2</v>
      </c>
      <c r="E543" t="s">
        <v>2030</v>
      </c>
      <c r="F543" t="s">
        <v>532</v>
      </c>
      <c r="G543" t="s">
        <v>789</v>
      </c>
      <c r="H543" t="s">
        <v>1113</v>
      </c>
      <c r="I543">
        <v>5010000000</v>
      </c>
      <c r="J543" s="560">
        <v>1555.22</v>
      </c>
      <c r="K543" s="560">
        <f t="shared" si="17"/>
        <v>36</v>
      </c>
      <c r="L543" s="560">
        <f t="shared" si="18"/>
        <v>26</v>
      </c>
    </row>
    <row r="544" spans="1:19">
      <c r="B544" s="553">
        <v>44238</v>
      </c>
      <c r="C544" t="s">
        <v>1159</v>
      </c>
      <c r="D544" s="281">
        <v>2</v>
      </c>
      <c r="E544" t="s">
        <v>2031</v>
      </c>
      <c r="F544" t="s">
        <v>534</v>
      </c>
      <c r="G544" t="s">
        <v>789</v>
      </c>
      <c r="H544" t="s">
        <v>1113</v>
      </c>
      <c r="I544">
        <v>5010000000</v>
      </c>
      <c r="J544" s="560">
        <v>200</v>
      </c>
      <c r="K544" s="560">
        <f t="shared" si="17"/>
        <v>36</v>
      </c>
      <c r="L544" s="560">
        <f t="shared" si="18"/>
        <v>25</v>
      </c>
    </row>
    <row r="545" spans="2:12">
      <c r="B545" s="553">
        <v>44238</v>
      </c>
      <c r="C545" t="s">
        <v>1159</v>
      </c>
      <c r="D545" s="281">
        <v>3</v>
      </c>
      <c r="E545" t="s">
        <v>2026</v>
      </c>
      <c r="F545" t="s">
        <v>499</v>
      </c>
      <c r="G545" t="s">
        <v>789</v>
      </c>
      <c r="H545" t="s">
        <v>1113</v>
      </c>
      <c r="I545">
        <v>5010000000</v>
      </c>
      <c r="J545" s="560">
        <v>111742</v>
      </c>
      <c r="K545" s="560">
        <f t="shared" si="17"/>
        <v>36</v>
      </c>
      <c r="L545" s="560">
        <f t="shared" si="18"/>
        <v>24</v>
      </c>
    </row>
    <row r="546" spans="2:12">
      <c r="B546" s="553">
        <v>44238</v>
      </c>
      <c r="C546" t="s">
        <v>1159</v>
      </c>
      <c r="D546" s="281">
        <v>3</v>
      </c>
      <c r="E546" t="s">
        <v>2027</v>
      </c>
      <c r="F546" t="s">
        <v>504</v>
      </c>
      <c r="G546" t="s">
        <v>789</v>
      </c>
      <c r="H546" t="s">
        <v>1113</v>
      </c>
      <c r="I546">
        <v>5010000000</v>
      </c>
      <c r="J546" s="560">
        <v>2000</v>
      </c>
      <c r="K546" s="560">
        <f t="shared" si="17"/>
        <v>36</v>
      </c>
      <c r="L546" s="560">
        <f t="shared" si="18"/>
        <v>23</v>
      </c>
    </row>
    <row r="547" spans="2:12">
      <c r="B547" s="553">
        <v>44238</v>
      </c>
      <c r="C547" t="s">
        <v>1159</v>
      </c>
      <c r="D547" s="281">
        <v>3</v>
      </c>
      <c r="E547" t="s">
        <v>2028</v>
      </c>
      <c r="F547" t="s">
        <v>528</v>
      </c>
      <c r="G547" t="s">
        <v>789</v>
      </c>
      <c r="H547" t="s">
        <v>1113</v>
      </c>
      <c r="I547">
        <v>5010301000</v>
      </c>
      <c r="J547" s="560">
        <v>13409.04</v>
      </c>
      <c r="K547" s="560">
        <f t="shared" si="17"/>
        <v>36</v>
      </c>
      <c r="L547" s="560">
        <f t="shared" si="18"/>
        <v>22</v>
      </c>
    </row>
    <row r="548" spans="2:12">
      <c r="B548" s="553">
        <v>44238</v>
      </c>
      <c r="C548" t="s">
        <v>1159</v>
      </c>
      <c r="D548" s="281">
        <v>3</v>
      </c>
      <c r="E548" t="s">
        <v>2029</v>
      </c>
      <c r="F548" t="s">
        <v>530</v>
      </c>
      <c r="G548" t="s">
        <v>789</v>
      </c>
      <c r="H548" t="s">
        <v>1113</v>
      </c>
      <c r="I548">
        <v>5010000000</v>
      </c>
      <c r="J548" s="560">
        <v>100</v>
      </c>
      <c r="K548" s="560">
        <f t="shared" si="17"/>
        <v>36</v>
      </c>
      <c r="L548" s="560">
        <f t="shared" si="18"/>
        <v>21</v>
      </c>
    </row>
    <row r="549" spans="2:12">
      <c r="B549" s="553">
        <v>44238</v>
      </c>
      <c r="C549" t="s">
        <v>1159</v>
      </c>
      <c r="D549" s="281">
        <v>3</v>
      </c>
      <c r="E549" t="s">
        <v>2030</v>
      </c>
      <c r="F549" t="s">
        <v>532</v>
      </c>
      <c r="G549" t="s">
        <v>789</v>
      </c>
      <c r="H549" t="s">
        <v>1113</v>
      </c>
      <c r="I549">
        <v>5010000000</v>
      </c>
      <c r="J549" s="560">
        <v>900</v>
      </c>
      <c r="K549" s="560">
        <f t="shared" si="17"/>
        <v>36</v>
      </c>
      <c r="L549" s="560">
        <f t="shared" si="18"/>
        <v>20</v>
      </c>
    </row>
    <row r="550" spans="2:12">
      <c r="B550" s="553">
        <v>44238</v>
      </c>
      <c r="C550" t="s">
        <v>1159</v>
      </c>
      <c r="D550" s="281">
        <v>3</v>
      </c>
      <c r="E550" t="s">
        <v>2031</v>
      </c>
      <c r="F550" t="s">
        <v>534</v>
      </c>
      <c r="G550" t="s">
        <v>789</v>
      </c>
      <c r="H550" t="s">
        <v>1113</v>
      </c>
      <c r="I550">
        <v>5010000000</v>
      </c>
      <c r="J550" s="560">
        <v>100</v>
      </c>
      <c r="K550" s="560">
        <f t="shared" si="17"/>
        <v>36</v>
      </c>
      <c r="L550" s="560">
        <f t="shared" si="18"/>
        <v>19</v>
      </c>
    </row>
    <row r="551" spans="2:12">
      <c r="B551" s="553">
        <v>44238</v>
      </c>
      <c r="C551" t="s">
        <v>1159</v>
      </c>
      <c r="D551" s="281">
        <v>4</v>
      </c>
      <c r="E551" t="s">
        <v>2026</v>
      </c>
      <c r="F551" t="s">
        <v>499</v>
      </c>
      <c r="G551" t="s">
        <v>789</v>
      </c>
      <c r="H551" t="s">
        <v>1113</v>
      </c>
      <c r="I551">
        <v>5010000000</v>
      </c>
      <c r="J551" s="560">
        <v>134419</v>
      </c>
      <c r="K551" s="560">
        <f t="shared" si="17"/>
        <v>36</v>
      </c>
      <c r="L551" s="560">
        <f t="shared" si="18"/>
        <v>18</v>
      </c>
    </row>
    <row r="552" spans="2:12">
      <c r="B552" s="553">
        <v>44238</v>
      </c>
      <c r="C552" t="s">
        <v>1159</v>
      </c>
      <c r="D552" s="281">
        <v>4</v>
      </c>
      <c r="E552" t="s">
        <v>2027</v>
      </c>
      <c r="F552" t="s">
        <v>504</v>
      </c>
      <c r="G552" t="s">
        <v>789</v>
      </c>
      <c r="H552" t="s">
        <v>1113</v>
      </c>
      <c r="I552">
        <v>5010000000</v>
      </c>
      <c r="J552" s="560">
        <v>4000</v>
      </c>
      <c r="K552" s="560">
        <f t="shared" si="17"/>
        <v>36</v>
      </c>
      <c r="L552" s="560">
        <f t="shared" si="18"/>
        <v>17</v>
      </c>
    </row>
    <row r="553" spans="2:12">
      <c r="B553" s="553">
        <v>44238</v>
      </c>
      <c r="C553" t="s">
        <v>1159</v>
      </c>
      <c r="D553" s="281">
        <v>4</v>
      </c>
      <c r="E553" t="s">
        <v>2028</v>
      </c>
      <c r="F553" t="s">
        <v>528</v>
      </c>
      <c r="G553" t="s">
        <v>789</v>
      </c>
      <c r="H553" t="s">
        <v>1113</v>
      </c>
      <c r="I553">
        <v>5010301000</v>
      </c>
      <c r="J553" s="560">
        <v>16130.28</v>
      </c>
      <c r="K553" s="560">
        <f t="shared" si="17"/>
        <v>36</v>
      </c>
      <c r="L553" s="560">
        <f t="shared" si="18"/>
        <v>16</v>
      </c>
    </row>
    <row r="554" spans="2:12">
      <c r="B554" s="553">
        <v>44238</v>
      </c>
      <c r="C554" t="s">
        <v>1159</v>
      </c>
      <c r="D554" s="281">
        <v>4</v>
      </c>
      <c r="E554" t="s">
        <v>2029</v>
      </c>
      <c r="F554" t="s">
        <v>530</v>
      </c>
      <c r="G554" t="s">
        <v>789</v>
      </c>
      <c r="H554" t="s">
        <v>1113</v>
      </c>
      <c r="I554">
        <v>5010000000</v>
      </c>
      <c r="J554" s="560">
        <v>200</v>
      </c>
      <c r="K554" s="560">
        <f t="shared" si="17"/>
        <v>36</v>
      </c>
      <c r="L554" s="560">
        <f t="shared" si="18"/>
        <v>15</v>
      </c>
    </row>
    <row r="555" spans="2:12">
      <c r="B555" s="553">
        <v>44238</v>
      </c>
      <c r="C555" t="s">
        <v>1159</v>
      </c>
      <c r="D555" s="281">
        <v>4</v>
      </c>
      <c r="E555" t="s">
        <v>2030</v>
      </c>
      <c r="F555" t="s">
        <v>532</v>
      </c>
      <c r="G555" t="s">
        <v>789</v>
      </c>
      <c r="H555" t="s">
        <v>1113</v>
      </c>
      <c r="I555">
        <v>5010000000</v>
      </c>
      <c r="J555" s="560">
        <v>1593.92</v>
      </c>
      <c r="K555" s="560">
        <f t="shared" si="17"/>
        <v>36</v>
      </c>
      <c r="L555" s="560">
        <f t="shared" si="18"/>
        <v>14</v>
      </c>
    </row>
    <row r="556" spans="2:12">
      <c r="B556" s="553">
        <v>44238</v>
      </c>
      <c r="C556" t="s">
        <v>1159</v>
      </c>
      <c r="D556" s="281">
        <v>4</v>
      </c>
      <c r="E556" t="s">
        <v>2031</v>
      </c>
      <c r="F556" t="s">
        <v>534</v>
      </c>
      <c r="G556" t="s">
        <v>789</v>
      </c>
      <c r="H556" t="s">
        <v>1113</v>
      </c>
      <c r="I556">
        <v>5010000000</v>
      </c>
      <c r="J556" s="560">
        <v>200</v>
      </c>
      <c r="K556" s="560">
        <f t="shared" si="17"/>
        <v>36</v>
      </c>
      <c r="L556" s="560">
        <f t="shared" si="18"/>
        <v>13</v>
      </c>
    </row>
    <row r="557" spans="2:12">
      <c r="B557" s="553">
        <v>44238</v>
      </c>
      <c r="C557" t="s">
        <v>1159</v>
      </c>
      <c r="D557" s="281">
        <v>5</v>
      </c>
      <c r="E557" t="s">
        <v>2026</v>
      </c>
      <c r="F557" t="s">
        <v>499</v>
      </c>
      <c r="G557" t="s">
        <v>789</v>
      </c>
      <c r="H557" t="s">
        <v>1113</v>
      </c>
      <c r="I557">
        <v>5010000000</v>
      </c>
      <c r="J557" s="560">
        <v>91522</v>
      </c>
      <c r="K557" s="560">
        <f t="shared" si="17"/>
        <v>36</v>
      </c>
      <c r="L557" s="560">
        <f t="shared" si="18"/>
        <v>12</v>
      </c>
    </row>
    <row r="558" spans="2:12">
      <c r="B558" s="553">
        <v>44238</v>
      </c>
      <c r="C558" t="s">
        <v>1159</v>
      </c>
      <c r="D558" s="281">
        <v>5</v>
      </c>
      <c r="E558" t="s">
        <v>2027</v>
      </c>
      <c r="F558" t="s">
        <v>504</v>
      </c>
      <c r="G558" t="s">
        <v>789</v>
      </c>
      <c r="H558" t="s">
        <v>1113</v>
      </c>
      <c r="I558">
        <v>5010000000</v>
      </c>
      <c r="J558" s="560">
        <v>4000</v>
      </c>
      <c r="K558" s="560">
        <f t="shared" si="17"/>
        <v>36</v>
      </c>
      <c r="L558" s="560">
        <f t="shared" si="18"/>
        <v>11</v>
      </c>
    </row>
    <row r="559" spans="2:12">
      <c r="B559" s="553">
        <v>44238</v>
      </c>
      <c r="C559" t="s">
        <v>1159</v>
      </c>
      <c r="D559" s="281">
        <v>5</v>
      </c>
      <c r="E559" t="s">
        <v>2028</v>
      </c>
      <c r="F559" t="s">
        <v>528</v>
      </c>
      <c r="G559" t="s">
        <v>789</v>
      </c>
      <c r="H559" t="s">
        <v>1113</v>
      </c>
      <c r="I559">
        <v>5010301000</v>
      </c>
      <c r="J559" s="560">
        <v>10982.64</v>
      </c>
      <c r="K559" s="560">
        <f t="shared" si="17"/>
        <v>36</v>
      </c>
      <c r="L559" s="560">
        <f t="shared" si="18"/>
        <v>10</v>
      </c>
    </row>
    <row r="560" spans="2:12">
      <c r="B560" s="553">
        <v>44238</v>
      </c>
      <c r="C560" t="s">
        <v>1159</v>
      </c>
      <c r="D560" s="281">
        <v>5</v>
      </c>
      <c r="E560" t="s">
        <v>2029</v>
      </c>
      <c r="F560" t="s">
        <v>530</v>
      </c>
      <c r="G560" t="s">
        <v>789</v>
      </c>
      <c r="H560" t="s">
        <v>1113</v>
      </c>
      <c r="I560">
        <v>5010000000</v>
      </c>
      <c r="J560" s="560">
        <v>200</v>
      </c>
      <c r="K560" s="560">
        <f t="shared" si="17"/>
        <v>36</v>
      </c>
      <c r="L560" s="560">
        <f t="shared" si="18"/>
        <v>9</v>
      </c>
    </row>
    <row r="561" spans="1:19">
      <c r="B561" s="553">
        <v>44238</v>
      </c>
      <c r="C561" t="s">
        <v>1159</v>
      </c>
      <c r="D561" s="281">
        <v>5</v>
      </c>
      <c r="E561" t="s">
        <v>2030</v>
      </c>
      <c r="F561" t="s">
        <v>532</v>
      </c>
      <c r="G561" t="s">
        <v>789</v>
      </c>
      <c r="H561" t="s">
        <v>1113</v>
      </c>
      <c r="I561">
        <v>5010000000</v>
      </c>
      <c r="J561" s="560">
        <v>1372.83</v>
      </c>
      <c r="K561" s="560">
        <f t="shared" si="17"/>
        <v>36</v>
      </c>
      <c r="L561" s="560">
        <f t="shared" si="18"/>
        <v>8</v>
      </c>
    </row>
    <row r="562" spans="1:19">
      <c r="B562" s="553">
        <v>44238</v>
      </c>
      <c r="C562" t="s">
        <v>1159</v>
      </c>
      <c r="D562" s="281">
        <v>5</v>
      </c>
      <c r="E562" t="s">
        <v>2031</v>
      </c>
      <c r="F562" t="s">
        <v>534</v>
      </c>
      <c r="G562" t="s">
        <v>789</v>
      </c>
      <c r="H562" t="s">
        <v>1113</v>
      </c>
      <c r="I562">
        <v>5010000000</v>
      </c>
      <c r="J562" s="560">
        <v>200</v>
      </c>
      <c r="K562" s="560">
        <f t="shared" si="17"/>
        <v>36</v>
      </c>
      <c r="L562" s="560">
        <f t="shared" si="18"/>
        <v>7</v>
      </c>
    </row>
    <row r="563" spans="1:19">
      <c r="B563" s="553">
        <v>44238</v>
      </c>
      <c r="C563" t="s">
        <v>1159</v>
      </c>
      <c r="D563" s="281">
        <v>6</v>
      </c>
      <c r="E563" t="s">
        <v>2026</v>
      </c>
      <c r="F563" t="s">
        <v>499</v>
      </c>
      <c r="G563" t="s">
        <v>789</v>
      </c>
      <c r="H563" t="s">
        <v>1113</v>
      </c>
      <c r="I563">
        <v>5010000000</v>
      </c>
      <c r="J563" s="560">
        <v>43681</v>
      </c>
      <c r="K563" s="560">
        <f t="shared" si="17"/>
        <v>36</v>
      </c>
      <c r="L563" s="560">
        <f t="shared" si="18"/>
        <v>6</v>
      </c>
    </row>
    <row r="564" spans="1:19">
      <c r="B564" s="553">
        <v>44238</v>
      </c>
      <c r="C564" t="s">
        <v>1159</v>
      </c>
      <c r="D564" s="281">
        <v>6</v>
      </c>
      <c r="E564" t="s">
        <v>2027</v>
      </c>
      <c r="F564" t="s">
        <v>504</v>
      </c>
      <c r="G564" t="s">
        <v>789</v>
      </c>
      <c r="H564" t="s">
        <v>1113</v>
      </c>
      <c r="I564">
        <v>5010000000</v>
      </c>
      <c r="J564" s="560">
        <v>2000</v>
      </c>
      <c r="K564" s="560">
        <f t="shared" si="17"/>
        <v>36</v>
      </c>
      <c r="L564" s="560">
        <f t="shared" si="18"/>
        <v>5</v>
      </c>
    </row>
    <row r="565" spans="1:19">
      <c r="B565" s="553">
        <v>44238</v>
      </c>
      <c r="C565" t="s">
        <v>1159</v>
      </c>
      <c r="D565" s="281">
        <v>6</v>
      </c>
      <c r="E565" t="s">
        <v>2028</v>
      </c>
      <c r="F565" t="s">
        <v>528</v>
      </c>
      <c r="G565" t="s">
        <v>789</v>
      </c>
      <c r="H565" t="s">
        <v>1113</v>
      </c>
      <c r="I565">
        <v>5010301000</v>
      </c>
      <c r="J565" s="560">
        <v>5241.72</v>
      </c>
      <c r="K565" s="560">
        <f t="shared" si="17"/>
        <v>36</v>
      </c>
      <c r="L565" s="560">
        <f t="shared" si="18"/>
        <v>4</v>
      </c>
    </row>
    <row r="566" spans="1:19">
      <c r="B566" s="553">
        <v>44238</v>
      </c>
      <c r="C566" t="s">
        <v>1159</v>
      </c>
      <c r="D566" s="281">
        <v>6</v>
      </c>
      <c r="E566" t="s">
        <v>2029</v>
      </c>
      <c r="F566" t="s">
        <v>530</v>
      </c>
      <c r="G566" t="s">
        <v>789</v>
      </c>
      <c r="H566" t="s">
        <v>1113</v>
      </c>
      <c r="I566">
        <v>5010000000</v>
      </c>
      <c r="J566" s="560">
        <v>100</v>
      </c>
      <c r="K566" s="560">
        <f t="shared" si="17"/>
        <v>36</v>
      </c>
      <c r="L566" s="560">
        <f t="shared" si="18"/>
        <v>3</v>
      </c>
    </row>
    <row r="567" spans="1:19">
      <c r="B567" s="553">
        <v>44238</v>
      </c>
      <c r="C567" t="s">
        <v>1159</v>
      </c>
      <c r="D567" s="281">
        <v>6</v>
      </c>
      <c r="E567" t="s">
        <v>2030</v>
      </c>
      <c r="F567" t="s">
        <v>532</v>
      </c>
      <c r="G567" t="s">
        <v>789</v>
      </c>
      <c r="H567" t="s">
        <v>1113</v>
      </c>
      <c r="I567">
        <v>5010000000</v>
      </c>
      <c r="J567" s="560">
        <v>655.22</v>
      </c>
      <c r="K567" s="560">
        <f t="shared" si="17"/>
        <v>36</v>
      </c>
      <c r="L567" s="560">
        <f t="shared" si="18"/>
        <v>2</v>
      </c>
    </row>
    <row r="568" spans="1:19">
      <c r="A568" t="s">
        <v>2153</v>
      </c>
      <c r="B568" s="553">
        <v>44238</v>
      </c>
      <c r="C568" t="s">
        <v>1159</v>
      </c>
      <c r="D568" s="281">
        <v>6</v>
      </c>
      <c r="E568" t="s">
        <v>2031</v>
      </c>
      <c r="F568" t="s">
        <v>534</v>
      </c>
      <c r="G568" t="s">
        <v>789</v>
      </c>
      <c r="H568" t="s">
        <v>1113</v>
      </c>
      <c r="I568">
        <v>5010000000</v>
      </c>
      <c r="J568" s="560">
        <v>100</v>
      </c>
      <c r="K568" s="560">
        <f t="shared" si="17"/>
        <v>36</v>
      </c>
      <c r="L568" s="560">
        <f t="shared" si="18"/>
        <v>1</v>
      </c>
      <c r="M568" s="560" t="e">
        <f>SUMIFS('[1]MAIN-101'!$Z$1:$Z$3000,'[1]MAIN-101'!$X$1:$X$3000,S568)</f>
        <v>#VALUE!</v>
      </c>
      <c r="N568" s="560"/>
      <c r="O568" s="560"/>
      <c r="S568" t="str">
        <f>VLOOKUP(C568,'Recon of ORS and DV'!$A$4:$B$358,2,FALSE)</f>
        <v>0208</v>
      </c>
    </row>
    <row r="569" spans="1:19">
      <c r="B569" s="553">
        <v>44238</v>
      </c>
      <c r="C569" t="s">
        <v>1160</v>
      </c>
      <c r="D569" s="281">
        <v>13</v>
      </c>
      <c r="E569" t="s">
        <v>2036</v>
      </c>
      <c r="F569" t="s">
        <v>501</v>
      </c>
      <c r="G569" t="s">
        <v>789</v>
      </c>
      <c r="H569" t="s">
        <v>1125</v>
      </c>
      <c r="I569" t="s">
        <v>2036</v>
      </c>
      <c r="J569" s="560">
        <v>77256</v>
      </c>
      <c r="K569" s="560">
        <f t="shared" si="17"/>
        <v>6</v>
      </c>
      <c r="L569" s="560">
        <f t="shared" si="18"/>
        <v>6</v>
      </c>
    </row>
    <row r="570" spans="1:19">
      <c r="B570" s="553">
        <v>44238</v>
      </c>
      <c r="C570" t="s">
        <v>1160</v>
      </c>
      <c r="D570" s="281">
        <v>13</v>
      </c>
      <c r="E570" t="s">
        <v>2027</v>
      </c>
      <c r="F570" t="s">
        <v>504</v>
      </c>
      <c r="G570" t="s">
        <v>789</v>
      </c>
      <c r="H570" t="s">
        <v>1125</v>
      </c>
      <c r="I570" t="s">
        <v>2036</v>
      </c>
      <c r="J570" s="560">
        <v>4000</v>
      </c>
      <c r="K570" s="560">
        <f t="shared" si="17"/>
        <v>6</v>
      </c>
      <c r="L570" s="560">
        <f t="shared" si="18"/>
        <v>5</v>
      </c>
    </row>
    <row r="571" spans="1:19">
      <c r="B571" s="553">
        <v>44238</v>
      </c>
      <c r="C571" t="s">
        <v>1160</v>
      </c>
      <c r="D571" s="281">
        <v>13</v>
      </c>
      <c r="E571" t="s">
        <v>2028</v>
      </c>
      <c r="F571" t="s">
        <v>528</v>
      </c>
      <c r="G571" t="s">
        <v>789</v>
      </c>
      <c r="H571" t="s">
        <v>1125</v>
      </c>
      <c r="I571" t="s">
        <v>2036</v>
      </c>
      <c r="J571" s="560">
        <v>9270.7199999999993</v>
      </c>
      <c r="K571" s="560">
        <f t="shared" si="17"/>
        <v>6</v>
      </c>
      <c r="L571" s="560">
        <f t="shared" si="18"/>
        <v>4</v>
      </c>
    </row>
    <row r="572" spans="1:19">
      <c r="B572" s="553">
        <v>44238</v>
      </c>
      <c r="C572" t="s">
        <v>1160</v>
      </c>
      <c r="D572" s="281">
        <v>13</v>
      </c>
      <c r="E572" t="s">
        <v>2029</v>
      </c>
      <c r="F572" t="s">
        <v>530</v>
      </c>
      <c r="G572" t="s">
        <v>789</v>
      </c>
      <c r="H572" t="s">
        <v>1125</v>
      </c>
      <c r="I572" t="s">
        <v>2036</v>
      </c>
      <c r="J572" s="560">
        <v>200</v>
      </c>
      <c r="K572" s="560">
        <f t="shared" si="17"/>
        <v>6</v>
      </c>
      <c r="L572" s="560">
        <f t="shared" si="18"/>
        <v>3</v>
      </c>
    </row>
    <row r="573" spans="1:19">
      <c r="B573" s="553">
        <v>44238</v>
      </c>
      <c r="C573" t="s">
        <v>1160</v>
      </c>
      <c r="D573" s="281">
        <v>13</v>
      </c>
      <c r="E573" t="s">
        <v>2030</v>
      </c>
      <c r="F573" t="s">
        <v>532</v>
      </c>
      <c r="G573" t="s">
        <v>789</v>
      </c>
      <c r="H573" t="s">
        <v>1125</v>
      </c>
      <c r="I573" t="s">
        <v>2036</v>
      </c>
      <c r="J573" s="560">
        <v>1158.8499999999999</v>
      </c>
      <c r="K573" s="560">
        <f t="shared" si="17"/>
        <v>6</v>
      </c>
      <c r="L573" s="560">
        <f t="shared" si="18"/>
        <v>2</v>
      </c>
    </row>
    <row r="574" spans="1:19">
      <c r="A574" t="s">
        <v>2154</v>
      </c>
      <c r="B574" s="553">
        <v>44238</v>
      </c>
      <c r="C574" t="s">
        <v>1160</v>
      </c>
      <c r="D574" s="281">
        <v>13</v>
      </c>
      <c r="E574" t="s">
        <v>2031</v>
      </c>
      <c r="F574" t="s">
        <v>534</v>
      </c>
      <c r="G574" t="s">
        <v>789</v>
      </c>
      <c r="H574" t="s">
        <v>1125</v>
      </c>
      <c r="I574" t="s">
        <v>2036</v>
      </c>
      <c r="J574" s="560">
        <v>200</v>
      </c>
      <c r="K574" s="560">
        <f t="shared" si="17"/>
        <v>6</v>
      </c>
      <c r="L574" s="560">
        <f t="shared" si="18"/>
        <v>1</v>
      </c>
      <c r="M574" s="560" t="e">
        <f>SUMIFS('[1]MAIN-101'!$Z$1:$Z$3000,'[1]MAIN-101'!$X$1:$X$3000,S574)</f>
        <v>#VALUE!</v>
      </c>
      <c r="N574" s="560"/>
      <c r="O574" s="560"/>
      <c r="S574" t="str">
        <f>VLOOKUP(C574,'Recon of ORS and DV'!$A$4:$B$358,2,FALSE)</f>
        <v>0209</v>
      </c>
    </row>
    <row r="575" spans="1:19">
      <c r="B575" s="553">
        <v>44238</v>
      </c>
      <c r="C575" t="s">
        <v>1161</v>
      </c>
      <c r="D575" s="281">
        <v>1</v>
      </c>
      <c r="E575" t="s">
        <v>2026</v>
      </c>
      <c r="F575" t="s">
        <v>499</v>
      </c>
      <c r="G575" t="s">
        <v>768</v>
      </c>
      <c r="H575" t="s">
        <v>1113</v>
      </c>
      <c r="I575">
        <v>5010000000</v>
      </c>
      <c r="J575" s="560">
        <v>145528</v>
      </c>
      <c r="K575" s="560">
        <f t="shared" si="17"/>
        <v>30</v>
      </c>
      <c r="L575" s="560">
        <f t="shared" si="18"/>
        <v>30</v>
      </c>
    </row>
    <row r="576" spans="1:19">
      <c r="B576" s="553">
        <v>44238</v>
      </c>
      <c r="C576" t="s">
        <v>1161</v>
      </c>
      <c r="D576" s="281">
        <v>1</v>
      </c>
      <c r="E576" t="s">
        <v>2027</v>
      </c>
      <c r="F576" t="s">
        <v>504</v>
      </c>
      <c r="G576" t="s">
        <v>768</v>
      </c>
      <c r="H576" t="s">
        <v>1113</v>
      </c>
      <c r="I576">
        <v>5010000000</v>
      </c>
      <c r="J576" s="560">
        <v>6000</v>
      </c>
      <c r="K576" s="560">
        <f t="shared" si="17"/>
        <v>30</v>
      </c>
      <c r="L576" s="560">
        <f t="shared" si="18"/>
        <v>29</v>
      </c>
    </row>
    <row r="577" spans="2:12">
      <c r="B577" s="553">
        <v>44238</v>
      </c>
      <c r="C577" t="s">
        <v>1161</v>
      </c>
      <c r="D577" s="281">
        <v>1</v>
      </c>
      <c r="E577" t="s">
        <v>2028</v>
      </c>
      <c r="F577" t="s">
        <v>528</v>
      </c>
      <c r="G577" t="s">
        <v>768</v>
      </c>
      <c r="H577" t="s">
        <v>1113</v>
      </c>
      <c r="I577">
        <v>5010301000</v>
      </c>
      <c r="J577" s="560">
        <v>17463.36</v>
      </c>
      <c r="K577" s="560">
        <f t="shared" si="17"/>
        <v>30</v>
      </c>
      <c r="L577" s="560">
        <f t="shared" si="18"/>
        <v>28</v>
      </c>
    </row>
    <row r="578" spans="2:12">
      <c r="B578" s="553">
        <v>44238</v>
      </c>
      <c r="C578" t="s">
        <v>1161</v>
      </c>
      <c r="D578" s="281">
        <v>1</v>
      </c>
      <c r="E578" t="s">
        <v>2029</v>
      </c>
      <c r="F578" t="s">
        <v>530</v>
      </c>
      <c r="G578" t="s">
        <v>768</v>
      </c>
      <c r="H578" t="s">
        <v>1113</v>
      </c>
      <c r="I578">
        <v>5010000000</v>
      </c>
      <c r="J578" s="560">
        <v>300</v>
      </c>
      <c r="K578" s="560">
        <f t="shared" si="17"/>
        <v>30</v>
      </c>
      <c r="L578" s="560">
        <f t="shared" si="18"/>
        <v>27</v>
      </c>
    </row>
    <row r="579" spans="2:12">
      <c r="B579" s="553">
        <v>44238</v>
      </c>
      <c r="C579" t="s">
        <v>1161</v>
      </c>
      <c r="D579" s="281">
        <v>1</v>
      </c>
      <c r="E579" t="s">
        <v>2030</v>
      </c>
      <c r="F579" t="s">
        <v>532</v>
      </c>
      <c r="G579" t="s">
        <v>768</v>
      </c>
      <c r="H579" t="s">
        <v>1113</v>
      </c>
      <c r="I579">
        <v>5010000000</v>
      </c>
      <c r="J579" s="560">
        <v>1781.79</v>
      </c>
      <c r="K579" s="560">
        <f t="shared" si="17"/>
        <v>30</v>
      </c>
      <c r="L579" s="560">
        <f t="shared" si="18"/>
        <v>26</v>
      </c>
    </row>
    <row r="580" spans="2:12">
      <c r="B580" s="553">
        <v>44238</v>
      </c>
      <c r="C580" t="s">
        <v>1161</v>
      </c>
      <c r="D580" s="281">
        <v>1</v>
      </c>
      <c r="E580" t="s">
        <v>2031</v>
      </c>
      <c r="F580" t="s">
        <v>534</v>
      </c>
      <c r="G580" t="s">
        <v>768</v>
      </c>
      <c r="H580" t="s">
        <v>1113</v>
      </c>
      <c r="I580">
        <v>5010000000</v>
      </c>
      <c r="J580" s="560">
        <v>300</v>
      </c>
      <c r="K580" s="560">
        <f t="shared" ref="K580:K643" si="19">COUNTIFS($C$3:$C$1556,C580)</f>
        <v>30</v>
      </c>
      <c r="L580" s="560">
        <f t="shared" si="18"/>
        <v>25</v>
      </c>
    </row>
    <row r="581" spans="2:12">
      <c r="B581" s="553">
        <v>44238</v>
      </c>
      <c r="C581" t="s">
        <v>1161</v>
      </c>
      <c r="D581" s="281">
        <v>2</v>
      </c>
      <c r="E581" t="s">
        <v>2026</v>
      </c>
      <c r="F581" t="s">
        <v>499</v>
      </c>
      <c r="G581" t="s">
        <v>768</v>
      </c>
      <c r="H581" t="s">
        <v>1113</v>
      </c>
      <c r="I581">
        <v>5010000000</v>
      </c>
      <c r="J581" s="560">
        <v>46261</v>
      </c>
      <c r="K581" s="560">
        <f t="shared" si="19"/>
        <v>30</v>
      </c>
      <c r="L581" s="560">
        <f t="shared" si="18"/>
        <v>24</v>
      </c>
    </row>
    <row r="582" spans="2:12">
      <c r="B582" s="553">
        <v>44238</v>
      </c>
      <c r="C582" t="s">
        <v>1161</v>
      </c>
      <c r="D582" s="281">
        <v>2</v>
      </c>
      <c r="E582" t="s">
        <v>2027</v>
      </c>
      <c r="F582" t="s">
        <v>504</v>
      </c>
      <c r="G582" t="s">
        <v>768</v>
      </c>
      <c r="H582" t="s">
        <v>1113</v>
      </c>
      <c r="I582">
        <v>5010000000</v>
      </c>
      <c r="J582" s="560">
        <v>2000</v>
      </c>
      <c r="K582" s="560">
        <f t="shared" si="19"/>
        <v>30</v>
      </c>
      <c r="L582" s="560">
        <f t="shared" si="18"/>
        <v>23</v>
      </c>
    </row>
    <row r="583" spans="2:12">
      <c r="B583" s="553">
        <v>44238</v>
      </c>
      <c r="C583" t="s">
        <v>1161</v>
      </c>
      <c r="D583" s="281">
        <v>2</v>
      </c>
      <c r="E583" t="s">
        <v>2028</v>
      </c>
      <c r="F583" t="s">
        <v>528</v>
      </c>
      <c r="G583" t="s">
        <v>768</v>
      </c>
      <c r="H583" t="s">
        <v>1113</v>
      </c>
      <c r="I583">
        <v>5010301000</v>
      </c>
      <c r="J583" s="560">
        <v>5551.32</v>
      </c>
      <c r="K583" s="560">
        <f t="shared" si="19"/>
        <v>30</v>
      </c>
      <c r="L583" s="560">
        <f t="shared" si="18"/>
        <v>22</v>
      </c>
    </row>
    <row r="584" spans="2:12">
      <c r="B584" s="553">
        <v>44238</v>
      </c>
      <c r="C584" t="s">
        <v>1161</v>
      </c>
      <c r="D584" s="281">
        <v>2</v>
      </c>
      <c r="E584" t="s">
        <v>2029</v>
      </c>
      <c r="F584" t="s">
        <v>530</v>
      </c>
      <c r="G584" t="s">
        <v>768</v>
      </c>
      <c r="H584" t="s">
        <v>1113</v>
      </c>
      <c r="I584">
        <v>5010000000</v>
      </c>
      <c r="J584" s="560">
        <v>100</v>
      </c>
      <c r="K584" s="560">
        <f t="shared" si="19"/>
        <v>30</v>
      </c>
      <c r="L584" s="560">
        <f t="shared" si="18"/>
        <v>21</v>
      </c>
    </row>
    <row r="585" spans="2:12">
      <c r="B585" s="553">
        <v>44238</v>
      </c>
      <c r="C585" t="s">
        <v>1161</v>
      </c>
      <c r="D585" s="281">
        <v>2</v>
      </c>
      <c r="E585" t="s">
        <v>2030</v>
      </c>
      <c r="F585" t="s">
        <v>532</v>
      </c>
      <c r="G585" t="s">
        <v>768</v>
      </c>
      <c r="H585" t="s">
        <v>1113</v>
      </c>
      <c r="I585">
        <v>5010000000</v>
      </c>
      <c r="J585" s="560">
        <v>693.92</v>
      </c>
      <c r="K585" s="560">
        <f t="shared" si="19"/>
        <v>30</v>
      </c>
      <c r="L585" s="560">
        <f t="shared" si="18"/>
        <v>20</v>
      </c>
    </row>
    <row r="586" spans="2:12">
      <c r="B586" s="553">
        <v>44238</v>
      </c>
      <c r="C586" t="s">
        <v>1161</v>
      </c>
      <c r="D586" s="281">
        <v>2</v>
      </c>
      <c r="E586" t="s">
        <v>2031</v>
      </c>
      <c r="F586" t="s">
        <v>534</v>
      </c>
      <c r="G586" t="s">
        <v>768</v>
      </c>
      <c r="H586" t="s">
        <v>1113</v>
      </c>
      <c r="I586">
        <v>5010000000</v>
      </c>
      <c r="J586" s="560">
        <v>100</v>
      </c>
      <c r="K586" s="560">
        <f t="shared" si="19"/>
        <v>30</v>
      </c>
      <c r="L586" s="560">
        <f t="shared" si="18"/>
        <v>19</v>
      </c>
    </row>
    <row r="587" spans="2:12">
      <c r="B587" s="553">
        <v>44238</v>
      </c>
      <c r="C587" t="s">
        <v>1161</v>
      </c>
      <c r="D587" s="281">
        <v>3</v>
      </c>
      <c r="E587" t="s">
        <v>2026</v>
      </c>
      <c r="F587" t="s">
        <v>499</v>
      </c>
      <c r="G587" t="s">
        <v>768</v>
      </c>
      <c r="H587" t="s">
        <v>1113</v>
      </c>
      <c r="I587">
        <v>5010000000</v>
      </c>
      <c r="J587" s="560">
        <v>111742</v>
      </c>
      <c r="K587" s="560">
        <f t="shared" si="19"/>
        <v>30</v>
      </c>
      <c r="L587" s="560">
        <f t="shared" si="18"/>
        <v>18</v>
      </c>
    </row>
    <row r="588" spans="2:12">
      <c r="B588" s="553">
        <v>44238</v>
      </c>
      <c r="C588" t="s">
        <v>1161</v>
      </c>
      <c r="D588" s="281">
        <v>3</v>
      </c>
      <c r="E588" t="s">
        <v>2027</v>
      </c>
      <c r="F588" t="s">
        <v>504</v>
      </c>
      <c r="G588" t="s">
        <v>768</v>
      </c>
      <c r="H588" t="s">
        <v>1113</v>
      </c>
      <c r="I588">
        <v>5010000000</v>
      </c>
      <c r="J588" s="560">
        <v>2000</v>
      </c>
      <c r="K588" s="560">
        <f t="shared" si="19"/>
        <v>30</v>
      </c>
      <c r="L588" s="560">
        <f t="shared" si="18"/>
        <v>17</v>
      </c>
    </row>
    <row r="589" spans="2:12">
      <c r="B589" s="553">
        <v>44238</v>
      </c>
      <c r="C589" t="s">
        <v>1161</v>
      </c>
      <c r="D589" s="281">
        <v>3</v>
      </c>
      <c r="E589" t="s">
        <v>2028</v>
      </c>
      <c r="F589" t="s">
        <v>528</v>
      </c>
      <c r="G589" t="s">
        <v>768</v>
      </c>
      <c r="H589" t="s">
        <v>1113</v>
      </c>
      <c r="I589">
        <v>5010301000</v>
      </c>
      <c r="J589" s="560">
        <v>13409.04</v>
      </c>
      <c r="K589" s="560">
        <f t="shared" si="19"/>
        <v>30</v>
      </c>
      <c r="L589" s="560">
        <f t="shared" si="18"/>
        <v>16</v>
      </c>
    </row>
    <row r="590" spans="2:12">
      <c r="B590" s="553">
        <v>44238</v>
      </c>
      <c r="C590" t="s">
        <v>1161</v>
      </c>
      <c r="D590" s="281">
        <v>3</v>
      </c>
      <c r="E590" t="s">
        <v>2029</v>
      </c>
      <c r="F590" t="s">
        <v>530</v>
      </c>
      <c r="G590" t="s">
        <v>768</v>
      </c>
      <c r="H590" t="s">
        <v>1113</v>
      </c>
      <c r="I590">
        <v>5010000000</v>
      </c>
      <c r="J590" s="560">
        <v>100</v>
      </c>
      <c r="K590" s="560">
        <f t="shared" si="19"/>
        <v>30</v>
      </c>
      <c r="L590" s="560">
        <f t="shared" si="18"/>
        <v>15</v>
      </c>
    </row>
    <row r="591" spans="2:12">
      <c r="B591" s="553">
        <v>44238</v>
      </c>
      <c r="C591" t="s">
        <v>1161</v>
      </c>
      <c r="D591" s="281">
        <v>3</v>
      </c>
      <c r="E591" t="s">
        <v>2030</v>
      </c>
      <c r="F591" t="s">
        <v>532</v>
      </c>
      <c r="G591" t="s">
        <v>768</v>
      </c>
      <c r="H591" t="s">
        <v>1113</v>
      </c>
      <c r="I591">
        <v>5010000000</v>
      </c>
      <c r="J591" s="560">
        <v>900</v>
      </c>
      <c r="K591" s="560">
        <f t="shared" si="19"/>
        <v>30</v>
      </c>
      <c r="L591" s="560">
        <f t="shared" ref="L591:L654" si="20">COUNTIFS(C591:C2144,C591)</f>
        <v>14</v>
      </c>
    </row>
    <row r="592" spans="2:12">
      <c r="B592" s="553">
        <v>44238</v>
      </c>
      <c r="C592" t="s">
        <v>1161</v>
      </c>
      <c r="D592" s="281">
        <v>3</v>
      </c>
      <c r="E592" t="s">
        <v>2031</v>
      </c>
      <c r="F592" t="s">
        <v>534</v>
      </c>
      <c r="G592" t="s">
        <v>768</v>
      </c>
      <c r="H592" t="s">
        <v>1113</v>
      </c>
      <c r="I592">
        <v>5010000000</v>
      </c>
      <c r="J592" s="560">
        <v>100</v>
      </c>
      <c r="K592" s="560">
        <f t="shared" si="19"/>
        <v>30</v>
      </c>
      <c r="L592" s="560">
        <f t="shared" si="20"/>
        <v>13</v>
      </c>
    </row>
    <row r="593" spans="1:19">
      <c r="B593" s="553">
        <v>44238</v>
      </c>
      <c r="C593" t="s">
        <v>1161</v>
      </c>
      <c r="D593" s="281">
        <v>4</v>
      </c>
      <c r="E593" t="s">
        <v>2026</v>
      </c>
      <c r="F593" t="s">
        <v>499</v>
      </c>
      <c r="G593" t="s">
        <v>768</v>
      </c>
      <c r="H593" t="s">
        <v>1113</v>
      </c>
      <c r="I593">
        <v>5010000000</v>
      </c>
      <c r="J593" s="560">
        <v>236044</v>
      </c>
      <c r="K593" s="560">
        <f t="shared" si="19"/>
        <v>30</v>
      </c>
      <c r="L593" s="560">
        <f t="shared" si="20"/>
        <v>12</v>
      </c>
    </row>
    <row r="594" spans="1:19">
      <c r="B594" s="553">
        <v>44238</v>
      </c>
      <c r="C594" t="s">
        <v>1161</v>
      </c>
      <c r="D594" s="281">
        <v>4</v>
      </c>
      <c r="E594" t="s">
        <v>2027</v>
      </c>
      <c r="F594" t="s">
        <v>504</v>
      </c>
      <c r="G594" t="s">
        <v>768</v>
      </c>
      <c r="H594" t="s">
        <v>1113</v>
      </c>
      <c r="I594">
        <v>5010000000</v>
      </c>
      <c r="J594" s="560">
        <v>12000</v>
      </c>
      <c r="K594" s="560">
        <f t="shared" si="19"/>
        <v>30</v>
      </c>
      <c r="L594" s="560">
        <f t="shared" si="20"/>
        <v>11</v>
      </c>
    </row>
    <row r="595" spans="1:19">
      <c r="B595" s="553">
        <v>44238</v>
      </c>
      <c r="C595" t="s">
        <v>1161</v>
      </c>
      <c r="D595" s="281">
        <v>4</v>
      </c>
      <c r="E595" t="s">
        <v>2028</v>
      </c>
      <c r="F595" t="s">
        <v>528</v>
      </c>
      <c r="G595" t="s">
        <v>768</v>
      </c>
      <c r="H595" t="s">
        <v>1113</v>
      </c>
      <c r="I595">
        <v>5010301000</v>
      </c>
      <c r="J595" s="560">
        <v>28325.279999999999</v>
      </c>
      <c r="K595" s="560">
        <f t="shared" si="19"/>
        <v>30</v>
      </c>
      <c r="L595" s="560">
        <f t="shared" si="20"/>
        <v>10</v>
      </c>
    </row>
    <row r="596" spans="1:19">
      <c r="B596" s="553">
        <v>44238</v>
      </c>
      <c r="C596" t="s">
        <v>1161</v>
      </c>
      <c r="D596" s="281">
        <v>4</v>
      </c>
      <c r="E596" t="s">
        <v>2029</v>
      </c>
      <c r="F596" t="s">
        <v>530</v>
      </c>
      <c r="G596" t="s">
        <v>768</v>
      </c>
      <c r="H596" t="s">
        <v>1113</v>
      </c>
      <c r="I596">
        <v>5010000000</v>
      </c>
      <c r="J596" s="560">
        <v>600</v>
      </c>
      <c r="K596" s="560">
        <f t="shared" si="19"/>
        <v>30</v>
      </c>
      <c r="L596" s="560">
        <f t="shared" si="20"/>
        <v>9</v>
      </c>
    </row>
    <row r="597" spans="1:19">
      <c r="B597" s="553">
        <v>44238</v>
      </c>
      <c r="C597" t="s">
        <v>1161</v>
      </c>
      <c r="D597" s="281">
        <v>4</v>
      </c>
      <c r="E597" t="s">
        <v>2030</v>
      </c>
      <c r="F597" t="s">
        <v>532</v>
      </c>
      <c r="G597" t="s">
        <v>768</v>
      </c>
      <c r="H597" t="s">
        <v>1113</v>
      </c>
      <c r="I597">
        <v>5010000000</v>
      </c>
      <c r="J597" s="560">
        <v>3540.69</v>
      </c>
      <c r="K597" s="560">
        <f t="shared" si="19"/>
        <v>30</v>
      </c>
      <c r="L597" s="560">
        <f t="shared" si="20"/>
        <v>8</v>
      </c>
    </row>
    <row r="598" spans="1:19">
      <c r="B598" s="553">
        <v>44238</v>
      </c>
      <c r="C598" t="s">
        <v>1161</v>
      </c>
      <c r="D598" s="281">
        <v>4</v>
      </c>
      <c r="E598" t="s">
        <v>2031</v>
      </c>
      <c r="F598" t="s">
        <v>534</v>
      </c>
      <c r="G598" t="s">
        <v>768</v>
      </c>
      <c r="H598" t="s">
        <v>1113</v>
      </c>
      <c r="I598">
        <v>5010000000</v>
      </c>
      <c r="J598" s="560">
        <v>600</v>
      </c>
      <c r="K598" s="560">
        <f t="shared" si="19"/>
        <v>30</v>
      </c>
      <c r="L598" s="560">
        <f t="shared" si="20"/>
        <v>7</v>
      </c>
    </row>
    <row r="599" spans="1:19">
      <c r="B599" s="553">
        <v>44238</v>
      </c>
      <c r="C599" t="s">
        <v>1161</v>
      </c>
      <c r="D599" s="281">
        <v>5</v>
      </c>
      <c r="E599" t="s">
        <v>2026</v>
      </c>
      <c r="F599" t="s">
        <v>499</v>
      </c>
      <c r="G599" t="s">
        <v>768</v>
      </c>
      <c r="H599" t="s">
        <v>1113</v>
      </c>
      <c r="I599">
        <v>5010000000</v>
      </c>
      <c r="J599" s="560">
        <v>44694</v>
      </c>
      <c r="K599" s="560">
        <f t="shared" si="19"/>
        <v>30</v>
      </c>
      <c r="L599" s="560">
        <f t="shared" si="20"/>
        <v>6</v>
      </c>
    </row>
    <row r="600" spans="1:19">
      <c r="B600" s="553">
        <v>44238</v>
      </c>
      <c r="C600" t="s">
        <v>1161</v>
      </c>
      <c r="D600" s="281">
        <v>5</v>
      </c>
      <c r="E600" t="s">
        <v>2027</v>
      </c>
      <c r="F600" t="s">
        <v>504</v>
      </c>
      <c r="G600" t="s">
        <v>768</v>
      </c>
      <c r="H600" t="s">
        <v>1113</v>
      </c>
      <c r="I600">
        <v>5010000000</v>
      </c>
      <c r="J600" s="560">
        <v>2000</v>
      </c>
      <c r="K600" s="560">
        <f t="shared" si="19"/>
        <v>30</v>
      </c>
      <c r="L600" s="560">
        <f t="shared" si="20"/>
        <v>5</v>
      </c>
    </row>
    <row r="601" spans="1:19">
      <c r="B601" s="553">
        <v>44238</v>
      </c>
      <c r="C601" t="s">
        <v>1161</v>
      </c>
      <c r="D601" s="281">
        <v>5</v>
      </c>
      <c r="E601" t="s">
        <v>2028</v>
      </c>
      <c r="F601" t="s">
        <v>528</v>
      </c>
      <c r="G601" t="s">
        <v>768</v>
      </c>
      <c r="H601" t="s">
        <v>1113</v>
      </c>
      <c r="I601">
        <v>5010301000</v>
      </c>
      <c r="J601" s="560">
        <v>5363.28</v>
      </c>
      <c r="K601" s="560">
        <f t="shared" si="19"/>
        <v>30</v>
      </c>
      <c r="L601" s="560">
        <f t="shared" si="20"/>
        <v>4</v>
      </c>
    </row>
    <row r="602" spans="1:19">
      <c r="B602" s="553">
        <v>44238</v>
      </c>
      <c r="C602" t="s">
        <v>1161</v>
      </c>
      <c r="D602" s="281">
        <v>5</v>
      </c>
      <c r="E602" t="s">
        <v>2029</v>
      </c>
      <c r="F602" t="s">
        <v>530</v>
      </c>
      <c r="G602" t="s">
        <v>768</v>
      </c>
      <c r="H602" t="s">
        <v>1113</v>
      </c>
      <c r="I602">
        <v>5010000000</v>
      </c>
      <c r="J602" s="560">
        <v>100</v>
      </c>
      <c r="K602" s="560">
        <f t="shared" si="19"/>
        <v>30</v>
      </c>
      <c r="L602" s="560">
        <f t="shared" si="20"/>
        <v>3</v>
      </c>
    </row>
    <row r="603" spans="1:19">
      <c r="B603" s="553">
        <v>44238</v>
      </c>
      <c r="C603" t="s">
        <v>1161</v>
      </c>
      <c r="D603" s="281">
        <v>5</v>
      </c>
      <c r="E603" t="s">
        <v>2030</v>
      </c>
      <c r="F603" t="s">
        <v>532</v>
      </c>
      <c r="G603" t="s">
        <v>768</v>
      </c>
      <c r="H603" t="s">
        <v>1113</v>
      </c>
      <c r="I603">
        <v>5010000000</v>
      </c>
      <c r="J603" s="560">
        <v>670.41</v>
      </c>
      <c r="K603" s="560">
        <f t="shared" si="19"/>
        <v>30</v>
      </c>
      <c r="L603" s="560">
        <f t="shared" si="20"/>
        <v>2</v>
      </c>
    </row>
    <row r="604" spans="1:19">
      <c r="A604" t="s">
        <v>2155</v>
      </c>
      <c r="B604" s="553">
        <v>44238</v>
      </c>
      <c r="C604" t="s">
        <v>1161</v>
      </c>
      <c r="D604" s="281">
        <v>5</v>
      </c>
      <c r="E604" t="s">
        <v>2031</v>
      </c>
      <c r="F604" t="s">
        <v>534</v>
      </c>
      <c r="G604" t="s">
        <v>768</v>
      </c>
      <c r="H604" t="s">
        <v>1113</v>
      </c>
      <c r="I604">
        <v>5010000000</v>
      </c>
      <c r="J604" s="560">
        <v>100</v>
      </c>
      <c r="K604" s="560">
        <f t="shared" si="19"/>
        <v>30</v>
      </c>
      <c r="L604" s="560">
        <f t="shared" si="20"/>
        <v>1</v>
      </c>
      <c r="M604" s="560" t="e">
        <f>SUMIFS('[1]MAIN-101'!$Z$1:$Z$3000,'[1]MAIN-101'!$X$1:$X$3000,S604)</f>
        <v>#VALUE!</v>
      </c>
      <c r="N604" s="560"/>
      <c r="O604" s="560"/>
      <c r="S604" t="str">
        <f>VLOOKUP(C604,'Recon of ORS and DV'!$A$4:$B$358,2,FALSE)</f>
        <v>0207</v>
      </c>
    </row>
    <row r="605" spans="1:19">
      <c r="B605" s="553">
        <v>44238</v>
      </c>
      <c r="C605" t="s">
        <v>1162</v>
      </c>
      <c r="D605" s="281">
        <v>13</v>
      </c>
      <c r="E605" t="s">
        <v>2036</v>
      </c>
      <c r="F605" t="s">
        <v>501</v>
      </c>
      <c r="G605" t="s">
        <v>768</v>
      </c>
      <c r="H605" t="s">
        <v>1125</v>
      </c>
      <c r="I605" t="s">
        <v>2036</v>
      </c>
      <c r="J605" s="560">
        <v>77256</v>
      </c>
      <c r="K605" s="560">
        <f t="shared" si="19"/>
        <v>6</v>
      </c>
      <c r="L605" s="560">
        <f t="shared" si="20"/>
        <v>6</v>
      </c>
    </row>
    <row r="606" spans="1:19">
      <c r="B606" s="553">
        <v>44238</v>
      </c>
      <c r="C606" t="s">
        <v>1162</v>
      </c>
      <c r="D606" s="281">
        <v>13</v>
      </c>
      <c r="E606" t="s">
        <v>2027</v>
      </c>
      <c r="F606" t="s">
        <v>504</v>
      </c>
      <c r="G606" t="s">
        <v>768</v>
      </c>
      <c r="H606" t="s">
        <v>1125</v>
      </c>
      <c r="I606" t="s">
        <v>2036</v>
      </c>
      <c r="J606" s="560">
        <v>4000</v>
      </c>
      <c r="K606" s="560">
        <f t="shared" si="19"/>
        <v>6</v>
      </c>
      <c r="L606" s="560">
        <f t="shared" si="20"/>
        <v>5</v>
      </c>
    </row>
    <row r="607" spans="1:19">
      <c r="B607" s="553">
        <v>44238</v>
      </c>
      <c r="C607" t="s">
        <v>1162</v>
      </c>
      <c r="D607" s="281">
        <v>13</v>
      </c>
      <c r="E607" t="s">
        <v>2028</v>
      </c>
      <c r="F607" t="s">
        <v>528</v>
      </c>
      <c r="G607" t="s">
        <v>768</v>
      </c>
      <c r="H607" t="s">
        <v>1125</v>
      </c>
      <c r="I607" t="s">
        <v>2036</v>
      </c>
      <c r="J607" s="560">
        <v>9270.7199999999993</v>
      </c>
      <c r="K607" s="560">
        <f t="shared" si="19"/>
        <v>6</v>
      </c>
      <c r="L607" s="560">
        <f t="shared" si="20"/>
        <v>4</v>
      </c>
    </row>
    <row r="608" spans="1:19">
      <c r="B608" s="553">
        <v>44238</v>
      </c>
      <c r="C608" t="s">
        <v>1162</v>
      </c>
      <c r="D608" s="281">
        <v>13</v>
      </c>
      <c r="E608" t="s">
        <v>2029</v>
      </c>
      <c r="F608" t="s">
        <v>530</v>
      </c>
      <c r="G608" t="s">
        <v>768</v>
      </c>
      <c r="H608" t="s">
        <v>1125</v>
      </c>
      <c r="I608" t="s">
        <v>2036</v>
      </c>
      <c r="J608" s="560">
        <v>200</v>
      </c>
      <c r="K608" s="560">
        <f t="shared" si="19"/>
        <v>6</v>
      </c>
      <c r="L608" s="560">
        <f t="shared" si="20"/>
        <v>3</v>
      </c>
    </row>
    <row r="609" spans="1:19">
      <c r="B609" s="553">
        <v>44238</v>
      </c>
      <c r="C609" t="s">
        <v>1162</v>
      </c>
      <c r="D609" s="281">
        <v>13</v>
      </c>
      <c r="E609" t="s">
        <v>2030</v>
      </c>
      <c r="F609" t="s">
        <v>532</v>
      </c>
      <c r="G609" t="s">
        <v>768</v>
      </c>
      <c r="H609" t="s">
        <v>1125</v>
      </c>
      <c r="I609" t="s">
        <v>2036</v>
      </c>
      <c r="J609" s="560">
        <v>1158.8499999999999</v>
      </c>
      <c r="K609" s="560">
        <f t="shared" si="19"/>
        <v>6</v>
      </c>
      <c r="L609" s="560">
        <f t="shared" si="20"/>
        <v>2</v>
      </c>
    </row>
    <row r="610" spans="1:19">
      <c r="A610" t="s">
        <v>2156</v>
      </c>
      <c r="B610" s="553">
        <v>44238</v>
      </c>
      <c r="C610" t="s">
        <v>1162</v>
      </c>
      <c r="D610" s="281">
        <v>13</v>
      </c>
      <c r="E610" t="s">
        <v>2031</v>
      </c>
      <c r="F610" t="s">
        <v>534</v>
      </c>
      <c r="G610" t="s">
        <v>768</v>
      </c>
      <c r="H610" t="s">
        <v>1125</v>
      </c>
      <c r="I610" t="s">
        <v>2036</v>
      </c>
      <c r="J610" s="560">
        <v>200</v>
      </c>
      <c r="K610" s="560">
        <f t="shared" si="19"/>
        <v>6</v>
      </c>
      <c r="L610" s="560">
        <f t="shared" si="20"/>
        <v>1</v>
      </c>
      <c r="M610" s="560" t="e">
        <f>SUMIFS('[1]MAIN-101'!$Z$1:$Z$3000,'[1]MAIN-101'!$X$1:$X$3000,S610)</f>
        <v>#VALUE!</v>
      </c>
      <c r="N610" s="560"/>
      <c r="O610" s="560"/>
      <c r="S610" t="str">
        <f>VLOOKUP(C610,'Recon of ORS and DV'!$A$4:$B$358,2,FALSE)</f>
        <v>0206</v>
      </c>
    </row>
    <row r="611" spans="1:19">
      <c r="B611" s="553">
        <v>44238</v>
      </c>
      <c r="C611" t="s">
        <v>1163</v>
      </c>
      <c r="D611" s="281">
        <v>13</v>
      </c>
      <c r="E611" t="s">
        <v>2036</v>
      </c>
      <c r="F611" t="s">
        <v>501</v>
      </c>
      <c r="G611" t="s">
        <v>867</v>
      </c>
      <c r="H611" t="s">
        <v>1125</v>
      </c>
      <c r="I611" t="s">
        <v>2036</v>
      </c>
      <c r="J611" s="560">
        <v>33575</v>
      </c>
      <c r="K611" s="560">
        <f t="shared" si="19"/>
        <v>6</v>
      </c>
      <c r="L611" s="560">
        <f t="shared" si="20"/>
        <v>6</v>
      </c>
    </row>
    <row r="612" spans="1:19">
      <c r="B612" s="553">
        <v>44238</v>
      </c>
      <c r="C612" t="s">
        <v>1163</v>
      </c>
      <c r="D612" s="281">
        <v>13</v>
      </c>
      <c r="E612" t="s">
        <v>2027</v>
      </c>
      <c r="F612" t="s">
        <v>504</v>
      </c>
      <c r="G612" t="s">
        <v>867</v>
      </c>
      <c r="H612" t="s">
        <v>1125</v>
      </c>
      <c r="I612" t="s">
        <v>2036</v>
      </c>
      <c r="J612" s="560">
        <v>2000</v>
      </c>
      <c r="K612" s="560">
        <f t="shared" si="19"/>
        <v>6</v>
      </c>
      <c r="L612" s="560">
        <f t="shared" si="20"/>
        <v>5</v>
      </c>
    </row>
    <row r="613" spans="1:19">
      <c r="B613" s="553">
        <v>44238</v>
      </c>
      <c r="C613" t="s">
        <v>1163</v>
      </c>
      <c r="D613" s="281">
        <v>13</v>
      </c>
      <c r="E613" t="s">
        <v>2028</v>
      </c>
      <c r="F613" t="s">
        <v>528</v>
      </c>
      <c r="G613" t="s">
        <v>867</v>
      </c>
      <c r="H613" t="s">
        <v>1125</v>
      </c>
      <c r="I613" t="s">
        <v>2036</v>
      </c>
      <c r="J613" s="560">
        <v>4029</v>
      </c>
      <c r="K613" s="560">
        <f t="shared" si="19"/>
        <v>6</v>
      </c>
      <c r="L613" s="560">
        <f t="shared" si="20"/>
        <v>4</v>
      </c>
    </row>
    <row r="614" spans="1:19">
      <c r="B614" s="553">
        <v>44238</v>
      </c>
      <c r="C614" t="s">
        <v>1163</v>
      </c>
      <c r="D614" s="281">
        <v>13</v>
      </c>
      <c r="E614" t="s">
        <v>2029</v>
      </c>
      <c r="F614" t="s">
        <v>530</v>
      </c>
      <c r="G614" t="s">
        <v>867</v>
      </c>
      <c r="H614" t="s">
        <v>1125</v>
      </c>
      <c r="I614" t="s">
        <v>2036</v>
      </c>
      <c r="J614" s="560">
        <v>100</v>
      </c>
      <c r="K614" s="560">
        <f t="shared" si="19"/>
        <v>6</v>
      </c>
      <c r="L614" s="560">
        <f t="shared" si="20"/>
        <v>3</v>
      </c>
    </row>
    <row r="615" spans="1:19">
      <c r="B615" s="553">
        <v>44238</v>
      </c>
      <c r="C615" t="s">
        <v>1163</v>
      </c>
      <c r="D615" s="281">
        <v>13</v>
      </c>
      <c r="E615" t="s">
        <v>2030</v>
      </c>
      <c r="F615" t="s">
        <v>532</v>
      </c>
      <c r="G615" t="s">
        <v>867</v>
      </c>
      <c r="H615" t="s">
        <v>1125</v>
      </c>
      <c r="I615" t="s">
        <v>2036</v>
      </c>
      <c r="J615" s="560">
        <v>503.63</v>
      </c>
      <c r="K615" s="560">
        <f t="shared" si="19"/>
        <v>6</v>
      </c>
      <c r="L615" s="560">
        <f t="shared" si="20"/>
        <v>2</v>
      </c>
    </row>
    <row r="616" spans="1:19">
      <c r="A616" t="s">
        <v>2157</v>
      </c>
      <c r="B616" s="553">
        <v>44238</v>
      </c>
      <c r="C616" t="s">
        <v>1163</v>
      </c>
      <c r="D616" s="281">
        <v>13</v>
      </c>
      <c r="E616" t="s">
        <v>2031</v>
      </c>
      <c r="F616" t="s">
        <v>534</v>
      </c>
      <c r="G616" t="s">
        <v>867</v>
      </c>
      <c r="H616" t="s">
        <v>1125</v>
      </c>
      <c r="I616" t="s">
        <v>2036</v>
      </c>
      <c r="J616" s="560">
        <v>100</v>
      </c>
      <c r="K616" s="560">
        <f t="shared" si="19"/>
        <v>6</v>
      </c>
      <c r="L616" s="560">
        <f t="shared" si="20"/>
        <v>1</v>
      </c>
      <c r="M616" s="560" t="e">
        <f>SUMIFS('[1]MAIN-101'!$Z$1:$Z$3000,'[1]MAIN-101'!$X$1:$X$3000,S616)</f>
        <v>#VALUE!</v>
      </c>
      <c r="N616" s="560"/>
      <c r="O616" s="560"/>
      <c r="S616" t="str">
        <f>VLOOKUP(C616,'Recon of ORS and DV'!$A$4:$B$358,2,FALSE)</f>
        <v>0205</v>
      </c>
    </row>
    <row r="617" spans="1:19">
      <c r="B617" s="553">
        <v>44238</v>
      </c>
      <c r="C617" t="s">
        <v>1164</v>
      </c>
      <c r="D617" s="281">
        <v>1</v>
      </c>
      <c r="E617" t="s">
        <v>2026</v>
      </c>
      <c r="F617" t="s">
        <v>499</v>
      </c>
      <c r="G617" t="s">
        <v>764</v>
      </c>
      <c r="H617" t="s">
        <v>1113</v>
      </c>
      <c r="I617">
        <v>5010000000</v>
      </c>
      <c r="J617" s="560">
        <v>99206</v>
      </c>
      <c r="K617" s="560">
        <f t="shared" si="19"/>
        <v>24</v>
      </c>
      <c r="L617" s="560">
        <f t="shared" si="20"/>
        <v>24</v>
      </c>
    </row>
    <row r="618" spans="1:19">
      <c r="B618" s="553">
        <v>44238</v>
      </c>
      <c r="C618" t="s">
        <v>1164</v>
      </c>
      <c r="D618" s="281">
        <v>1</v>
      </c>
      <c r="E618" t="s">
        <v>2027</v>
      </c>
      <c r="F618" t="s">
        <v>504</v>
      </c>
      <c r="G618" t="s">
        <v>764</v>
      </c>
      <c r="H618" t="s">
        <v>1113</v>
      </c>
      <c r="I618">
        <v>5010000000</v>
      </c>
      <c r="J618" s="560">
        <v>8000</v>
      </c>
      <c r="K618" s="560">
        <f t="shared" si="19"/>
        <v>24</v>
      </c>
      <c r="L618" s="560">
        <f t="shared" si="20"/>
        <v>23</v>
      </c>
    </row>
    <row r="619" spans="1:19">
      <c r="B619" s="553">
        <v>44238</v>
      </c>
      <c r="C619" t="s">
        <v>1164</v>
      </c>
      <c r="D619" s="281">
        <v>1</v>
      </c>
      <c r="E619" t="s">
        <v>2028</v>
      </c>
      <c r="F619" t="s">
        <v>528</v>
      </c>
      <c r="G619" t="s">
        <v>764</v>
      </c>
      <c r="H619" t="s">
        <v>1113</v>
      </c>
      <c r="I619">
        <v>5010301000</v>
      </c>
      <c r="J619" s="560">
        <v>11904.72</v>
      </c>
      <c r="K619" s="560">
        <f t="shared" si="19"/>
        <v>24</v>
      </c>
      <c r="L619" s="560">
        <f t="shared" si="20"/>
        <v>22</v>
      </c>
    </row>
    <row r="620" spans="1:19">
      <c r="B620" s="553">
        <v>44238</v>
      </c>
      <c r="C620" t="s">
        <v>1164</v>
      </c>
      <c r="D620" s="281">
        <v>1</v>
      </c>
      <c r="E620" t="s">
        <v>2029</v>
      </c>
      <c r="F620" t="s">
        <v>530</v>
      </c>
      <c r="G620" t="s">
        <v>764</v>
      </c>
      <c r="H620" t="s">
        <v>1113</v>
      </c>
      <c r="I620">
        <v>5010000000</v>
      </c>
      <c r="J620" s="560">
        <v>400</v>
      </c>
      <c r="K620" s="560">
        <f t="shared" si="19"/>
        <v>24</v>
      </c>
      <c r="L620" s="560">
        <f t="shared" si="20"/>
        <v>21</v>
      </c>
    </row>
    <row r="621" spans="1:19">
      <c r="B621" s="553">
        <v>44238</v>
      </c>
      <c r="C621" t="s">
        <v>1164</v>
      </c>
      <c r="D621" s="281">
        <v>1</v>
      </c>
      <c r="E621" t="s">
        <v>2030</v>
      </c>
      <c r="F621" t="s">
        <v>532</v>
      </c>
      <c r="G621" t="s">
        <v>764</v>
      </c>
      <c r="H621" t="s">
        <v>1113</v>
      </c>
      <c r="I621">
        <v>5010000000</v>
      </c>
      <c r="J621" s="560">
        <v>1488.1</v>
      </c>
      <c r="K621" s="560">
        <f t="shared" si="19"/>
        <v>24</v>
      </c>
      <c r="L621" s="560">
        <f t="shared" si="20"/>
        <v>20</v>
      </c>
    </row>
    <row r="622" spans="1:19">
      <c r="B622" s="553">
        <v>44238</v>
      </c>
      <c r="C622" t="s">
        <v>1164</v>
      </c>
      <c r="D622" s="281">
        <v>1</v>
      </c>
      <c r="E622" t="s">
        <v>2031</v>
      </c>
      <c r="F622" t="s">
        <v>534</v>
      </c>
      <c r="G622" t="s">
        <v>764</v>
      </c>
      <c r="H622" t="s">
        <v>1113</v>
      </c>
      <c r="I622">
        <v>5010000000</v>
      </c>
      <c r="J622" s="560">
        <v>400</v>
      </c>
      <c r="K622" s="560">
        <f t="shared" si="19"/>
        <v>24</v>
      </c>
      <c r="L622" s="560">
        <f t="shared" si="20"/>
        <v>19</v>
      </c>
    </row>
    <row r="623" spans="1:19">
      <c r="B623" s="553">
        <v>44238</v>
      </c>
      <c r="C623" t="s">
        <v>1164</v>
      </c>
      <c r="D623" s="281">
        <v>2</v>
      </c>
      <c r="E623" t="s">
        <v>2026</v>
      </c>
      <c r="F623" t="s">
        <v>499</v>
      </c>
      <c r="G623" t="s">
        <v>764</v>
      </c>
      <c r="H623" t="s">
        <v>1113</v>
      </c>
      <c r="I623">
        <v>5010000000</v>
      </c>
      <c r="J623" s="560">
        <v>44184</v>
      </c>
      <c r="K623" s="560">
        <f t="shared" si="19"/>
        <v>24</v>
      </c>
      <c r="L623" s="560">
        <f t="shared" si="20"/>
        <v>18</v>
      </c>
    </row>
    <row r="624" spans="1:19">
      <c r="B624" s="553">
        <v>44238</v>
      </c>
      <c r="C624" t="s">
        <v>1164</v>
      </c>
      <c r="D624" s="281">
        <v>2</v>
      </c>
      <c r="E624" t="s">
        <v>2027</v>
      </c>
      <c r="F624" t="s">
        <v>504</v>
      </c>
      <c r="G624" t="s">
        <v>764</v>
      </c>
      <c r="H624" t="s">
        <v>1113</v>
      </c>
      <c r="I624">
        <v>5010000000</v>
      </c>
      <c r="J624" s="560">
        <v>2000</v>
      </c>
      <c r="K624" s="560">
        <f t="shared" si="19"/>
        <v>24</v>
      </c>
      <c r="L624" s="560">
        <f t="shared" si="20"/>
        <v>17</v>
      </c>
    </row>
    <row r="625" spans="1:19">
      <c r="B625" s="553">
        <v>44238</v>
      </c>
      <c r="C625" t="s">
        <v>1164</v>
      </c>
      <c r="D625" s="281">
        <v>2</v>
      </c>
      <c r="E625" t="s">
        <v>2028</v>
      </c>
      <c r="F625" t="s">
        <v>528</v>
      </c>
      <c r="G625" t="s">
        <v>764</v>
      </c>
      <c r="H625" t="s">
        <v>1113</v>
      </c>
      <c r="I625">
        <v>5010301000</v>
      </c>
      <c r="J625" s="560">
        <v>5302.08</v>
      </c>
      <c r="K625" s="560">
        <f t="shared" si="19"/>
        <v>24</v>
      </c>
      <c r="L625" s="560">
        <f t="shared" si="20"/>
        <v>16</v>
      </c>
    </row>
    <row r="626" spans="1:19">
      <c r="B626" s="553">
        <v>44238</v>
      </c>
      <c r="C626" t="s">
        <v>1164</v>
      </c>
      <c r="D626" s="281">
        <v>2</v>
      </c>
      <c r="E626" t="s">
        <v>2029</v>
      </c>
      <c r="F626" t="s">
        <v>530</v>
      </c>
      <c r="G626" t="s">
        <v>764</v>
      </c>
      <c r="H626" t="s">
        <v>1113</v>
      </c>
      <c r="I626">
        <v>5010000000</v>
      </c>
      <c r="J626" s="560">
        <v>100</v>
      </c>
      <c r="K626" s="560">
        <f t="shared" si="19"/>
        <v>24</v>
      </c>
      <c r="L626" s="560">
        <f t="shared" si="20"/>
        <v>15</v>
      </c>
    </row>
    <row r="627" spans="1:19">
      <c r="B627" s="553">
        <v>44238</v>
      </c>
      <c r="C627" t="s">
        <v>1164</v>
      </c>
      <c r="D627" s="281">
        <v>2</v>
      </c>
      <c r="E627" t="s">
        <v>2030</v>
      </c>
      <c r="F627" t="s">
        <v>532</v>
      </c>
      <c r="G627" t="s">
        <v>764</v>
      </c>
      <c r="H627" t="s">
        <v>1113</v>
      </c>
      <c r="I627">
        <v>5010000000</v>
      </c>
      <c r="J627" s="560">
        <v>662.76</v>
      </c>
      <c r="K627" s="560">
        <f t="shared" si="19"/>
        <v>24</v>
      </c>
      <c r="L627" s="560">
        <f t="shared" si="20"/>
        <v>14</v>
      </c>
    </row>
    <row r="628" spans="1:19">
      <c r="B628" s="553">
        <v>44238</v>
      </c>
      <c r="C628" t="s">
        <v>1164</v>
      </c>
      <c r="D628" s="281">
        <v>2</v>
      </c>
      <c r="E628" t="s">
        <v>2031</v>
      </c>
      <c r="F628" t="s">
        <v>534</v>
      </c>
      <c r="G628" t="s">
        <v>764</v>
      </c>
      <c r="H628" t="s">
        <v>1113</v>
      </c>
      <c r="I628">
        <v>5010000000</v>
      </c>
      <c r="J628" s="560">
        <v>100</v>
      </c>
      <c r="K628" s="560">
        <f t="shared" si="19"/>
        <v>24</v>
      </c>
      <c r="L628" s="560">
        <f t="shared" si="20"/>
        <v>13</v>
      </c>
    </row>
    <row r="629" spans="1:19">
      <c r="B629" s="553">
        <v>44238</v>
      </c>
      <c r="C629" t="s">
        <v>1164</v>
      </c>
      <c r="D629" s="281">
        <v>4</v>
      </c>
      <c r="E629" t="s">
        <v>2026</v>
      </c>
      <c r="F629" t="s">
        <v>499</v>
      </c>
      <c r="G629" t="s">
        <v>764</v>
      </c>
      <c r="H629" t="s">
        <v>1113</v>
      </c>
      <c r="I629">
        <v>5010000000</v>
      </c>
      <c r="J629" s="560">
        <v>113498</v>
      </c>
      <c r="K629" s="560">
        <f t="shared" si="19"/>
        <v>24</v>
      </c>
      <c r="L629" s="560">
        <f t="shared" si="20"/>
        <v>12</v>
      </c>
    </row>
    <row r="630" spans="1:19">
      <c r="B630" s="553">
        <v>44238</v>
      </c>
      <c r="C630" t="s">
        <v>1164</v>
      </c>
      <c r="D630" s="281">
        <v>4</v>
      </c>
      <c r="E630" t="s">
        <v>2027</v>
      </c>
      <c r="F630" t="s">
        <v>504</v>
      </c>
      <c r="G630" t="s">
        <v>764</v>
      </c>
      <c r="H630" t="s">
        <v>1113</v>
      </c>
      <c r="I630">
        <v>5010000000</v>
      </c>
      <c r="J630" s="560">
        <v>6000</v>
      </c>
      <c r="K630" s="560">
        <f t="shared" si="19"/>
        <v>24</v>
      </c>
      <c r="L630" s="560">
        <f t="shared" si="20"/>
        <v>11</v>
      </c>
    </row>
    <row r="631" spans="1:19">
      <c r="B631" s="553">
        <v>44238</v>
      </c>
      <c r="C631" t="s">
        <v>1164</v>
      </c>
      <c r="D631" s="281">
        <v>4</v>
      </c>
      <c r="E631" t="s">
        <v>2028</v>
      </c>
      <c r="F631" t="s">
        <v>528</v>
      </c>
      <c r="G631" t="s">
        <v>764</v>
      </c>
      <c r="H631" t="s">
        <v>1113</v>
      </c>
      <c r="I631">
        <v>5010301000</v>
      </c>
      <c r="J631" s="560">
        <v>13619.76</v>
      </c>
      <c r="K631" s="560">
        <f t="shared" si="19"/>
        <v>24</v>
      </c>
      <c r="L631" s="560">
        <f t="shared" si="20"/>
        <v>10</v>
      </c>
    </row>
    <row r="632" spans="1:19">
      <c r="B632" s="553">
        <v>44238</v>
      </c>
      <c r="C632" t="s">
        <v>1164</v>
      </c>
      <c r="D632" s="281">
        <v>4</v>
      </c>
      <c r="E632" t="s">
        <v>2029</v>
      </c>
      <c r="F632" t="s">
        <v>530</v>
      </c>
      <c r="G632" t="s">
        <v>764</v>
      </c>
      <c r="H632" t="s">
        <v>1113</v>
      </c>
      <c r="I632">
        <v>5010000000</v>
      </c>
      <c r="J632" s="560">
        <v>300</v>
      </c>
      <c r="K632" s="560">
        <f t="shared" si="19"/>
        <v>24</v>
      </c>
      <c r="L632" s="560">
        <f t="shared" si="20"/>
        <v>9</v>
      </c>
    </row>
    <row r="633" spans="1:19">
      <c r="B633" s="553">
        <v>44238</v>
      </c>
      <c r="C633" t="s">
        <v>1164</v>
      </c>
      <c r="D633" s="281">
        <v>4</v>
      </c>
      <c r="E633" t="s">
        <v>2030</v>
      </c>
      <c r="F633" t="s">
        <v>532</v>
      </c>
      <c r="G633" t="s">
        <v>764</v>
      </c>
      <c r="H633" t="s">
        <v>1113</v>
      </c>
      <c r="I633">
        <v>5010000000</v>
      </c>
      <c r="J633" s="560">
        <v>1702.48</v>
      </c>
      <c r="K633" s="560">
        <f t="shared" si="19"/>
        <v>24</v>
      </c>
      <c r="L633" s="560">
        <f t="shared" si="20"/>
        <v>8</v>
      </c>
    </row>
    <row r="634" spans="1:19">
      <c r="B634" s="553">
        <v>44238</v>
      </c>
      <c r="C634" t="s">
        <v>1164</v>
      </c>
      <c r="D634" s="281">
        <v>4</v>
      </c>
      <c r="E634" t="s">
        <v>2031</v>
      </c>
      <c r="F634" t="s">
        <v>534</v>
      </c>
      <c r="G634" t="s">
        <v>764</v>
      </c>
      <c r="H634" t="s">
        <v>1113</v>
      </c>
      <c r="I634">
        <v>5010000000</v>
      </c>
      <c r="J634" s="560">
        <v>300</v>
      </c>
      <c r="K634" s="560">
        <f t="shared" si="19"/>
        <v>24</v>
      </c>
      <c r="L634" s="560">
        <f t="shared" si="20"/>
        <v>7</v>
      </c>
    </row>
    <row r="635" spans="1:19">
      <c r="B635" s="553">
        <v>44238</v>
      </c>
      <c r="C635" t="s">
        <v>1164</v>
      </c>
      <c r="D635" s="281">
        <v>5</v>
      </c>
      <c r="E635" t="s">
        <v>2026</v>
      </c>
      <c r="F635" t="s">
        <v>499</v>
      </c>
      <c r="G635" t="s">
        <v>764</v>
      </c>
      <c r="H635" t="s">
        <v>1113</v>
      </c>
      <c r="I635">
        <v>5010000000</v>
      </c>
      <c r="J635" s="560">
        <v>136714</v>
      </c>
      <c r="K635" s="560">
        <f t="shared" si="19"/>
        <v>24</v>
      </c>
      <c r="L635" s="560">
        <f t="shared" si="20"/>
        <v>6</v>
      </c>
    </row>
    <row r="636" spans="1:19">
      <c r="B636" s="553">
        <v>44238</v>
      </c>
      <c r="C636" t="s">
        <v>1164</v>
      </c>
      <c r="D636" s="281">
        <v>5</v>
      </c>
      <c r="E636" t="s">
        <v>2027</v>
      </c>
      <c r="F636" t="s">
        <v>504</v>
      </c>
      <c r="G636" t="s">
        <v>764</v>
      </c>
      <c r="H636" t="s">
        <v>1113</v>
      </c>
      <c r="I636">
        <v>5010000000</v>
      </c>
      <c r="J636" s="560">
        <v>6000</v>
      </c>
      <c r="K636" s="560">
        <f t="shared" si="19"/>
        <v>24</v>
      </c>
      <c r="L636" s="560">
        <f t="shared" si="20"/>
        <v>5</v>
      </c>
    </row>
    <row r="637" spans="1:19">
      <c r="B637" s="553">
        <v>44238</v>
      </c>
      <c r="C637" t="s">
        <v>1164</v>
      </c>
      <c r="D637" s="281">
        <v>5</v>
      </c>
      <c r="E637" t="s">
        <v>2028</v>
      </c>
      <c r="F637" t="s">
        <v>528</v>
      </c>
      <c r="G637" t="s">
        <v>764</v>
      </c>
      <c r="H637" t="s">
        <v>1113</v>
      </c>
      <c r="I637">
        <v>5010301000</v>
      </c>
      <c r="J637" s="560">
        <v>16405.68</v>
      </c>
      <c r="K637" s="560">
        <f t="shared" si="19"/>
        <v>24</v>
      </c>
      <c r="L637" s="560">
        <f t="shared" si="20"/>
        <v>4</v>
      </c>
    </row>
    <row r="638" spans="1:19">
      <c r="B638" s="553">
        <v>44238</v>
      </c>
      <c r="C638" t="s">
        <v>1164</v>
      </c>
      <c r="D638" s="281">
        <v>5</v>
      </c>
      <c r="E638" t="s">
        <v>2029</v>
      </c>
      <c r="F638" t="s">
        <v>530</v>
      </c>
      <c r="G638" t="s">
        <v>764</v>
      </c>
      <c r="H638" t="s">
        <v>1113</v>
      </c>
      <c r="I638">
        <v>5010000000</v>
      </c>
      <c r="J638" s="560">
        <v>300</v>
      </c>
      <c r="K638" s="560">
        <f t="shared" si="19"/>
        <v>24</v>
      </c>
      <c r="L638" s="560">
        <f t="shared" si="20"/>
        <v>3</v>
      </c>
    </row>
    <row r="639" spans="1:19">
      <c r="B639" s="553">
        <v>44238</v>
      </c>
      <c r="C639" t="s">
        <v>1164</v>
      </c>
      <c r="D639" s="281">
        <v>5</v>
      </c>
      <c r="E639" t="s">
        <v>2030</v>
      </c>
      <c r="F639" t="s">
        <v>532</v>
      </c>
      <c r="G639" t="s">
        <v>764</v>
      </c>
      <c r="H639" t="s">
        <v>1113</v>
      </c>
      <c r="I639">
        <v>5010000000</v>
      </c>
      <c r="J639" s="560">
        <v>1924.49</v>
      </c>
      <c r="K639" s="560">
        <f t="shared" si="19"/>
        <v>24</v>
      </c>
      <c r="L639" s="560">
        <f t="shared" si="20"/>
        <v>2</v>
      </c>
    </row>
    <row r="640" spans="1:19">
      <c r="A640" t="s">
        <v>2158</v>
      </c>
      <c r="B640" s="553">
        <v>44238</v>
      </c>
      <c r="C640" t="s">
        <v>1164</v>
      </c>
      <c r="D640" s="281">
        <v>5</v>
      </c>
      <c r="E640" t="s">
        <v>2031</v>
      </c>
      <c r="F640" t="s">
        <v>534</v>
      </c>
      <c r="G640" t="s">
        <v>764</v>
      </c>
      <c r="H640" t="s">
        <v>1113</v>
      </c>
      <c r="I640">
        <v>5010000000</v>
      </c>
      <c r="J640" s="560">
        <v>300</v>
      </c>
      <c r="K640" s="560">
        <f t="shared" si="19"/>
        <v>24</v>
      </c>
      <c r="L640" s="560">
        <f t="shared" si="20"/>
        <v>1</v>
      </c>
      <c r="M640" s="560" t="e">
        <f>SUMIFS('[1]MAIN-101'!$Z$1:$Z$3000,'[1]MAIN-101'!$X$1:$X$3000,S640)</f>
        <v>#VALUE!</v>
      </c>
      <c r="N640" s="560"/>
      <c r="O640" s="560"/>
      <c r="S640" t="str">
        <f>VLOOKUP(C640,'Recon of ORS and DV'!$A$4:$B$358,2,FALSE)</f>
        <v>0204</v>
      </c>
    </row>
    <row r="641" spans="1:19">
      <c r="B641" s="553">
        <v>44238</v>
      </c>
      <c r="C641" t="s">
        <v>1167</v>
      </c>
      <c r="D641" s="281">
        <v>13</v>
      </c>
      <c r="E641" t="s">
        <v>2036</v>
      </c>
      <c r="F641" t="s">
        <v>501</v>
      </c>
      <c r="G641" t="s">
        <v>869</v>
      </c>
      <c r="H641" t="s">
        <v>1125</v>
      </c>
      <c r="I641" t="s">
        <v>2036</v>
      </c>
      <c r="J641" s="560">
        <v>33575</v>
      </c>
      <c r="K641" s="560">
        <f t="shared" si="19"/>
        <v>6</v>
      </c>
      <c r="L641" s="560">
        <f t="shared" si="20"/>
        <v>6</v>
      </c>
    </row>
    <row r="642" spans="1:19">
      <c r="B642" s="553">
        <v>44238</v>
      </c>
      <c r="C642" t="s">
        <v>1167</v>
      </c>
      <c r="D642" s="281">
        <v>13</v>
      </c>
      <c r="E642" t="s">
        <v>2027</v>
      </c>
      <c r="F642" t="s">
        <v>504</v>
      </c>
      <c r="G642" t="s">
        <v>869</v>
      </c>
      <c r="H642" t="s">
        <v>1125</v>
      </c>
      <c r="I642" t="s">
        <v>2036</v>
      </c>
      <c r="J642" s="560">
        <v>2000</v>
      </c>
      <c r="K642" s="560">
        <f t="shared" si="19"/>
        <v>6</v>
      </c>
      <c r="L642" s="560">
        <f t="shared" si="20"/>
        <v>5</v>
      </c>
    </row>
    <row r="643" spans="1:19">
      <c r="B643" s="553">
        <v>44238</v>
      </c>
      <c r="C643" t="s">
        <v>1167</v>
      </c>
      <c r="D643" s="281">
        <v>13</v>
      </c>
      <c r="E643" t="s">
        <v>2028</v>
      </c>
      <c r="F643" t="s">
        <v>528</v>
      </c>
      <c r="G643" t="s">
        <v>869</v>
      </c>
      <c r="H643" t="s">
        <v>1125</v>
      </c>
      <c r="I643" t="s">
        <v>2036</v>
      </c>
      <c r="J643" s="560">
        <v>4029</v>
      </c>
      <c r="K643" s="560">
        <f t="shared" si="19"/>
        <v>6</v>
      </c>
      <c r="L643" s="560">
        <f t="shared" si="20"/>
        <v>4</v>
      </c>
    </row>
    <row r="644" spans="1:19">
      <c r="B644" s="553">
        <v>44238</v>
      </c>
      <c r="C644" t="s">
        <v>1167</v>
      </c>
      <c r="D644" s="281">
        <v>13</v>
      </c>
      <c r="E644" t="s">
        <v>2029</v>
      </c>
      <c r="F644" t="s">
        <v>530</v>
      </c>
      <c r="G644" t="s">
        <v>869</v>
      </c>
      <c r="H644" t="s">
        <v>1125</v>
      </c>
      <c r="I644" t="s">
        <v>2036</v>
      </c>
      <c r="J644" s="560">
        <v>100</v>
      </c>
      <c r="K644" s="560">
        <f t="shared" ref="K644:K707" si="21">COUNTIFS($C$3:$C$1556,C644)</f>
        <v>6</v>
      </c>
      <c r="L644" s="560">
        <f t="shared" si="20"/>
        <v>3</v>
      </c>
    </row>
    <row r="645" spans="1:19">
      <c r="B645" s="553">
        <v>44238</v>
      </c>
      <c r="C645" t="s">
        <v>1167</v>
      </c>
      <c r="D645" s="281">
        <v>13</v>
      </c>
      <c r="E645" t="s">
        <v>2030</v>
      </c>
      <c r="F645" t="s">
        <v>532</v>
      </c>
      <c r="G645" t="s">
        <v>869</v>
      </c>
      <c r="H645" t="s">
        <v>1125</v>
      </c>
      <c r="I645" t="s">
        <v>2036</v>
      </c>
      <c r="J645" s="560">
        <v>503.63</v>
      </c>
      <c r="K645" s="560">
        <f t="shared" si="21"/>
        <v>6</v>
      </c>
      <c r="L645" s="560">
        <f t="shared" si="20"/>
        <v>2</v>
      </c>
    </row>
    <row r="646" spans="1:19">
      <c r="A646" t="s">
        <v>2159</v>
      </c>
      <c r="B646" s="553">
        <v>44238</v>
      </c>
      <c r="C646" t="s">
        <v>1167</v>
      </c>
      <c r="D646" s="281">
        <v>13</v>
      </c>
      <c r="E646" t="s">
        <v>2031</v>
      </c>
      <c r="F646" t="s">
        <v>534</v>
      </c>
      <c r="G646" t="s">
        <v>869</v>
      </c>
      <c r="H646" t="s">
        <v>1125</v>
      </c>
      <c r="I646" t="s">
        <v>2036</v>
      </c>
      <c r="J646" s="560">
        <v>100</v>
      </c>
      <c r="K646" s="560">
        <f t="shared" si="21"/>
        <v>6</v>
      </c>
      <c r="L646" s="560">
        <f t="shared" si="20"/>
        <v>1</v>
      </c>
      <c r="M646" s="560" t="e">
        <f>SUMIFS('[1]MAIN-101'!$Z$1:$Z$3000,'[1]MAIN-101'!$X$1:$X$3000,S646)</f>
        <v>#VALUE!</v>
      </c>
      <c r="N646" s="560"/>
      <c r="O646" s="560"/>
      <c r="S646" t="str">
        <f>VLOOKUP(C646,'Recon of ORS and DV'!$A$4:$B$358,2,FALSE)</f>
        <v>0210</v>
      </c>
    </row>
    <row r="647" spans="1:19">
      <c r="B647" s="553">
        <v>44238</v>
      </c>
      <c r="C647" t="s">
        <v>1168</v>
      </c>
      <c r="D647" s="281">
        <v>4</v>
      </c>
      <c r="E647" t="s">
        <v>2026</v>
      </c>
      <c r="F647" t="s">
        <v>499</v>
      </c>
      <c r="G647" t="s">
        <v>1165</v>
      </c>
      <c r="H647" t="s">
        <v>1166</v>
      </c>
      <c r="I647">
        <v>5010000000</v>
      </c>
      <c r="J647" s="560">
        <v>10853.18</v>
      </c>
      <c r="K647" s="560">
        <f t="shared" si="21"/>
        <v>6</v>
      </c>
      <c r="L647" s="560">
        <f t="shared" si="20"/>
        <v>6</v>
      </c>
    </row>
    <row r="648" spans="1:19">
      <c r="B648" s="553">
        <v>44238</v>
      </c>
      <c r="C648" t="s">
        <v>1168</v>
      </c>
      <c r="D648" s="281">
        <v>4</v>
      </c>
      <c r="E648" t="s">
        <v>2027</v>
      </c>
      <c r="F648" t="s">
        <v>504</v>
      </c>
      <c r="G648" t="s">
        <v>1165</v>
      </c>
      <c r="H648" t="s">
        <v>1166</v>
      </c>
      <c r="I648">
        <v>5010000000</v>
      </c>
      <c r="J648" s="560">
        <v>909.09</v>
      </c>
      <c r="K648" s="560">
        <f t="shared" si="21"/>
        <v>6</v>
      </c>
      <c r="L648" s="560">
        <f t="shared" si="20"/>
        <v>5</v>
      </c>
    </row>
    <row r="649" spans="1:19">
      <c r="B649" s="553">
        <v>44238</v>
      </c>
      <c r="C649" t="s">
        <v>1168</v>
      </c>
      <c r="D649" s="281">
        <v>4</v>
      </c>
      <c r="E649" t="s">
        <v>2028</v>
      </c>
      <c r="F649" t="s">
        <v>528</v>
      </c>
      <c r="G649" t="s">
        <v>1165</v>
      </c>
      <c r="H649" t="s">
        <v>1166</v>
      </c>
      <c r="I649">
        <v>5010301000</v>
      </c>
      <c r="J649" s="560">
        <v>1293.98</v>
      </c>
      <c r="K649" s="560">
        <f t="shared" si="21"/>
        <v>6</v>
      </c>
      <c r="L649" s="560">
        <f t="shared" si="20"/>
        <v>4</v>
      </c>
    </row>
    <row r="650" spans="1:19">
      <c r="B650" s="553">
        <v>44238</v>
      </c>
      <c r="C650" t="s">
        <v>1168</v>
      </c>
      <c r="D650" s="281">
        <v>4</v>
      </c>
      <c r="E650" t="s">
        <v>2029</v>
      </c>
      <c r="F650" t="s">
        <v>530</v>
      </c>
      <c r="G650" t="s">
        <v>1165</v>
      </c>
      <c r="H650" t="s">
        <v>1166</v>
      </c>
      <c r="I650">
        <v>5010000000</v>
      </c>
      <c r="J650" s="560">
        <v>100</v>
      </c>
      <c r="K650" s="560">
        <f t="shared" si="21"/>
        <v>6</v>
      </c>
      <c r="L650" s="560">
        <f t="shared" si="20"/>
        <v>3</v>
      </c>
    </row>
    <row r="651" spans="1:19">
      <c r="B651" s="553">
        <v>44238</v>
      </c>
      <c r="C651" t="s">
        <v>1168</v>
      </c>
      <c r="D651" s="281">
        <v>4</v>
      </c>
      <c r="E651" t="s">
        <v>2030</v>
      </c>
      <c r="F651" t="s">
        <v>532</v>
      </c>
      <c r="G651" t="s">
        <v>1165</v>
      </c>
      <c r="H651" t="s">
        <v>1166</v>
      </c>
      <c r="I651">
        <v>5010000000</v>
      </c>
      <c r="J651" s="560">
        <v>358.16</v>
      </c>
      <c r="K651" s="560">
        <f t="shared" si="21"/>
        <v>6</v>
      </c>
      <c r="L651" s="560">
        <f t="shared" si="20"/>
        <v>2</v>
      </c>
    </row>
    <row r="652" spans="1:19">
      <c r="A652" t="s">
        <v>2160</v>
      </c>
      <c r="B652" s="553">
        <v>44238</v>
      </c>
      <c r="C652" t="s">
        <v>1168</v>
      </c>
      <c r="D652" s="281">
        <v>4</v>
      </c>
      <c r="E652" t="s">
        <v>2031</v>
      </c>
      <c r="F652" t="s">
        <v>534</v>
      </c>
      <c r="G652" t="s">
        <v>1165</v>
      </c>
      <c r="H652" t="s">
        <v>1166</v>
      </c>
      <c r="I652">
        <v>5010000000</v>
      </c>
      <c r="J652" s="560">
        <v>100</v>
      </c>
      <c r="K652" s="560">
        <f t="shared" si="21"/>
        <v>6</v>
      </c>
      <c r="L652" s="560">
        <f t="shared" si="20"/>
        <v>1</v>
      </c>
      <c r="M652" s="560" t="e">
        <f>SUMIFS('[1]MAIN-101'!$Z$1:$Z$3000,'[1]MAIN-101'!$X$1:$X$3000,S652)</f>
        <v>#VALUE!</v>
      </c>
      <c r="N652" s="560"/>
      <c r="O652" s="560"/>
      <c r="S652" t="str">
        <f>VLOOKUP(C652,'Recon of ORS and DV'!$A$4:$B$358,2,FALSE)</f>
        <v>0211</v>
      </c>
    </row>
    <row r="653" spans="1:19">
      <c r="B653" s="553">
        <v>44238</v>
      </c>
      <c r="C653" t="s">
        <v>1169</v>
      </c>
      <c r="D653" s="281">
        <v>4</v>
      </c>
      <c r="E653" t="s">
        <v>2026</v>
      </c>
      <c r="F653" t="s">
        <v>499</v>
      </c>
      <c r="G653" t="s">
        <v>1170</v>
      </c>
      <c r="H653" t="s">
        <v>1166</v>
      </c>
      <c r="I653">
        <v>5010000000</v>
      </c>
      <c r="J653" s="560">
        <v>10853.18</v>
      </c>
      <c r="K653" s="560">
        <f t="shared" si="21"/>
        <v>6</v>
      </c>
      <c r="L653" s="560">
        <f t="shared" si="20"/>
        <v>6</v>
      </c>
    </row>
    <row r="654" spans="1:19">
      <c r="B654" s="553">
        <v>44238</v>
      </c>
      <c r="C654" t="s">
        <v>1169</v>
      </c>
      <c r="D654" s="281">
        <v>4</v>
      </c>
      <c r="E654" t="s">
        <v>2027</v>
      </c>
      <c r="F654" t="s">
        <v>504</v>
      </c>
      <c r="G654" t="s">
        <v>1170</v>
      </c>
      <c r="H654" t="s">
        <v>1166</v>
      </c>
      <c r="I654">
        <v>5010000000</v>
      </c>
      <c r="J654" s="560">
        <v>909.09</v>
      </c>
      <c r="K654" s="560">
        <f t="shared" si="21"/>
        <v>6</v>
      </c>
      <c r="L654" s="560">
        <f t="shared" si="20"/>
        <v>5</v>
      </c>
    </row>
    <row r="655" spans="1:19">
      <c r="B655" s="553">
        <v>44238</v>
      </c>
      <c r="C655" t="s">
        <v>1169</v>
      </c>
      <c r="D655" s="281">
        <v>4</v>
      </c>
      <c r="E655" t="s">
        <v>2028</v>
      </c>
      <c r="F655" t="s">
        <v>528</v>
      </c>
      <c r="G655" t="s">
        <v>1170</v>
      </c>
      <c r="H655" t="s">
        <v>1166</v>
      </c>
      <c r="I655">
        <v>5010301000</v>
      </c>
      <c r="J655" s="560">
        <v>1293.98</v>
      </c>
      <c r="K655" s="560">
        <f t="shared" si="21"/>
        <v>6</v>
      </c>
      <c r="L655" s="560">
        <f t="shared" ref="L655:L718" si="22">COUNTIFS(C655:C2208,C655)</f>
        <v>4</v>
      </c>
    </row>
    <row r="656" spans="1:19">
      <c r="B656" s="553">
        <v>44238</v>
      </c>
      <c r="C656" t="s">
        <v>1169</v>
      </c>
      <c r="D656" s="281">
        <v>4</v>
      </c>
      <c r="E656" t="s">
        <v>2029</v>
      </c>
      <c r="F656" t="s">
        <v>530</v>
      </c>
      <c r="G656" t="s">
        <v>1170</v>
      </c>
      <c r="H656" t="s">
        <v>1166</v>
      </c>
      <c r="I656">
        <v>5010000000</v>
      </c>
      <c r="J656" s="560">
        <v>100</v>
      </c>
      <c r="K656" s="560">
        <f t="shared" si="21"/>
        <v>6</v>
      </c>
      <c r="L656" s="560">
        <f t="shared" si="22"/>
        <v>3</v>
      </c>
    </row>
    <row r="657" spans="1:19">
      <c r="B657" s="553">
        <v>44238</v>
      </c>
      <c r="C657" t="s">
        <v>1169</v>
      </c>
      <c r="D657" s="281">
        <v>4</v>
      </c>
      <c r="E657" t="s">
        <v>2030</v>
      </c>
      <c r="F657" t="s">
        <v>532</v>
      </c>
      <c r="G657" t="s">
        <v>1170</v>
      </c>
      <c r="H657" t="s">
        <v>1166</v>
      </c>
      <c r="I657">
        <v>5010000000</v>
      </c>
      <c r="J657" s="560">
        <v>358.16</v>
      </c>
      <c r="K657" s="560">
        <f t="shared" si="21"/>
        <v>6</v>
      </c>
      <c r="L657" s="560">
        <f t="shared" si="22"/>
        <v>2</v>
      </c>
    </row>
    <row r="658" spans="1:19">
      <c r="A658" t="s">
        <v>2161</v>
      </c>
      <c r="B658" s="553">
        <v>44238</v>
      </c>
      <c r="C658" t="s">
        <v>1169</v>
      </c>
      <c r="D658" s="281">
        <v>4</v>
      </c>
      <c r="E658" t="s">
        <v>2031</v>
      </c>
      <c r="F658" t="s">
        <v>534</v>
      </c>
      <c r="G658" t="s">
        <v>1170</v>
      </c>
      <c r="H658" t="s">
        <v>1166</v>
      </c>
      <c r="I658">
        <v>5010000000</v>
      </c>
      <c r="J658" s="560">
        <v>100</v>
      </c>
      <c r="K658" s="560">
        <f t="shared" si="21"/>
        <v>6</v>
      </c>
      <c r="L658" s="560">
        <f t="shared" si="22"/>
        <v>1</v>
      </c>
      <c r="M658" s="560" t="e">
        <f>SUMIFS('[1]MAIN-101'!$Z$1:$Z$3000,'[1]MAIN-101'!$X$1:$X$3000,S658)</f>
        <v>#VALUE!</v>
      </c>
      <c r="N658" s="560"/>
      <c r="O658" s="560"/>
      <c r="S658" t="str">
        <f>VLOOKUP(C658,'Recon of ORS and DV'!$A$4:$B$358,2,FALSE)</f>
        <v>0212</v>
      </c>
    </row>
    <row r="659" spans="1:19">
      <c r="B659" s="553">
        <v>44238</v>
      </c>
      <c r="C659" t="s">
        <v>1171</v>
      </c>
      <c r="D659" s="281">
        <v>4</v>
      </c>
      <c r="E659" t="s">
        <v>2026</v>
      </c>
      <c r="F659" t="s">
        <v>499</v>
      </c>
      <c r="G659" t="s">
        <v>1172</v>
      </c>
      <c r="H659" t="s">
        <v>1166</v>
      </c>
      <c r="I659">
        <v>5010000000</v>
      </c>
      <c r="J659" s="560">
        <v>10853.18</v>
      </c>
      <c r="K659" s="560">
        <f t="shared" si="21"/>
        <v>6</v>
      </c>
      <c r="L659" s="560">
        <f t="shared" si="22"/>
        <v>6</v>
      </c>
    </row>
    <row r="660" spans="1:19">
      <c r="B660" s="553">
        <v>44238</v>
      </c>
      <c r="C660" t="s">
        <v>1171</v>
      </c>
      <c r="D660" s="281">
        <v>4</v>
      </c>
      <c r="E660" t="s">
        <v>2027</v>
      </c>
      <c r="F660" t="s">
        <v>504</v>
      </c>
      <c r="G660" t="s">
        <v>1172</v>
      </c>
      <c r="H660" t="s">
        <v>1166</v>
      </c>
      <c r="I660">
        <v>5010000000</v>
      </c>
      <c r="J660" s="560">
        <v>909.09</v>
      </c>
      <c r="K660" s="560">
        <f t="shared" si="21"/>
        <v>6</v>
      </c>
      <c r="L660" s="560">
        <f t="shared" si="22"/>
        <v>5</v>
      </c>
    </row>
    <row r="661" spans="1:19">
      <c r="B661" s="553">
        <v>44238</v>
      </c>
      <c r="C661" t="s">
        <v>1171</v>
      </c>
      <c r="D661" s="281">
        <v>4</v>
      </c>
      <c r="E661" t="s">
        <v>2028</v>
      </c>
      <c r="F661" t="s">
        <v>528</v>
      </c>
      <c r="G661" t="s">
        <v>1172</v>
      </c>
      <c r="H661" t="s">
        <v>1166</v>
      </c>
      <c r="I661">
        <v>5010301000</v>
      </c>
      <c r="J661" s="560">
        <v>1293.98</v>
      </c>
      <c r="K661" s="560">
        <f t="shared" si="21"/>
        <v>6</v>
      </c>
      <c r="L661" s="560">
        <f t="shared" si="22"/>
        <v>4</v>
      </c>
    </row>
    <row r="662" spans="1:19">
      <c r="B662" s="553">
        <v>44238</v>
      </c>
      <c r="C662" t="s">
        <v>1171</v>
      </c>
      <c r="D662" s="281">
        <v>4</v>
      </c>
      <c r="E662" t="s">
        <v>2029</v>
      </c>
      <c r="F662" t="s">
        <v>530</v>
      </c>
      <c r="G662" t="s">
        <v>1172</v>
      </c>
      <c r="H662" t="s">
        <v>1166</v>
      </c>
      <c r="I662">
        <v>5010000000</v>
      </c>
      <c r="J662" s="560">
        <v>100</v>
      </c>
      <c r="K662" s="560">
        <f t="shared" si="21"/>
        <v>6</v>
      </c>
      <c r="L662" s="560">
        <f t="shared" si="22"/>
        <v>3</v>
      </c>
    </row>
    <row r="663" spans="1:19">
      <c r="B663" s="553">
        <v>44238</v>
      </c>
      <c r="C663" t="s">
        <v>1171</v>
      </c>
      <c r="D663" s="281">
        <v>4</v>
      </c>
      <c r="E663" t="s">
        <v>2030</v>
      </c>
      <c r="F663" t="s">
        <v>532</v>
      </c>
      <c r="G663" t="s">
        <v>1172</v>
      </c>
      <c r="H663" t="s">
        <v>1166</v>
      </c>
      <c r="I663">
        <v>5010000000</v>
      </c>
      <c r="J663" s="560">
        <v>358.16</v>
      </c>
      <c r="K663" s="560">
        <f t="shared" si="21"/>
        <v>6</v>
      </c>
      <c r="L663" s="560">
        <f t="shared" si="22"/>
        <v>2</v>
      </c>
    </row>
    <row r="664" spans="1:19">
      <c r="A664" t="s">
        <v>2162</v>
      </c>
      <c r="B664" s="553">
        <v>44238</v>
      </c>
      <c r="C664" t="s">
        <v>1171</v>
      </c>
      <c r="D664" s="281">
        <v>4</v>
      </c>
      <c r="E664" t="s">
        <v>2031</v>
      </c>
      <c r="F664" t="s">
        <v>534</v>
      </c>
      <c r="G664" t="s">
        <v>1172</v>
      </c>
      <c r="H664" t="s">
        <v>1166</v>
      </c>
      <c r="I664">
        <v>5010000000</v>
      </c>
      <c r="J664" s="560">
        <v>100</v>
      </c>
      <c r="K664" s="560">
        <f t="shared" si="21"/>
        <v>6</v>
      </c>
      <c r="L664" s="560">
        <f t="shared" si="22"/>
        <v>1</v>
      </c>
      <c r="M664" s="560" t="e">
        <f>SUMIFS('[1]MAIN-101'!$Z$1:$Z$3000,'[1]MAIN-101'!$X$1:$X$3000,S664)</f>
        <v>#VALUE!</v>
      </c>
      <c r="N664" s="560"/>
      <c r="O664" s="560"/>
      <c r="S664" t="str">
        <f>VLOOKUP(C664,'Recon of ORS and DV'!$A$4:$B$358,2,FALSE)</f>
        <v>0213</v>
      </c>
    </row>
    <row r="665" spans="1:19">
      <c r="B665" s="553">
        <v>44238</v>
      </c>
      <c r="C665" t="s">
        <v>1173</v>
      </c>
      <c r="D665" s="281">
        <v>4</v>
      </c>
      <c r="E665" t="s">
        <v>2026</v>
      </c>
      <c r="F665" t="s">
        <v>499</v>
      </c>
      <c r="G665" t="s">
        <v>1174</v>
      </c>
      <c r="H665" t="s">
        <v>1166</v>
      </c>
      <c r="I665">
        <v>5010000000</v>
      </c>
      <c r="J665" s="560">
        <v>10853.18</v>
      </c>
      <c r="K665" s="560">
        <f t="shared" si="21"/>
        <v>6</v>
      </c>
      <c r="L665" s="560">
        <f t="shared" si="22"/>
        <v>6</v>
      </c>
    </row>
    <row r="666" spans="1:19">
      <c r="B666" s="553">
        <v>44238</v>
      </c>
      <c r="C666" t="s">
        <v>1173</v>
      </c>
      <c r="D666" s="281">
        <v>4</v>
      </c>
      <c r="E666" t="s">
        <v>2027</v>
      </c>
      <c r="F666" t="s">
        <v>504</v>
      </c>
      <c r="G666" t="s">
        <v>1174</v>
      </c>
      <c r="H666" t="s">
        <v>1166</v>
      </c>
      <c r="I666">
        <v>5010000000</v>
      </c>
      <c r="J666" s="560">
        <v>909.09</v>
      </c>
      <c r="K666" s="560">
        <f t="shared" si="21"/>
        <v>6</v>
      </c>
      <c r="L666" s="560">
        <f t="shared" si="22"/>
        <v>5</v>
      </c>
    </row>
    <row r="667" spans="1:19">
      <c r="B667" s="553">
        <v>44238</v>
      </c>
      <c r="C667" t="s">
        <v>1173</v>
      </c>
      <c r="D667" s="281">
        <v>4</v>
      </c>
      <c r="E667" t="s">
        <v>2028</v>
      </c>
      <c r="F667" t="s">
        <v>528</v>
      </c>
      <c r="G667" t="s">
        <v>1174</v>
      </c>
      <c r="H667" t="s">
        <v>1166</v>
      </c>
      <c r="I667">
        <v>5010301000</v>
      </c>
      <c r="J667" s="560">
        <v>1293.98</v>
      </c>
      <c r="K667" s="560">
        <f t="shared" si="21"/>
        <v>6</v>
      </c>
      <c r="L667" s="560">
        <f t="shared" si="22"/>
        <v>4</v>
      </c>
    </row>
    <row r="668" spans="1:19">
      <c r="B668" s="553">
        <v>44238</v>
      </c>
      <c r="C668" t="s">
        <v>1173</v>
      </c>
      <c r="D668" s="281">
        <v>4</v>
      </c>
      <c r="E668" t="s">
        <v>2029</v>
      </c>
      <c r="F668" t="s">
        <v>530</v>
      </c>
      <c r="G668" t="s">
        <v>1174</v>
      </c>
      <c r="H668" t="s">
        <v>1166</v>
      </c>
      <c r="I668">
        <v>5010000000</v>
      </c>
      <c r="J668" s="560">
        <v>100</v>
      </c>
      <c r="K668" s="560">
        <f t="shared" si="21"/>
        <v>6</v>
      </c>
      <c r="L668" s="560">
        <f t="shared" si="22"/>
        <v>3</v>
      </c>
    </row>
    <row r="669" spans="1:19">
      <c r="B669" s="553">
        <v>44238</v>
      </c>
      <c r="C669" t="s">
        <v>1173</v>
      </c>
      <c r="D669" s="281">
        <v>4</v>
      </c>
      <c r="E669" t="s">
        <v>2030</v>
      </c>
      <c r="F669" t="s">
        <v>532</v>
      </c>
      <c r="G669" t="s">
        <v>1174</v>
      </c>
      <c r="H669" t="s">
        <v>1166</v>
      </c>
      <c r="I669">
        <v>5010000000</v>
      </c>
      <c r="J669" s="560">
        <v>358.16</v>
      </c>
      <c r="K669" s="560">
        <f t="shared" si="21"/>
        <v>6</v>
      </c>
      <c r="L669" s="560">
        <f t="shared" si="22"/>
        <v>2</v>
      </c>
    </row>
    <row r="670" spans="1:19">
      <c r="A670" t="s">
        <v>2163</v>
      </c>
      <c r="B670" s="553">
        <v>44238</v>
      </c>
      <c r="C670" t="s">
        <v>1173</v>
      </c>
      <c r="D670" s="281">
        <v>4</v>
      </c>
      <c r="E670" t="s">
        <v>2031</v>
      </c>
      <c r="F670" t="s">
        <v>534</v>
      </c>
      <c r="G670" t="s">
        <v>1174</v>
      </c>
      <c r="H670" t="s">
        <v>1166</v>
      </c>
      <c r="I670">
        <v>5010000000</v>
      </c>
      <c r="J670" s="560">
        <v>100</v>
      </c>
      <c r="K670" s="560">
        <f t="shared" si="21"/>
        <v>6</v>
      </c>
      <c r="L670" s="560">
        <f t="shared" si="22"/>
        <v>1</v>
      </c>
      <c r="M670" s="560" t="e">
        <f>SUMIFS('[1]MAIN-101'!$Z$1:$Z$3000,'[1]MAIN-101'!$X$1:$X$3000,S670)</f>
        <v>#VALUE!</v>
      </c>
      <c r="N670" s="560"/>
      <c r="O670" s="560"/>
      <c r="S670" t="str">
        <f>VLOOKUP(C670,'Recon of ORS and DV'!$A$4:$B$358,2,FALSE)</f>
        <v>0214</v>
      </c>
    </row>
    <row r="671" spans="1:19">
      <c r="B671" s="553">
        <v>44238</v>
      </c>
      <c r="C671" t="s">
        <v>1175</v>
      </c>
      <c r="D671" s="281">
        <v>4</v>
      </c>
      <c r="E671" t="s">
        <v>2026</v>
      </c>
      <c r="F671" t="s">
        <v>499</v>
      </c>
      <c r="G671" t="s">
        <v>1176</v>
      </c>
      <c r="H671" t="s">
        <v>1166</v>
      </c>
      <c r="I671">
        <v>5010000000</v>
      </c>
      <c r="J671" s="560">
        <v>10853.18</v>
      </c>
      <c r="K671" s="560">
        <f t="shared" si="21"/>
        <v>6</v>
      </c>
      <c r="L671" s="560">
        <f t="shared" si="22"/>
        <v>6</v>
      </c>
    </row>
    <row r="672" spans="1:19">
      <c r="B672" s="553">
        <v>44238</v>
      </c>
      <c r="C672" t="s">
        <v>1175</v>
      </c>
      <c r="D672" s="281">
        <v>4</v>
      </c>
      <c r="E672" t="s">
        <v>2027</v>
      </c>
      <c r="F672" t="s">
        <v>504</v>
      </c>
      <c r="G672" t="s">
        <v>1176</v>
      </c>
      <c r="H672" t="s">
        <v>1166</v>
      </c>
      <c r="I672">
        <v>5010000000</v>
      </c>
      <c r="J672" s="560">
        <v>909.09</v>
      </c>
      <c r="K672" s="560">
        <f t="shared" si="21"/>
        <v>6</v>
      </c>
      <c r="L672" s="560">
        <f t="shared" si="22"/>
        <v>5</v>
      </c>
    </row>
    <row r="673" spans="1:19">
      <c r="B673" s="553">
        <v>44238</v>
      </c>
      <c r="C673" t="s">
        <v>1175</v>
      </c>
      <c r="D673" s="281">
        <v>4</v>
      </c>
      <c r="E673" t="s">
        <v>2028</v>
      </c>
      <c r="F673" t="s">
        <v>528</v>
      </c>
      <c r="G673" t="s">
        <v>1176</v>
      </c>
      <c r="H673" t="s">
        <v>1166</v>
      </c>
      <c r="I673">
        <v>5010301000</v>
      </c>
      <c r="J673" s="560">
        <v>1293.98</v>
      </c>
      <c r="K673" s="560">
        <f t="shared" si="21"/>
        <v>6</v>
      </c>
      <c r="L673" s="560">
        <f t="shared" si="22"/>
        <v>4</v>
      </c>
    </row>
    <row r="674" spans="1:19">
      <c r="B674" s="553">
        <v>44238</v>
      </c>
      <c r="C674" t="s">
        <v>1175</v>
      </c>
      <c r="D674" s="281">
        <v>4</v>
      </c>
      <c r="E674" t="s">
        <v>2029</v>
      </c>
      <c r="F674" t="s">
        <v>530</v>
      </c>
      <c r="G674" t="s">
        <v>1176</v>
      </c>
      <c r="H674" t="s">
        <v>1166</v>
      </c>
      <c r="I674">
        <v>5010000000</v>
      </c>
      <c r="J674" s="560">
        <v>100</v>
      </c>
      <c r="K674" s="560">
        <f t="shared" si="21"/>
        <v>6</v>
      </c>
      <c r="L674" s="560">
        <f t="shared" si="22"/>
        <v>3</v>
      </c>
    </row>
    <row r="675" spans="1:19">
      <c r="B675" s="553">
        <v>44238</v>
      </c>
      <c r="C675" t="s">
        <v>1175</v>
      </c>
      <c r="D675" s="281">
        <v>4</v>
      </c>
      <c r="E675" t="s">
        <v>2030</v>
      </c>
      <c r="F675" t="s">
        <v>532</v>
      </c>
      <c r="G675" t="s">
        <v>1176</v>
      </c>
      <c r="H675" t="s">
        <v>1166</v>
      </c>
      <c r="I675">
        <v>5010000000</v>
      </c>
      <c r="J675" s="560">
        <v>358.16</v>
      </c>
      <c r="K675" s="560">
        <f t="shared" si="21"/>
        <v>6</v>
      </c>
      <c r="L675" s="560">
        <f t="shared" si="22"/>
        <v>2</v>
      </c>
    </row>
    <row r="676" spans="1:19">
      <c r="A676" t="s">
        <v>2164</v>
      </c>
      <c r="B676" s="553">
        <v>44238</v>
      </c>
      <c r="C676" t="s">
        <v>1175</v>
      </c>
      <c r="D676" s="281">
        <v>4</v>
      </c>
      <c r="E676" t="s">
        <v>2031</v>
      </c>
      <c r="F676" t="s">
        <v>534</v>
      </c>
      <c r="G676" t="s">
        <v>1176</v>
      </c>
      <c r="H676" t="s">
        <v>1166</v>
      </c>
      <c r="I676">
        <v>5010000000</v>
      </c>
      <c r="J676" s="560">
        <v>100</v>
      </c>
      <c r="K676" s="560">
        <f t="shared" si="21"/>
        <v>6</v>
      </c>
      <c r="L676" s="560">
        <f t="shared" si="22"/>
        <v>1</v>
      </c>
      <c r="M676" s="560" t="e">
        <f>SUMIFS('[1]MAIN-101'!$Z$1:$Z$3000,'[1]MAIN-101'!$X$1:$X$3000,S676)</f>
        <v>#VALUE!</v>
      </c>
      <c r="N676" s="560"/>
      <c r="O676" s="560"/>
      <c r="S676" t="str">
        <f>VLOOKUP(C676,'Recon of ORS and DV'!$A$4:$B$358,2,FALSE)</f>
        <v>0215</v>
      </c>
    </row>
    <row r="677" spans="1:19">
      <c r="B677" s="553">
        <v>44238</v>
      </c>
      <c r="C677" t="s">
        <v>1177</v>
      </c>
      <c r="D677" s="281">
        <v>4</v>
      </c>
      <c r="E677" t="s">
        <v>2026</v>
      </c>
      <c r="F677" t="s">
        <v>499</v>
      </c>
      <c r="G677" t="s">
        <v>1165</v>
      </c>
      <c r="H677" t="s">
        <v>1178</v>
      </c>
      <c r="I677">
        <v>5010000000</v>
      </c>
      <c r="J677" s="560">
        <v>23877</v>
      </c>
      <c r="K677" s="560">
        <f t="shared" si="21"/>
        <v>6</v>
      </c>
      <c r="L677" s="560">
        <f t="shared" si="22"/>
        <v>6</v>
      </c>
    </row>
    <row r="678" spans="1:19">
      <c r="B678" s="553">
        <v>44238</v>
      </c>
      <c r="C678" t="s">
        <v>1177</v>
      </c>
      <c r="D678" s="281">
        <v>4</v>
      </c>
      <c r="E678" t="s">
        <v>2027</v>
      </c>
      <c r="F678" t="s">
        <v>504</v>
      </c>
      <c r="G678" t="s">
        <v>1165</v>
      </c>
      <c r="H678" t="s">
        <v>1178</v>
      </c>
      <c r="I678">
        <v>5010000000</v>
      </c>
      <c r="J678" s="560">
        <v>2000</v>
      </c>
      <c r="K678" s="560">
        <f t="shared" si="21"/>
        <v>6</v>
      </c>
      <c r="L678" s="560">
        <f t="shared" si="22"/>
        <v>5</v>
      </c>
    </row>
    <row r="679" spans="1:19">
      <c r="B679" s="553">
        <v>44238</v>
      </c>
      <c r="C679" t="s">
        <v>1177</v>
      </c>
      <c r="D679" s="281">
        <v>4</v>
      </c>
      <c r="E679" t="s">
        <v>2028</v>
      </c>
      <c r="F679" t="s">
        <v>528</v>
      </c>
      <c r="G679" t="s">
        <v>1165</v>
      </c>
      <c r="H679" t="s">
        <v>1178</v>
      </c>
      <c r="I679">
        <v>5010301000</v>
      </c>
      <c r="J679" s="560">
        <v>2865.24</v>
      </c>
      <c r="K679" s="560">
        <f t="shared" si="21"/>
        <v>6</v>
      </c>
      <c r="L679" s="560">
        <f t="shared" si="22"/>
        <v>4</v>
      </c>
    </row>
    <row r="680" spans="1:19">
      <c r="B680" s="553">
        <v>44238</v>
      </c>
      <c r="C680" t="s">
        <v>1177</v>
      </c>
      <c r="D680" s="281">
        <v>4</v>
      </c>
      <c r="E680" t="s">
        <v>2029</v>
      </c>
      <c r="F680" t="s">
        <v>530</v>
      </c>
      <c r="G680" t="s">
        <v>1165</v>
      </c>
      <c r="H680" t="s">
        <v>1178</v>
      </c>
      <c r="I680">
        <v>5010000000</v>
      </c>
      <c r="J680" s="560">
        <v>100</v>
      </c>
      <c r="K680" s="560">
        <f t="shared" si="21"/>
        <v>6</v>
      </c>
      <c r="L680" s="560">
        <f t="shared" si="22"/>
        <v>3</v>
      </c>
    </row>
    <row r="681" spans="1:19">
      <c r="B681" s="553">
        <v>44238</v>
      </c>
      <c r="C681" t="s">
        <v>1177</v>
      </c>
      <c r="D681" s="281">
        <v>4</v>
      </c>
      <c r="E681" t="s">
        <v>2030</v>
      </c>
      <c r="F681" t="s">
        <v>532</v>
      </c>
      <c r="G681" t="s">
        <v>1165</v>
      </c>
      <c r="H681" t="s">
        <v>1178</v>
      </c>
      <c r="I681">
        <v>5010000000</v>
      </c>
      <c r="J681" s="560">
        <v>358.16</v>
      </c>
      <c r="K681" s="560">
        <f t="shared" si="21"/>
        <v>6</v>
      </c>
      <c r="L681" s="560">
        <f t="shared" si="22"/>
        <v>2</v>
      </c>
    </row>
    <row r="682" spans="1:19">
      <c r="A682" t="s">
        <v>2165</v>
      </c>
      <c r="B682" s="553">
        <v>44238</v>
      </c>
      <c r="C682" t="s">
        <v>1177</v>
      </c>
      <c r="D682" s="281">
        <v>4</v>
      </c>
      <c r="E682" t="s">
        <v>2031</v>
      </c>
      <c r="F682" t="s">
        <v>534</v>
      </c>
      <c r="G682" t="s">
        <v>1165</v>
      </c>
      <c r="H682" t="s">
        <v>1178</v>
      </c>
      <c r="I682">
        <v>5010000000</v>
      </c>
      <c r="J682" s="560">
        <v>100</v>
      </c>
      <c r="K682" s="560">
        <f t="shared" si="21"/>
        <v>6</v>
      </c>
      <c r="L682" s="560">
        <f t="shared" si="22"/>
        <v>1</v>
      </c>
      <c r="M682" s="560" t="e">
        <f>SUMIFS('[1]MAIN-101'!$Z$1:$Z$3000,'[1]MAIN-101'!$X$1:$X$3000,S682)</f>
        <v>#VALUE!</v>
      </c>
      <c r="N682" s="560"/>
      <c r="O682" s="560"/>
      <c r="S682" t="str">
        <f>VLOOKUP(C682,'Recon of ORS and DV'!$A$4:$B$358,2,FALSE)</f>
        <v>0216</v>
      </c>
    </row>
    <row r="683" spans="1:19">
      <c r="B683" s="553">
        <v>44243</v>
      </c>
      <c r="C683" t="s">
        <v>1179</v>
      </c>
      <c r="D683" s="281">
        <v>1</v>
      </c>
      <c r="E683" t="s">
        <v>2011</v>
      </c>
      <c r="F683" t="s">
        <v>605</v>
      </c>
      <c r="G683" t="s">
        <v>1180</v>
      </c>
      <c r="H683" t="s">
        <v>1181</v>
      </c>
      <c r="I683">
        <v>5020000000</v>
      </c>
      <c r="J683" s="560">
        <v>1959.81</v>
      </c>
      <c r="K683" s="560">
        <f t="shared" si="21"/>
        <v>2</v>
      </c>
      <c r="L683" s="560">
        <f t="shared" si="22"/>
        <v>2</v>
      </c>
    </row>
    <row r="684" spans="1:19">
      <c r="A684" t="s">
        <v>2166</v>
      </c>
      <c r="B684" s="553">
        <v>44243</v>
      </c>
      <c r="C684" t="s">
        <v>1179</v>
      </c>
      <c r="D684" s="281">
        <v>1</v>
      </c>
      <c r="E684" t="s">
        <v>2020</v>
      </c>
      <c r="F684" t="s">
        <v>607</v>
      </c>
      <c r="G684" t="s">
        <v>1180</v>
      </c>
      <c r="H684" t="s">
        <v>1181</v>
      </c>
      <c r="I684">
        <v>5020000000</v>
      </c>
      <c r="J684" s="560">
        <v>26880</v>
      </c>
      <c r="K684" s="560">
        <f t="shared" si="21"/>
        <v>2</v>
      </c>
      <c r="L684" s="560">
        <f t="shared" si="22"/>
        <v>1</v>
      </c>
      <c r="M684" s="560" t="e">
        <f>SUMIFS('[1]MAIN-101'!$Z$1:$Z$3000,'[1]MAIN-101'!$X$1:$X$3000,S684)</f>
        <v>#VALUE!</v>
      </c>
      <c r="N684" s="560"/>
      <c r="O684" s="560"/>
      <c r="S684" t="str">
        <f>VLOOKUP(C684,'Recon of ORS and DV'!$A$4:$B$358,2,FALSE)</f>
        <v>0226</v>
      </c>
    </row>
    <row r="685" spans="1:19">
      <c r="A685" t="s">
        <v>2167</v>
      </c>
      <c r="B685" s="553">
        <v>44243</v>
      </c>
      <c r="C685" t="s">
        <v>1182</v>
      </c>
      <c r="D685" s="281">
        <v>1</v>
      </c>
      <c r="E685" t="s">
        <v>2011</v>
      </c>
      <c r="F685" t="s">
        <v>605</v>
      </c>
      <c r="G685" t="s">
        <v>1180</v>
      </c>
      <c r="H685" t="s">
        <v>1183</v>
      </c>
      <c r="I685">
        <v>5020000000</v>
      </c>
      <c r="J685" s="560">
        <v>18000</v>
      </c>
      <c r="K685" s="560">
        <f t="shared" si="21"/>
        <v>1</v>
      </c>
      <c r="L685" s="560">
        <f t="shared" si="22"/>
        <v>1</v>
      </c>
      <c r="M685" s="560" t="e">
        <f>SUMIFS('[1]MAIN-101'!$Z$1:$Z$3000,'[1]MAIN-101'!$X$1:$X$3000,S685)</f>
        <v>#VALUE!</v>
      </c>
      <c r="N685" s="560"/>
      <c r="O685" s="560"/>
      <c r="S685" t="str">
        <f>VLOOKUP(C685,'Recon of ORS and DV'!$A$4:$B$358,2,FALSE)</f>
        <v>0227</v>
      </c>
    </row>
    <row r="686" spans="1:19">
      <c r="A686" t="s">
        <v>2168</v>
      </c>
      <c r="B686" s="553">
        <v>44243</v>
      </c>
      <c r="C686" t="s">
        <v>1184</v>
      </c>
      <c r="D686" s="281">
        <v>1</v>
      </c>
      <c r="E686" t="s">
        <v>2011</v>
      </c>
      <c r="F686" t="s">
        <v>605</v>
      </c>
      <c r="G686" t="s">
        <v>1180</v>
      </c>
      <c r="H686" t="s">
        <v>1185</v>
      </c>
      <c r="I686">
        <v>5020000000</v>
      </c>
      <c r="J686" s="560">
        <v>560</v>
      </c>
      <c r="K686" s="560">
        <f t="shared" si="21"/>
        <v>1</v>
      </c>
      <c r="L686" s="560">
        <f t="shared" si="22"/>
        <v>1</v>
      </c>
      <c r="M686" s="560" t="e">
        <f>SUMIFS('[1]MAIN-101'!$Z$1:$Z$3000,'[1]MAIN-101'!$X$1:$X$3000,S686)</f>
        <v>#VALUE!</v>
      </c>
      <c r="N686" s="560"/>
      <c r="O686" s="560"/>
      <c r="S686" t="str">
        <f>VLOOKUP(C686,'Recon of ORS and DV'!$A$4:$B$358,2,FALSE)</f>
        <v>0228</v>
      </c>
    </row>
    <row r="687" spans="1:19">
      <c r="A687" t="s">
        <v>2169</v>
      </c>
      <c r="B687" s="553">
        <v>44243</v>
      </c>
      <c r="C687" t="s">
        <v>1186</v>
      </c>
      <c r="D687" s="281">
        <v>1</v>
      </c>
      <c r="E687" t="s">
        <v>2011</v>
      </c>
      <c r="F687" t="s">
        <v>605</v>
      </c>
      <c r="G687" t="s">
        <v>1180</v>
      </c>
      <c r="H687" t="s">
        <v>1187</v>
      </c>
      <c r="I687">
        <v>5020000000</v>
      </c>
      <c r="J687" s="560">
        <v>918.4</v>
      </c>
      <c r="K687" s="560">
        <f t="shared" si="21"/>
        <v>1</v>
      </c>
      <c r="L687" s="560">
        <f t="shared" si="22"/>
        <v>1</v>
      </c>
      <c r="M687" s="560" t="e">
        <f>SUMIFS('[1]MAIN-101'!$Z$1:$Z$3000,'[1]MAIN-101'!$X$1:$X$3000,S687)</f>
        <v>#VALUE!</v>
      </c>
      <c r="N687" s="560"/>
      <c r="O687" s="560"/>
      <c r="S687" t="str">
        <f>VLOOKUP(C687,'Recon of ORS and DV'!$A$4:$B$358,2,FALSE)</f>
        <v>0229</v>
      </c>
    </row>
    <row r="688" spans="1:19">
      <c r="A688" t="s">
        <v>2170</v>
      </c>
      <c r="B688" s="553">
        <v>44243</v>
      </c>
      <c r="C688" t="s">
        <v>1188</v>
      </c>
      <c r="D688" s="281">
        <v>1</v>
      </c>
      <c r="E688" t="s">
        <v>2005</v>
      </c>
      <c r="F688" t="s">
        <v>678</v>
      </c>
      <c r="G688" t="s">
        <v>1189</v>
      </c>
      <c r="H688" t="s">
        <v>1190</v>
      </c>
      <c r="I688">
        <v>5020000000</v>
      </c>
      <c r="J688" s="560">
        <v>14000</v>
      </c>
      <c r="K688" s="560">
        <f t="shared" si="21"/>
        <v>1</v>
      </c>
      <c r="L688" s="560">
        <f t="shared" si="22"/>
        <v>1</v>
      </c>
      <c r="M688" s="560" t="e">
        <f>SUMIFS('[1]MAIN-101'!$Z$1:$Z$3000,'[1]MAIN-101'!$X$1:$X$3000,S688)</f>
        <v>#VALUE!</v>
      </c>
      <c r="N688" s="560"/>
      <c r="O688" s="560"/>
      <c r="S688" t="str">
        <f>VLOOKUP(C688,'Recon of ORS and DV'!$A$4:$B$358,2,FALSE)</f>
        <v>0230</v>
      </c>
    </row>
    <row r="689" spans="1:19">
      <c r="A689" t="s">
        <v>2171</v>
      </c>
      <c r="B689" s="553">
        <v>44243</v>
      </c>
      <c r="C689" t="s">
        <v>1191</v>
      </c>
      <c r="D689" s="281">
        <v>3</v>
      </c>
      <c r="E689" t="s">
        <v>2016</v>
      </c>
      <c r="F689" t="s">
        <v>319</v>
      </c>
      <c r="G689" t="s">
        <v>1192</v>
      </c>
      <c r="H689" t="s">
        <v>1193</v>
      </c>
      <c r="I689">
        <v>5020000000</v>
      </c>
      <c r="J689" s="560">
        <v>8774</v>
      </c>
      <c r="K689" s="560">
        <f t="shared" si="21"/>
        <v>1</v>
      </c>
      <c r="L689" s="560">
        <f t="shared" si="22"/>
        <v>1</v>
      </c>
      <c r="M689" s="560" t="e">
        <f>SUMIFS('[1]MAIN-101'!$Z$1:$Z$3000,'[1]MAIN-101'!$X$1:$X$3000,S689)</f>
        <v>#VALUE!</v>
      </c>
      <c r="N689" s="560"/>
      <c r="O689" s="560"/>
      <c r="S689" t="str">
        <f>VLOOKUP(C689,'Recon of ORS and DV'!$A$4:$B$358,2,FALSE)</f>
        <v>0231</v>
      </c>
    </row>
    <row r="690" spans="1:19">
      <c r="A690" t="s">
        <v>2172</v>
      </c>
      <c r="B690" s="553">
        <v>44243</v>
      </c>
      <c r="C690" t="s">
        <v>1194</v>
      </c>
      <c r="D690" s="281">
        <v>2</v>
      </c>
      <c r="E690" t="s">
        <v>2037</v>
      </c>
      <c r="F690" t="s">
        <v>555</v>
      </c>
      <c r="G690" t="s">
        <v>1195</v>
      </c>
      <c r="H690" t="s">
        <v>1196</v>
      </c>
      <c r="I690">
        <v>5020000000</v>
      </c>
      <c r="J690" s="560">
        <v>2850</v>
      </c>
      <c r="K690" s="560">
        <f t="shared" si="21"/>
        <v>1</v>
      </c>
      <c r="L690" s="560">
        <f t="shared" si="22"/>
        <v>1</v>
      </c>
      <c r="M690" s="560" t="e">
        <f>SUMIFS('[1]MAIN-101'!$Z$1:$Z$3000,'[1]MAIN-101'!$X$1:$X$3000,S690)</f>
        <v>#VALUE!</v>
      </c>
      <c r="N690" s="560"/>
      <c r="O690" s="560"/>
      <c r="S690" t="str">
        <f>VLOOKUP(C690,'Recon of ORS and DV'!$A$4:$B$358,2,FALSE)</f>
        <v>0232</v>
      </c>
    </row>
    <row r="691" spans="1:19">
      <c r="A691" t="s">
        <v>2173</v>
      </c>
      <c r="B691" s="553">
        <v>44243</v>
      </c>
      <c r="C691" t="s">
        <v>1197</v>
      </c>
      <c r="D691" s="281">
        <v>10</v>
      </c>
      <c r="E691" t="s">
        <v>2034</v>
      </c>
      <c r="F691" t="s">
        <v>581</v>
      </c>
      <c r="G691" t="s">
        <v>1195</v>
      </c>
      <c r="H691" t="s">
        <v>1205</v>
      </c>
      <c r="I691">
        <v>5020000000</v>
      </c>
      <c r="J691" s="560">
        <v>500</v>
      </c>
      <c r="K691" s="560">
        <f t="shared" si="21"/>
        <v>1</v>
      </c>
      <c r="L691" s="560">
        <f t="shared" si="22"/>
        <v>1</v>
      </c>
      <c r="M691" s="560" t="e">
        <f>SUMIFS('[1]MAIN-101'!$Z$1:$Z$3000,'[1]MAIN-101'!$X$1:$X$3000,S691)</f>
        <v>#VALUE!</v>
      </c>
      <c r="N691" s="560"/>
      <c r="O691" s="560"/>
      <c r="S691" t="str">
        <f>VLOOKUP(C691,'Recon of ORS and DV'!$A$4:$B$358,2,FALSE)</f>
        <v>0233</v>
      </c>
    </row>
    <row r="692" spans="1:19">
      <c r="B692" s="553">
        <v>44243</v>
      </c>
      <c r="C692" t="s">
        <v>1198</v>
      </c>
      <c r="D692" s="281">
        <v>5</v>
      </c>
      <c r="E692" t="s">
        <v>2037</v>
      </c>
      <c r="F692" t="s">
        <v>555</v>
      </c>
      <c r="G692" t="s">
        <v>823</v>
      </c>
      <c r="H692" t="s">
        <v>1206</v>
      </c>
      <c r="I692">
        <v>5020000000</v>
      </c>
      <c r="J692" s="560">
        <v>15000</v>
      </c>
      <c r="K692" s="560">
        <f t="shared" si="21"/>
        <v>5</v>
      </c>
      <c r="L692" s="560">
        <f t="shared" si="22"/>
        <v>5</v>
      </c>
    </row>
    <row r="693" spans="1:19">
      <c r="B693" s="553">
        <v>44243</v>
      </c>
      <c r="C693" t="s">
        <v>1198</v>
      </c>
      <c r="D693" s="281">
        <v>5</v>
      </c>
      <c r="E693" t="s">
        <v>2005</v>
      </c>
      <c r="F693" t="s">
        <v>678</v>
      </c>
      <c r="G693" t="s">
        <v>823</v>
      </c>
      <c r="H693" t="s">
        <v>1206</v>
      </c>
      <c r="I693">
        <v>5020000000</v>
      </c>
      <c r="J693" s="560">
        <v>25000</v>
      </c>
      <c r="K693" s="560">
        <f t="shared" si="21"/>
        <v>5</v>
      </c>
      <c r="L693" s="560">
        <f t="shared" si="22"/>
        <v>4</v>
      </c>
    </row>
    <row r="694" spans="1:19">
      <c r="B694" s="553">
        <v>44243</v>
      </c>
      <c r="C694" t="s">
        <v>1198</v>
      </c>
      <c r="D694" s="281">
        <v>6</v>
      </c>
      <c r="E694" t="s">
        <v>2037</v>
      </c>
      <c r="F694" t="s">
        <v>555</v>
      </c>
      <c r="G694" t="s">
        <v>823</v>
      </c>
      <c r="H694" t="s">
        <v>1206</v>
      </c>
      <c r="I694">
        <v>5020000000</v>
      </c>
      <c r="J694" s="560">
        <v>15000</v>
      </c>
      <c r="K694" s="560">
        <f t="shared" si="21"/>
        <v>5</v>
      </c>
      <c r="L694" s="560">
        <f t="shared" si="22"/>
        <v>3</v>
      </c>
    </row>
    <row r="695" spans="1:19">
      <c r="B695" s="553">
        <v>44243</v>
      </c>
      <c r="C695" t="s">
        <v>1198</v>
      </c>
      <c r="D695" s="281">
        <v>6</v>
      </c>
      <c r="E695" t="s">
        <v>2005</v>
      </c>
      <c r="F695" t="s">
        <v>678</v>
      </c>
      <c r="G695" t="s">
        <v>823</v>
      </c>
      <c r="H695" t="s">
        <v>1206</v>
      </c>
      <c r="I695">
        <v>5020000000</v>
      </c>
      <c r="J695" s="560">
        <v>35000</v>
      </c>
      <c r="K695" s="560">
        <f t="shared" si="21"/>
        <v>5</v>
      </c>
      <c r="L695" s="560">
        <f t="shared" si="22"/>
        <v>2</v>
      </c>
    </row>
    <row r="696" spans="1:19">
      <c r="A696" t="s">
        <v>2174</v>
      </c>
      <c r="B696" s="553">
        <v>44243</v>
      </c>
      <c r="C696" t="s">
        <v>1198</v>
      </c>
      <c r="D696" s="281">
        <v>7</v>
      </c>
      <c r="E696" t="s">
        <v>2032</v>
      </c>
      <c r="F696" t="s">
        <v>565</v>
      </c>
      <c r="G696" t="s">
        <v>823</v>
      </c>
      <c r="H696" t="s">
        <v>1206</v>
      </c>
      <c r="I696">
        <v>5020000000</v>
      </c>
      <c r="J696" s="560">
        <v>10000</v>
      </c>
      <c r="K696" s="560">
        <f t="shared" si="21"/>
        <v>5</v>
      </c>
      <c r="L696" s="560">
        <f t="shared" si="22"/>
        <v>1</v>
      </c>
      <c r="M696" s="560" t="e">
        <f>SUMIFS('[1]MAIN-101'!$Z$1:$Z$3000,'[1]MAIN-101'!$X$1:$X$3000,S696)</f>
        <v>#VALUE!</v>
      </c>
      <c r="N696" s="560"/>
      <c r="O696" s="560"/>
      <c r="S696" t="str">
        <f>VLOOKUP(C696,'Recon of ORS and DV'!$A$4:$B$358,2,FALSE)</f>
        <v>0247</v>
      </c>
    </row>
    <row r="697" spans="1:19">
      <c r="B697" s="553">
        <v>44243</v>
      </c>
      <c r="C697" t="s">
        <v>1199</v>
      </c>
      <c r="D697" s="281">
        <v>5</v>
      </c>
      <c r="E697" t="s">
        <v>2037</v>
      </c>
      <c r="F697" t="s">
        <v>555</v>
      </c>
      <c r="G697" t="s">
        <v>822</v>
      </c>
      <c r="H697" t="s">
        <v>1206</v>
      </c>
      <c r="I697">
        <v>5020000000</v>
      </c>
      <c r="J697" s="560">
        <v>0</v>
      </c>
      <c r="K697" s="560">
        <f t="shared" si="21"/>
        <v>5</v>
      </c>
      <c r="L697" s="560">
        <f t="shared" si="22"/>
        <v>5</v>
      </c>
    </row>
    <row r="698" spans="1:19">
      <c r="B698" s="553">
        <v>44243</v>
      </c>
      <c r="C698" t="s">
        <v>1199</v>
      </c>
      <c r="D698" s="281">
        <v>5</v>
      </c>
      <c r="E698" t="s">
        <v>2005</v>
      </c>
      <c r="F698" t="s">
        <v>678</v>
      </c>
      <c r="G698" t="s">
        <v>822</v>
      </c>
      <c r="H698" t="s">
        <v>1206</v>
      </c>
      <c r="I698">
        <v>5020000000</v>
      </c>
      <c r="J698" s="560">
        <v>0</v>
      </c>
      <c r="K698" s="560">
        <f t="shared" si="21"/>
        <v>5</v>
      </c>
      <c r="L698" s="560">
        <f t="shared" si="22"/>
        <v>4</v>
      </c>
    </row>
    <row r="699" spans="1:19">
      <c r="B699" s="553">
        <v>44243</v>
      </c>
      <c r="C699" t="s">
        <v>1199</v>
      </c>
      <c r="D699" s="281">
        <v>6</v>
      </c>
      <c r="E699" t="s">
        <v>2037</v>
      </c>
      <c r="F699" t="s">
        <v>555</v>
      </c>
      <c r="G699" t="s">
        <v>822</v>
      </c>
      <c r="H699" t="s">
        <v>1206</v>
      </c>
      <c r="I699">
        <v>5020000000</v>
      </c>
      <c r="J699" s="560">
        <v>0</v>
      </c>
      <c r="K699" s="560">
        <f t="shared" si="21"/>
        <v>5</v>
      </c>
      <c r="L699" s="560">
        <f t="shared" si="22"/>
        <v>3</v>
      </c>
    </row>
    <row r="700" spans="1:19">
      <c r="B700" s="553">
        <v>44243</v>
      </c>
      <c r="C700" t="s">
        <v>1199</v>
      </c>
      <c r="D700" s="281">
        <v>6</v>
      </c>
      <c r="E700" t="s">
        <v>2005</v>
      </c>
      <c r="F700" t="s">
        <v>678</v>
      </c>
      <c r="G700" t="s">
        <v>822</v>
      </c>
      <c r="H700" t="s">
        <v>1206</v>
      </c>
      <c r="I700">
        <v>5020000000</v>
      </c>
      <c r="J700" s="560">
        <v>0</v>
      </c>
      <c r="K700" s="560">
        <f t="shared" si="21"/>
        <v>5</v>
      </c>
      <c r="L700" s="560">
        <f t="shared" si="22"/>
        <v>2</v>
      </c>
    </row>
    <row r="701" spans="1:19">
      <c r="A701">
        <v>0</v>
      </c>
      <c r="B701" s="553">
        <v>44243</v>
      </c>
      <c r="C701" t="s">
        <v>1199</v>
      </c>
      <c r="D701" s="281">
        <v>7</v>
      </c>
      <c r="E701" t="s">
        <v>2032</v>
      </c>
      <c r="F701" t="s">
        <v>565</v>
      </c>
      <c r="G701" t="s">
        <v>822</v>
      </c>
      <c r="H701" t="s">
        <v>1206</v>
      </c>
      <c r="I701">
        <v>5020000000</v>
      </c>
      <c r="J701" s="560">
        <v>0</v>
      </c>
      <c r="K701" s="560">
        <f t="shared" si="21"/>
        <v>5</v>
      </c>
      <c r="L701" s="560">
        <f t="shared" si="22"/>
        <v>1</v>
      </c>
      <c r="M701" s="560" t="e">
        <f>SUMIFS('[1]MAIN-101'!$Z$1:$Z$3000,'[1]MAIN-101'!$X$1:$X$3000,S701)</f>
        <v>#VALUE!</v>
      </c>
      <c r="N701" s="560"/>
      <c r="O701" s="560"/>
      <c r="S701">
        <f>VLOOKUP(C701,'Recon of ORS and DV'!$A$4:$B$358,2,FALSE)</f>
        <v>0</v>
      </c>
    </row>
    <row r="702" spans="1:19">
      <c r="B702" s="553">
        <v>44243</v>
      </c>
      <c r="C702" t="s">
        <v>1200</v>
      </c>
      <c r="D702" s="281">
        <v>5</v>
      </c>
      <c r="E702" t="s">
        <v>2037</v>
      </c>
      <c r="F702" t="s">
        <v>555</v>
      </c>
      <c r="G702" t="s">
        <v>821</v>
      </c>
      <c r="H702" t="s">
        <v>1206</v>
      </c>
      <c r="I702">
        <v>5020000000</v>
      </c>
      <c r="J702" s="560">
        <v>0</v>
      </c>
      <c r="K702" s="560">
        <f t="shared" si="21"/>
        <v>5</v>
      </c>
      <c r="L702" s="560">
        <f t="shared" si="22"/>
        <v>5</v>
      </c>
    </row>
    <row r="703" spans="1:19">
      <c r="B703" s="553">
        <v>44243</v>
      </c>
      <c r="C703" t="s">
        <v>1200</v>
      </c>
      <c r="D703" s="281">
        <v>5</v>
      </c>
      <c r="E703" t="s">
        <v>2005</v>
      </c>
      <c r="F703" t="s">
        <v>678</v>
      </c>
      <c r="G703" t="s">
        <v>821</v>
      </c>
      <c r="H703" t="s">
        <v>1206</v>
      </c>
      <c r="I703">
        <v>5020000000</v>
      </c>
      <c r="J703" s="560">
        <v>0</v>
      </c>
      <c r="K703" s="560">
        <f t="shared" si="21"/>
        <v>5</v>
      </c>
      <c r="L703" s="560">
        <f t="shared" si="22"/>
        <v>4</v>
      </c>
    </row>
    <row r="704" spans="1:19">
      <c r="B704" s="553">
        <v>44243</v>
      </c>
      <c r="C704" t="s">
        <v>1200</v>
      </c>
      <c r="D704" s="281">
        <v>6</v>
      </c>
      <c r="E704" t="s">
        <v>2037</v>
      </c>
      <c r="F704" t="s">
        <v>555</v>
      </c>
      <c r="G704" t="s">
        <v>821</v>
      </c>
      <c r="H704" t="s">
        <v>1206</v>
      </c>
      <c r="I704">
        <v>5020000000</v>
      </c>
      <c r="J704" s="560">
        <v>0</v>
      </c>
      <c r="K704" s="560">
        <f t="shared" si="21"/>
        <v>5</v>
      </c>
      <c r="L704" s="560">
        <f t="shared" si="22"/>
        <v>3</v>
      </c>
    </row>
    <row r="705" spans="1:19">
      <c r="B705" s="553">
        <v>44243</v>
      </c>
      <c r="C705" t="s">
        <v>1200</v>
      </c>
      <c r="D705" s="281">
        <v>6</v>
      </c>
      <c r="E705" t="s">
        <v>2005</v>
      </c>
      <c r="F705" t="s">
        <v>678</v>
      </c>
      <c r="G705" t="s">
        <v>821</v>
      </c>
      <c r="H705" t="s">
        <v>1206</v>
      </c>
      <c r="I705">
        <v>5020000000</v>
      </c>
      <c r="J705" s="560">
        <v>0</v>
      </c>
      <c r="K705" s="560">
        <f t="shared" si="21"/>
        <v>5</v>
      </c>
      <c r="L705" s="560">
        <f t="shared" si="22"/>
        <v>2</v>
      </c>
    </row>
    <row r="706" spans="1:19">
      <c r="A706">
        <v>0</v>
      </c>
      <c r="B706" s="553">
        <v>44243</v>
      </c>
      <c r="C706" t="s">
        <v>1200</v>
      </c>
      <c r="D706" s="281">
        <v>7</v>
      </c>
      <c r="E706" t="s">
        <v>2032</v>
      </c>
      <c r="F706" t="s">
        <v>565</v>
      </c>
      <c r="G706" t="s">
        <v>821</v>
      </c>
      <c r="H706" t="s">
        <v>1206</v>
      </c>
      <c r="I706">
        <v>5020000000</v>
      </c>
      <c r="J706" s="560">
        <v>0</v>
      </c>
      <c r="K706" s="560">
        <f t="shared" si="21"/>
        <v>5</v>
      </c>
      <c r="L706" s="560">
        <f t="shared" si="22"/>
        <v>1</v>
      </c>
      <c r="M706" s="560" t="e">
        <f>SUMIFS('[1]MAIN-101'!$Z$1:$Z$3000,'[1]MAIN-101'!$X$1:$X$3000,S706)</f>
        <v>#VALUE!</v>
      </c>
      <c r="N706" s="560"/>
      <c r="O706" s="560"/>
      <c r="S706">
        <f>VLOOKUP(C706,'Recon of ORS and DV'!$A$4:$B$358,2,FALSE)</f>
        <v>0</v>
      </c>
    </row>
    <row r="707" spans="1:19">
      <c r="B707" s="553">
        <v>44243</v>
      </c>
      <c r="C707" t="s">
        <v>1201</v>
      </c>
      <c r="D707" s="281">
        <v>5</v>
      </c>
      <c r="E707" t="s">
        <v>2037</v>
      </c>
      <c r="F707" t="s">
        <v>555</v>
      </c>
      <c r="G707" t="s">
        <v>820</v>
      </c>
      <c r="H707" t="s">
        <v>1206</v>
      </c>
      <c r="I707">
        <v>5020000000</v>
      </c>
      <c r="J707" s="560">
        <v>20000</v>
      </c>
      <c r="K707" s="560">
        <f t="shared" si="21"/>
        <v>5</v>
      </c>
      <c r="L707" s="560">
        <f t="shared" si="22"/>
        <v>5</v>
      </c>
    </row>
    <row r="708" spans="1:19">
      <c r="B708" s="553">
        <v>44243</v>
      </c>
      <c r="C708" t="s">
        <v>1201</v>
      </c>
      <c r="D708" s="281">
        <v>5</v>
      </c>
      <c r="E708" t="s">
        <v>2005</v>
      </c>
      <c r="F708" t="s">
        <v>678</v>
      </c>
      <c r="G708" t="s">
        <v>820</v>
      </c>
      <c r="H708" t="s">
        <v>1206</v>
      </c>
      <c r="I708">
        <v>5020000000</v>
      </c>
      <c r="J708" s="560">
        <v>35000</v>
      </c>
      <c r="K708" s="560">
        <f t="shared" ref="K708:K771" si="23">COUNTIFS($C$3:$C$1556,C708)</f>
        <v>5</v>
      </c>
      <c r="L708" s="560">
        <f t="shared" si="22"/>
        <v>4</v>
      </c>
    </row>
    <row r="709" spans="1:19">
      <c r="B709" s="553">
        <v>44243</v>
      </c>
      <c r="C709" t="s">
        <v>1201</v>
      </c>
      <c r="D709" s="281">
        <v>6</v>
      </c>
      <c r="E709" t="s">
        <v>2037</v>
      </c>
      <c r="F709" t="s">
        <v>555</v>
      </c>
      <c r="G709" t="s">
        <v>820</v>
      </c>
      <c r="H709" t="s">
        <v>1206</v>
      </c>
      <c r="I709">
        <v>5020000000</v>
      </c>
      <c r="J709" s="560">
        <v>20000</v>
      </c>
      <c r="K709" s="560">
        <f t="shared" si="23"/>
        <v>5</v>
      </c>
      <c r="L709" s="560">
        <f t="shared" si="22"/>
        <v>3</v>
      </c>
    </row>
    <row r="710" spans="1:19">
      <c r="B710" s="553">
        <v>44243</v>
      </c>
      <c r="C710" t="s">
        <v>1201</v>
      </c>
      <c r="D710" s="281">
        <v>6</v>
      </c>
      <c r="E710" t="s">
        <v>2005</v>
      </c>
      <c r="F710" t="s">
        <v>678</v>
      </c>
      <c r="G710" t="s">
        <v>820</v>
      </c>
      <c r="H710" t="s">
        <v>1206</v>
      </c>
      <c r="I710">
        <v>5020000000</v>
      </c>
      <c r="J710" s="560">
        <v>50000</v>
      </c>
      <c r="K710" s="560">
        <f t="shared" si="23"/>
        <v>5</v>
      </c>
      <c r="L710" s="560">
        <f t="shared" si="22"/>
        <v>2</v>
      </c>
    </row>
    <row r="711" spans="1:19">
      <c r="A711" t="s">
        <v>2175</v>
      </c>
      <c r="B711" s="553">
        <v>44243</v>
      </c>
      <c r="C711" t="s">
        <v>1201</v>
      </c>
      <c r="D711" s="281">
        <v>7</v>
      </c>
      <c r="E711" t="s">
        <v>2032</v>
      </c>
      <c r="F711" t="s">
        <v>565</v>
      </c>
      <c r="G711" t="s">
        <v>820</v>
      </c>
      <c r="H711" t="s">
        <v>1206</v>
      </c>
      <c r="I711">
        <v>5020000000</v>
      </c>
      <c r="J711" s="560">
        <v>10125</v>
      </c>
      <c r="K711" s="560">
        <f t="shared" si="23"/>
        <v>5</v>
      </c>
      <c r="L711" s="560">
        <f t="shared" si="22"/>
        <v>1</v>
      </c>
      <c r="M711" s="560" t="e">
        <f>SUMIFS('[1]MAIN-101'!$Z$1:$Z$3000,'[1]MAIN-101'!$X$1:$X$3000,S711)</f>
        <v>#VALUE!</v>
      </c>
      <c r="N711" s="560"/>
      <c r="O711" s="560"/>
      <c r="S711" t="str">
        <f>VLOOKUP(C711,'Recon of ORS and DV'!$A$4:$B$358,2,FALSE)</f>
        <v>0244</v>
      </c>
    </row>
    <row r="712" spans="1:19">
      <c r="B712" s="553">
        <v>44243</v>
      </c>
      <c r="C712" t="s">
        <v>1202</v>
      </c>
      <c r="D712" s="281">
        <v>5</v>
      </c>
      <c r="E712" t="s">
        <v>2037</v>
      </c>
      <c r="F712" t="s">
        <v>555</v>
      </c>
      <c r="G712" t="s">
        <v>818</v>
      </c>
      <c r="H712" t="s">
        <v>1206</v>
      </c>
      <c r="I712">
        <v>5020000000</v>
      </c>
      <c r="J712" s="560">
        <v>0</v>
      </c>
      <c r="K712" s="560">
        <f t="shared" si="23"/>
        <v>5</v>
      </c>
      <c r="L712" s="560">
        <f t="shared" si="22"/>
        <v>5</v>
      </c>
    </row>
    <row r="713" spans="1:19">
      <c r="B713" s="553">
        <v>44243</v>
      </c>
      <c r="C713" t="s">
        <v>1202</v>
      </c>
      <c r="D713" s="281">
        <v>5</v>
      </c>
      <c r="E713" t="s">
        <v>2005</v>
      </c>
      <c r="F713" t="s">
        <v>678</v>
      </c>
      <c r="G713" t="s">
        <v>818</v>
      </c>
      <c r="H713" t="s">
        <v>1206</v>
      </c>
      <c r="I713">
        <v>5020000000</v>
      </c>
      <c r="J713" s="560">
        <v>0</v>
      </c>
      <c r="K713" s="560">
        <f t="shared" si="23"/>
        <v>5</v>
      </c>
      <c r="L713" s="560">
        <f t="shared" si="22"/>
        <v>4</v>
      </c>
    </row>
    <row r="714" spans="1:19">
      <c r="B714" s="553">
        <v>44243</v>
      </c>
      <c r="C714" t="s">
        <v>1202</v>
      </c>
      <c r="D714" s="281">
        <v>6</v>
      </c>
      <c r="E714" t="s">
        <v>2037</v>
      </c>
      <c r="F714" t="s">
        <v>555</v>
      </c>
      <c r="G714" t="s">
        <v>818</v>
      </c>
      <c r="H714" t="s">
        <v>1206</v>
      </c>
      <c r="I714">
        <v>5020000000</v>
      </c>
      <c r="J714" s="560">
        <v>0</v>
      </c>
      <c r="K714" s="560">
        <f t="shared" si="23"/>
        <v>5</v>
      </c>
      <c r="L714" s="560">
        <f t="shared" si="22"/>
        <v>3</v>
      </c>
    </row>
    <row r="715" spans="1:19">
      <c r="B715" s="553">
        <v>44243</v>
      </c>
      <c r="C715" t="s">
        <v>1202</v>
      </c>
      <c r="D715" s="281">
        <v>6</v>
      </c>
      <c r="E715" t="s">
        <v>2005</v>
      </c>
      <c r="F715" t="s">
        <v>678</v>
      </c>
      <c r="G715" t="s">
        <v>818</v>
      </c>
      <c r="H715" t="s">
        <v>1206</v>
      </c>
      <c r="I715">
        <v>5020000000</v>
      </c>
      <c r="J715" s="560">
        <v>0</v>
      </c>
      <c r="K715" s="560">
        <f t="shared" si="23"/>
        <v>5</v>
      </c>
      <c r="L715" s="560">
        <f t="shared" si="22"/>
        <v>2</v>
      </c>
    </row>
    <row r="716" spans="1:19">
      <c r="A716">
        <v>0</v>
      </c>
      <c r="B716" s="553">
        <v>44243</v>
      </c>
      <c r="C716" t="s">
        <v>1202</v>
      </c>
      <c r="D716" s="281">
        <v>7</v>
      </c>
      <c r="E716" t="s">
        <v>2032</v>
      </c>
      <c r="F716" t="s">
        <v>565</v>
      </c>
      <c r="G716" t="s">
        <v>818</v>
      </c>
      <c r="H716" t="s">
        <v>1206</v>
      </c>
      <c r="I716">
        <v>5020000000</v>
      </c>
      <c r="J716" s="560">
        <v>0</v>
      </c>
      <c r="K716" s="560">
        <f t="shared" si="23"/>
        <v>5</v>
      </c>
      <c r="L716" s="560">
        <f t="shared" si="22"/>
        <v>1</v>
      </c>
      <c r="M716" s="560" t="e">
        <f>SUMIFS('[1]MAIN-101'!$Z$1:$Z$3000,'[1]MAIN-101'!$X$1:$X$3000,S716)</f>
        <v>#VALUE!</v>
      </c>
      <c r="N716" s="560"/>
      <c r="O716" s="560"/>
      <c r="S716">
        <f>VLOOKUP(C716,'Recon of ORS and DV'!$A$4:$B$358,2,FALSE)</f>
        <v>0</v>
      </c>
    </row>
    <row r="717" spans="1:19">
      <c r="A717" t="s">
        <v>2176</v>
      </c>
      <c r="B717" s="553">
        <v>44243</v>
      </c>
      <c r="C717" t="s">
        <v>1203</v>
      </c>
      <c r="D717" s="281">
        <v>1</v>
      </c>
      <c r="E717" t="s">
        <v>2032</v>
      </c>
      <c r="F717" t="s">
        <v>565</v>
      </c>
      <c r="G717" t="s">
        <v>1036</v>
      </c>
      <c r="H717" t="s">
        <v>1207</v>
      </c>
      <c r="I717">
        <v>5020000000</v>
      </c>
      <c r="J717" s="560">
        <v>0</v>
      </c>
      <c r="K717" s="560">
        <f t="shared" si="23"/>
        <v>1</v>
      </c>
      <c r="L717" s="560">
        <f t="shared" si="22"/>
        <v>1</v>
      </c>
      <c r="M717" s="560" t="e">
        <f>SUMIFS('[1]MAIN-101'!$Z$1:$Z$3000,'[1]MAIN-101'!$X$1:$X$3000,S717)</f>
        <v>#VALUE!</v>
      </c>
      <c r="N717" s="560"/>
      <c r="O717" s="560"/>
      <c r="S717" t="str">
        <f>VLOOKUP(C717,'Recon of ORS and DV'!$A$4:$B$358,2,FALSE)</f>
        <v>0272</v>
      </c>
    </row>
    <row r="718" spans="1:19">
      <c r="B718" s="553">
        <v>44243</v>
      </c>
      <c r="C718" t="s">
        <v>1204</v>
      </c>
      <c r="D718" s="281">
        <v>9</v>
      </c>
      <c r="E718" t="s">
        <v>2037</v>
      </c>
      <c r="F718" t="s">
        <v>555</v>
      </c>
      <c r="G718" t="s">
        <v>823</v>
      </c>
      <c r="H718" t="s">
        <v>1213</v>
      </c>
      <c r="I718">
        <v>5020000000</v>
      </c>
      <c r="J718" s="560">
        <v>0</v>
      </c>
      <c r="K718" s="560">
        <f t="shared" si="23"/>
        <v>4</v>
      </c>
      <c r="L718" s="560">
        <f t="shared" si="22"/>
        <v>4</v>
      </c>
    </row>
    <row r="719" spans="1:19">
      <c r="B719" s="553">
        <v>44243</v>
      </c>
      <c r="C719" t="s">
        <v>1204</v>
      </c>
      <c r="D719" s="281">
        <v>9</v>
      </c>
      <c r="E719" t="s">
        <v>2023</v>
      </c>
      <c r="F719" t="s">
        <v>674</v>
      </c>
      <c r="G719" t="s">
        <v>823</v>
      </c>
      <c r="H719" t="s">
        <v>1213</v>
      </c>
      <c r="I719">
        <v>5020000000</v>
      </c>
      <c r="J719" s="560">
        <v>0</v>
      </c>
      <c r="K719" s="560">
        <f t="shared" si="23"/>
        <v>4</v>
      </c>
      <c r="L719" s="560">
        <f t="shared" ref="L719:L782" si="24">COUNTIFS(C719:C2272,C719)</f>
        <v>3</v>
      </c>
    </row>
    <row r="720" spans="1:19">
      <c r="B720" s="553">
        <v>44243</v>
      </c>
      <c r="C720" t="s">
        <v>1204</v>
      </c>
      <c r="D720" s="281">
        <v>9</v>
      </c>
      <c r="E720" t="s">
        <v>1996</v>
      </c>
      <c r="F720" t="s">
        <v>676</v>
      </c>
      <c r="G720" t="s">
        <v>823</v>
      </c>
      <c r="H720" t="s">
        <v>1213</v>
      </c>
      <c r="I720">
        <v>5020000000</v>
      </c>
      <c r="J720" s="560">
        <v>0</v>
      </c>
      <c r="K720" s="560">
        <f t="shared" si="23"/>
        <v>4</v>
      </c>
      <c r="L720" s="560">
        <f t="shared" si="24"/>
        <v>2</v>
      </c>
    </row>
    <row r="721" spans="1:19">
      <c r="A721">
        <v>0</v>
      </c>
      <c r="B721" s="553">
        <v>44243</v>
      </c>
      <c r="C721" t="s">
        <v>1204</v>
      </c>
      <c r="D721" s="281">
        <v>9</v>
      </c>
      <c r="E721" t="s">
        <v>2005</v>
      </c>
      <c r="F721" t="s">
        <v>678</v>
      </c>
      <c r="G721" t="s">
        <v>823</v>
      </c>
      <c r="H721" t="s">
        <v>1213</v>
      </c>
      <c r="I721">
        <v>5020000000</v>
      </c>
      <c r="J721" s="560">
        <v>0</v>
      </c>
      <c r="K721" s="560">
        <f t="shared" si="23"/>
        <v>4</v>
      </c>
      <c r="L721" s="560">
        <f t="shared" si="24"/>
        <v>1</v>
      </c>
      <c r="M721" s="560" t="e">
        <f>SUMIFS('[1]MAIN-101'!$Z$1:$Z$3000,'[1]MAIN-101'!$X$1:$X$3000,S721)</f>
        <v>#VALUE!</v>
      </c>
      <c r="N721" s="560"/>
      <c r="O721" s="560"/>
      <c r="S721">
        <f>VLOOKUP(C721,'Recon of ORS and DV'!$A$4:$B$358,2,FALSE)</f>
        <v>0</v>
      </c>
    </row>
    <row r="722" spans="1:19">
      <c r="B722" s="553">
        <v>44243</v>
      </c>
      <c r="C722" t="s">
        <v>1208</v>
      </c>
      <c r="D722" s="281">
        <v>9</v>
      </c>
      <c r="E722" t="s">
        <v>2037</v>
      </c>
      <c r="F722" t="s">
        <v>555</v>
      </c>
      <c r="G722" t="s">
        <v>822</v>
      </c>
      <c r="H722" t="s">
        <v>1213</v>
      </c>
      <c r="I722">
        <v>5020000000</v>
      </c>
      <c r="J722" s="560">
        <v>0</v>
      </c>
      <c r="K722" s="560">
        <f t="shared" si="23"/>
        <v>4</v>
      </c>
      <c r="L722" s="560">
        <f t="shared" si="24"/>
        <v>4</v>
      </c>
    </row>
    <row r="723" spans="1:19">
      <c r="B723" s="553">
        <v>44243</v>
      </c>
      <c r="C723" t="s">
        <v>1208</v>
      </c>
      <c r="D723" s="281">
        <v>9</v>
      </c>
      <c r="E723" t="s">
        <v>2023</v>
      </c>
      <c r="F723" t="s">
        <v>674</v>
      </c>
      <c r="G723" t="s">
        <v>822</v>
      </c>
      <c r="H723" t="s">
        <v>1213</v>
      </c>
      <c r="I723">
        <v>5020000000</v>
      </c>
      <c r="J723" s="560">
        <v>0</v>
      </c>
      <c r="K723" s="560">
        <f t="shared" si="23"/>
        <v>4</v>
      </c>
      <c r="L723" s="560">
        <f t="shared" si="24"/>
        <v>3</v>
      </c>
    </row>
    <row r="724" spans="1:19">
      <c r="B724" s="553">
        <v>44243</v>
      </c>
      <c r="C724" t="s">
        <v>1208</v>
      </c>
      <c r="D724" s="281">
        <v>9</v>
      </c>
      <c r="E724" t="s">
        <v>1996</v>
      </c>
      <c r="F724" t="s">
        <v>676</v>
      </c>
      <c r="G724" t="s">
        <v>822</v>
      </c>
      <c r="H724" t="s">
        <v>1213</v>
      </c>
      <c r="I724">
        <v>5020000000</v>
      </c>
      <c r="J724" s="560">
        <v>0</v>
      </c>
      <c r="K724" s="560">
        <f t="shared" si="23"/>
        <v>4</v>
      </c>
      <c r="L724" s="560">
        <f t="shared" si="24"/>
        <v>2</v>
      </c>
    </row>
    <row r="725" spans="1:19">
      <c r="A725">
        <v>0</v>
      </c>
      <c r="B725" s="553">
        <v>44243</v>
      </c>
      <c r="C725" t="s">
        <v>1208</v>
      </c>
      <c r="D725" s="281">
        <v>9</v>
      </c>
      <c r="E725" t="s">
        <v>2005</v>
      </c>
      <c r="F725" t="s">
        <v>678</v>
      </c>
      <c r="G725" t="s">
        <v>822</v>
      </c>
      <c r="H725" t="s">
        <v>1213</v>
      </c>
      <c r="I725">
        <v>5020000000</v>
      </c>
      <c r="J725" s="560">
        <v>0</v>
      </c>
      <c r="K725" s="560">
        <f t="shared" si="23"/>
        <v>4</v>
      </c>
      <c r="L725" s="560">
        <f t="shared" si="24"/>
        <v>1</v>
      </c>
      <c r="M725" s="560" t="e">
        <f>SUMIFS('[1]MAIN-101'!$Z$1:$Z$3000,'[1]MAIN-101'!$X$1:$X$3000,S725)</f>
        <v>#VALUE!</v>
      </c>
      <c r="N725" s="560"/>
      <c r="O725" s="560"/>
      <c r="S725">
        <f>VLOOKUP(C725,'Recon of ORS and DV'!$A$4:$B$358,2,FALSE)</f>
        <v>0</v>
      </c>
    </row>
    <row r="726" spans="1:19">
      <c r="B726" s="553">
        <v>44243</v>
      </c>
      <c r="C726" t="s">
        <v>1209</v>
      </c>
      <c r="D726" s="281">
        <v>9</v>
      </c>
      <c r="E726" t="s">
        <v>2037</v>
      </c>
      <c r="F726" t="s">
        <v>555</v>
      </c>
      <c r="G726" t="s">
        <v>821</v>
      </c>
      <c r="H726" t="s">
        <v>1213</v>
      </c>
      <c r="I726">
        <v>5020000000</v>
      </c>
      <c r="J726" s="560">
        <v>0</v>
      </c>
      <c r="K726" s="560">
        <f t="shared" si="23"/>
        <v>4</v>
      </c>
      <c r="L726" s="560">
        <f t="shared" si="24"/>
        <v>4</v>
      </c>
    </row>
    <row r="727" spans="1:19">
      <c r="B727" s="553">
        <v>44243</v>
      </c>
      <c r="C727" t="s">
        <v>1209</v>
      </c>
      <c r="D727" s="281">
        <v>9</v>
      </c>
      <c r="E727" t="s">
        <v>2023</v>
      </c>
      <c r="F727" t="s">
        <v>674</v>
      </c>
      <c r="G727" t="s">
        <v>821</v>
      </c>
      <c r="H727" t="s">
        <v>1213</v>
      </c>
      <c r="I727">
        <v>5020000000</v>
      </c>
      <c r="J727" s="560">
        <v>0</v>
      </c>
      <c r="K727" s="560">
        <f t="shared" si="23"/>
        <v>4</v>
      </c>
      <c r="L727" s="560">
        <f t="shared" si="24"/>
        <v>3</v>
      </c>
    </row>
    <row r="728" spans="1:19">
      <c r="B728" s="553">
        <v>44243</v>
      </c>
      <c r="C728" t="s">
        <v>1209</v>
      </c>
      <c r="D728" s="281">
        <v>9</v>
      </c>
      <c r="E728" t="s">
        <v>1996</v>
      </c>
      <c r="F728" t="s">
        <v>676</v>
      </c>
      <c r="G728" t="s">
        <v>821</v>
      </c>
      <c r="H728" t="s">
        <v>1213</v>
      </c>
      <c r="I728">
        <v>5020000000</v>
      </c>
      <c r="J728" s="560">
        <v>0</v>
      </c>
      <c r="K728" s="560">
        <f t="shared" si="23"/>
        <v>4</v>
      </c>
      <c r="L728" s="560">
        <f t="shared" si="24"/>
        <v>2</v>
      </c>
    </row>
    <row r="729" spans="1:19">
      <c r="A729">
        <v>0</v>
      </c>
      <c r="B729" s="553">
        <v>44243</v>
      </c>
      <c r="C729" t="s">
        <v>1209</v>
      </c>
      <c r="D729" s="281">
        <v>9</v>
      </c>
      <c r="E729" t="s">
        <v>2005</v>
      </c>
      <c r="F729" t="s">
        <v>678</v>
      </c>
      <c r="G729" t="s">
        <v>821</v>
      </c>
      <c r="H729" t="s">
        <v>1213</v>
      </c>
      <c r="I729">
        <v>5020000000</v>
      </c>
      <c r="J729" s="560">
        <v>0</v>
      </c>
      <c r="K729" s="560">
        <f t="shared" si="23"/>
        <v>4</v>
      </c>
      <c r="L729" s="560">
        <f t="shared" si="24"/>
        <v>1</v>
      </c>
      <c r="M729" s="560" t="e">
        <f>SUMIFS('[1]MAIN-101'!$Z$1:$Z$3000,'[1]MAIN-101'!$X$1:$X$3000,S729)</f>
        <v>#VALUE!</v>
      </c>
      <c r="N729" s="560"/>
      <c r="O729" s="560"/>
      <c r="S729">
        <f>VLOOKUP(C729,'Recon of ORS and DV'!$A$4:$B$358,2,FALSE)</f>
        <v>0</v>
      </c>
    </row>
    <row r="730" spans="1:19">
      <c r="B730" s="553">
        <v>44243</v>
      </c>
      <c r="C730" t="s">
        <v>1210</v>
      </c>
      <c r="D730" s="281">
        <v>9</v>
      </c>
      <c r="E730" t="s">
        <v>2037</v>
      </c>
      <c r="F730" t="s">
        <v>555</v>
      </c>
      <c r="G730" t="s">
        <v>820</v>
      </c>
      <c r="H730" t="s">
        <v>1213</v>
      </c>
      <c r="I730">
        <v>5020000000</v>
      </c>
      <c r="J730" s="560">
        <v>0</v>
      </c>
      <c r="K730" s="560">
        <f t="shared" si="23"/>
        <v>4</v>
      </c>
      <c r="L730" s="560">
        <f t="shared" si="24"/>
        <v>4</v>
      </c>
    </row>
    <row r="731" spans="1:19">
      <c r="B731" s="553">
        <v>44243</v>
      </c>
      <c r="C731" t="s">
        <v>1210</v>
      </c>
      <c r="D731" s="281">
        <v>9</v>
      </c>
      <c r="E731" t="s">
        <v>2023</v>
      </c>
      <c r="F731" t="s">
        <v>674</v>
      </c>
      <c r="G731" t="s">
        <v>820</v>
      </c>
      <c r="H731" t="s">
        <v>1213</v>
      </c>
      <c r="I731">
        <v>5020000000</v>
      </c>
      <c r="J731" s="560">
        <v>0</v>
      </c>
      <c r="K731" s="560">
        <f t="shared" si="23"/>
        <v>4</v>
      </c>
      <c r="L731" s="560">
        <f t="shared" si="24"/>
        <v>3</v>
      </c>
    </row>
    <row r="732" spans="1:19">
      <c r="B732" s="553">
        <v>44243</v>
      </c>
      <c r="C732" t="s">
        <v>1210</v>
      </c>
      <c r="D732" s="281">
        <v>9</v>
      </c>
      <c r="E732" t="s">
        <v>1996</v>
      </c>
      <c r="F732" t="s">
        <v>676</v>
      </c>
      <c r="G732" t="s">
        <v>820</v>
      </c>
      <c r="H732" t="s">
        <v>1213</v>
      </c>
      <c r="I732">
        <v>5020000000</v>
      </c>
      <c r="J732" s="560">
        <v>0</v>
      </c>
      <c r="K732" s="560">
        <f t="shared" si="23"/>
        <v>4</v>
      </c>
      <c r="L732" s="560">
        <f t="shared" si="24"/>
        <v>2</v>
      </c>
    </row>
    <row r="733" spans="1:19">
      <c r="A733">
        <v>0</v>
      </c>
      <c r="B733" s="553">
        <v>44243</v>
      </c>
      <c r="C733" t="s">
        <v>1210</v>
      </c>
      <c r="D733" s="281">
        <v>9</v>
      </c>
      <c r="E733" t="s">
        <v>2005</v>
      </c>
      <c r="F733" t="s">
        <v>678</v>
      </c>
      <c r="G733" t="s">
        <v>820</v>
      </c>
      <c r="H733" t="s">
        <v>1213</v>
      </c>
      <c r="I733">
        <v>5020000000</v>
      </c>
      <c r="J733" s="560">
        <v>0</v>
      </c>
      <c r="K733" s="560">
        <f t="shared" si="23"/>
        <v>4</v>
      </c>
      <c r="L733" s="560">
        <f t="shared" si="24"/>
        <v>1</v>
      </c>
      <c r="M733" s="560" t="e">
        <f>SUMIFS('[1]MAIN-101'!$Z$1:$Z$3000,'[1]MAIN-101'!$X$1:$X$3000,S733)</f>
        <v>#VALUE!</v>
      </c>
      <c r="N733" s="560"/>
      <c r="O733" s="560"/>
      <c r="S733">
        <f>VLOOKUP(C733,'Recon of ORS and DV'!$A$4:$B$358,2,FALSE)</f>
        <v>0</v>
      </c>
    </row>
    <row r="734" spans="1:19">
      <c r="B734" s="553">
        <v>44243</v>
      </c>
      <c r="C734" t="s">
        <v>1211</v>
      </c>
      <c r="D734" s="281">
        <v>9</v>
      </c>
      <c r="E734" t="s">
        <v>2037</v>
      </c>
      <c r="F734" t="s">
        <v>555</v>
      </c>
      <c r="G734" t="s">
        <v>818</v>
      </c>
      <c r="H734" t="s">
        <v>1213</v>
      </c>
      <c r="I734">
        <v>5020000000</v>
      </c>
      <c r="J734" s="560">
        <v>0</v>
      </c>
      <c r="K734" s="560">
        <f t="shared" si="23"/>
        <v>4</v>
      </c>
      <c r="L734" s="560">
        <f t="shared" si="24"/>
        <v>4</v>
      </c>
    </row>
    <row r="735" spans="1:19">
      <c r="B735" s="553">
        <v>44243</v>
      </c>
      <c r="C735" t="s">
        <v>1211</v>
      </c>
      <c r="D735" s="281">
        <v>9</v>
      </c>
      <c r="E735" t="s">
        <v>2023</v>
      </c>
      <c r="F735" t="s">
        <v>674</v>
      </c>
      <c r="G735" t="s">
        <v>818</v>
      </c>
      <c r="H735" t="s">
        <v>1213</v>
      </c>
      <c r="I735">
        <v>5020000000</v>
      </c>
      <c r="J735" s="560">
        <v>0</v>
      </c>
      <c r="K735" s="560">
        <f t="shared" si="23"/>
        <v>4</v>
      </c>
      <c r="L735" s="560">
        <f t="shared" si="24"/>
        <v>3</v>
      </c>
    </row>
    <row r="736" spans="1:19">
      <c r="B736" s="553">
        <v>44243</v>
      </c>
      <c r="C736" t="s">
        <v>1211</v>
      </c>
      <c r="D736" s="281">
        <v>9</v>
      </c>
      <c r="E736" t="s">
        <v>1996</v>
      </c>
      <c r="F736" t="s">
        <v>676</v>
      </c>
      <c r="G736" t="s">
        <v>818</v>
      </c>
      <c r="H736" t="s">
        <v>1213</v>
      </c>
      <c r="I736">
        <v>5020000000</v>
      </c>
      <c r="J736" s="560">
        <v>0</v>
      </c>
      <c r="K736" s="560">
        <f t="shared" si="23"/>
        <v>4</v>
      </c>
      <c r="L736" s="560">
        <f t="shared" si="24"/>
        <v>2</v>
      </c>
    </row>
    <row r="737" spans="1:19">
      <c r="A737">
        <v>0</v>
      </c>
      <c r="B737" s="553">
        <v>44243</v>
      </c>
      <c r="C737" t="s">
        <v>1211</v>
      </c>
      <c r="D737" s="281">
        <v>9</v>
      </c>
      <c r="E737" t="s">
        <v>2005</v>
      </c>
      <c r="F737" t="s">
        <v>678</v>
      </c>
      <c r="G737" t="s">
        <v>818</v>
      </c>
      <c r="H737" t="s">
        <v>1213</v>
      </c>
      <c r="I737">
        <v>5020000000</v>
      </c>
      <c r="J737" s="560">
        <v>0</v>
      </c>
      <c r="K737" s="560">
        <f t="shared" si="23"/>
        <v>4</v>
      </c>
      <c r="L737" s="560">
        <f t="shared" si="24"/>
        <v>1</v>
      </c>
      <c r="M737" s="560" t="e">
        <f>SUMIFS('[1]MAIN-101'!$Z$1:$Z$3000,'[1]MAIN-101'!$X$1:$X$3000,S737)</f>
        <v>#VALUE!</v>
      </c>
      <c r="N737" s="560"/>
      <c r="O737" s="560"/>
      <c r="S737">
        <f>VLOOKUP(C737,'Recon of ORS and DV'!$A$4:$B$358,2,FALSE)</f>
        <v>0</v>
      </c>
    </row>
    <row r="738" spans="1:19">
      <c r="A738" t="s">
        <v>2177</v>
      </c>
      <c r="B738" s="553">
        <v>44243</v>
      </c>
      <c r="C738" t="s">
        <v>1212</v>
      </c>
      <c r="D738" s="281">
        <v>3</v>
      </c>
      <c r="E738" t="s">
        <v>2032</v>
      </c>
      <c r="F738" t="s">
        <v>565</v>
      </c>
      <c r="G738" t="s">
        <v>1214</v>
      </c>
      <c r="H738" t="s">
        <v>1215</v>
      </c>
      <c r="I738">
        <v>5020000000</v>
      </c>
      <c r="J738" s="560">
        <v>22320</v>
      </c>
      <c r="K738" s="560">
        <f t="shared" si="23"/>
        <v>1</v>
      </c>
      <c r="L738" s="560">
        <f t="shared" si="24"/>
        <v>1</v>
      </c>
      <c r="M738" s="560" t="e">
        <f>SUMIFS('[1]MAIN-101'!$Z$1:$Z$3000,'[1]MAIN-101'!$X$1:$X$3000,S738)</f>
        <v>#VALUE!</v>
      </c>
      <c r="N738" s="560"/>
      <c r="O738" s="560"/>
      <c r="S738" t="str">
        <f>VLOOKUP(C738,'Recon of ORS and DV'!$A$4:$B$358,2,FALSE)</f>
        <v>0234</v>
      </c>
    </row>
    <row r="739" spans="1:19">
      <c r="A739" t="s">
        <v>2178</v>
      </c>
      <c r="B739" s="553">
        <v>44243</v>
      </c>
      <c r="C739" t="s">
        <v>1222</v>
      </c>
      <c r="D739" s="281">
        <v>14</v>
      </c>
      <c r="E739" t="s">
        <v>1998</v>
      </c>
      <c r="F739" t="s">
        <v>633</v>
      </c>
      <c r="G739" t="s">
        <v>1030</v>
      </c>
      <c r="H739" t="s">
        <v>1223</v>
      </c>
      <c r="I739">
        <v>5021199000</v>
      </c>
      <c r="J739" s="560">
        <v>144603.29</v>
      </c>
      <c r="K739" s="560">
        <f t="shared" si="23"/>
        <v>1</v>
      </c>
      <c r="L739" s="560">
        <f t="shared" si="24"/>
        <v>1</v>
      </c>
      <c r="M739" s="560" t="e">
        <f>SUMIFS('[1]MAIN-101'!$Z$1:$Z$3000,'[1]MAIN-101'!$X$1:$X$3000,S739)</f>
        <v>#VALUE!</v>
      </c>
      <c r="N739" s="560"/>
      <c r="O739" s="560"/>
      <c r="S739" t="str">
        <f>VLOOKUP(C739,'Recon of ORS and DV'!$A$4:$B$358,2,FALSE)</f>
        <v>0223</v>
      </c>
    </row>
    <row r="740" spans="1:19">
      <c r="A740" t="s">
        <v>2179</v>
      </c>
      <c r="B740" s="553">
        <v>44244</v>
      </c>
      <c r="C740" t="s">
        <v>1224</v>
      </c>
      <c r="D740" s="281">
        <v>14</v>
      </c>
      <c r="E740" t="s">
        <v>1998</v>
      </c>
      <c r="F740" t="s">
        <v>633</v>
      </c>
      <c r="G740" t="s">
        <v>1030</v>
      </c>
      <c r="H740" t="s">
        <v>1225</v>
      </c>
      <c r="I740">
        <v>5021199000</v>
      </c>
      <c r="J740" s="560">
        <v>119889.07</v>
      </c>
      <c r="K740" s="560">
        <f t="shared" si="23"/>
        <v>1</v>
      </c>
      <c r="L740" s="560">
        <f t="shared" si="24"/>
        <v>1</v>
      </c>
      <c r="M740" s="560" t="e">
        <f>SUMIFS('[1]MAIN-101'!$Z$1:$Z$3000,'[1]MAIN-101'!$X$1:$X$3000,S740)</f>
        <v>#VALUE!</v>
      </c>
      <c r="N740" s="560"/>
      <c r="O740" s="560"/>
      <c r="S740" t="str">
        <f>VLOOKUP(C740,'Recon of ORS and DV'!$A$4:$B$358,2,FALSE)</f>
        <v>0241</v>
      </c>
    </row>
    <row r="741" spans="1:19">
      <c r="A741" t="s">
        <v>2180</v>
      </c>
      <c r="B741" s="553">
        <v>44244</v>
      </c>
      <c r="C741" t="s">
        <v>1226</v>
      </c>
      <c r="D741" s="281">
        <v>14</v>
      </c>
      <c r="E741" t="s">
        <v>1998</v>
      </c>
      <c r="F741" t="s">
        <v>633</v>
      </c>
      <c r="G741" t="s">
        <v>1030</v>
      </c>
      <c r="H741" t="s">
        <v>1227</v>
      </c>
      <c r="I741">
        <v>5021199000</v>
      </c>
      <c r="J741" s="560">
        <v>83142.720000000001</v>
      </c>
      <c r="K741" s="560">
        <f t="shared" si="23"/>
        <v>1</v>
      </c>
      <c r="L741" s="560">
        <f t="shared" si="24"/>
        <v>1</v>
      </c>
      <c r="M741" s="560" t="e">
        <f>SUMIFS('[1]MAIN-101'!$Z$1:$Z$3000,'[1]MAIN-101'!$X$1:$X$3000,S741)</f>
        <v>#VALUE!</v>
      </c>
      <c r="N741" s="560"/>
      <c r="O741" s="560"/>
      <c r="S741" t="str">
        <f>VLOOKUP(C741,'Recon of ORS and DV'!$A$4:$B$358,2,FALSE)</f>
        <v>0242</v>
      </c>
    </row>
    <row r="742" spans="1:19">
      <c r="A742" t="s">
        <v>2181</v>
      </c>
      <c r="B742" s="553">
        <v>44246</v>
      </c>
      <c r="C742" t="s">
        <v>1228</v>
      </c>
      <c r="D742" s="281">
        <v>14</v>
      </c>
      <c r="E742" t="s">
        <v>1998</v>
      </c>
      <c r="F742" t="s">
        <v>633</v>
      </c>
      <c r="G742" t="s">
        <v>1030</v>
      </c>
      <c r="H742" t="s">
        <v>1227</v>
      </c>
      <c r="I742">
        <v>5021199000</v>
      </c>
      <c r="J742" s="560">
        <v>106531.33</v>
      </c>
      <c r="K742" s="560">
        <f t="shared" si="23"/>
        <v>1</v>
      </c>
      <c r="L742" s="560">
        <f t="shared" si="24"/>
        <v>1</v>
      </c>
      <c r="M742" s="560" t="e">
        <f>SUMIFS('[1]MAIN-101'!$Z$1:$Z$3000,'[1]MAIN-101'!$X$1:$X$3000,S742)</f>
        <v>#VALUE!</v>
      </c>
      <c r="N742" s="560"/>
      <c r="O742" s="560"/>
      <c r="S742" t="str">
        <f>VLOOKUP(C742,'Recon of ORS and DV'!$A$4:$B$358,2,FALSE)</f>
        <v>0243</v>
      </c>
    </row>
    <row r="743" spans="1:19">
      <c r="A743" t="s">
        <v>2182</v>
      </c>
      <c r="B743" s="553">
        <v>44251</v>
      </c>
      <c r="C743" t="s">
        <v>1229</v>
      </c>
      <c r="D743" s="281">
        <v>3</v>
      </c>
      <c r="E743" t="s">
        <v>2005</v>
      </c>
      <c r="F743" t="s">
        <v>678</v>
      </c>
      <c r="G743" t="s">
        <v>1230</v>
      </c>
      <c r="H743" t="s">
        <v>1231</v>
      </c>
      <c r="I743">
        <v>5020000000</v>
      </c>
      <c r="J743" s="560">
        <v>0</v>
      </c>
      <c r="K743" s="560">
        <f t="shared" si="23"/>
        <v>1</v>
      </c>
      <c r="L743" s="560">
        <f t="shared" si="24"/>
        <v>1</v>
      </c>
      <c r="M743" s="560" t="e">
        <f>SUMIFS('[1]MAIN-101'!$Z$1:$Z$3000,'[1]MAIN-101'!$X$1:$X$3000,S743)</f>
        <v>#VALUE!</v>
      </c>
      <c r="N743" s="560"/>
      <c r="O743" s="560"/>
      <c r="S743" t="str">
        <f>VLOOKUP(C743,'Recon of ORS and DV'!$A$4:$B$358,2,FALSE)</f>
        <v>0280</v>
      </c>
    </row>
    <row r="744" spans="1:19">
      <c r="A744" t="s">
        <v>2183</v>
      </c>
      <c r="B744" s="553">
        <v>44251</v>
      </c>
      <c r="C744" t="s">
        <v>1232</v>
      </c>
      <c r="D744" s="281">
        <v>1</v>
      </c>
      <c r="E744" t="s">
        <v>2002</v>
      </c>
      <c r="F744" t="s">
        <v>603</v>
      </c>
      <c r="G744" t="s">
        <v>1102</v>
      </c>
      <c r="H744" t="s">
        <v>1233</v>
      </c>
      <c r="I744">
        <v>5020000000</v>
      </c>
      <c r="J744" s="560">
        <v>0</v>
      </c>
      <c r="K744" s="560">
        <f t="shared" si="23"/>
        <v>1</v>
      </c>
      <c r="L744" s="560">
        <f t="shared" si="24"/>
        <v>1</v>
      </c>
      <c r="M744" s="560" t="e">
        <f>SUMIFS('[1]MAIN-101'!$Z$1:$Z$3000,'[1]MAIN-101'!$X$1:$X$3000,S744)</f>
        <v>#VALUE!</v>
      </c>
      <c r="N744" s="560"/>
      <c r="O744" s="560"/>
      <c r="S744" t="str">
        <f>VLOOKUP(C744,'Recon of ORS and DV'!$A$4:$B$358,2,FALSE)</f>
        <v>0281</v>
      </c>
    </row>
    <row r="745" spans="1:19">
      <c r="A745" t="s">
        <v>2184</v>
      </c>
      <c r="B745" s="553">
        <v>44251</v>
      </c>
      <c r="C745" t="s">
        <v>1234</v>
      </c>
      <c r="D745" s="281">
        <v>10</v>
      </c>
      <c r="E745" t="s">
        <v>1998</v>
      </c>
      <c r="F745" t="s">
        <v>633</v>
      </c>
      <c r="G745" t="s">
        <v>1235</v>
      </c>
      <c r="H745" t="s">
        <v>1236</v>
      </c>
      <c r="I745">
        <v>5020000000</v>
      </c>
      <c r="J745" s="560">
        <v>10000</v>
      </c>
      <c r="K745" s="560">
        <f t="shared" si="23"/>
        <v>1</v>
      </c>
      <c r="L745" s="560">
        <f t="shared" si="24"/>
        <v>1</v>
      </c>
      <c r="M745" s="560" t="e">
        <f>SUMIFS('[1]MAIN-101'!$Z$1:$Z$3000,'[1]MAIN-101'!$X$1:$X$3000,S745)</f>
        <v>#VALUE!</v>
      </c>
      <c r="N745" s="560"/>
      <c r="O745" s="560"/>
      <c r="S745" t="str">
        <f>VLOOKUP(C745,'Recon of ORS and DV'!$A$4:$B$358,2,FALSE)</f>
        <v>0273</v>
      </c>
    </row>
    <row r="746" spans="1:19">
      <c r="B746" s="553">
        <v>44251</v>
      </c>
      <c r="C746" t="s">
        <v>1237</v>
      </c>
      <c r="D746" s="281">
        <v>1</v>
      </c>
      <c r="E746" t="s">
        <v>1997</v>
      </c>
      <c r="F746" t="s">
        <v>642</v>
      </c>
      <c r="G746" t="s">
        <v>1075</v>
      </c>
      <c r="H746" t="s">
        <v>1236</v>
      </c>
      <c r="I746">
        <v>5020000000</v>
      </c>
      <c r="J746" s="560">
        <v>2790</v>
      </c>
      <c r="K746" s="560">
        <f t="shared" si="23"/>
        <v>2</v>
      </c>
      <c r="L746" s="560">
        <f t="shared" si="24"/>
        <v>2</v>
      </c>
    </row>
    <row r="747" spans="1:19">
      <c r="A747" t="s">
        <v>2185</v>
      </c>
      <c r="B747" s="553">
        <v>44251</v>
      </c>
      <c r="C747" t="s">
        <v>1237</v>
      </c>
      <c r="D747" s="281">
        <v>1</v>
      </c>
      <c r="E747" t="s">
        <v>2007</v>
      </c>
      <c r="F747" t="s">
        <v>638</v>
      </c>
      <c r="G747" t="s">
        <v>1075</v>
      </c>
      <c r="H747" t="s">
        <v>1236</v>
      </c>
      <c r="I747">
        <v>5020000000</v>
      </c>
      <c r="J747" s="560">
        <v>8000</v>
      </c>
      <c r="K747" s="560">
        <f t="shared" si="23"/>
        <v>2</v>
      </c>
      <c r="L747" s="560">
        <f t="shared" si="24"/>
        <v>1</v>
      </c>
      <c r="M747" s="560" t="e">
        <f>SUMIFS('[1]MAIN-101'!$Z$1:$Z$3000,'[1]MAIN-101'!$X$1:$X$3000,S747)</f>
        <v>#VALUE!</v>
      </c>
      <c r="N747" s="560"/>
      <c r="O747" s="560"/>
      <c r="S747" t="str">
        <f>VLOOKUP(C747,'Recon of ORS and DV'!$A$4:$B$358,2,FALSE)</f>
        <v>0274</v>
      </c>
    </row>
    <row r="748" spans="1:19">
      <c r="A748" t="s">
        <v>2186</v>
      </c>
      <c r="B748" s="553">
        <v>44251</v>
      </c>
      <c r="C748" t="s">
        <v>1238</v>
      </c>
      <c r="D748" s="281">
        <v>1</v>
      </c>
      <c r="E748" t="s">
        <v>1997</v>
      </c>
      <c r="F748" t="s">
        <v>642</v>
      </c>
      <c r="G748" t="s">
        <v>1075</v>
      </c>
      <c r="H748" t="s">
        <v>1236</v>
      </c>
      <c r="I748">
        <v>5020000000</v>
      </c>
      <c r="J748" s="560">
        <v>12352.18</v>
      </c>
      <c r="K748" s="560">
        <f t="shared" si="23"/>
        <v>1</v>
      </c>
      <c r="L748" s="560">
        <f t="shared" si="24"/>
        <v>1</v>
      </c>
      <c r="M748" s="560" t="e">
        <f>SUMIFS('[1]MAIN-101'!$Z$1:$Z$3000,'[1]MAIN-101'!$X$1:$X$3000,S748)</f>
        <v>#VALUE!</v>
      </c>
      <c r="N748" s="560"/>
      <c r="O748" s="560"/>
      <c r="S748" t="str">
        <f>VLOOKUP(C748,'Recon of ORS and DV'!$A$4:$B$358,2,FALSE)</f>
        <v>0275</v>
      </c>
    </row>
    <row r="749" spans="1:19">
      <c r="B749" s="553">
        <v>44251</v>
      </c>
      <c r="C749" t="s">
        <v>1239</v>
      </c>
      <c r="D749" s="281">
        <v>9</v>
      </c>
      <c r="E749" t="s">
        <v>1998</v>
      </c>
      <c r="F749" t="s">
        <v>633</v>
      </c>
      <c r="G749" t="s">
        <v>1075</v>
      </c>
      <c r="H749" t="s">
        <v>1236</v>
      </c>
      <c r="I749">
        <v>5020000000</v>
      </c>
      <c r="J749" s="560">
        <v>11158</v>
      </c>
      <c r="K749" s="560">
        <f t="shared" si="23"/>
        <v>2</v>
      </c>
      <c r="L749" s="560">
        <f t="shared" si="24"/>
        <v>2</v>
      </c>
    </row>
    <row r="750" spans="1:19">
      <c r="A750" t="s">
        <v>2187</v>
      </c>
      <c r="B750" s="553">
        <v>44251</v>
      </c>
      <c r="C750" t="s">
        <v>1239</v>
      </c>
      <c r="D750" s="281">
        <v>8</v>
      </c>
      <c r="E750" t="s">
        <v>1998</v>
      </c>
      <c r="F750" t="s">
        <v>633</v>
      </c>
      <c r="G750" t="s">
        <v>1075</v>
      </c>
      <c r="H750" t="s">
        <v>1236</v>
      </c>
      <c r="I750">
        <v>5020000000</v>
      </c>
      <c r="J750" s="560">
        <v>12316</v>
      </c>
      <c r="K750" s="560">
        <f t="shared" si="23"/>
        <v>2</v>
      </c>
      <c r="L750" s="560">
        <f t="shared" si="24"/>
        <v>1</v>
      </c>
      <c r="M750" s="560" t="e">
        <f>SUMIFS('[1]MAIN-101'!$Z$1:$Z$3000,'[1]MAIN-101'!$X$1:$X$3000,S750)</f>
        <v>#VALUE!</v>
      </c>
      <c r="N750" s="560"/>
      <c r="O750" s="560"/>
      <c r="S750" t="str">
        <f>VLOOKUP(C750,'Recon of ORS and DV'!$A$4:$B$358,2,FALSE)</f>
        <v>0276</v>
      </c>
    </row>
    <row r="751" spans="1:19">
      <c r="B751" s="553">
        <v>44251</v>
      </c>
      <c r="C751" t="s">
        <v>1240</v>
      </c>
      <c r="D751" s="281">
        <v>9</v>
      </c>
      <c r="E751" t="s">
        <v>1998</v>
      </c>
      <c r="F751" t="s">
        <v>633</v>
      </c>
      <c r="G751" t="s">
        <v>1075</v>
      </c>
      <c r="H751" t="s">
        <v>1236</v>
      </c>
      <c r="I751">
        <v>5020000000</v>
      </c>
      <c r="J751" s="560">
        <v>5030.91</v>
      </c>
      <c r="K751" s="560">
        <f t="shared" si="23"/>
        <v>3</v>
      </c>
      <c r="L751" s="560">
        <f t="shared" si="24"/>
        <v>3</v>
      </c>
    </row>
    <row r="752" spans="1:19">
      <c r="B752" s="553">
        <v>44251</v>
      </c>
      <c r="C752" t="s">
        <v>1240</v>
      </c>
      <c r="D752" s="281">
        <v>1</v>
      </c>
      <c r="E752" t="s">
        <v>2004</v>
      </c>
      <c r="F752" t="s">
        <v>629</v>
      </c>
      <c r="G752" t="s">
        <v>1075</v>
      </c>
      <c r="H752" t="s">
        <v>1236</v>
      </c>
      <c r="I752">
        <v>5020000000</v>
      </c>
      <c r="J752" s="560">
        <v>5534</v>
      </c>
      <c r="K752" s="560">
        <f t="shared" si="23"/>
        <v>3</v>
      </c>
      <c r="L752" s="560">
        <f t="shared" si="24"/>
        <v>2</v>
      </c>
    </row>
    <row r="753" spans="1:19">
      <c r="A753" t="s">
        <v>2188</v>
      </c>
      <c r="B753" s="553">
        <v>44251</v>
      </c>
      <c r="C753" t="s">
        <v>1240</v>
      </c>
      <c r="D753" s="281">
        <v>1</v>
      </c>
      <c r="E753" t="s">
        <v>1997</v>
      </c>
      <c r="F753" t="s">
        <v>642</v>
      </c>
      <c r="G753" t="s">
        <v>1075</v>
      </c>
      <c r="H753" t="s">
        <v>1236</v>
      </c>
      <c r="I753">
        <v>5020000000</v>
      </c>
      <c r="J753" s="560">
        <v>16692</v>
      </c>
      <c r="K753" s="560">
        <f t="shared" si="23"/>
        <v>3</v>
      </c>
      <c r="L753" s="560">
        <f t="shared" si="24"/>
        <v>1</v>
      </c>
      <c r="M753" s="560" t="e">
        <f>SUMIFS('[1]MAIN-101'!$Z$1:$Z$3000,'[1]MAIN-101'!$X$1:$X$3000,S753)</f>
        <v>#VALUE!</v>
      </c>
      <c r="N753" s="560"/>
      <c r="O753" s="560"/>
      <c r="S753" t="str">
        <f>VLOOKUP(C753,'Recon of ORS and DV'!$A$4:$B$358,2,FALSE)</f>
        <v>0277</v>
      </c>
    </row>
    <row r="754" spans="1:19">
      <c r="A754" t="s">
        <v>2189</v>
      </c>
      <c r="B754" s="553">
        <v>44251</v>
      </c>
      <c r="C754" t="s">
        <v>1241</v>
      </c>
      <c r="D754" s="281">
        <v>1</v>
      </c>
      <c r="E754" t="s">
        <v>1997</v>
      </c>
      <c r="F754" t="s">
        <v>642</v>
      </c>
      <c r="G754" t="s">
        <v>1242</v>
      </c>
      <c r="H754" t="s">
        <v>1243</v>
      </c>
      <c r="I754">
        <v>5020000000</v>
      </c>
      <c r="J754" s="560">
        <v>7321.62</v>
      </c>
      <c r="K754" s="560">
        <f t="shared" si="23"/>
        <v>1</v>
      </c>
      <c r="L754" s="560">
        <f t="shared" si="24"/>
        <v>1</v>
      </c>
      <c r="M754" s="560" t="e">
        <f>SUMIFS('[1]MAIN-101'!$Z$1:$Z$3000,'[1]MAIN-101'!$X$1:$X$3000,S754)</f>
        <v>#VALUE!</v>
      </c>
      <c r="N754" s="560"/>
      <c r="O754" s="560"/>
      <c r="S754" t="str">
        <f>VLOOKUP(C754,'Recon of ORS and DV'!$A$4:$B$358,2,FALSE)</f>
        <v>0278</v>
      </c>
    </row>
    <row r="755" spans="1:19">
      <c r="A755">
        <v>0</v>
      </c>
      <c r="B755" s="553">
        <v>44251</v>
      </c>
      <c r="C755" t="s">
        <v>1244</v>
      </c>
      <c r="D755" s="281">
        <v>1</v>
      </c>
      <c r="E755" t="s">
        <v>2002</v>
      </c>
      <c r="F755" t="s">
        <v>603</v>
      </c>
      <c r="G755" t="s">
        <v>1245</v>
      </c>
      <c r="H755" t="s">
        <v>1246</v>
      </c>
      <c r="I755">
        <v>5020000000</v>
      </c>
      <c r="J755" s="560">
        <v>0</v>
      </c>
      <c r="K755" s="560">
        <f t="shared" si="23"/>
        <v>1</v>
      </c>
      <c r="L755" s="560">
        <f t="shared" si="24"/>
        <v>1</v>
      </c>
      <c r="M755" s="560" t="e">
        <f>SUMIFS('[1]MAIN-101'!$Z$1:$Z$3000,'[1]MAIN-101'!$X$1:$X$3000,S755)</f>
        <v>#VALUE!</v>
      </c>
      <c r="N755" s="560"/>
      <c r="O755" s="560"/>
      <c r="S755">
        <f>VLOOKUP(C755,'Recon of ORS and DV'!$A$4:$B$358,2,FALSE)</f>
        <v>0</v>
      </c>
    </row>
    <row r="756" spans="1:19">
      <c r="A756">
        <v>0</v>
      </c>
      <c r="B756" s="553">
        <v>44251</v>
      </c>
      <c r="C756" t="s">
        <v>1247</v>
      </c>
      <c r="D756" s="281">
        <v>1</v>
      </c>
      <c r="E756" t="s">
        <v>2002</v>
      </c>
      <c r="F756" t="s">
        <v>603</v>
      </c>
      <c r="G756" t="s">
        <v>1245</v>
      </c>
      <c r="H756" t="s">
        <v>1248</v>
      </c>
      <c r="I756">
        <v>5020000000</v>
      </c>
      <c r="J756" s="560">
        <v>0</v>
      </c>
      <c r="K756" s="560">
        <f t="shared" si="23"/>
        <v>1</v>
      </c>
      <c r="L756" s="560">
        <f t="shared" si="24"/>
        <v>1</v>
      </c>
      <c r="M756" s="560" t="e">
        <f>SUMIFS('[1]MAIN-101'!$Z$1:$Z$3000,'[1]MAIN-101'!$X$1:$X$3000,S756)</f>
        <v>#VALUE!</v>
      </c>
      <c r="N756" s="560"/>
      <c r="O756" s="560"/>
      <c r="S756">
        <f>VLOOKUP(C756,'Recon of ORS and DV'!$A$4:$B$358,2,FALSE)</f>
        <v>0</v>
      </c>
    </row>
    <row r="757" spans="1:19">
      <c r="A757">
        <v>0</v>
      </c>
      <c r="B757" s="553">
        <v>44251</v>
      </c>
      <c r="C757" t="s">
        <v>1249</v>
      </c>
      <c r="D757" s="281">
        <v>13</v>
      </c>
      <c r="E757" t="s">
        <v>2030</v>
      </c>
      <c r="F757" t="s">
        <v>532</v>
      </c>
      <c r="G757" t="s">
        <v>863</v>
      </c>
      <c r="H757" t="s">
        <v>1250</v>
      </c>
      <c r="I757" t="s">
        <v>2036</v>
      </c>
      <c r="J757" s="560">
        <v>0.01</v>
      </c>
      <c r="K757" s="560">
        <f t="shared" si="23"/>
        <v>1</v>
      </c>
      <c r="L757" s="560">
        <f t="shared" si="24"/>
        <v>1</v>
      </c>
      <c r="M757" s="560" t="e">
        <f>SUMIFS('[1]MAIN-101'!$Z$1:$Z$3000,'[1]MAIN-101'!$X$1:$X$3000,S757)</f>
        <v>#VALUE!</v>
      </c>
      <c r="N757" s="560"/>
      <c r="O757" s="560"/>
      <c r="S757">
        <f>VLOOKUP(C757,'Recon of ORS and DV'!$A$4:$B$358,2,FALSE)</f>
        <v>0</v>
      </c>
    </row>
    <row r="758" spans="1:19">
      <c r="A758">
        <v>0</v>
      </c>
      <c r="B758" s="553">
        <v>44253</v>
      </c>
      <c r="C758" t="s">
        <v>1251</v>
      </c>
      <c r="D758" s="281">
        <v>14</v>
      </c>
      <c r="E758" t="s">
        <v>1998</v>
      </c>
      <c r="F758" t="s">
        <v>633</v>
      </c>
      <c r="G758" t="s">
        <v>818</v>
      </c>
      <c r="H758" t="s">
        <v>1252</v>
      </c>
      <c r="I758">
        <v>5021199000</v>
      </c>
      <c r="J758" s="560">
        <v>0</v>
      </c>
      <c r="K758" s="560">
        <f t="shared" si="23"/>
        <v>1</v>
      </c>
      <c r="L758" s="560">
        <f t="shared" si="24"/>
        <v>1</v>
      </c>
      <c r="M758" s="560" t="e">
        <f>SUMIFS('[1]MAIN-101'!$Z$1:$Z$3000,'[1]MAIN-101'!$X$1:$X$3000,S758)</f>
        <v>#VALUE!</v>
      </c>
      <c r="N758" s="560"/>
      <c r="O758" s="560"/>
      <c r="S758">
        <f>VLOOKUP(C758,'Recon of ORS and DV'!$A$4:$B$358,2,FALSE)</f>
        <v>0</v>
      </c>
    </row>
    <row r="759" spans="1:19">
      <c r="A759">
        <v>0</v>
      </c>
      <c r="B759" s="553">
        <v>44253</v>
      </c>
      <c r="C759" t="s">
        <v>1253</v>
      </c>
      <c r="D759" s="281">
        <v>14</v>
      </c>
      <c r="E759" t="s">
        <v>1998</v>
      </c>
      <c r="F759" t="s">
        <v>633</v>
      </c>
      <c r="G759" t="s">
        <v>820</v>
      </c>
      <c r="H759" t="s">
        <v>1252</v>
      </c>
      <c r="I759">
        <v>5021199000</v>
      </c>
      <c r="J759" s="560">
        <v>0</v>
      </c>
      <c r="K759" s="560">
        <f t="shared" si="23"/>
        <v>1</v>
      </c>
      <c r="L759" s="560">
        <f t="shared" si="24"/>
        <v>1</v>
      </c>
      <c r="M759" s="560" t="e">
        <f>SUMIFS('[1]MAIN-101'!$Z$1:$Z$3000,'[1]MAIN-101'!$X$1:$X$3000,S759)</f>
        <v>#VALUE!</v>
      </c>
      <c r="N759" s="560"/>
      <c r="O759" s="560"/>
      <c r="S759">
        <f>VLOOKUP(C759,'Recon of ORS and DV'!$A$4:$B$358,2,FALSE)</f>
        <v>0</v>
      </c>
    </row>
    <row r="760" spans="1:19">
      <c r="A760">
        <v>0</v>
      </c>
      <c r="B760" s="553">
        <v>44253</v>
      </c>
      <c r="C760" t="s">
        <v>1254</v>
      </c>
      <c r="D760" s="281">
        <v>14</v>
      </c>
      <c r="E760" t="s">
        <v>1998</v>
      </c>
      <c r="F760" t="s">
        <v>633</v>
      </c>
      <c r="G760" t="s">
        <v>822</v>
      </c>
      <c r="H760" t="s">
        <v>1252</v>
      </c>
      <c r="I760">
        <v>5021199000</v>
      </c>
      <c r="J760" s="560">
        <v>0</v>
      </c>
      <c r="K760" s="560">
        <f t="shared" si="23"/>
        <v>1</v>
      </c>
      <c r="L760" s="560">
        <f t="shared" si="24"/>
        <v>1</v>
      </c>
      <c r="M760" s="560" t="e">
        <f>SUMIFS('[1]MAIN-101'!$Z$1:$Z$3000,'[1]MAIN-101'!$X$1:$X$3000,S760)</f>
        <v>#VALUE!</v>
      </c>
      <c r="N760" s="560"/>
      <c r="O760" s="560"/>
      <c r="S760">
        <f>VLOOKUP(C760,'Recon of ORS and DV'!$A$4:$B$358,2,FALSE)</f>
        <v>0</v>
      </c>
    </row>
    <row r="761" spans="1:19">
      <c r="A761">
        <v>0</v>
      </c>
      <c r="B761" s="553">
        <v>44253</v>
      </c>
      <c r="C761" t="s">
        <v>1255</v>
      </c>
      <c r="D761" s="281">
        <v>1</v>
      </c>
      <c r="E761" t="s">
        <v>2039</v>
      </c>
      <c r="F761" t="s">
        <v>560</v>
      </c>
      <c r="G761" t="s">
        <v>1257</v>
      </c>
      <c r="H761" t="s">
        <v>1258</v>
      </c>
      <c r="I761">
        <v>5020000000</v>
      </c>
      <c r="J761" s="560">
        <v>0</v>
      </c>
      <c r="K761" s="560">
        <f t="shared" si="23"/>
        <v>1</v>
      </c>
      <c r="L761" s="560">
        <f t="shared" si="24"/>
        <v>1</v>
      </c>
      <c r="M761" s="560" t="e">
        <f>SUMIFS('[1]MAIN-101'!$Z$1:$Z$3000,'[1]MAIN-101'!$X$1:$X$3000,S761)</f>
        <v>#VALUE!</v>
      </c>
      <c r="N761" s="560"/>
      <c r="O761" s="560"/>
      <c r="S761">
        <f>VLOOKUP(C761,'Recon of ORS and DV'!$A$4:$B$358,2,FALSE)</f>
        <v>0</v>
      </c>
    </row>
    <row r="762" spans="1:19">
      <c r="B762" s="553">
        <v>44253</v>
      </c>
      <c r="C762" t="s">
        <v>1259</v>
      </c>
      <c r="D762" s="281">
        <v>4</v>
      </c>
      <c r="E762" t="s">
        <v>2026</v>
      </c>
      <c r="F762" t="s">
        <v>499</v>
      </c>
      <c r="G762" t="s">
        <v>1172</v>
      </c>
      <c r="H762" t="s">
        <v>1260</v>
      </c>
      <c r="I762">
        <v>5010000000</v>
      </c>
      <c r="J762" s="560">
        <v>0</v>
      </c>
      <c r="K762" s="560">
        <f t="shared" si="23"/>
        <v>6</v>
      </c>
      <c r="L762" s="560">
        <f t="shared" si="24"/>
        <v>6</v>
      </c>
    </row>
    <row r="763" spans="1:19">
      <c r="B763" s="553">
        <v>44253</v>
      </c>
      <c r="C763" t="s">
        <v>1259</v>
      </c>
      <c r="D763" s="281">
        <v>4</v>
      </c>
      <c r="E763" t="s">
        <v>2027</v>
      </c>
      <c r="F763" t="s">
        <v>504</v>
      </c>
      <c r="G763" t="s">
        <v>1172</v>
      </c>
      <c r="H763" t="s">
        <v>1260</v>
      </c>
      <c r="I763">
        <v>5010000000</v>
      </c>
      <c r="J763" s="560">
        <v>0</v>
      </c>
      <c r="K763" s="560">
        <f t="shared" si="23"/>
        <v>6</v>
      </c>
      <c r="L763" s="560">
        <f t="shared" si="24"/>
        <v>5</v>
      </c>
    </row>
    <row r="764" spans="1:19">
      <c r="B764" s="553">
        <v>44253</v>
      </c>
      <c r="C764" t="s">
        <v>1259</v>
      </c>
      <c r="D764" s="281">
        <v>4</v>
      </c>
      <c r="E764" t="s">
        <v>2028</v>
      </c>
      <c r="F764" t="s">
        <v>528</v>
      </c>
      <c r="G764" t="s">
        <v>1172</v>
      </c>
      <c r="H764" t="s">
        <v>1260</v>
      </c>
      <c r="I764">
        <v>5010000000</v>
      </c>
      <c r="J764" s="560">
        <v>0</v>
      </c>
      <c r="K764" s="560">
        <f t="shared" si="23"/>
        <v>6</v>
      </c>
      <c r="L764" s="560">
        <f t="shared" si="24"/>
        <v>4</v>
      </c>
    </row>
    <row r="765" spans="1:19">
      <c r="B765" s="553">
        <v>44253</v>
      </c>
      <c r="C765" t="s">
        <v>1259</v>
      </c>
      <c r="D765" s="281">
        <v>4</v>
      </c>
      <c r="E765" t="s">
        <v>2029</v>
      </c>
      <c r="F765" t="s">
        <v>530</v>
      </c>
      <c r="G765" t="s">
        <v>1172</v>
      </c>
      <c r="H765" t="s">
        <v>1260</v>
      </c>
      <c r="I765">
        <v>5010000000</v>
      </c>
      <c r="J765" s="560">
        <v>0</v>
      </c>
      <c r="K765" s="560">
        <f t="shared" si="23"/>
        <v>6</v>
      </c>
      <c r="L765" s="560">
        <f t="shared" si="24"/>
        <v>3</v>
      </c>
    </row>
    <row r="766" spans="1:19">
      <c r="B766" s="553">
        <v>44253</v>
      </c>
      <c r="C766" t="s">
        <v>1259</v>
      </c>
      <c r="D766" s="281">
        <v>4</v>
      </c>
      <c r="E766" t="s">
        <v>2030</v>
      </c>
      <c r="F766" t="s">
        <v>532</v>
      </c>
      <c r="G766" t="s">
        <v>1172</v>
      </c>
      <c r="H766" t="s">
        <v>1260</v>
      </c>
      <c r="I766">
        <v>5010000000</v>
      </c>
      <c r="J766" s="560">
        <v>0</v>
      </c>
      <c r="K766" s="560">
        <f t="shared" si="23"/>
        <v>6</v>
      </c>
      <c r="L766" s="560">
        <f t="shared" si="24"/>
        <v>2</v>
      </c>
    </row>
    <row r="767" spans="1:19">
      <c r="A767">
        <v>0</v>
      </c>
      <c r="B767" s="553">
        <v>44253</v>
      </c>
      <c r="C767" t="s">
        <v>1259</v>
      </c>
      <c r="D767" s="281">
        <v>4</v>
      </c>
      <c r="E767" t="s">
        <v>2031</v>
      </c>
      <c r="F767" t="s">
        <v>534</v>
      </c>
      <c r="G767" t="s">
        <v>1172</v>
      </c>
      <c r="H767" t="s">
        <v>1260</v>
      </c>
      <c r="I767">
        <v>5010000000</v>
      </c>
      <c r="J767" s="560">
        <v>0</v>
      </c>
      <c r="K767" s="560">
        <f t="shared" si="23"/>
        <v>6</v>
      </c>
      <c r="L767" s="560">
        <f t="shared" si="24"/>
        <v>1</v>
      </c>
      <c r="M767" s="560" t="e">
        <f>SUMIFS('[1]MAIN-101'!$Z$1:$Z$3000,'[1]MAIN-101'!$X$1:$X$3000,S767)</f>
        <v>#VALUE!</v>
      </c>
      <c r="N767" s="560"/>
      <c r="O767" s="560"/>
      <c r="S767">
        <f>VLOOKUP(C767,'Recon of ORS and DV'!$A$4:$B$358,2,FALSE)</f>
        <v>0</v>
      </c>
    </row>
    <row r="768" spans="1:19">
      <c r="B768" s="553">
        <v>44253</v>
      </c>
      <c r="C768" t="s">
        <v>1261</v>
      </c>
      <c r="D768" s="281">
        <v>4</v>
      </c>
      <c r="E768" t="s">
        <v>2026</v>
      </c>
      <c r="F768" t="s">
        <v>499</v>
      </c>
      <c r="G768" t="s">
        <v>1174</v>
      </c>
      <c r="H768" t="s">
        <v>1260</v>
      </c>
      <c r="I768">
        <v>5010000000</v>
      </c>
      <c r="J768" s="560">
        <v>0</v>
      </c>
      <c r="K768" s="560">
        <f t="shared" si="23"/>
        <v>6</v>
      </c>
      <c r="L768" s="560">
        <f t="shared" si="24"/>
        <v>6</v>
      </c>
    </row>
    <row r="769" spans="1:19">
      <c r="B769" s="553">
        <v>44253</v>
      </c>
      <c r="C769" t="s">
        <v>1261</v>
      </c>
      <c r="D769" s="281">
        <v>4</v>
      </c>
      <c r="E769" t="s">
        <v>2027</v>
      </c>
      <c r="F769" t="s">
        <v>504</v>
      </c>
      <c r="G769" t="s">
        <v>1174</v>
      </c>
      <c r="H769" t="s">
        <v>1260</v>
      </c>
      <c r="I769">
        <v>5010000000</v>
      </c>
      <c r="J769" s="560">
        <v>0</v>
      </c>
      <c r="K769" s="560">
        <f t="shared" si="23"/>
        <v>6</v>
      </c>
      <c r="L769" s="560">
        <f t="shared" si="24"/>
        <v>5</v>
      </c>
    </row>
    <row r="770" spans="1:19">
      <c r="B770" s="553">
        <v>44253</v>
      </c>
      <c r="C770" t="s">
        <v>1261</v>
      </c>
      <c r="D770" s="281">
        <v>4</v>
      </c>
      <c r="E770" t="s">
        <v>2028</v>
      </c>
      <c r="F770" t="s">
        <v>528</v>
      </c>
      <c r="G770" t="s">
        <v>1174</v>
      </c>
      <c r="H770" t="s">
        <v>1260</v>
      </c>
      <c r="I770">
        <v>5010000000</v>
      </c>
      <c r="J770" s="560">
        <v>0</v>
      </c>
      <c r="K770" s="560">
        <f t="shared" si="23"/>
        <v>6</v>
      </c>
      <c r="L770" s="560">
        <f t="shared" si="24"/>
        <v>4</v>
      </c>
    </row>
    <row r="771" spans="1:19">
      <c r="B771" s="553">
        <v>44253</v>
      </c>
      <c r="C771" t="s">
        <v>1261</v>
      </c>
      <c r="D771" s="281">
        <v>4</v>
      </c>
      <c r="E771" t="s">
        <v>2029</v>
      </c>
      <c r="F771" t="s">
        <v>530</v>
      </c>
      <c r="G771" t="s">
        <v>1174</v>
      </c>
      <c r="H771" t="s">
        <v>1260</v>
      </c>
      <c r="I771">
        <v>5010000000</v>
      </c>
      <c r="J771" s="560">
        <v>0</v>
      </c>
      <c r="K771" s="560">
        <f t="shared" si="23"/>
        <v>6</v>
      </c>
      <c r="L771" s="560">
        <f t="shared" si="24"/>
        <v>3</v>
      </c>
    </row>
    <row r="772" spans="1:19">
      <c r="B772" s="553">
        <v>44253</v>
      </c>
      <c r="C772" t="s">
        <v>1261</v>
      </c>
      <c r="D772" s="281">
        <v>4</v>
      </c>
      <c r="E772" t="s">
        <v>2030</v>
      </c>
      <c r="F772" t="s">
        <v>532</v>
      </c>
      <c r="G772" t="s">
        <v>1174</v>
      </c>
      <c r="H772" t="s">
        <v>1260</v>
      </c>
      <c r="I772">
        <v>5010000000</v>
      </c>
      <c r="J772" s="560">
        <v>0</v>
      </c>
      <c r="K772" s="560">
        <f t="shared" ref="K772:K835" si="25">COUNTIFS($C$3:$C$1556,C772)</f>
        <v>6</v>
      </c>
      <c r="L772" s="560">
        <f t="shared" si="24"/>
        <v>2</v>
      </c>
    </row>
    <row r="773" spans="1:19">
      <c r="A773">
        <v>0</v>
      </c>
      <c r="B773" s="553">
        <v>44253</v>
      </c>
      <c r="C773" t="s">
        <v>1261</v>
      </c>
      <c r="D773" s="281">
        <v>4</v>
      </c>
      <c r="E773" t="s">
        <v>2031</v>
      </c>
      <c r="F773" t="s">
        <v>534</v>
      </c>
      <c r="G773" t="s">
        <v>1174</v>
      </c>
      <c r="H773" t="s">
        <v>1260</v>
      </c>
      <c r="I773">
        <v>5010000000</v>
      </c>
      <c r="J773" s="560">
        <v>0</v>
      </c>
      <c r="K773" s="560">
        <f t="shared" si="25"/>
        <v>6</v>
      </c>
      <c r="L773" s="560">
        <f t="shared" si="24"/>
        <v>1</v>
      </c>
      <c r="M773" s="560" t="e">
        <f>SUMIFS('[1]MAIN-101'!$Z$1:$Z$3000,'[1]MAIN-101'!$X$1:$X$3000,S773)</f>
        <v>#VALUE!</v>
      </c>
      <c r="N773" s="560"/>
      <c r="O773" s="560"/>
      <c r="S773">
        <f>VLOOKUP(C773,'Recon of ORS and DV'!$A$4:$B$358,2,FALSE)</f>
        <v>0</v>
      </c>
    </row>
    <row r="774" spans="1:19">
      <c r="A774">
        <v>0</v>
      </c>
      <c r="B774" s="553">
        <v>44253</v>
      </c>
      <c r="C774" t="s">
        <v>1262</v>
      </c>
      <c r="D774" s="281">
        <v>14</v>
      </c>
      <c r="E774" t="s">
        <v>1998</v>
      </c>
      <c r="F774" t="s">
        <v>633</v>
      </c>
      <c r="G774" t="s">
        <v>1030</v>
      </c>
      <c r="H774" t="s">
        <v>1263</v>
      </c>
      <c r="I774">
        <v>5021199000</v>
      </c>
      <c r="J774" s="560">
        <v>0</v>
      </c>
      <c r="K774" s="560">
        <f t="shared" si="25"/>
        <v>1</v>
      </c>
      <c r="L774" s="560">
        <f t="shared" si="24"/>
        <v>1</v>
      </c>
      <c r="M774" s="560" t="e">
        <f>SUMIFS('[1]MAIN-101'!$Z$1:$Z$3000,'[1]MAIN-101'!$X$1:$X$3000,S774)</f>
        <v>#VALUE!</v>
      </c>
      <c r="N774" s="560"/>
      <c r="O774" s="560"/>
      <c r="S774">
        <f>VLOOKUP(C774,'Recon of ORS and DV'!$A$4:$B$358,2,FALSE)</f>
        <v>0</v>
      </c>
    </row>
    <row r="775" spans="1:19">
      <c r="A775" t="s">
        <v>2190</v>
      </c>
      <c r="B775" s="553">
        <v>44257</v>
      </c>
      <c r="C775" t="s">
        <v>1268</v>
      </c>
      <c r="D775" s="281">
        <v>14</v>
      </c>
      <c r="E775" t="s">
        <v>1998</v>
      </c>
      <c r="F775" t="s">
        <v>633</v>
      </c>
      <c r="G775" t="s">
        <v>1030</v>
      </c>
      <c r="H775" t="s">
        <v>1263</v>
      </c>
      <c r="I775">
        <v>5021199000</v>
      </c>
      <c r="J775" s="560">
        <v>83842.210000000006</v>
      </c>
      <c r="K775" s="560">
        <f t="shared" si="25"/>
        <v>1</v>
      </c>
      <c r="L775" s="560">
        <f t="shared" si="24"/>
        <v>1</v>
      </c>
      <c r="M775" s="560" t="e">
        <f>SUMIFS('[1]MAIN-101'!$Z$1:$Z$3000,'[1]MAIN-101'!$X$1:$X$3000,S775)</f>
        <v>#VALUE!</v>
      </c>
      <c r="N775" s="560"/>
      <c r="O775" s="560"/>
      <c r="S775" t="str">
        <f>VLOOKUP(C775,'Recon of ORS and DV'!$A$4:$B$358,2,FALSE)</f>
        <v>0313</v>
      </c>
    </row>
    <row r="776" spans="1:19">
      <c r="A776" t="s">
        <v>2191</v>
      </c>
      <c r="B776" s="553">
        <v>44257</v>
      </c>
      <c r="C776" t="s">
        <v>1269</v>
      </c>
      <c r="D776" s="281">
        <v>14</v>
      </c>
      <c r="E776" t="s">
        <v>1998</v>
      </c>
      <c r="F776" t="s">
        <v>633</v>
      </c>
      <c r="G776" t="s">
        <v>1030</v>
      </c>
      <c r="H776" t="s">
        <v>1263</v>
      </c>
      <c r="I776">
        <v>5021199000</v>
      </c>
      <c r="J776" s="560">
        <v>83842.210000000006</v>
      </c>
      <c r="K776" s="560">
        <f t="shared" si="25"/>
        <v>1</v>
      </c>
      <c r="L776" s="560">
        <f t="shared" si="24"/>
        <v>1</v>
      </c>
      <c r="M776" s="560" t="e">
        <f>SUMIFS('[1]MAIN-101'!$Z$1:$Z$3000,'[1]MAIN-101'!$X$1:$X$3000,S776)</f>
        <v>#VALUE!</v>
      </c>
      <c r="N776" s="560"/>
      <c r="O776" s="560"/>
      <c r="S776" t="str">
        <f>VLOOKUP(C776,'Recon of ORS and DV'!$A$4:$B$358,2,FALSE)</f>
        <v>0312</v>
      </c>
    </row>
    <row r="777" spans="1:19">
      <c r="B777" s="553">
        <v>44257</v>
      </c>
      <c r="C777" t="s">
        <v>1270</v>
      </c>
      <c r="D777" s="281">
        <v>4</v>
      </c>
      <c r="E777" t="s">
        <v>2026</v>
      </c>
      <c r="F777" t="s">
        <v>499</v>
      </c>
      <c r="G777" t="s">
        <v>1176</v>
      </c>
      <c r="H777" t="s">
        <v>1260</v>
      </c>
      <c r="I777">
        <v>5010000000</v>
      </c>
      <c r="J777" s="560">
        <v>23877</v>
      </c>
      <c r="K777" s="560">
        <f t="shared" si="25"/>
        <v>6</v>
      </c>
      <c r="L777" s="560">
        <f t="shared" si="24"/>
        <v>6</v>
      </c>
    </row>
    <row r="778" spans="1:19">
      <c r="B778" s="553">
        <v>44257</v>
      </c>
      <c r="C778" t="s">
        <v>1270</v>
      </c>
      <c r="D778" s="281">
        <v>4</v>
      </c>
      <c r="E778" t="s">
        <v>2027</v>
      </c>
      <c r="F778" t="s">
        <v>504</v>
      </c>
      <c r="G778" t="s">
        <v>1176</v>
      </c>
      <c r="H778" t="s">
        <v>1260</v>
      </c>
      <c r="I778">
        <v>5010000000</v>
      </c>
      <c r="J778" s="560">
        <v>2000</v>
      </c>
      <c r="K778" s="560">
        <f t="shared" si="25"/>
        <v>6</v>
      </c>
      <c r="L778" s="560">
        <f t="shared" si="24"/>
        <v>5</v>
      </c>
    </row>
    <row r="779" spans="1:19">
      <c r="B779" s="553">
        <v>44257</v>
      </c>
      <c r="C779" t="s">
        <v>1270</v>
      </c>
      <c r="D779" s="281">
        <v>4</v>
      </c>
      <c r="E779" t="s">
        <v>2028</v>
      </c>
      <c r="F779" t="s">
        <v>528</v>
      </c>
      <c r="G779" t="s">
        <v>1176</v>
      </c>
      <c r="H779" t="s">
        <v>1260</v>
      </c>
      <c r="I779">
        <v>5010301000</v>
      </c>
      <c r="J779" s="560">
        <v>2865.24</v>
      </c>
      <c r="K779" s="560">
        <f t="shared" si="25"/>
        <v>6</v>
      </c>
      <c r="L779" s="560">
        <f t="shared" si="24"/>
        <v>4</v>
      </c>
    </row>
    <row r="780" spans="1:19">
      <c r="B780" s="553">
        <v>44257</v>
      </c>
      <c r="C780" t="s">
        <v>1270</v>
      </c>
      <c r="D780" s="281">
        <v>4</v>
      </c>
      <c r="E780" t="s">
        <v>2029</v>
      </c>
      <c r="F780" t="s">
        <v>530</v>
      </c>
      <c r="G780" t="s">
        <v>1176</v>
      </c>
      <c r="H780" t="s">
        <v>1260</v>
      </c>
      <c r="I780">
        <v>5010000000</v>
      </c>
      <c r="J780" s="560">
        <v>100</v>
      </c>
      <c r="K780" s="560">
        <f t="shared" si="25"/>
        <v>6</v>
      </c>
      <c r="L780" s="560">
        <f t="shared" si="24"/>
        <v>3</v>
      </c>
    </row>
    <row r="781" spans="1:19">
      <c r="B781" s="553">
        <v>44257</v>
      </c>
      <c r="C781" t="s">
        <v>1270</v>
      </c>
      <c r="D781" s="281">
        <v>4</v>
      </c>
      <c r="E781" t="s">
        <v>2030</v>
      </c>
      <c r="F781" t="s">
        <v>532</v>
      </c>
      <c r="G781" t="s">
        <v>1176</v>
      </c>
      <c r="H781" t="s">
        <v>1260</v>
      </c>
      <c r="I781">
        <v>5010000000</v>
      </c>
      <c r="J781" s="560">
        <v>358.16</v>
      </c>
      <c r="K781" s="560">
        <f t="shared" si="25"/>
        <v>6</v>
      </c>
      <c r="L781" s="560">
        <f t="shared" si="24"/>
        <v>2</v>
      </c>
    </row>
    <row r="782" spans="1:19">
      <c r="A782" t="s">
        <v>2192</v>
      </c>
      <c r="B782" s="553">
        <v>44257</v>
      </c>
      <c r="C782" t="s">
        <v>1270</v>
      </c>
      <c r="D782" s="281">
        <v>4</v>
      </c>
      <c r="E782" t="s">
        <v>2031</v>
      </c>
      <c r="F782" t="s">
        <v>534</v>
      </c>
      <c r="G782" t="s">
        <v>1176</v>
      </c>
      <c r="H782" t="s">
        <v>1260</v>
      </c>
      <c r="I782">
        <v>5010000000</v>
      </c>
      <c r="J782" s="560">
        <v>100</v>
      </c>
      <c r="K782" s="560">
        <f t="shared" si="25"/>
        <v>6</v>
      </c>
      <c r="L782" s="560">
        <f t="shared" si="24"/>
        <v>1</v>
      </c>
      <c r="M782" s="560" t="e">
        <f>SUMIFS('[1]MAIN-101'!$Z$1:$Z$3000,'[1]MAIN-101'!$X$1:$X$3000,S782)</f>
        <v>#VALUE!</v>
      </c>
      <c r="N782" s="560"/>
      <c r="O782" s="560"/>
      <c r="S782" t="str">
        <f>VLOOKUP(C782,'Recon of ORS and DV'!$A$4:$B$358,2,FALSE)</f>
        <v>0311</v>
      </c>
    </row>
    <row r="783" spans="1:19">
      <c r="B783" s="553">
        <v>44257</v>
      </c>
      <c r="C783" t="s">
        <v>1271</v>
      </c>
      <c r="D783" s="281">
        <v>1</v>
      </c>
      <c r="E783" t="s">
        <v>1997</v>
      </c>
      <c r="F783" t="s">
        <v>642</v>
      </c>
      <c r="G783" t="s">
        <v>1272</v>
      </c>
      <c r="H783" t="s">
        <v>1273</v>
      </c>
      <c r="I783">
        <v>5020000000</v>
      </c>
      <c r="J783" s="560">
        <v>2170</v>
      </c>
      <c r="K783" s="560">
        <f t="shared" si="25"/>
        <v>2</v>
      </c>
      <c r="L783" s="560">
        <f t="shared" ref="L783:L846" si="26">COUNTIFS(C783:C2336,C783)</f>
        <v>2</v>
      </c>
    </row>
    <row r="784" spans="1:19">
      <c r="A784" t="s">
        <v>2193</v>
      </c>
      <c r="B784" s="553">
        <v>44257</v>
      </c>
      <c r="C784" t="s">
        <v>1271</v>
      </c>
      <c r="D784" s="281">
        <v>1</v>
      </c>
      <c r="E784" t="s">
        <v>2007</v>
      </c>
      <c r="F784" t="s">
        <v>638</v>
      </c>
      <c r="G784" t="s">
        <v>1272</v>
      </c>
      <c r="H784" t="s">
        <v>1273</v>
      </c>
      <c r="I784">
        <v>5020000000</v>
      </c>
      <c r="J784" s="560">
        <v>7000</v>
      </c>
      <c r="K784" s="560">
        <f t="shared" si="25"/>
        <v>2</v>
      </c>
      <c r="L784" s="560">
        <f t="shared" si="26"/>
        <v>1</v>
      </c>
      <c r="M784" s="560" t="e">
        <f>SUMIFS('[1]MAIN-101'!$Z$1:$Z$3000,'[1]MAIN-101'!$X$1:$X$3000,S784)</f>
        <v>#VALUE!</v>
      </c>
      <c r="N784" s="560"/>
      <c r="O784" s="560"/>
      <c r="S784" t="str">
        <f>VLOOKUP(C784,'Recon of ORS and DV'!$A$4:$B$358,2,FALSE)</f>
        <v>0310</v>
      </c>
    </row>
    <row r="785" spans="1:19">
      <c r="A785" t="s">
        <v>2194</v>
      </c>
      <c r="B785" s="553">
        <v>44257</v>
      </c>
      <c r="C785" t="s">
        <v>1274</v>
      </c>
      <c r="D785" s="281">
        <v>9</v>
      </c>
      <c r="E785" t="s">
        <v>2037</v>
      </c>
      <c r="F785" t="s">
        <v>555</v>
      </c>
      <c r="G785" t="s">
        <v>1275</v>
      </c>
      <c r="H785" t="s">
        <v>1276</v>
      </c>
      <c r="I785">
        <v>5020000000</v>
      </c>
      <c r="J785" s="560">
        <v>1200</v>
      </c>
      <c r="K785" s="560">
        <f t="shared" si="25"/>
        <v>1</v>
      </c>
      <c r="L785" s="560">
        <f t="shared" si="26"/>
        <v>1</v>
      </c>
      <c r="M785" s="560" t="e">
        <f>SUMIFS('[1]MAIN-101'!$Z$1:$Z$3000,'[1]MAIN-101'!$X$1:$X$3000,S785)</f>
        <v>#VALUE!</v>
      </c>
      <c r="N785" s="560"/>
      <c r="O785" s="560"/>
      <c r="S785" t="str">
        <f>VLOOKUP(C785,'Recon of ORS and DV'!$A$4:$B$358,2,FALSE)</f>
        <v>0314</v>
      </c>
    </row>
    <row r="786" spans="1:19">
      <c r="A786" t="s">
        <v>2195</v>
      </c>
      <c r="B786" s="553">
        <v>44257</v>
      </c>
      <c r="C786" t="s">
        <v>1277</v>
      </c>
      <c r="D786" s="281">
        <v>1</v>
      </c>
      <c r="E786" t="s">
        <v>2032</v>
      </c>
      <c r="F786" t="s">
        <v>565</v>
      </c>
      <c r="G786" t="s">
        <v>1036</v>
      </c>
      <c r="H786" t="s">
        <v>1207</v>
      </c>
      <c r="I786">
        <v>5020000000</v>
      </c>
      <c r="J786" s="560">
        <v>2404.7800000000002</v>
      </c>
      <c r="K786" s="560">
        <f t="shared" si="25"/>
        <v>1</v>
      </c>
      <c r="L786" s="560">
        <f t="shared" si="26"/>
        <v>1</v>
      </c>
      <c r="M786" s="560" t="e">
        <f>SUMIFS('[1]MAIN-101'!$Z$1:$Z$3000,'[1]MAIN-101'!$X$1:$X$3000,S786)</f>
        <v>#VALUE!</v>
      </c>
      <c r="N786" s="560"/>
      <c r="O786" s="560"/>
      <c r="S786" t="str">
        <f>VLOOKUP(C786,'Recon of ORS and DV'!$A$4:$B$358,2,FALSE)</f>
        <v>0315</v>
      </c>
    </row>
    <row r="787" spans="1:19">
      <c r="A787" t="s">
        <v>2196</v>
      </c>
      <c r="B787" s="553">
        <v>44257</v>
      </c>
      <c r="C787" t="s">
        <v>1278</v>
      </c>
      <c r="D787" s="281">
        <v>1</v>
      </c>
      <c r="E787" t="s">
        <v>2039</v>
      </c>
      <c r="F787" t="s">
        <v>560</v>
      </c>
      <c r="G787" t="s">
        <v>1257</v>
      </c>
      <c r="H787" t="s">
        <v>1258</v>
      </c>
      <c r="I787">
        <v>5020000000</v>
      </c>
      <c r="J787" s="560">
        <v>2800</v>
      </c>
      <c r="K787" s="560">
        <f t="shared" si="25"/>
        <v>1</v>
      </c>
      <c r="L787" s="560">
        <f t="shared" si="26"/>
        <v>1</v>
      </c>
      <c r="M787" s="560" t="e">
        <f>SUMIFS('[1]MAIN-101'!$Z$1:$Z$3000,'[1]MAIN-101'!$X$1:$X$3000,S787)</f>
        <v>#VALUE!</v>
      </c>
      <c r="N787" s="560"/>
      <c r="O787" s="560"/>
      <c r="S787" t="str">
        <f>VLOOKUP(C787,'Recon of ORS and DV'!$A$4:$B$358,2,FALSE)</f>
        <v>0457</v>
      </c>
    </row>
    <row r="788" spans="1:19">
      <c r="B788" s="553">
        <v>44257</v>
      </c>
      <c r="C788" t="s">
        <v>1279</v>
      </c>
      <c r="D788" s="281">
        <v>4</v>
      </c>
      <c r="E788" t="s">
        <v>2026</v>
      </c>
      <c r="F788" t="s">
        <v>499</v>
      </c>
      <c r="G788" t="s">
        <v>1172</v>
      </c>
      <c r="H788" t="s">
        <v>1260</v>
      </c>
      <c r="I788">
        <v>5010000000</v>
      </c>
      <c r="J788" s="560">
        <v>23877</v>
      </c>
      <c r="K788" s="560">
        <f t="shared" si="25"/>
        <v>6</v>
      </c>
      <c r="L788" s="560">
        <f t="shared" si="26"/>
        <v>6</v>
      </c>
    </row>
    <row r="789" spans="1:19">
      <c r="B789" s="553">
        <v>44257</v>
      </c>
      <c r="C789" t="s">
        <v>1279</v>
      </c>
      <c r="D789" s="281">
        <v>4</v>
      </c>
      <c r="E789" t="s">
        <v>2027</v>
      </c>
      <c r="F789" t="s">
        <v>504</v>
      </c>
      <c r="G789" t="s">
        <v>1172</v>
      </c>
      <c r="H789" t="s">
        <v>1260</v>
      </c>
      <c r="I789">
        <v>5010000000</v>
      </c>
      <c r="J789" s="560">
        <v>2000</v>
      </c>
      <c r="K789" s="560">
        <f t="shared" si="25"/>
        <v>6</v>
      </c>
      <c r="L789" s="560">
        <f t="shared" si="26"/>
        <v>5</v>
      </c>
    </row>
    <row r="790" spans="1:19">
      <c r="B790" s="553">
        <v>44257</v>
      </c>
      <c r="C790" t="s">
        <v>1279</v>
      </c>
      <c r="D790" s="281">
        <v>4</v>
      </c>
      <c r="E790" t="s">
        <v>2028</v>
      </c>
      <c r="F790" t="s">
        <v>528</v>
      </c>
      <c r="G790" t="s">
        <v>1172</v>
      </c>
      <c r="H790" t="s">
        <v>1260</v>
      </c>
      <c r="I790">
        <v>5010301000</v>
      </c>
      <c r="J790" s="560">
        <v>2865.24</v>
      </c>
      <c r="K790" s="560">
        <f t="shared" si="25"/>
        <v>6</v>
      </c>
      <c r="L790" s="560">
        <f t="shared" si="26"/>
        <v>4</v>
      </c>
    </row>
    <row r="791" spans="1:19">
      <c r="B791" s="553">
        <v>44257</v>
      </c>
      <c r="C791" t="s">
        <v>1279</v>
      </c>
      <c r="D791" s="281">
        <v>4</v>
      </c>
      <c r="E791" t="s">
        <v>2029</v>
      </c>
      <c r="F791" t="s">
        <v>530</v>
      </c>
      <c r="G791" t="s">
        <v>1172</v>
      </c>
      <c r="H791" t="s">
        <v>1260</v>
      </c>
      <c r="I791">
        <v>5010000000</v>
      </c>
      <c r="J791" s="560">
        <v>100</v>
      </c>
      <c r="K791" s="560">
        <f t="shared" si="25"/>
        <v>6</v>
      </c>
      <c r="L791" s="560">
        <f t="shared" si="26"/>
        <v>3</v>
      </c>
    </row>
    <row r="792" spans="1:19">
      <c r="B792" s="553">
        <v>44257</v>
      </c>
      <c r="C792" t="s">
        <v>1279</v>
      </c>
      <c r="D792" s="281">
        <v>4</v>
      </c>
      <c r="E792" t="s">
        <v>2030</v>
      </c>
      <c r="F792" t="s">
        <v>532</v>
      </c>
      <c r="G792" t="s">
        <v>1172</v>
      </c>
      <c r="H792" t="s">
        <v>1260</v>
      </c>
      <c r="I792">
        <v>5010000000</v>
      </c>
      <c r="J792" s="560">
        <v>358.16</v>
      </c>
      <c r="K792" s="560">
        <f t="shared" si="25"/>
        <v>6</v>
      </c>
      <c r="L792" s="560">
        <f t="shared" si="26"/>
        <v>2</v>
      </c>
    </row>
    <row r="793" spans="1:19">
      <c r="A793" t="s">
        <v>2197</v>
      </c>
      <c r="B793" s="553">
        <v>44257</v>
      </c>
      <c r="C793" t="s">
        <v>1279</v>
      </c>
      <c r="D793" s="281">
        <v>4</v>
      </c>
      <c r="E793" t="s">
        <v>2031</v>
      </c>
      <c r="F793" t="s">
        <v>534</v>
      </c>
      <c r="G793" t="s">
        <v>1172</v>
      </c>
      <c r="H793" t="s">
        <v>1260</v>
      </c>
      <c r="I793">
        <v>5010000000</v>
      </c>
      <c r="J793" s="560">
        <v>100</v>
      </c>
      <c r="K793" s="560">
        <f t="shared" si="25"/>
        <v>6</v>
      </c>
      <c r="L793" s="560">
        <f t="shared" si="26"/>
        <v>1</v>
      </c>
      <c r="M793" s="560" t="e">
        <f>SUMIFS('[1]MAIN-101'!$Z$1:$Z$3000,'[1]MAIN-101'!$X$1:$X$3000,S793)</f>
        <v>#VALUE!</v>
      </c>
      <c r="N793" s="560"/>
      <c r="O793" s="560"/>
      <c r="S793" t="str">
        <f>VLOOKUP(C793,'Recon of ORS and DV'!$A$4:$B$358,2,FALSE)</f>
        <v>0308</v>
      </c>
    </row>
    <row r="794" spans="1:19">
      <c r="B794" s="553">
        <v>44257</v>
      </c>
      <c r="C794" t="s">
        <v>1280</v>
      </c>
      <c r="D794" s="281">
        <v>4</v>
      </c>
      <c r="E794" t="s">
        <v>2026</v>
      </c>
      <c r="F794" t="s">
        <v>499</v>
      </c>
      <c r="G794" t="s">
        <v>1174</v>
      </c>
      <c r="H794" t="s">
        <v>1260</v>
      </c>
      <c r="I794">
        <v>5010000000</v>
      </c>
      <c r="J794" s="560">
        <v>23877</v>
      </c>
      <c r="K794" s="560">
        <f t="shared" si="25"/>
        <v>6</v>
      </c>
      <c r="L794" s="560">
        <f t="shared" si="26"/>
        <v>6</v>
      </c>
    </row>
    <row r="795" spans="1:19">
      <c r="B795" s="553">
        <v>44257</v>
      </c>
      <c r="C795" t="s">
        <v>1280</v>
      </c>
      <c r="D795" s="281">
        <v>4</v>
      </c>
      <c r="E795" t="s">
        <v>2027</v>
      </c>
      <c r="F795" t="s">
        <v>504</v>
      </c>
      <c r="G795" t="s">
        <v>1174</v>
      </c>
      <c r="H795" t="s">
        <v>1260</v>
      </c>
      <c r="I795">
        <v>5010000000</v>
      </c>
      <c r="J795" s="560">
        <v>2000</v>
      </c>
      <c r="K795" s="560">
        <f t="shared" si="25"/>
        <v>6</v>
      </c>
      <c r="L795" s="560">
        <f t="shared" si="26"/>
        <v>5</v>
      </c>
    </row>
    <row r="796" spans="1:19">
      <c r="B796" s="553">
        <v>44257</v>
      </c>
      <c r="C796" t="s">
        <v>1280</v>
      </c>
      <c r="D796" s="281">
        <v>4</v>
      </c>
      <c r="E796" t="s">
        <v>2028</v>
      </c>
      <c r="F796" t="s">
        <v>528</v>
      </c>
      <c r="G796" t="s">
        <v>1174</v>
      </c>
      <c r="H796" t="s">
        <v>1260</v>
      </c>
      <c r="I796">
        <v>5010301000</v>
      </c>
      <c r="J796" s="560">
        <v>2865.24</v>
      </c>
      <c r="K796" s="560">
        <f t="shared" si="25"/>
        <v>6</v>
      </c>
      <c r="L796" s="560">
        <f t="shared" si="26"/>
        <v>4</v>
      </c>
    </row>
    <row r="797" spans="1:19">
      <c r="B797" s="553">
        <v>44257</v>
      </c>
      <c r="C797" t="s">
        <v>1280</v>
      </c>
      <c r="D797" s="281">
        <v>4</v>
      </c>
      <c r="E797" t="s">
        <v>2029</v>
      </c>
      <c r="F797" t="s">
        <v>530</v>
      </c>
      <c r="G797" t="s">
        <v>1174</v>
      </c>
      <c r="H797" t="s">
        <v>1260</v>
      </c>
      <c r="I797">
        <v>5010000000</v>
      </c>
      <c r="J797" s="560">
        <v>100</v>
      </c>
      <c r="K797" s="560">
        <f t="shared" si="25"/>
        <v>6</v>
      </c>
      <c r="L797" s="560">
        <f t="shared" si="26"/>
        <v>3</v>
      </c>
    </row>
    <row r="798" spans="1:19">
      <c r="B798" s="553">
        <v>44257</v>
      </c>
      <c r="C798" t="s">
        <v>1280</v>
      </c>
      <c r="D798" s="281">
        <v>4</v>
      </c>
      <c r="E798" t="s">
        <v>2030</v>
      </c>
      <c r="F798" t="s">
        <v>532</v>
      </c>
      <c r="G798" t="s">
        <v>1174</v>
      </c>
      <c r="H798" t="s">
        <v>1260</v>
      </c>
      <c r="I798">
        <v>5010000000</v>
      </c>
      <c r="J798" s="560">
        <v>358.16</v>
      </c>
      <c r="K798" s="560">
        <f t="shared" si="25"/>
        <v>6</v>
      </c>
      <c r="L798" s="560">
        <f t="shared" si="26"/>
        <v>2</v>
      </c>
    </row>
    <row r="799" spans="1:19">
      <c r="A799" t="s">
        <v>2198</v>
      </c>
      <c r="B799" s="553">
        <v>44257</v>
      </c>
      <c r="C799" t="s">
        <v>1280</v>
      </c>
      <c r="D799" s="281">
        <v>4</v>
      </c>
      <c r="E799" t="s">
        <v>2031</v>
      </c>
      <c r="F799" t="s">
        <v>534</v>
      </c>
      <c r="G799" t="s">
        <v>1174</v>
      </c>
      <c r="H799" t="s">
        <v>1260</v>
      </c>
      <c r="I799">
        <v>5010000000</v>
      </c>
      <c r="J799" s="560">
        <v>100</v>
      </c>
      <c r="K799" s="560">
        <f t="shared" si="25"/>
        <v>6</v>
      </c>
      <c r="L799" s="560">
        <f t="shared" si="26"/>
        <v>1</v>
      </c>
      <c r="M799" s="560" t="e">
        <f>SUMIFS('[1]MAIN-101'!$Z$1:$Z$3000,'[1]MAIN-101'!$X$1:$X$3000,S799)</f>
        <v>#VALUE!</v>
      </c>
      <c r="N799" s="560"/>
      <c r="O799" s="560"/>
      <c r="S799" t="str">
        <f>VLOOKUP(C799,'Recon of ORS and DV'!$A$4:$B$358,2,FALSE)</f>
        <v>0309</v>
      </c>
    </row>
    <row r="800" spans="1:19">
      <c r="A800" t="s">
        <v>2199</v>
      </c>
      <c r="B800" s="553">
        <v>44257</v>
      </c>
      <c r="C800" t="s">
        <v>1281</v>
      </c>
      <c r="D800" s="281">
        <v>3</v>
      </c>
      <c r="E800" t="s">
        <v>2005</v>
      </c>
      <c r="F800" t="s">
        <v>678</v>
      </c>
      <c r="G800" t="s">
        <v>1230</v>
      </c>
      <c r="H800" t="s">
        <v>1231</v>
      </c>
      <c r="I800">
        <v>5020000000</v>
      </c>
      <c r="J800" s="560">
        <v>11000</v>
      </c>
      <c r="K800" s="560">
        <f t="shared" si="25"/>
        <v>1</v>
      </c>
      <c r="L800" s="560">
        <f t="shared" si="26"/>
        <v>1</v>
      </c>
      <c r="M800" s="560" t="e">
        <f>SUMIFS('[1]MAIN-101'!$Z$1:$Z$3000,'[1]MAIN-101'!$X$1:$X$3000,S800)</f>
        <v>#VALUE!</v>
      </c>
      <c r="N800" s="560"/>
      <c r="O800" s="560"/>
      <c r="S800" t="str">
        <f>VLOOKUP(C800,'Recon of ORS and DV'!$A$4:$B$358,2,FALSE)</f>
        <v>0316</v>
      </c>
    </row>
    <row r="801" spans="1:19">
      <c r="A801" t="s">
        <v>2200</v>
      </c>
      <c r="B801" s="553">
        <v>44257</v>
      </c>
      <c r="C801" t="s">
        <v>1282</v>
      </c>
      <c r="D801" s="281">
        <v>1</v>
      </c>
      <c r="E801" t="s">
        <v>2002</v>
      </c>
      <c r="F801" t="s">
        <v>603</v>
      </c>
      <c r="G801" t="s">
        <v>1102</v>
      </c>
      <c r="H801" t="s">
        <v>1283</v>
      </c>
      <c r="I801">
        <v>5020000000</v>
      </c>
      <c r="J801" s="560">
        <v>2500</v>
      </c>
      <c r="K801" s="560">
        <f t="shared" si="25"/>
        <v>1</v>
      </c>
      <c r="L801" s="560">
        <f t="shared" si="26"/>
        <v>1</v>
      </c>
      <c r="M801" s="560" t="e">
        <f>SUMIFS('[1]MAIN-101'!$Z$1:$Z$3000,'[1]MAIN-101'!$X$1:$X$3000,S801)</f>
        <v>#VALUE!</v>
      </c>
      <c r="N801" s="560"/>
      <c r="O801" s="560"/>
      <c r="S801" t="str">
        <f>VLOOKUP(C801,'Recon of ORS and DV'!$A$4:$B$358,2,FALSE)</f>
        <v>0317</v>
      </c>
    </row>
    <row r="802" spans="1:19">
      <c r="B802" s="553">
        <v>44257</v>
      </c>
      <c r="C802" t="s">
        <v>1284</v>
      </c>
      <c r="D802" s="281">
        <v>1</v>
      </c>
      <c r="E802" t="s">
        <v>2032</v>
      </c>
      <c r="F802" t="s">
        <v>565</v>
      </c>
      <c r="G802" t="s">
        <v>773</v>
      </c>
      <c r="H802" t="s">
        <v>1285</v>
      </c>
      <c r="I802">
        <v>5020000000</v>
      </c>
      <c r="J802" s="560">
        <v>1338.5</v>
      </c>
      <c r="K802" s="560">
        <f t="shared" si="25"/>
        <v>4</v>
      </c>
      <c r="L802" s="560">
        <f t="shared" si="26"/>
        <v>4</v>
      </c>
    </row>
    <row r="803" spans="1:19">
      <c r="B803" s="553">
        <v>44257</v>
      </c>
      <c r="C803" t="s">
        <v>1284</v>
      </c>
      <c r="D803" s="281">
        <v>1</v>
      </c>
      <c r="E803" t="s">
        <v>1997</v>
      </c>
      <c r="F803" t="s">
        <v>642</v>
      </c>
      <c r="G803" t="s">
        <v>773</v>
      </c>
      <c r="H803" t="s">
        <v>1285</v>
      </c>
      <c r="I803">
        <v>5020000000</v>
      </c>
      <c r="J803" s="560">
        <v>1865</v>
      </c>
      <c r="K803" s="560">
        <f t="shared" si="25"/>
        <v>4</v>
      </c>
      <c r="L803" s="560">
        <f t="shared" si="26"/>
        <v>3</v>
      </c>
    </row>
    <row r="804" spans="1:19">
      <c r="B804" s="553">
        <v>44257</v>
      </c>
      <c r="C804" t="s">
        <v>1284</v>
      </c>
      <c r="D804" s="281">
        <v>1</v>
      </c>
      <c r="E804" t="s">
        <v>1998</v>
      </c>
      <c r="F804" t="s">
        <v>633</v>
      </c>
      <c r="G804" t="s">
        <v>773</v>
      </c>
      <c r="H804" t="s">
        <v>1285</v>
      </c>
      <c r="I804">
        <v>5020000000</v>
      </c>
      <c r="J804" s="560">
        <v>900</v>
      </c>
      <c r="K804" s="560">
        <f t="shared" si="25"/>
        <v>4</v>
      </c>
      <c r="L804" s="560">
        <f t="shared" si="26"/>
        <v>2</v>
      </c>
    </row>
    <row r="805" spans="1:19">
      <c r="A805" t="s">
        <v>2201</v>
      </c>
      <c r="B805" s="553">
        <v>44257</v>
      </c>
      <c r="C805" t="s">
        <v>1284</v>
      </c>
      <c r="D805" s="281">
        <v>1</v>
      </c>
      <c r="E805" t="s">
        <v>1999</v>
      </c>
      <c r="F805" t="s">
        <v>672</v>
      </c>
      <c r="G805" t="s">
        <v>773</v>
      </c>
      <c r="H805" t="s">
        <v>1285</v>
      </c>
      <c r="I805">
        <v>5020000000</v>
      </c>
      <c r="J805" s="560">
        <v>120</v>
      </c>
      <c r="K805" s="560">
        <f t="shared" si="25"/>
        <v>4</v>
      </c>
      <c r="L805" s="560">
        <f t="shared" si="26"/>
        <v>1</v>
      </c>
      <c r="M805" s="560" t="e">
        <f>SUMIFS('[1]MAIN-101'!$Z$1:$Z$3000,'[1]MAIN-101'!$X$1:$X$3000,S805)</f>
        <v>#VALUE!</v>
      </c>
      <c r="N805" s="560"/>
      <c r="O805" s="560"/>
      <c r="S805" t="str">
        <f>VLOOKUP(C805,'Recon of ORS and DV'!$A$4:$B$358,2,FALSE)</f>
        <v>0318</v>
      </c>
    </row>
    <row r="806" spans="1:19">
      <c r="A806" t="s">
        <v>2202</v>
      </c>
      <c r="B806" s="553">
        <v>44257</v>
      </c>
      <c r="C806" t="s">
        <v>1286</v>
      </c>
      <c r="D806" s="281">
        <v>10</v>
      </c>
      <c r="E806" t="s">
        <v>1998</v>
      </c>
      <c r="F806" t="s">
        <v>633</v>
      </c>
      <c r="G806" t="s">
        <v>1235</v>
      </c>
      <c r="H806" t="s">
        <v>1288</v>
      </c>
      <c r="I806">
        <v>5020000000</v>
      </c>
      <c r="J806" s="560">
        <v>10000</v>
      </c>
      <c r="K806" s="560">
        <f t="shared" si="25"/>
        <v>1</v>
      </c>
      <c r="L806" s="560">
        <f t="shared" si="26"/>
        <v>1</v>
      </c>
      <c r="M806" s="560" t="e">
        <f>SUMIFS('[1]MAIN-101'!$Z$1:$Z$3000,'[1]MAIN-101'!$X$1:$X$3000,S806)</f>
        <v>#VALUE!</v>
      </c>
      <c r="N806" s="560"/>
      <c r="O806" s="560"/>
      <c r="S806" t="str">
        <f>VLOOKUP(C806,'Recon of ORS and DV'!$A$4:$B$358,2,FALSE)</f>
        <v>0325</v>
      </c>
    </row>
    <row r="807" spans="1:19">
      <c r="B807" s="553">
        <v>44257</v>
      </c>
      <c r="C807" t="s">
        <v>1287</v>
      </c>
      <c r="D807" s="281">
        <v>10</v>
      </c>
      <c r="E807" t="s">
        <v>1998</v>
      </c>
      <c r="F807" t="s">
        <v>633</v>
      </c>
      <c r="G807" t="s">
        <v>1075</v>
      </c>
      <c r="H807" t="s">
        <v>1288</v>
      </c>
      <c r="I807">
        <v>5020000000</v>
      </c>
      <c r="J807" s="560">
        <v>5534</v>
      </c>
      <c r="K807" s="560">
        <f t="shared" si="25"/>
        <v>3</v>
      </c>
      <c r="L807" s="560">
        <f t="shared" si="26"/>
        <v>3</v>
      </c>
    </row>
    <row r="808" spans="1:19">
      <c r="B808" s="553">
        <v>44257</v>
      </c>
      <c r="C808" t="s">
        <v>1287</v>
      </c>
      <c r="D808" s="281">
        <v>1</v>
      </c>
      <c r="E808" t="s">
        <v>1997</v>
      </c>
      <c r="F808" t="s">
        <v>642</v>
      </c>
      <c r="G808" t="s">
        <v>1075</v>
      </c>
      <c r="H808" t="s">
        <v>1288</v>
      </c>
      <c r="I808">
        <v>5020000000</v>
      </c>
      <c r="J808" s="560">
        <v>16692</v>
      </c>
      <c r="K808" s="560">
        <f t="shared" si="25"/>
        <v>3</v>
      </c>
      <c r="L808" s="560">
        <f t="shared" si="26"/>
        <v>2</v>
      </c>
    </row>
    <row r="809" spans="1:19">
      <c r="A809" t="s">
        <v>2203</v>
      </c>
      <c r="B809" s="553">
        <v>44257</v>
      </c>
      <c r="C809" t="s">
        <v>1287</v>
      </c>
      <c r="D809" s="281">
        <v>1</v>
      </c>
      <c r="E809" t="s">
        <v>2004</v>
      </c>
      <c r="F809" t="s">
        <v>629</v>
      </c>
      <c r="G809" t="s">
        <v>1075</v>
      </c>
      <c r="H809" t="s">
        <v>1288</v>
      </c>
      <c r="I809">
        <v>5020000000</v>
      </c>
      <c r="J809" s="560">
        <v>5534</v>
      </c>
      <c r="K809" s="560">
        <f t="shared" si="25"/>
        <v>3</v>
      </c>
      <c r="L809" s="560">
        <f t="shared" si="26"/>
        <v>1</v>
      </c>
      <c r="M809" s="560" t="e">
        <f>SUMIFS('[1]MAIN-101'!$Z$1:$Z$3000,'[1]MAIN-101'!$X$1:$X$3000,S809)</f>
        <v>#VALUE!</v>
      </c>
      <c r="N809" s="560"/>
      <c r="O809" s="560"/>
      <c r="S809" t="str">
        <f>VLOOKUP(C809,'Recon of ORS and DV'!$A$4:$B$358,2,FALSE)</f>
        <v>0326</v>
      </c>
    </row>
    <row r="810" spans="1:19">
      <c r="A810" t="s">
        <v>2204</v>
      </c>
      <c r="B810" s="553">
        <v>44257</v>
      </c>
      <c r="C810" t="s">
        <v>1289</v>
      </c>
      <c r="D810" s="281">
        <v>14</v>
      </c>
      <c r="E810" t="s">
        <v>1998</v>
      </c>
      <c r="F810" t="s">
        <v>633</v>
      </c>
      <c r="G810" t="s">
        <v>1290</v>
      </c>
      <c r="H810" t="s">
        <v>1291</v>
      </c>
      <c r="I810">
        <v>5021199000</v>
      </c>
      <c r="J810" s="560">
        <v>16332.5</v>
      </c>
      <c r="K810" s="560">
        <f t="shared" si="25"/>
        <v>1</v>
      </c>
      <c r="L810" s="560">
        <f t="shared" si="26"/>
        <v>1</v>
      </c>
      <c r="M810" s="560" t="e">
        <f>SUMIFS('[1]MAIN-101'!$Z$1:$Z$3000,'[1]MAIN-101'!$X$1:$X$3000,S810)</f>
        <v>#VALUE!</v>
      </c>
      <c r="N810" s="560"/>
      <c r="O810" s="560"/>
      <c r="S810" t="str">
        <f>VLOOKUP(C810,'Recon of ORS and DV'!$A$4:$B$358,2,FALSE)</f>
        <v>0327</v>
      </c>
    </row>
    <row r="811" spans="1:19">
      <c r="B811" s="553">
        <v>44257</v>
      </c>
      <c r="C811" t="s">
        <v>1292</v>
      </c>
      <c r="D811" s="281">
        <v>9</v>
      </c>
      <c r="E811" t="s">
        <v>1998</v>
      </c>
      <c r="F811" t="s">
        <v>633</v>
      </c>
      <c r="G811" t="s">
        <v>1075</v>
      </c>
      <c r="H811" t="s">
        <v>1288</v>
      </c>
      <c r="I811">
        <v>5020000000</v>
      </c>
      <c r="J811" s="560">
        <v>11158</v>
      </c>
      <c r="K811" s="560">
        <f t="shared" si="25"/>
        <v>2</v>
      </c>
      <c r="L811" s="560">
        <f t="shared" si="26"/>
        <v>2</v>
      </c>
    </row>
    <row r="812" spans="1:19">
      <c r="A812" t="s">
        <v>2205</v>
      </c>
      <c r="B812" s="553">
        <v>44257</v>
      </c>
      <c r="C812" t="s">
        <v>1292</v>
      </c>
      <c r="D812" s="281">
        <v>11</v>
      </c>
      <c r="E812" t="s">
        <v>1998</v>
      </c>
      <c r="F812" t="s">
        <v>633</v>
      </c>
      <c r="G812" t="s">
        <v>1075</v>
      </c>
      <c r="H812" t="s">
        <v>1288</v>
      </c>
      <c r="I812">
        <v>5020000000</v>
      </c>
      <c r="J812" s="560">
        <v>11158</v>
      </c>
      <c r="K812" s="560">
        <f t="shared" si="25"/>
        <v>2</v>
      </c>
      <c r="L812" s="560">
        <f t="shared" si="26"/>
        <v>1</v>
      </c>
      <c r="M812" s="560" t="e">
        <f>SUMIFS('[1]MAIN-101'!$Z$1:$Z$3000,'[1]MAIN-101'!$X$1:$X$3000,S812)</f>
        <v>#VALUE!</v>
      </c>
      <c r="N812" s="560"/>
      <c r="O812" s="560"/>
      <c r="S812" t="str">
        <f>VLOOKUP(C812,'Recon of ORS and DV'!$A$4:$B$358,2,FALSE)</f>
        <v>0328</v>
      </c>
    </row>
    <row r="813" spans="1:19">
      <c r="A813" t="s">
        <v>2206</v>
      </c>
      <c r="B813" s="553">
        <v>44257</v>
      </c>
      <c r="C813" t="s">
        <v>1293</v>
      </c>
      <c r="D813" s="281">
        <v>1</v>
      </c>
      <c r="E813" t="s">
        <v>1997</v>
      </c>
      <c r="F813" t="s">
        <v>642</v>
      </c>
      <c r="G813" t="s">
        <v>1075</v>
      </c>
      <c r="H813" t="s">
        <v>1288</v>
      </c>
      <c r="I813">
        <v>5020000000</v>
      </c>
      <c r="J813" s="560">
        <v>13034</v>
      </c>
      <c r="K813" s="560">
        <f t="shared" si="25"/>
        <v>1</v>
      </c>
      <c r="L813" s="560">
        <f t="shared" si="26"/>
        <v>1</v>
      </c>
      <c r="M813" s="560" t="e">
        <f>SUMIFS('[1]MAIN-101'!$Z$1:$Z$3000,'[1]MAIN-101'!$X$1:$X$3000,S813)</f>
        <v>#VALUE!</v>
      </c>
      <c r="N813" s="560"/>
      <c r="O813" s="560"/>
      <c r="S813" t="str">
        <f>VLOOKUP(C813,'Recon of ORS and DV'!$A$4:$B$358,2,FALSE)</f>
        <v>0329</v>
      </c>
    </row>
    <row r="814" spans="1:19">
      <c r="B814" s="553">
        <v>44257</v>
      </c>
      <c r="C814" t="s">
        <v>1294</v>
      </c>
      <c r="D814" s="281">
        <v>1</v>
      </c>
      <c r="E814" t="s">
        <v>2024</v>
      </c>
      <c r="F814" t="s">
        <v>505</v>
      </c>
      <c r="G814" t="s">
        <v>1030</v>
      </c>
      <c r="H814" t="s">
        <v>1295</v>
      </c>
      <c r="I814">
        <v>5010000000</v>
      </c>
      <c r="J814" s="560">
        <v>45000</v>
      </c>
      <c r="K814" s="560">
        <f t="shared" si="25"/>
        <v>8</v>
      </c>
      <c r="L814" s="560">
        <f t="shared" si="26"/>
        <v>8</v>
      </c>
    </row>
    <row r="815" spans="1:19">
      <c r="B815" s="553">
        <v>44257</v>
      </c>
      <c r="C815" t="s">
        <v>1294</v>
      </c>
      <c r="D815" s="281">
        <v>1</v>
      </c>
      <c r="E815" t="s">
        <v>2025</v>
      </c>
      <c r="F815" t="s">
        <v>506</v>
      </c>
      <c r="G815" t="s">
        <v>1030</v>
      </c>
      <c r="H815" t="s">
        <v>1295</v>
      </c>
      <c r="I815">
        <v>5010000000</v>
      </c>
      <c r="J815" s="560">
        <v>45000</v>
      </c>
      <c r="K815" s="560">
        <f t="shared" si="25"/>
        <v>8</v>
      </c>
      <c r="L815" s="560">
        <f t="shared" si="26"/>
        <v>7</v>
      </c>
    </row>
    <row r="816" spans="1:19">
      <c r="B816" s="553">
        <v>44257</v>
      </c>
      <c r="C816" t="s">
        <v>1294</v>
      </c>
      <c r="D816" s="281">
        <v>4</v>
      </c>
      <c r="E816" t="s">
        <v>2024</v>
      </c>
      <c r="F816" t="s">
        <v>505</v>
      </c>
      <c r="G816" t="s">
        <v>1030</v>
      </c>
      <c r="H816" t="s">
        <v>1295</v>
      </c>
      <c r="I816">
        <v>5010000000</v>
      </c>
      <c r="J816" s="560">
        <v>15000</v>
      </c>
      <c r="K816" s="560">
        <f t="shared" si="25"/>
        <v>8</v>
      </c>
      <c r="L816" s="560">
        <f t="shared" si="26"/>
        <v>6</v>
      </c>
    </row>
    <row r="817" spans="1:19">
      <c r="B817" s="553">
        <v>44257</v>
      </c>
      <c r="C817" t="s">
        <v>1294</v>
      </c>
      <c r="D817" s="281">
        <v>4</v>
      </c>
      <c r="E817" t="s">
        <v>2025</v>
      </c>
      <c r="F817" t="s">
        <v>506</v>
      </c>
      <c r="G817" t="s">
        <v>1030</v>
      </c>
      <c r="H817" t="s">
        <v>1295</v>
      </c>
      <c r="I817">
        <v>5010000000</v>
      </c>
      <c r="J817" s="560">
        <v>15000</v>
      </c>
      <c r="K817" s="560">
        <f t="shared" si="25"/>
        <v>8</v>
      </c>
      <c r="L817" s="560">
        <f t="shared" si="26"/>
        <v>5</v>
      </c>
    </row>
    <row r="818" spans="1:19">
      <c r="B818" s="553">
        <v>44257</v>
      </c>
      <c r="C818" t="s">
        <v>1294</v>
      </c>
      <c r="D818" s="281">
        <v>5</v>
      </c>
      <c r="E818" t="s">
        <v>2024</v>
      </c>
      <c r="F818" t="s">
        <v>505</v>
      </c>
      <c r="G818" t="s">
        <v>1030</v>
      </c>
      <c r="H818" t="s">
        <v>1295</v>
      </c>
      <c r="I818">
        <v>5010000000</v>
      </c>
      <c r="J818" s="560">
        <v>5000</v>
      </c>
      <c r="K818" s="560">
        <f t="shared" si="25"/>
        <v>8</v>
      </c>
      <c r="L818" s="560">
        <f t="shared" si="26"/>
        <v>4</v>
      </c>
    </row>
    <row r="819" spans="1:19">
      <c r="B819" s="553">
        <v>44257</v>
      </c>
      <c r="C819" t="s">
        <v>1294</v>
      </c>
      <c r="D819" s="281">
        <v>5</v>
      </c>
      <c r="E819" t="s">
        <v>2025</v>
      </c>
      <c r="F819" t="s">
        <v>506</v>
      </c>
      <c r="G819" t="s">
        <v>1030</v>
      </c>
      <c r="H819" t="s">
        <v>1295</v>
      </c>
      <c r="I819">
        <v>5010000000</v>
      </c>
      <c r="J819" s="560">
        <v>5000</v>
      </c>
      <c r="K819" s="560">
        <f t="shared" si="25"/>
        <v>8</v>
      </c>
      <c r="L819" s="560">
        <f t="shared" si="26"/>
        <v>3</v>
      </c>
    </row>
    <row r="820" spans="1:19">
      <c r="B820" s="553">
        <v>44257</v>
      </c>
      <c r="C820" t="s">
        <v>1294</v>
      </c>
      <c r="D820" s="281">
        <v>3</v>
      </c>
      <c r="E820" t="s">
        <v>2024</v>
      </c>
      <c r="F820" t="s">
        <v>505</v>
      </c>
      <c r="G820" t="s">
        <v>1030</v>
      </c>
      <c r="H820" t="s">
        <v>1295</v>
      </c>
      <c r="I820">
        <v>5010000000</v>
      </c>
      <c r="J820" s="560">
        <v>10000</v>
      </c>
      <c r="K820" s="560">
        <f t="shared" si="25"/>
        <v>8</v>
      </c>
      <c r="L820" s="560">
        <f t="shared" si="26"/>
        <v>2</v>
      </c>
    </row>
    <row r="821" spans="1:19">
      <c r="A821" t="s">
        <v>2207</v>
      </c>
      <c r="B821" s="553">
        <v>44257</v>
      </c>
      <c r="C821" t="s">
        <v>1294</v>
      </c>
      <c r="D821" s="281">
        <v>3</v>
      </c>
      <c r="E821" t="s">
        <v>2025</v>
      </c>
      <c r="F821" t="s">
        <v>506</v>
      </c>
      <c r="G821" t="s">
        <v>1030</v>
      </c>
      <c r="H821" t="s">
        <v>1295</v>
      </c>
      <c r="I821">
        <v>5010000000</v>
      </c>
      <c r="J821" s="560">
        <v>10000</v>
      </c>
      <c r="K821" s="560">
        <f t="shared" si="25"/>
        <v>8</v>
      </c>
      <c r="L821" s="560">
        <f t="shared" si="26"/>
        <v>1</v>
      </c>
      <c r="M821" s="560" t="e">
        <f>SUMIFS('[1]MAIN-101'!$Z$1:$Z$3000,'[1]MAIN-101'!$X$1:$X$3000,S821)</f>
        <v>#VALUE!</v>
      </c>
      <c r="N821" s="560"/>
      <c r="O821" s="560"/>
      <c r="S821" t="str">
        <f>VLOOKUP(C821,'Recon of ORS and DV'!$A$4:$B$358,2,FALSE)</f>
        <v>0330</v>
      </c>
    </row>
    <row r="822" spans="1:19">
      <c r="A822" t="s">
        <v>2208</v>
      </c>
      <c r="B822" s="553">
        <v>44257</v>
      </c>
      <c r="C822" t="s">
        <v>1296</v>
      </c>
      <c r="D822" s="281">
        <v>1</v>
      </c>
      <c r="E822" t="s">
        <v>1998</v>
      </c>
      <c r="F822" t="s">
        <v>633</v>
      </c>
      <c r="G822" t="s">
        <v>1297</v>
      </c>
      <c r="H822" t="s">
        <v>1298</v>
      </c>
      <c r="I822">
        <v>5020000000</v>
      </c>
      <c r="J822" s="560">
        <v>64106</v>
      </c>
      <c r="K822" s="560">
        <f t="shared" si="25"/>
        <v>1</v>
      </c>
      <c r="L822" s="560">
        <f t="shared" si="26"/>
        <v>1</v>
      </c>
      <c r="M822" s="560" t="e">
        <f>SUMIFS('[1]MAIN-101'!$Z$1:$Z$3000,'[1]MAIN-101'!$X$1:$X$3000,S822)</f>
        <v>#VALUE!</v>
      </c>
      <c r="N822" s="560"/>
      <c r="O822" s="560"/>
      <c r="S822" t="str">
        <f>VLOOKUP(C822,'Recon of ORS and DV'!$A$4:$B$358,2,FALSE)</f>
        <v>0323</v>
      </c>
    </row>
    <row r="823" spans="1:19">
      <c r="A823" t="s">
        <v>2209</v>
      </c>
      <c r="B823" s="553">
        <v>44257</v>
      </c>
      <c r="C823" t="s">
        <v>1299</v>
      </c>
      <c r="D823" s="281">
        <v>14</v>
      </c>
      <c r="E823" t="s">
        <v>1998</v>
      </c>
      <c r="F823" t="s">
        <v>633</v>
      </c>
      <c r="G823" t="s">
        <v>1300</v>
      </c>
      <c r="H823" t="s">
        <v>1301</v>
      </c>
      <c r="I823">
        <v>5021199000</v>
      </c>
      <c r="J823" s="560">
        <v>16332.5</v>
      </c>
      <c r="K823" s="560">
        <f t="shared" si="25"/>
        <v>1</v>
      </c>
      <c r="L823" s="560">
        <f t="shared" si="26"/>
        <v>1</v>
      </c>
      <c r="M823" s="560" t="e">
        <f>SUMIFS('[1]MAIN-101'!$Z$1:$Z$3000,'[1]MAIN-101'!$X$1:$X$3000,S823)</f>
        <v>#VALUE!</v>
      </c>
      <c r="N823" s="560"/>
      <c r="O823" s="560"/>
      <c r="S823" t="str">
        <f>VLOOKUP(C823,'Recon of ORS and DV'!$A$4:$B$358,2,FALSE)</f>
        <v>0331</v>
      </c>
    </row>
    <row r="824" spans="1:19">
      <c r="A824" t="s">
        <v>2210</v>
      </c>
      <c r="B824" s="553">
        <v>44257</v>
      </c>
      <c r="C824" t="s">
        <v>1302</v>
      </c>
      <c r="D824" s="281">
        <v>7</v>
      </c>
      <c r="E824" t="s">
        <v>2032</v>
      </c>
      <c r="F824" t="s">
        <v>565</v>
      </c>
      <c r="G824" t="s">
        <v>1303</v>
      </c>
      <c r="H824" t="s">
        <v>1304</v>
      </c>
      <c r="I824">
        <v>5020000000</v>
      </c>
      <c r="J824" s="560">
        <v>9900</v>
      </c>
      <c r="K824" s="560">
        <f t="shared" si="25"/>
        <v>1</v>
      </c>
      <c r="L824" s="560">
        <f t="shared" si="26"/>
        <v>1</v>
      </c>
      <c r="M824" s="560" t="e">
        <f>SUMIFS('[1]MAIN-101'!$Z$1:$Z$3000,'[1]MAIN-101'!$X$1:$X$3000,S824)</f>
        <v>#VALUE!</v>
      </c>
      <c r="N824" s="560"/>
      <c r="O824" s="560"/>
      <c r="S824" t="str">
        <f>VLOOKUP(C824,'Recon of ORS and DV'!$A$4:$B$358,2,FALSE)</f>
        <v>0343</v>
      </c>
    </row>
    <row r="825" spans="1:19">
      <c r="A825" t="s">
        <v>2211</v>
      </c>
      <c r="B825" s="553">
        <v>44257</v>
      </c>
      <c r="C825" t="s">
        <v>1305</v>
      </c>
      <c r="D825" s="281">
        <v>1</v>
      </c>
      <c r="E825" t="s">
        <v>2018</v>
      </c>
      <c r="F825" t="s">
        <v>671</v>
      </c>
      <c r="G825" t="s">
        <v>1105</v>
      </c>
      <c r="H825" t="s">
        <v>1309</v>
      </c>
      <c r="I825">
        <v>5020000000</v>
      </c>
      <c r="J825" s="560">
        <v>6617.76</v>
      </c>
      <c r="K825" s="560">
        <f t="shared" si="25"/>
        <v>1</v>
      </c>
      <c r="L825" s="560">
        <f t="shared" si="26"/>
        <v>1</v>
      </c>
      <c r="M825" s="560" t="e">
        <f>SUMIFS('[1]MAIN-101'!$Z$1:$Z$3000,'[1]MAIN-101'!$X$1:$X$3000,S825)</f>
        <v>#VALUE!</v>
      </c>
      <c r="N825" s="560"/>
      <c r="O825" s="560"/>
      <c r="S825" t="str">
        <f>VLOOKUP(C825,'Recon of ORS and DV'!$A$4:$B$358,2,FALSE)</f>
        <v>0332</v>
      </c>
    </row>
    <row r="826" spans="1:19">
      <c r="A826" t="s">
        <v>2212</v>
      </c>
      <c r="B826" s="553">
        <v>44257</v>
      </c>
      <c r="C826" t="s">
        <v>1306</v>
      </c>
      <c r="D826" s="281">
        <v>1</v>
      </c>
      <c r="E826" t="s">
        <v>2017</v>
      </c>
      <c r="F826" t="s">
        <v>665</v>
      </c>
      <c r="G826" t="s">
        <v>1307</v>
      </c>
      <c r="H826" t="s">
        <v>1308</v>
      </c>
      <c r="I826">
        <v>5020000000</v>
      </c>
      <c r="J826" s="560">
        <v>2179.06</v>
      </c>
      <c r="K826" s="560">
        <f t="shared" si="25"/>
        <v>1</v>
      </c>
      <c r="L826" s="560">
        <f t="shared" si="26"/>
        <v>1</v>
      </c>
      <c r="M826" s="560" t="e">
        <f>SUMIFS('[1]MAIN-101'!$Z$1:$Z$3000,'[1]MAIN-101'!$X$1:$X$3000,S826)</f>
        <v>#VALUE!</v>
      </c>
      <c r="N826" s="560"/>
      <c r="O826" s="560"/>
      <c r="S826" t="str">
        <f>VLOOKUP(C826,'Recon of ORS and DV'!$A$4:$B$358,2,FALSE)</f>
        <v>0333</v>
      </c>
    </row>
    <row r="827" spans="1:19">
      <c r="A827" t="s">
        <v>2213</v>
      </c>
      <c r="B827" s="553">
        <v>44257</v>
      </c>
      <c r="C827" t="s">
        <v>1310</v>
      </c>
      <c r="D827" s="281">
        <v>3</v>
      </c>
      <c r="E827" t="s">
        <v>2032</v>
      </c>
      <c r="F827" t="s">
        <v>565</v>
      </c>
      <c r="G827" t="s">
        <v>1038</v>
      </c>
      <c r="H827" t="s">
        <v>1311</v>
      </c>
      <c r="I827">
        <v>5020000000</v>
      </c>
      <c r="J827" s="560">
        <v>3075</v>
      </c>
      <c r="K827" s="560">
        <f t="shared" si="25"/>
        <v>1</v>
      </c>
      <c r="L827" s="560">
        <f t="shared" si="26"/>
        <v>1</v>
      </c>
      <c r="M827" s="560" t="e">
        <f>SUMIFS('[1]MAIN-101'!$Z$1:$Z$3000,'[1]MAIN-101'!$X$1:$X$3000,S827)</f>
        <v>#VALUE!</v>
      </c>
      <c r="N827" s="560"/>
      <c r="O827" s="560"/>
      <c r="S827" t="str">
        <f>VLOOKUP(C827,'Recon of ORS and DV'!$A$4:$B$358,2,FALSE)</f>
        <v>0334</v>
      </c>
    </row>
    <row r="828" spans="1:19">
      <c r="A828" t="s">
        <v>2214</v>
      </c>
      <c r="B828" s="553">
        <v>44257</v>
      </c>
      <c r="C828" t="s">
        <v>1312</v>
      </c>
      <c r="D828" s="281">
        <v>3</v>
      </c>
      <c r="E828" t="s">
        <v>2002</v>
      </c>
      <c r="F828" t="s">
        <v>603</v>
      </c>
      <c r="G828" t="s">
        <v>1245</v>
      </c>
      <c r="H828" t="s">
        <v>1313</v>
      </c>
      <c r="I828">
        <v>5020000000</v>
      </c>
      <c r="J828" s="560">
        <v>3048</v>
      </c>
      <c r="K828" s="560">
        <f t="shared" si="25"/>
        <v>1</v>
      </c>
      <c r="L828" s="560">
        <f t="shared" si="26"/>
        <v>1</v>
      </c>
      <c r="M828" s="560" t="e">
        <f>SUMIFS('[1]MAIN-101'!$Z$1:$Z$3000,'[1]MAIN-101'!$X$1:$X$3000,S828)</f>
        <v>#VALUE!</v>
      </c>
      <c r="N828" s="560"/>
      <c r="O828" s="560"/>
      <c r="S828" t="str">
        <f>VLOOKUP(C828,'Recon of ORS and DV'!$A$4:$B$358,2,FALSE)</f>
        <v>0335</v>
      </c>
    </row>
    <row r="829" spans="1:19">
      <c r="B829" s="553">
        <v>44257</v>
      </c>
      <c r="C829" t="s">
        <v>1314</v>
      </c>
      <c r="D829" s="281">
        <v>1</v>
      </c>
      <c r="E829" t="s">
        <v>2040</v>
      </c>
      <c r="F829" t="s">
        <v>598</v>
      </c>
      <c r="G829" t="s">
        <v>1315</v>
      </c>
      <c r="H829" t="s">
        <v>1316</v>
      </c>
      <c r="I829">
        <v>5020000000</v>
      </c>
      <c r="J829" s="560">
        <v>0</v>
      </c>
      <c r="K829" s="560">
        <f t="shared" si="25"/>
        <v>2</v>
      </c>
      <c r="L829" s="560">
        <f t="shared" si="26"/>
        <v>2</v>
      </c>
    </row>
    <row r="830" spans="1:19">
      <c r="A830">
        <v>0</v>
      </c>
      <c r="B830" s="553">
        <v>44257</v>
      </c>
      <c r="C830" t="s">
        <v>1314</v>
      </c>
      <c r="D830" s="281">
        <v>8</v>
      </c>
      <c r="E830" t="s">
        <v>2040</v>
      </c>
      <c r="F830" t="s">
        <v>598</v>
      </c>
      <c r="G830" t="s">
        <v>1315</v>
      </c>
      <c r="H830" t="s">
        <v>1316</v>
      </c>
      <c r="I830">
        <v>5020000000</v>
      </c>
      <c r="J830" s="560">
        <v>0</v>
      </c>
      <c r="K830" s="560">
        <f t="shared" si="25"/>
        <v>2</v>
      </c>
      <c r="L830" s="560">
        <f t="shared" si="26"/>
        <v>1</v>
      </c>
      <c r="M830" s="560" t="e">
        <f>SUMIFS('[1]MAIN-101'!$Z$1:$Z$3000,'[1]MAIN-101'!$X$1:$X$3000,S830)</f>
        <v>#VALUE!</v>
      </c>
      <c r="N830" s="560"/>
      <c r="O830" s="560"/>
      <c r="S830">
        <f>VLOOKUP(C830,'Recon of ORS and DV'!$A$4:$B$358,2,FALSE)</f>
        <v>0</v>
      </c>
    </row>
    <row r="831" spans="1:19">
      <c r="A831" t="s">
        <v>2215</v>
      </c>
      <c r="B831" s="553">
        <v>44257</v>
      </c>
      <c r="C831" t="s">
        <v>1317</v>
      </c>
      <c r="D831" s="281">
        <v>1</v>
      </c>
      <c r="E831" t="s">
        <v>2003</v>
      </c>
      <c r="F831" t="s">
        <v>609</v>
      </c>
      <c r="G831" t="s">
        <v>794</v>
      </c>
      <c r="H831" t="s">
        <v>1318</v>
      </c>
      <c r="I831">
        <v>5020000000</v>
      </c>
      <c r="J831" s="560">
        <v>1080</v>
      </c>
      <c r="K831" s="560">
        <f t="shared" si="25"/>
        <v>1</v>
      </c>
      <c r="L831" s="560">
        <f t="shared" si="26"/>
        <v>1</v>
      </c>
      <c r="M831" s="560" t="e">
        <f>SUMIFS('[1]MAIN-101'!$Z$1:$Z$3000,'[1]MAIN-101'!$X$1:$X$3000,S831)</f>
        <v>#VALUE!</v>
      </c>
      <c r="N831" s="560"/>
      <c r="O831" s="560"/>
      <c r="S831" t="str">
        <f>VLOOKUP(C831,'Recon of ORS and DV'!$A$4:$B$358,2,FALSE)</f>
        <v>0336</v>
      </c>
    </row>
    <row r="832" spans="1:19">
      <c r="A832" t="s">
        <v>2216</v>
      </c>
      <c r="B832" s="553">
        <v>44257</v>
      </c>
      <c r="C832" t="s">
        <v>1319</v>
      </c>
      <c r="D832" s="281">
        <v>1</v>
      </c>
      <c r="E832" t="s">
        <v>2000</v>
      </c>
      <c r="F832" t="s">
        <v>683</v>
      </c>
      <c r="G832" t="s">
        <v>852</v>
      </c>
      <c r="H832" t="s">
        <v>1320</v>
      </c>
      <c r="I832">
        <v>5020000000</v>
      </c>
      <c r="J832" s="560">
        <v>8800</v>
      </c>
      <c r="K832" s="560">
        <f t="shared" si="25"/>
        <v>1</v>
      </c>
      <c r="L832" s="560">
        <f t="shared" si="26"/>
        <v>1</v>
      </c>
      <c r="M832" s="560" t="e">
        <f>SUMIFS('[1]MAIN-101'!$Z$1:$Z$3000,'[1]MAIN-101'!$X$1:$X$3000,S832)</f>
        <v>#VALUE!</v>
      </c>
      <c r="N832" s="560"/>
      <c r="O832" s="560"/>
      <c r="S832" t="str">
        <f>VLOOKUP(C832,'Recon of ORS and DV'!$A$4:$B$358,2,FALSE)</f>
        <v>0337</v>
      </c>
    </row>
    <row r="833" spans="1:19">
      <c r="B833" s="553">
        <v>44257</v>
      </c>
      <c r="C833" t="s">
        <v>1321</v>
      </c>
      <c r="D833" s="281">
        <v>1</v>
      </c>
      <c r="E833" t="s">
        <v>2024</v>
      </c>
      <c r="F833" t="s">
        <v>505</v>
      </c>
      <c r="G833" t="s">
        <v>1030</v>
      </c>
      <c r="H833" t="s">
        <v>1031</v>
      </c>
      <c r="I833">
        <v>5010000000</v>
      </c>
      <c r="J833" s="560">
        <v>15000</v>
      </c>
      <c r="K833" s="560">
        <f t="shared" si="25"/>
        <v>2</v>
      </c>
      <c r="L833" s="560">
        <f t="shared" si="26"/>
        <v>2</v>
      </c>
    </row>
    <row r="834" spans="1:19">
      <c r="A834" t="s">
        <v>2217</v>
      </c>
      <c r="B834" s="553">
        <v>44257</v>
      </c>
      <c r="C834" t="s">
        <v>1321</v>
      </c>
      <c r="D834" s="281">
        <v>1</v>
      </c>
      <c r="E834" t="s">
        <v>2025</v>
      </c>
      <c r="F834" t="s">
        <v>506</v>
      </c>
      <c r="G834" t="s">
        <v>1030</v>
      </c>
      <c r="H834" t="s">
        <v>1031</v>
      </c>
      <c r="I834">
        <v>5010000000</v>
      </c>
      <c r="J834" s="560">
        <v>14318.18</v>
      </c>
      <c r="K834" s="560">
        <f t="shared" si="25"/>
        <v>2</v>
      </c>
      <c r="L834" s="560">
        <f t="shared" si="26"/>
        <v>1</v>
      </c>
      <c r="M834" s="560" t="e">
        <f>SUMIFS('[1]MAIN-101'!$Z$1:$Z$3000,'[1]MAIN-101'!$X$1:$X$3000,S834)</f>
        <v>#VALUE!</v>
      </c>
      <c r="N834" s="560"/>
      <c r="O834" s="560"/>
      <c r="S834" t="str">
        <f>VLOOKUP(C834,'Recon of ORS and DV'!$A$4:$B$358,2,FALSE)</f>
        <v>0338</v>
      </c>
    </row>
    <row r="835" spans="1:19">
      <c r="A835" t="s">
        <v>2218</v>
      </c>
      <c r="B835" s="553">
        <v>44257</v>
      </c>
      <c r="C835" t="s">
        <v>1322</v>
      </c>
      <c r="D835" s="281">
        <v>1</v>
      </c>
      <c r="E835" t="s">
        <v>2032</v>
      </c>
      <c r="F835" t="s">
        <v>565</v>
      </c>
      <c r="G835" t="s">
        <v>1323</v>
      </c>
      <c r="H835" t="s">
        <v>1207</v>
      </c>
      <c r="I835">
        <v>5020000000</v>
      </c>
      <c r="J835" s="560">
        <v>9565</v>
      </c>
      <c r="K835" s="560">
        <f t="shared" si="25"/>
        <v>1</v>
      </c>
      <c r="L835" s="560">
        <f t="shared" si="26"/>
        <v>1</v>
      </c>
      <c r="M835" s="560" t="e">
        <f>SUMIFS('[1]MAIN-101'!$Z$1:$Z$3000,'[1]MAIN-101'!$X$1:$X$3000,S835)</f>
        <v>#VALUE!</v>
      </c>
      <c r="N835" s="560"/>
      <c r="O835" s="560"/>
      <c r="S835" t="str">
        <f>VLOOKUP(C835,'Recon of ORS and DV'!$A$4:$B$358,2,FALSE)</f>
        <v>0339</v>
      </c>
    </row>
    <row r="836" spans="1:19">
      <c r="A836" t="s">
        <v>2219</v>
      </c>
      <c r="B836" s="553">
        <v>44257</v>
      </c>
      <c r="C836" t="s">
        <v>1324</v>
      </c>
      <c r="D836" s="281">
        <v>1</v>
      </c>
      <c r="E836" t="s">
        <v>2032</v>
      </c>
      <c r="F836" t="s">
        <v>565</v>
      </c>
      <c r="G836" t="s">
        <v>1325</v>
      </c>
      <c r="H836" t="s">
        <v>1207</v>
      </c>
      <c r="I836">
        <v>5020000000</v>
      </c>
      <c r="J836" s="560">
        <v>1560</v>
      </c>
      <c r="K836" s="560">
        <f t="shared" ref="K836:K899" si="27">COUNTIFS($C$3:$C$1556,C836)</f>
        <v>1</v>
      </c>
      <c r="L836" s="560">
        <f t="shared" si="26"/>
        <v>1</v>
      </c>
      <c r="M836" s="560" t="e">
        <f>SUMIFS('[1]MAIN-101'!$Z$1:$Z$3000,'[1]MAIN-101'!$X$1:$X$3000,S836)</f>
        <v>#VALUE!</v>
      </c>
      <c r="N836" s="560"/>
      <c r="O836" s="560"/>
      <c r="S836" t="str">
        <f>VLOOKUP(C836,'Recon of ORS and DV'!$A$4:$B$358,2,FALSE)</f>
        <v>0340</v>
      </c>
    </row>
    <row r="837" spans="1:19">
      <c r="A837" t="s">
        <v>2220</v>
      </c>
      <c r="B837" s="553">
        <v>44257</v>
      </c>
      <c r="C837" t="s">
        <v>1326</v>
      </c>
      <c r="D837" s="281">
        <v>1</v>
      </c>
      <c r="E837" t="s">
        <v>2032</v>
      </c>
      <c r="F837" t="s">
        <v>565</v>
      </c>
      <c r="G837" t="s">
        <v>1327</v>
      </c>
      <c r="H837" t="s">
        <v>1207</v>
      </c>
      <c r="I837">
        <v>5020000000</v>
      </c>
      <c r="J837" s="560">
        <v>17820</v>
      </c>
      <c r="K837" s="560">
        <f t="shared" si="27"/>
        <v>1</v>
      </c>
      <c r="L837" s="560">
        <f t="shared" si="26"/>
        <v>1</v>
      </c>
      <c r="M837" s="560" t="e">
        <f>SUMIFS('[1]MAIN-101'!$Z$1:$Z$3000,'[1]MAIN-101'!$X$1:$X$3000,S837)</f>
        <v>#VALUE!</v>
      </c>
      <c r="N837" s="560"/>
      <c r="O837" s="560"/>
      <c r="S837" t="str">
        <f>VLOOKUP(C837,'Recon of ORS and DV'!$A$4:$B$358,2,FALSE)</f>
        <v>0341</v>
      </c>
    </row>
    <row r="838" spans="1:19">
      <c r="A838" t="s">
        <v>2221</v>
      </c>
      <c r="B838" s="553">
        <v>44257</v>
      </c>
      <c r="C838" t="s">
        <v>1328</v>
      </c>
      <c r="D838" s="281">
        <v>8</v>
      </c>
      <c r="E838" t="s">
        <v>2020</v>
      </c>
      <c r="F838" t="s">
        <v>607</v>
      </c>
      <c r="G838" t="s">
        <v>1329</v>
      </c>
      <c r="H838" t="s">
        <v>1330</v>
      </c>
      <c r="I838">
        <v>5020000000</v>
      </c>
      <c r="J838" s="560">
        <v>11547.23</v>
      </c>
      <c r="K838" s="560">
        <f t="shared" si="27"/>
        <v>1</v>
      </c>
      <c r="L838" s="560">
        <f t="shared" si="26"/>
        <v>1</v>
      </c>
      <c r="M838" s="560" t="e">
        <f>SUMIFS('[1]MAIN-101'!$Z$1:$Z$3000,'[1]MAIN-101'!$X$1:$X$3000,S838)</f>
        <v>#VALUE!</v>
      </c>
      <c r="N838" s="560"/>
      <c r="O838" s="560"/>
      <c r="S838" t="str">
        <f>VLOOKUP(C838,'Recon of ORS and DV'!$A$4:$B$358,2,FALSE)</f>
        <v>0342</v>
      </c>
    </row>
    <row r="839" spans="1:19">
      <c r="A839" t="s">
        <v>2222</v>
      </c>
      <c r="B839" s="553">
        <v>44257</v>
      </c>
      <c r="C839" t="s">
        <v>1331</v>
      </c>
      <c r="D839" s="281">
        <v>1</v>
      </c>
      <c r="E839" t="s">
        <v>2032</v>
      </c>
      <c r="F839" t="s">
        <v>565</v>
      </c>
      <c r="G839" t="s">
        <v>859</v>
      </c>
      <c r="H839" t="s">
        <v>1332</v>
      </c>
      <c r="I839">
        <v>5020000000</v>
      </c>
      <c r="J839" s="560">
        <v>1840</v>
      </c>
      <c r="K839" s="560">
        <f t="shared" si="27"/>
        <v>1</v>
      </c>
      <c r="L839" s="560">
        <f t="shared" si="26"/>
        <v>1</v>
      </c>
      <c r="M839" s="560" t="e">
        <f>SUMIFS('[1]MAIN-101'!$Z$1:$Z$3000,'[1]MAIN-101'!$X$1:$X$3000,S839)</f>
        <v>#VALUE!</v>
      </c>
      <c r="N839" s="560"/>
      <c r="O839" s="560"/>
      <c r="S839" t="str">
        <f>VLOOKUP(C839,'Recon of ORS and DV'!$A$4:$B$358,2,FALSE)</f>
        <v>0344</v>
      </c>
    </row>
    <row r="840" spans="1:19">
      <c r="A840" t="s">
        <v>2223</v>
      </c>
      <c r="B840" s="553">
        <v>44257</v>
      </c>
      <c r="C840" t="s">
        <v>1333</v>
      </c>
      <c r="D840" s="281">
        <v>4</v>
      </c>
      <c r="E840" t="s">
        <v>2016</v>
      </c>
      <c r="F840" t="s">
        <v>319</v>
      </c>
      <c r="G840" t="s">
        <v>1334</v>
      </c>
      <c r="H840" t="s">
        <v>1335</v>
      </c>
      <c r="I840">
        <v>5020000000</v>
      </c>
      <c r="J840" s="560">
        <v>17500</v>
      </c>
      <c r="K840" s="560">
        <f t="shared" si="27"/>
        <v>1</v>
      </c>
      <c r="L840" s="560">
        <f t="shared" si="26"/>
        <v>1</v>
      </c>
      <c r="M840" s="560" t="e">
        <f>SUMIFS('[1]MAIN-101'!$Z$1:$Z$3000,'[1]MAIN-101'!$X$1:$X$3000,S840)</f>
        <v>#VALUE!</v>
      </c>
      <c r="N840" s="560"/>
      <c r="O840" s="560"/>
      <c r="S840" t="str">
        <f>VLOOKUP(C840,'Recon of ORS and DV'!$A$4:$B$358,2,FALSE)</f>
        <v>0345</v>
      </c>
    </row>
    <row r="841" spans="1:19">
      <c r="A841" t="s">
        <v>2224</v>
      </c>
      <c r="B841" s="553">
        <v>44257</v>
      </c>
      <c r="C841" t="s">
        <v>1336</v>
      </c>
      <c r="D841" s="281">
        <v>9</v>
      </c>
      <c r="E841" t="s">
        <v>2037</v>
      </c>
      <c r="F841" t="s">
        <v>555</v>
      </c>
      <c r="G841" t="s">
        <v>1337</v>
      </c>
      <c r="H841" t="s">
        <v>1276</v>
      </c>
      <c r="I841">
        <v>5020000000</v>
      </c>
      <c r="J841" s="560">
        <v>1800</v>
      </c>
      <c r="K841" s="560">
        <f t="shared" si="27"/>
        <v>1</v>
      </c>
      <c r="L841" s="560">
        <f t="shared" si="26"/>
        <v>1</v>
      </c>
      <c r="M841" s="560" t="e">
        <f>SUMIFS('[1]MAIN-101'!$Z$1:$Z$3000,'[1]MAIN-101'!$X$1:$X$3000,S841)</f>
        <v>#VALUE!</v>
      </c>
      <c r="N841" s="560"/>
      <c r="O841" s="560"/>
      <c r="S841" t="str">
        <f>VLOOKUP(C841,'Recon of ORS and DV'!$A$4:$B$358,2,FALSE)</f>
        <v>0346</v>
      </c>
    </row>
    <row r="842" spans="1:19">
      <c r="A842" t="s">
        <v>2225</v>
      </c>
      <c r="B842" s="553">
        <v>44257</v>
      </c>
      <c r="C842" t="s">
        <v>1338</v>
      </c>
      <c r="D842" s="281">
        <v>4</v>
      </c>
      <c r="E842" t="s">
        <v>1997</v>
      </c>
      <c r="F842" t="s">
        <v>642</v>
      </c>
      <c r="G842" t="s">
        <v>1339</v>
      </c>
      <c r="H842" t="s">
        <v>1340</v>
      </c>
      <c r="I842">
        <v>5020000000</v>
      </c>
      <c r="J842" s="560">
        <v>20626.73</v>
      </c>
      <c r="K842" s="560">
        <f t="shared" si="27"/>
        <v>1</v>
      </c>
      <c r="L842" s="560">
        <f t="shared" si="26"/>
        <v>1</v>
      </c>
      <c r="M842" s="560" t="e">
        <f>SUMIFS('[1]MAIN-101'!$Z$1:$Z$3000,'[1]MAIN-101'!$X$1:$X$3000,S842)</f>
        <v>#VALUE!</v>
      </c>
      <c r="N842" s="560"/>
      <c r="O842" s="560"/>
      <c r="S842" t="str">
        <f>VLOOKUP(C842,'Recon of ORS and DV'!$A$4:$B$358,2,FALSE)</f>
        <v>0347</v>
      </c>
    </row>
    <row r="843" spans="1:19">
      <c r="A843" t="s">
        <v>2226</v>
      </c>
      <c r="B843" s="553">
        <v>44257</v>
      </c>
      <c r="C843" t="s">
        <v>1341</v>
      </c>
      <c r="D843" s="281">
        <v>14</v>
      </c>
      <c r="E843" t="s">
        <v>1998</v>
      </c>
      <c r="F843" t="s">
        <v>633</v>
      </c>
      <c r="G843" t="s">
        <v>1342</v>
      </c>
      <c r="H843" t="s">
        <v>1301</v>
      </c>
      <c r="I843">
        <v>5021199000</v>
      </c>
      <c r="J843" s="560">
        <v>16308.47</v>
      </c>
      <c r="K843" s="560">
        <f t="shared" si="27"/>
        <v>1</v>
      </c>
      <c r="L843" s="560">
        <f t="shared" si="26"/>
        <v>1</v>
      </c>
      <c r="M843" s="560" t="e">
        <f>SUMIFS('[1]MAIN-101'!$Z$1:$Z$3000,'[1]MAIN-101'!$X$1:$X$3000,S843)</f>
        <v>#VALUE!</v>
      </c>
      <c r="N843" s="560"/>
      <c r="O843" s="560"/>
      <c r="S843" t="str">
        <f>VLOOKUP(C843,'Recon of ORS and DV'!$A$4:$B$358,2,FALSE)</f>
        <v>0348</v>
      </c>
    </row>
    <row r="844" spans="1:19">
      <c r="A844" t="s">
        <v>2227</v>
      </c>
      <c r="B844" s="553">
        <v>44257</v>
      </c>
      <c r="C844" t="s">
        <v>1343</v>
      </c>
      <c r="D844" s="281">
        <v>1</v>
      </c>
      <c r="E844" t="s">
        <v>2039</v>
      </c>
      <c r="F844" t="s">
        <v>560</v>
      </c>
      <c r="G844" t="s">
        <v>1344</v>
      </c>
      <c r="H844" t="s">
        <v>1345</v>
      </c>
      <c r="I844">
        <v>5020000000</v>
      </c>
      <c r="J844" s="560">
        <v>7200</v>
      </c>
      <c r="K844" s="560">
        <f t="shared" si="27"/>
        <v>1</v>
      </c>
      <c r="L844" s="560">
        <f t="shared" si="26"/>
        <v>1</v>
      </c>
      <c r="M844" s="560" t="e">
        <f>SUMIFS('[1]MAIN-101'!$Z$1:$Z$3000,'[1]MAIN-101'!$X$1:$X$3000,S844)</f>
        <v>#VALUE!</v>
      </c>
      <c r="N844" s="560"/>
      <c r="O844" s="560"/>
      <c r="S844" t="str">
        <f>VLOOKUP(C844,'Recon of ORS and DV'!$A$4:$B$358,2,FALSE)</f>
        <v>0349</v>
      </c>
    </row>
    <row r="845" spans="1:19">
      <c r="A845" t="s">
        <v>2228</v>
      </c>
      <c r="B845" s="553">
        <v>44263</v>
      </c>
      <c r="C845" t="s">
        <v>1364</v>
      </c>
      <c r="D845" s="281">
        <v>7</v>
      </c>
      <c r="E845" t="s">
        <v>2005</v>
      </c>
      <c r="F845" t="s">
        <v>678</v>
      </c>
      <c r="G845" t="s">
        <v>1108</v>
      </c>
      <c r="H845" t="s">
        <v>1346</v>
      </c>
      <c r="I845">
        <v>5020000000</v>
      </c>
      <c r="J845" s="560">
        <v>12900</v>
      </c>
      <c r="K845" s="560">
        <f t="shared" si="27"/>
        <v>1</v>
      </c>
      <c r="L845" s="560">
        <f t="shared" si="26"/>
        <v>1</v>
      </c>
      <c r="M845" s="560" t="e">
        <f>SUMIFS('[1]MAIN-101'!$Z$1:$Z$3000,'[1]MAIN-101'!$X$1:$X$3000,S845)</f>
        <v>#VALUE!</v>
      </c>
      <c r="N845" s="560"/>
      <c r="O845" s="560"/>
      <c r="S845" t="str">
        <f>VLOOKUP(C845,'Recon of ORS and DV'!$A$4:$B$358,2,FALSE)</f>
        <v>0350</v>
      </c>
    </row>
    <row r="846" spans="1:19">
      <c r="A846" t="s">
        <v>2229</v>
      </c>
      <c r="B846" s="553">
        <v>44263</v>
      </c>
      <c r="C846" t="s">
        <v>1365</v>
      </c>
      <c r="D846" s="281">
        <v>1</v>
      </c>
      <c r="E846" t="s">
        <v>2005</v>
      </c>
      <c r="F846" t="s">
        <v>678</v>
      </c>
      <c r="G846" t="s">
        <v>1108</v>
      </c>
      <c r="H846" t="s">
        <v>1347</v>
      </c>
      <c r="I846">
        <v>5020000000</v>
      </c>
      <c r="J846" s="560">
        <v>4950</v>
      </c>
      <c r="K846" s="560">
        <f t="shared" si="27"/>
        <v>1</v>
      </c>
      <c r="L846" s="560">
        <f t="shared" si="26"/>
        <v>1</v>
      </c>
      <c r="M846" s="560" t="e">
        <f>SUMIFS('[1]MAIN-101'!$Z$1:$Z$3000,'[1]MAIN-101'!$X$1:$X$3000,S846)</f>
        <v>#VALUE!</v>
      </c>
      <c r="N846" s="560"/>
      <c r="O846" s="560"/>
      <c r="S846" t="str">
        <f>VLOOKUP(C846,'Recon of ORS and DV'!$A$4:$B$358,2,FALSE)</f>
        <v>0351</v>
      </c>
    </row>
    <row r="847" spans="1:19">
      <c r="A847" t="s">
        <v>2230</v>
      </c>
      <c r="B847" s="553">
        <v>44263</v>
      </c>
      <c r="C847" t="s">
        <v>1367</v>
      </c>
      <c r="D847" s="281">
        <v>3</v>
      </c>
      <c r="E847" t="s">
        <v>2032</v>
      </c>
      <c r="F847" t="s">
        <v>565</v>
      </c>
      <c r="G847" t="s">
        <v>1327</v>
      </c>
      <c r="H847" t="s">
        <v>1037</v>
      </c>
      <c r="I847">
        <v>5020000000</v>
      </c>
      <c r="J847" s="560">
        <v>7830</v>
      </c>
      <c r="K847" s="560">
        <f t="shared" si="27"/>
        <v>1</v>
      </c>
      <c r="L847" s="560">
        <f t="shared" ref="L847:L910" si="28">COUNTIFS(C847:C2400,C847)</f>
        <v>1</v>
      </c>
      <c r="M847" s="560" t="e">
        <f>SUMIFS('[1]MAIN-101'!$Z$1:$Z$3000,'[1]MAIN-101'!$X$1:$X$3000,S847)</f>
        <v>#VALUE!</v>
      </c>
      <c r="N847" s="560"/>
      <c r="O847" s="560"/>
      <c r="S847" t="str">
        <f>VLOOKUP(C847,'Recon of ORS and DV'!$A$4:$B$358,2,FALSE)</f>
        <v>0352</v>
      </c>
    </row>
    <row r="848" spans="1:19">
      <c r="A848" t="s">
        <v>2231</v>
      </c>
      <c r="B848" s="553">
        <v>44263</v>
      </c>
      <c r="C848" t="s">
        <v>1368</v>
      </c>
      <c r="D848" s="281">
        <v>1</v>
      </c>
      <c r="E848" t="s">
        <v>2032</v>
      </c>
      <c r="F848" t="s">
        <v>565</v>
      </c>
      <c r="G848" t="s">
        <v>1214</v>
      </c>
      <c r="H848" t="s">
        <v>1348</v>
      </c>
      <c r="I848">
        <v>5020000000</v>
      </c>
      <c r="J848" s="560">
        <v>27000</v>
      </c>
      <c r="K848" s="560">
        <f t="shared" si="27"/>
        <v>1</v>
      </c>
      <c r="L848" s="560">
        <f t="shared" si="28"/>
        <v>1</v>
      </c>
      <c r="M848" s="560" t="e">
        <f>SUMIFS('[1]MAIN-101'!$Z$1:$Z$3000,'[1]MAIN-101'!$X$1:$X$3000,S848)</f>
        <v>#VALUE!</v>
      </c>
      <c r="N848" s="560"/>
      <c r="O848" s="560"/>
      <c r="S848" t="str">
        <f>VLOOKUP(C848,'Recon of ORS and DV'!$A$4:$B$358,2,FALSE)</f>
        <v>0353</v>
      </c>
    </row>
    <row r="849" spans="1:19">
      <c r="A849" t="s">
        <v>2232</v>
      </c>
      <c r="B849" s="553">
        <v>44263</v>
      </c>
      <c r="C849" t="s">
        <v>1370</v>
      </c>
      <c r="D849" s="281">
        <v>3</v>
      </c>
      <c r="E849" t="s">
        <v>2032</v>
      </c>
      <c r="F849" t="s">
        <v>565</v>
      </c>
      <c r="G849" t="s">
        <v>1349</v>
      </c>
      <c r="H849" t="s">
        <v>1350</v>
      </c>
      <c r="I849">
        <v>5020000000</v>
      </c>
      <c r="J849" s="560">
        <v>3400</v>
      </c>
      <c r="K849" s="560">
        <f t="shared" si="27"/>
        <v>1</v>
      </c>
      <c r="L849" s="560">
        <f t="shared" si="28"/>
        <v>1</v>
      </c>
      <c r="M849" s="560" t="e">
        <f>SUMIFS('[1]MAIN-101'!$Z$1:$Z$3000,'[1]MAIN-101'!$X$1:$X$3000,S849)</f>
        <v>#VALUE!</v>
      </c>
      <c r="N849" s="560"/>
      <c r="O849" s="560"/>
      <c r="S849" t="str">
        <f>VLOOKUP(C849,'Recon of ORS and DV'!$A$4:$B$358,2,FALSE)</f>
        <v>0355</v>
      </c>
    </row>
    <row r="850" spans="1:19">
      <c r="A850" t="s">
        <v>2233</v>
      </c>
      <c r="B850" s="553">
        <v>44263</v>
      </c>
      <c r="C850" t="s">
        <v>1371</v>
      </c>
      <c r="D850" s="281">
        <v>3</v>
      </c>
      <c r="E850" t="s">
        <v>2005</v>
      </c>
      <c r="F850" t="s">
        <v>678</v>
      </c>
      <c r="G850" t="s">
        <v>1038</v>
      </c>
      <c r="H850" t="s">
        <v>1351</v>
      </c>
      <c r="I850">
        <v>5020000000</v>
      </c>
      <c r="J850" s="560">
        <v>1800</v>
      </c>
      <c r="K850" s="560">
        <f t="shared" si="27"/>
        <v>1</v>
      </c>
      <c r="L850" s="560">
        <f t="shared" si="28"/>
        <v>1</v>
      </c>
      <c r="M850" s="560" t="e">
        <f>SUMIFS('[1]MAIN-101'!$Z$1:$Z$3000,'[1]MAIN-101'!$X$1:$X$3000,S850)</f>
        <v>#VALUE!</v>
      </c>
      <c r="N850" s="560"/>
      <c r="O850" s="560"/>
      <c r="S850" t="str">
        <f>VLOOKUP(C850,'Recon of ORS and DV'!$A$4:$B$358,2,FALSE)</f>
        <v>0380</v>
      </c>
    </row>
    <row r="851" spans="1:19">
      <c r="A851" t="s">
        <v>2234</v>
      </c>
      <c r="B851" s="553">
        <v>44263</v>
      </c>
      <c r="C851" t="s">
        <v>1372</v>
      </c>
      <c r="D851" s="281">
        <v>4</v>
      </c>
      <c r="E851" t="s">
        <v>2032</v>
      </c>
      <c r="F851" t="s">
        <v>565</v>
      </c>
      <c r="G851" t="s">
        <v>1352</v>
      </c>
      <c r="H851" t="s">
        <v>1353</v>
      </c>
      <c r="I851">
        <v>5020000000</v>
      </c>
      <c r="J851" s="560">
        <v>39600</v>
      </c>
      <c r="K851" s="560">
        <f t="shared" si="27"/>
        <v>1</v>
      </c>
      <c r="L851" s="560">
        <f t="shared" si="28"/>
        <v>1</v>
      </c>
      <c r="M851" s="560" t="e">
        <f>SUMIFS('[1]MAIN-101'!$Z$1:$Z$3000,'[1]MAIN-101'!$X$1:$X$3000,S851)</f>
        <v>#VALUE!</v>
      </c>
      <c r="N851" s="560"/>
      <c r="O851" s="560"/>
      <c r="S851" t="str">
        <f>VLOOKUP(C851,'Recon of ORS and DV'!$A$4:$B$358,2,FALSE)</f>
        <v>0379</v>
      </c>
    </row>
    <row r="852" spans="1:19">
      <c r="A852" t="s">
        <v>2235</v>
      </c>
      <c r="B852" s="553">
        <v>44263</v>
      </c>
      <c r="C852" t="s">
        <v>1373</v>
      </c>
      <c r="D852" s="281">
        <v>1</v>
      </c>
      <c r="E852" t="s">
        <v>2032</v>
      </c>
      <c r="F852" t="s">
        <v>565</v>
      </c>
      <c r="G852" t="s">
        <v>1354</v>
      </c>
      <c r="H852" t="s">
        <v>1355</v>
      </c>
      <c r="I852">
        <v>5020000000</v>
      </c>
      <c r="J852" s="560">
        <v>5600</v>
      </c>
      <c r="K852" s="560">
        <f t="shared" si="27"/>
        <v>1</v>
      </c>
      <c r="L852" s="560">
        <f t="shared" si="28"/>
        <v>1</v>
      </c>
      <c r="M852" s="560" t="e">
        <f>SUMIFS('[1]MAIN-101'!$Z$1:$Z$3000,'[1]MAIN-101'!$X$1:$X$3000,S852)</f>
        <v>#VALUE!</v>
      </c>
      <c r="N852" s="560"/>
      <c r="O852" s="560"/>
      <c r="S852" t="str">
        <f>VLOOKUP(C852,'Recon of ORS and DV'!$A$4:$B$358,2,FALSE)</f>
        <v>0357</v>
      </c>
    </row>
    <row r="853" spans="1:19">
      <c r="A853" t="s">
        <v>2236</v>
      </c>
      <c r="B853" s="553">
        <v>44263</v>
      </c>
      <c r="C853" t="s">
        <v>1374</v>
      </c>
      <c r="D853" s="281">
        <v>1</v>
      </c>
      <c r="E853" t="s">
        <v>2002</v>
      </c>
      <c r="F853" t="s">
        <v>603</v>
      </c>
      <c r="G853" t="s">
        <v>1245</v>
      </c>
      <c r="H853" t="s">
        <v>1356</v>
      </c>
      <c r="I853">
        <v>5020000000</v>
      </c>
      <c r="J853" s="560">
        <v>4032</v>
      </c>
      <c r="K853" s="560">
        <f t="shared" si="27"/>
        <v>1</v>
      </c>
      <c r="L853" s="560">
        <f t="shared" si="28"/>
        <v>1</v>
      </c>
      <c r="M853" s="560" t="e">
        <f>SUMIFS('[1]MAIN-101'!$Z$1:$Z$3000,'[1]MAIN-101'!$X$1:$X$3000,S853)</f>
        <v>#VALUE!</v>
      </c>
      <c r="N853" s="560"/>
      <c r="O853" s="560"/>
      <c r="S853" t="str">
        <f>VLOOKUP(C853,'Recon of ORS and DV'!$A$4:$B$358,2,FALSE)</f>
        <v>0292</v>
      </c>
    </row>
    <row r="854" spans="1:19">
      <c r="B854" s="553">
        <v>44263</v>
      </c>
      <c r="C854" t="s">
        <v>1375</v>
      </c>
      <c r="D854" s="281">
        <v>1</v>
      </c>
      <c r="E854" t="s">
        <v>2034</v>
      </c>
      <c r="F854" t="s">
        <v>581</v>
      </c>
      <c r="G854" t="s">
        <v>810</v>
      </c>
      <c r="H854" t="s">
        <v>1357</v>
      </c>
      <c r="I854">
        <v>5020000000</v>
      </c>
      <c r="J854" s="560">
        <v>15526.48</v>
      </c>
      <c r="K854" s="560">
        <f t="shared" si="27"/>
        <v>4</v>
      </c>
      <c r="L854" s="560">
        <f t="shared" si="28"/>
        <v>4</v>
      </c>
    </row>
    <row r="855" spans="1:19">
      <c r="B855" s="553">
        <v>44263</v>
      </c>
      <c r="C855" t="s">
        <v>1375</v>
      </c>
      <c r="D855" s="281">
        <v>4</v>
      </c>
      <c r="E855" t="s">
        <v>2034</v>
      </c>
      <c r="F855" t="s">
        <v>581</v>
      </c>
      <c r="G855" t="s">
        <v>810</v>
      </c>
      <c r="H855" t="s">
        <v>1357</v>
      </c>
      <c r="I855">
        <v>5020000000</v>
      </c>
      <c r="J855" s="560">
        <v>5475.35</v>
      </c>
      <c r="K855" s="560">
        <f t="shared" si="27"/>
        <v>4</v>
      </c>
      <c r="L855" s="560">
        <f t="shared" si="28"/>
        <v>3</v>
      </c>
    </row>
    <row r="856" spans="1:19">
      <c r="B856" s="553">
        <v>44263</v>
      </c>
      <c r="C856" t="s">
        <v>1375</v>
      </c>
      <c r="D856" s="281">
        <v>3</v>
      </c>
      <c r="E856" t="s">
        <v>2034</v>
      </c>
      <c r="F856" t="s">
        <v>581</v>
      </c>
      <c r="G856" t="s">
        <v>810</v>
      </c>
      <c r="H856" t="s">
        <v>1357</v>
      </c>
      <c r="I856">
        <v>5020000000</v>
      </c>
      <c r="J856" s="560">
        <v>1369.22</v>
      </c>
      <c r="K856" s="560">
        <f t="shared" si="27"/>
        <v>4</v>
      </c>
      <c r="L856" s="560">
        <f t="shared" si="28"/>
        <v>2</v>
      </c>
    </row>
    <row r="857" spans="1:19">
      <c r="A857" t="s">
        <v>2237</v>
      </c>
      <c r="B857" s="553">
        <v>44263</v>
      </c>
      <c r="C857" t="s">
        <v>1375</v>
      </c>
      <c r="D857" s="281">
        <v>7</v>
      </c>
      <c r="E857" t="s">
        <v>2034</v>
      </c>
      <c r="F857" t="s">
        <v>581</v>
      </c>
      <c r="G857" t="s">
        <v>810</v>
      </c>
      <c r="H857" t="s">
        <v>1357</v>
      </c>
      <c r="I857">
        <v>5020000000</v>
      </c>
      <c r="J857" s="560">
        <v>511.18</v>
      </c>
      <c r="K857" s="560">
        <f t="shared" si="27"/>
        <v>4</v>
      </c>
      <c r="L857" s="560">
        <f t="shared" si="28"/>
        <v>1</v>
      </c>
      <c r="M857" s="560" t="e">
        <f>SUMIFS('[1]MAIN-101'!$Z$1:$Z$3000,'[1]MAIN-101'!$X$1:$X$3000,S857)</f>
        <v>#VALUE!</v>
      </c>
      <c r="N857" s="560"/>
      <c r="O857" s="560"/>
      <c r="S857" t="str">
        <f>VLOOKUP(C857,'Recon of ORS and DV'!$A$4:$B$358,2,FALSE)</f>
        <v>0358</v>
      </c>
    </row>
    <row r="858" spans="1:19">
      <c r="A858" t="s">
        <v>2238</v>
      </c>
      <c r="B858" s="553">
        <v>44263</v>
      </c>
      <c r="C858" t="s">
        <v>1376</v>
      </c>
      <c r="D858" s="281">
        <v>1</v>
      </c>
      <c r="E858" t="s">
        <v>2035</v>
      </c>
      <c r="F858" t="s">
        <v>596</v>
      </c>
      <c r="G858" t="s">
        <v>836</v>
      </c>
      <c r="H858" t="s">
        <v>1358</v>
      </c>
      <c r="I858">
        <v>5020000000</v>
      </c>
      <c r="J858" s="560">
        <v>2275</v>
      </c>
      <c r="K858" s="560">
        <f t="shared" si="27"/>
        <v>1</v>
      </c>
      <c r="L858" s="560">
        <f t="shared" si="28"/>
        <v>1</v>
      </c>
      <c r="M858" s="560" t="e">
        <f>SUMIFS('[1]MAIN-101'!$Z$1:$Z$3000,'[1]MAIN-101'!$X$1:$X$3000,S858)</f>
        <v>#VALUE!</v>
      </c>
      <c r="N858" s="560"/>
      <c r="O858" s="560"/>
      <c r="S858" t="str">
        <f>VLOOKUP(C858,'Recon of ORS and DV'!$A$4:$B$358,2,FALSE)</f>
        <v>0359</v>
      </c>
    </row>
    <row r="859" spans="1:19">
      <c r="A859" t="s">
        <v>2239</v>
      </c>
      <c r="B859" s="553">
        <v>44263</v>
      </c>
      <c r="C859" t="s">
        <v>1377</v>
      </c>
      <c r="D859" s="281">
        <v>1</v>
      </c>
      <c r="E859" t="s">
        <v>2041</v>
      </c>
      <c r="F859" t="s">
        <v>601</v>
      </c>
      <c r="G859" t="s">
        <v>1359</v>
      </c>
      <c r="H859" t="s">
        <v>1360</v>
      </c>
      <c r="I859">
        <v>5020000000</v>
      </c>
      <c r="J859" s="560">
        <v>6323</v>
      </c>
      <c r="K859" s="560">
        <f t="shared" si="27"/>
        <v>1</v>
      </c>
      <c r="L859" s="560">
        <f t="shared" si="28"/>
        <v>1</v>
      </c>
      <c r="M859" s="560" t="e">
        <f>SUMIFS('[1]MAIN-101'!$Z$1:$Z$3000,'[1]MAIN-101'!$X$1:$X$3000,S859)</f>
        <v>#VALUE!</v>
      </c>
      <c r="N859" s="560"/>
      <c r="O859" s="560"/>
      <c r="S859" t="str">
        <f>VLOOKUP(C859,'Recon of ORS and DV'!$A$4:$B$358,2,FALSE)</f>
        <v>0360</v>
      </c>
    </row>
    <row r="860" spans="1:19">
      <c r="A860" t="s">
        <v>2240</v>
      </c>
      <c r="B860" s="553">
        <v>44263</v>
      </c>
      <c r="C860" t="s">
        <v>1378</v>
      </c>
      <c r="D860" s="281">
        <v>1</v>
      </c>
      <c r="E860" t="s">
        <v>2010</v>
      </c>
      <c r="F860" t="s">
        <v>693</v>
      </c>
      <c r="G860" t="s">
        <v>1072</v>
      </c>
      <c r="H860" t="s">
        <v>1361</v>
      </c>
      <c r="I860">
        <v>5020000000</v>
      </c>
      <c r="J860" s="560">
        <v>1242</v>
      </c>
      <c r="K860" s="560">
        <f t="shared" si="27"/>
        <v>1</v>
      </c>
      <c r="L860" s="560">
        <f t="shared" si="28"/>
        <v>1</v>
      </c>
      <c r="M860" s="560" t="e">
        <f>SUMIFS('[1]MAIN-101'!$Z$1:$Z$3000,'[1]MAIN-101'!$X$1:$X$3000,S860)</f>
        <v>#VALUE!</v>
      </c>
      <c r="N860" s="560"/>
      <c r="O860" s="560"/>
      <c r="S860" t="str">
        <f>VLOOKUP(C860,'Recon of ORS and DV'!$A$4:$B$358,2,FALSE)</f>
        <v>0361</v>
      </c>
    </row>
    <row r="861" spans="1:19">
      <c r="B861" s="553">
        <v>44263</v>
      </c>
      <c r="C861" t="s">
        <v>1379</v>
      </c>
      <c r="D861" s="281">
        <v>3</v>
      </c>
      <c r="E861" t="s">
        <v>2000</v>
      </c>
      <c r="F861" t="s">
        <v>683</v>
      </c>
      <c r="G861" t="s">
        <v>1362</v>
      </c>
      <c r="H861" t="s">
        <v>1363</v>
      </c>
      <c r="I861">
        <v>5020000000</v>
      </c>
      <c r="J861" s="560">
        <v>150501.47</v>
      </c>
      <c r="K861" s="560">
        <f t="shared" si="27"/>
        <v>2</v>
      </c>
      <c r="L861" s="560">
        <f t="shared" si="28"/>
        <v>2</v>
      </c>
    </row>
    <row r="862" spans="1:19">
      <c r="A862" t="s">
        <v>2241</v>
      </c>
      <c r="B862" s="553">
        <v>44263</v>
      </c>
      <c r="C862" t="s">
        <v>1379</v>
      </c>
      <c r="D862" s="281">
        <v>8</v>
      </c>
      <c r="E862" t="s">
        <v>2000</v>
      </c>
      <c r="F862" t="s">
        <v>683</v>
      </c>
      <c r="G862" t="s">
        <v>1362</v>
      </c>
      <c r="H862" t="s">
        <v>1363</v>
      </c>
      <c r="I862">
        <v>5020000000</v>
      </c>
      <c r="J862" s="560">
        <v>20000</v>
      </c>
      <c r="K862" s="560">
        <f t="shared" si="27"/>
        <v>2</v>
      </c>
      <c r="L862" s="560">
        <f t="shared" si="28"/>
        <v>1</v>
      </c>
      <c r="M862" s="560" t="e">
        <f>SUMIFS('[1]MAIN-101'!$Z$1:$Z$3000,'[1]MAIN-101'!$X$1:$X$3000,S862)</f>
        <v>#VALUE!</v>
      </c>
      <c r="N862" s="560"/>
      <c r="O862" s="560"/>
      <c r="S862" t="str">
        <f>VLOOKUP(C862,'Recon of ORS and DV'!$A$4:$B$358,2,FALSE)</f>
        <v>0362</v>
      </c>
    </row>
    <row r="863" spans="1:19">
      <c r="A863" t="s">
        <v>2242</v>
      </c>
      <c r="B863" s="553">
        <v>44265</v>
      </c>
      <c r="C863" t="s">
        <v>1383</v>
      </c>
      <c r="D863" s="281">
        <v>1</v>
      </c>
      <c r="E863" t="s">
        <v>2005</v>
      </c>
      <c r="F863" t="s">
        <v>678</v>
      </c>
      <c r="G863" t="s">
        <v>1380</v>
      </c>
      <c r="H863" t="s">
        <v>1381</v>
      </c>
      <c r="I863">
        <v>5020000000</v>
      </c>
      <c r="J863" s="560">
        <v>7635</v>
      </c>
      <c r="K863" s="560">
        <f t="shared" si="27"/>
        <v>1</v>
      </c>
      <c r="L863" s="560">
        <f t="shared" si="28"/>
        <v>1</v>
      </c>
      <c r="M863" s="560" t="e">
        <f>SUMIFS('[1]MAIN-101'!$Z$1:$Z$3000,'[1]MAIN-101'!$X$1:$X$3000,S863)</f>
        <v>#VALUE!</v>
      </c>
      <c r="N863" s="560"/>
      <c r="O863" s="560"/>
      <c r="S863" t="str">
        <f>VLOOKUP(C863,'Recon of ORS and DV'!$A$4:$B$358,2,FALSE)</f>
        <v>0381</v>
      </c>
    </row>
    <row r="864" spans="1:19">
      <c r="B864" s="553">
        <v>44265</v>
      </c>
      <c r="C864" t="s">
        <v>1385</v>
      </c>
      <c r="D864" s="281">
        <v>1</v>
      </c>
      <c r="E864" t="s">
        <v>2026</v>
      </c>
      <c r="F864" t="s">
        <v>499</v>
      </c>
      <c r="G864" t="s">
        <v>777</v>
      </c>
      <c r="H864" t="s">
        <v>1384</v>
      </c>
      <c r="I864">
        <v>5010000000</v>
      </c>
      <c r="J864" s="560">
        <v>97270</v>
      </c>
      <c r="K864" s="560">
        <f t="shared" si="27"/>
        <v>24</v>
      </c>
      <c r="L864" s="560">
        <f t="shared" si="28"/>
        <v>24</v>
      </c>
    </row>
    <row r="865" spans="2:12">
      <c r="B865" s="553">
        <v>44265</v>
      </c>
      <c r="C865" t="s">
        <v>1385</v>
      </c>
      <c r="D865" s="281">
        <v>1</v>
      </c>
      <c r="E865" t="s">
        <v>2027</v>
      </c>
      <c r="F865" t="s">
        <v>504</v>
      </c>
      <c r="G865" t="s">
        <v>777</v>
      </c>
      <c r="H865" t="s">
        <v>1384</v>
      </c>
      <c r="I865">
        <v>5010000000</v>
      </c>
      <c r="J865" s="560">
        <v>8000</v>
      </c>
      <c r="K865" s="560">
        <f t="shared" si="27"/>
        <v>24</v>
      </c>
      <c r="L865" s="560">
        <f t="shared" si="28"/>
        <v>23</v>
      </c>
    </row>
    <row r="866" spans="2:12">
      <c r="B866" s="553">
        <v>44265</v>
      </c>
      <c r="C866" t="s">
        <v>1385</v>
      </c>
      <c r="D866" s="281">
        <v>1</v>
      </c>
      <c r="E866" t="s">
        <v>2028</v>
      </c>
      <c r="F866" t="s">
        <v>528</v>
      </c>
      <c r="G866" t="s">
        <v>777</v>
      </c>
      <c r="H866" t="s">
        <v>1384</v>
      </c>
      <c r="I866">
        <v>5010301000</v>
      </c>
      <c r="J866" s="560">
        <v>11672.4</v>
      </c>
      <c r="K866" s="560">
        <f t="shared" si="27"/>
        <v>24</v>
      </c>
      <c r="L866" s="560">
        <f t="shared" si="28"/>
        <v>22</v>
      </c>
    </row>
    <row r="867" spans="2:12">
      <c r="B867" s="553">
        <v>44265</v>
      </c>
      <c r="C867" t="s">
        <v>1385</v>
      </c>
      <c r="D867" s="281">
        <v>1</v>
      </c>
      <c r="E867" t="s">
        <v>2029</v>
      </c>
      <c r="F867" t="s">
        <v>530</v>
      </c>
      <c r="G867" t="s">
        <v>777</v>
      </c>
      <c r="H867" t="s">
        <v>1384</v>
      </c>
      <c r="I867">
        <v>5010000000</v>
      </c>
      <c r="J867" s="560">
        <v>400</v>
      </c>
      <c r="K867" s="560">
        <f t="shared" si="27"/>
        <v>24</v>
      </c>
      <c r="L867" s="560">
        <f t="shared" si="28"/>
        <v>21</v>
      </c>
    </row>
    <row r="868" spans="2:12">
      <c r="B868" s="553">
        <v>44265</v>
      </c>
      <c r="C868" t="s">
        <v>1385</v>
      </c>
      <c r="D868" s="281">
        <v>1</v>
      </c>
      <c r="E868" t="s">
        <v>2030</v>
      </c>
      <c r="F868" t="s">
        <v>532</v>
      </c>
      <c r="G868" t="s">
        <v>777</v>
      </c>
      <c r="H868" t="s">
        <v>1384</v>
      </c>
      <c r="I868">
        <v>5010000000</v>
      </c>
      <c r="J868" s="560">
        <v>1450.46</v>
      </c>
      <c r="K868" s="560">
        <f t="shared" si="27"/>
        <v>24</v>
      </c>
      <c r="L868" s="560">
        <f t="shared" si="28"/>
        <v>20</v>
      </c>
    </row>
    <row r="869" spans="2:12">
      <c r="B869" s="553">
        <v>44265</v>
      </c>
      <c r="C869" t="s">
        <v>1385</v>
      </c>
      <c r="D869" s="281">
        <v>1</v>
      </c>
      <c r="E869" t="s">
        <v>2031</v>
      </c>
      <c r="F869" t="s">
        <v>534</v>
      </c>
      <c r="G869" t="s">
        <v>777</v>
      </c>
      <c r="H869" t="s">
        <v>1384</v>
      </c>
      <c r="I869">
        <v>5010000000</v>
      </c>
      <c r="J869" s="560">
        <v>400</v>
      </c>
      <c r="K869" s="560">
        <f t="shared" si="27"/>
        <v>24</v>
      </c>
      <c r="L869" s="560">
        <f t="shared" si="28"/>
        <v>19</v>
      </c>
    </row>
    <row r="870" spans="2:12">
      <c r="B870" s="553">
        <v>44265</v>
      </c>
      <c r="C870" t="s">
        <v>1385</v>
      </c>
      <c r="D870" s="281">
        <v>2</v>
      </c>
      <c r="E870" t="s">
        <v>2026</v>
      </c>
      <c r="F870" t="s">
        <v>499</v>
      </c>
      <c r="G870" t="s">
        <v>777</v>
      </c>
      <c r="H870" t="s">
        <v>1384</v>
      </c>
      <c r="I870">
        <v>5010000000</v>
      </c>
      <c r="J870" s="560">
        <v>44184</v>
      </c>
      <c r="K870" s="560">
        <f t="shared" si="27"/>
        <v>24</v>
      </c>
      <c r="L870" s="560">
        <f t="shared" si="28"/>
        <v>18</v>
      </c>
    </row>
    <row r="871" spans="2:12">
      <c r="B871" s="553">
        <v>44265</v>
      </c>
      <c r="C871" t="s">
        <v>1385</v>
      </c>
      <c r="D871" s="281">
        <v>2</v>
      </c>
      <c r="E871" t="s">
        <v>2027</v>
      </c>
      <c r="F871" t="s">
        <v>504</v>
      </c>
      <c r="G871" t="s">
        <v>777</v>
      </c>
      <c r="H871" t="s">
        <v>1384</v>
      </c>
      <c r="I871">
        <v>5010000000</v>
      </c>
      <c r="J871" s="560">
        <v>2000</v>
      </c>
      <c r="K871" s="560">
        <f t="shared" si="27"/>
        <v>24</v>
      </c>
      <c r="L871" s="560">
        <f t="shared" si="28"/>
        <v>17</v>
      </c>
    </row>
    <row r="872" spans="2:12">
      <c r="B872" s="553">
        <v>44265</v>
      </c>
      <c r="C872" t="s">
        <v>1385</v>
      </c>
      <c r="D872" s="281">
        <v>2</v>
      </c>
      <c r="E872" t="s">
        <v>2028</v>
      </c>
      <c r="F872" t="s">
        <v>528</v>
      </c>
      <c r="G872" t="s">
        <v>777</v>
      </c>
      <c r="H872" t="s">
        <v>1384</v>
      </c>
      <c r="I872">
        <v>5010301000</v>
      </c>
      <c r="J872" s="560">
        <v>5302.08</v>
      </c>
      <c r="K872" s="560">
        <f t="shared" si="27"/>
        <v>24</v>
      </c>
      <c r="L872" s="560">
        <f t="shared" si="28"/>
        <v>16</v>
      </c>
    </row>
    <row r="873" spans="2:12">
      <c r="B873" s="553">
        <v>44265</v>
      </c>
      <c r="C873" t="s">
        <v>1385</v>
      </c>
      <c r="D873" s="281">
        <v>2</v>
      </c>
      <c r="E873" t="s">
        <v>2029</v>
      </c>
      <c r="F873" t="s">
        <v>530</v>
      </c>
      <c r="G873" t="s">
        <v>777</v>
      </c>
      <c r="H873" t="s">
        <v>1384</v>
      </c>
      <c r="I873">
        <v>5010000000</v>
      </c>
      <c r="J873" s="560">
        <v>100</v>
      </c>
      <c r="K873" s="560">
        <f t="shared" si="27"/>
        <v>24</v>
      </c>
      <c r="L873" s="560">
        <f t="shared" si="28"/>
        <v>15</v>
      </c>
    </row>
    <row r="874" spans="2:12">
      <c r="B874" s="553">
        <v>44265</v>
      </c>
      <c r="C874" t="s">
        <v>1385</v>
      </c>
      <c r="D874" s="281">
        <v>2</v>
      </c>
      <c r="E874" t="s">
        <v>2030</v>
      </c>
      <c r="F874" t="s">
        <v>532</v>
      </c>
      <c r="G874" t="s">
        <v>777</v>
      </c>
      <c r="H874" t="s">
        <v>1384</v>
      </c>
      <c r="I874">
        <v>5010000000</v>
      </c>
      <c r="J874" s="560">
        <v>662.76</v>
      </c>
      <c r="K874" s="560">
        <f t="shared" si="27"/>
        <v>24</v>
      </c>
      <c r="L874" s="560">
        <f t="shared" si="28"/>
        <v>14</v>
      </c>
    </row>
    <row r="875" spans="2:12">
      <c r="B875" s="553">
        <v>44265</v>
      </c>
      <c r="C875" t="s">
        <v>1385</v>
      </c>
      <c r="D875" s="281">
        <v>2</v>
      </c>
      <c r="E875" t="s">
        <v>2031</v>
      </c>
      <c r="F875" t="s">
        <v>534</v>
      </c>
      <c r="G875" t="s">
        <v>777</v>
      </c>
      <c r="H875" t="s">
        <v>1384</v>
      </c>
      <c r="I875">
        <v>5010000000</v>
      </c>
      <c r="J875" s="560">
        <v>100</v>
      </c>
      <c r="K875" s="560">
        <f t="shared" si="27"/>
        <v>24</v>
      </c>
      <c r="L875" s="560">
        <f t="shared" si="28"/>
        <v>13</v>
      </c>
    </row>
    <row r="876" spans="2:12">
      <c r="B876" s="553">
        <v>44265</v>
      </c>
      <c r="C876" t="s">
        <v>1385</v>
      </c>
      <c r="D876" s="281">
        <v>4</v>
      </c>
      <c r="E876" t="s">
        <v>2026</v>
      </c>
      <c r="F876" t="s">
        <v>499</v>
      </c>
      <c r="G876" t="s">
        <v>777</v>
      </c>
      <c r="H876" t="s">
        <v>1384</v>
      </c>
      <c r="I876">
        <v>5010000000</v>
      </c>
      <c r="J876" s="560">
        <v>67911</v>
      </c>
      <c r="K876" s="560">
        <f t="shared" si="27"/>
        <v>24</v>
      </c>
      <c r="L876" s="560">
        <f t="shared" si="28"/>
        <v>12</v>
      </c>
    </row>
    <row r="877" spans="2:12">
      <c r="B877" s="553">
        <v>44265</v>
      </c>
      <c r="C877" t="s">
        <v>1385</v>
      </c>
      <c r="D877" s="281">
        <v>4</v>
      </c>
      <c r="E877" t="s">
        <v>2027</v>
      </c>
      <c r="F877" t="s">
        <v>504</v>
      </c>
      <c r="G877" t="s">
        <v>777</v>
      </c>
      <c r="H877" t="s">
        <v>1384</v>
      </c>
      <c r="I877">
        <v>5010000000</v>
      </c>
      <c r="J877" s="560">
        <v>4000</v>
      </c>
      <c r="K877" s="560">
        <f t="shared" si="27"/>
        <v>24</v>
      </c>
      <c r="L877" s="560">
        <f t="shared" si="28"/>
        <v>11</v>
      </c>
    </row>
    <row r="878" spans="2:12">
      <c r="B878" s="553">
        <v>44265</v>
      </c>
      <c r="C878" t="s">
        <v>1385</v>
      </c>
      <c r="D878" s="281">
        <v>4</v>
      </c>
      <c r="E878" t="s">
        <v>2028</v>
      </c>
      <c r="F878" t="s">
        <v>528</v>
      </c>
      <c r="G878" t="s">
        <v>777</v>
      </c>
      <c r="H878" t="s">
        <v>1384</v>
      </c>
      <c r="I878">
        <v>5010301000</v>
      </c>
      <c r="J878" s="560">
        <v>8149.32</v>
      </c>
      <c r="K878" s="560">
        <f t="shared" si="27"/>
        <v>24</v>
      </c>
      <c r="L878" s="560">
        <f t="shared" si="28"/>
        <v>10</v>
      </c>
    </row>
    <row r="879" spans="2:12">
      <c r="B879" s="553">
        <v>44265</v>
      </c>
      <c r="C879" t="s">
        <v>1385</v>
      </c>
      <c r="D879" s="281">
        <v>4</v>
      </c>
      <c r="E879" t="s">
        <v>2029</v>
      </c>
      <c r="F879" t="s">
        <v>530</v>
      </c>
      <c r="G879" t="s">
        <v>777</v>
      </c>
      <c r="H879" t="s">
        <v>1384</v>
      </c>
      <c r="I879">
        <v>5010000000</v>
      </c>
      <c r="J879" s="560">
        <v>200</v>
      </c>
      <c r="K879" s="560">
        <f t="shared" si="27"/>
        <v>24</v>
      </c>
      <c r="L879" s="560">
        <f t="shared" si="28"/>
        <v>9</v>
      </c>
    </row>
    <row r="880" spans="2:12">
      <c r="B880" s="553">
        <v>44265</v>
      </c>
      <c r="C880" t="s">
        <v>1385</v>
      </c>
      <c r="D880" s="281">
        <v>4</v>
      </c>
      <c r="E880" t="s">
        <v>2030</v>
      </c>
      <c r="F880" t="s">
        <v>532</v>
      </c>
      <c r="G880" t="s">
        <v>777</v>
      </c>
      <c r="H880" t="s">
        <v>1384</v>
      </c>
      <c r="I880">
        <v>5010000000</v>
      </c>
      <c r="J880" s="560">
        <v>1018.67</v>
      </c>
      <c r="K880" s="560">
        <f t="shared" si="27"/>
        <v>24</v>
      </c>
      <c r="L880" s="560">
        <f t="shared" si="28"/>
        <v>8</v>
      </c>
    </row>
    <row r="881" spans="1:19">
      <c r="B881" s="553">
        <v>44265</v>
      </c>
      <c r="C881" t="s">
        <v>1385</v>
      </c>
      <c r="D881" s="281">
        <v>4</v>
      </c>
      <c r="E881" t="s">
        <v>2031</v>
      </c>
      <c r="F881" t="s">
        <v>534</v>
      </c>
      <c r="G881" t="s">
        <v>777</v>
      </c>
      <c r="H881" t="s">
        <v>1384</v>
      </c>
      <c r="I881">
        <v>5010000000</v>
      </c>
      <c r="J881" s="560">
        <v>200</v>
      </c>
      <c r="K881" s="560">
        <f t="shared" si="27"/>
        <v>24</v>
      </c>
      <c r="L881" s="560">
        <f t="shared" si="28"/>
        <v>7</v>
      </c>
    </row>
    <row r="882" spans="1:19">
      <c r="B882" s="553">
        <v>44265</v>
      </c>
      <c r="C882" t="s">
        <v>1385</v>
      </c>
      <c r="D882" s="281">
        <v>5</v>
      </c>
      <c r="E882" t="s">
        <v>2026</v>
      </c>
      <c r="F882" t="s">
        <v>499</v>
      </c>
      <c r="G882" t="s">
        <v>777</v>
      </c>
      <c r="H882" t="s">
        <v>1384</v>
      </c>
      <c r="I882">
        <v>5010000000</v>
      </c>
      <c r="J882" s="560">
        <v>149727</v>
      </c>
      <c r="K882" s="560">
        <f t="shared" si="27"/>
        <v>24</v>
      </c>
      <c r="L882" s="560">
        <f t="shared" si="28"/>
        <v>6</v>
      </c>
    </row>
    <row r="883" spans="1:19">
      <c r="B883" s="553">
        <v>44265</v>
      </c>
      <c r="C883" t="s">
        <v>1385</v>
      </c>
      <c r="D883" s="281">
        <v>5</v>
      </c>
      <c r="E883" t="s">
        <v>2027</v>
      </c>
      <c r="F883" t="s">
        <v>504</v>
      </c>
      <c r="G883" t="s">
        <v>777</v>
      </c>
      <c r="H883" t="s">
        <v>1384</v>
      </c>
      <c r="I883">
        <v>5010000000</v>
      </c>
      <c r="J883" s="560">
        <v>6000</v>
      </c>
      <c r="K883" s="560">
        <f t="shared" si="27"/>
        <v>24</v>
      </c>
      <c r="L883" s="560">
        <f t="shared" si="28"/>
        <v>5</v>
      </c>
    </row>
    <row r="884" spans="1:19">
      <c r="B884" s="553">
        <v>44265</v>
      </c>
      <c r="C884" t="s">
        <v>1385</v>
      </c>
      <c r="D884" s="281">
        <v>5</v>
      </c>
      <c r="E884" t="s">
        <v>2028</v>
      </c>
      <c r="F884" t="s">
        <v>528</v>
      </c>
      <c r="G884" t="s">
        <v>777</v>
      </c>
      <c r="H884" t="s">
        <v>1384</v>
      </c>
      <c r="I884">
        <v>5010301000</v>
      </c>
      <c r="J884" s="560">
        <v>17967.240000000002</v>
      </c>
      <c r="K884" s="560">
        <f t="shared" si="27"/>
        <v>24</v>
      </c>
      <c r="L884" s="560">
        <f t="shared" si="28"/>
        <v>4</v>
      </c>
    </row>
    <row r="885" spans="1:19">
      <c r="B885" s="553">
        <v>44265</v>
      </c>
      <c r="C885" t="s">
        <v>1385</v>
      </c>
      <c r="D885" s="281">
        <v>5</v>
      </c>
      <c r="E885" t="s">
        <v>2029</v>
      </c>
      <c r="F885" t="s">
        <v>530</v>
      </c>
      <c r="G885" t="s">
        <v>777</v>
      </c>
      <c r="H885" t="s">
        <v>1384</v>
      </c>
      <c r="I885">
        <v>5010000000</v>
      </c>
      <c r="J885" s="560">
        <v>300</v>
      </c>
      <c r="K885" s="560">
        <f t="shared" si="27"/>
        <v>24</v>
      </c>
      <c r="L885" s="560">
        <f t="shared" si="28"/>
        <v>3</v>
      </c>
    </row>
    <row r="886" spans="1:19">
      <c r="B886" s="553">
        <v>44265</v>
      </c>
      <c r="C886" t="s">
        <v>1385</v>
      </c>
      <c r="D886" s="281">
        <v>5</v>
      </c>
      <c r="E886" t="s">
        <v>2030</v>
      </c>
      <c r="F886" t="s">
        <v>532</v>
      </c>
      <c r="G886" t="s">
        <v>777</v>
      </c>
      <c r="H886" t="s">
        <v>1384</v>
      </c>
      <c r="I886">
        <v>5010000000</v>
      </c>
      <c r="J886" s="560">
        <v>2087.44</v>
      </c>
      <c r="K886" s="560">
        <f t="shared" si="27"/>
        <v>24</v>
      </c>
      <c r="L886" s="560">
        <f t="shared" si="28"/>
        <v>2</v>
      </c>
    </row>
    <row r="887" spans="1:19">
      <c r="A887" t="s">
        <v>2243</v>
      </c>
      <c r="B887" s="553">
        <v>44265</v>
      </c>
      <c r="C887" t="s">
        <v>1385</v>
      </c>
      <c r="D887" s="281">
        <v>5</v>
      </c>
      <c r="E887" t="s">
        <v>2031</v>
      </c>
      <c r="F887" t="s">
        <v>534</v>
      </c>
      <c r="G887" t="s">
        <v>777</v>
      </c>
      <c r="H887" t="s">
        <v>1384</v>
      </c>
      <c r="I887">
        <v>5010000000</v>
      </c>
      <c r="J887" s="560">
        <v>300</v>
      </c>
      <c r="K887" s="560">
        <f t="shared" si="27"/>
        <v>24</v>
      </c>
      <c r="L887" s="560">
        <f t="shared" si="28"/>
        <v>1</v>
      </c>
      <c r="M887" s="560" t="e">
        <f>SUMIFS('[1]MAIN-101'!$Z$1:$Z$3000,'[1]MAIN-101'!$X$1:$X$3000,S887)</f>
        <v>#VALUE!</v>
      </c>
      <c r="N887" s="560"/>
      <c r="O887" s="560"/>
      <c r="S887" t="str">
        <f>VLOOKUP(C887,'Recon of ORS and DV'!$A$4:$B$358,2,FALSE)</f>
        <v>0364</v>
      </c>
    </row>
    <row r="888" spans="1:19">
      <c r="B888" s="553">
        <v>44265</v>
      </c>
      <c r="C888" t="s">
        <v>1386</v>
      </c>
      <c r="D888" s="281">
        <v>1</v>
      </c>
      <c r="E888" t="s">
        <v>2026</v>
      </c>
      <c r="F888" t="s">
        <v>499</v>
      </c>
      <c r="G888" t="s">
        <v>768</v>
      </c>
      <c r="H888" t="s">
        <v>1384</v>
      </c>
      <c r="I888">
        <v>5010000000</v>
      </c>
      <c r="J888" s="560">
        <v>145528</v>
      </c>
      <c r="K888" s="560">
        <f t="shared" si="27"/>
        <v>30</v>
      </c>
      <c r="L888" s="560">
        <f t="shared" si="28"/>
        <v>30</v>
      </c>
    </row>
    <row r="889" spans="1:19">
      <c r="B889" s="553">
        <v>44265</v>
      </c>
      <c r="C889" t="s">
        <v>1386</v>
      </c>
      <c r="D889" s="281">
        <v>1</v>
      </c>
      <c r="E889" t="s">
        <v>2027</v>
      </c>
      <c r="F889" t="s">
        <v>504</v>
      </c>
      <c r="G889" t="s">
        <v>768</v>
      </c>
      <c r="H889" t="s">
        <v>1384</v>
      </c>
      <c r="I889">
        <v>5010000000</v>
      </c>
      <c r="J889" s="560">
        <v>6000</v>
      </c>
      <c r="K889" s="560">
        <f t="shared" si="27"/>
        <v>30</v>
      </c>
      <c r="L889" s="560">
        <f t="shared" si="28"/>
        <v>29</v>
      </c>
    </row>
    <row r="890" spans="1:19">
      <c r="B890" s="553">
        <v>44265</v>
      </c>
      <c r="C890" t="s">
        <v>1386</v>
      </c>
      <c r="D890" s="281">
        <v>1</v>
      </c>
      <c r="E890" t="s">
        <v>2028</v>
      </c>
      <c r="F890" t="s">
        <v>528</v>
      </c>
      <c r="G890" t="s">
        <v>768</v>
      </c>
      <c r="H890" t="s">
        <v>1384</v>
      </c>
      <c r="I890">
        <v>5010301000</v>
      </c>
      <c r="J890" s="560">
        <v>17463.36</v>
      </c>
      <c r="K890" s="560">
        <f t="shared" si="27"/>
        <v>30</v>
      </c>
      <c r="L890" s="560">
        <f t="shared" si="28"/>
        <v>28</v>
      </c>
    </row>
    <row r="891" spans="1:19">
      <c r="B891" s="553">
        <v>44265</v>
      </c>
      <c r="C891" t="s">
        <v>1386</v>
      </c>
      <c r="D891" s="281">
        <v>1</v>
      </c>
      <c r="E891" t="s">
        <v>2029</v>
      </c>
      <c r="F891" t="s">
        <v>530</v>
      </c>
      <c r="G891" t="s">
        <v>768</v>
      </c>
      <c r="H891" t="s">
        <v>1384</v>
      </c>
      <c r="I891">
        <v>5010000000</v>
      </c>
      <c r="J891" s="560">
        <v>300</v>
      </c>
      <c r="K891" s="560">
        <f t="shared" si="27"/>
        <v>30</v>
      </c>
      <c r="L891" s="560">
        <f t="shared" si="28"/>
        <v>27</v>
      </c>
    </row>
    <row r="892" spans="1:19">
      <c r="B892" s="553">
        <v>44265</v>
      </c>
      <c r="C892" t="s">
        <v>1386</v>
      </c>
      <c r="D892" s="281">
        <v>1</v>
      </c>
      <c r="E892" t="s">
        <v>2030</v>
      </c>
      <c r="F892" t="s">
        <v>532</v>
      </c>
      <c r="G892" t="s">
        <v>768</v>
      </c>
      <c r="H892" t="s">
        <v>1384</v>
      </c>
      <c r="I892">
        <v>5010000000</v>
      </c>
      <c r="J892" s="560">
        <v>1781.79</v>
      </c>
      <c r="K892" s="560">
        <f t="shared" si="27"/>
        <v>30</v>
      </c>
      <c r="L892" s="560">
        <f t="shared" si="28"/>
        <v>26</v>
      </c>
    </row>
    <row r="893" spans="1:19">
      <c r="B893" s="553">
        <v>44265</v>
      </c>
      <c r="C893" t="s">
        <v>1386</v>
      </c>
      <c r="D893" s="281">
        <v>1</v>
      </c>
      <c r="E893" t="s">
        <v>2031</v>
      </c>
      <c r="F893" t="s">
        <v>534</v>
      </c>
      <c r="G893" t="s">
        <v>768</v>
      </c>
      <c r="H893" t="s">
        <v>1384</v>
      </c>
      <c r="I893">
        <v>5010000000</v>
      </c>
      <c r="J893" s="560">
        <v>300</v>
      </c>
      <c r="K893" s="560">
        <f t="shared" si="27"/>
        <v>30</v>
      </c>
      <c r="L893" s="560">
        <f t="shared" si="28"/>
        <v>25</v>
      </c>
    </row>
    <row r="894" spans="1:19">
      <c r="B894" s="553">
        <v>44265</v>
      </c>
      <c r="C894" t="s">
        <v>1386</v>
      </c>
      <c r="D894" s="281">
        <v>2</v>
      </c>
      <c r="E894" t="s">
        <v>2026</v>
      </c>
      <c r="F894" t="s">
        <v>499</v>
      </c>
      <c r="G894" t="s">
        <v>768</v>
      </c>
      <c r="H894" t="s">
        <v>1384</v>
      </c>
      <c r="I894">
        <v>5010000000</v>
      </c>
      <c r="J894" s="560">
        <v>46261</v>
      </c>
      <c r="K894" s="560">
        <f t="shared" si="27"/>
        <v>30</v>
      </c>
      <c r="L894" s="560">
        <f t="shared" si="28"/>
        <v>24</v>
      </c>
    </row>
    <row r="895" spans="1:19">
      <c r="B895" s="553">
        <v>44265</v>
      </c>
      <c r="C895" t="s">
        <v>1386</v>
      </c>
      <c r="D895" s="281">
        <v>2</v>
      </c>
      <c r="E895" t="s">
        <v>2027</v>
      </c>
      <c r="F895" t="s">
        <v>504</v>
      </c>
      <c r="G895" t="s">
        <v>768</v>
      </c>
      <c r="H895" t="s">
        <v>1384</v>
      </c>
      <c r="I895">
        <v>5010000000</v>
      </c>
      <c r="J895" s="560">
        <v>2000</v>
      </c>
      <c r="K895" s="560">
        <f t="shared" si="27"/>
        <v>30</v>
      </c>
      <c r="L895" s="560">
        <f t="shared" si="28"/>
        <v>23</v>
      </c>
    </row>
    <row r="896" spans="1:19">
      <c r="B896" s="553">
        <v>44265</v>
      </c>
      <c r="C896" t="s">
        <v>1386</v>
      </c>
      <c r="D896" s="281">
        <v>2</v>
      </c>
      <c r="E896" t="s">
        <v>2028</v>
      </c>
      <c r="F896" t="s">
        <v>528</v>
      </c>
      <c r="G896" t="s">
        <v>768</v>
      </c>
      <c r="H896" t="s">
        <v>1384</v>
      </c>
      <c r="I896">
        <v>5010301000</v>
      </c>
      <c r="J896" s="560">
        <v>5551.32</v>
      </c>
      <c r="K896" s="560">
        <f t="shared" si="27"/>
        <v>30</v>
      </c>
      <c r="L896" s="560">
        <f t="shared" si="28"/>
        <v>22</v>
      </c>
    </row>
    <row r="897" spans="2:12">
      <c r="B897" s="553">
        <v>44265</v>
      </c>
      <c r="C897" t="s">
        <v>1386</v>
      </c>
      <c r="D897" s="281">
        <v>2</v>
      </c>
      <c r="E897" t="s">
        <v>2029</v>
      </c>
      <c r="F897" t="s">
        <v>530</v>
      </c>
      <c r="G897" t="s">
        <v>768</v>
      </c>
      <c r="H897" t="s">
        <v>1384</v>
      </c>
      <c r="I897">
        <v>5010000000</v>
      </c>
      <c r="J897" s="560">
        <v>100</v>
      </c>
      <c r="K897" s="560">
        <f t="shared" si="27"/>
        <v>30</v>
      </c>
      <c r="L897" s="560">
        <f t="shared" si="28"/>
        <v>21</v>
      </c>
    </row>
    <row r="898" spans="2:12">
      <c r="B898" s="553">
        <v>44265</v>
      </c>
      <c r="C898" t="s">
        <v>1386</v>
      </c>
      <c r="D898" s="281">
        <v>2</v>
      </c>
      <c r="E898" t="s">
        <v>2030</v>
      </c>
      <c r="F898" t="s">
        <v>532</v>
      </c>
      <c r="G898" t="s">
        <v>768</v>
      </c>
      <c r="H898" t="s">
        <v>1384</v>
      </c>
      <c r="I898">
        <v>5010000000</v>
      </c>
      <c r="J898" s="560">
        <v>693.92</v>
      </c>
      <c r="K898" s="560">
        <f t="shared" si="27"/>
        <v>30</v>
      </c>
      <c r="L898" s="560">
        <f t="shared" si="28"/>
        <v>20</v>
      </c>
    </row>
    <row r="899" spans="2:12">
      <c r="B899" s="553">
        <v>44265</v>
      </c>
      <c r="C899" t="s">
        <v>1386</v>
      </c>
      <c r="D899" s="281">
        <v>2</v>
      </c>
      <c r="E899" t="s">
        <v>2031</v>
      </c>
      <c r="F899" t="s">
        <v>534</v>
      </c>
      <c r="G899" t="s">
        <v>768</v>
      </c>
      <c r="H899" t="s">
        <v>1384</v>
      </c>
      <c r="I899">
        <v>5010000000</v>
      </c>
      <c r="J899" s="560">
        <v>100</v>
      </c>
      <c r="K899" s="560">
        <f t="shared" si="27"/>
        <v>30</v>
      </c>
      <c r="L899" s="560">
        <f t="shared" si="28"/>
        <v>19</v>
      </c>
    </row>
    <row r="900" spans="2:12">
      <c r="B900" s="553">
        <v>44265</v>
      </c>
      <c r="C900" t="s">
        <v>1386</v>
      </c>
      <c r="D900" s="281">
        <v>3</v>
      </c>
      <c r="E900" t="s">
        <v>2026</v>
      </c>
      <c r="F900" t="s">
        <v>499</v>
      </c>
      <c r="G900" t="s">
        <v>768</v>
      </c>
      <c r="H900" t="s">
        <v>1384</v>
      </c>
      <c r="I900">
        <v>5010000000</v>
      </c>
      <c r="J900" s="560">
        <v>111742</v>
      </c>
      <c r="K900" s="560">
        <f t="shared" ref="K900:K963" si="29">COUNTIFS($C$3:$C$1556,C900)</f>
        <v>30</v>
      </c>
      <c r="L900" s="560">
        <f t="shared" si="28"/>
        <v>18</v>
      </c>
    </row>
    <row r="901" spans="2:12">
      <c r="B901" s="553">
        <v>44265</v>
      </c>
      <c r="C901" t="s">
        <v>1386</v>
      </c>
      <c r="D901" s="281">
        <v>3</v>
      </c>
      <c r="E901" t="s">
        <v>2027</v>
      </c>
      <c r="F901" t="s">
        <v>504</v>
      </c>
      <c r="G901" t="s">
        <v>768</v>
      </c>
      <c r="H901" t="s">
        <v>1384</v>
      </c>
      <c r="I901">
        <v>5010000000</v>
      </c>
      <c r="J901" s="560">
        <v>2000</v>
      </c>
      <c r="K901" s="560">
        <f t="shared" si="29"/>
        <v>30</v>
      </c>
      <c r="L901" s="560">
        <f t="shared" si="28"/>
        <v>17</v>
      </c>
    </row>
    <row r="902" spans="2:12">
      <c r="B902" s="553">
        <v>44265</v>
      </c>
      <c r="C902" t="s">
        <v>1386</v>
      </c>
      <c r="D902" s="281">
        <v>3</v>
      </c>
      <c r="E902" t="s">
        <v>2028</v>
      </c>
      <c r="F902" t="s">
        <v>528</v>
      </c>
      <c r="G902" t="s">
        <v>768</v>
      </c>
      <c r="H902" t="s">
        <v>1384</v>
      </c>
      <c r="I902">
        <v>5010301000</v>
      </c>
      <c r="J902" s="560">
        <v>13409.04</v>
      </c>
      <c r="K902" s="560">
        <f t="shared" si="29"/>
        <v>30</v>
      </c>
      <c r="L902" s="560">
        <f t="shared" si="28"/>
        <v>16</v>
      </c>
    </row>
    <row r="903" spans="2:12">
      <c r="B903" s="553">
        <v>44265</v>
      </c>
      <c r="C903" t="s">
        <v>1386</v>
      </c>
      <c r="D903" s="281">
        <v>3</v>
      </c>
      <c r="E903" t="s">
        <v>2029</v>
      </c>
      <c r="F903" t="s">
        <v>530</v>
      </c>
      <c r="G903" t="s">
        <v>768</v>
      </c>
      <c r="H903" t="s">
        <v>1384</v>
      </c>
      <c r="I903">
        <v>5010000000</v>
      </c>
      <c r="J903" s="560">
        <v>100</v>
      </c>
      <c r="K903" s="560">
        <f t="shared" si="29"/>
        <v>30</v>
      </c>
      <c r="L903" s="560">
        <f t="shared" si="28"/>
        <v>15</v>
      </c>
    </row>
    <row r="904" spans="2:12">
      <c r="B904" s="553">
        <v>44265</v>
      </c>
      <c r="C904" t="s">
        <v>1386</v>
      </c>
      <c r="D904" s="281">
        <v>3</v>
      </c>
      <c r="E904" t="s">
        <v>2030</v>
      </c>
      <c r="F904" t="s">
        <v>532</v>
      </c>
      <c r="G904" t="s">
        <v>768</v>
      </c>
      <c r="H904" t="s">
        <v>1384</v>
      </c>
      <c r="I904">
        <v>5010000000</v>
      </c>
      <c r="J904" s="560">
        <v>900</v>
      </c>
      <c r="K904" s="560">
        <f t="shared" si="29"/>
        <v>30</v>
      </c>
      <c r="L904" s="560">
        <f t="shared" si="28"/>
        <v>14</v>
      </c>
    </row>
    <row r="905" spans="2:12">
      <c r="B905" s="553">
        <v>44265</v>
      </c>
      <c r="C905" t="s">
        <v>1386</v>
      </c>
      <c r="D905" s="281">
        <v>3</v>
      </c>
      <c r="E905" t="s">
        <v>2031</v>
      </c>
      <c r="F905" t="s">
        <v>534</v>
      </c>
      <c r="G905" t="s">
        <v>768</v>
      </c>
      <c r="H905" t="s">
        <v>1384</v>
      </c>
      <c r="I905">
        <v>5010000000</v>
      </c>
      <c r="J905" s="560">
        <v>100</v>
      </c>
      <c r="K905" s="560">
        <f t="shared" si="29"/>
        <v>30</v>
      </c>
      <c r="L905" s="560">
        <f t="shared" si="28"/>
        <v>13</v>
      </c>
    </row>
    <row r="906" spans="2:12">
      <c r="B906" s="553">
        <v>44265</v>
      </c>
      <c r="C906" t="s">
        <v>1386</v>
      </c>
      <c r="D906" s="281">
        <v>4</v>
      </c>
      <c r="E906" t="s">
        <v>2026</v>
      </c>
      <c r="F906" t="s">
        <v>499</v>
      </c>
      <c r="G906" t="s">
        <v>768</v>
      </c>
      <c r="H906" t="s">
        <v>1384</v>
      </c>
      <c r="I906">
        <v>5010000000</v>
      </c>
      <c r="J906" s="560">
        <v>236044</v>
      </c>
      <c r="K906" s="560">
        <f t="shared" si="29"/>
        <v>30</v>
      </c>
      <c r="L906" s="560">
        <f t="shared" si="28"/>
        <v>12</v>
      </c>
    </row>
    <row r="907" spans="2:12">
      <c r="B907" s="553">
        <v>44265</v>
      </c>
      <c r="C907" t="s">
        <v>1386</v>
      </c>
      <c r="D907" s="281">
        <v>4</v>
      </c>
      <c r="E907" t="s">
        <v>2027</v>
      </c>
      <c r="F907" t="s">
        <v>504</v>
      </c>
      <c r="G907" t="s">
        <v>768</v>
      </c>
      <c r="H907" t="s">
        <v>1384</v>
      </c>
      <c r="I907">
        <v>5010000000</v>
      </c>
      <c r="J907" s="560">
        <v>12000</v>
      </c>
      <c r="K907" s="560">
        <f t="shared" si="29"/>
        <v>30</v>
      </c>
      <c r="L907" s="560">
        <f t="shared" si="28"/>
        <v>11</v>
      </c>
    </row>
    <row r="908" spans="2:12">
      <c r="B908" s="553">
        <v>44265</v>
      </c>
      <c r="C908" t="s">
        <v>1386</v>
      </c>
      <c r="D908" s="281">
        <v>4</v>
      </c>
      <c r="E908" t="s">
        <v>2028</v>
      </c>
      <c r="F908" t="s">
        <v>528</v>
      </c>
      <c r="G908" t="s">
        <v>768</v>
      </c>
      <c r="H908" t="s">
        <v>1384</v>
      </c>
      <c r="I908">
        <v>5010301000</v>
      </c>
      <c r="J908" s="560">
        <v>28325.279999999999</v>
      </c>
      <c r="K908" s="560">
        <f t="shared" si="29"/>
        <v>30</v>
      </c>
      <c r="L908" s="560">
        <f t="shared" si="28"/>
        <v>10</v>
      </c>
    </row>
    <row r="909" spans="2:12">
      <c r="B909" s="553">
        <v>44265</v>
      </c>
      <c r="C909" t="s">
        <v>1386</v>
      </c>
      <c r="D909" s="281">
        <v>4</v>
      </c>
      <c r="E909" t="s">
        <v>2029</v>
      </c>
      <c r="F909" t="s">
        <v>530</v>
      </c>
      <c r="G909" t="s">
        <v>768</v>
      </c>
      <c r="H909" t="s">
        <v>1384</v>
      </c>
      <c r="I909">
        <v>5010000000</v>
      </c>
      <c r="J909" s="560">
        <v>600</v>
      </c>
      <c r="K909" s="560">
        <f t="shared" si="29"/>
        <v>30</v>
      </c>
      <c r="L909" s="560">
        <f t="shared" si="28"/>
        <v>9</v>
      </c>
    </row>
    <row r="910" spans="2:12">
      <c r="B910" s="553">
        <v>44265</v>
      </c>
      <c r="C910" t="s">
        <v>1386</v>
      </c>
      <c r="D910" s="281">
        <v>4</v>
      </c>
      <c r="E910" t="s">
        <v>2030</v>
      </c>
      <c r="F910" t="s">
        <v>532</v>
      </c>
      <c r="G910" t="s">
        <v>768</v>
      </c>
      <c r="H910" t="s">
        <v>1384</v>
      </c>
      <c r="I910">
        <v>5010000000</v>
      </c>
      <c r="J910" s="560">
        <v>3540.69</v>
      </c>
      <c r="K910" s="560">
        <f t="shared" si="29"/>
        <v>30</v>
      </c>
      <c r="L910" s="560">
        <f t="shared" si="28"/>
        <v>8</v>
      </c>
    </row>
    <row r="911" spans="2:12">
      <c r="B911" s="553">
        <v>44265</v>
      </c>
      <c r="C911" t="s">
        <v>1386</v>
      </c>
      <c r="D911" s="281">
        <v>4</v>
      </c>
      <c r="E911" t="s">
        <v>2031</v>
      </c>
      <c r="F911" t="s">
        <v>534</v>
      </c>
      <c r="G911" t="s">
        <v>768</v>
      </c>
      <c r="H911" t="s">
        <v>1384</v>
      </c>
      <c r="I911">
        <v>5010000000</v>
      </c>
      <c r="J911" s="560">
        <v>600</v>
      </c>
      <c r="K911" s="560">
        <f t="shared" si="29"/>
        <v>30</v>
      </c>
      <c r="L911" s="560">
        <f t="shared" ref="L911:L974" si="30">COUNTIFS(C911:C2464,C911)</f>
        <v>7</v>
      </c>
    </row>
    <row r="912" spans="2:12">
      <c r="B912" s="553">
        <v>44265</v>
      </c>
      <c r="C912" t="s">
        <v>1386</v>
      </c>
      <c r="D912" s="281">
        <v>5</v>
      </c>
      <c r="E912" t="s">
        <v>2026</v>
      </c>
      <c r="F912" t="s">
        <v>499</v>
      </c>
      <c r="G912" t="s">
        <v>768</v>
      </c>
      <c r="H912" t="s">
        <v>1384</v>
      </c>
      <c r="I912">
        <v>5010000000</v>
      </c>
      <c r="J912" s="560">
        <v>44694</v>
      </c>
      <c r="K912" s="560">
        <f t="shared" si="29"/>
        <v>30</v>
      </c>
      <c r="L912" s="560">
        <f t="shared" si="30"/>
        <v>6</v>
      </c>
    </row>
    <row r="913" spans="1:19">
      <c r="B913" s="553">
        <v>44265</v>
      </c>
      <c r="C913" t="s">
        <v>1386</v>
      </c>
      <c r="D913" s="281">
        <v>5</v>
      </c>
      <c r="E913" t="s">
        <v>2027</v>
      </c>
      <c r="F913" t="s">
        <v>504</v>
      </c>
      <c r="G913" t="s">
        <v>768</v>
      </c>
      <c r="H913" t="s">
        <v>1384</v>
      </c>
      <c r="I913">
        <v>5010000000</v>
      </c>
      <c r="J913" s="560">
        <v>2000</v>
      </c>
      <c r="K913" s="560">
        <f t="shared" si="29"/>
        <v>30</v>
      </c>
      <c r="L913" s="560">
        <f t="shared" si="30"/>
        <v>5</v>
      </c>
    </row>
    <row r="914" spans="1:19">
      <c r="B914" s="553">
        <v>44265</v>
      </c>
      <c r="C914" t="s">
        <v>1386</v>
      </c>
      <c r="D914" s="281">
        <v>5</v>
      </c>
      <c r="E914" t="s">
        <v>2028</v>
      </c>
      <c r="F914" t="s">
        <v>528</v>
      </c>
      <c r="G914" t="s">
        <v>768</v>
      </c>
      <c r="H914" t="s">
        <v>1384</v>
      </c>
      <c r="I914">
        <v>5010301000</v>
      </c>
      <c r="J914" s="560">
        <v>5363.28</v>
      </c>
      <c r="K914" s="560">
        <f t="shared" si="29"/>
        <v>30</v>
      </c>
      <c r="L914" s="560">
        <f t="shared" si="30"/>
        <v>4</v>
      </c>
    </row>
    <row r="915" spans="1:19">
      <c r="B915" s="553">
        <v>44265</v>
      </c>
      <c r="C915" t="s">
        <v>1386</v>
      </c>
      <c r="D915" s="281">
        <v>5</v>
      </c>
      <c r="E915" t="s">
        <v>2029</v>
      </c>
      <c r="F915" t="s">
        <v>530</v>
      </c>
      <c r="G915" t="s">
        <v>768</v>
      </c>
      <c r="H915" t="s">
        <v>1384</v>
      </c>
      <c r="I915">
        <v>5010000000</v>
      </c>
      <c r="J915" s="560">
        <v>100</v>
      </c>
      <c r="K915" s="560">
        <f t="shared" si="29"/>
        <v>30</v>
      </c>
      <c r="L915" s="560">
        <f t="shared" si="30"/>
        <v>3</v>
      </c>
    </row>
    <row r="916" spans="1:19">
      <c r="B916" s="553">
        <v>44265</v>
      </c>
      <c r="C916" t="s">
        <v>1386</v>
      </c>
      <c r="D916" s="281">
        <v>5</v>
      </c>
      <c r="E916" t="s">
        <v>2030</v>
      </c>
      <c r="F916" t="s">
        <v>532</v>
      </c>
      <c r="G916" t="s">
        <v>768</v>
      </c>
      <c r="H916" t="s">
        <v>1384</v>
      </c>
      <c r="I916">
        <v>5010000000</v>
      </c>
      <c r="J916" s="560">
        <v>670.41</v>
      </c>
      <c r="K916" s="560">
        <f t="shared" si="29"/>
        <v>30</v>
      </c>
      <c r="L916" s="560">
        <f t="shared" si="30"/>
        <v>2</v>
      </c>
    </row>
    <row r="917" spans="1:19">
      <c r="A917" t="s">
        <v>2244</v>
      </c>
      <c r="B917" s="553">
        <v>44265</v>
      </c>
      <c r="C917" t="s">
        <v>1386</v>
      </c>
      <c r="D917" s="281">
        <v>5</v>
      </c>
      <c r="E917" t="s">
        <v>2031</v>
      </c>
      <c r="F917" t="s">
        <v>534</v>
      </c>
      <c r="G917" t="s">
        <v>768</v>
      </c>
      <c r="H917" t="s">
        <v>1384</v>
      </c>
      <c r="I917">
        <v>5010000000</v>
      </c>
      <c r="J917" s="560">
        <v>100</v>
      </c>
      <c r="K917" s="560">
        <f t="shared" si="29"/>
        <v>30</v>
      </c>
      <c r="L917" s="560">
        <f t="shared" si="30"/>
        <v>1</v>
      </c>
      <c r="M917" s="560" t="e">
        <f>SUMIFS('[1]MAIN-101'!$Z$1:$Z$3000,'[1]MAIN-101'!$X$1:$X$3000,S917)</f>
        <v>#VALUE!</v>
      </c>
      <c r="N917" s="560"/>
      <c r="O917" s="560"/>
      <c r="S917" t="str">
        <f>VLOOKUP(C917,'Recon of ORS and DV'!$A$4:$B$358,2,FALSE)</f>
        <v>0365</v>
      </c>
    </row>
    <row r="918" spans="1:19">
      <c r="B918" s="553">
        <v>44265</v>
      </c>
      <c r="C918" t="s">
        <v>1387</v>
      </c>
      <c r="D918" s="281">
        <v>1</v>
      </c>
      <c r="E918" t="s">
        <v>2026</v>
      </c>
      <c r="F918" t="s">
        <v>499</v>
      </c>
      <c r="G918" t="s">
        <v>765</v>
      </c>
      <c r="H918" t="s">
        <v>1384</v>
      </c>
      <c r="I918">
        <v>5010000000</v>
      </c>
      <c r="J918" s="560">
        <v>57452</v>
      </c>
      <c r="K918" s="560">
        <f t="shared" si="29"/>
        <v>24</v>
      </c>
      <c r="L918" s="560">
        <f t="shared" si="30"/>
        <v>24</v>
      </c>
    </row>
    <row r="919" spans="1:19">
      <c r="B919" s="553">
        <v>44265</v>
      </c>
      <c r="C919" t="s">
        <v>1387</v>
      </c>
      <c r="D919" s="281">
        <v>1</v>
      </c>
      <c r="E919" t="s">
        <v>2027</v>
      </c>
      <c r="F919" t="s">
        <v>504</v>
      </c>
      <c r="G919" t="s">
        <v>765</v>
      </c>
      <c r="H919" t="s">
        <v>1384</v>
      </c>
      <c r="I919">
        <v>5010000000</v>
      </c>
      <c r="J919" s="560">
        <v>4000</v>
      </c>
      <c r="K919" s="560">
        <f t="shared" si="29"/>
        <v>24</v>
      </c>
      <c r="L919" s="560">
        <f t="shared" si="30"/>
        <v>23</v>
      </c>
    </row>
    <row r="920" spans="1:19">
      <c r="B920" s="553">
        <v>44265</v>
      </c>
      <c r="C920" t="s">
        <v>1387</v>
      </c>
      <c r="D920" s="281">
        <v>1</v>
      </c>
      <c r="E920" t="s">
        <v>2028</v>
      </c>
      <c r="F920" t="s">
        <v>528</v>
      </c>
      <c r="G920" t="s">
        <v>765</v>
      </c>
      <c r="H920" t="s">
        <v>1384</v>
      </c>
      <c r="I920">
        <v>5010301000</v>
      </c>
      <c r="J920" s="560">
        <v>6894.24</v>
      </c>
      <c r="K920" s="560">
        <f t="shared" si="29"/>
        <v>24</v>
      </c>
      <c r="L920" s="560">
        <f t="shared" si="30"/>
        <v>22</v>
      </c>
    </row>
    <row r="921" spans="1:19">
      <c r="B921" s="553">
        <v>44265</v>
      </c>
      <c r="C921" t="s">
        <v>1387</v>
      </c>
      <c r="D921" s="281">
        <v>1</v>
      </c>
      <c r="E921" t="s">
        <v>2029</v>
      </c>
      <c r="F921" t="s">
        <v>530</v>
      </c>
      <c r="G921" t="s">
        <v>765</v>
      </c>
      <c r="H921" t="s">
        <v>1384</v>
      </c>
      <c r="I921">
        <v>5010000000</v>
      </c>
      <c r="J921" s="560">
        <v>200</v>
      </c>
      <c r="K921" s="560">
        <f t="shared" si="29"/>
        <v>24</v>
      </c>
      <c r="L921" s="560">
        <f t="shared" si="30"/>
        <v>21</v>
      </c>
    </row>
    <row r="922" spans="1:19">
      <c r="B922" s="553">
        <v>44265</v>
      </c>
      <c r="C922" t="s">
        <v>1387</v>
      </c>
      <c r="D922" s="281">
        <v>1</v>
      </c>
      <c r="E922" t="s">
        <v>2030</v>
      </c>
      <c r="F922" t="s">
        <v>532</v>
      </c>
      <c r="G922" t="s">
        <v>765</v>
      </c>
      <c r="H922" t="s">
        <v>1384</v>
      </c>
      <c r="I922">
        <v>5010000000</v>
      </c>
      <c r="J922" s="560">
        <v>861.79</v>
      </c>
      <c r="K922" s="560">
        <f t="shared" si="29"/>
        <v>24</v>
      </c>
      <c r="L922" s="560">
        <f t="shared" si="30"/>
        <v>20</v>
      </c>
    </row>
    <row r="923" spans="1:19">
      <c r="B923" s="553">
        <v>44265</v>
      </c>
      <c r="C923" t="s">
        <v>1387</v>
      </c>
      <c r="D923" s="281">
        <v>1</v>
      </c>
      <c r="E923" t="s">
        <v>2031</v>
      </c>
      <c r="F923" t="s">
        <v>534</v>
      </c>
      <c r="G923" t="s">
        <v>765</v>
      </c>
      <c r="H923" t="s">
        <v>1384</v>
      </c>
      <c r="I923">
        <v>5010000000</v>
      </c>
      <c r="J923" s="560">
        <v>200</v>
      </c>
      <c r="K923" s="560">
        <f t="shared" si="29"/>
        <v>24</v>
      </c>
      <c r="L923" s="560">
        <f t="shared" si="30"/>
        <v>19</v>
      </c>
    </row>
    <row r="924" spans="1:19">
      <c r="B924" s="553">
        <v>44265</v>
      </c>
      <c r="C924" t="s">
        <v>1387</v>
      </c>
      <c r="D924" s="281">
        <v>2</v>
      </c>
      <c r="E924" t="s">
        <v>2026</v>
      </c>
      <c r="F924" t="s">
        <v>499</v>
      </c>
      <c r="G924" t="s">
        <v>765</v>
      </c>
      <c r="H924" t="s">
        <v>1384</v>
      </c>
      <c r="I924">
        <v>5010000000</v>
      </c>
      <c r="J924" s="560">
        <v>111742</v>
      </c>
      <c r="K924" s="560">
        <f t="shared" si="29"/>
        <v>24</v>
      </c>
      <c r="L924" s="560">
        <f t="shared" si="30"/>
        <v>18</v>
      </c>
    </row>
    <row r="925" spans="1:19">
      <c r="B925" s="553">
        <v>44265</v>
      </c>
      <c r="C925" t="s">
        <v>1387</v>
      </c>
      <c r="D925" s="281">
        <v>2</v>
      </c>
      <c r="E925" t="s">
        <v>2027</v>
      </c>
      <c r="F925" t="s">
        <v>504</v>
      </c>
      <c r="G925" t="s">
        <v>765</v>
      </c>
      <c r="H925" t="s">
        <v>1384</v>
      </c>
      <c r="I925">
        <v>5010000000</v>
      </c>
      <c r="J925" s="560">
        <v>2000</v>
      </c>
      <c r="K925" s="560">
        <f t="shared" si="29"/>
        <v>24</v>
      </c>
      <c r="L925" s="560">
        <f t="shared" si="30"/>
        <v>17</v>
      </c>
    </row>
    <row r="926" spans="1:19">
      <c r="B926" s="553">
        <v>44265</v>
      </c>
      <c r="C926" t="s">
        <v>1387</v>
      </c>
      <c r="D926" s="281">
        <v>2</v>
      </c>
      <c r="E926" t="s">
        <v>2028</v>
      </c>
      <c r="F926" t="s">
        <v>528</v>
      </c>
      <c r="G926" t="s">
        <v>765</v>
      </c>
      <c r="H926" t="s">
        <v>1384</v>
      </c>
      <c r="I926">
        <v>5010301000</v>
      </c>
      <c r="J926" s="560">
        <v>13409.04</v>
      </c>
      <c r="K926" s="560">
        <f t="shared" si="29"/>
        <v>24</v>
      </c>
      <c r="L926" s="560">
        <f t="shared" si="30"/>
        <v>16</v>
      </c>
    </row>
    <row r="927" spans="1:19">
      <c r="B927" s="553">
        <v>44265</v>
      </c>
      <c r="C927" t="s">
        <v>1387</v>
      </c>
      <c r="D927" s="281">
        <v>2</v>
      </c>
      <c r="E927" t="s">
        <v>2029</v>
      </c>
      <c r="F927" t="s">
        <v>530</v>
      </c>
      <c r="G927" t="s">
        <v>765</v>
      </c>
      <c r="H927" t="s">
        <v>1384</v>
      </c>
      <c r="I927">
        <v>5010000000</v>
      </c>
      <c r="J927" s="560">
        <v>100</v>
      </c>
      <c r="K927" s="560">
        <f t="shared" si="29"/>
        <v>24</v>
      </c>
      <c r="L927" s="560">
        <f t="shared" si="30"/>
        <v>15</v>
      </c>
    </row>
    <row r="928" spans="1:19">
      <c r="B928" s="553">
        <v>44265</v>
      </c>
      <c r="C928" t="s">
        <v>1387</v>
      </c>
      <c r="D928" s="281">
        <v>2</v>
      </c>
      <c r="E928" t="s">
        <v>2030</v>
      </c>
      <c r="F928" t="s">
        <v>532</v>
      </c>
      <c r="G928" t="s">
        <v>765</v>
      </c>
      <c r="H928" t="s">
        <v>1384</v>
      </c>
      <c r="I928">
        <v>5010000000</v>
      </c>
      <c r="J928" s="560">
        <v>900</v>
      </c>
      <c r="K928" s="560">
        <f t="shared" si="29"/>
        <v>24</v>
      </c>
      <c r="L928" s="560">
        <f t="shared" si="30"/>
        <v>14</v>
      </c>
    </row>
    <row r="929" spans="1:19">
      <c r="B929" s="553">
        <v>44265</v>
      </c>
      <c r="C929" t="s">
        <v>1387</v>
      </c>
      <c r="D929" s="281">
        <v>2</v>
      </c>
      <c r="E929" t="s">
        <v>2031</v>
      </c>
      <c r="F929" t="s">
        <v>534</v>
      </c>
      <c r="G929" t="s">
        <v>765</v>
      </c>
      <c r="H929" t="s">
        <v>1384</v>
      </c>
      <c r="I929">
        <v>5010000000</v>
      </c>
      <c r="J929" s="560">
        <v>100</v>
      </c>
      <c r="K929" s="560">
        <f t="shared" si="29"/>
        <v>24</v>
      </c>
      <c r="L929" s="560">
        <f t="shared" si="30"/>
        <v>13</v>
      </c>
    </row>
    <row r="930" spans="1:19">
      <c r="B930" s="553">
        <v>44265</v>
      </c>
      <c r="C930" t="s">
        <v>1387</v>
      </c>
      <c r="D930" s="281">
        <v>3</v>
      </c>
      <c r="E930" t="s">
        <v>2026</v>
      </c>
      <c r="F930" t="s">
        <v>499</v>
      </c>
      <c r="G930" t="s">
        <v>765</v>
      </c>
      <c r="H930" t="s">
        <v>1384</v>
      </c>
      <c r="I930">
        <v>5010000000</v>
      </c>
      <c r="J930" s="560">
        <v>81329</v>
      </c>
      <c r="K930" s="560">
        <f t="shared" si="29"/>
        <v>24</v>
      </c>
      <c r="L930" s="560">
        <f t="shared" si="30"/>
        <v>12</v>
      </c>
    </row>
    <row r="931" spans="1:19">
      <c r="B931" s="553">
        <v>44265</v>
      </c>
      <c r="C931" t="s">
        <v>1387</v>
      </c>
      <c r="D931" s="281">
        <v>3</v>
      </c>
      <c r="E931" t="s">
        <v>2027</v>
      </c>
      <c r="F931" t="s">
        <v>504</v>
      </c>
      <c r="G931" t="s">
        <v>765</v>
      </c>
      <c r="H931" t="s">
        <v>1384</v>
      </c>
      <c r="I931">
        <v>5010000000</v>
      </c>
      <c r="J931" s="560">
        <v>6000</v>
      </c>
      <c r="K931" s="560">
        <f t="shared" si="29"/>
        <v>24</v>
      </c>
      <c r="L931" s="560">
        <f t="shared" si="30"/>
        <v>11</v>
      </c>
    </row>
    <row r="932" spans="1:19">
      <c r="B932" s="553">
        <v>44265</v>
      </c>
      <c r="C932" t="s">
        <v>1387</v>
      </c>
      <c r="D932" s="281">
        <v>3</v>
      </c>
      <c r="E932" t="s">
        <v>2028</v>
      </c>
      <c r="F932" t="s">
        <v>528</v>
      </c>
      <c r="G932" t="s">
        <v>765</v>
      </c>
      <c r="H932" t="s">
        <v>1384</v>
      </c>
      <c r="I932">
        <v>5010301000</v>
      </c>
      <c r="J932" s="560">
        <v>9759.48</v>
      </c>
      <c r="K932" s="560">
        <f t="shared" si="29"/>
        <v>24</v>
      </c>
      <c r="L932" s="560">
        <f t="shared" si="30"/>
        <v>10</v>
      </c>
    </row>
    <row r="933" spans="1:19">
      <c r="B933" s="553">
        <v>44265</v>
      </c>
      <c r="C933" t="s">
        <v>1387</v>
      </c>
      <c r="D933" s="281">
        <v>3</v>
      </c>
      <c r="E933" t="s">
        <v>2029</v>
      </c>
      <c r="F933" t="s">
        <v>530</v>
      </c>
      <c r="G933" t="s">
        <v>765</v>
      </c>
      <c r="H933" t="s">
        <v>1384</v>
      </c>
      <c r="I933">
        <v>5010000000</v>
      </c>
      <c r="J933" s="560">
        <v>300</v>
      </c>
      <c r="K933" s="560">
        <f t="shared" si="29"/>
        <v>24</v>
      </c>
      <c r="L933" s="560">
        <f t="shared" si="30"/>
        <v>9</v>
      </c>
    </row>
    <row r="934" spans="1:19">
      <c r="B934" s="553">
        <v>44265</v>
      </c>
      <c r="C934" t="s">
        <v>1387</v>
      </c>
      <c r="D934" s="281">
        <v>3</v>
      </c>
      <c r="E934" t="s">
        <v>2030</v>
      </c>
      <c r="F934" t="s">
        <v>532</v>
      </c>
      <c r="G934" t="s">
        <v>765</v>
      </c>
      <c r="H934" t="s">
        <v>1384</v>
      </c>
      <c r="I934">
        <v>5010000000</v>
      </c>
      <c r="J934" s="560">
        <v>1219.95</v>
      </c>
      <c r="K934" s="560">
        <f t="shared" si="29"/>
        <v>24</v>
      </c>
      <c r="L934" s="560">
        <f t="shared" si="30"/>
        <v>8</v>
      </c>
    </row>
    <row r="935" spans="1:19">
      <c r="B935" s="553">
        <v>44265</v>
      </c>
      <c r="C935" t="s">
        <v>1387</v>
      </c>
      <c r="D935" s="281">
        <v>3</v>
      </c>
      <c r="E935" t="s">
        <v>2031</v>
      </c>
      <c r="F935" t="s">
        <v>534</v>
      </c>
      <c r="G935" t="s">
        <v>765</v>
      </c>
      <c r="H935" t="s">
        <v>1384</v>
      </c>
      <c r="I935">
        <v>5010000000</v>
      </c>
      <c r="J935" s="560">
        <v>300</v>
      </c>
      <c r="K935" s="560">
        <f t="shared" si="29"/>
        <v>24</v>
      </c>
      <c r="L935" s="560">
        <f t="shared" si="30"/>
        <v>7</v>
      </c>
    </row>
    <row r="936" spans="1:19">
      <c r="B936" s="553">
        <v>44265</v>
      </c>
      <c r="C936" t="s">
        <v>1387</v>
      </c>
      <c r="D936" s="281">
        <v>4</v>
      </c>
      <c r="E936" t="s">
        <v>2026</v>
      </c>
      <c r="F936" t="s">
        <v>499</v>
      </c>
      <c r="G936" t="s">
        <v>765</v>
      </c>
      <c r="H936" t="s">
        <v>1384</v>
      </c>
      <c r="I936">
        <v>5010000000</v>
      </c>
      <c r="J936" s="560">
        <v>78017</v>
      </c>
      <c r="K936" s="560">
        <f t="shared" si="29"/>
        <v>24</v>
      </c>
      <c r="L936" s="560">
        <f t="shared" si="30"/>
        <v>6</v>
      </c>
    </row>
    <row r="937" spans="1:19">
      <c r="B937" s="553">
        <v>44265</v>
      </c>
      <c r="C937" t="s">
        <v>1387</v>
      </c>
      <c r="D937" s="281">
        <v>4</v>
      </c>
      <c r="E937" t="s">
        <v>2027</v>
      </c>
      <c r="F937" t="s">
        <v>504</v>
      </c>
      <c r="G937" t="s">
        <v>765</v>
      </c>
      <c r="H937" t="s">
        <v>1384</v>
      </c>
      <c r="I937">
        <v>5010000000</v>
      </c>
      <c r="J937" s="560">
        <v>4000</v>
      </c>
      <c r="K937" s="560">
        <f t="shared" si="29"/>
        <v>24</v>
      </c>
      <c r="L937" s="560">
        <f t="shared" si="30"/>
        <v>5</v>
      </c>
    </row>
    <row r="938" spans="1:19">
      <c r="B938" s="553">
        <v>44265</v>
      </c>
      <c r="C938" t="s">
        <v>1387</v>
      </c>
      <c r="D938" s="281">
        <v>4</v>
      </c>
      <c r="E938" t="s">
        <v>2028</v>
      </c>
      <c r="F938" t="s">
        <v>528</v>
      </c>
      <c r="G938" t="s">
        <v>765</v>
      </c>
      <c r="H938" t="s">
        <v>1384</v>
      </c>
      <c r="I938">
        <v>5010301000</v>
      </c>
      <c r="J938" s="560">
        <v>9362.0400000000009</v>
      </c>
      <c r="K938" s="560">
        <f t="shared" si="29"/>
        <v>24</v>
      </c>
      <c r="L938" s="560">
        <f t="shared" si="30"/>
        <v>4</v>
      </c>
    </row>
    <row r="939" spans="1:19">
      <c r="B939" s="553">
        <v>44265</v>
      </c>
      <c r="C939" t="s">
        <v>1387</v>
      </c>
      <c r="D939" s="281">
        <v>4</v>
      </c>
      <c r="E939" t="s">
        <v>2029</v>
      </c>
      <c r="F939" t="s">
        <v>530</v>
      </c>
      <c r="G939" t="s">
        <v>765</v>
      </c>
      <c r="H939" t="s">
        <v>1384</v>
      </c>
      <c r="I939">
        <v>5010000000</v>
      </c>
      <c r="J939" s="560">
        <v>200</v>
      </c>
      <c r="K939" s="560">
        <f t="shared" si="29"/>
        <v>24</v>
      </c>
      <c r="L939" s="560">
        <f t="shared" si="30"/>
        <v>3</v>
      </c>
    </row>
    <row r="940" spans="1:19">
      <c r="B940" s="553">
        <v>44265</v>
      </c>
      <c r="C940" t="s">
        <v>1387</v>
      </c>
      <c r="D940" s="281">
        <v>4</v>
      </c>
      <c r="E940" t="s">
        <v>2030</v>
      </c>
      <c r="F940" t="s">
        <v>532</v>
      </c>
      <c r="G940" t="s">
        <v>765</v>
      </c>
      <c r="H940" t="s">
        <v>1384</v>
      </c>
      <c r="I940">
        <v>5010000000</v>
      </c>
      <c r="J940" s="560">
        <v>1170.26</v>
      </c>
      <c r="K940" s="560">
        <f t="shared" si="29"/>
        <v>24</v>
      </c>
      <c r="L940" s="560">
        <f t="shared" si="30"/>
        <v>2</v>
      </c>
    </row>
    <row r="941" spans="1:19">
      <c r="A941" t="s">
        <v>2245</v>
      </c>
      <c r="B941" s="553">
        <v>44265</v>
      </c>
      <c r="C941" t="s">
        <v>1387</v>
      </c>
      <c r="D941" s="281">
        <v>4</v>
      </c>
      <c r="E941" t="s">
        <v>2031</v>
      </c>
      <c r="F941" t="s">
        <v>534</v>
      </c>
      <c r="G941" t="s">
        <v>765</v>
      </c>
      <c r="H941" t="s">
        <v>1384</v>
      </c>
      <c r="I941">
        <v>5010000000</v>
      </c>
      <c r="J941" s="560">
        <v>200</v>
      </c>
      <c r="K941" s="560">
        <f t="shared" si="29"/>
        <v>24</v>
      </c>
      <c r="L941" s="560">
        <f t="shared" si="30"/>
        <v>1</v>
      </c>
      <c r="M941" s="560" t="e">
        <f>SUMIFS('[1]MAIN-101'!$Z$1:$Z$3000,'[1]MAIN-101'!$X$1:$X$3000,S941)</f>
        <v>#VALUE!</v>
      </c>
      <c r="N941" s="560"/>
      <c r="O941" s="560"/>
      <c r="S941" t="str">
        <f>VLOOKUP(C941,'Recon of ORS and DV'!$A$4:$B$358,2,FALSE)</f>
        <v>0366</v>
      </c>
    </row>
    <row r="942" spans="1:19">
      <c r="B942" s="553">
        <v>44265</v>
      </c>
      <c r="C942" t="s">
        <v>1388</v>
      </c>
      <c r="D942" s="281">
        <v>13</v>
      </c>
      <c r="E942" t="s">
        <v>2036</v>
      </c>
      <c r="F942" t="s">
        <v>501</v>
      </c>
      <c r="G942" t="s">
        <v>872</v>
      </c>
      <c r="H942" t="s">
        <v>1390</v>
      </c>
      <c r="I942" t="s">
        <v>2036</v>
      </c>
      <c r="J942" s="560">
        <v>33575</v>
      </c>
      <c r="K942" s="560">
        <f t="shared" si="29"/>
        <v>6</v>
      </c>
      <c r="L942" s="560">
        <f t="shared" si="30"/>
        <v>6</v>
      </c>
    </row>
    <row r="943" spans="1:19">
      <c r="B943" s="553">
        <v>44265</v>
      </c>
      <c r="C943" t="s">
        <v>1388</v>
      </c>
      <c r="D943" s="281">
        <v>13</v>
      </c>
      <c r="E943" t="s">
        <v>2027</v>
      </c>
      <c r="F943" t="s">
        <v>504</v>
      </c>
      <c r="G943" t="s">
        <v>872</v>
      </c>
      <c r="H943" t="s">
        <v>1390</v>
      </c>
      <c r="I943" t="s">
        <v>2036</v>
      </c>
      <c r="J943" s="560">
        <v>2000</v>
      </c>
      <c r="K943" s="560">
        <f t="shared" si="29"/>
        <v>6</v>
      </c>
      <c r="L943" s="560">
        <f t="shared" si="30"/>
        <v>5</v>
      </c>
    </row>
    <row r="944" spans="1:19">
      <c r="B944" s="553">
        <v>44265</v>
      </c>
      <c r="C944" t="s">
        <v>1388</v>
      </c>
      <c r="D944" s="281">
        <v>13</v>
      </c>
      <c r="E944" t="s">
        <v>2028</v>
      </c>
      <c r="F944" t="s">
        <v>528</v>
      </c>
      <c r="G944" t="s">
        <v>872</v>
      </c>
      <c r="H944" t="s">
        <v>1390</v>
      </c>
      <c r="I944" t="s">
        <v>2036</v>
      </c>
      <c r="J944" s="560">
        <v>4029</v>
      </c>
      <c r="K944" s="560">
        <f t="shared" si="29"/>
        <v>6</v>
      </c>
      <c r="L944" s="560">
        <f t="shared" si="30"/>
        <v>4</v>
      </c>
    </row>
    <row r="945" spans="1:19">
      <c r="B945" s="553">
        <v>44265</v>
      </c>
      <c r="C945" t="s">
        <v>1388</v>
      </c>
      <c r="D945" s="281">
        <v>13</v>
      </c>
      <c r="E945" t="s">
        <v>2029</v>
      </c>
      <c r="F945" t="s">
        <v>530</v>
      </c>
      <c r="G945" t="s">
        <v>872</v>
      </c>
      <c r="H945" t="s">
        <v>1390</v>
      </c>
      <c r="I945" t="s">
        <v>2036</v>
      </c>
      <c r="J945" s="560">
        <v>100</v>
      </c>
      <c r="K945" s="560">
        <f t="shared" si="29"/>
        <v>6</v>
      </c>
      <c r="L945" s="560">
        <f t="shared" si="30"/>
        <v>3</v>
      </c>
    </row>
    <row r="946" spans="1:19">
      <c r="B946" s="553">
        <v>44265</v>
      </c>
      <c r="C946" t="s">
        <v>1388</v>
      </c>
      <c r="D946" s="281">
        <v>13</v>
      </c>
      <c r="E946" t="s">
        <v>2030</v>
      </c>
      <c r="F946" t="s">
        <v>532</v>
      </c>
      <c r="G946" t="s">
        <v>872</v>
      </c>
      <c r="H946" t="s">
        <v>1390</v>
      </c>
      <c r="I946" t="s">
        <v>2036</v>
      </c>
      <c r="J946" s="560">
        <v>503.63</v>
      </c>
      <c r="K946" s="560">
        <f t="shared" si="29"/>
        <v>6</v>
      </c>
      <c r="L946" s="560">
        <f t="shared" si="30"/>
        <v>2</v>
      </c>
    </row>
    <row r="947" spans="1:19">
      <c r="A947" t="s">
        <v>2246</v>
      </c>
      <c r="B947" s="553">
        <v>44265</v>
      </c>
      <c r="C947" t="s">
        <v>1388</v>
      </c>
      <c r="D947" s="281">
        <v>13</v>
      </c>
      <c r="E947" t="s">
        <v>2031</v>
      </c>
      <c r="F947" t="s">
        <v>534</v>
      </c>
      <c r="G947" t="s">
        <v>872</v>
      </c>
      <c r="H947" t="s">
        <v>1390</v>
      </c>
      <c r="I947" t="s">
        <v>2036</v>
      </c>
      <c r="J947" s="560">
        <v>100</v>
      </c>
      <c r="K947" s="560">
        <f t="shared" si="29"/>
        <v>6</v>
      </c>
      <c r="L947" s="560">
        <f t="shared" si="30"/>
        <v>1</v>
      </c>
      <c r="M947" s="560" t="e">
        <f>SUMIFS('[1]MAIN-101'!$Z$1:$Z$3000,'[1]MAIN-101'!$X$1:$X$3000,S947)</f>
        <v>#VALUE!</v>
      </c>
      <c r="N947" s="560"/>
      <c r="O947" s="560"/>
      <c r="S947" t="str">
        <f>VLOOKUP(C947,'Recon of ORS and DV'!$A$4:$B$358,2,FALSE)</f>
        <v>0367</v>
      </c>
    </row>
    <row r="948" spans="1:19">
      <c r="B948" s="553">
        <v>44265</v>
      </c>
      <c r="C948" t="s">
        <v>1389</v>
      </c>
      <c r="D948" s="281">
        <v>13</v>
      </c>
      <c r="E948" t="s">
        <v>2036</v>
      </c>
      <c r="F948" t="s">
        <v>501</v>
      </c>
      <c r="G948" t="s">
        <v>863</v>
      </c>
      <c r="H948" t="s">
        <v>1390</v>
      </c>
      <c r="I948" t="s">
        <v>2036</v>
      </c>
      <c r="J948" s="560">
        <v>43681</v>
      </c>
      <c r="K948" s="560">
        <f t="shared" si="29"/>
        <v>6</v>
      </c>
      <c r="L948" s="560">
        <f t="shared" si="30"/>
        <v>6</v>
      </c>
    </row>
    <row r="949" spans="1:19">
      <c r="B949" s="553">
        <v>44265</v>
      </c>
      <c r="C949" t="s">
        <v>1389</v>
      </c>
      <c r="D949" s="281">
        <v>13</v>
      </c>
      <c r="E949" t="s">
        <v>2027</v>
      </c>
      <c r="F949" t="s">
        <v>504</v>
      </c>
      <c r="G949" t="s">
        <v>863</v>
      </c>
      <c r="H949" t="s">
        <v>1390</v>
      </c>
      <c r="I949" t="s">
        <v>2036</v>
      </c>
      <c r="J949" s="560">
        <v>2000</v>
      </c>
      <c r="K949" s="560">
        <f t="shared" si="29"/>
        <v>6</v>
      </c>
      <c r="L949" s="560">
        <f t="shared" si="30"/>
        <v>5</v>
      </c>
    </row>
    <row r="950" spans="1:19">
      <c r="B950" s="553">
        <v>44265</v>
      </c>
      <c r="C950" t="s">
        <v>1389</v>
      </c>
      <c r="D950" s="281">
        <v>13</v>
      </c>
      <c r="E950" t="s">
        <v>2028</v>
      </c>
      <c r="F950" t="s">
        <v>528</v>
      </c>
      <c r="G950" t="s">
        <v>863</v>
      </c>
      <c r="H950" t="s">
        <v>1390</v>
      </c>
      <c r="I950" t="s">
        <v>2036</v>
      </c>
      <c r="J950" s="560">
        <v>5241.72</v>
      </c>
      <c r="K950" s="560">
        <f t="shared" si="29"/>
        <v>6</v>
      </c>
      <c r="L950" s="560">
        <f t="shared" si="30"/>
        <v>4</v>
      </c>
    </row>
    <row r="951" spans="1:19">
      <c r="B951" s="553">
        <v>44265</v>
      </c>
      <c r="C951" t="s">
        <v>1389</v>
      </c>
      <c r="D951" s="281">
        <v>13</v>
      </c>
      <c r="E951" t="s">
        <v>2029</v>
      </c>
      <c r="F951" t="s">
        <v>530</v>
      </c>
      <c r="G951" t="s">
        <v>863</v>
      </c>
      <c r="H951" t="s">
        <v>1390</v>
      </c>
      <c r="I951" t="s">
        <v>2036</v>
      </c>
      <c r="J951" s="560">
        <v>100</v>
      </c>
      <c r="K951" s="560">
        <f t="shared" si="29"/>
        <v>6</v>
      </c>
      <c r="L951" s="560">
        <f t="shared" si="30"/>
        <v>3</v>
      </c>
    </row>
    <row r="952" spans="1:19">
      <c r="B952" s="553">
        <v>44265</v>
      </c>
      <c r="C952" t="s">
        <v>1389</v>
      </c>
      <c r="D952" s="281">
        <v>13</v>
      </c>
      <c r="E952" t="s">
        <v>2030</v>
      </c>
      <c r="F952" t="s">
        <v>532</v>
      </c>
      <c r="G952" t="s">
        <v>863</v>
      </c>
      <c r="H952" t="s">
        <v>1390</v>
      </c>
      <c r="I952" t="s">
        <v>2036</v>
      </c>
      <c r="J952" s="560">
        <v>655.22</v>
      </c>
      <c r="K952" s="560">
        <f t="shared" si="29"/>
        <v>6</v>
      </c>
      <c r="L952" s="560">
        <f t="shared" si="30"/>
        <v>2</v>
      </c>
    </row>
    <row r="953" spans="1:19">
      <c r="A953" t="s">
        <v>2247</v>
      </c>
      <c r="B953" s="553">
        <v>44265</v>
      </c>
      <c r="C953" t="s">
        <v>1389</v>
      </c>
      <c r="D953" s="281">
        <v>13</v>
      </c>
      <c r="E953" t="s">
        <v>2031</v>
      </c>
      <c r="F953" t="s">
        <v>534</v>
      </c>
      <c r="G953" t="s">
        <v>863</v>
      </c>
      <c r="H953" t="s">
        <v>1390</v>
      </c>
      <c r="I953" t="s">
        <v>2036</v>
      </c>
      <c r="J953" s="560">
        <v>100</v>
      </c>
      <c r="K953" s="560">
        <f t="shared" si="29"/>
        <v>6</v>
      </c>
      <c r="L953" s="560">
        <f t="shared" si="30"/>
        <v>1</v>
      </c>
      <c r="M953" s="560" t="e">
        <f>SUMIFS('[1]MAIN-101'!$Z$1:$Z$3000,'[1]MAIN-101'!$X$1:$X$3000,S953)</f>
        <v>#VALUE!</v>
      </c>
      <c r="N953" s="560"/>
      <c r="O953" s="560"/>
      <c r="S953" t="str">
        <f>VLOOKUP(C953,'Recon of ORS and DV'!$A$4:$B$358,2,FALSE)</f>
        <v>0368</v>
      </c>
    </row>
    <row r="954" spans="1:19">
      <c r="B954" s="553">
        <v>44265</v>
      </c>
      <c r="C954" t="s">
        <v>1391</v>
      </c>
      <c r="D954" s="281">
        <v>13</v>
      </c>
      <c r="E954" t="s">
        <v>2036</v>
      </c>
      <c r="F954" t="s">
        <v>501</v>
      </c>
      <c r="G954" t="s">
        <v>768</v>
      </c>
      <c r="H954" t="s">
        <v>1390</v>
      </c>
      <c r="I954" t="s">
        <v>2036</v>
      </c>
      <c r="J954" s="560">
        <v>77256</v>
      </c>
      <c r="K954" s="560">
        <f t="shared" si="29"/>
        <v>6</v>
      </c>
      <c r="L954" s="560">
        <f t="shared" si="30"/>
        <v>6</v>
      </c>
    </row>
    <row r="955" spans="1:19">
      <c r="B955" s="553">
        <v>44265</v>
      </c>
      <c r="C955" t="s">
        <v>1391</v>
      </c>
      <c r="D955" s="281">
        <v>13</v>
      </c>
      <c r="E955" t="s">
        <v>2027</v>
      </c>
      <c r="F955" t="s">
        <v>504</v>
      </c>
      <c r="G955" t="s">
        <v>768</v>
      </c>
      <c r="H955" t="s">
        <v>1390</v>
      </c>
      <c r="I955" t="s">
        <v>2036</v>
      </c>
      <c r="J955" s="560">
        <v>4000</v>
      </c>
      <c r="K955" s="560">
        <f t="shared" si="29"/>
        <v>6</v>
      </c>
      <c r="L955" s="560">
        <f t="shared" si="30"/>
        <v>5</v>
      </c>
    </row>
    <row r="956" spans="1:19">
      <c r="B956" s="553">
        <v>44265</v>
      </c>
      <c r="C956" t="s">
        <v>1391</v>
      </c>
      <c r="D956" s="281">
        <v>13</v>
      </c>
      <c r="E956" t="s">
        <v>2028</v>
      </c>
      <c r="F956" t="s">
        <v>528</v>
      </c>
      <c r="G956" t="s">
        <v>768</v>
      </c>
      <c r="H956" t="s">
        <v>1390</v>
      </c>
      <c r="I956" t="s">
        <v>2036</v>
      </c>
      <c r="J956" s="560">
        <v>9270.7199999999993</v>
      </c>
      <c r="K956" s="560">
        <f t="shared" si="29"/>
        <v>6</v>
      </c>
      <c r="L956" s="560">
        <f t="shared" si="30"/>
        <v>4</v>
      </c>
    </row>
    <row r="957" spans="1:19">
      <c r="B957" s="553">
        <v>44265</v>
      </c>
      <c r="C957" t="s">
        <v>1391</v>
      </c>
      <c r="D957" s="281">
        <v>13</v>
      </c>
      <c r="E957" t="s">
        <v>2029</v>
      </c>
      <c r="F957" t="s">
        <v>530</v>
      </c>
      <c r="G957" t="s">
        <v>768</v>
      </c>
      <c r="H957" t="s">
        <v>1390</v>
      </c>
      <c r="I957" t="s">
        <v>2036</v>
      </c>
      <c r="J957" s="560">
        <v>200</v>
      </c>
      <c r="K957" s="560">
        <f t="shared" si="29"/>
        <v>6</v>
      </c>
      <c r="L957" s="560">
        <f t="shared" si="30"/>
        <v>3</v>
      </c>
    </row>
    <row r="958" spans="1:19">
      <c r="B958" s="553">
        <v>44265</v>
      </c>
      <c r="C958" t="s">
        <v>1391</v>
      </c>
      <c r="D958" s="281">
        <v>13</v>
      </c>
      <c r="E958" t="s">
        <v>2030</v>
      </c>
      <c r="F958" t="s">
        <v>532</v>
      </c>
      <c r="G958" t="s">
        <v>768</v>
      </c>
      <c r="H958" t="s">
        <v>1390</v>
      </c>
      <c r="I958" t="s">
        <v>2036</v>
      </c>
      <c r="J958" s="560">
        <v>1158.8499999999999</v>
      </c>
      <c r="K958" s="560">
        <f t="shared" si="29"/>
        <v>6</v>
      </c>
      <c r="L958" s="560">
        <f t="shared" si="30"/>
        <v>2</v>
      </c>
    </row>
    <row r="959" spans="1:19">
      <c r="A959" t="s">
        <v>2277</v>
      </c>
      <c r="B959" s="553">
        <v>44265</v>
      </c>
      <c r="C959" t="s">
        <v>1391</v>
      </c>
      <c r="D959" s="281">
        <v>13</v>
      </c>
      <c r="E959" t="s">
        <v>2031</v>
      </c>
      <c r="F959" t="s">
        <v>534</v>
      </c>
      <c r="G959" t="s">
        <v>768</v>
      </c>
      <c r="H959" t="s">
        <v>1390</v>
      </c>
      <c r="I959" t="s">
        <v>2036</v>
      </c>
      <c r="J959" s="560">
        <v>200</v>
      </c>
      <c r="K959" s="560">
        <f t="shared" si="29"/>
        <v>6</v>
      </c>
      <c r="L959" s="560">
        <f t="shared" si="30"/>
        <v>1</v>
      </c>
      <c r="M959" s="560" t="e">
        <f>SUMIFS('[1]MAIN-101'!$Z$1:$Z$3000,'[1]MAIN-101'!$X$1:$X$3000,S959)</f>
        <v>#VALUE!</v>
      </c>
      <c r="N959" s="560"/>
      <c r="O959" s="560"/>
      <c r="S959" t="str">
        <f>VLOOKUP(C959,'Recon of ORS and DV'!$A$4:$B$358,2,FALSE)</f>
        <v>0369</v>
      </c>
    </row>
    <row r="960" spans="1:19">
      <c r="B960" s="553">
        <v>44265</v>
      </c>
      <c r="C960" t="s">
        <v>1392</v>
      </c>
      <c r="D960" s="281">
        <v>13</v>
      </c>
      <c r="E960" t="s">
        <v>2036</v>
      </c>
      <c r="F960" t="s">
        <v>501</v>
      </c>
      <c r="G960" t="s">
        <v>867</v>
      </c>
      <c r="H960" t="s">
        <v>1390</v>
      </c>
      <c r="I960" t="s">
        <v>2036</v>
      </c>
      <c r="J960" s="560">
        <v>33575</v>
      </c>
      <c r="K960" s="560">
        <f t="shared" si="29"/>
        <v>6</v>
      </c>
      <c r="L960" s="560">
        <f t="shared" si="30"/>
        <v>6</v>
      </c>
    </row>
    <row r="961" spans="1:19">
      <c r="B961" s="553">
        <v>44265</v>
      </c>
      <c r="C961" t="s">
        <v>1392</v>
      </c>
      <c r="D961" s="281">
        <v>13</v>
      </c>
      <c r="E961" t="s">
        <v>2027</v>
      </c>
      <c r="F961" t="s">
        <v>504</v>
      </c>
      <c r="G961" t="s">
        <v>867</v>
      </c>
      <c r="H961" t="s">
        <v>1390</v>
      </c>
      <c r="I961" t="s">
        <v>2036</v>
      </c>
      <c r="J961" s="560">
        <v>2000</v>
      </c>
      <c r="K961" s="560">
        <f t="shared" si="29"/>
        <v>6</v>
      </c>
      <c r="L961" s="560">
        <f t="shared" si="30"/>
        <v>5</v>
      </c>
    </row>
    <row r="962" spans="1:19">
      <c r="B962" s="553">
        <v>44265</v>
      </c>
      <c r="C962" t="s">
        <v>1392</v>
      </c>
      <c r="D962" s="281">
        <v>13</v>
      </c>
      <c r="E962" t="s">
        <v>2028</v>
      </c>
      <c r="F962" t="s">
        <v>528</v>
      </c>
      <c r="G962" t="s">
        <v>867</v>
      </c>
      <c r="H962" t="s">
        <v>1390</v>
      </c>
      <c r="I962" t="s">
        <v>2036</v>
      </c>
      <c r="J962" s="560">
        <v>4029</v>
      </c>
      <c r="K962" s="560">
        <f t="shared" si="29"/>
        <v>6</v>
      </c>
      <c r="L962" s="560">
        <f t="shared" si="30"/>
        <v>4</v>
      </c>
    </row>
    <row r="963" spans="1:19">
      <c r="B963" s="553">
        <v>44265</v>
      </c>
      <c r="C963" t="s">
        <v>1392</v>
      </c>
      <c r="D963" s="281">
        <v>13</v>
      </c>
      <c r="E963" t="s">
        <v>2029</v>
      </c>
      <c r="F963" t="s">
        <v>530</v>
      </c>
      <c r="G963" t="s">
        <v>867</v>
      </c>
      <c r="H963" t="s">
        <v>1390</v>
      </c>
      <c r="I963" t="s">
        <v>2036</v>
      </c>
      <c r="J963" s="560">
        <v>100</v>
      </c>
      <c r="K963" s="560">
        <f t="shared" si="29"/>
        <v>6</v>
      </c>
      <c r="L963" s="560">
        <f t="shared" si="30"/>
        <v>3</v>
      </c>
    </row>
    <row r="964" spans="1:19">
      <c r="B964" s="553">
        <v>44265</v>
      </c>
      <c r="C964" t="s">
        <v>1392</v>
      </c>
      <c r="D964" s="281">
        <v>13</v>
      </c>
      <c r="E964" t="s">
        <v>2030</v>
      </c>
      <c r="F964" t="s">
        <v>532</v>
      </c>
      <c r="G964" t="s">
        <v>867</v>
      </c>
      <c r="H964" t="s">
        <v>1390</v>
      </c>
      <c r="I964" t="s">
        <v>2036</v>
      </c>
      <c r="J964" s="560">
        <v>503.63</v>
      </c>
      <c r="K964" s="560">
        <f t="shared" ref="K964:K1027" si="31">COUNTIFS($C$3:$C$1556,C964)</f>
        <v>6</v>
      </c>
      <c r="L964" s="560">
        <f t="shared" si="30"/>
        <v>2</v>
      </c>
    </row>
    <row r="965" spans="1:19">
      <c r="A965" t="s">
        <v>2248</v>
      </c>
      <c r="B965" s="553">
        <v>44265</v>
      </c>
      <c r="C965" t="s">
        <v>1392</v>
      </c>
      <c r="D965" s="281">
        <v>13</v>
      </c>
      <c r="E965" t="s">
        <v>2031</v>
      </c>
      <c r="F965" t="s">
        <v>534</v>
      </c>
      <c r="G965" t="s">
        <v>867</v>
      </c>
      <c r="H965" t="s">
        <v>1390</v>
      </c>
      <c r="I965" t="s">
        <v>2036</v>
      </c>
      <c r="J965" s="560">
        <v>100</v>
      </c>
      <c r="K965" s="560">
        <f t="shared" si="31"/>
        <v>6</v>
      </c>
      <c r="L965" s="560">
        <f t="shared" si="30"/>
        <v>1</v>
      </c>
      <c r="M965" s="560" t="e">
        <f>SUMIFS('[1]MAIN-101'!$Z$1:$Z$3000,'[1]MAIN-101'!$X$1:$X$3000,S965)</f>
        <v>#VALUE!</v>
      </c>
      <c r="N965" s="560"/>
      <c r="O965" s="560"/>
      <c r="S965" t="str">
        <f>VLOOKUP(C965,'Recon of ORS and DV'!$A$4:$B$358,2,FALSE)</f>
        <v>0370</v>
      </c>
    </row>
    <row r="966" spans="1:19">
      <c r="B966" s="553">
        <v>44265</v>
      </c>
      <c r="C966" t="s">
        <v>1393</v>
      </c>
      <c r="D966" s="281">
        <v>4</v>
      </c>
      <c r="E966" t="s">
        <v>2026</v>
      </c>
      <c r="F966" t="s">
        <v>499</v>
      </c>
      <c r="G966" t="s">
        <v>1165</v>
      </c>
      <c r="H966" t="s">
        <v>1394</v>
      </c>
      <c r="I966">
        <v>5010000000</v>
      </c>
      <c r="J966" s="560">
        <v>23877</v>
      </c>
      <c r="K966" s="560">
        <f t="shared" si="31"/>
        <v>6</v>
      </c>
      <c r="L966" s="560">
        <f t="shared" si="30"/>
        <v>6</v>
      </c>
    </row>
    <row r="967" spans="1:19">
      <c r="B967" s="553">
        <v>44265</v>
      </c>
      <c r="C967" t="s">
        <v>1393</v>
      </c>
      <c r="D967" s="281">
        <v>4</v>
      </c>
      <c r="E967" t="s">
        <v>2027</v>
      </c>
      <c r="F967" t="s">
        <v>504</v>
      </c>
      <c r="G967" t="s">
        <v>1165</v>
      </c>
      <c r="H967" t="s">
        <v>1394</v>
      </c>
      <c r="I967">
        <v>5010000000</v>
      </c>
      <c r="J967" s="560">
        <v>2000</v>
      </c>
      <c r="K967" s="560">
        <f t="shared" si="31"/>
        <v>6</v>
      </c>
      <c r="L967" s="560">
        <f t="shared" si="30"/>
        <v>5</v>
      </c>
    </row>
    <row r="968" spans="1:19">
      <c r="B968" s="553">
        <v>44265</v>
      </c>
      <c r="C968" t="s">
        <v>1393</v>
      </c>
      <c r="D968" s="281">
        <v>4</v>
      </c>
      <c r="E968" t="s">
        <v>2028</v>
      </c>
      <c r="F968" t="s">
        <v>528</v>
      </c>
      <c r="G968" t="s">
        <v>1165</v>
      </c>
      <c r="H968" t="s">
        <v>1394</v>
      </c>
      <c r="I968">
        <v>5010301000</v>
      </c>
      <c r="J968" s="560">
        <v>2865.24</v>
      </c>
      <c r="K968" s="560">
        <f t="shared" si="31"/>
        <v>6</v>
      </c>
      <c r="L968" s="560">
        <f t="shared" si="30"/>
        <v>4</v>
      </c>
    </row>
    <row r="969" spans="1:19">
      <c r="B969" s="553">
        <v>44265</v>
      </c>
      <c r="C969" t="s">
        <v>1393</v>
      </c>
      <c r="D969" s="281">
        <v>4</v>
      </c>
      <c r="E969" t="s">
        <v>2029</v>
      </c>
      <c r="F969" t="s">
        <v>530</v>
      </c>
      <c r="G969" t="s">
        <v>1165</v>
      </c>
      <c r="H969" t="s">
        <v>1394</v>
      </c>
      <c r="I969">
        <v>5010000000</v>
      </c>
      <c r="J969" s="560">
        <v>100</v>
      </c>
      <c r="K969" s="560">
        <f t="shared" si="31"/>
        <v>6</v>
      </c>
      <c r="L969" s="560">
        <f t="shared" si="30"/>
        <v>3</v>
      </c>
    </row>
    <row r="970" spans="1:19">
      <c r="B970" s="553">
        <v>44265</v>
      </c>
      <c r="C970" t="s">
        <v>1393</v>
      </c>
      <c r="D970" s="281">
        <v>4</v>
      </c>
      <c r="E970" t="s">
        <v>2030</v>
      </c>
      <c r="F970" t="s">
        <v>532</v>
      </c>
      <c r="G970" t="s">
        <v>1165</v>
      </c>
      <c r="H970" t="s">
        <v>1394</v>
      </c>
      <c r="I970">
        <v>5010000000</v>
      </c>
      <c r="J970" s="560">
        <v>358.16</v>
      </c>
      <c r="K970" s="560">
        <f t="shared" si="31"/>
        <v>6</v>
      </c>
      <c r="L970" s="560">
        <f t="shared" si="30"/>
        <v>2</v>
      </c>
    </row>
    <row r="971" spans="1:19">
      <c r="A971" t="s">
        <v>2249</v>
      </c>
      <c r="B971" s="553">
        <v>44265</v>
      </c>
      <c r="C971" t="s">
        <v>1393</v>
      </c>
      <c r="D971" s="281">
        <v>4</v>
      </c>
      <c r="E971" t="s">
        <v>2031</v>
      </c>
      <c r="F971" t="s">
        <v>534</v>
      </c>
      <c r="G971" t="s">
        <v>1165</v>
      </c>
      <c r="H971" t="s">
        <v>1394</v>
      </c>
      <c r="I971">
        <v>5010000000</v>
      </c>
      <c r="J971" s="560">
        <v>100</v>
      </c>
      <c r="K971" s="560">
        <f t="shared" si="31"/>
        <v>6</v>
      </c>
      <c r="L971" s="560">
        <f t="shared" si="30"/>
        <v>1</v>
      </c>
      <c r="M971" s="560" t="e">
        <f>SUMIFS('[1]MAIN-101'!$Z$1:$Z$3000,'[1]MAIN-101'!$X$1:$X$3000,S971)</f>
        <v>#VALUE!</v>
      </c>
      <c r="N971" s="560"/>
      <c r="O971" s="560"/>
      <c r="S971" t="str">
        <f>VLOOKUP(C971,'Recon of ORS and DV'!$A$4:$B$358,2,FALSE)</f>
        <v>0371</v>
      </c>
    </row>
    <row r="972" spans="1:19">
      <c r="B972" s="553">
        <v>44265</v>
      </c>
      <c r="C972" t="s">
        <v>1395</v>
      </c>
      <c r="D972" s="281">
        <v>4</v>
      </c>
      <c r="E972" t="s">
        <v>2026</v>
      </c>
      <c r="F972" t="s">
        <v>499</v>
      </c>
      <c r="G972" t="s">
        <v>1170</v>
      </c>
      <c r="H972" t="s">
        <v>1394</v>
      </c>
      <c r="I972">
        <v>5010000000</v>
      </c>
      <c r="J972" s="560">
        <v>23877</v>
      </c>
      <c r="K972" s="560">
        <f t="shared" si="31"/>
        <v>6</v>
      </c>
      <c r="L972" s="560">
        <f t="shared" si="30"/>
        <v>6</v>
      </c>
    </row>
    <row r="973" spans="1:19">
      <c r="B973" s="553">
        <v>44265</v>
      </c>
      <c r="C973" t="s">
        <v>1395</v>
      </c>
      <c r="D973" s="281">
        <v>4</v>
      </c>
      <c r="E973" t="s">
        <v>2027</v>
      </c>
      <c r="F973" t="s">
        <v>504</v>
      </c>
      <c r="G973" t="s">
        <v>1170</v>
      </c>
      <c r="H973" t="s">
        <v>1394</v>
      </c>
      <c r="I973">
        <v>5010000000</v>
      </c>
      <c r="J973" s="560">
        <v>2000</v>
      </c>
      <c r="K973" s="560">
        <f t="shared" si="31"/>
        <v>6</v>
      </c>
      <c r="L973" s="560">
        <f t="shared" si="30"/>
        <v>5</v>
      </c>
    </row>
    <row r="974" spans="1:19">
      <c r="B974" s="553">
        <v>44265</v>
      </c>
      <c r="C974" t="s">
        <v>1395</v>
      </c>
      <c r="D974" s="281">
        <v>4</v>
      </c>
      <c r="E974" t="s">
        <v>2028</v>
      </c>
      <c r="F974" t="s">
        <v>528</v>
      </c>
      <c r="G974" t="s">
        <v>1170</v>
      </c>
      <c r="H974" t="s">
        <v>1394</v>
      </c>
      <c r="I974">
        <v>5010301000</v>
      </c>
      <c r="J974" s="560">
        <v>2865.24</v>
      </c>
      <c r="K974" s="560">
        <f t="shared" si="31"/>
        <v>6</v>
      </c>
      <c r="L974" s="560">
        <f t="shared" si="30"/>
        <v>4</v>
      </c>
    </row>
    <row r="975" spans="1:19">
      <c r="B975" s="553">
        <v>44265</v>
      </c>
      <c r="C975" t="s">
        <v>1395</v>
      </c>
      <c r="D975" s="281">
        <v>4</v>
      </c>
      <c r="E975" t="s">
        <v>2029</v>
      </c>
      <c r="F975" t="s">
        <v>530</v>
      </c>
      <c r="G975" t="s">
        <v>1170</v>
      </c>
      <c r="H975" t="s">
        <v>1394</v>
      </c>
      <c r="I975">
        <v>5010000000</v>
      </c>
      <c r="J975" s="560">
        <v>100</v>
      </c>
      <c r="K975" s="560">
        <f t="shared" si="31"/>
        <v>6</v>
      </c>
      <c r="L975" s="560">
        <f t="shared" ref="L975:L1038" si="32">COUNTIFS(C975:C2528,C975)</f>
        <v>3</v>
      </c>
    </row>
    <row r="976" spans="1:19">
      <c r="B976" s="553">
        <v>44265</v>
      </c>
      <c r="C976" t="s">
        <v>1395</v>
      </c>
      <c r="D976" s="281">
        <v>4</v>
      </c>
      <c r="E976" t="s">
        <v>2030</v>
      </c>
      <c r="F976" t="s">
        <v>532</v>
      </c>
      <c r="G976" t="s">
        <v>1170</v>
      </c>
      <c r="H976" t="s">
        <v>1394</v>
      </c>
      <c r="I976">
        <v>5010000000</v>
      </c>
      <c r="J976" s="560">
        <v>358.16</v>
      </c>
      <c r="K976" s="560">
        <f t="shared" si="31"/>
        <v>6</v>
      </c>
      <c r="L976" s="560">
        <f t="shared" si="32"/>
        <v>2</v>
      </c>
    </row>
    <row r="977" spans="1:19">
      <c r="A977" t="s">
        <v>2250</v>
      </c>
      <c r="B977" s="553">
        <v>44265</v>
      </c>
      <c r="C977" t="s">
        <v>1395</v>
      </c>
      <c r="D977" s="281">
        <v>4</v>
      </c>
      <c r="E977" t="s">
        <v>2031</v>
      </c>
      <c r="F977" t="s">
        <v>534</v>
      </c>
      <c r="G977" t="s">
        <v>1170</v>
      </c>
      <c r="H977" t="s">
        <v>1394</v>
      </c>
      <c r="I977">
        <v>5010000000</v>
      </c>
      <c r="J977" s="560">
        <v>100</v>
      </c>
      <c r="K977" s="560">
        <f t="shared" si="31"/>
        <v>6</v>
      </c>
      <c r="L977" s="560">
        <f t="shared" si="32"/>
        <v>1</v>
      </c>
      <c r="M977" s="560" t="e">
        <f>SUMIFS('[1]MAIN-101'!$Z$1:$Z$3000,'[1]MAIN-101'!$X$1:$X$3000,S977)</f>
        <v>#VALUE!</v>
      </c>
      <c r="N977" s="560"/>
      <c r="O977" s="560"/>
      <c r="S977" t="str">
        <f>VLOOKUP(C977,'Recon of ORS and DV'!$A$4:$B$358,2,FALSE)</f>
        <v>0372</v>
      </c>
    </row>
    <row r="978" spans="1:19">
      <c r="B978" s="553">
        <v>44265</v>
      </c>
      <c r="C978" t="s">
        <v>1396</v>
      </c>
      <c r="D978" s="281">
        <v>4</v>
      </c>
      <c r="E978" t="s">
        <v>2026</v>
      </c>
      <c r="F978" t="s">
        <v>499</v>
      </c>
      <c r="G978" t="s">
        <v>1174</v>
      </c>
      <c r="H978" t="s">
        <v>1394</v>
      </c>
      <c r="I978">
        <v>5010000000</v>
      </c>
      <c r="J978" s="560">
        <v>23877</v>
      </c>
      <c r="K978" s="560">
        <f t="shared" si="31"/>
        <v>6</v>
      </c>
      <c r="L978" s="560">
        <f t="shared" si="32"/>
        <v>6</v>
      </c>
    </row>
    <row r="979" spans="1:19">
      <c r="B979" s="553">
        <v>44265</v>
      </c>
      <c r="C979" t="s">
        <v>1396</v>
      </c>
      <c r="D979" s="281">
        <v>4</v>
      </c>
      <c r="E979" t="s">
        <v>2027</v>
      </c>
      <c r="F979" t="s">
        <v>504</v>
      </c>
      <c r="G979" t="s">
        <v>1174</v>
      </c>
      <c r="H979" t="s">
        <v>1394</v>
      </c>
      <c r="I979">
        <v>5010000000</v>
      </c>
      <c r="J979" s="560">
        <v>2000</v>
      </c>
      <c r="K979" s="560">
        <f t="shared" si="31"/>
        <v>6</v>
      </c>
      <c r="L979" s="560">
        <f t="shared" si="32"/>
        <v>5</v>
      </c>
    </row>
    <row r="980" spans="1:19">
      <c r="B980" s="553">
        <v>44265</v>
      </c>
      <c r="C980" t="s">
        <v>1396</v>
      </c>
      <c r="D980" s="281">
        <v>4</v>
      </c>
      <c r="E980" t="s">
        <v>2028</v>
      </c>
      <c r="F980" t="s">
        <v>528</v>
      </c>
      <c r="G980" t="s">
        <v>1174</v>
      </c>
      <c r="H980" t="s">
        <v>1394</v>
      </c>
      <c r="I980">
        <v>5010301000</v>
      </c>
      <c r="J980" s="560">
        <v>2865.24</v>
      </c>
      <c r="K980" s="560">
        <f t="shared" si="31"/>
        <v>6</v>
      </c>
      <c r="L980" s="560">
        <f t="shared" si="32"/>
        <v>4</v>
      </c>
    </row>
    <row r="981" spans="1:19">
      <c r="B981" s="553">
        <v>44265</v>
      </c>
      <c r="C981" t="s">
        <v>1396</v>
      </c>
      <c r="D981" s="281">
        <v>4</v>
      </c>
      <c r="E981" t="s">
        <v>2029</v>
      </c>
      <c r="F981" t="s">
        <v>530</v>
      </c>
      <c r="G981" t="s">
        <v>1174</v>
      </c>
      <c r="H981" t="s">
        <v>1394</v>
      </c>
      <c r="I981">
        <v>5010000000</v>
      </c>
      <c r="J981" s="560">
        <v>100</v>
      </c>
      <c r="K981" s="560">
        <f t="shared" si="31"/>
        <v>6</v>
      </c>
      <c r="L981" s="560">
        <f t="shared" si="32"/>
        <v>3</v>
      </c>
    </row>
    <row r="982" spans="1:19">
      <c r="B982" s="553">
        <v>44265</v>
      </c>
      <c r="C982" t="s">
        <v>1396</v>
      </c>
      <c r="D982" s="281">
        <v>4</v>
      </c>
      <c r="E982" t="s">
        <v>2030</v>
      </c>
      <c r="F982" t="s">
        <v>532</v>
      </c>
      <c r="G982" t="s">
        <v>1174</v>
      </c>
      <c r="H982" t="s">
        <v>1394</v>
      </c>
      <c r="I982">
        <v>5010000000</v>
      </c>
      <c r="J982" s="560">
        <v>358.16</v>
      </c>
      <c r="K982" s="560">
        <f t="shared" si="31"/>
        <v>6</v>
      </c>
      <c r="L982" s="560">
        <f t="shared" si="32"/>
        <v>2</v>
      </c>
    </row>
    <row r="983" spans="1:19">
      <c r="A983" t="s">
        <v>2251</v>
      </c>
      <c r="B983" s="553">
        <v>44265</v>
      </c>
      <c r="C983" t="s">
        <v>1396</v>
      </c>
      <c r="D983" s="281">
        <v>4</v>
      </c>
      <c r="E983" t="s">
        <v>2031</v>
      </c>
      <c r="F983" t="s">
        <v>534</v>
      </c>
      <c r="G983" t="s">
        <v>1174</v>
      </c>
      <c r="H983" t="s">
        <v>1394</v>
      </c>
      <c r="I983">
        <v>5010000000</v>
      </c>
      <c r="J983" s="560">
        <v>100</v>
      </c>
      <c r="K983" s="560">
        <f t="shared" si="31"/>
        <v>6</v>
      </c>
      <c r="L983" s="560">
        <f t="shared" si="32"/>
        <v>1</v>
      </c>
      <c r="M983" s="560" t="e">
        <f>SUMIFS('[1]MAIN-101'!$Z$1:$Z$3000,'[1]MAIN-101'!$X$1:$X$3000,S983)</f>
        <v>#VALUE!</v>
      </c>
      <c r="N983" s="560"/>
      <c r="O983" s="560"/>
      <c r="S983" t="str">
        <f>VLOOKUP(C983,'Recon of ORS and DV'!$A$4:$B$358,2,FALSE)</f>
        <v>0375</v>
      </c>
    </row>
    <row r="984" spans="1:19">
      <c r="B984" s="553">
        <v>44265</v>
      </c>
      <c r="C984" t="s">
        <v>1397</v>
      </c>
      <c r="D984" s="281">
        <v>4</v>
      </c>
      <c r="E984" t="s">
        <v>2026</v>
      </c>
      <c r="F984" t="s">
        <v>499</v>
      </c>
      <c r="G984" t="s">
        <v>1176</v>
      </c>
      <c r="H984" t="s">
        <v>1394</v>
      </c>
      <c r="I984">
        <v>5010000000</v>
      </c>
      <c r="J984" s="560">
        <v>23877</v>
      </c>
      <c r="K984" s="560">
        <f t="shared" si="31"/>
        <v>6</v>
      </c>
      <c r="L984" s="560">
        <f t="shared" si="32"/>
        <v>6</v>
      </c>
    </row>
    <row r="985" spans="1:19">
      <c r="B985" s="553">
        <v>44265</v>
      </c>
      <c r="C985" t="s">
        <v>1397</v>
      </c>
      <c r="D985" s="281">
        <v>4</v>
      </c>
      <c r="E985" t="s">
        <v>2027</v>
      </c>
      <c r="F985" t="s">
        <v>504</v>
      </c>
      <c r="G985" t="s">
        <v>1176</v>
      </c>
      <c r="H985" t="s">
        <v>1394</v>
      </c>
      <c r="I985">
        <v>5010000000</v>
      </c>
      <c r="J985" s="560">
        <v>2000</v>
      </c>
      <c r="K985" s="560">
        <f t="shared" si="31"/>
        <v>6</v>
      </c>
      <c r="L985" s="560">
        <f t="shared" si="32"/>
        <v>5</v>
      </c>
    </row>
    <row r="986" spans="1:19">
      <c r="B986" s="553">
        <v>44265</v>
      </c>
      <c r="C986" t="s">
        <v>1397</v>
      </c>
      <c r="D986" s="281">
        <v>4</v>
      </c>
      <c r="E986" t="s">
        <v>2028</v>
      </c>
      <c r="F986" t="s">
        <v>528</v>
      </c>
      <c r="G986" t="s">
        <v>1176</v>
      </c>
      <c r="H986" t="s">
        <v>1394</v>
      </c>
      <c r="I986">
        <v>5010301000</v>
      </c>
      <c r="J986" s="560">
        <v>2865.24</v>
      </c>
      <c r="K986" s="560">
        <f t="shared" si="31"/>
        <v>6</v>
      </c>
      <c r="L986" s="560">
        <f t="shared" si="32"/>
        <v>4</v>
      </c>
    </row>
    <row r="987" spans="1:19">
      <c r="B987" s="553">
        <v>44265</v>
      </c>
      <c r="C987" t="s">
        <v>1397</v>
      </c>
      <c r="D987" s="281">
        <v>4</v>
      </c>
      <c r="E987" t="s">
        <v>2029</v>
      </c>
      <c r="F987" t="s">
        <v>530</v>
      </c>
      <c r="G987" t="s">
        <v>1176</v>
      </c>
      <c r="H987" t="s">
        <v>1394</v>
      </c>
      <c r="I987">
        <v>5010000000</v>
      </c>
      <c r="J987" s="560">
        <v>100</v>
      </c>
      <c r="K987" s="560">
        <f t="shared" si="31"/>
        <v>6</v>
      </c>
      <c r="L987" s="560">
        <f t="shared" si="32"/>
        <v>3</v>
      </c>
    </row>
    <row r="988" spans="1:19">
      <c r="B988" s="553">
        <v>44265</v>
      </c>
      <c r="C988" t="s">
        <v>1397</v>
      </c>
      <c r="D988" s="281">
        <v>4</v>
      </c>
      <c r="E988" t="s">
        <v>2030</v>
      </c>
      <c r="F988" t="s">
        <v>532</v>
      </c>
      <c r="G988" t="s">
        <v>1176</v>
      </c>
      <c r="H988" t="s">
        <v>1394</v>
      </c>
      <c r="I988">
        <v>5010000000</v>
      </c>
      <c r="J988" s="560">
        <v>358.16</v>
      </c>
      <c r="K988" s="560">
        <f t="shared" si="31"/>
        <v>6</v>
      </c>
      <c r="L988" s="560">
        <f t="shared" si="32"/>
        <v>2</v>
      </c>
    </row>
    <row r="989" spans="1:19">
      <c r="A989" t="s">
        <v>2252</v>
      </c>
      <c r="B989" s="553">
        <v>44265</v>
      </c>
      <c r="C989" t="s">
        <v>1397</v>
      </c>
      <c r="D989" s="281">
        <v>4</v>
      </c>
      <c r="E989" t="s">
        <v>2031</v>
      </c>
      <c r="F989" t="s">
        <v>534</v>
      </c>
      <c r="G989" t="s">
        <v>1176</v>
      </c>
      <c r="H989" t="s">
        <v>1394</v>
      </c>
      <c r="I989">
        <v>5010000000</v>
      </c>
      <c r="J989" s="560">
        <v>100</v>
      </c>
      <c r="K989" s="560">
        <f t="shared" si="31"/>
        <v>6</v>
      </c>
      <c r="L989" s="560">
        <f t="shared" si="32"/>
        <v>1</v>
      </c>
      <c r="M989" s="560" t="e">
        <f>SUMIFS('[1]MAIN-101'!$Z$1:$Z$3000,'[1]MAIN-101'!$X$1:$X$3000,S989)</f>
        <v>#VALUE!</v>
      </c>
      <c r="N989" s="560"/>
      <c r="O989" s="560"/>
      <c r="S989" t="str">
        <f>VLOOKUP(C989,'Recon of ORS and DV'!$A$4:$B$358,2,FALSE)</f>
        <v>0373</v>
      </c>
    </row>
    <row r="990" spans="1:19">
      <c r="B990" s="553">
        <v>44265</v>
      </c>
      <c r="C990" t="s">
        <v>1398</v>
      </c>
      <c r="D990" s="281">
        <v>4</v>
      </c>
      <c r="E990" t="s">
        <v>2026</v>
      </c>
      <c r="F990" t="s">
        <v>499</v>
      </c>
      <c r="G990" t="s">
        <v>1382</v>
      </c>
      <c r="H990" t="s">
        <v>1399</v>
      </c>
      <c r="I990">
        <v>5010000000</v>
      </c>
      <c r="J990" s="560">
        <v>23877</v>
      </c>
      <c r="K990" s="560">
        <f t="shared" si="31"/>
        <v>6</v>
      </c>
      <c r="L990" s="560">
        <f t="shared" si="32"/>
        <v>6</v>
      </c>
    </row>
    <row r="991" spans="1:19">
      <c r="B991" s="553">
        <v>44265</v>
      </c>
      <c r="C991" t="s">
        <v>1398</v>
      </c>
      <c r="D991" s="281">
        <v>4</v>
      </c>
      <c r="E991" t="s">
        <v>2027</v>
      </c>
      <c r="F991" t="s">
        <v>504</v>
      </c>
      <c r="G991" t="s">
        <v>1382</v>
      </c>
      <c r="H991" t="s">
        <v>1399</v>
      </c>
      <c r="I991">
        <v>5010000000</v>
      </c>
      <c r="J991" s="560">
        <v>2000</v>
      </c>
      <c r="K991" s="560">
        <f t="shared" si="31"/>
        <v>6</v>
      </c>
      <c r="L991" s="560">
        <f t="shared" si="32"/>
        <v>5</v>
      </c>
    </row>
    <row r="992" spans="1:19">
      <c r="B992" s="553">
        <v>44265</v>
      </c>
      <c r="C992" t="s">
        <v>1398</v>
      </c>
      <c r="D992" s="281">
        <v>4</v>
      </c>
      <c r="E992" t="s">
        <v>2028</v>
      </c>
      <c r="F992" t="s">
        <v>528</v>
      </c>
      <c r="G992" t="s">
        <v>1382</v>
      </c>
      <c r="H992" t="s">
        <v>1399</v>
      </c>
      <c r="I992">
        <v>5010301000</v>
      </c>
      <c r="J992" s="560">
        <v>2865.24</v>
      </c>
      <c r="K992" s="560">
        <f t="shared" si="31"/>
        <v>6</v>
      </c>
      <c r="L992" s="560">
        <f t="shared" si="32"/>
        <v>4</v>
      </c>
    </row>
    <row r="993" spans="1:19">
      <c r="B993" s="553">
        <v>44265</v>
      </c>
      <c r="C993" t="s">
        <v>1398</v>
      </c>
      <c r="D993" s="281">
        <v>4</v>
      </c>
      <c r="E993" t="s">
        <v>2029</v>
      </c>
      <c r="F993" t="s">
        <v>530</v>
      </c>
      <c r="G993" t="s">
        <v>1382</v>
      </c>
      <c r="H993" t="s">
        <v>1399</v>
      </c>
      <c r="I993">
        <v>5010000000</v>
      </c>
      <c r="J993" s="560">
        <v>100</v>
      </c>
      <c r="K993" s="560">
        <f t="shared" si="31"/>
        <v>6</v>
      </c>
      <c r="L993" s="560">
        <f t="shared" si="32"/>
        <v>3</v>
      </c>
    </row>
    <row r="994" spans="1:19">
      <c r="B994" s="553">
        <v>44265</v>
      </c>
      <c r="C994" t="s">
        <v>1398</v>
      </c>
      <c r="D994" s="281">
        <v>4</v>
      </c>
      <c r="E994" t="s">
        <v>2030</v>
      </c>
      <c r="F994" t="s">
        <v>532</v>
      </c>
      <c r="G994" t="s">
        <v>1382</v>
      </c>
      <c r="H994" t="s">
        <v>1399</v>
      </c>
      <c r="I994">
        <v>5010000000</v>
      </c>
      <c r="J994" s="560">
        <v>358.16</v>
      </c>
      <c r="K994" s="560">
        <f t="shared" si="31"/>
        <v>6</v>
      </c>
      <c r="L994" s="560">
        <f t="shared" si="32"/>
        <v>2</v>
      </c>
    </row>
    <row r="995" spans="1:19">
      <c r="A995" t="s">
        <v>2253</v>
      </c>
      <c r="B995" s="553">
        <v>44265</v>
      </c>
      <c r="C995" t="s">
        <v>1398</v>
      </c>
      <c r="D995" s="281">
        <v>4</v>
      </c>
      <c r="E995" t="s">
        <v>2031</v>
      </c>
      <c r="F995" t="s">
        <v>534</v>
      </c>
      <c r="G995" t="s">
        <v>1382</v>
      </c>
      <c r="H995" t="s">
        <v>1399</v>
      </c>
      <c r="I995">
        <v>5010000000</v>
      </c>
      <c r="J995" s="560">
        <v>100</v>
      </c>
      <c r="K995" s="560">
        <f t="shared" si="31"/>
        <v>6</v>
      </c>
      <c r="L995" s="560">
        <f t="shared" si="32"/>
        <v>1</v>
      </c>
      <c r="M995" s="560" t="e">
        <f>SUMIFS('[1]MAIN-101'!$Z$1:$Z$3000,'[1]MAIN-101'!$X$1:$X$3000,S995)</f>
        <v>#VALUE!</v>
      </c>
      <c r="N995" s="560"/>
      <c r="O995" s="560"/>
      <c r="S995" t="str">
        <f>VLOOKUP(C995,'Recon of ORS and DV'!$A$4:$B$358,2,FALSE)</f>
        <v>0374</v>
      </c>
    </row>
    <row r="996" spans="1:19">
      <c r="B996" s="553">
        <v>44265</v>
      </c>
      <c r="C996" t="s">
        <v>1400</v>
      </c>
      <c r="D996" s="281">
        <v>4</v>
      </c>
      <c r="E996" t="s">
        <v>2026</v>
      </c>
      <c r="F996" t="s">
        <v>499</v>
      </c>
      <c r="G996" t="s">
        <v>1382</v>
      </c>
      <c r="H996" t="s">
        <v>1394</v>
      </c>
      <c r="I996">
        <v>5010000000</v>
      </c>
      <c r="J996" s="560">
        <v>23877</v>
      </c>
      <c r="K996" s="560">
        <f t="shared" si="31"/>
        <v>6</v>
      </c>
      <c r="L996" s="560">
        <f t="shared" si="32"/>
        <v>6</v>
      </c>
    </row>
    <row r="997" spans="1:19">
      <c r="B997" s="553">
        <v>44265</v>
      </c>
      <c r="C997" t="s">
        <v>1400</v>
      </c>
      <c r="D997" s="281">
        <v>4</v>
      </c>
      <c r="E997" t="s">
        <v>2027</v>
      </c>
      <c r="F997" t="s">
        <v>504</v>
      </c>
      <c r="G997" t="s">
        <v>1382</v>
      </c>
      <c r="H997" t="s">
        <v>1394</v>
      </c>
      <c r="I997">
        <v>5010000000</v>
      </c>
      <c r="J997" s="560">
        <v>2000</v>
      </c>
      <c r="K997" s="560">
        <f t="shared" si="31"/>
        <v>6</v>
      </c>
      <c r="L997" s="560">
        <f t="shared" si="32"/>
        <v>5</v>
      </c>
    </row>
    <row r="998" spans="1:19">
      <c r="B998" s="553">
        <v>44265</v>
      </c>
      <c r="C998" t="s">
        <v>1400</v>
      </c>
      <c r="D998" s="281">
        <v>4</v>
      </c>
      <c r="E998" t="s">
        <v>2028</v>
      </c>
      <c r="F998" t="s">
        <v>528</v>
      </c>
      <c r="G998" t="s">
        <v>1382</v>
      </c>
      <c r="H998" t="s">
        <v>1394</v>
      </c>
      <c r="I998">
        <v>5010301000</v>
      </c>
      <c r="J998" s="560">
        <v>2865.24</v>
      </c>
      <c r="K998" s="560">
        <f t="shared" si="31"/>
        <v>6</v>
      </c>
      <c r="L998" s="560">
        <f t="shared" si="32"/>
        <v>4</v>
      </c>
    </row>
    <row r="999" spans="1:19">
      <c r="B999" s="553">
        <v>44265</v>
      </c>
      <c r="C999" t="s">
        <v>1400</v>
      </c>
      <c r="D999" s="281">
        <v>4</v>
      </c>
      <c r="E999" t="s">
        <v>2029</v>
      </c>
      <c r="F999" t="s">
        <v>530</v>
      </c>
      <c r="G999" t="s">
        <v>1382</v>
      </c>
      <c r="H999" t="s">
        <v>1394</v>
      </c>
      <c r="I999">
        <v>5010000000</v>
      </c>
      <c r="J999" s="560">
        <v>100</v>
      </c>
      <c r="K999" s="560">
        <f t="shared" si="31"/>
        <v>6</v>
      </c>
      <c r="L999" s="560">
        <f t="shared" si="32"/>
        <v>3</v>
      </c>
    </row>
    <row r="1000" spans="1:19">
      <c r="B1000" s="553">
        <v>44265</v>
      </c>
      <c r="C1000" t="s">
        <v>1400</v>
      </c>
      <c r="D1000" s="281">
        <v>4</v>
      </c>
      <c r="E1000" t="s">
        <v>2030</v>
      </c>
      <c r="F1000" t="s">
        <v>532</v>
      </c>
      <c r="G1000" t="s">
        <v>1382</v>
      </c>
      <c r="H1000" t="s">
        <v>1394</v>
      </c>
      <c r="I1000">
        <v>5010000000</v>
      </c>
      <c r="J1000" s="560">
        <v>358.16</v>
      </c>
      <c r="K1000" s="560">
        <f t="shared" si="31"/>
        <v>6</v>
      </c>
      <c r="L1000" s="560">
        <f t="shared" si="32"/>
        <v>2</v>
      </c>
    </row>
    <row r="1001" spans="1:19">
      <c r="A1001" t="s">
        <v>2254</v>
      </c>
      <c r="B1001" s="553">
        <v>44265</v>
      </c>
      <c r="C1001" t="s">
        <v>1400</v>
      </c>
      <c r="D1001" s="281">
        <v>4</v>
      </c>
      <c r="E1001" t="s">
        <v>2031</v>
      </c>
      <c r="F1001" t="s">
        <v>534</v>
      </c>
      <c r="G1001" t="s">
        <v>1382</v>
      </c>
      <c r="H1001" t="s">
        <v>1394</v>
      </c>
      <c r="I1001">
        <v>5010000000</v>
      </c>
      <c r="J1001" s="560">
        <v>100</v>
      </c>
      <c r="K1001" s="560">
        <f t="shared" si="31"/>
        <v>6</v>
      </c>
      <c r="L1001" s="560">
        <f t="shared" si="32"/>
        <v>1</v>
      </c>
      <c r="M1001" s="560" t="e">
        <f>SUMIFS('[1]MAIN-101'!$Z$1:$Z$3000,'[1]MAIN-101'!$X$1:$X$3000,S1001)</f>
        <v>#VALUE!</v>
      </c>
      <c r="N1001" s="560"/>
      <c r="O1001" s="560"/>
      <c r="S1001" t="str">
        <f>VLOOKUP(C1001,'Recon of ORS and DV'!$A$4:$B$358,2,FALSE)</f>
        <v>0376</v>
      </c>
    </row>
    <row r="1002" spans="1:19">
      <c r="B1002" s="553">
        <v>44265</v>
      </c>
      <c r="C1002" t="s">
        <v>1401</v>
      </c>
      <c r="D1002" s="281">
        <v>1</v>
      </c>
      <c r="E1002" t="s">
        <v>2026</v>
      </c>
      <c r="F1002" t="s">
        <v>499</v>
      </c>
      <c r="G1002" t="s">
        <v>10</v>
      </c>
      <c r="H1002" t="s">
        <v>1384</v>
      </c>
      <c r="I1002">
        <v>5010000000</v>
      </c>
      <c r="J1002" s="560">
        <v>1057756</v>
      </c>
      <c r="K1002" s="560">
        <f t="shared" si="31"/>
        <v>30</v>
      </c>
      <c r="L1002" s="560">
        <f t="shared" si="32"/>
        <v>30</v>
      </c>
    </row>
    <row r="1003" spans="1:19">
      <c r="B1003" s="553">
        <v>44265</v>
      </c>
      <c r="C1003" t="s">
        <v>1401</v>
      </c>
      <c r="D1003" s="281">
        <v>1</v>
      </c>
      <c r="E1003" t="s">
        <v>2027</v>
      </c>
      <c r="F1003" t="s">
        <v>504</v>
      </c>
      <c r="G1003" t="s">
        <v>10</v>
      </c>
      <c r="H1003" t="s">
        <v>1384</v>
      </c>
      <c r="I1003">
        <v>5010000000</v>
      </c>
      <c r="J1003" s="560">
        <v>44000</v>
      </c>
      <c r="K1003" s="560">
        <f t="shared" si="31"/>
        <v>30</v>
      </c>
      <c r="L1003" s="560">
        <f t="shared" si="32"/>
        <v>29</v>
      </c>
    </row>
    <row r="1004" spans="1:19">
      <c r="B1004" s="553">
        <v>44265</v>
      </c>
      <c r="C1004" t="s">
        <v>1401</v>
      </c>
      <c r="D1004" s="281">
        <v>1</v>
      </c>
      <c r="E1004" t="s">
        <v>2028</v>
      </c>
      <c r="F1004" t="s">
        <v>528</v>
      </c>
      <c r="G1004" t="s">
        <v>10</v>
      </c>
      <c r="H1004" t="s">
        <v>1384</v>
      </c>
      <c r="I1004">
        <v>5010301000</v>
      </c>
      <c r="J1004" s="560">
        <v>126930.72</v>
      </c>
      <c r="K1004" s="560">
        <f t="shared" si="31"/>
        <v>30</v>
      </c>
      <c r="L1004" s="560">
        <f t="shared" si="32"/>
        <v>28</v>
      </c>
    </row>
    <row r="1005" spans="1:19">
      <c r="B1005" s="553">
        <v>44265</v>
      </c>
      <c r="C1005" t="s">
        <v>1401</v>
      </c>
      <c r="D1005" s="281">
        <v>1</v>
      </c>
      <c r="E1005" t="s">
        <v>2029</v>
      </c>
      <c r="F1005" t="s">
        <v>530</v>
      </c>
      <c r="G1005" t="s">
        <v>10</v>
      </c>
      <c r="H1005" t="s">
        <v>1384</v>
      </c>
      <c r="I1005">
        <v>5010000000</v>
      </c>
      <c r="J1005" s="560">
        <v>2200</v>
      </c>
      <c r="K1005" s="560">
        <f t="shared" si="31"/>
        <v>30</v>
      </c>
      <c r="L1005" s="560">
        <f t="shared" si="32"/>
        <v>27</v>
      </c>
    </row>
    <row r="1006" spans="1:19">
      <c r="B1006" s="553">
        <v>44265</v>
      </c>
      <c r="C1006" t="s">
        <v>1401</v>
      </c>
      <c r="D1006" s="281">
        <v>1</v>
      </c>
      <c r="E1006" t="s">
        <v>2030</v>
      </c>
      <c r="F1006" t="s">
        <v>532</v>
      </c>
      <c r="G1006" t="s">
        <v>10</v>
      </c>
      <c r="H1006" t="s">
        <v>1384</v>
      </c>
      <c r="I1006">
        <v>5010000000</v>
      </c>
      <c r="J1006" s="560">
        <v>12310.77</v>
      </c>
      <c r="K1006" s="560">
        <f t="shared" si="31"/>
        <v>30</v>
      </c>
      <c r="L1006" s="560">
        <f t="shared" si="32"/>
        <v>26</v>
      </c>
    </row>
    <row r="1007" spans="1:19">
      <c r="B1007" s="553">
        <v>44265</v>
      </c>
      <c r="C1007" t="s">
        <v>1401</v>
      </c>
      <c r="D1007" s="281">
        <v>1</v>
      </c>
      <c r="E1007" t="s">
        <v>2031</v>
      </c>
      <c r="F1007" t="s">
        <v>534</v>
      </c>
      <c r="G1007" t="s">
        <v>10</v>
      </c>
      <c r="H1007" t="s">
        <v>1384</v>
      </c>
      <c r="I1007">
        <v>5010000000</v>
      </c>
      <c r="J1007" s="560">
        <v>2200</v>
      </c>
      <c r="K1007" s="560">
        <f t="shared" si="31"/>
        <v>30</v>
      </c>
      <c r="L1007" s="560">
        <f t="shared" si="32"/>
        <v>25</v>
      </c>
    </row>
    <row r="1008" spans="1:19">
      <c r="B1008" s="553">
        <v>44265</v>
      </c>
      <c r="C1008" t="s">
        <v>1401</v>
      </c>
      <c r="D1008" s="281">
        <v>2</v>
      </c>
      <c r="E1008" t="s">
        <v>2026</v>
      </c>
      <c r="F1008" t="s">
        <v>499</v>
      </c>
      <c r="G1008" t="s">
        <v>10</v>
      </c>
      <c r="H1008" t="s">
        <v>1384</v>
      </c>
      <c r="I1008">
        <v>5010000000</v>
      </c>
      <c r="J1008" s="560">
        <v>80214</v>
      </c>
      <c r="K1008" s="560">
        <f t="shared" si="31"/>
        <v>30</v>
      </c>
      <c r="L1008" s="560">
        <f t="shared" si="32"/>
        <v>24</v>
      </c>
    </row>
    <row r="1009" spans="2:12">
      <c r="B1009" s="553">
        <v>44265</v>
      </c>
      <c r="C1009" t="s">
        <v>1401</v>
      </c>
      <c r="D1009" s="281">
        <v>2</v>
      </c>
      <c r="E1009" t="s">
        <v>2027</v>
      </c>
      <c r="F1009" t="s">
        <v>504</v>
      </c>
      <c r="G1009" t="s">
        <v>10</v>
      </c>
      <c r="H1009" t="s">
        <v>1384</v>
      </c>
      <c r="I1009">
        <v>5010000000</v>
      </c>
      <c r="J1009" s="560">
        <v>4000</v>
      </c>
      <c r="K1009" s="560">
        <f t="shared" si="31"/>
        <v>30</v>
      </c>
      <c r="L1009" s="560">
        <f t="shared" si="32"/>
        <v>23</v>
      </c>
    </row>
    <row r="1010" spans="2:12">
      <c r="B1010" s="553">
        <v>44265</v>
      </c>
      <c r="C1010" t="s">
        <v>1401</v>
      </c>
      <c r="D1010" s="281">
        <v>2</v>
      </c>
      <c r="E1010" t="s">
        <v>2028</v>
      </c>
      <c r="F1010" t="s">
        <v>528</v>
      </c>
      <c r="G1010" t="s">
        <v>10</v>
      </c>
      <c r="H1010" t="s">
        <v>1384</v>
      </c>
      <c r="I1010">
        <v>5010301000</v>
      </c>
      <c r="J1010" s="560">
        <v>9625.68</v>
      </c>
      <c r="K1010" s="560">
        <f t="shared" si="31"/>
        <v>30</v>
      </c>
      <c r="L1010" s="560">
        <f t="shared" si="32"/>
        <v>22</v>
      </c>
    </row>
    <row r="1011" spans="2:12">
      <c r="B1011" s="553">
        <v>44265</v>
      </c>
      <c r="C1011" t="s">
        <v>1401</v>
      </c>
      <c r="D1011" s="281">
        <v>2</v>
      </c>
      <c r="E1011" t="s">
        <v>2029</v>
      </c>
      <c r="F1011" t="s">
        <v>530</v>
      </c>
      <c r="G1011" t="s">
        <v>10</v>
      </c>
      <c r="H1011" t="s">
        <v>1384</v>
      </c>
      <c r="I1011">
        <v>5010000000</v>
      </c>
      <c r="J1011" s="560">
        <v>200</v>
      </c>
      <c r="K1011" s="560">
        <f t="shared" si="31"/>
        <v>30</v>
      </c>
      <c r="L1011" s="560">
        <f t="shared" si="32"/>
        <v>21</v>
      </c>
    </row>
    <row r="1012" spans="2:12">
      <c r="B1012" s="553">
        <v>44265</v>
      </c>
      <c r="C1012" t="s">
        <v>1401</v>
      </c>
      <c r="D1012" s="281">
        <v>2</v>
      </c>
      <c r="E1012" t="s">
        <v>2030</v>
      </c>
      <c r="F1012" t="s">
        <v>532</v>
      </c>
      <c r="G1012" t="s">
        <v>10</v>
      </c>
      <c r="H1012" t="s">
        <v>1384</v>
      </c>
      <c r="I1012">
        <v>5010000000</v>
      </c>
      <c r="J1012" s="560">
        <v>1203.22</v>
      </c>
      <c r="K1012" s="560">
        <f t="shared" si="31"/>
        <v>30</v>
      </c>
      <c r="L1012" s="560">
        <f t="shared" si="32"/>
        <v>20</v>
      </c>
    </row>
    <row r="1013" spans="2:12">
      <c r="B1013" s="553">
        <v>44265</v>
      </c>
      <c r="C1013" t="s">
        <v>1401</v>
      </c>
      <c r="D1013" s="281">
        <v>2</v>
      </c>
      <c r="E1013" t="s">
        <v>2031</v>
      </c>
      <c r="F1013" t="s">
        <v>534</v>
      </c>
      <c r="G1013" t="s">
        <v>10</v>
      </c>
      <c r="H1013" t="s">
        <v>1384</v>
      </c>
      <c r="I1013">
        <v>5010000000</v>
      </c>
      <c r="J1013" s="560">
        <v>200</v>
      </c>
      <c r="K1013" s="560">
        <f t="shared" si="31"/>
        <v>30</v>
      </c>
      <c r="L1013" s="560">
        <f t="shared" si="32"/>
        <v>19</v>
      </c>
    </row>
    <row r="1014" spans="2:12">
      <c r="B1014" s="553">
        <v>44265</v>
      </c>
      <c r="C1014" t="s">
        <v>1401</v>
      </c>
      <c r="D1014" s="281">
        <v>3</v>
      </c>
      <c r="E1014" t="s">
        <v>2026</v>
      </c>
      <c r="F1014" t="s">
        <v>499</v>
      </c>
      <c r="G1014" t="s">
        <v>10</v>
      </c>
      <c r="H1014" t="s">
        <v>1384</v>
      </c>
      <c r="I1014">
        <v>5010000000</v>
      </c>
      <c r="J1014" s="560">
        <v>199631</v>
      </c>
      <c r="K1014" s="560">
        <f t="shared" si="31"/>
        <v>30</v>
      </c>
      <c r="L1014" s="560">
        <f t="shared" si="32"/>
        <v>18</v>
      </c>
    </row>
    <row r="1015" spans="2:12">
      <c r="B1015" s="553">
        <v>44265</v>
      </c>
      <c r="C1015" t="s">
        <v>1401</v>
      </c>
      <c r="D1015" s="281">
        <v>3</v>
      </c>
      <c r="E1015" t="s">
        <v>2027</v>
      </c>
      <c r="F1015" t="s">
        <v>504</v>
      </c>
      <c r="G1015" t="s">
        <v>10</v>
      </c>
      <c r="H1015" t="s">
        <v>1384</v>
      </c>
      <c r="I1015">
        <v>5010000000</v>
      </c>
      <c r="J1015" s="560">
        <v>10000</v>
      </c>
      <c r="K1015" s="560">
        <f t="shared" si="31"/>
        <v>30</v>
      </c>
      <c r="L1015" s="560">
        <f t="shared" si="32"/>
        <v>17</v>
      </c>
    </row>
    <row r="1016" spans="2:12">
      <c r="B1016" s="553">
        <v>44265</v>
      </c>
      <c r="C1016" t="s">
        <v>1401</v>
      </c>
      <c r="D1016" s="281">
        <v>3</v>
      </c>
      <c r="E1016" t="s">
        <v>2028</v>
      </c>
      <c r="F1016" t="s">
        <v>528</v>
      </c>
      <c r="G1016" t="s">
        <v>10</v>
      </c>
      <c r="H1016" t="s">
        <v>1384</v>
      </c>
      <c r="I1016">
        <v>5010301000</v>
      </c>
      <c r="J1016" s="560">
        <v>23955.72</v>
      </c>
      <c r="K1016" s="560">
        <f t="shared" si="31"/>
        <v>30</v>
      </c>
      <c r="L1016" s="560">
        <f t="shared" si="32"/>
        <v>16</v>
      </c>
    </row>
    <row r="1017" spans="2:12">
      <c r="B1017" s="553">
        <v>44265</v>
      </c>
      <c r="C1017" t="s">
        <v>1401</v>
      </c>
      <c r="D1017" s="281">
        <v>3</v>
      </c>
      <c r="E1017" t="s">
        <v>2029</v>
      </c>
      <c r="F1017" t="s">
        <v>530</v>
      </c>
      <c r="G1017" t="s">
        <v>10</v>
      </c>
      <c r="H1017" t="s">
        <v>1384</v>
      </c>
      <c r="I1017">
        <v>5010000000</v>
      </c>
      <c r="J1017" s="560">
        <v>500</v>
      </c>
      <c r="K1017" s="560">
        <f t="shared" si="31"/>
        <v>30</v>
      </c>
      <c r="L1017" s="560">
        <f t="shared" si="32"/>
        <v>15</v>
      </c>
    </row>
    <row r="1018" spans="2:12">
      <c r="B1018" s="553">
        <v>44265</v>
      </c>
      <c r="C1018" t="s">
        <v>1401</v>
      </c>
      <c r="D1018" s="281">
        <v>3</v>
      </c>
      <c r="E1018" t="s">
        <v>2030</v>
      </c>
      <c r="F1018" t="s">
        <v>532</v>
      </c>
      <c r="G1018" t="s">
        <v>10</v>
      </c>
      <c r="H1018" t="s">
        <v>1384</v>
      </c>
      <c r="I1018">
        <v>5010000000</v>
      </c>
      <c r="J1018" s="560">
        <v>2593.35</v>
      </c>
      <c r="K1018" s="560">
        <f t="shared" si="31"/>
        <v>30</v>
      </c>
      <c r="L1018" s="560">
        <f t="shared" si="32"/>
        <v>14</v>
      </c>
    </row>
    <row r="1019" spans="2:12">
      <c r="B1019" s="553">
        <v>44265</v>
      </c>
      <c r="C1019" t="s">
        <v>1401</v>
      </c>
      <c r="D1019" s="281">
        <v>3</v>
      </c>
      <c r="E1019" t="s">
        <v>2031</v>
      </c>
      <c r="F1019" t="s">
        <v>534</v>
      </c>
      <c r="G1019" t="s">
        <v>10</v>
      </c>
      <c r="H1019" t="s">
        <v>1384</v>
      </c>
      <c r="I1019">
        <v>5010000000</v>
      </c>
      <c r="J1019" s="560">
        <v>500</v>
      </c>
      <c r="K1019" s="560">
        <f t="shared" si="31"/>
        <v>30</v>
      </c>
      <c r="L1019" s="560">
        <f t="shared" si="32"/>
        <v>13</v>
      </c>
    </row>
    <row r="1020" spans="2:12">
      <c r="B1020" s="553">
        <v>44265</v>
      </c>
      <c r="C1020" t="s">
        <v>1401</v>
      </c>
      <c r="D1020" s="281">
        <v>4</v>
      </c>
      <c r="E1020" t="s">
        <v>2026</v>
      </c>
      <c r="F1020" t="s">
        <v>499</v>
      </c>
      <c r="G1020" t="s">
        <v>10</v>
      </c>
      <c r="H1020" t="s">
        <v>1384</v>
      </c>
      <c r="I1020">
        <v>5010000000</v>
      </c>
      <c r="J1020" s="560">
        <v>190370</v>
      </c>
      <c r="K1020" s="560">
        <f t="shared" si="31"/>
        <v>30</v>
      </c>
      <c r="L1020" s="560">
        <f t="shared" si="32"/>
        <v>12</v>
      </c>
    </row>
    <row r="1021" spans="2:12">
      <c r="B1021" s="553">
        <v>44265</v>
      </c>
      <c r="C1021" t="s">
        <v>1401</v>
      </c>
      <c r="D1021" s="281">
        <v>4</v>
      </c>
      <c r="E1021" t="s">
        <v>2027</v>
      </c>
      <c r="F1021" t="s">
        <v>504</v>
      </c>
      <c r="G1021" t="s">
        <v>10</v>
      </c>
      <c r="H1021" t="s">
        <v>1384</v>
      </c>
      <c r="I1021">
        <v>5010000000</v>
      </c>
      <c r="J1021" s="560">
        <v>10000</v>
      </c>
      <c r="K1021" s="560">
        <f t="shared" si="31"/>
        <v>30</v>
      </c>
      <c r="L1021" s="560">
        <f t="shared" si="32"/>
        <v>11</v>
      </c>
    </row>
    <row r="1022" spans="2:12">
      <c r="B1022" s="553">
        <v>44265</v>
      </c>
      <c r="C1022" t="s">
        <v>1401</v>
      </c>
      <c r="D1022" s="281">
        <v>4</v>
      </c>
      <c r="E1022" t="s">
        <v>2028</v>
      </c>
      <c r="F1022" t="s">
        <v>528</v>
      </c>
      <c r="G1022" t="s">
        <v>10</v>
      </c>
      <c r="H1022" t="s">
        <v>1384</v>
      </c>
      <c r="I1022">
        <v>5010301000</v>
      </c>
      <c r="J1022" s="560">
        <v>22844.400000000001</v>
      </c>
      <c r="K1022" s="560">
        <f t="shared" si="31"/>
        <v>30</v>
      </c>
      <c r="L1022" s="560">
        <f t="shared" si="32"/>
        <v>10</v>
      </c>
    </row>
    <row r="1023" spans="2:12">
      <c r="B1023" s="553">
        <v>44265</v>
      </c>
      <c r="C1023" t="s">
        <v>1401</v>
      </c>
      <c r="D1023" s="281">
        <v>4</v>
      </c>
      <c r="E1023" t="s">
        <v>2029</v>
      </c>
      <c r="F1023" t="s">
        <v>530</v>
      </c>
      <c r="G1023" t="s">
        <v>10</v>
      </c>
      <c r="H1023" t="s">
        <v>1384</v>
      </c>
      <c r="I1023">
        <v>5010000000</v>
      </c>
      <c r="J1023" s="560">
        <v>500</v>
      </c>
      <c r="K1023" s="560">
        <f t="shared" si="31"/>
        <v>30</v>
      </c>
      <c r="L1023" s="560">
        <f t="shared" si="32"/>
        <v>9</v>
      </c>
    </row>
    <row r="1024" spans="2:12">
      <c r="B1024" s="553">
        <v>44265</v>
      </c>
      <c r="C1024" t="s">
        <v>1401</v>
      </c>
      <c r="D1024" s="281">
        <v>4</v>
      </c>
      <c r="E1024" t="s">
        <v>2030</v>
      </c>
      <c r="F1024" t="s">
        <v>532</v>
      </c>
      <c r="G1024" t="s">
        <v>10</v>
      </c>
      <c r="H1024" t="s">
        <v>1384</v>
      </c>
      <c r="I1024">
        <v>5010000000</v>
      </c>
      <c r="J1024" s="560">
        <v>2855.56</v>
      </c>
      <c r="K1024" s="560">
        <f t="shared" si="31"/>
        <v>30</v>
      </c>
      <c r="L1024" s="560">
        <f t="shared" si="32"/>
        <v>8</v>
      </c>
    </row>
    <row r="1025" spans="1:19">
      <c r="B1025" s="553">
        <v>44265</v>
      </c>
      <c r="C1025" t="s">
        <v>1401</v>
      </c>
      <c r="D1025" s="281">
        <v>4</v>
      </c>
      <c r="E1025" t="s">
        <v>2031</v>
      </c>
      <c r="F1025" t="s">
        <v>534</v>
      </c>
      <c r="G1025" t="s">
        <v>10</v>
      </c>
      <c r="H1025" t="s">
        <v>1384</v>
      </c>
      <c r="I1025">
        <v>5010000000</v>
      </c>
      <c r="J1025" s="560">
        <v>500</v>
      </c>
      <c r="K1025" s="560">
        <f t="shared" si="31"/>
        <v>30</v>
      </c>
      <c r="L1025" s="560">
        <f t="shared" si="32"/>
        <v>7</v>
      </c>
    </row>
    <row r="1026" spans="1:19">
      <c r="B1026" s="553">
        <v>44265</v>
      </c>
      <c r="C1026" t="s">
        <v>1401</v>
      </c>
      <c r="D1026" s="281">
        <v>5</v>
      </c>
      <c r="E1026" t="s">
        <v>2026</v>
      </c>
      <c r="F1026" t="s">
        <v>499</v>
      </c>
      <c r="G1026" t="s">
        <v>10</v>
      </c>
      <c r="H1026" t="s">
        <v>1384</v>
      </c>
      <c r="I1026">
        <v>5010000000</v>
      </c>
      <c r="J1026" s="560">
        <v>206068</v>
      </c>
      <c r="K1026" s="560">
        <f t="shared" si="31"/>
        <v>30</v>
      </c>
      <c r="L1026" s="560">
        <f t="shared" si="32"/>
        <v>6</v>
      </c>
    </row>
    <row r="1027" spans="1:19">
      <c r="B1027" s="553">
        <v>44265</v>
      </c>
      <c r="C1027" t="s">
        <v>1401</v>
      </c>
      <c r="D1027" s="281">
        <v>5</v>
      </c>
      <c r="E1027" t="s">
        <v>2027</v>
      </c>
      <c r="F1027" t="s">
        <v>504</v>
      </c>
      <c r="G1027" t="s">
        <v>10</v>
      </c>
      <c r="H1027" t="s">
        <v>1384</v>
      </c>
      <c r="I1027">
        <v>5010000000</v>
      </c>
      <c r="J1027" s="560">
        <v>10000</v>
      </c>
      <c r="K1027" s="560">
        <f t="shared" si="31"/>
        <v>30</v>
      </c>
      <c r="L1027" s="560">
        <f t="shared" si="32"/>
        <v>5</v>
      </c>
    </row>
    <row r="1028" spans="1:19">
      <c r="B1028" s="553">
        <v>44265</v>
      </c>
      <c r="C1028" t="s">
        <v>1401</v>
      </c>
      <c r="D1028" s="281">
        <v>5</v>
      </c>
      <c r="E1028" t="s">
        <v>2028</v>
      </c>
      <c r="F1028" t="s">
        <v>528</v>
      </c>
      <c r="G1028" t="s">
        <v>10</v>
      </c>
      <c r="H1028" t="s">
        <v>1384</v>
      </c>
      <c r="I1028">
        <v>5010301000</v>
      </c>
      <c r="J1028" s="560">
        <v>24728.16</v>
      </c>
      <c r="K1028" s="560">
        <f t="shared" ref="K1028:K1091" si="33">COUNTIFS($C$3:$C$1556,C1028)</f>
        <v>30</v>
      </c>
      <c r="L1028" s="560">
        <f t="shared" si="32"/>
        <v>4</v>
      </c>
    </row>
    <row r="1029" spans="1:19">
      <c r="B1029" s="553">
        <v>44265</v>
      </c>
      <c r="C1029" t="s">
        <v>1401</v>
      </c>
      <c r="D1029" s="281">
        <v>5</v>
      </c>
      <c r="E1029" t="s">
        <v>2029</v>
      </c>
      <c r="F1029" t="s">
        <v>530</v>
      </c>
      <c r="G1029" t="s">
        <v>10</v>
      </c>
      <c r="H1029" t="s">
        <v>1384</v>
      </c>
      <c r="I1029">
        <v>5010000000</v>
      </c>
      <c r="J1029" s="560">
        <v>500</v>
      </c>
      <c r="K1029" s="560">
        <f t="shared" si="33"/>
        <v>30</v>
      </c>
      <c r="L1029" s="560">
        <f t="shared" si="32"/>
        <v>3</v>
      </c>
    </row>
    <row r="1030" spans="1:19">
      <c r="B1030" s="553">
        <v>44265</v>
      </c>
      <c r="C1030" t="s">
        <v>1401</v>
      </c>
      <c r="D1030" s="281">
        <v>5</v>
      </c>
      <c r="E1030" t="s">
        <v>2030</v>
      </c>
      <c r="F1030" t="s">
        <v>532</v>
      </c>
      <c r="G1030" t="s">
        <v>10</v>
      </c>
      <c r="H1030" t="s">
        <v>1384</v>
      </c>
      <c r="I1030">
        <v>5010000000</v>
      </c>
      <c r="J1030" s="560">
        <v>3077.52</v>
      </c>
      <c r="K1030" s="560">
        <f t="shared" si="33"/>
        <v>30</v>
      </c>
      <c r="L1030" s="560">
        <f t="shared" si="32"/>
        <v>2</v>
      </c>
    </row>
    <row r="1031" spans="1:19">
      <c r="A1031" t="s">
        <v>2255</v>
      </c>
      <c r="B1031" s="553">
        <v>44265</v>
      </c>
      <c r="C1031" t="s">
        <v>1401</v>
      </c>
      <c r="D1031" s="281">
        <v>5</v>
      </c>
      <c r="E1031" t="s">
        <v>2031</v>
      </c>
      <c r="F1031" t="s">
        <v>534</v>
      </c>
      <c r="G1031" t="s">
        <v>10</v>
      </c>
      <c r="H1031" t="s">
        <v>1384</v>
      </c>
      <c r="I1031">
        <v>5010000000</v>
      </c>
      <c r="J1031" s="560">
        <v>500</v>
      </c>
      <c r="K1031" s="560">
        <f t="shared" si="33"/>
        <v>30</v>
      </c>
      <c r="L1031" s="560">
        <f t="shared" si="32"/>
        <v>1</v>
      </c>
      <c r="M1031" s="560" t="e">
        <f>SUMIFS('[1]MAIN-101'!$Z$1:$Z$3000,'[1]MAIN-101'!$X$1:$X$3000,S1031)</f>
        <v>#VALUE!</v>
      </c>
      <c r="N1031" s="560"/>
      <c r="O1031" s="560"/>
      <c r="S1031" t="str">
        <f>VLOOKUP(C1031,'Recon of ORS and DV'!$A$4:$B$358,2,FALSE)</f>
        <v>0363</v>
      </c>
    </row>
    <row r="1032" spans="1:19">
      <c r="B1032" s="553">
        <v>44265</v>
      </c>
      <c r="C1032" t="s">
        <v>1402</v>
      </c>
      <c r="D1032" s="281">
        <v>1</v>
      </c>
      <c r="E1032" t="s">
        <v>2026</v>
      </c>
      <c r="F1032" t="s">
        <v>499</v>
      </c>
      <c r="G1032" t="s">
        <v>764</v>
      </c>
      <c r="H1032" t="s">
        <v>1384</v>
      </c>
      <c r="I1032">
        <v>5010000000</v>
      </c>
      <c r="J1032" s="560">
        <v>99206</v>
      </c>
      <c r="K1032" s="560">
        <f t="shared" si="33"/>
        <v>24</v>
      </c>
      <c r="L1032" s="560">
        <f t="shared" si="32"/>
        <v>24</v>
      </c>
    </row>
    <row r="1033" spans="1:19">
      <c r="B1033" s="553">
        <v>44265</v>
      </c>
      <c r="C1033" t="s">
        <v>1402</v>
      </c>
      <c r="D1033" s="281">
        <v>1</v>
      </c>
      <c r="E1033" t="s">
        <v>2027</v>
      </c>
      <c r="F1033" t="s">
        <v>504</v>
      </c>
      <c r="G1033" t="s">
        <v>764</v>
      </c>
      <c r="H1033" t="s">
        <v>1384</v>
      </c>
      <c r="I1033">
        <v>5010000000</v>
      </c>
      <c r="J1033" s="560">
        <v>8000</v>
      </c>
      <c r="K1033" s="560">
        <f t="shared" si="33"/>
        <v>24</v>
      </c>
      <c r="L1033" s="560">
        <f t="shared" si="32"/>
        <v>23</v>
      </c>
    </row>
    <row r="1034" spans="1:19">
      <c r="B1034" s="553">
        <v>44265</v>
      </c>
      <c r="C1034" t="s">
        <v>1402</v>
      </c>
      <c r="D1034" s="281">
        <v>1</v>
      </c>
      <c r="E1034" t="s">
        <v>2028</v>
      </c>
      <c r="F1034" t="s">
        <v>528</v>
      </c>
      <c r="G1034" t="s">
        <v>764</v>
      </c>
      <c r="H1034" t="s">
        <v>1384</v>
      </c>
      <c r="I1034">
        <v>5010301000</v>
      </c>
      <c r="J1034" s="560">
        <v>11904.72</v>
      </c>
      <c r="K1034" s="560">
        <f t="shared" si="33"/>
        <v>24</v>
      </c>
      <c r="L1034" s="560">
        <f t="shared" si="32"/>
        <v>22</v>
      </c>
    </row>
    <row r="1035" spans="1:19">
      <c r="B1035" s="553">
        <v>44265</v>
      </c>
      <c r="C1035" t="s">
        <v>1402</v>
      </c>
      <c r="D1035" s="281">
        <v>1</v>
      </c>
      <c r="E1035" t="s">
        <v>2029</v>
      </c>
      <c r="F1035" t="s">
        <v>530</v>
      </c>
      <c r="G1035" t="s">
        <v>764</v>
      </c>
      <c r="H1035" t="s">
        <v>1384</v>
      </c>
      <c r="I1035">
        <v>5010000000</v>
      </c>
      <c r="J1035" s="560">
        <v>400</v>
      </c>
      <c r="K1035" s="560">
        <f t="shared" si="33"/>
        <v>24</v>
      </c>
      <c r="L1035" s="560">
        <f t="shared" si="32"/>
        <v>21</v>
      </c>
    </row>
    <row r="1036" spans="1:19">
      <c r="B1036" s="553">
        <v>44265</v>
      </c>
      <c r="C1036" t="s">
        <v>1402</v>
      </c>
      <c r="D1036" s="281">
        <v>1</v>
      </c>
      <c r="E1036" t="s">
        <v>2030</v>
      </c>
      <c r="F1036" t="s">
        <v>532</v>
      </c>
      <c r="G1036" t="s">
        <v>764</v>
      </c>
      <c r="H1036" t="s">
        <v>1384</v>
      </c>
      <c r="I1036">
        <v>5010000000</v>
      </c>
      <c r="J1036" s="560">
        <v>1488.1</v>
      </c>
      <c r="K1036" s="560">
        <f t="shared" si="33"/>
        <v>24</v>
      </c>
      <c r="L1036" s="560">
        <f t="shared" si="32"/>
        <v>20</v>
      </c>
    </row>
    <row r="1037" spans="1:19">
      <c r="B1037" s="553">
        <v>44265</v>
      </c>
      <c r="C1037" t="s">
        <v>1402</v>
      </c>
      <c r="D1037" s="281">
        <v>1</v>
      </c>
      <c r="E1037" t="s">
        <v>2031</v>
      </c>
      <c r="F1037" t="s">
        <v>534</v>
      </c>
      <c r="G1037" t="s">
        <v>764</v>
      </c>
      <c r="H1037" t="s">
        <v>1384</v>
      </c>
      <c r="I1037">
        <v>5010000000</v>
      </c>
      <c r="J1037" s="560">
        <v>400</v>
      </c>
      <c r="K1037" s="560">
        <f t="shared" si="33"/>
        <v>24</v>
      </c>
      <c r="L1037" s="560">
        <f t="shared" si="32"/>
        <v>19</v>
      </c>
    </row>
    <row r="1038" spans="1:19">
      <c r="B1038" s="553">
        <v>44265</v>
      </c>
      <c r="C1038" t="s">
        <v>1402</v>
      </c>
      <c r="D1038" s="281">
        <v>2</v>
      </c>
      <c r="E1038" t="s">
        <v>2026</v>
      </c>
      <c r="F1038" t="s">
        <v>499</v>
      </c>
      <c r="G1038" t="s">
        <v>764</v>
      </c>
      <c r="H1038" t="s">
        <v>1384</v>
      </c>
      <c r="I1038">
        <v>5010000000</v>
      </c>
      <c r="J1038" s="560">
        <v>44184</v>
      </c>
      <c r="K1038" s="560">
        <f t="shared" si="33"/>
        <v>24</v>
      </c>
      <c r="L1038" s="560">
        <f t="shared" si="32"/>
        <v>18</v>
      </c>
    </row>
    <row r="1039" spans="1:19">
      <c r="B1039" s="553">
        <v>44265</v>
      </c>
      <c r="C1039" t="s">
        <v>1402</v>
      </c>
      <c r="D1039" s="281">
        <v>2</v>
      </c>
      <c r="E1039" t="s">
        <v>2027</v>
      </c>
      <c r="F1039" t="s">
        <v>504</v>
      </c>
      <c r="G1039" t="s">
        <v>764</v>
      </c>
      <c r="H1039" t="s">
        <v>1384</v>
      </c>
      <c r="I1039">
        <v>5010000000</v>
      </c>
      <c r="J1039" s="560">
        <v>2000</v>
      </c>
      <c r="K1039" s="560">
        <f t="shared" si="33"/>
        <v>24</v>
      </c>
      <c r="L1039" s="560">
        <f t="shared" ref="L1039:L1102" si="34">COUNTIFS(C1039:C2592,C1039)</f>
        <v>17</v>
      </c>
    </row>
    <row r="1040" spans="1:19">
      <c r="B1040" s="553">
        <v>44265</v>
      </c>
      <c r="C1040" t="s">
        <v>1402</v>
      </c>
      <c r="D1040" s="281">
        <v>2</v>
      </c>
      <c r="E1040" t="s">
        <v>2028</v>
      </c>
      <c r="F1040" t="s">
        <v>528</v>
      </c>
      <c r="G1040" t="s">
        <v>764</v>
      </c>
      <c r="H1040" t="s">
        <v>1384</v>
      </c>
      <c r="I1040">
        <v>5010301000</v>
      </c>
      <c r="J1040" s="560">
        <v>5302.08</v>
      </c>
      <c r="K1040" s="560">
        <f t="shared" si="33"/>
        <v>24</v>
      </c>
      <c r="L1040" s="560">
        <f t="shared" si="34"/>
        <v>16</v>
      </c>
    </row>
    <row r="1041" spans="1:19">
      <c r="B1041" s="553">
        <v>44265</v>
      </c>
      <c r="C1041" t="s">
        <v>1402</v>
      </c>
      <c r="D1041" s="281">
        <v>2</v>
      </c>
      <c r="E1041" t="s">
        <v>2029</v>
      </c>
      <c r="F1041" t="s">
        <v>530</v>
      </c>
      <c r="G1041" t="s">
        <v>764</v>
      </c>
      <c r="H1041" t="s">
        <v>1384</v>
      </c>
      <c r="I1041">
        <v>5010000000</v>
      </c>
      <c r="J1041" s="560">
        <v>100</v>
      </c>
      <c r="K1041" s="560">
        <f t="shared" si="33"/>
        <v>24</v>
      </c>
      <c r="L1041" s="560">
        <f t="shared" si="34"/>
        <v>15</v>
      </c>
    </row>
    <row r="1042" spans="1:19">
      <c r="B1042" s="553">
        <v>44265</v>
      </c>
      <c r="C1042" t="s">
        <v>1402</v>
      </c>
      <c r="D1042" s="281">
        <v>2</v>
      </c>
      <c r="E1042" t="s">
        <v>2030</v>
      </c>
      <c r="F1042" t="s">
        <v>532</v>
      </c>
      <c r="G1042" t="s">
        <v>764</v>
      </c>
      <c r="H1042" t="s">
        <v>1384</v>
      </c>
      <c r="I1042">
        <v>5010000000</v>
      </c>
      <c r="J1042" s="560">
        <v>662.76</v>
      </c>
      <c r="K1042" s="560">
        <f t="shared" si="33"/>
        <v>24</v>
      </c>
      <c r="L1042" s="560">
        <f t="shared" si="34"/>
        <v>14</v>
      </c>
    </row>
    <row r="1043" spans="1:19">
      <c r="B1043" s="553">
        <v>44265</v>
      </c>
      <c r="C1043" t="s">
        <v>1402</v>
      </c>
      <c r="D1043" s="281">
        <v>2</v>
      </c>
      <c r="E1043" t="s">
        <v>2031</v>
      </c>
      <c r="F1043" t="s">
        <v>534</v>
      </c>
      <c r="G1043" t="s">
        <v>764</v>
      </c>
      <c r="H1043" t="s">
        <v>1384</v>
      </c>
      <c r="I1043">
        <v>5010000000</v>
      </c>
      <c r="J1043" s="560">
        <v>100</v>
      </c>
      <c r="K1043" s="560">
        <f t="shared" si="33"/>
        <v>24</v>
      </c>
      <c r="L1043" s="560">
        <f t="shared" si="34"/>
        <v>13</v>
      </c>
    </row>
    <row r="1044" spans="1:19">
      <c r="B1044" s="553">
        <v>44265</v>
      </c>
      <c r="C1044" t="s">
        <v>1402</v>
      </c>
      <c r="D1044" s="281">
        <v>4</v>
      </c>
      <c r="E1044" t="s">
        <v>2026</v>
      </c>
      <c r="F1044" t="s">
        <v>499</v>
      </c>
      <c r="G1044" t="s">
        <v>764</v>
      </c>
      <c r="H1044" t="s">
        <v>1384</v>
      </c>
      <c r="I1044">
        <v>5010000000</v>
      </c>
      <c r="J1044" s="560">
        <v>113498</v>
      </c>
      <c r="K1044" s="560">
        <f t="shared" si="33"/>
        <v>24</v>
      </c>
      <c r="L1044" s="560">
        <f t="shared" si="34"/>
        <v>12</v>
      </c>
    </row>
    <row r="1045" spans="1:19">
      <c r="B1045" s="553">
        <v>44265</v>
      </c>
      <c r="C1045" t="s">
        <v>1402</v>
      </c>
      <c r="D1045" s="281">
        <v>4</v>
      </c>
      <c r="E1045" t="s">
        <v>2027</v>
      </c>
      <c r="F1045" t="s">
        <v>504</v>
      </c>
      <c r="G1045" t="s">
        <v>764</v>
      </c>
      <c r="H1045" t="s">
        <v>1384</v>
      </c>
      <c r="I1045">
        <v>5010000000</v>
      </c>
      <c r="J1045" s="560">
        <v>6000</v>
      </c>
      <c r="K1045" s="560">
        <f t="shared" si="33"/>
        <v>24</v>
      </c>
      <c r="L1045" s="560">
        <f t="shared" si="34"/>
        <v>11</v>
      </c>
    </row>
    <row r="1046" spans="1:19">
      <c r="B1046" s="553">
        <v>44265</v>
      </c>
      <c r="C1046" t="s">
        <v>1402</v>
      </c>
      <c r="D1046" s="281">
        <v>4</v>
      </c>
      <c r="E1046" t="s">
        <v>2028</v>
      </c>
      <c r="F1046" t="s">
        <v>528</v>
      </c>
      <c r="G1046" t="s">
        <v>764</v>
      </c>
      <c r="H1046" t="s">
        <v>1384</v>
      </c>
      <c r="I1046">
        <v>5010301000</v>
      </c>
      <c r="J1046" s="560">
        <v>13619.76</v>
      </c>
      <c r="K1046" s="560">
        <f t="shared" si="33"/>
        <v>24</v>
      </c>
      <c r="L1046" s="560">
        <f t="shared" si="34"/>
        <v>10</v>
      </c>
    </row>
    <row r="1047" spans="1:19">
      <c r="B1047" s="553">
        <v>44265</v>
      </c>
      <c r="C1047" t="s">
        <v>1402</v>
      </c>
      <c r="D1047" s="281">
        <v>4</v>
      </c>
      <c r="E1047" t="s">
        <v>2029</v>
      </c>
      <c r="F1047" t="s">
        <v>530</v>
      </c>
      <c r="G1047" t="s">
        <v>764</v>
      </c>
      <c r="H1047" t="s">
        <v>1384</v>
      </c>
      <c r="I1047">
        <v>5010000000</v>
      </c>
      <c r="J1047" s="560">
        <v>300</v>
      </c>
      <c r="K1047" s="560">
        <f t="shared" si="33"/>
        <v>24</v>
      </c>
      <c r="L1047" s="560">
        <f t="shared" si="34"/>
        <v>9</v>
      </c>
    </row>
    <row r="1048" spans="1:19">
      <c r="B1048" s="553">
        <v>44265</v>
      </c>
      <c r="C1048" t="s">
        <v>1402</v>
      </c>
      <c r="D1048" s="281">
        <v>4</v>
      </c>
      <c r="E1048" t="s">
        <v>2030</v>
      </c>
      <c r="F1048" t="s">
        <v>532</v>
      </c>
      <c r="G1048" t="s">
        <v>764</v>
      </c>
      <c r="H1048" t="s">
        <v>1384</v>
      </c>
      <c r="I1048">
        <v>5010000000</v>
      </c>
      <c r="J1048" s="560">
        <v>1702.48</v>
      </c>
      <c r="K1048" s="560">
        <f t="shared" si="33"/>
        <v>24</v>
      </c>
      <c r="L1048" s="560">
        <f t="shared" si="34"/>
        <v>8</v>
      </c>
    </row>
    <row r="1049" spans="1:19">
      <c r="B1049" s="553">
        <v>44265</v>
      </c>
      <c r="C1049" t="s">
        <v>1402</v>
      </c>
      <c r="D1049" s="281">
        <v>4</v>
      </c>
      <c r="E1049" t="s">
        <v>2031</v>
      </c>
      <c r="F1049" t="s">
        <v>534</v>
      </c>
      <c r="G1049" t="s">
        <v>764</v>
      </c>
      <c r="H1049" t="s">
        <v>1384</v>
      </c>
      <c r="I1049">
        <v>5010000000</v>
      </c>
      <c r="J1049" s="560">
        <v>300</v>
      </c>
      <c r="K1049" s="560">
        <f t="shared" si="33"/>
        <v>24</v>
      </c>
      <c r="L1049" s="560">
        <f t="shared" si="34"/>
        <v>7</v>
      </c>
    </row>
    <row r="1050" spans="1:19">
      <c r="B1050" s="553">
        <v>44265</v>
      </c>
      <c r="C1050" t="s">
        <v>1402</v>
      </c>
      <c r="D1050" s="281">
        <v>5</v>
      </c>
      <c r="E1050" t="s">
        <v>2026</v>
      </c>
      <c r="F1050" t="s">
        <v>499</v>
      </c>
      <c r="G1050" t="s">
        <v>764</v>
      </c>
      <c r="H1050" t="s">
        <v>1384</v>
      </c>
      <c r="I1050">
        <v>5010000000</v>
      </c>
      <c r="J1050" s="560">
        <v>136714</v>
      </c>
      <c r="K1050" s="560">
        <f t="shared" si="33"/>
        <v>24</v>
      </c>
      <c r="L1050" s="560">
        <f t="shared" si="34"/>
        <v>6</v>
      </c>
    </row>
    <row r="1051" spans="1:19">
      <c r="B1051" s="553">
        <v>44265</v>
      </c>
      <c r="C1051" t="s">
        <v>1402</v>
      </c>
      <c r="D1051" s="281">
        <v>5</v>
      </c>
      <c r="E1051" t="s">
        <v>2027</v>
      </c>
      <c r="F1051" t="s">
        <v>504</v>
      </c>
      <c r="G1051" t="s">
        <v>764</v>
      </c>
      <c r="H1051" t="s">
        <v>1384</v>
      </c>
      <c r="I1051">
        <v>5010000000</v>
      </c>
      <c r="J1051" s="560">
        <v>6000</v>
      </c>
      <c r="K1051" s="560">
        <f t="shared" si="33"/>
        <v>24</v>
      </c>
      <c r="L1051" s="560">
        <f t="shared" si="34"/>
        <v>5</v>
      </c>
    </row>
    <row r="1052" spans="1:19">
      <c r="B1052" s="553">
        <v>44265</v>
      </c>
      <c r="C1052" t="s">
        <v>1402</v>
      </c>
      <c r="D1052" s="281">
        <v>5</v>
      </c>
      <c r="E1052" t="s">
        <v>2028</v>
      </c>
      <c r="F1052" t="s">
        <v>528</v>
      </c>
      <c r="G1052" t="s">
        <v>764</v>
      </c>
      <c r="H1052" t="s">
        <v>1384</v>
      </c>
      <c r="I1052">
        <v>5010301000</v>
      </c>
      <c r="J1052" s="560">
        <v>16405.68</v>
      </c>
      <c r="K1052" s="560">
        <f t="shared" si="33"/>
        <v>24</v>
      </c>
      <c r="L1052" s="560">
        <f t="shared" si="34"/>
        <v>4</v>
      </c>
    </row>
    <row r="1053" spans="1:19">
      <c r="B1053" s="553">
        <v>44265</v>
      </c>
      <c r="C1053" t="s">
        <v>1402</v>
      </c>
      <c r="D1053" s="281">
        <v>5</v>
      </c>
      <c r="E1053" t="s">
        <v>2029</v>
      </c>
      <c r="F1053" t="s">
        <v>530</v>
      </c>
      <c r="G1053" t="s">
        <v>764</v>
      </c>
      <c r="H1053" t="s">
        <v>1384</v>
      </c>
      <c r="I1053">
        <v>5010000000</v>
      </c>
      <c r="J1053" s="560">
        <v>300</v>
      </c>
      <c r="K1053" s="560">
        <f t="shared" si="33"/>
        <v>24</v>
      </c>
      <c r="L1053" s="560">
        <f t="shared" si="34"/>
        <v>3</v>
      </c>
    </row>
    <row r="1054" spans="1:19">
      <c r="B1054" s="553">
        <v>44265</v>
      </c>
      <c r="C1054" t="s">
        <v>1402</v>
      </c>
      <c r="D1054" s="281">
        <v>5</v>
      </c>
      <c r="E1054" t="s">
        <v>2030</v>
      </c>
      <c r="F1054" t="s">
        <v>532</v>
      </c>
      <c r="G1054" t="s">
        <v>764</v>
      </c>
      <c r="H1054" t="s">
        <v>1384</v>
      </c>
      <c r="I1054">
        <v>5010000000</v>
      </c>
      <c r="J1054" s="560">
        <v>1924.49</v>
      </c>
      <c r="K1054" s="560">
        <f t="shared" si="33"/>
        <v>24</v>
      </c>
      <c r="L1054" s="560">
        <f t="shared" si="34"/>
        <v>2</v>
      </c>
    </row>
    <row r="1055" spans="1:19">
      <c r="A1055" t="s">
        <v>2256</v>
      </c>
      <c r="B1055" s="553">
        <v>44265</v>
      </c>
      <c r="C1055" t="s">
        <v>1402</v>
      </c>
      <c r="D1055" s="281">
        <v>5</v>
      </c>
      <c r="E1055" t="s">
        <v>2031</v>
      </c>
      <c r="F1055" t="s">
        <v>534</v>
      </c>
      <c r="G1055" t="s">
        <v>764</v>
      </c>
      <c r="H1055" t="s">
        <v>1384</v>
      </c>
      <c r="I1055">
        <v>5010000000</v>
      </c>
      <c r="J1055" s="560">
        <v>300</v>
      </c>
      <c r="K1055" s="560">
        <f t="shared" si="33"/>
        <v>24</v>
      </c>
      <c r="L1055" s="560">
        <f t="shared" si="34"/>
        <v>1</v>
      </c>
      <c r="M1055" s="560" t="e">
        <f>SUMIFS('[1]MAIN-101'!$Z$1:$Z$3000,'[1]MAIN-101'!$X$1:$X$3000,S1055)</f>
        <v>#VALUE!</v>
      </c>
      <c r="N1055" s="560"/>
      <c r="O1055" s="560"/>
      <c r="S1055" t="str">
        <f>VLOOKUP(C1055,'Recon of ORS and DV'!$A$4:$B$358,2,FALSE)</f>
        <v>0377</v>
      </c>
    </row>
    <row r="1056" spans="1:19">
      <c r="B1056" s="553">
        <v>44265</v>
      </c>
      <c r="C1056" t="s">
        <v>1403</v>
      </c>
      <c r="D1056" s="281">
        <v>13</v>
      </c>
      <c r="E1056" t="s">
        <v>2036</v>
      </c>
      <c r="F1056" t="s">
        <v>501</v>
      </c>
      <c r="G1056" t="s">
        <v>869</v>
      </c>
      <c r="H1056" t="s">
        <v>1390</v>
      </c>
      <c r="I1056" t="s">
        <v>2036</v>
      </c>
      <c r="J1056" s="560">
        <v>33575</v>
      </c>
      <c r="K1056" s="560">
        <f t="shared" si="33"/>
        <v>6</v>
      </c>
      <c r="L1056" s="560">
        <f t="shared" si="34"/>
        <v>6</v>
      </c>
    </row>
    <row r="1057" spans="1:19">
      <c r="B1057" s="553">
        <v>44265</v>
      </c>
      <c r="C1057" t="s">
        <v>1403</v>
      </c>
      <c r="D1057" s="281">
        <v>13</v>
      </c>
      <c r="E1057" t="s">
        <v>2027</v>
      </c>
      <c r="F1057" t="s">
        <v>504</v>
      </c>
      <c r="G1057" t="s">
        <v>869</v>
      </c>
      <c r="H1057" t="s">
        <v>1390</v>
      </c>
      <c r="I1057" t="s">
        <v>2036</v>
      </c>
      <c r="J1057" s="560">
        <v>2000</v>
      </c>
      <c r="K1057" s="560">
        <f t="shared" si="33"/>
        <v>6</v>
      </c>
      <c r="L1057" s="560">
        <f t="shared" si="34"/>
        <v>5</v>
      </c>
    </row>
    <row r="1058" spans="1:19">
      <c r="B1058" s="553">
        <v>44265</v>
      </c>
      <c r="C1058" t="s">
        <v>1403</v>
      </c>
      <c r="D1058" s="281">
        <v>13</v>
      </c>
      <c r="E1058" t="s">
        <v>2028</v>
      </c>
      <c r="F1058" t="s">
        <v>528</v>
      </c>
      <c r="G1058" t="s">
        <v>869</v>
      </c>
      <c r="H1058" t="s">
        <v>1390</v>
      </c>
      <c r="I1058" t="s">
        <v>2036</v>
      </c>
      <c r="J1058" s="560">
        <v>4029</v>
      </c>
      <c r="K1058" s="560">
        <f t="shared" si="33"/>
        <v>6</v>
      </c>
      <c r="L1058" s="560">
        <f t="shared" si="34"/>
        <v>4</v>
      </c>
    </row>
    <row r="1059" spans="1:19">
      <c r="B1059" s="553">
        <v>44265</v>
      </c>
      <c r="C1059" t="s">
        <v>1403</v>
      </c>
      <c r="D1059" s="281">
        <v>13</v>
      </c>
      <c r="E1059" t="s">
        <v>2029</v>
      </c>
      <c r="F1059" t="s">
        <v>530</v>
      </c>
      <c r="G1059" t="s">
        <v>869</v>
      </c>
      <c r="H1059" t="s">
        <v>1390</v>
      </c>
      <c r="I1059" t="s">
        <v>2036</v>
      </c>
      <c r="J1059" s="560">
        <v>100</v>
      </c>
      <c r="K1059" s="560">
        <f t="shared" si="33"/>
        <v>6</v>
      </c>
      <c r="L1059" s="560">
        <f t="shared" si="34"/>
        <v>3</v>
      </c>
    </row>
    <row r="1060" spans="1:19">
      <c r="B1060" s="553">
        <v>44265</v>
      </c>
      <c r="C1060" t="s">
        <v>1403</v>
      </c>
      <c r="D1060" s="281">
        <v>13</v>
      </c>
      <c r="E1060" t="s">
        <v>2030</v>
      </c>
      <c r="F1060" t="s">
        <v>532</v>
      </c>
      <c r="G1060" t="s">
        <v>869</v>
      </c>
      <c r="H1060" t="s">
        <v>1390</v>
      </c>
      <c r="I1060" t="s">
        <v>2036</v>
      </c>
      <c r="J1060" s="560">
        <v>503.63</v>
      </c>
      <c r="K1060" s="560">
        <f t="shared" si="33"/>
        <v>6</v>
      </c>
      <c r="L1060" s="560">
        <f t="shared" si="34"/>
        <v>2</v>
      </c>
    </row>
    <row r="1061" spans="1:19">
      <c r="A1061" t="s">
        <v>2257</v>
      </c>
      <c r="B1061" s="553">
        <v>44265</v>
      </c>
      <c r="C1061" t="s">
        <v>1403</v>
      </c>
      <c r="D1061" s="281">
        <v>13</v>
      </c>
      <c r="E1061" t="s">
        <v>2031</v>
      </c>
      <c r="F1061" t="s">
        <v>534</v>
      </c>
      <c r="G1061" t="s">
        <v>869</v>
      </c>
      <c r="H1061" t="s">
        <v>1390</v>
      </c>
      <c r="I1061" t="s">
        <v>2036</v>
      </c>
      <c r="J1061" s="560">
        <v>100</v>
      </c>
      <c r="K1061" s="560">
        <f t="shared" si="33"/>
        <v>6</v>
      </c>
      <c r="L1061" s="560">
        <f t="shared" si="34"/>
        <v>1</v>
      </c>
      <c r="M1061" s="560" t="e">
        <f>SUMIFS('[1]MAIN-101'!$Z$1:$Z$3000,'[1]MAIN-101'!$X$1:$X$3000,S1061)</f>
        <v>#VALUE!</v>
      </c>
      <c r="N1061" s="560"/>
      <c r="O1061" s="560"/>
      <c r="S1061" t="str">
        <f>VLOOKUP(C1061,'Recon of ORS and DV'!$A$4:$B$358,2,FALSE)</f>
        <v>0378</v>
      </c>
    </row>
    <row r="1062" spans="1:19">
      <c r="B1062" s="553">
        <v>44266</v>
      </c>
      <c r="C1062" t="s">
        <v>1405</v>
      </c>
      <c r="D1062" s="281">
        <v>4</v>
      </c>
      <c r="E1062" t="s">
        <v>2026</v>
      </c>
      <c r="F1062" t="s">
        <v>499</v>
      </c>
      <c r="G1062" t="s">
        <v>1170</v>
      </c>
      <c r="H1062" t="s">
        <v>1406</v>
      </c>
      <c r="I1062">
        <v>5010000000</v>
      </c>
      <c r="J1062" s="560">
        <v>23877</v>
      </c>
      <c r="K1062" s="560">
        <f t="shared" si="33"/>
        <v>6</v>
      </c>
      <c r="L1062" s="560">
        <f t="shared" si="34"/>
        <v>6</v>
      </c>
    </row>
    <row r="1063" spans="1:19">
      <c r="B1063" s="553">
        <v>44266</v>
      </c>
      <c r="C1063" t="s">
        <v>1405</v>
      </c>
      <c r="D1063" s="281">
        <v>4</v>
      </c>
      <c r="E1063" t="s">
        <v>2027</v>
      </c>
      <c r="F1063" t="s">
        <v>504</v>
      </c>
      <c r="G1063" t="s">
        <v>1170</v>
      </c>
      <c r="H1063" t="s">
        <v>1406</v>
      </c>
      <c r="I1063">
        <v>5010000000</v>
      </c>
      <c r="J1063" s="560">
        <v>2000</v>
      </c>
      <c r="K1063" s="560">
        <f t="shared" si="33"/>
        <v>6</v>
      </c>
      <c r="L1063" s="560">
        <f t="shared" si="34"/>
        <v>5</v>
      </c>
    </row>
    <row r="1064" spans="1:19">
      <c r="B1064" s="553">
        <v>44266</v>
      </c>
      <c r="C1064" t="s">
        <v>1405</v>
      </c>
      <c r="D1064" s="281">
        <v>4</v>
      </c>
      <c r="E1064" t="s">
        <v>2028</v>
      </c>
      <c r="F1064" t="s">
        <v>528</v>
      </c>
      <c r="G1064" t="s">
        <v>1170</v>
      </c>
      <c r="H1064" t="s">
        <v>1406</v>
      </c>
      <c r="I1064">
        <v>5010301000</v>
      </c>
      <c r="J1064" s="560">
        <v>2865.24</v>
      </c>
      <c r="K1064" s="560">
        <f t="shared" si="33"/>
        <v>6</v>
      </c>
      <c r="L1064" s="560">
        <f t="shared" si="34"/>
        <v>4</v>
      </c>
    </row>
    <row r="1065" spans="1:19">
      <c r="B1065" s="553">
        <v>44266</v>
      </c>
      <c r="C1065" t="s">
        <v>1405</v>
      </c>
      <c r="D1065" s="281">
        <v>4</v>
      </c>
      <c r="E1065" t="s">
        <v>2029</v>
      </c>
      <c r="F1065" t="s">
        <v>530</v>
      </c>
      <c r="G1065" t="s">
        <v>1170</v>
      </c>
      <c r="H1065" t="s">
        <v>1406</v>
      </c>
      <c r="I1065">
        <v>5010000000</v>
      </c>
      <c r="J1065" s="560">
        <v>100</v>
      </c>
      <c r="K1065" s="560">
        <f t="shared" si="33"/>
        <v>6</v>
      </c>
      <c r="L1065" s="560">
        <f t="shared" si="34"/>
        <v>3</v>
      </c>
    </row>
    <row r="1066" spans="1:19">
      <c r="B1066" s="553">
        <v>44266</v>
      </c>
      <c r="C1066" t="s">
        <v>1405</v>
      </c>
      <c r="D1066" s="281">
        <v>4</v>
      </c>
      <c r="E1066" t="s">
        <v>2030</v>
      </c>
      <c r="F1066" t="s">
        <v>532</v>
      </c>
      <c r="G1066" t="s">
        <v>1170</v>
      </c>
      <c r="H1066" t="s">
        <v>1406</v>
      </c>
      <c r="I1066">
        <v>5010000000</v>
      </c>
      <c r="J1066" s="560">
        <v>358.16</v>
      </c>
      <c r="K1066" s="560">
        <f t="shared" si="33"/>
        <v>6</v>
      </c>
      <c r="L1066" s="560">
        <f t="shared" si="34"/>
        <v>2</v>
      </c>
    </row>
    <row r="1067" spans="1:19">
      <c r="A1067" t="s">
        <v>2258</v>
      </c>
      <c r="B1067" s="553">
        <v>44266</v>
      </c>
      <c r="C1067" t="s">
        <v>1405</v>
      </c>
      <c r="D1067" s="281">
        <v>4</v>
      </c>
      <c r="E1067" t="s">
        <v>2031</v>
      </c>
      <c r="F1067" t="s">
        <v>534</v>
      </c>
      <c r="G1067" t="s">
        <v>1170</v>
      </c>
      <c r="H1067" t="s">
        <v>1406</v>
      </c>
      <c r="I1067">
        <v>5010000000</v>
      </c>
      <c r="J1067" s="560">
        <v>100</v>
      </c>
      <c r="K1067" s="560">
        <f t="shared" si="33"/>
        <v>6</v>
      </c>
      <c r="L1067" s="560">
        <f t="shared" si="34"/>
        <v>1</v>
      </c>
      <c r="M1067" s="560" t="e">
        <f>SUMIFS('[1]MAIN-101'!$Z$1:$Z$3000,'[1]MAIN-101'!$X$1:$X$3000,S1067)</f>
        <v>#VALUE!</v>
      </c>
      <c r="N1067" s="560"/>
      <c r="O1067" s="560"/>
      <c r="S1067" t="str">
        <f>VLOOKUP(C1067,'Recon of ORS and DV'!$A$4:$B$358,2,FALSE)</f>
        <v>0382</v>
      </c>
    </row>
    <row r="1068" spans="1:19">
      <c r="A1068" t="s">
        <v>2259</v>
      </c>
      <c r="B1068" s="553">
        <v>44266</v>
      </c>
      <c r="C1068" t="s">
        <v>1407</v>
      </c>
      <c r="D1068" s="281">
        <v>5</v>
      </c>
      <c r="E1068" t="s">
        <v>2002</v>
      </c>
      <c r="F1068" t="s">
        <v>603</v>
      </c>
      <c r="G1068" t="s">
        <v>1245</v>
      </c>
      <c r="H1068" t="s">
        <v>1408</v>
      </c>
      <c r="I1068">
        <v>5020000000</v>
      </c>
      <c r="J1068" s="560">
        <v>2016</v>
      </c>
      <c r="K1068" s="560">
        <f t="shared" si="33"/>
        <v>1</v>
      </c>
      <c r="L1068" s="560">
        <f t="shared" si="34"/>
        <v>1</v>
      </c>
      <c r="M1068" s="560" t="e">
        <f>SUMIFS('[1]MAIN-101'!$Z$1:$Z$3000,'[1]MAIN-101'!$X$1:$X$3000,S1068)</f>
        <v>#VALUE!</v>
      </c>
      <c r="N1068" s="560"/>
      <c r="O1068" s="560"/>
      <c r="S1068" t="str">
        <f>VLOOKUP(C1068,'Recon of ORS and DV'!$A$4:$B$358,2,FALSE)</f>
        <v>0386</v>
      </c>
    </row>
    <row r="1069" spans="1:19">
      <c r="A1069" t="s">
        <v>2260</v>
      </c>
      <c r="B1069" s="553">
        <v>44266</v>
      </c>
      <c r="C1069" t="s">
        <v>1409</v>
      </c>
      <c r="D1069" s="281">
        <v>1</v>
      </c>
      <c r="E1069" t="s">
        <v>2002</v>
      </c>
      <c r="F1069" t="s">
        <v>603</v>
      </c>
      <c r="G1069" t="s">
        <v>1245</v>
      </c>
      <c r="H1069" t="s">
        <v>1248</v>
      </c>
      <c r="I1069">
        <v>5020000000</v>
      </c>
      <c r="J1069" s="560">
        <v>1344</v>
      </c>
      <c r="K1069" s="560">
        <f t="shared" si="33"/>
        <v>1</v>
      </c>
      <c r="L1069" s="560">
        <f t="shared" si="34"/>
        <v>1</v>
      </c>
      <c r="M1069" s="560" t="e">
        <f>SUMIFS('[1]MAIN-101'!$Z$1:$Z$3000,'[1]MAIN-101'!$X$1:$X$3000,S1069)</f>
        <v>#VALUE!</v>
      </c>
      <c r="N1069" s="560"/>
      <c r="O1069" s="560"/>
      <c r="S1069" t="str">
        <f>VLOOKUP(C1069,'Recon of ORS and DV'!$A$4:$B$358,2,FALSE)</f>
        <v>0387</v>
      </c>
    </row>
    <row r="1070" spans="1:19">
      <c r="A1070" t="s">
        <v>2261</v>
      </c>
      <c r="B1070" s="553">
        <v>44266</v>
      </c>
      <c r="C1070" t="s">
        <v>1410</v>
      </c>
      <c r="D1070" s="281">
        <v>5</v>
      </c>
      <c r="E1070" t="s">
        <v>2032</v>
      </c>
      <c r="F1070" t="s">
        <v>565</v>
      </c>
      <c r="G1070" t="s">
        <v>1036</v>
      </c>
      <c r="H1070" t="s">
        <v>1411</v>
      </c>
      <c r="I1070">
        <v>5020000000</v>
      </c>
      <c r="J1070" s="560">
        <v>1651.12</v>
      </c>
      <c r="K1070" s="560">
        <f t="shared" si="33"/>
        <v>1</v>
      </c>
      <c r="L1070" s="560">
        <f t="shared" si="34"/>
        <v>1</v>
      </c>
      <c r="M1070" s="560" t="e">
        <f>SUMIFS('[1]MAIN-101'!$Z$1:$Z$3000,'[1]MAIN-101'!$X$1:$X$3000,S1070)</f>
        <v>#VALUE!</v>
      </c>
      <c r="N1070" s="560"/>
      <c r="O1070" s="560"/>
      <c r="S1070" t="str">
        <f>VLOOKUP(C1070,'Recon of ORS and DV'!$A$4:$B$358,2,FALSE)</f>
        <v>0388</v>
      </c>
    </row>
    <row r="1071" spans="1:19">
      <c r="B1071" s="553">
        <v>44266</v>
      </c>
      <c r="C1071" t="s">
        <v>1412</v>
      </c>
      <c r="D1071" s="281">
        <v>4</v>
      </c>
      <c r="E1071" t="s">
        <v>2026</v>
      </c>
      <c r="F1071" t="s">
        <v>499</v>
      </c>
      <c r="G1071" t="s">
        <v>1172</v>
      </c>
      <c r="H1071" t="s">
        <v>1394</v>
      </c>
      <c r="I1071">
        <v>5010000000</v>
      </c>
      <c r="J1071" s="560">
        <v>23877</v>
      </c>
      <c r="K1071" s="560">
        <f t="shared" si="33"/>
        <v>6</v>
      </c>
      <c r="L1071" s="560">
        <f t="shared" si="34"/>
        <v>6</v>
      </c>
    </row>
    <row r="1072" spans="1:19">
      <c r="B1072" s="553">
        <v>44266</v>
      </c>
      <c r="C1072" t="s">
        <v>1412</v>
      </c>
      <c r="D1072" s="281">
        <v>4</v>
      </c>
      <c r="E1072" t="s">
        <v>2027</v>
      </c>
      <c r="F1072" t="s">
        <v>504</v>
      </c>
      <c r="G1072" t="s">
        <v>1172</v>
      </c>
      <c r="H1072" t="s">
        <v>1394</v>
      </c>
      <c r="I1072">
        <v>5010000000</v>
      </c>
      <c r="J1072" s="560">
        <v>2000</v>
      </c>
      <c r="K1072" s="560">
        <f t="shared" si="33"/>
        <v>6</v>
      </c>
      <c r="L1072" s="560">
        <f t="shared" si="34"/>
        <v>5</v>
      </c>
    </row>
    <row r="1073" spans="1:19">
      <c r="B1073" s="553">
        <v>44266</v>
      </c>
      <c r="C1073" t="s">
        <v>1412</v>
      </c>
      <c r="D1073" s="281">
        <v>4</v>
      </c>
      <c r="E1073" t="s">
        <v>2028</v>
      </c>
      <c r="F1073" t="s">
        <v>528</v>
      </c>
      <c r="G1073" t="s">
        <v>1172</v>
      </c>
      <c r="H1073" t="s">
        <v>1394</v>
      </c>
      <c r="I1073">
        <v>5010301000</v>
      </c>
      <c r="J1073" s="560">
        <v>2865.24</v>
      </c>
      <c r="K1073" s="560">
        <f t="shared" si="33"/>
        <v>6</v>
      </c>
      <c r="L1073" s="560">
        <f t="shared" si="34"/>
        <v>4</v>
      </c>
    </row>
    <row r="1074" spans="1:19">
      <c r="B1074" s="553">
        <v>44266</v>
      </c>
      <c r="C1074" t="s">
        <v>1412</v>
      </c>
      <c r="D1074" s="281">
        <v>4</v>
      </c>
      <c r="E1074" t="s">
        <v>2029</v>
      </c>
      <c r="F1074" t="s">
        <v>530</v>
      </c>
      <c r="G1074" t="s">
        <v>1172</v>
      </c>
      <c r="H1074" t="s">
        <v>1394</v>
      </c>
      <c r="I1074">
        <v>5010000000</v>
      </c>
      <c r="J1074" s="560">
        <v>100</v>
      </c>
      <c r="K1074" s="560">
        <f t="shared" si="33"/>
        <v>6</v>
      </c>
      <c r="L1074" s="560">
        <f t="shared" si="34"/>
        <v>3</v>
      </c>
    </row>
    <row r="1075" spans="1:19">
      <c r="B1075" s="553">
        <v>44266</v>
      </c>
      <c r="C1075" t="s">
        <v>1412</v>
      </c>
      <c r="D1075" s="281">
        <v>4</v>
      </c>
      <c r="E1075" t="s">
        <v>2030</v>
      </c>
      <c r="F1075" t="s">
        <v>532</v>
      </c>
      <c r="G1075" t="s">
        <v>1172</v>
      </c>
      <c r="H1075" t="s">
        <v>1394</v>
      </c>
      <c r="I1075">
        <v>5010000000</v>
      </c>
      <c r="J1075" s="560">
        <v>358.16</v>
      </c>
      <c r="K1075" s="560">
        <f t="shared" si="33"/>
        <v>6</v>
      </c>
      <c r="L1075" s="560">
        <f t="shared" si="34"/>
        <v>2</v>
      </c>
    </row>
    <row r="1076" spans="1:19">
      <c r="A1076" t="s">
        <v>2262</v>
      </c>
      <c r="B1076" s="553">
        <v>44266</v>
      </c>
      <c r="C1076" t="s">
        <v>1412</v>
      </c>
      <c r="D1076" s="281">
        <v>4</v>
      </c>
      <c r="E1076" t="s">
        <v>2031</v>
      </c>
      <c r="F1076" t="s">
        <v>534</v>
      </c>
      <c r="G1076" t="s">
        <v>1172</v>
      </c>
      <c r="H1076" t="s">
        <v>1394</v>
      </c>
      <c r="I1076">
        <v>5010000000</v>
      </c>
      <c r="J1076" s="560">
        <v>100</v>
      </c>
      <c r="K1076" s="560">
        <f t="shared" si="33"/>
        <v>6</v>
      </c>
      <c r="L1076" s="560">
        <f t="shared" si="34"/>
        <v>1</v>
      </c>
      <c r="M1076" s="560" t="e">
        <f>SUMIFS('[1]MAIN-101'!$Z$1:$Z$3000,'[1]MAIN-101'!$X$1:$X$3000,S1076)</f>
        <v>#VALUE!</v>
      </c>
      <c r="N1076" s="560"/>
      <c r="O1076" s="560"/>
      <c r="S1076" t="str">
        <f>VLOOKUP(C1076,'Recon of ORS and DV'!$A$4:$B$358,2,FALSE)</f>
        <v>0383</v>
      </c>
    </row>
    <row r="1077" spans="1:19">
      <c r="B1077" s="553">
        <v>44266</v>
      </c>
      <c r="C1077" t="s">
        <v>1413</v>
      </c>
      <c r="D1077" s="281">
        <v>13</v>
      </c>
      <c r="E1077" t="s">
        <v>2036</v>
      </c>
      <c r="F1077" t="s">
        <v>501</v>
      </c>
      <c r="G1077" t="s">
        <v>789</v>
      </c>
      <c r="H1077" t="s">
        <v>1390</v>
      </c>
      <c r="I1077" t="s">
        <v>2036</v>
      </c>
      <c r="J1077" s="560">
        <v>77256</v>
      </c>
      <c r="K1077" s="560">
        <f t="shared" si="33"/>
        <v>6</v>
      </c>
      <c r="L1077" s="560">
        <f t="shared" si="34"/>
        <v>6</v>
      </c>
    </row>
    <row r="1078" spans="1:19">
      <c r="B1078" s="553">
        <v>44266</v>
      </c>
      <c r="C1078" t="s">
        <v>1413</v>
      </c>
      <c r="D1078" s="281">
        <v>13</v>
      </c>
      <c r="E1078" t="s">
        <v>2027</v>
      </c>
      <c r="F1078" t="s">
        <v>504</v>
      </c>
      <c r="G1078" t="s">
        <v>789</v>
      </c>
      <c r="H1078" t="s">
        <v>1390</v>
      </c>
      <c r="I1078" t="s">
        <v>2036</v>
      </c>
      <c r="J1078" s="560">
        <v>4000</v>
      </c>
      <c r="K1078" s="560">
        <f t="shared" si="33"/>
        <v>6</v>
      </c>
      <c r="L1078" s="560">
        <f t="shared" si="34"/>
        <v>5</v>
      </c>
    </row>
    <row r="1079" spans="1:19">
      <c r="B1079" s="553">
        <v>44266</v>
      </c>
      <c r="C1079" t="s">
        <v>1413</v>
      </c>
      <c r="D1079" s="281">
        <v>13</v>
      </c>
      <c r="E1079" t="s">
        <v>2028</v>
      </c>
      <c r="F1079" t="s">
        <v>528</v>
      </c>
      <c r="G1079" t="s">
        <v>789</v>
      </c>
      <c r="H1079" t="s">
        <v>1390</v>
      </c>
      <c r="I1079" t="s">
        <v>2036</v>
      </c>
      <c r="J1079" s="560">
        <v>9270.7199999999993</v>
      </c>
      <c r="K1079" s="560">
        <f t="shared" si="33"/>
        <v>6</v>
      </c>
      <c r="L1079" s="560">
        <f t="shared" si="34"/>
        <v>4</v>
      </c>
    </row>
    <row r="1080" spans="1:19">
      <c r="B1080" s="553">
        <v>44266</v>
      </c>
      <c r="C1080" t="s">
        <v>1413</v>
      </c>
      <c r="D1080" s="281">
        <v>13</v>
      </c>
      <c r="E1080" t="s">
        <v>2029</v>
      </c>
      <c r="F1080" t="s">
        <v>530</v>
      </c>
      <c r="G1080" t="s">
        <v>789</v>
      </c>
      <c r="H1080" t="s">
        <v>1390</v>
      </c>
      <c r="I1080" t="s">
        <v>2036</v>
      </c>
      <c r="J1080" s="560">
        <v>200</v>
      </c>
      <c r="K1080" s="560">
        <f t="shared" si="33"/>
        <v>6</v>
      </c>
      <c r="L1080" s="560">
        <f t="shared" si="34"/>
        <v>3</v>
      </c>
    </row>
    <row r="1081" spans="1:19">
      <c r="B1081" s="553">
        <v>44266</v>
      </c>
      <c r="C1081" t="s">
        <v>1413</v>
      </c>
      <c r="D1081" s="281">
        <v>13</v>
      </c>
      <c r="E1081" t="s">
        <v>2030</v>
      </c>
      <c r="F1081" t="s">
        <v>532</v>
      </c>
      <c r="G1081" t="s">
        <v>789</v>
      </c>
      <c r="H1081" t="s">
        <v>1390</v>
      </c>
      <c r="I1081" t="s">
        <v>2036</v>
      </c>
      <c r="J1081" s="560">
        <v>1158.8499999999999</v>
      </c>
      <c r="K1081" s="560">
        <f t="shared" si="33"/>
        <v>6</v>
      </c>
      <c r="L1081" s="560">
        <f t="shared" si="34"/>
        <v>2</v>
      </c>
    </row>
    <row r="1082" spans="1:19">
      <c r="A1082" t="s">
        <v>2263</v>
      </c>
      <c r="B1082" s="553">
        <v>44266</v>
      </c>
      <c r="C1082" t="s">
        <v>1413</v>
      </c>
      <c r="D1082" s="281">
        <v>13</v>
      </c>
      <c r="E1082" t="s">
        <v>2031</v>
      </c>
      <c r="F1082" t="s">
        <v>534</v>
      </c>
      <c r="G1082" t="s">
        <v>789</v>
      </c>
      <c r="H1082" t="s">
        <v>1390</v>
      </c>
      <c r="I1082" t="s">
        <v>2036</v>
      </c>
      <c r="J1082" s="560">
        <v>200</v>
      </c>
      <c r="K1082" s="560">
        <f t="shared" si="33"/>
        <v>6</v>
      </c>
      <c r="L1082" s="560">
        <f t="shared" si="34"/>
        <v>1</v>
      </c>
      <c r="M1082" s="560" t="e">
        <f>SUMIFS('[1]MAIN-101'!$Z$1:$Z$3000,'[1]MAIN-101'!$X$1:$X$3000,S1082)</f>
        <v>#VALUE!</v>
      </c>
      <c r="N1082" s="560"/>
      <c r="O1082" s="560"/>
      <c r="S1082" t="str">
        <f>VLOOKUP(C1082,'Recon of ORS and DV'!$A$4:$B$358,2,FALSE)</f>
        <v>0384</v>
      </c>
    </row>
    <row r="1083" spans="1:19">
      <c r="B1083" s="553">
        <v>44266</v>
      </c>
      <c r="C1083" t="s">
        <v>1414</v>
      </c>
      <c r="D1083" s="281">
        <v>1</v>
      </c>
      <c r="E1083" t="s">
        <v>2026</v>
      </c>
      <c r="F1083" t="s">
        <v>499</v>
      </c>
      <c r="G1083" t="s">
        <v>789</v>
      </c>
      <c r="H1083" t="s">
        <v>1384</v>
      </c>
      <c r="I1083">
        <v>5010000000</v>
      </c>
      <c r="J1083" s="560">
        <v>57452</v>
      </c>
      <c r="K1083" s="560">
        <f t="shared" si="33"/>
        <v>36</v>
      </c>
      <c r="L1083" s="560">
        <f t="shared" si="34"/>
        <v>36</v>
      </c>
    </row>
    <row r="1084" spans="1:19">
      <c r="B1084" s="553">
        <v>44266</v>
      </c>
      <c r="C1084" t="s">
        <v>1414</v>
      </c>
      <c r="D1084" s="281">
        <v>1</v>
      </c>
      <c r="E1084" t="s">
        <v>2027</v>
      </c>
      <c r="F1084" t="s">
        <v>504</v>
      </c>
      <c r="G1084" t="s">
        <v>789</v>
      </c>
      <c r="H1084" t="s">
        <v>1384</v>
      </c>
      <c r="I1084">
        <v>5010000000</v>
      </c>
      <c r="J1084" s="560">
        <v>4000</v>
      </c>
      <c r="K1084" s="560">
        <f t="shared" si="33"/>
        <v>36</v>
      </c>
      <c r="L1084" s="560">
        <f t="shared" si="34"/>
        <v>35</v>
      </c>
    </row>
    <row r="1085" spans="1:19">
      <c r="B1085" s="553">
        <v>44266</v>
      </c>
      <c r="C1085" t="s">
        <v>1414</v>
      </c>
      <c r="D1085" s="281">
        <v>1</v>
      </c>
      <c r="E1085" t="s">
        <v>2028</v>
      </c>
      <c r="F1085" t="s">
        <v>528</v>
      </c>
      <c r="G1085" t="s">
        <v>789</v>
      </c>
      <c r="H1085" t="s">
        <v>1384</v>
      </c>
      <c r="I1085">
        <v>5010301000</v>
      </c>
      <c r="J1085" s="560">
        <v>6894.24</v>
      </c>
      <c r="K1085" s="560">
        <f t="shared" si="33"/>
        <v>36</v>
      </c>
      <c r="L1085" s="560">
        <f t="shared" si="34"/>
        <v>34</v>
      </c>
    </row>
    <row r="1086" spans="1:19">
      <c r="B1086" s="553">
        <v>44266</v>
      </c>
      <c r="C1086" t="s">
        <v>1414</v>
      </c>
      <c r="D1086" s="281">
        <v>1</v>
      </c>
      <c r="E1086" t="s">
        <v>2029</v>
      </c>
      <c r="F1086" t="s">
        <v>530</v>
      </c>
      <c r="G1086" t="s">
        <v>789</v>
      </c>
      <c r="H1086" t="s">
        <v>1384</v>
      </c>
      <c r="I1086">
        <v>5010000000</v>
      </c>
      <c r="J1086" s="560">
        <v>200</v>
      </c>
      <c r="K1086" s="560">
        <f t="shared" si="33"/>
        <v>36</v>
      </c>
      <c r="L1086" s="560">
        <f t="shared" si="34"/>
        <v>33</v>
      </c>
    </row>
    <row r="1087" spans="1:19">
      <c r="B1087" s="553">
        <v>44266</v>
      </c>
      <c r="C1087" t="s">
        <v>1414</v>
      </c>
      <c r="D1087" s="281">
        <v>1</v>
      </c>
      <c r="E1087" t="s">
        <v>2030</v>
      </c>
      <c r="F1087" t="s">
        <v>532</v>
      </c>
      <c r="G1087" t="s">
        <v>789</v>
      </c>
      <c r="H1087" t="s">
        <v>1384</v>
      </c>
      <c r="I1087">
        <v>5010000000</v>
      </c>
      <c r="J1087" s="560">
        <v>861.79</v>
      </c>
      <c r="K1087" s="560">
        <f t="shared" si="33"/>
        <v>36</v>
      </c>
      <c r="L1087" s="560">
        <f t="shared" si="34"/>
        <v>32</v>
      </c>
    </row>
    <row r="1088" spans="1:19">
      <c r="B1088" s="553">
        <v>44266</v>
      </c>
      <c r="C1088" t="s">
        <v>1414</v>
      </c>
      <c r="D1088" s="281">
        <v>1</v>
      </c>
      <c r="E1088" t="s">
        <v>2031</v>
      </c>
      <c r="F1088" t="s">
        <v>534</v>
      </c>
      <c r="G1088" t="s">
        <v>789</v>
      </c>
      <c r="H1088" t="s">
        <v>1384</v>
      </c>
      <c r="I1088">
        <v>5010000000</v>
      </c>
      <c r="J1088" s="560">
        <v>200</v>
      </c>
      <c r="K1088" s="560">
        <f t="shared" si="33"/>
        <v>36</v>
      </c>
      <c r="L1088" s="560">
        <f t="shared" si="34"/>
        <v>31</v>
      </c>
    </row>
    <row r="1089" spans="2:12">
      <c r="B1089" s="553">
        <v>44266</v>
      </c>
      <c r="C1089" t="s">
        <v>1414</v>
      </c>
      <c r="D1089" s="281">
        <v>2</v>
      </c>
      <c r="E1089" t="s">
        <v>2026</v>
      </c>
      <c r="F1089" t="s">
        <v>499</v>
      </c>
      <c r="G1089" t="s">
        <v>789</v>
      </c>
      <c r="H1089" t="s">
        <v>1384</v>
      </c>
      <c r="I1089">
        <v>5010000000</v>
      </c>
      <c r="J1089" s="560">
        <v>130423</v>
      </c>
      <c r="K1089" s="560">
        <f t="shared" si="33"/>
        <v>36</v>
      </c>
      <c r="L1089" s="560">
        <f t="shared" si="34"/>
        <v>30</v>
      </c>
    </row>
    <row r="1090" spans="2:12">
      <c r="B1090" s="553">
        <v>44266</v>
      </c>
      <c r="C1090" t="s">
        <v>1414</v>
      </c>
      <c r="D1090" s="281">
        <v>2</v>
      </c>
      <c r="E1090" t="s">
        <v>2027</v>
      </c>
      <c r="F1090" t="s">
        <v>504</v>
      </c>
      <c r="G1090" t="s">
        <v>789</v>
      </c>
      <c r="H1090" t="s">
        <v>1384</v>
      </c>
      <c r="I1090">
        <v>5010000000</v>
      </c>
      <c r="J1090" s="560">
        <v>4000</v>
      </c>
      <c r="K1090" s="560">
        <f t="shared" si="33"/>
        <v>36</v>
      </c>
      <c r="L1090" s="560">
        <f t="shared" si="34"/>
        <v>29</v>
      </c>
    </row>
    <row r="1091" spans="2:12">
      <c r="B1091" s="553">
        <v>44266</v>
      </c>
      <c r="C1091" t="s">
        <v>1414</v>
      </c>
      <c r="D1091" s="281">
        <v>2</v>
      </c>
      <c r="E1091" t="s">
        <v>2028</v>
      </c>
      <c r="F1091" t="s">
        <v>528</v>
      </c>
      <c r="G1091" t="s">
        <v>789</v>
      </c>
      <c r="H1091" t="s">
        <v>1384</v>
      </c>
      <c r="I1091">
        <v>5010301000</v>
      </c>
      <c r="J1091" s="560">
        <v>15650.760000000002</v>
      </c>
      <c r="K1091" s="560">
        <f t="shared" si="33"/>
        <v>36</v>
      </c>
      <c r="L1091" s="560">
        <f t="shared" si="34"/>
        <v>28</v>
      </c>
    </row>
    <row r="1092" spans="2:12">
      <c r="B1092" s="553">
        <v>44266</v>
      </c>
      <c r="C1092" t="s">
        <v>1414</v>
      </c>
      <c r="D1092" s="281">
        <v>2</v>
      </c>
      <c r="E1092" t="s">
        <v>2029</v>
      </c>
      <c r="F1092" t="s">
        <v>530</v>
      </c>
      <c r="G1092" t="s">
        <v>789</v>
      </c>
      <c r="H1092" t="s">
        <v>1384</v>
      </c>
      <c r="I1092">
        <v>5010000000</v>
      </c>
      <c r="J1092" s="560">
        <v>200</v>
      </c>
      <c r="K1092" s="560">
        <f t="shared" ref="K1092:K1155" si="35">COUNTIFS($C$3:$C$1556,C1092)</f>
        <v>36</v>
      </c>
      <c r="L1092" s="560">
        <f t="shared" si="34"/>
        <v>27</v>
      </c>
    </row>
    <row r="1093" spans="2:12">
      <c r="B1093" s="553">
        <v>44266</v>
      </c>
      <c r="C1093" t="s">
        <v>1414</v>
      </c>
      <c r="D1093" s="281">
        <v>2</v>
      </c>
      <c r="E1093" t="s">
        <v>2030</v>
      </c>
      <c r="F1093" t="s">
        <v>532</v>
      </c>
      <c r="G1093" t="s">
        <v>789</v>
      </c>
      <c r="H1093" t="s">
        <v>1384</v>
      </c>
      <c r="I1093">
        <v>5010000000</v>
      </c>
      <c r="J1093" s="560">
        <v>1555.22</v>
      </c>
      <c r="K1093" s="560">
        <f t="shared" si="35"/>
        <v>36</v>
      </c>
      <c r="L1093" s="560">
        <f t="shared" si="34"/>
        <v>26</v>
      </c>
    </row>
    <row r="1094" spans="2:12">
      <c r="B1094" s="553">
        <v>44266</v>
      </c>
      <c r="C1094" t="s">
        <v>1414</v>
      </c>
      <c r="D1094" s="281">
        <v>2</v>
      </c>
      <c r="E1094" t="s">
        <v>2031</v>
      </c>
      <c r="F1094" t="s">
        <v>534</v>
      </c>
      <c r="G1094" t="s">
        <v>789</v>
      </c>
      <c r="H1094" t="s">
        <v>1384</v>
      </c>
      <c r="I1094">
        <v>5010000000</v>
      </c>
      <c r="J1094" s="560">
        <v>200</v>
      </c>
      <c r="K1094" s="560">
        <f t="shared" si="35"/>
        <v>36</v>
      </c>
      <c r="L1094" s="560">
        <f t="shared" si="34"/>
        <v>25</v>
      </c>
    </row>
    <row r="1095" spans="2:12">
      <c r="B1095" s="553">
        <v>44266</v>
      </c>
      <c r="C1095" t="s">
        <v>1414</v>
      </c>
      <c r="D1095" s="281">
        <v>3</v>
      </c>
      <c r="E1095" t="s">
        <v>2026</v>
      </c>
      <c r="F1095" t="s">
        <v>499</v>
      </c>
      <c r="G1095" t="s">
        <v>789</v>
      </c>
      <c r="H1095" t="s">
        <v>1384</v>
      </c>
      <c r="I1095">
        <v>5010000000</v>
      </c>
      <c r="J1095" s="560">
        <v>111742</v>
      </c>
      <c r="K1095" s="560">
        <f t="shared" si="35"/>
        <v>36</v>
      </c>
      <c r="L1095" s="560">
        <f t="shared" si="34"/>
        <v>24</v>
      </c>
    </row>
    <row r="1096" spans="2:12">
      <c r="B1096" s="553">
        <v>44266</v>
      </c>
      <c r="C1096" t="s">
        <v>1414</v>
      </c>
      <c r="D1096" s="281">
        <v>3</v>
      </c>
      <c r="E1096" t="s">
        <v>2027</v>
      </c>
      <c r="F1096" t="s">
        <v>504</v>
      </c>
      <c r="G1096" t="s">
        <v>789</v>
      </c>
      <c r="H1096" t="s">
        <v>1384</v>
      </c>
      <c r="I1096">
        <v>5010000000</v>
      </c>
      <c r="J1096" s="560">
        <v>2000</v>
      </c>
      <c r="K1096" s="560">
        <f t="shared" si="35"/>
        <v>36</v>
      </c>
      <c r="L1096" s="560">
        <f t="shared" si="34"/>
        <v>23</v>
      </c>
    </row>
    <row r="1097" spans="2:12">
      <c r="B1097" s="553">
        <v>44266</v>
      </c>
      <c r="C1097" t="s">
        <v>1414</v>
      </c>
      <c r="D1097" s="281">
        <v>3</v>
      </c>
      <c r="E1097" t="s">
        <v>2028</v>
      </c>
      <c r="F1097" t="s">
        <v>528</v>
      </c>
      <c r="G1097" t="s">
        <v>789</v>
      </c>
      <c r="H1097" t="s">
        <v>1384</v>
      </c>
      <c r="I1097">
        <v>5010301000</v>
      </c>
      <c r="J1097" s="560">
        <v>13409.04</v>
      </c>
      <c r="K1097" s="560">
        <f t="shared" si="35"/>
        <v>36</v>
      </c>
      <c r="L1097" s="560">
        <f t="shared" si="34"/>
        <v>22</v>
      </c>
    </row>
    <row r="1098" spans="2:12">
      <c r="B1098" s="553">
        <v>44266</v>
      </c>
      <c r="C1098" t="s">
        <v>1414</v>
      </c>
      <c r="D1098" s="281">
        <v>3</v>
      </c>
      <c r="E1098" t="s">
        <v>2029</v>
      </c>
      <c r="F1098" t="s">
        <v>530</v>
      </c>
      <c r="G1098" t="s">
        <v>789</v>
      </c>
      <c r="H1098" t="s">
        <v>1384</v>
      </c>
      <c r="I1098">
        <v>5010000000</v>
      </c>
      <c r="J1098" s="560">
        <v>100</v>
      </c>
      <c r="K1098" s="560">
        <f t="shared" si="35"/>
        <v>36</v>
      </c>
      <c r="L1098" s="560">
        <f t="shared" si="34"/>
        <v>21</v>
      </c>
    </row>
    <row r="1099" spans="2:12">
      <c r="B1099" s="553">
        <v>44266</v>
      </c>
      <c r="C1099" t="s">
        <v>1414</v>
      </c>
      <c r="D1099" s="281">
        <v>3</v>
      </c>
      <c r="E1099" t="s">
        <v>2030</v>
      </c>
      <c r="F1099" t="s">
        <v>532</v>
      </c>
      <c r="G1099" t="s">
        <v>789</v>
      </c>
      <c r="H1099" t="s">
        <v>1384</v>
      </c>
      <c r="I1099">
        <v>5010000000</v>
      </c>
      <c r="J1099" s="560">
        <v>900</v>
      </c>
      <c r="K1099" s="560">
        <f t="shared" si="35"/>
        <v>36</v>
      </c>
      <c r="L1099" s="560">
        <f t="shared" si="34"/>
        <v>20</v>
      </c>
    </row>
    <row r="1100" spans="2:12">
      <c r="B1100" s="553">
        <v>44266</v>
      </c>
      <c r="C1100" t="s">
        <v>1414</v>
      </c>
      <c r="D1100" s="281">
        <v>3</v>
      </c>
      <c r="E1100" t="s">
        <v>2031</v>
      </c>
      <c r="F1100" t="s">
        <v>534</v>
      </c>
      <c r="G1100" t="s">
        <v>789</v>
      </c>
      <c r="H1100" t="s">
        <v>1384</v>
      </c>
      <c r="I1100">
        <v>5010000000</v>
      </c>
      <c r="J1100" s="560">
        <v>100</v>
      </c>
      <c r="K1100" s="560">
        <f t="shared" si="35"/>
        <v>36</v>
      </c>
      <c r="L1100" s="560">
        <f t="shared" si="34"/>
        <v>19</v>
      </c>
    </row>
    <row r="1101" spans="2:12">
      <c r="B1101" s="553">
        <v>44266</v>
      </c>
      <c r="C1101" t="s">
        <v>1414</v>
      </c>
      <c r="D1101" s="281">
        <v>4</v>
      </c>
      <c r="E1101" t="s">
        <v>2026</v>
      </c>
      <c r="F1101" t="s">
        <v>499</v>
      </c>
      <c r="G1101" t="s">
        <v>789</v>
      </c>
      <c r="H1101" t="s">
        <v>1384</v>
      </c>
      <c r="I1101">
        <v>5010000000</v>
      </c>
      <c r="J1101" s="560">
        <v>134419</v>
      </c>
      <c r="K1101" s="560">
        <f t="shared" si="35"/>
        <v>36</v>
      </c>
      <c r="L1101" s="560">
        <f t="shared" si="34"/>
        <v>18</v>
      </c>
    </row>
    <row r="1102" spans="2:12">
      <c r="B1102" s="553">
        <v>44266</v>
      </c>
      <c r="C1102" t="s">
        <v>1414</v>
      </c>
      <c r="D1102" s="281">
        <v>4</v>
      </c>
      <c r="E1102" t="s">
        <v>2027</v>
      </c>
      <c r="F1102" t="s">
        <v>504</v>
      </c>
      <c r="G1102" t="s">
        <v>789</v>
      </c>
      <c r="H1102" t="s">
        <v>1384</v>
      </c>
      <c r="I1102">
        <v>5010000000</v>
      </c>
      <c r="J1102" s="560">
        <v>4000</v>
      </c>
      <c r="K1102" s="560">
        <f t="shared" si="35"/>
        <v>36</v>
      </c>
      <c r="L1102" s="560">
        <f t="shared" si="34"/>
        <v>17</v>
      </c>
    </row>
    <row r="1103" spans="2:12">
      <c r="B1103" s="553">
        <v>44266</v>
      </c>
      <c r="C1103" t="s">
        <v>1414</v>
      </c>
      <c r="D1103" s="281">
        <v>4</v>
      </c>
      <c r="E1103" t="s">
        <v>2028</v>
      </c>
      <c r="F1103" t="s">
        <v>528</v>
      </c>
      <c r="G1103" t="s">
        <v>789</v>
      </c>
      <c r="H1103" t="s">
        <v>1384</v>
      </c>
      <c r="I1103">
        <v>5010301000</v>
      </c>
      <c r="J1103" s="560">
        <v>16130.279999999999</v>
      </c>
      <c r="K1103" s="560">
        <f t="shared" si="35"/>
        <v>36</v>
      </c>
      <c r="L1103" s="560">
        <f t="shared" ref="L1103:L1166" si="36">COUNTIFS(C1103:C2656,C1103)</f>
        <v>16</v>
      </c>
    </row>
    <row r="1104" spans="2:12">
      <c r="B1104" s="553">
        <v>44266</v>
      </c>
      <c r="C1104" t="s">
        <v>1414</v>
      </c>
      <c r="D1104" s="281">
        <v>4</v>
      </c>
      <c r="E1104" t="s">
        <v>2029</v>
      </c>
      <c r="F1104" t="s">
        <v>530</v>
      </c>
      <c r="G1104" t="s">
        <v>789</v>
      </c>
      <c r="H1104" t="s">
        <v>1384</v>
      </c>
      <c r="I1104">
        <v>5010000000</v>
      </c>
      <c r="J1104" s="560">
        <v>200</v>
      </c>
      <c r="K1104" s="560">
        <f t="shared" si="35"/>
        <v>36</v>
      </c>
      <c r="L1104" s="560">
        <f t="shared" si="36"/>
        <v>15</v>
      </c>
    </row>
    <row r="1105" spans="1:19">
      <c r="B1105" s="553">
        <v>44266</v>
      </c>
      <c r="C1105" t="s">
        <v>1414</v>
      </c>
      <c r="D1105" s="281">
        <v>4</v>
      </c>
      <c r="E1105" t="s">
        <v>2030</v>
      </c>
      <c r="F1105" t="s">
        <v>532</v>
      </c>
      <c r="G1105" t="s">
        <v>789</v>
      </c>
      <c r="H1105" t="s">
        <v>1384</v>
      </c>
      <c r="I1105">
        <v>5010000000</v>
      </c>
      <c r="J1105" s="560">
        <v>1593.92</v>
      </c>
      <c r="K1105" s="560">
        <f t="shared" si="35"/>
        <v>36</v>
      </c>
      <c r="L1105" s="560">
        <f t="shared" si="36"/>
        <v>14</v>
      </c>
    </row>
    <row r="1106" spans="1:19">
      <c r="B1106" s="553">
        <v>44266</v>
      </c>
      <c r="C1106" t="s">
        <v>1414</v>
      </c>
      <c r="D1106" s="281">
        <v>4</v>
      </c>
      <c r="E1106" t="s">
        <v>2031</v>
      </c>
      <c r="F1106" t="s">
        <v>534</v>
      </c>
      <c r="G1106" t="s">
        <v>789</v>
      </c>
      <c r="H1106" t="s">
        <v>1384</v>
      </c>
      <c r="I1106">
        <v>5010000000</v>
      </c>
      <c r="J1106" s="560">
        <v>200</v>
      </c>
      <c r="K1106" s="560">
        <f t="shared" si="35"/>
        <v>36</v>
      </c>
      <c r="L1106" s="560">
        <f t="shared" si="36"/>
        <v>13</v>
      </c>
    </row>
    <row r="1107" spans="1:19">
      <c r="B1107" s="553">
        <v>44266</v>
      </c>
      <c r="C1107" t="s">
        <v>1414</v>
      </c>
      <c r="D1107" s="281">
        <v>5</v>
      </c>
      <c r="E1107" t="s">
        <v>2026</v>
      </c>
      <c r="F1107" t="s">
        <v>499</v>
      </c>
      <c r="G1107" t="s">
        <v>789</v>
      </c>
      <c r="H1107" t="s">
        <v>1384</v>
      </c>
      <c r="I1107">
        <v>5010000000</v>
      </c>
      <c r="J1107" s="560">
        <v>91522</v>
      </c>
      <c r="K1107" s="560">
        <f t="shared" si="35"/>
        <v>36</v>
      </c>
      <c r="L1107" s="560">
        <f t="shared" si="36"/>
        <v>12</v>
      </c>
    </row>
    <row r="1108" spans="1:19">
      <c r="B1108" s="553">
        <v>44266</v>
      </c>
      <c r="C1108" t="s">
        <v>1414</v>
      </c>
      <c r="D1108" s="281">
        <v>5</v>
      </c>
      <c r="E1108" t="s">
        <v>2027</v>
      </c>
      <c r="F1108" t="s">
        <v>504</v>
      </c>
      <c r="G1108" t="s">
        <v>789</v>
      </c>
      <c r="H1108" t="s">
        <v>1384</v>
      </c>
      <c r="I1108">
        <v>5010000000</v>
      </c>
      <c r="J1108" s="560">
        <v>4000</v>
      </c>
      <c r="K1108" s="560">
        <f t="shared" si="35"/>
        <v>36</v>
      </c>
      <c r="L1108" s="560">
        <f t="shared" si="36"/>
        <v>11</v>
      </c>
    </row>
    <row r="1109" spans="1:19">
      <c r="B1109" s="553">
        <v>44266</v>
      </c>
      <c r="C1109" t="s">
        <v>1414</v>
      </c>
      <c r="D1109" s="281">
        <v>5</v>
      </c>
      <c r="E1109" t="s">
        <v>2028</v>
      </c>
      <c r="F1109" t="s">
        <v>528</v>
      </c>
      <c r="G1109" t="s">
        <v>789</v>
      </c>
      <c r="H1109" t="s">
        <v>1384</v>
      </c>
      <c r="I1109">
        <v>5010301000</v>
      </c>
      <c r="J1109" s="560">
        <v>10982.64</v>
      </c>
      <c r="K1109" s="560">
        <f t="shared" si="35"/>
        <v>36</v>
      </c>
      <c r="L1109" s="560">
        <f t="shared" si="36"/>
        <v>10</v>
      </c>
    </row>
    <row r="1110" spans="1:19">
      <c r="B1110" s="553">
        <v>44266</v>
      </c>
      <c r="C1110" t="s">
        <v>1414</v>
      </c>
      <c r="D1110" s="281">
        <v>5</v>
      </c>
      <c r="E1110" t="s">
        <v>2029</v>
      </c>
      <c r="F1110" t="s">
        <v>530</v>
      </c>
      <c r="G1110" t="s">
        <v>789</v>
      </c>
      <c r="H1110" t="s">
        <v>1384</v>
      </c>
      <c r="I1110">
        <v>5010000000</v>
      </c>
      <c r="J1110" s="560">
        <v>200</v>
      </c>
      <c r="K1110" s="560">
        <f t="shared" si="35"/>
        <v>36</v>
      </c>
      <c r="L1110" s="560">
        <f t="shared" si="36"/>
        <v>9</v>
      </c>
    </row>
    <row r="1111" spans="1:19">
      <c r="B1111" s="553">
        <v>44266</v>
      </c>
      <c r="C1111" t="s">
        <v>1414</v>
      </c>
      <c r="D1111" s="281">
        <v>5</v>
      </c>
      <c r="E1111" t="s">
        <v>2030</v>
      </c>
      <c r="F1111" t="s">
        <v>532</v>
      </c>
      <c r="G1111" t="s">
        <v>789</v>
      </c>
      <c r="H1111" t="s">
        <v>1384</v>
      </c>
      <c r="I1111">
        <v>5010000000</v>
      </c>
      <c r="J1111" s="560">
        <v>1372.83</v>
      </c>
      <c r="K1111" s="560">
        <f t="shared" si="35"/>
        <v>36</v>
      </c>
      <c r="L1111" s="560">
        <f t="shared" si="36"/>
        <v>8</v>
      </c>
    </row>
    <row r="1112" spans="1:19">
      <c r="B1112" s="553">
        <v>44266</v>
      </c>
      <c r="C1112" t="s">
        <v>1414</v>
      </c>
      <c r="D1112" s="281">
        <v>5</v>
      </c>
      <c r="E1112" t="s">
        <v>2031</v>
      </c>
      <c r="F1112" t="s">
        <v>534</v>
      </c>
      <c r="G1112" t="s">
        <v>789</v>
      </c>
      <c r="H1112" t="s">
        <v>1384</v>
      </c>
      <c r="I1112">
        <v>5010000000</v>
      </c>
      <c r="J1112" s="560">
        <v>200</v>
      </c>
      <c r="K1112" s="560">
        <f t="shared" si="35"/>
        <v>36</v>
      </c>
      <c r="L1112" s="560">
        <f t="shared" si="36"/>
        <v>7</v>
      </c>
    </row>
    <row r="1113" spans="1:19">
      <c r="B1113" s="553">
        <v>44266</v>
      </c>
      <c r="C1113" t="s">
        <v>1414</v>
      </c>
      <c r="D1113" s="281">
        <v>6</v>
      </c>
      <c r="E1113" t="s">
        <v>2026</v>
      </c>
      <c r="F1113" t="s">
        <v>499</v>
      </c>
      <c r="G1113" t="s">
        <v>789</v>
      </c>
      <c r="H1113" t="s">
        <v>1384</v>
      </c>
      <c r="I1113">
        <v>5010000000</v>
      </c>
      <c r="J1113" s="560">
        <v>43681</v>
      </c>
      <c r="K1113" s="560">
        <f t="shared" si="35"/>
        <v>36</v>
      </c>
      <c r="L1113" s="560">
        <f t="shared" si="36"/>
        <v>6</v>
      </c>
    </row>
    <row r="1114" spans="1:19">
      <c r="B1114" s="553">
        <v>44266</v>
      </c>
      <c r="C1114" t="s">
        <v>1414</v>
      </c>
      <c r="D1114" s="281">
        <v>6</v>
      </c>
      <c r="E1114" t="s">
        <v>2027</v>
      </c>
      <c r="F1114" t="s">
        <v>504</v>
      </c>
      <c r="G1114" t="s">
        <v>789</v>
      </c>
      <c r="H1114" t="s">
        <v>1384</v>
      </c>
      <c r="I1114">
        <v>5010000000</v>
      </c>
      <c r="J1114" s="560">
        <v>2000</v>
      </c>
      <c r="K1114" s="560">
        <f t="shared" si="35"/>
        <v>36</v>
      </c>
      <c r="L1114" s="560">
        <f t="shared" si="36"/>
        <v>5</v>
      </c>
    </row>
    <row r="1115" spans="1:19">
      <c r="B1115" s="553">
        <v>44266</v>
      </c>
      <c r="C1115" t="s">
        <v>1414</v>
      </c>
      <c r="D1115" s="281">
        <v>6</v>
      </c>
      <c r="E1115" t="s">
        <v>2028</v>
      </c>
      <c r="F1115" t="s">
        <v>528</v>
      </c>
      <c r="G1115" t="s">
        <v>789</v>
      </c>
      <c r="H1115" t="s">
        <v>1384</v>
      </c>
      <c r="I1115">
        <v>5010301000</v>
      </c>
      <c r="J1115" s="560">
        <v>5241.72</v>
      </c>
      <c r="K1115" s="560">
        <f t="shared" si="35"/>
        <v>36</v>
      </c>
      <c r="L1115" s="560">
        <f t="shared" si="36"/>
        <v>4</v>
      </c>
    </row>
    <row r="1116" spans="1:19">
      <c r="B1116" s="553">
        <v>44266</v>
      </c>
      <c r="C1116" t="s">
        <v>1414</v>
      </c>
      <c r="D1116" s="281">
        <v>6</v>
      </c>
      <c r="E1116" t="s">
        <v>2029</v>
      </c>
      <c r="F1116" t="s">
        <v>530</v>
      </c>
      <c r="G1116" t="s">
        <v>789</v>
      </c>
      <c r="H1116" t="s">
        <v>1384</v>
      </c>
      <c r="I1116">
        <v>5010000000</v>
      </c>
      <c r="J1116" s="560">
        <v>100</v>
      </c>
      <c r="K1116" s="560">
        <f t="shared" si="35"/>
        <v>36</v>
      </c>
      <c r="L1116" s="560">
        <f t="shared" si="36"/>
        <v>3</v>
      </c>
    </row>
    <row r="1117" spans="1:19">
      <c r="B1117" s="553">
        <v>44266</v>
      </c>
      <c r="C1117" t="s">
        <v>1414</v>
      </c>
      <c r="D1117" s="281">
        <v>6</v>
      </c>
      <c r="E1117" t="s">
        <v>2030</v>
      </c>
      <c r="F1117" t="s">
        <v>532</v>
      </c>
      <c r="G1117" t="s">
        <v>789</v>
      </c>
      <c r="H1117" t="s">
        <v>1384</v>
      </c>
      <c r="I1117">
        <v>5010000000</v>
      </c>
      <c r="J1117" s="560">
        <v>655.22</v>
      </c>
      <c r="K1117" s="560">
        <f t="shared" si="35"/>
        <v>36</v>
      </c>
      <c r="L1117" s="560">
        <f t="shared" si="36"/>
        <v>2</v>
      </c>
    </row>
    <row r="1118" spans="1:19">
      <c r="A1118" t="s">
        <v>2264</v>
      </c>
      <c r="B1118" s="553">
        <v>44266</v>
      </c>
      <c r="C1118" t="s">
        <v>1414</v>
      </c>
      <c r="D1118" s="281">
        <v>6</v>
      </c>
      <c r="E1118" t="s">
        <v>2031</v>
      </c>
      <c r="F1118" t="s">
        <v>534</v>
      </c>
      <c r="G1118" t="s">
        <v>789</v>
      </c>
      <c r="H1118" t="s">
        <v>1384</v>
      </c>
      <c r="I1118">
        <v>5010000000</v>
      </c>
      <c r="J1118" s="560">
        <v>100</v>
      </c>
      <c r="K1118" s="560">
        <f t="shared" si="35"/>
        <v>36</v>
      </c>
      <c r="L1118" s="560">
        <f t="shared" si="36"/>
        <v>1</v>
      </c>
      <c r="M1118" s="560" t="e">
        <f>SUMIFS('[1]MAIN-101'!$Z$1:$Z$3000,'[1]MAIN-101'!$X$1:$X$3000,S1118)</f>
        <v>#VALUE!</v>
      </c>
      <c r="N1118" s="560"/>
      <c r="O1118" s="560"/>
      <c r="S1118" t="str">
        <f>VLOOKUP(C1118,'Recon of ORS and DV'!$A$4:$B$358,2,FALSE)</f>
        <v>0385</v>
      </c>
    </row>
    <row r="1119" spans="1:19">
      <c r="A1119" t="s">
        <v>2265</v>
      </c>
      <c r="B1119" s="553">
        <v>44266</v>
      </c>
      <c r="C1119" t="s">
        <v>1415</v>
      </c>
      <c r="D1119" s="281">
        <v>1</v>
      </c>
      <c r="E1119" t="s">
        <v>2005</v>
      </c>
      <c r="F1119" t="s">
        <v>678</v>
      </c>
      <c r="G1119" t="s">
        <v>822</v>
      </c>
      <c r="H1119" t="s">
        <v>1416</v>
      </c>
      <c r="I1119">
        <v>5020000000</v>
      </c>
      <c r="J1119" s="560">
        <v>0</v>
      </c>
      <c r="K1119" s="560">
        <f t="shared" si="35"/>
        <v>1</v>
      </c>
      <c r="L1119" s="560">
        <f t="shared" si="36"/>
        <v>1</v>
      </c>
      <c r="M1119" s="560" t="e">
        <f>SUMIFS('[1]MAIN-101'!$Z$1:$Z$3000,'[1]MAIN-101'!$X$1:$X$3000,S1119)</f>
        <v>#VALUE!</v>
      </c>
      <c r="N1119" s="560"/>
      <c r="O1119" s="560"/>
      <c r="S1119" t="str">
        <f>VLOOKUP(C1119,'Recon of ORS and DV'!$A$4:$B$358,2,FALSE)</f>
        <v>0461</v>
      </c>
    </row>
    <row r="1120" spans="1:19">
      <c r="A1120" t="s">
        <v>2266</v>
      </c>
      <c r="B1120" s="553">
        <v>44266</v>
      </c>
      <c r="C1120" t="s">
        <v>1417</v>
      </c>
      <c r="D1120" s="281">
        <v>1</v>
      </c>
      <c r="E1120" t="s">
        <v>2016</v>
      </c>
      <c r="F1120" t="s">
        <v>319</v>
      </c>
      <c r="G1120" t="s">
        <v>1418</v>
      </c>
      <c r="H1120" t="s">
        <v>1419</v>
      </c>
      <c r="I1120">
        <v>5020000000</v>
      </c>
      <c r="J1120" s="560">
        <v>22000</v>
      </c>
      <c r="K1120" s="560">
        <f t="shared" si="35"/>
        <v>1</v>
      </c>
      <c r="L1120" s="560">
        <f t="shared" si="36"/>
        <v>1</v>
      </c>
      <c r="M1120" s="560" t="e">
        <f>SUMIFS('[1]MAIN-101'!$Z$1:$Z$3000,'[1]MAIN-101'!$X$1:$X$3000,S1120)</f>
        <v>#VALUE!</v>
      </c>
      <c r="N1120" s="560"/>
      <c r="O1120" s="560"/>
      <c r="S1120" t="str">
        <f>VLOOKUP(C1120,'Recon of ORS and DV'!$A$4:$B$358,2,FALSE)</f>
        <v>0389</v>
      </c>
    </row>
    <row r="1121" spans="1:19">
      <c r="A1121" t="s">
        <v>2267</v>
      </c>
      <c r="B1121" s="553">
        <v>44271</v>
      </c>
      <c r="C1121" t="s">
        <v>1420</v>
      </c>
      <c r="D1121" s="281">
        <v>1</v>
      </c>
      <c r="E1121" t="s">
        <v>2039</v>
      </c>
      <c r="F1121" t="s">
        <v>560</v>
      </c>
      <c r="G1121" t="s">
        <v>1344</v>
      </c>
      <c r="H1121" t="s">
        <v>1421</v>
      </c>
      <c r="I1121">
        <v>5020000000</v>
      </c>
      <c r="J1121" s="560">
        <v>14000</v>
      </c>
      <c r="K1121" s="560">
        <f t="shared" si="35"/>
        <v>1</v>
      </c>
      <c r="L1121" s="560">
        <f t="shared" si="36"/>
        <v>1</v>
      </c>
      <c r="M1121" s="560" t="e">
        <f>SUMIFS('[1]MAIN-101'!$Z$1:$Z$3000,'[1]MAIN-101'!$X$1:$X$3000,S1121)</f>
        <v>#VALUE!</v>
      </c>
      <c r="N1121" s="560"/>
      <c r="O1121" s="560"/>
      <c r="S1121" t="str">
        <f>VLOOKUP(C1121,'Recon of ORS and DV'!$A$4:$B$358,2,FALSE)</f>
        <v>0399</v>
      </c>
    </row>
    <row r="1122" spans="1:19">
      <c r="A1122" t="s">
        <v>2268</v>
      </c>
      <c r="B1122" s="553">
        <v>44271</v>
      </c>
      <c r="C1122" t="s">
        <v>1422</v>
      </c>
      <c r="D1122" s="281">
        <v>2</v>
      </c>
      <c r="E1122" t="s">
        <v>2041</v>
      </c>
      <c r="F1122" t="s">
        <v>601</v>
      </c>
      <c r="G1122" t="s">
        <v>1359</v>
      </c>
      <c r="H1122" t="s">
        <v>1423</v>
      </c>
      <c r="I1122">
        <v>5020000000</v>
      </c>
      <c r="J1122" s="560">
        <v>7873</v>
      </c>
      <c r="K1122" s="560">
        <f t="shared" si="35"/>
        <v>1</v>
      </c>
      <c r="L1122" s="560">
        <f t="shared" si="36"/>
        <v>1</v>
      </c>
      <c r="M1122" s="560" t="e">
        <f>SUMIFS('[1]MAIN-101'!$Z$1:$Z$3000,'[1]MAIN-101'!$X$1:$X$3000,S1122)</f>
        <v>#VALUE!</v>
      </c>
      <c r="N1122" s="560"/>
      <c r="O1122" s="560"/>
      <c r="S1122" t="str">
        <f>VLOOKUP(C1122,'Recon of ORS and DV'!$A$4:$B$358,2,FALSE)</f>
        <v>0462</v>
      </c>
    </row>
    <row r="1123" spans="1:19">
      <c r="B1123" s="553">
        <v>44271</v>
      </c>
      <c r="C1123" t="s">
        <v>1424</v>
      </c>
      <c r="D1123" s="281">
        <v>11</v>
      </c>
      <c r="E1123" t="s">
        <v>2037</v>
      </c>
      <c r="F1123" t="s">
        <v>555</v>
      </c>
      <c r="G1123" t="s">
        <v>823</v>
      </c>
      <c r="H1123" t="s">
        <v>1139</v>
      </c>
      <c r="I1123">
        <v>5020000000</v>
      </c>
      <c r="J1123" s="560">
        <v>57498</v>
      </c>
      <c r="K1123" s="560">
        <f t="shared" si="35"/>
        <v>4</v>
      </c>
      <c r="L1123" s="560">
        <f t="shared" si="36"/>
        <v>4</v>
      </c>
    </row>
    <row r="1124" spans="1:19">
      <c r="B1124" s="553">
        <v>44271</v>
      </c>
      <c r="C1124" t="s">
        <v>1424</v>
      </c>
      <c r="D1124" s="281">
        <v>11</v>
      </c>
      <c r="E1124" t="s">
        <v>2039</v>
      </c>
      <c r="F1124" t="s">
        <v>560</v>
      </c>
      <c r="G1124" t="s">
        <v>823</v>
      </c>
      <c r="H1124" t="s">
        <v>1139</v>
      </c>
      <c r="I1124">
        <v>5020000000</v>
      </c>
      <c r="J1124" s="560">
        <v>525004</v>
      </c>
      <c r="K1124" s="560">
        <f t="shared" si="35"/>
        <v>4</v>
      </c>
      <c r="L1124" s="560">
        <f t="shared" si="36"/>
        <v>3</v>
      </c>
    </row>
    <row r="1125" spans="1:19">
      <c r="B1125" s="553">
        <v>44271</v>
      </c>
      <c r="C1125" t="s">
        <v>1424</v>
      </c>
      <c r="D1125" s="281">
        <v>11</v>
      </c>
      <c r="E1125" t="s">
        <v>2002</v>
      </c>
      <c r="F1125" t="s">
        <v>603</v>
      </c>
      <c r="G1125" t="s">
        <v>823</v>
      </c>
      <c r="H1125" t="s">
        <v>1139</v>
      </c>
      <c r="I1125">
        <v>5020000000</v>
      </c>
      <c r="J1125" s="560">
        <v>19166</v>
      </c>
      <c r="K1125" s="560">
        <f t="shared" si="35"/>
        <v>4</v>
      </c>
      <c r="L1125" s="560">
        <f t="shared" si="36"/>
        <v>2</v>
      </c>
    </row>
    <row r="1126" spans="1:19">
      <c r="A1126" t="s">
        <v>2269</v>
      </c>
      <c r="B1126" s="553">
        <v>44271</v>
      </c>
      <c r="C1126" t="s">
        <v>1424</v>
      </c>
      <c r="D1126" s="281">
        <v>11</v>
      </c>
      <c r="E1126" t="s">
        <v>1998</v>
      </c>
      <c r="F1126" t="s">
        <v>633</v>
      </c>
      <c r="G1126" t="s">
        <v>823</v>
      </c>
      <c r="H1126" t="s">
        <v>1139</v>
      </c>
      <c r="I1126">
        <v>5020000000</v>
      </c>
      <c r="J1126" s="560">
        <v>38332</v>
      </c>
      <c r="K1126" s="560">
        <f t="shared" si="35"/>
        <v>4</v>
      </c>
      <c r="L1126" s="560">
        <f t="shared" si="36"/>
        <v>1</v>
      </c>
      <c r="M1126" s="560" t="e">
        <f>SUMIFS('[1]MAIN-101'!$Z$1:$Z$3000,'[1]MAIN-101'!$X$1:$X$3000,S1126)</f>
        <v>#VALUE!</v>
      </c>
      <c r="N1126" s="560"/>
      <c r="O1126" s="560"/>
      <c r="S1126" t="str">
        <f>VLOOKUP(C1126,'Recon of ORS and DV'!$A$4:$B$358,2,FALSE)</f>
        <v>0391</v>
      </c>
    </row>
    <row r="1127" spans="1:19">
      <c r="B1127" s="553">
        <v>44271</v>
      </c>
      <c r="C1127" t="s">
        <v>1425</v>
      </c>
      <c r="D1127" s="281">
        <v>5</v>
      </c>
      <c r="E1127" t="s">
        <v>2037</v>
      </c>
      <c r="F1127" t="s">
        <v>555</v>
      </c>
      <c r="G1127" t="s">
        <v>818</v>
      </c>
      <c r="H1127" t="s">
        <v>1206</v>
      </c>
      <c r="I1127">
        <v>5020000000</v>
      </c>
      <c r="J1127" s="560">
        <v>20000</v>
      </c>
      <c r="K1127" s="560">
        <f t="shared" si="35"/>
        <v>5</v>
      </c>
      <c r="L1127" s="560">
        <f t="shared" si="36"/>
        <v>5</v>
      </c>
    </row>
    <row r="1128" spans="1:19">
      <c r="B1128" s="553">
        <v>44271</v>
      </c>
      <c r="C1128" t="s">
        <v>1425</v>
      </c>
      <c r="D1128" s="281">
        <v>5</v>
      </c>
      <c r="E1128" t="s">
        <v>2005</v>
      </c>
      <c r="F1128" t="s">
        <v>678</v>
      </c>
      <c r="G1128" t="s">
        <v>818</v>
      </c>
      <c r="H1128" t="s">
        <v>1206</v>
      </c>
      <c r="I1128">
        <v>5020000000</v>
      </c>
      <c r="J1128" s="560">
        <v>40000</v>
      </c>
      <c r="K1128" s="560">
        <f t="shared" si="35"/>
        <v>5</v>
      </c>
      <c r="L1128" s="560">
        <f t="shared" si="36"/>
        <v>4</v>
      </c>
    </row>
    <row r="1129" spans="1:19">
      <c r="B1129" s="553">
        <v>44271</v>
      </c>
      <c r="C1129" t="s">
        <v>1425</v>
      </c>
      <c r="D1129" s="281">
        <v>6</v>
      </c>
      <c r="E1129" t="s">
        <v>2037</v>
      </c>
      <c r="F1129" t="s">
        <v>555</v>
      </c>
      <c r="G1129" t="s">
        <v>818</v>
      </c>
      <c r="H1129" t="s">
        <v>1206</v>
      </c>
      <c r="I1129">
        <v>5020000000</v>
      </c>
      <c r="J1129" s="560">
        <v>20000</v>
      </c>
      <c r="K1129" s="560">
        <f t="shared" si="35"/>
        <v>5</v>
      </c>
      <c r="L1129" s="560">
        <f t="shared" si="36"/>
        <v>3</v>
      </c>
    </row>
    <row r="1130" spans="1:19">
      <c r="B1130" s="553">
        <v>44271</v>
      </c>
      <c r="C1130" t="s">
        <v>1425</v>
      </c>
      <c r="D1130" s="281">
        <v>6</v>
      </c>
      <c r="E1130" t="s">
        <v>2005</v>
      </c>
      <c r="F1130" t="s">
        <v>678</v>
      </c>
      <c r="G1130" t="s">
        <v>818</v>
      </c>
      <c r="H1130" t="s">
        <v>1206</v>
      </c>
      <c r="I1130">
        <v>5020000000</v>
      </c>
      <c r="J1130" s="560">
        <v>60000</v>
      </c>
      <c r="K1130" s="560">
        <f t="shared" si="35"/>
        <v>5</v>
      </c>
      <c r="L1130" s="560">
        <f t="shared" si="36"/>
        <v>2</v>
      </c>
    </row>
    <row r="1131" spans="1:19">
      <c r="A1131" t="s">
        <v>2270</v>
      </c>
      <c r="B1131" s="553">
        <v>44271</v>
      </c>
      <c r="C1131" t="s">
        <v>1425</v>
      </c>
      <c r="D1131" s="281">
        <v>7</v>
      </c>
      <c r="E1131" t="s">
        <v>2032</v>
      </c>
      <c r="F1131" t="s">
        <v>565</v>
      </c>
      <c r="G1131" t="s">
        <v>818</v>
      </c>
      <c r="H1131" t="s">
        <v>1206</v>
      </c>
      <c r="I1131">
        <v>5020000000</v>
      </c>
      <c r="J1131" s="560">
        <v>20000</v>
      </c>
      <c r="K1131" s="560">
        <f t="shared" si="35"/>
        <v>5</v>
      </c>
      <c r="L1131" s="560">
        <f t="shared" si="36"/>
        <v>1</v>
      </c>
      <c r="M1131" s="560" t="e">
        <f>SUMIFS('[1]MAIN-101'!$Z$1:$Z$3000,'[1]MAIN-101'!$X$1:$X$3000,S1131)</f>
        <v>#VALUE!</v>
      </c>
      <c r="N1131" s="560"/>
      <c r="O1131" s="560"/>
      <c r="S1131" t="str">
        <f>VLOOKUP(C1131,'Recon of ORS and DV'!$A$4:$B$358,2,FALSE)</f>
        <v>0392</v>
      </c>
    </row>
    <row r="1132" spans="1:19">
      <c r="B1132" s="553">
        <v>44271</v>
      </c>
      <c r="C1132" t="s">
        <v>1426</v>
      </c>
      <c r="D1132" s="281">
        <v>12</v>
      </c>
      <c r="E1132" t="s">
        <v>2037</v>
      </c>
      <c r="F1132" t="s">
        <v>555</v>
      </c>
      <c r="G1132" t="s">
        <v>818</v>
      </c>
      <c r="H1132" t="s">
        <v>1150</v>
      </c>
      <c r="I1132" t="s">
        <v>2037</v>
      </c>
      <c r="J1132" s="560">
        <v>16700</v>
      </c>
      <c r="K1132" s="560">
        <f t="shared" si="35"/>
        <v>6</v>
      </c>
      <c r="L1132" s="560">
        <f t="shared" si="36"/>
        <v>6</v>
      </c>
    </row>
    <row r="1133" spans="1:19">
      <c r="B1133" s="553">
        <v>44271</v>
      </c>
      <c r="C1133" t="s">
        <v>1426</v>
      </c>
      <c r="D1133" s="281">
        <v>12</v>
      </c>
      <c r="E1133" t="s">
        <v>2039</v>
      </c>
      <c r="F1133" t="s">
        <v>560</v>
      </c>
      <c r="G1133" t="s">
        <v>818</v>
      </c>
      <c r="H1133" t="s">
        <v>1150</v>
      </c>
      <c r="I1133" t="s">
        <v>2039</v>
      </c>
      <c r="J1133" s="560">
        <v>73434</v>
      </c>
      <c r="K1133" s="560">
        <f t="shared" si="35"/>
        <v>6</v>
      </c>
      <c r="L1133" s="560">
        <f t="shared" si="36"/>
        <v>5</v>
      </c>
    </row>
    <row r="1134" spans="1:19">
      <c r="B1134" s="553">
        <v>44271</v>
      </c>
      <c r="C1134" t="s">
        <v>1426</v>
      </c>
      <c r="D1134" s="281">
        <v>12</v>
      </c>
      <c r="E1134" t="s">
        <v>2032</v>
      </c>
      <c r="F1134" t="s">
        <v>565</v>
      </c>
      <c r="G1134" t="s">
        <v>818</v>
      </c>
      <c r="H1134" t="s">
        <v>1150</v>
      </c>
      <c r="I1134" t="s">
        <v>2032</v>
      </c>
      <c r="J1134" s="560">
        <v>2500</v>
      </c>
      <c r="K1134" s="560">
        <f t="shared" si="35"/>
        <v>6</v>
      </c>
      <c r="L1134" s="560">
        <f t="shared" si="36"/>
        <v>4</v>
      </c>
    </row>
    <row r="1135" spans="1:19">
      <c r="B1135" s="553">
        <v>44271</v>
      </c>
      <c r="C1135" t="s">
        <v>1426</v>
      </c>
      <c r="D1135" s="281">
        <v>12</v>
      </c>
      <c r="E1135" t="s">
        <v>2002</v>
      </c>
      <c r="F1135" t="s">
        <v>603</v>
      </c>
      <c r="G1135" t="s">
        <v>818</v>
      </c>
      <c r="H1135" t="s">
        <v>1150</v>
      </c>
      <c r="I1135" t="s">
        <v>2002</v>
      </c>
      <c r="J1135" s="560">
        <v>1500</v>
      </c>
      <c r="K1135" s="560">
        <f t="shared" si="35"/>
        <v>6</v>
      </c>
      <c r="L1135" s="560">
        <f t="shared" si="36"/>
        <v>3</v>
      </c>
    </row>
    <row r="1136" spans="1:19">
      <c r="B1136" s="553">
        <v>44271</v>
      </c>
      <c r="C1136" t="s">
        <v>1426</v>
      </c>
      <c r="D1136" s="281">
        <v>12</v>
      </c>
      <c r="E1136" t="s">
        <v>1998</v>
      </c>
      <c r="F1136" t="s">
        <v>633</v>
      </c>
      <c r="G1136" t="s">
        <v>818</v>
      </c>
      <c r="H1136" t="s">
        <v>1150</v>
      </c>
      <c r="I1136" t="s">
        <v>1998</v>
      </c>
      <c r="J1136" s="560">
        <v>24500</v>
      </c>
      <c r="K1136" s="560">
        <f t="shared" si="35"/>
        <v>6</v>
      </c>
      <c r="L1136" s="560">
        <f t="shared" si="36"/>
        <v>2</v>
      </c>
    </row>
    <row r="1137" spans="1:19">
      <c r="A1137" t="s">
        <v>2271</v>
      </c>
      <c r="B1137" s="553">
        <v>44271</v>
      </c>
      <c r="C1137" t="s">
        <v>1426</v>
      </c>
      <c r="D1137" s="281">
        <v>12</v>
      </c>
      <c r="E1137" t="s">
        <v>1997</v>
      </c>
      <c r="F1137" t="s">
        <v>642</v>
      </c>
      <c r="G1137" t="s">
        <v>818</v>
      </c>
      <c r="H1137" t="s">
        <v>1150</v>
      </c>
      <c r="I1137" t="s">
        <v>1997</v>
      </c>
      <c r="J1137" s="560">
        <v>1000</v>
      </c>
      <c r="K1137" s="560">
        <f t="shared" si="35"/>
        <v>6</v>
      </c>
      <c r="L1137" s="560">
        <f t="shared" si="36"/>
        <v>1</v>
      </c>
      <c r="M1137" s="560" t="e">
        <f>SUMIFS('[1]MAIN-101'!$Z$1:$Z$3000,'[1]MAIN-101'!$X$1:$X$3000,S1137)</f>
        <v>#VALUE!</v>
      </c>
      <c r="N1137" s="560"/>
      <c r="O1137" s="560"/>
      <c r="S1137" t="str">
        <f>VLOOKUP(C1137,'Recon of ORS and DV'!$A$4:$B$358,2,FALSE)</f>
        <v>0393</v>
      </c>
    </row>
    <row r="1138" spans="1:19">
      <c r="B1138" s="553">
        <v>44271</v>
      </c>
      <c r="C1138" t="s">
        <v>1427</v>
      </c>
      <c r="D1138" s="281">
        <v>10</v>
      </c>
      <c r="E1138" t="s">
        <v>2037</v>
      </c>
      <c r="F1138" t="s">
        <v>555</v>
      </c>
      <c r="G1138" t="s">
        <v>820</v>
      </c>
      <c r="H1138" t="s">
        <v>1145</v>
      </c>
      <c r="I1138">
        <v>5020000000</v>
      </c>
      <c r="J1138" s="560">
        <v>5000</v>
      </c>
      <c r="K1138" s="560">
        <f t="shared" si="35"/>
        <v>5</v>
      </c>
      <c r="L1138" s="560">
        <f t="shared" si="36"/>
        <v>5</v>
      </c>
    </row>
    <row r="1139" spans="1:19">
      <c r="B1139" s="553">
        <v>44271</v>
      </c>
      <c r="C1139" t="s">
        <v>1427</v>
      </c>
      <c r="D1139" s="281">
        <v>10</v>
      </c>
      <c r="E1139" t="s">
        <v>2039</v>
      </c>
      <c r="F1139" t="s">
        <v>560</v>
      </c>
      <c r="G1139" t="s">
        <v>820</v>
      </c>
      <c r="H1139" t="s">
        <v>1145</v>
      </c>
      <c r="I1139">
        <v>5020000000</v>
      </c>
      <c r="J1139" s="560">
        <v>45000</v>
      </c>
      <c r="K1139" s="560">
        <f t="shared" si="35"/>
        <v>5</v>
      </c>
      <c r="L1139" s="560">
        <f t="shared" si="36"/>
        <v>4</v>
      </c>
    </row>
    <row r="1140" spans="1:19">
      <c r="B1140" s="553">
        <v>44271</v>
      </c>
      <c r="C1140" t="s">
        <v>1427</v>
      </c>
      <c r="D1140" s="281">
        <v>10</v>
      </c>
      <c r="E1140" t="s">
        <v>2002</v>
      </c>
      <c r="F1140" t="s">
        <v>603</v>
      </c>
      <c r="G1140" t="s">
        <v>820</v>
      </c>
      <c r="H1140" t="s">
        <v>1145</v>
      </c>
      <c r="I1140">
        <v>5020000000</v>
      </c>
      <c r="J1140" s="560">
        <v>5000</v>
      </c>
      <c r="K1140" s="560">
        <f t="shared" si="35"/>
        <v>5</v>
      </c>
      <c r="L1140" s="560">
        <f t="shared" si="36"/>
        <v>3</v>
      </c>
    </row>
    <row r="1141" spans="1:19">
      <c r="B1141" s="553">
        <v>44271</v>
      </c>
      <c r="C1141" t="s">
        <v>1427</v>
      </c>
      <c r="D1141" s="281">
        <v>10</v>
      </c>
      <c r="E1141" t="s">
        <v>2005</v>
      </c>
      <c r="F1141" t="s">
        <v>678</v>
      </c>
      <c r="G1141" t="s">
        <v>820</v>
      </c>
      <c r="H1141" t="s">
        <v>1145</v>
      </c>
      <c r="I1141">
        <v>5020000000</v>
      </c>
      <c r="J1141" s="560">
        <v>15000</v>
      </c>
      <c r="K1141" s="560">
        <f t="shared" si="35"/>
        <v>5</v>
      </c>
      <c r="L1141" s="560">
        <f t="shared" si="36"/>
        <v>2</v>
      </c>
    </row>
    <row r="1142" spans="1:19">
      <c r="A1142" t="s">
        <v>2272</v>
      </c>
      <c r="B1142" s="553">
        <v>44271</v>
      </c>
      <c r="C1142" t="s">
        <v>1427</v>
      </c>
      <c r="D1142" s="281">
        <v>10</v>
      </c>
      <c r="E1142" t="s">
        <v>2021</v>
      </c>
      <c r="F1142" t="s">
        <v>631</v>
      </c>
      <c r="G1142" t="s">
        <v>820</v>
      </c>
      <c r="H1142" t="s">
        <v>1145</v>
      </c>
      <c r="I1142">
        <v>5020000000</v>
      </c>
      <c r="J1142" s="560">
        <v>24707.14</v>
      </c>
      <c r="K1142" s="560">
        <f t="shared" si="35"/>
        <v>5</v>
      </c>
      <c r="L1142" s="560">
        <f t="shared" si="36"/>
        <v>1</v>
      </c>
      <c r="M1142" s="560" t="e">
        <f>SUMIFS('[1]MAIN-101'!$Z$1:$Z$3000,'[1]MAIN-101'!$X$1:$X$3000,S1142)</f>
        <v>#VALUE!</v>
      </c>
      <c r="N1142" s="560"/>
      <c r="O1142" s="560"/>
      <c r="S1142" t="str">
        <f>VLOOKUP(C1142,'Recon of ORS and DV'!$A$4:$B$358,2,FALSE)</f>
        <v>0390</v>
      </c>
    </row>
    <row r="1143" spans="1:19">
      <c r="A1143" t="s">
        <v>2273</v>
      </c>
      <c r="B1143" s="553">
        <v>44271</v>
      </c>
      <c r="C1143" t="s">
        <v>1428</v>
      </c>
      <c r="D1143" s="281">
        <v>1</v>
      </c>
      <c r="E1143" t="s">
        <v>2005</v>
      </c>
      <c r="F1143" t="s">
        <v>678</v>
      </c>
      <c r="G1143" t="s">
        <v>1189</v>
      </c>
      <c r="H1143" t="s">
        <v>1429</v>
      </c>
      <c r="I1143">
        <v>5020000000</v>
      </c>
      <c r="J1143" s="560">
        <v>11000</v>
      </c>
      <c r="K1143" s="560">
        <f t="shared" si="35"/>
        <v>1</v>
      </c>
      <c r="L1143" s="560">
        <f t="shared" si="36"/>
        <v>1</v>
      </c>
      <c r="M1143" s="560" t="e">
        <f>SUMIFS('[1]MAIN-101'!$Z$1:$Z$3000,'[1]MAIN-101'!$X$1:$X$3000,S1143)</f>
        <v>#VALUE!</v>
      </c>
      <c r="N1143" s="560"/>
      <c r="O1143" s="560"/>
      <c r="S1143" t="str">
        <f>VLOOKUP(C1143,'Recon of ORS and DV'!$A$4:$B$358,2,FALSE)</f>
        <v>0463</v>
      </c>
    </row>
    <row r="1144" spans="1:19">
      <c r="A1144" t="s">
        <v>2274</v>
      </c>
      <c r="B1144" s="553">
        <v>44271</v>
      </c>
      <c r="C1144" t="s">
        <v>1430</v>
      </c>
      <c r="D1144" s="281">
        <v>1</v>
      </c>
      <c r="E1144" t="s">
        <v>2032</v>
      </c>
      <c r="F1144" t="s">
        <v>565</v>
      </c>
      <c r="G1144" t="s">
        <v>1325</v>
      </c>
      <c r="H1144" t="s">
        <v>1431</v>
      </c>
      <c r="I1144">
        <v>5020000000</v>
      </c>
      <c r="J1144" s="560">
        <v>3760</v>
      </c>
      <c r="K1144" s="560">
        <f t="shared" si="35"/>
        <v>1</v>
      </c>
      <c r="L1144" s="560">
        <f t="shared" si="36"/>
        <v>1</v>
      </c>
      <c r="M1144" s="560" t="e">
        <f>SUMIFS('[1]MAIN-101'!$Z$1:$Z$3000,'[1]MAIN-101'!$X$1:$X$3000,S1144)</f>
        <v>#VALUE!</v>
      </c>
      <c r="N1144" s="560"/>
      <c r="O1144" s="560"/>
      <c r="S1144" t="str">
        <f>VLOOKUP(C1144,'Recon of ORS and DV'!$A$4:$B$358,2,FALSE)</f>
        <v>0454</v>
      </c>
    </row>
    <row r="1145" spans="1:19">
      <c r="A1145" t="s">
        <v>2275</v>
      </c>
      <c r="B1145" s="553">
        <v>44271</v>
      </c>
      <c r="C1145" t="s">
        <v>1432</v>
      </c>
      <c r="D1145" s="281">
        <v>1</v>
      </c>
      <c r="E1145" t="s">
        <v>1996</v>
      </c>
      <c r="F1145" t="s">
        <v>676</v>
      </c>
      <c r="G1145" t="s">
        <v>1433</v>
      </c>
      <c r="H1145" t="s">
        <v>1434</v>
      </c>
      <c r="I1145">
        <v>5020000000</v>
      </c>
      <c r="J1145" s="560">
        <v>800</v>
      </c>
      <c r="K1145" s="560">
        <f t="shared" si="35"/>
        <v>1</v>
      </c>
      <c r="L1145" s="560">
        <f t="shared" si="36"/>
        <v>1</v>
      </c>
      <c r="M1145" s="560" t="e">
        <f>SUMIFS('[1]MAIN-101'!$Z$1:$Z$3000,'[1]MAIN-101'!$X$1:$X$3000,S1145)</f>
        <v>#VALUE!</v>
      </c>
      <c r="N1145" s="560"/>
      <c r="O1145" s="560"/>
      <c r="S1145" t="str">
        <f>VLOOKUP(C1145,'Recon of ORS and DV'!$A$4:$B$358,2,FALSE)</f>
        <v>0449</v>
      </c>
    </row>
    <row r="1146" spans="1:19">
      <c r="A1146" t="s">
        <v>2276</v>
      </c>
      <c r="B1146" s="553">
        <v>44271</v>
      </c>
      <c r="C1146" t="s">
        <v>1435</v>
      </c>
      <c r="D1146" s="281">
        <v>1</v>
      </c>
      <c r="E1146" t="s">
        <v>2005</v>
      </c>
      <c r="F1146" t="s">
        <v>678</v>
      </c>
      <c r="G1146" t="s">
        <v>1436</v>
      </c>
      <c r="H1146" t="s">
        <v>1437</v>
      </c>
      <c r="I1146">
        <v>5020000000</v>
      </c>
      <c r="J1146" s="560">
        <v>30000</v>
      </c>
      <c r="K1146" s="560">
        <f t="shared" si="35"/>
        <v>1</v>
      </c>
      <c r="L1146" s="560">
        <f t="shared" si="36"/>
        <v>1</v>
      </c>
      <c r="M1146" s="560" t="e">
        <f>SUMIFS('[1]MAIN-101'!$Z$1:$Z$3000,'[1]MAIN-101'!$X$1:$X$3000,S1146)</f>
        <v>#VALUE!</v>
      </c>
      <c r="N1146" s="560"/>
      <c r="O1146" s="560"/>
      <c r="S1146" t="str">
        <f>VLOOKUP(C1146,'Recon of ORS and DV'!$A$4:$B$358,2,FALSE)</f>
        <v>0455</v>
      </c>
    </row>
    <row r="1147" spans="1:19">
      <c r="B1147" s="553">
        <v>44271</v>
      </c>
      <c r="C1147" t="s">
        <v>1438</v>
      </c>
      <c r="D1147" s="281">
        <v>1</v>
      </c>
      <c r="E1147" t="s">
        <v>2042</v>
      </c>
      <c r="F1147" t="s">
        <v>508</v>
      </c>
      <c r="G1147" t="s">
        <v>10</v>
      </c>
      <c r="H1147" t="s">
        <v>1439</v>
      </c>
      <c r="I1147">
        <v>5010000000</v>
      </c>
      <c r="J1147" s="560">
        <v>114000</v>
      </c>
      <c r="K1147" s="560">
        <f t="shared" si="35"/>
        <v>5</v>
      </c>
      <c r="L1147" s="560">
        <f t="shared" si="36"/>
        <v>5</v>
      </c>
    </row>
    <row r="1148" spans="1:19">
      <c r="B1148" s="553">
        <v>44271</v>
      </c>
      <c r="C1148" t="s">
        <v>1438</v>
      </c>
      <c r="D1148" s="281">
        <v>2</v>
      </c>
      <c r="E1148" t="s">
        <v>2042</v>
      </c>
      <c r="F1148" t="s">
        <v>508</v>
      </c>
      <c r="G1148" t="s">
        <v>10</v>
      </c>
      <c r="H1148" t="s">
        <v>1439</v>
      </c>
      <c r="I1148">
        <v>5010000000</v>
      </c>
      <c r="J1148" s="560">
        <v>12000</v>
      </c>
      <c r="K1148" s="560">
        <f t="shared" si="35"/>
        <v>5</v>
      </c>
      <c r="L1148" s="560">
        <f t="shared" si="36"/>
        <v>4</v>
      </c>
    </row>
    <row r="1149" spans="1:19">
      <c r="B1149" s="553">
        <v>44271</v>
      </c>
      <c r="C1149" t="s">
        <v>1438</v>
      </c>
      <c r="D1149" s="281">
        <v>3</v>
      </c>
      <c r="E1149" t="s">
        <v>2042</v>
      </c>
      <c r="F1149" t="s">
        <v>508</v>
      </c>
      <c r="G1149" t="s">
        <v>10</v>
      </c>
      <c r="H1149" t="s">
        <v>1439</v>
      </c>
      <c r="I1149">
        <v>5010000000</v>
      </c>
      <c r="J1149" s="560">
        <v>30000</v>
      </c>
      <c r="K1149" s="560">
        <f t="shared" si="35"/>
        <v>5</v>
      </c>
      <c r="L1149" s="560">
        <f t="shared" si="36"/>
        <v>3</v>
      </c>
    </row>
    <row r="1150" spans="1:19">
      <c r="B1150" s="553">
        <v>44271</v>
      </c>
      <c r="C1150" t="s">
        <v>1438</v>
      </c>
      <c r="D1150" s="281">
        <v>4</v>
      </c>
      <c r="E1150" t="s">
        <v>2042</v>
      </c>
      <c r="F1150" t="s">
        <v>508</v>
      </c>
      <c r="G1150" t="s">
        <v>10</v>
      </c>
      <c r="H1150" t="s">
        <v>1439</v>
      </c>
      <c r="I1150">
        <v>5010000000</v>
      </c>
      <c r="J1150" s="560">
        <v>30000</v>
      </c>
      <c r="K1150" s="560">
        <f t="shared" si="35"/>
        <v>5</v>
      </c>
      <c r="L1150" s="560">
        <f t="shared" si="36"/>
        <v>2</v>
      </c>
    </row>
    <row r="1151" spans="1:19">
      <c r="A1151" t="s">
        <v>2563</v>
      </c>
      <c r="B1151" s="553">
        <v>44271</v>
      </c>
      <c r="C1151" t="s">
        <v>1438</v>
      </c>
      <c r="D1151" s="281">
        <v>5</v>
      </c>
      <c r="E1151" t="s">
        <v>2042</v>
      </c>
      <c r="F1151" t="s">
        <v>508</v>
      </c>
      <c r="G1151" t="s">
        <v>10</v>
      </c>
      <c r="H1151" t="s">
        <v>1439</v>
      </c>
      <c r="I1151">
        <v>5010000000</v>
      </c>
      <c r="J1151" s="560">
        <v>30000</v>
      </c>
      <c r="K1151" s="560">
        <f t="shared" si="35"/>
        <v>5</v>
      </c>
      <c r="L1151" s="560">
        <f t="shared" si="36"/>
        <v>1</v>
      </c>
      <c r="M1151" s="560" t="e">
        <f>SUMIFS('[1]MAIN-101'!$Z$1:$Z$3000,'[1]MAIN-101'!$X$1:$X$3000,S1151)</f>
        <v>#VALUE!</v>
      </c>
      <c r="N1151" s="560"/>
      <c r="O1151" s="560"/>
      <c r="S1151" t="str">
        <f>VLOOKUP(C1151,'Recon of ORS and DV'!$A$4:$B$358,2,FALSE)</f>
        <v>0400</v>
      </c>
    </row>
    <row r="1152" spans="1:19">
      <c r="B1152" s="553">
        <v>44271</v>
      </c>
      <c r="C1152" t="s">
        <v>1440</v>
      </c>
      <c r="D1152" s="281">
        <v>1</v>
      </c>
      <c r="E1152" t="s">
        <v>2042</v>
      </c>
      <c r="F1152" t="s">
        <v>508</v>
      </c>
      <c r="G1152" t="s">
        <v>789</v>
      </c>
      <c r="H1152" t="s">
        <v>1439</v>
      </c>
      <c r="I1152">
        <v>5010000000</v>
      </c>
      <c r="J1152" s="560">
        <v>12000</v>
      </c>
      <c r="K1152" s="560">
        <f t="shared" si="35"/>
        <v>6</v>
      </c>
      <c r="L1152" s="560">
        <f t="shared" si="36"/>
        <v>6</v>
      </c>
    </row>
    <row r="1153" spans="1:19">
      <c r="B1153" s="553">
        <v>44271</v>
      </c>
      <c r="C1153" t="s">
        <v>1440</v>
      </c>
      <c r="D1153" s="281">
        <v>2</v>
      </c>
      <c r="E1153" t="s">
        <v>2042</v>
      </c>
      <c r="F1153" t="s">
        <v>508</v>
      </c>
      <c r="G1153" t="s">
        <v>789</v>
      </c>
      <c r="H1153" t="s">
        <v>1439</v>
      </c>
      <c r="I1153">
        <v>5010000000</v>
      </c>
      <c r="J1153" s="560">
        <v>12000</v>
      </c>
      <c r="K1153" s="560">
        <f t="shared" si="35"/>
        <v>6</v>
      </c>
      <c r="L1153" s="560">
        <f t="shared" si="36"/>
        <v>5</v>
      </c>
    </row>
    <row r="1154" spans="1:19">
      <c r="B1154" s="553">
        <v>44271</v>
      </c>
      <c r="C1154" t="s">
        <v>1440</v>
      </c>
      <c r="D1154" s="281">
        <v>3</v>
      </c>
      <c r="E1154" t="s">
        <v>2042</v>
      </c>
      <c r="F1154" t="s">
        <v>508</v>
      </c>
      <c r="G1154" t="s">
        <v>789</v>
      </c>
      <c r="H1154" t="s">
        <v>1439</v>
      </c>
      <c r="I1154">
        <v>5010000000</v>
      </c>
      <c r="J1154" s="560">
        <v>6000</v>
      </c>
      <c r="K1154" s="560">
        <f t="shared" si="35"/>
        <v>6</v>
      </c>
      <c r="L1154" s="560">
        <f t="shared" si="36"/>
        <v>4</v>
      </c>
    </row>
    <row r="1155" spans="1:19">
      <c r="B1155" s="553">
        <v>44271</v>
      </c>
      <c r="C1155" t="s">
        <v>1440</v>
      </c>
      <c r="D1155" s="281">
        <v>4</v>
      </c>
      <c r="E1155" t="s">
        <v>2042</v>
      </c>
      <c r="F1155" t="s">
        <v>508</v>
      </c>
      <c r="G1155" t="s">
        <v>789</v>
      </c>
      <c r="H1155" t="s">
        <v>1439</v>
      </c>
      <c r="I1155">
        <v>5010000000</v>
      </c>
      <c r="J1155" s="560">
        <v>12000</v>
      </c>
      <c r="K1155" s="560">
        <f t="shared" si="35"/>
        <v>6</v>
      </c>
      <c r="L1155" s="560">
        <f t="shared" si="36"/>
        <v>3</v>
      </c>
    </row>
    <row r="1156" spans="1:19">
      <c r="B1156" s="553">
        <v>44271</v>
      </c>
      <c r="C1156" t="s">
        <v>1440</v>
      </c>
      <c r="D1156" s="281">
        <v>5</v>
      </c>
      <c r="E1156" t="s">
        <v>2042</v>
      </c>
      <c r="F1156" t="s">
        <v>508</v>
      </c>
      <c r="G1156" t="s">
        <v>789</v>
      </c>
      <c r="H1156" t="s">
        <v>1439</v>
      </c>
      <c r="I1156">
        <v>5010000000</v>
      </c>
      <c r="J1156" s="560">
        <v>12000</v>
      </c>
      <c r="K1156" s="560">
        <f t="shared" ref="K1156:K1219" si="37">COUNTIFS($C$3:$C$1556,C1156)</f>
        <v>6</v>
      </c>
      <c r="L1156" s="560">
        <f t="shared" si="36"/>
        <v>2</v>
      </c>
    </row>
    <row r="1157" spans="1:19">
      <c r="A1157" t="s">
        <v>2278</v>
      </c>
      <c r="B1157" s="553">
        <v>44271</v>
      </c>
      <c r="C1157" t="s">
        <v>1440</v>
      </c>
      <c r="D1157" s="281">
        <v>6</v>
      </c>
      <c r="E1157" t="s">
        <v>2042</v>
      </c>
      <c r="F1157" t="s">
        <v>508</v>
      </c>
      <c r="G1157" t="s">
        <v>789</v>
      </c>
      <c r="H1157" t="s">
        <v>1439</v>
      </c>
      <c r="I1157">
        <v>5010000000</v>
      </c>
      <c r="J1157" s="560">
        <v>6000</v>
      </c>
      <c r="K1157" s="560">
        <f t="shared" si="37"/>
        <v>6</v>
      </c>
      <c r="L1157" s="560">
        <f t="shared" si="36"/>
        <v>1</v>
      </c>
      <c r="M1157" s="560" t="e">
        <f>SUMIFS('[1]MAIN-101'!$Z$1:$Z$3000,'[1]MAIN-101'!$X$1:$X$3000,S1157)</f>
        <v>#VALUE!</v>
      </c>
      <c r="N1157" s="560"/>
      <c r="O1157" s="560"/>
      <c r="S1157" t="str">
        <f>VLOOKUP(C1157,'Recon of ORS and DV'!$A$4:$B$358,2,FALSE)</f>
        <v>0394</v>
      </c>
    </row>
    <row r="1158" spans="1:19">
      <c r="B1158" s="553">
        <v>44271</v>
      </c>
      <c r="C1158" t="s">
        <v>1441</v>
      </c>
      <c r="D1158" s="281">
        <v>1</v>
      </c>
      <c r="E1158" t="s">
        <v>2042</v>
      </c>
      <c r="F1158" t="s">
        <v>508</v>
      </c>
      <c r="G1158" t="s">
        <v>777</v>
      </c>
      <c r="H1158" t="s">
        <v>1439</v>
      </c>
      <c r="I1158">
        <v>5010000000</v>
      </c>
      <c r="J1158" s="560">
        <v>24000</v>
      </c>
      <c r="K1158" s="560">
        <f t="shared" si="37"/>
        <v>4</v>
      </c>
      <c r="L1158" s="560">
        <f t="shared" si="36"/>
        <v>4</v>
      </c>
    </row>
    <row r="1159" spans="1:19">
      <c r="B1159" s="553">
        <v>44271</v>
      </c>
      <c r="C1159" t="s">
        <v>1441</v>
      </c>
      <c r="D1159" s="281">
        <v>2</v>
      </c>
      <c r="E1159" t="s">
        <v>2042</v>
      </c>
      <c r="F1159" t="s">
        <v>508</v>
      </c>
      <c r="G1159" t="s">
        <v>777</v>
      </c>
      <c r="H1159" t="s">
        <v>1439</v>
      </c>
      <c r="I1159">
        <v>5010000000</v>
      </c>
      <c r="J1159" s="560">
        <v>6000</v>
      </c>
      <c r="K1159" s="560">
        <f t="shared" si="37"/>
        <v>4</v>
      </c>
      <c r="L1159" s="560">
        <f t="shared" si="36"/>
        <v>3</v>
      </c>
    </row>
    <row r="1160" spans="1:19">
      <c r="B1160" s="553">
        <v>44271</v>
      </c>
      <c r="C1160" t="s">
        <v>1441</v>
      </c>
      <c r="D1160" s="281">
        <v>4</v>
      </c>
      <c r="E1160" t="s">
        <v>2042</v>
      </c>
      <c r="F1160" t="s">
        <v>508</v>
      </c>
      <c r="G1160" t="s">
        <v>777</v>
      </c>
      <c r="H1160" t="s">
        <v>1439</v>
      </c>
      <c r="I1160">
        <v>5010000000</v>
      </c>
      <c r="J1160" s="560">
        <v>12000</v>
      </c>
      <c r="K1160" s="560">
        <f t="shared" si="37"/>
        <v>4</v>
      </c>
      <c r="L1160" s="560">
        <f t="shared" si="36"/>
        <v>2</v>
      </c>
    </row>
    <row r="1161" spans="1:19">
      <c r="A1161" t="s">
        <v>2279</v>
      </c>
      <c r="B1161" s="553">
        <v>44271</v>
      </c>
      <c r="C1161" t="s">
        <v>1441</v>
      </c>
      <c r="D1161" s="281">
        <v>5</v>
      </c>
      <c r="E1161" t="s">
        <v>2042</v>
      </c>
      <c r="F1161" t="s">
        <v>508</v>
      </c>
      <c r="G1161" t="s">
        <v>777</v>
      </c>
      <c r="H1161" t="s">
        <v>1439</v>
      </c>
      <c r="I1161">
        <v>5010000000</v>
      </c>
      <c r="J1161" s="560">
        <v>18000</v>
      </c>
      <c r="K1161" s="560">
        <f t="shared" si="37"/>
        <v>4</v>
      </c>
      <c r="L1161" s="560">
        <f t="shared" si="36"/>
        <v>1</v>
      </c>
      <c r="M1161" s="560" t="e">
        <f>SUMIFS('[1]MAIN-101'!$Z$1:$Z$3000,'[1]MAIN-101'!$X$1:$X$3000,S1161)</f>
        <v>#VALUE!</v>
      </c>
      <c r="N1161" s="560"/>
      <c r="O1161" s="560"/>
      <c r="S1161" t="str">
        <f>VLOOKUP(C1161,'Recon of ORS and DV'!$A$4:$B$358,2,FALSE)</f>
        <v>0395</v>
      </c>
    </row>
    <row r="1162" spans="1:19">
      <c r="B1162" s="553">
        <v>44271</v>
      </c>
      <c r="C1162" t="s">
        <v>1442</v>
      </c>
      <c r="D1162" s="281">
        <v>1</v>
      </c>
      <c r="E1162" t="s">
        <v>2042</v>
      </c>
      <c r="F1162" t="s">
        <v>508</v>
      </c>
      <c r="G1162" t="s">
        <v>764</v>
      </c>
      <c r="H1162" t="s">
        <v>1439</v>
      </c>
      <c r="I1162">
        <v>5010000000</v>
      </c>
      <c r="J1162" s="560">
        <v>24000</v>
      </c>
      <c r="K1162" s="560">
        <f t="shared" si="37"/>
        <v>4</v>
      </c>
      <c r="L1162" s="560">
        <f t="shared" si="36"/>
        <v>4</v>
      </c>
    </row>
    <row r="1163" spans="1:19">
      <c r="B1163" s="553">
        <v>44271</v>
      </c>
      <c r="C1163" t="s">
        <v>1442</v>
      </c>
      <c r="D1163" s="281">
        <v>2</v>
      </c>
      <c r="E1163" t="s">
        <v>2042</v>
      </c>
      <c r="F1163" t="s">
        <v>508</v>
      </c>
      <c r="G1163" t="s">
        <v>764</v>
      </c>
      <c r="H1163" t="s">
        <v>1439</v>
      </c>
      <c r="I1163">
        <v>5010000000</v>
      </c>
      <c r="J1163" s="560">
        <v>6000</v>
      </c>
      <c r="K1163" s="560">
        <f t="shared" si="37"/>
        <v>4</v>
      </c>
      <c r="L1163" s="560">
        <f t="shared" si="36"/>
        <v>3</v>
      </c>
    </row>
    <row r="1164" spans="1:19">
      <c r="B1164" s="553">
        <v>44271</v>
      </c>
      <c r="C1164" t="s">
        <v>1442</v>
      </c>
      <c r="D1164" s="281">
        <v>4</v>
      </c>
      <c r="E1164" t="s">
        <v>2042</v>
      </c>
      <c r="F1164" t="s">
        <v>508</v>
      </c>
      <c r="G1164" t="s">
        <v>764</v>
      </c>
      <c r="H1164" t="s">
        <v>1439</v>
      </c>
      <c r="I1164">
        <v>5010000000</v>
      </c>
      <c r="J1164" s="560">
        <v>18000</v>
      </c>
      <c r="K1164" s="560">
        <f t="shared" si="37"/>
        <v>4</v>
      </c>
      <c r="L1164" s="560">
        <f t="shared" si="36"/>
        <v>2</v>
      </c>
    </row>
    <row r="1165" spans="1:19">
      <c r="A1165" t="s">
        <v>2280</v>
      </c>
      <c r="B1165" s="553">
        <v>44271</v>
      </c>
      <c r="C1165" t="s">
        <v>1442</v>
      </c>
      <c r="D1165" s="281">
        <v>5</v>
      </c>
      <c r="E1165" t="s">
        <v>2042</v>
      </c>
      <c r="F1165" t="s">
        <v>508</v>
      </c>
      <c r="G1165" t="s">
        <v>764</v>
      </c>
      <c r="H1165" t="s">
        <v>1439</v>
      </c>
      <c r="I1165">
        <v>5010000000</v>
      </c>
      <c r="J1165" s="560">
        <v>18000</v>
      </c>
      <c r="K1165" s="560">
        <f t="shared" si="37"/>
        <v>4</v>
      </c>
      <c r="L1165" s="560">
        <f t="shared" si="36"/>
        <v>1</v>
      </c>
      <c r="M1165" s="560" t="e">
        <f>SUMIFS('[1]MAIN-101'!$Z$1:$Z$3000,'[1]MAIN-101'!$X$1:$X$3000,S1165)</f>
        <v>#VALUE!</v>
      </c>
      <c r="N1165" s="560"/>
      <c r="O1165" s="560"/>
      <c r="S1165" t="str">
        <f>VLOOKUP(C1165,'Recon of ORS and DV'!$A$4:$B$358,2,FALSE)</f>
        <v>0396</v>
      </c>
    </row>
    <row r="1166" spans="1:19">
      <c r="B1166" s="553">
        <v>44271</v>
      </c>
      <c r="C1166" t="s">
        <v>1443</v>
      </c>
      <c r="D1166" s="281">
        <v>1</v>
      </c>
      <c r="E1166" t="s">
        <v>2042</v>
      </c>
      <c r="F1166" t="s">
        <v>508</v>
      </c>
      <c r="G1166" t="s">
        <v>768</v>
      </c>
      <c r="H1166" t="s">
        <v>1439</v>
      </c>
      <c r="I1166">
        <v>5010000000</v>
      </c>
      <c r="J1166" s="560">
        <v>18000</v>
      </c>
      <c r="K1166" s="560">
        <f t="shared" si="37"/>
        <v>5</v>
      </c>
      <c r="L1166" s="560">
        <f t="shared" si="36"/>
        <v>5</v>
      </c>
    </row>
    <row r="1167" spans="1:19">
      <c r="B1167" s="553">
        <v>44271</v>
      </c>
      <c r="C1167" t="s">
        <v>1443</v>
      </c>
      <c r="D1167" s="281">
        <v>2</v>
      </c>
      <c r="E1167" t="s">
        <v>2042</v>
      </c>
      <c r="F1167" t="s">
        <v>508</v>
      </c>
      <c r="G1167" t="s">
        <v>768</v>
      </c>
      <c r="H1167" t="s">
        <v>1439</v>
      </c>
      <c r="I1167">
        <v>5010000000</v>
      </c>
      <c r="J1167" s="560">
        <v>6000</v>
      </c>
      <c r="K1167" s="560">
        <f t="shared" si="37"/>
        <v>5</v>
      </c>
      <c r="L1167" s="560">
        <f t="shared" ref="L1167:L1230" si="38">COUNTIFS(C1167:C2720,C1167)</f>
        <v>4</v>
      </c>
    </row>
    <row r="1168" spans="1:19">
      <c r="B1168" s="553">
        <v>44271</v>
      </c>
      <c r="C1168" t="s">
        <v>1443</v>
      </c>
      <c r="D1168" s="281">
        <v>3</v>
      </c>
      <c r="E1168" t="s">
        <v>2042</v>
      </c>
      <c r="F1168" t="s">
        <v>508</v>
      </c>
      <c r="G1168" t="s">
        <v>768</v>
      </c>
      <c r="H1168" t="s">
        <v>1439</v>
      </c>
      <c r="I1168">
        <v>5010000000</v>
      </c>
      <c r="J1168" s="560">
        <v>6000</v>
      </c>
      <c r="K1168" s="560">
        <f t="shared" si="37"/>
        <v>5</v>
      </c>
      <c r="L1168" s="560">
        <f t="shared" si="38"/>
        <v>3</v>
      </c>
    </row>
    <row r="1169" spans="1:19">
      <c r="B1169" s="553">
        <v>44271</v>
      </c>
      <c r="C1169" t="s">
        <v>1443</v>
      </c>
      <c r="D1169" s="281">
        <v>4</v>
      </c>
      <c r="E1169" t="s">
        <v>2042</v>
      </c>
      <c r="F1169" t="s">
        <v>508</v>
      </c>
      <c r="G1169" t="s">
        <v>768</v>
      </c>
      <c r="H1169" t="s">
        <v>1439</v>
      </c>
      <c r="I1169">
        <v>5010000000</v>
      </c>
      <c r="J1169" s="560">
        <v>36000</v>
      </c>
      <c r="K1169" s="560">
        <f t="shared" si="37"/>
        <v>5</v>
      </c>
      <c r="L1169" s="560">
        <f t="shared" si="38"/>
        <v>2</v>
      </c>
    </row>
    <row r="1170" spans="1:19">
      <c r="A1170" t="s">
        <v>2281</v>
      </c>
      <c r="B1170" s="553">
        <v>44271</v>
      </c>
      <c r="C1170" t="s">
        <v>1443</v>
      </c>
      <c r="D1170" s="281">
        <v>5</v>
      </c>
      <c r="E1170" t="s">
        <v>2042</v>
      </c>
      <c r="F1170" t="s">
        <v>508</v>
      </c>
      <c r="G1170" t="s">
        <v>768</v>
      </c>
      <c r="H1170" t="s">
        <v>1439</v>
      </c>
      <c r="I1170">
        <v>5010000000</v>
      </c>
      <c r="J1170" s="560">
        <v>6000</v>
      </c>
      <c r="K1170" s="560">
        <f t="shared" si="37"/>
        <v>5</v>
      </c>
      <c r="L1170" s="560">
        <f t="shared" si="38"/>
        <v>1</v>
      </c>
      <c r="M1170" s="560" t="e">
        <f>SUMIFS('[1]MAIN-101'!$Z$1:$Z$3000,'[1]MAIN-101'!$X$1:$X$3000,S1170)</f>
        <v>#VALUE!</v>
      </c>
      <c r="N1170" s="560"/>
      <c r="O1170" s="560"/>
      <c r="S1170" t="str">
        <f>VLOOKUP(C1170,'Recon of ORS and DV'!$A$4:$B$358,2,FALSE)</f>
        <v>0397</v>
      </c>
    </row>
    <row r="1171" spans="1:19">
      <c r="B1171" s="553">
        <v>44271</v>
      </c>
      <c r="C1171" t="s">
        <v>1444</v>
      </c>
      <c r="D1171" s="281">
        <v>1</v>
      </c>
      <c r="E1171" t="s">
        <v>2042</v>
      </c>
      <c r="F1171" t="s">
        <v>508</v>
      </c>
      <c r="G1171" t="s">
        <v>765</v>
      </c>
      <c r="H1171" t="s">
        <v>1439</v>
      </c>
      <c r="I1171">
        <v>5010000000</v>
      </c>
      <c r="J1171" s="560">
        <v>12000</v>
      </c>
      <c r="K1171" s="560">
        <f t="shared" si="37"/>
        <v>4</v>
      </c>
      <c r="L1171" s="560">
        <f t="shared" si="38"/>
        <v>4</v>
      </c>
    </row>
    <row r="1172" spans="1:19">
      <c r="B1172" s="553">
        <v>44271</v>
      </c>
      <c r="C1172" t="s">
        <v>1444</v>
      </c>
      <c r="D1172" s="281">
        <v>2</v>
      </c>
      <c r="E1172" t="s">
        <v>2042</v>
      </c>
      <c r="F1172" t="s">
        <v>508</v>
      </c>
      <c r="G1172" t="s">
        <v>765</v>
      </c>
      <c r="H1172" t="s">
        <v>1439</v>
      </c>
      <c r="I1172">
        <v>5010000000</v>
      </c>
      <c r="J1172" s="560">
        <v>6000</v>
      </c>
      <c r="K1172" s="560">
        <f t="shared" si="37"/>
        <v>4</v>
      </c>
      <c r="L1172" s="560">
        <f t="shared" si="38"/>
        <v>3</v>
      </c>
    </row>
    <row r="1173" spans="1:19">
      <c r="B1173" s="553">
        <v>44271</v>
      </c>
      <c r="C1173" t="s">
        <v>1444</v>
      </c>
      <c r="D1173" s="281">
        <v>3</v>
      </c>
      <c r="E1173" t="s">
        <v>2042</v>
      </c>
      <c r="F1173" t="s">
        <v>508</v>
      </c>
      <c r="G1173" t="s">
        <v>765</v>
      </c>
      <c r="H1173" t="s">
        <v>1439</v>
      </c>
      <c r="I1173">
        <v>5010000000</v>
      </c>
      <c r="J1173" s="560">
        <v>18000</v>
      </c>
      <c r="K1173" s="560">
        <f t="shared" si="37"/>
        <v>4</v>
      </c>
      <c r="L1173" s="560">
        <f t="shared" si="38"/>
        <v>2</v>
      </c>
    </row>
    <row r="1174" spans="1:19">
      <c r="A1174" t="s">
        <v>2282</v>
      </c>
      <c r="B1174" s="553">
        <v>44271</v>
      </c>
      <c r="C1174" t="s">
        <v>1444</v>
      </c>
      <c r="D1174" s="281">
        <v>4</v>
      </c>
      <c r="E1174" t="s">
        <v>2042</v>
      </c>
      <c r="F1174" t="s">
        <v>508</v>
      </c>
      <c r="G1174" t="s">
        <v>765</v>
      </c>
      <c r="H1174" t="s">
        <v>1439</v>
      </c>
      <c r="I1174">
        <v>5010000000</v>
      </c>
      <c r="J1174" s="560">
        <v>12000</v>
      </c>
      <c r="K1174" s="560">
        <f t="shared" si="37"/>
        <v>4</v>
      </c>
      <c r="L1174" s="560">
        <f t="shared" si="38"/>
        <v>1</v>
      </c>
      <c r="M1174" s="560" t="e">
        <f>SUMIFS('[1]MAIN-101'!$Z$1:$Z$3000,'[1]MAIN-101'!$X$1:$X$3000,S1174)</f>
        <v>#VALUE!</v>
      </c>
      <c r="N1174" s="560"/>
      <c r="O1174" s="560"/>
      <c r="S1174" t="str">
        <f>VLOOKUP(C1174,'Recon of ORS and DV'!$A$4:$B$358,2,FALSE)</f>
        <v>0398</v>
      </c>
    </row>
    <row r="1175" spans="1:19">
      <c r="A1175" t="s">
        <v>2283</v>
      </c>
      <c r="B1175" s="553">
        <v>44271</v>
      </c>
      <c r="C1175" t="s">
        <v>1445</v>
      </c>
      <c r="D1175" s="281">
        <v>1</v>
      </c>
      <c r="E1175" t="s">
        <v>2002</v>
      </c>
      <c r="F1175" t="s">
        <v>603</v>
      </c>
      <c r="G1175" t="s">
        <v>1102</v>
      </c>
      <c r="H1175" t="s">
        <v>1446</v>
      </c>
      <c r="I1175">
        <v>5020000000</v>
      </c>
      <c r="J1175" s="560">
        <v>3500</v>
      </c>
      <c r="K1175" s="560">
        <f t="shared" si="37"/>
        <v>1</v>
      </c>
      <c r="L1175" s="560">
        <f t="shared" si="38"/>
        <v>1</v>
      </c>
      <c r="M1175" s="560" t="e">
        <f>SUMIFS('[1]MAIN-101'!$Z$1:$Z$3000,'[1]MAIN-101'!$X$1:$X$3000,S1175)</f>
        <v>#VALUE!</v>
      </c>
      <c r="N1175" s="560"/>
      <c r="O1175" s="560"/>
      <c r="S1175" t="str">
        <f>VLOOKUP(C1175,'Recon of ORS and DV'!$A$4:$B$358,2,FALSE)</f>
        <v>0460</v>
      </c>
    </row>
    <row r="1176" spans="1:19">
      <c r="A1176" t="s">
        <v>2284</v>
      </c>
      <c r="B1176" s="553">
        <v>44271</v>
      </c>
      <c r="C1176" t="s">
        <v>1448</v>
      </c>
      <c r="D1176" s="281">
        <v>11</v>
      </c>
      <c r="E1176" t="s">
        <v>2005</v>
      </c>
      <c r="F1176" t="s">
        <v>678</v>
      </c>
      <c r="G1176" t="s">
        <v>1449</v>
      </c>
      <c r="H1176" t="s">
        <v>1450</v>
      </c>
      <c r="I1176">
        <v>5020000000</v>
      </c>
      <c r="J1176" s="560">
        <v>976560</v>
      </c>
      <c r="K1176" s="560">
        <f t="shared" si="37"/>
        <v>1</v>
      </c>
      <c r="L1176" s="560">
        <f t="shared" si="38"/>
        <v>1</v>
      </c>
      <c r="M1176" s="560" t="e">
        <f>SUMIFS('[1]MAIN-101'!$Z$1:$Z$3000,'[1]MAIN-101'!$X$1:$X$3000,S1176)</f>
        <v>#VALUE!</v>
      </c>
      <c r="N1176" s="560"/>
      <c r="O1176" s="560"/>
      <c r="S1176" t="str">
        <f>VLOOKUP(C1176,'Recon of ORS and DV'!$A$4:$B$358,2,FALSE)</f>
        <v>0467</v>
      </c>
    </row>
    <row r="1177" spans="1:19">
      <c r="A1177" t="s">
        <v>2285</v>
      </c>
      <c r="B1177" s="553">
        <v>44271</v>
      </c>
      <c r="C1177" t="s">
        <v>1451</v>
      </c>
      <c r="D1177" s="281">
        <v>3</v>
      </c>
      <c r="E1177" t="s">
        <v>2034</v>
      </c>
      <c r="F1177" t="s">
        <v>581</v>
      </c>
      <c r="G1177" t="s">
        <v>859</v>
      </c>
      <c r="H1177" t="s">
        <v>1452</v>
      </c>
      <c r="I1177">
        <v>5020000000</v>
      </c>
      <c r="J1177" s="560">
        <v>2000</v>
      </c>
      <c r="K1177" s="560">
        <f t="shared" si="37"/>
        <v>1</v>
      </c>
      <c r="L1177" s="560">
        <f t="shared" si="38"/>
        <v>1</v>
      </c>
      <c r="M1177" s="560" t="e">
        <f>SUMIFS('[1]MAIN-101'!$Z$1:$Z$3000,'[1]MAIN-101'!$X$1:$X$3000,S1177)</f>
        <v>#VALUE!</v>
      </c>
      <c r="N1177" s="560"/>
      <c r="O1177" s="560"/>
      <c r="S1177" t="str">
        <f>VLOOKUP(C1177,'Recon of ORS and DV'!$A$4:$B$358,2,FALSE)</f>
        <v>0458</v>
      </c>
    </row>
    <row r="1178" spans="1:19">
      <c r="A1178" t="s">
        <v>2286</v>
      </c>
      <c r="B1178" s="553">
        <v>44271</v>
      </c>
      <c r="C1178" t="s">
        <v>1453</v>
      </c>
      <c r="D1178" s="281">
        <v>14</v>
      </c>
      <c r="E1178" t="s">
        <v>1998</v>
      </c>
      <c r="F1178" t="s">
        <v>633</v>
      </c>
      <c r="G1178" t="s">
        <v>1030</v>
      </c>
      <c r="H1178" t="s">
        <v>1454</v>
      </c>
      <c r="I1178">
        <v>5021199000</v>
      </c>
      <c r="J1178" s="560">
        <v>70905.22</v>
      </c>
      <c r="K1178" s="560">
        <f t="shared" si="37"/>
        <v>1</v>
      </c>
      <c r="L1178" s="560">
        <f t="shared" si="38"/>
        <v>1</v>
      </c>
      <c r="M1178" s="560" t="e">
        <f>SUMIFS('[1]MAIN-101'!$Z$1:$Z$3000,'[1]MAIN-101'!$X$1:$X$3000,S1178)</f>
        <v>#VALUE!</v>
      </c>
      <c r="N1178" s="560"/>
      <c r="O1178" s="560"/>
      <c r="S1178" t="str">
        <f>VLOOKUP(C1178,'Recon of ORS and DV'!$A$4:$B$358,2,FALSE)</f>
        <v>0417</v>
      </c>
    </row>
    <row r="1179" spans="1:19">
      <c r="A1179" t="s">
        <v>2287</v>
      </c>
      <c r="B1179" s="553">
        <v>44271</v>
      </c>
      <c r="C1179" t="s">
        <v>1455</v>
      </c>
      <c r="D1179" s="281">
        <v>14</v>
      </c>
      <c r="E1179" t="s">
        <v>1998</v>
      </c>
      <c r="F1179" t="s">
        <v>633</v>
      </c>
      <c r="G1179" t="s">
        <v>1030</v>
      </c>
      <c r="H1179" t="s">
        <v>1456</v>
      </c>
      <c r="I1179">
        <v>5021199000</v>
      </c>
      <c r="J1179" s="560">
        <v>82098.38</v>
      </c>
      <c r="K1179" s="560">
        <f t="shared" si="37"/>
        <v>1</v>
      </c>
      <c r="L1179" s="560">
        <f t="shared" si="38"/>
        <v>1</v>
      </c>
      <c r="M1179" s="560" t="e">
        <f>SUMIFS('[1]MAIN-101'!$Z$1:$Z$3000,'[1]MAIN-101'!$X$1:$X$3000,S1179)</f>
        <v>#VALUE!</v>
      </c>
      <c r="N1179" s="560"/>
      <c r="O1179" s="560"/>
      <c r="S1179" t="str">
        <f>VLOOKUP(C1179,'Recon of ORS and DV'!$A$4:$B$358,2,FALSE)</f>
        <v>0416</v>
      </c>
    </row>
    <row r="1180" spans="1:19">
      <c r="A1180" t="s">
        <v>2288</v>
      </c>
      <c r="B1180" s="553">
        <v>44271</v>
      </c>
      <c r="C1180" t="s">
        <v>1457</v>
      </c>
      <c r="D1180" s="281">
        <v>1</v>
      </c>
      <c r="E1180" t="s">
        <v>2039</v>
      </c>
      <c r="F1180" t="s">
        <v>560</v>
      </c>
      <c r="G1180" t="s">
        <v>1344</v>
      </c>
      <c r="H1180" t="s">
        <v>1458</v>
      </c>
      <c r="I1180">
        <v>5020000000</v>
      </c>
      <c r="J1180" s="560">
        <v>9600</v>
      </c>
      <c r="K1180" s="560">
        <f t="shared" si="37"/>
        <v>1</v>
      </c>
      <c r="L1180" s="560">
        <f t="shared" si="38"/>
        <v>1</v>
      </c>
      <c r="M1180" s="560" t="e">
        <f>SUMIFS('[1]MAIN-101'!$Z$1:$Z$3000,'[1]MAIN-101'!$X$1:$X$3000,S1180)</f>
        <v>#VALUE!</v>
      </c>
      <c r="N1180" s="560"/>
      <c r="O1180" s="560"/>
      <c r="S1180" t="str">
        <f>VLOOKUP(C1180,'Recon of ORS and DV'!$A$4:$B$358,2,FALSE)</f>
        <v>0459</v>
      </c>
    </row>
    <row r="1181" spans="1:19">
      <c r="A1181" t="s">
        <v>2289</v>
      </c>
      <c r="B1181" s="553">
        <v>44271</v>
      </c>
      <c r="C1181" t="s">
        <v>1459</v>
      </c>
      <c r="D1181" s="281">
        <v>1</v>
      </c>
      <c r="E1181" t="s">
        <v>1995</v>
      </c>
      <c r="F1181" t="s">
        <v>624</v>
      </c>
      <c r="G1181" t="s">
        <v>6</v>
      </c>
      <c r="H1181" t="s">
        <v>1460</v>
      </c>
      <c r="I1181">
        <v>5020000000</v>
      </c>
      <c r="J1181" s="560">
        <v>10000</v>
      </c>
      <c r="K1181" s="560">
        <f t="shared" si="37"/>
        <v>1</v>
      </c>
      <c r="L1181" s="560">
        <f t="shared" si="38"/>
        <v>1</v>
      </c>
      <c r="M1181" s="560" t="e">
        <f>SUMIFS('[1]MAIN-101'!$Z$1:$Z$3000,'[1]MAIN-101'!$X$1:$X$3000,S1181)</f>
        <v>#VALUE!</v>
      </c>
      <c r="N1181" s="560"/>
      <c r="O1181" s="560"/>
      <c r="S1181" t="str">
        <f>VLOOKUP(C1181,'Recon of ORS and DV'!$A$4:$B$358,2,FALSE)</f>
        <v>0415</v>
      </c>
    </row>
    <row r="1182" spans="1:19">
      <c r="A1182" t="s">
        <v>2290</v>
      </c>
      <c r="B1182" s="553">
        <v>44271</v>
      </c>
      <c r="C1182" t="s">
        <v>1461</v>
      </c>
      <c r="D1182" s="281">
        <v>10</v>
      </c>
      <c r="E1182" t="s">
        <v>1998</v>
      </c>
      <c r="F1182" t="s">
        <v>633</v>
      </c>
      <c r="G1182" t="s">
        <v>1462</v>
      </c>
      <c r="H1182" t="s">
        <v>1463</v>
      </c>
      <c r="I1182">
        <v>5020000000</v>
      </c>
      <c r="J1182" s="560">
        <v>10000</v>
      </c>
      <c r="K1182" s="560">
        <f t="shared" si="37"/>
        <v>1</v>
      </c>
      <c r="L1182" s="560">
        <f t="shared" si="38"/>
        <v>1</v>
      </c>
      <c r="M1182" s="560" t="e">
        <f>SUMIFS('[1]MAIN-101'!$Z$1:$Z$3000,'[1]MAIN-101'!$X$1:$X$3000,S1182)</f>
        <v>#VALUE!</v>
      </c>
      <c r="N1182" s="560"/>
      <c r="O1182" s="560"/>
      <c r="S1182" t="str">
        <f>VLOOKUP(C1182,'Recon of ORS and DV'!$A$4:$B$358,2,FALSE)</f>
        <v>0418</v>
      </c>
    </row>
    <row r="1183" spans="1:19">
      <c r="A1183" t="s">
        <v>2291</v>
      </c>
      <c r="B1183" s="553">
        <v>44271</v>
      </c>
      <c r="C1183" t="s">
        <v>1464</v>
      </c>
      <c r="D1183" s="281">
        <v>3</v>
      </c>
      <c r="E1183" t="s">
        <v>2032</v>
      </c>
      <c r="F1183" t="s">
        <v>565</v>
      </c>
      <c r="G1183" t="s">
        <v>1245</v>
      </c>
      <c r="H1183" t="s">
        <v>1465</v>
      </c>
      <c r="I1183">
        <v>5020000000</v>
      </c>
      <c r="J1183" s="560">
        <v>6320</v>
      </c>
      <c r="K1183" s="560">
        <f t="shared" si="37"/>
        <v>1</v>
      </c>
      <c r="L1183" s="560">
        <f t="shared" si="38"/>
        <v>1</v>
      </c>
      <c r="M1183" s="560" t="e">
        <f>SUMIFS('[1]MAIN-101'!$Z$1:$Z$3000,'[1]MAIN-101'!$X$1:$X$3000,S1183)</f>
        <v>#VALUE!</v>
      </c>
      <c r="N1183" s="560"/>
      <c r="O1183" s="560"/>
      <c r="S1183" t="str">
        <f>VLOOKUP(C1183,'Recon of ORS and DV'!$A$4:$B$358,2,FALSE)</f>
        <v>0470</v>
      </c>
    </row>
    <row r="1184" spans="1:19">
      <c r="A1184" t="s">
        <v>2292</v>
      </c>
      <c r="B1184" s="553">
        <v>44271</v>
      </c>
      <c r="C1184" t="s">
        <v>1466</v>
      </c>
      <c r="D1184" s="281">
        <v>3</v>
      </c>
      <c r="E1184" t="s">
        <v>2032</v>
      </c>
      <c r="F1184" t="s">
        <v>565</v>
      </c>
      <c r="G1184" t="s">
        <v>1467</v>
      </c>
      <c r="H1184" t="s">
        <v>1465</v>
      </c>
      <c r="I1184">
        <v>5020000000</v>
      </c>
      <c r="J1184" s="560">
        <v>2800</v>
      </c>
      <c r="K1184" s="560">
        <f t="shared" si="37"/>
        <v>1</v>
      </c>
      <c r="L1184" s="560">
        <f t="shared" si="38"/>
        <v>1</v>
      </c>
      <c r="M1184" s="560" t="e">
        <f>SUMIFS('[1]MAIN-101'!$Z$1:$Z$3000,'[1]MAIN-101'!$X$1:$X$3000,S1184)</f>
        <v>#VALUE!</v>
      </c>
      <c r="N1184" s="560"/>
      <c r="O1184" s="560"/>
      <c r="S1184" t="str">
        <f>VLOOKUP(C1184,'Recon of ORS and DV'!$A$4:$B$358,2,FALSE)</f>
        <v>0471</v>
      </c>
    </row>
    <row r="1185" spans="1:19">
      <c r="A1185" t="s">
        <v>2293</v>
      </c>
      <c r="B1185" s="553">
        <v>44271</v>
      </c>
      <c r="C1185" t="s">
        <v>1468</v>
      </c>
      <c r="D1185" s="281">
        <v>1</v>
      </c>
      <c r="E1185" t="s">
        <v>2002</v>
      </c>
      <c r="F1185" t="s">
        <v>603</v>
      </c>
      <c r="G1185" t="s">
        <v>1102</v>
      </c>
      <c r="H1185" t="s">
        <v>1474</v>
      </c>
      <c r="I1185">
        <v>5020000000</v>
      </c>
      <c r="J1185" s="560">
        <v>5390.81</v>
      </c>
      <c r="K1185" s="560">
        <f t="shared" si="37"/>
        <v>1</v>
      </c>
      <c r="L1185" s="560">
        <f t="shared" si="38"/>
        <v>1</v>
      </c>
      <c r="M1185" s="560" t="e">
        <f>SUMIFS('[1]MAIN-101'!$Z$1:$Z$3000,'[1]MAIN-101'!$X$1:$X$3000,S1185)</f>
        <v>#VALUE!</v>
      </c>
      <c r="N1185" s="560"/>
      <c r="O1185" s="560"/>
      <c r="S1185" t="str">
        <f>VLOOKUP(C1185,'Recon of ORS and DV'!$A$4:$B$358,2,FALSE)</f>
        <v>0480</v>
      </c>
    </row>
    <row r="1186" spans="1:19">
      <c r="A1186" t="s">
        <v>2294</v>
      </c>
      <c r="B1186" s="553">
        <v>44271</v>
      </c>
      <c r="C1186" t="s">
        <v>1469</v>
      </c>
      <c r="D1186" s="281">
        <v>3</v>
      </c>
      <c r="E1186" t="s">
        <v>2032</v>
      </c>
      <c r="F1186" t="s">
        <v>565</v>
      </c>
      <c r="G1186" t="s">
        <v>1325</v>
      </c>
      <c r="H1186" t="s">
        <v>1475</v>
      </c>
      <c r="I1186">
        <v>5020000000</v>
      </c>
      <c r="J1186" s="560">
        <v>13600</v>
      </c>
      <c r="K1186" s="560">
        <f t="shared" si="37"/>
        <v>1</v>
      </c>
      <c r="L1186" s="560">
        <f t="shared" si="38"/>
        <v>1</v>
      </c>
      <c r="M1186" s="560" t="e">
        <f>SUMIFS('[1]MAIN-101'!$Z$1:$Z$3000,'[1]MAIN-101'!$X$1:$X$3000,S1186)</f>
        <v>#VALUE!</v>
      </c>
      <c r="N1186" s="560"/>
      <c r="O1186" s="560"/>
      <c r="S1186" t="str">
        <f>VLOOKUP(C1186,'Recon of ORS and DV'!$A$4:$B$358,2,FALSE)</f>
        <v>0486</v>
      </c>
    </row>
    <row r="1187" spans="1:19">
      <c r="B1187" s="553">
        <v>44271</v>
      </c>
      <c r="C1187" t="s">
        <v>1470</v>
      </c>
      <c r="D1187" s="281">
        <v>10</v>
      </c>
      <c r="E1187" t="s">
        <v>1998</v>
      </c>
      <c r="F1187" t="s">
        <v>633</v>
      </c>
      <c r="G1187" t="s">
        <v>1075</v>
      </c>
      <c r="H1187" t="s">
        <v>1476</v>
      </c>
      <c r="I1187">
        <v>5020000000</v>
      </c>
      <c r="J1187" s="560">
        <v>5534</v>
      </c>
      <c r="K1187" s="560">
        <f t="shared" si="37"/>
        <v>4</v>
      </c>
      <c r="L1187" s="560">
        <f t="shared" si="38"/>
        <v>4</v>
      </c>
    </row>
    <row r="1188" spans="1:19">
      <c r="B1188" s="553">
        <v>44271</v>
      </c>
      <c r="C1188" t="s">
        <v>1470</v>
      </c>
      <c r="D1188" s="281">
        <v>1</v>
      </c>
      <c r="E1188" t="s">
        <v>2004</v>
      </c>
      <c r="F1188" t="s">
        <v>629</v>
      </c>
      <c r="G1188" t="s">
        <v>1075</v>
      </c>
      <c r="H1188" t="s">
        <v>1476</v>
      </c>
      <c r="I1188">
        <v>5020000000</v>
      </c>
      <c r="J1188" s="560">
        <v>5534</v>
      </c>
      <c r="K1188" s="560">
        <f t="shared" si="37"/>
        <v>4</v>
      </c>
      <c r="L1188" s="560">
        <f t="shared" si="38"/>
        <v>3</v>
      </c>
    </row>
    <row r="1189" spans="1:19">
      <c r="B1189" s="553">
        <v>44271</v>
      </c>
      <c r="C1189" t="s">
        <v>1470</v>
      </c>
      <c r="D1189" s="281">
        <v>1</v>
      </c>
      <c r="E1189" t="s">
        <v>1998</v>
      </c>
      <c r="F1189" t="s">
        <v>633</v>
      </c>
      <c r="G1189" t="s">
        <v>1075</v>
      </c>
      <c r="H1189" t="s">
        <v>1476</v>
      </c>
      <c r="I1189">
        <v>5020000000</v>
      </c>
      <c r="J1189" s="560">
        <v>16188.91</v>
      </c>
      <c r="K1189" s="560">
        <f t="shared" si="37"/>
        <v>4</v>
      </c>
      <c r="L1189" s="560">
        <f t="shared" si="38"/>
        <v>2</v>
      </c>
    </row>
    <row r="1190" spans="1:19">
      <c r="A1190" t="s">
        <v>2295</v>
      </c>
      <c r="B1190" s="553">
        <v>44271</v>
      </c>
      <c r="C1190" t="s">
        <v>1470</v>
      </c>
      <c r="D1190" s="281">
        <v>4</v>
      </c>
      <c r="E1190" t="s">
        <v>1998</v>
      </c>
      <c r="F1190" t="s">
        <v>633</v>
      </c>
      <c r="G1190" t="s">
        <v>1075</v>
      </c>
      <c r="H1190" t="s">
        <v>1476</v>
      </c>
      <c r="I1190">
        <v>5020000000</v>
      </c>
      <c r="J1190" s="560">
        <v>13112.59</v>
      </c>
      <c r="K1190" s="560">
        <f t="shared" si="37"/>
        <v>4</v>
      </c>
      <c r="L1190" s="560">
        <f t="shared" si="38"/>
        <v>1</v>
      </c>
      <c r="M1190" s="560" t="e">
        <f>SUMIFS('[1]MAIN-101'!$Z$1:$Z$3000,'[1]MAIN-101'!$X$1:$X$3000,S1190)</f>
        <v>#VALUE!</v>
      </c>
      <c r="N1190" s="560"/>
      <c r="O1190" s="560"/>
      <c r="S1190" t="str">
        <f>VLOOKUP(C1190,'Recon of ORS and DV'!$A$4:$B$358,2,FALSE)</f>
        <v>0479</v>
      </c>
    </row>
    <row r="1191" spans="1:19">
      <c r="B1191" s="553">
        <v>44271</v>
      </c>
      <c r="C1191" t="s">
        <v>1471</v>
      </c>
      <c r="D1191" s="281">
        <v>1</v>
      </c>
      <c r="E1191" t="s">
        <v>2007</v>
      </c>
      <c r="F1191" t="s">
        <v>638</v>
      </c>
      <c r="G1191" t="s">
        <v>1075</v>
      </c>
      <c r="H1191" t="s">
        <v>1476</v>
      </c>
      <c r="I1191">
        <v>5020000000</v>
      </c>
      <c r="J1191" s="560">
        <v>9200</v>
      </c>
      <c r="K1191" s="560">
        <f t="shared" si="37"/>
        <v>2</v>
      </c>
      <c r="L1191" s="560">
        <f t="shared" si="38"/>
        <v>2</v>
      </c>
    </row>
    <row r="1192" spans="1:19">
      <c r="A1192" t="s">
        <v>2296</v>
      </c>
      <c r="B1192" s="553">
        <v>44271</v>
      </c>
      <c r="C1192" t="s">
        <v>1471</v>
      </c>
      <c r="D1192" s="281">
        <v>1</v>
      </c>
      <c r="E1192" t="s">
        <v>1997</v>
      </c>
      <c r="F1192" t="s">
        <v>642</v>
      </c>
      <c r="G1192" t="s">
        <v>1075</v>
      </c>
      <c r="H1192" t="s">
        <v>1476</v>
      </c>
      <c r="I1192">
        <v>5020000000</v>
      </c>
      <c r="J1192" s="560">
        <v>3100</v>
      </c>
      <c r="K1192" s="560">
        <f t="shared" si="37"/>
        <v>2</v>
      </c>
      <c r="L1192" s="560">
        <f t="shared" si="38"/>
        <v>1</v>
      </c>
      <c r="M1192" s="560" t="e">
        <f>SUMIFS('[1]MAIN-101'!$Z$1:$Z$3000,'[1]MAIN-101'!$X$1:$X$3000,S1192)</f>
        <v>#VALUE!</v>
      </c>
      <c r="N1192" s="560"/>
      <c r="O1192" s="560"/>
      <c r="S1192" t="str">
        <f>VLOOKUP(C1192,'Recon of ORS and DV'!$A$4:$B$358,2,FALSE)</f>
        <v>0478</v>
      </c>
    </row>
    <row r="1193" spans="1:19">
      <c r="B1193" s="553">
        <v>44271</v>
      </c>
      <c r="C1193" t="s">
        <v>1472</v>
      </c>
      <c r="D1193" s="281">
        <v>1</v>
      </c>
      <c r="E1193" t="s">
        <v>2034</v>
      </c>
      <c r="F1193" t="s">
        <v>581</v>
      </c>
      <c r="G1193" t="s">
        <v>810</v>
      </c>
      <c r="H1193" t="s">
        <v>1477</v>
      </c>
      <c r="I1193">
        <v>5020000000</v>
      </c>
      <c r="J1193" s="560">
        <v>11088.130000000001</v>
      </c>
      <c r="K1193" s="560">
        <f t="shared" si="37"/>
        <v>4</v>
      </c>
      <c r="L1193" s="560">
        <f t="shared" si="38"/>
        <v>4</v>
      </c>
    </row>
    <row r="1194" spans="1:19">
      <c r="B1194" s="553">
        <v>44271</v>
      </c>
      <c r="C1194" t="s">
        <v>1472</v>
      </c>
      <c r="D1194" s="281">
        <v>8</v>
      </c>
      <c r="E1194" t="s">
        <v>2034</v>
      </c>
      <c r="F1194" t="s">
        <v>581</v>
      </c>
      <c r="G1194" t="s">
        <v>810</v>
      </c>
      <c r="H1194" t="s">
        <v>1477</v>
      </c>
      <c r="I1194">
        <v>5020000000</v>
      </c>
      <c r="J1194" s="560">
        <v>5448.23</v>
      </c>
      <c r="K1194" s="560">
        <f t="shared" si="37"/>
        <v>4</v>
      </c>
      <c r="L1194" s="560">
        <f t="shared" si="38"/>
        <v>3</v>
      </c>
    </row>
    <row r="1195" spans="1:19">
      <c r="B1195" s="553">
        <v>44271</v>
      </c>
      <c r="C1195" t="s">
        <v>1472</v>
      </c>
      <c r="D1195" s="281">
        <v>3</v>
      </c>
      <c r="E1195" t="s">
        <v>2034</v>
      </c>
      <c r="F1195" t="s">
        <v>581</v>
      </c>
      <c r="G1195" t="s">
        <v>810</v>
      </c>
      <c r="H1195" t="s">
        <v>1477</v>
      </c>
      <c r="I1195">
        <v>5020000000</v>
      </c>
      <c r="J1195" s="560">
        <v>1373.55</v>
      </c>
      <c r="K1195" s="560">
        <f t="shared" si="37"/>
        <v>4</v>
      </c>
      <c r="L1195" s="560">
        <f t="shared" si="38"/>
        <v>2</v>
      </c>
    </row>
    <row r="1196" spans="1:19">
      <c r="A1196" t="s">
        <v>2297</v>
      </c>
      <c r="B1196" s="553">
        <v>44271</v>
      </c>
      <c r="C1196" t="s">
        <v>1472</v>
      </c>
      <c r="D1196" s="281">
        <v>5</v>
      </c>
      <c r="E1196" t="s">
        <v>2034</v>
      </c>
      <c r="F1196" t="s">
        <v>581</v>
      </c>
      <c r="G1196" t="s">
        <v>810</v>
      </c>
      <c r="H1196" t="s">
        <v>1477</v>
      </c>
      <c r="I1196">
        <v>5020000000</v>
      </c>
      <c r="J1196" s="560">
        <v>511.22</v>
      </c>
      <c r="K1196" s="560">
        <f t="shared" si="37"/>
        <v>4</v>
      </c>
      <c r="L1196" s="560">
        <f t="shared" si="38"/>
        <v>1</v>
      </c>
      <c r="M1196" s="560" t="e">
        <f>SUMIFS('[1]MAIN-101'!$Z$1:$Z$3000,'[1]MAIN-101'!$X$1:$X$3000,S1196)</f>
        <v>#VALUE!</v>
      </c>
      <c r="N1196" s="560"/>
      <c r="O1196" s="560"/>
      <c r="S1196" t="str">
        <f>VLOOKUP(C1196,'Recon of ORS and DV'!$A$4:$B$358,2,FALSE)</f>
        <v>0477</v>
      </c>
    </row>
    <row r="1197" spans="1:19">
      <c r="A1197" t="s">
        <v>2298</v>
      </c>
      <c r="B1197" s="553">
        <v>44271</v>
      </c>
      <c r="C1197" t="s">
        <v>1473</v>
      </c>
      <c r="D1197" s="281">
        <v>1</v>
      </c>
      <c r="E1197" t="s">
        <v>1996</v>
      </c>
      <c r="F1197" t="s">
        <v>676</v>
      </c>
      <c r="G1197" t="s">
        <v>1433</v>
      </c>
      <c r="H1197" t="s">
        <v>1478</v>
      </c>
      <c r="I1197">
        <v>5020000000</v>
      </c>
      <c r="J1197" s="560">
        <v>920</v>
      </c>
      <c r="K1197" s="560">
        <f t="shared" si="37"/>
        <v>1</v>
      </c>
      <c r="L1197" s="560">
        <f t="shared" si="38"/>
        <v>1</v>
      </c>
      <c r="M1197" s="560" t="e">
        <f>SUMIFS('[1]MAIN-101'!$Z$1:$Z$3000,'[1]MAIN-101'!$X$1:$X$3000,S1197)</f>
        <v>#VALUE!</v>
      </c>
      <c r="N1197" s="560"/>
      <c r="O1197" s="560"/>
      <c r="S1197" t="str">
        <f>VLOOKUP(C1197,'Recon of ORS and DV'!$A$4:$B$358,2,FALSE)</f>
        <v>0481</v>
      </c>
    </row>
    <row r="1198" spans="1:19">
      <c r="A1198" t="s">
        <v>2299</v>
      </c>
      <c r="B1198" s="553">
        <v>44271</v>
      </c>
      <c r="C1198" t="s">
        <v>1479</v>
      </c>
      <c r="D1198" s="281">
        <v>1</v>
      </c>
      <c r="E1198" t="s">
        <v>2005</v>
      </c>
      <c r="F1198" t="s">
        <v>678</v>
      </c>
      <c r="G1198" t="s">
        <v>1480</v>
      </c>
      <c r="H1198" t="s">
        <v>1481</v>
      </c>
      <c r="I1198">
        <v>5020000000</v>
      </c>
      <c r="J1198" s="560">
        <v>2486</v>
      </c>
      <c r="K1198" s="560">
        <f t="shared" si="37"/>
        <v>1</v>
      </c>
      <c r="L1198" s="560">
        <f t="shared" si="38"/>
        <v>1</v>
      </c>
      <c r="M1198" s="560" t="e">
        <f>SUMIFS('[1]MAIN-101'!$Z$1:$Z$3000,'[1]MAIN-101'!$X$1:$X$3000,S1198)</f>
        <v>#VALUE!</v>
      </c>
      <c r="N1198" s="560"/>
      <c r="O1198" s="560"/>
      <c r="S1198" t="str">
        <f>VLOOKUP(C1198,'Recon of ORS and DV'!$A$4:$B$358,2,FALSE)</f>
        <v>0472</v>
      </c>
    </row>
    <row r="1199" spans="1:19">
      <c r="A1199" t="s">
        <v>2300</v>
      </c>
      <c r="B1199" s="553">
        <v>44271</v>
      </c>
      <c r="C1199" t="s">
        <v>1482</v>
      </c>
      <c r="D1199" s="281">
        <v>4</v>
      </c>
      <c r="E1199" t="s">
        <v>2002</v>
      </c>
      <c r="F1199" t="s">
        <v>603</v>
      </c>
      <c r="G1199" t="s">
        <v>1102</v>
      </c>
      <c r="H1199" t="s">
        <v>1483</v>
      </c>
      <c r="I1199">
        <v>5020000000</v>
      </c>
      <c r="J1199" s="560">
        <v>1200</v>
      </c>
      <c r="K1199" s="560">
        <f t="shared" si="37"/>
        <v>1</v>
      </c>
      <c r="L1199" s="560">
        <f t="shared" si="38"/>
        <v>1</v>
      </c>
      <c r="M1199" s="560" t="e">
        <f>SUMIFS('[1]MAIN-101'!$Z$1:$Z$3000,'[1]MAIN-101'!$X$1:$X$3000,S1199)</f>
        <v>#VALUE!</v>
      </c>
      <c r="N1199" s="560"/>
      <c r="O1199" s="560"/>
      <c r="S1199" t="str">
        <f>VLOOKUP(C1199,'Recon of ORS and DV'!$A$4:$B$358,2,FALSE)</f>
        <v>0473</v>
      </c>
    </row>
    <row r="1200" spans="1:19">
      <c r="A1200" t="s">
        <v>2301</v>
      </c>
      <c r="B1200" s="553">
        <v>44271</v>
      </c>
      <c r="C1200" t="s">
        <v>1484</v>
      </c>
      <c r="D1200" s="281">
        <v>1</v>
      </c>
      <c r="E1200" t="s">
        <v>1997</v>
      </c>
      <c r="F1200" t="s">
        <v>642</v>
      </c>
      <c r="G1200" t="s">
        <v>1075</v>
      </c>
      <c r="H1200" t="s">
        <v>1476</v>
      </c>
      <c r="I1200">
        <v>5020000000</v>
      </c>
      <c r="J1200" s="560">
        <v>13034</v>
      </c>
      <c r="K1200" s="560">
        <f t="shared" si="37"/>
        <v>1</v>
      </c>
      <c r="L1200" s="560">
        <f t="shared" si="38"/>
        <v>1</v>
      </c>
      <c r="M1200" s="560" t="e">
        <f>SUMIFS('[1]MAIN-101'!$Z$1:$Z$3000,'[1]MAIN-101'!$X$1:$X$3000,S1200)</f>
        <v>#VALUE!</v>
      </c>
      <c r="N1200" s="560"/>
      <c r="O1200" s="560"/>
      <c r="S1200" t="str">
        <f>VLOOKUP(C1200,'Recon of ORS and DV'!$A$4:$B$358,2,FALSE)</f>
        <v>0474</v>
      </c>
    </row>
    <row r="1201" spans="1:19">
      <c r="B1201" s="553">
        <v>44271</v>
      </c>
      <c r="C1201" t="s">
        <v>1485</v>
      </c>
      <c r="D1201" s="281">
        <v>9</v>
      </c>
      <c r="E1201" t="s">
        <v>1998</v>
      </c>
      <c r="F1201" t="s">
        <v>633</v>
      </c>
      <c r="G1201" t="s">
        <v>1075</v>
      </c>
      <c r="H1201" t="s">
        <v>1476</v>
      </c>
      <c r="I1201">
        <v>5020000000</v>
      </c>
      <c r="J1201" s="560">
        <v>11158</v>
      </c>
      <c r="K1201" s="560">
        <f t="shared" si="37"/>
        <v>2</v>
      </c>
      <c r="L1201" s="560">
        <f t="shared" si="38"/>
        <v>2</v>
      </c>
    </row>
    <row r="1202" spans="1:19">
      <c r="A1202" t="s">
        <v>2302</v>
      </c>
      <c r="B1202" s="553">
        <v>44271</v>
      </c>
      <c r="C1202" t="s">
        <v>1485</v>
      </c>
      <c r="D1202" s="281">
        <v>11</v>
      </c>
      <c r="E1202" t="s">
        <v>1998</v>
      </c>
      <c r="F1202" t="s">
        <v>633</v>
      </c>
      <c r="G1202" t="s">
        <v>1075</v>
      </c>
      <c r="H1202" t="s">
        <v>1476</v>
      </c>
      <c r="I1202">
        <v>5020000000</v>
      </c>
      <c r="J1202" s="560">
        <v>10143.64</v>
      </c>
      <c r="K1202" s="560">
        <f t="shared" si="37"/>
        <v>2</v>
      </c>
      <c r="L1202" s="560">
        <f t="shared" si="38"/>
        <v>1</v>
      </c>
      <c r="M1202" s="560" t="e">
        <f>SUMIFS('[1]MAIN-101'!$Z$1:$Z$3000,'[1]MAIN-101'!$X$1:$X$3000,S1202)</f>
        <v>#VALUE!</v>
      </c>
      <c r="N1202" s="560"/>
      <c r="O1202" s="560"/>
      <c r="S1202" t="str">
        <f>VLOOKUP(C1202,'Recon of ORS and DV'!$A$4:$B$358,2,FALSE)</f>
        <v>0475</v>
      </c>
    </row>
    <row r="1203" spans="1:19">
      <c r="A1203" t="s">
        <v>2303</v>
      </c>
      <c r="B1203" s="553">
        <v>44271</v>
      </c>
      <c r="C1203" t="s">
        <v>1486</v>
      </c>
      <c r="D1203" s="281">
        <v>6</v>
      </c>
      <c r="E1203" t="s">
        <v>2002</v>
      </c>
      <c r="F1203" t="s">
        <v>603</v>
      </c>
      <c r="G1203" t="s">
        <v>1102</v>
      </c>
      <c r="H1203" t="s">
        <v>1487</v>
      </c>
      <c r="I1203">
        <v>5020000000</v>
      </c>
      <c r="J1203" s="560">
        <v>1200</v>
      </c>
      <c r="K1203" s="560">
        <f t="shared" si="37"/>
        <v>1</v>
      </c>
      <c r="L1203" s="560">
        <f t="shared" si="38"/>
        <v>1</v>
      </c>
      <c r="M1203" s="560" t="e">
        <f>SUMIFS('[1]MAIN-101'!$Z$1:$Z$3000,'[1]MAIN-101'!$X$1:$X$3000,S1203)</f>
        <v>#VALUE!</v>
      </c>
      <c r="N1203" s="560"/>
      <c r="O1203" s="560"/>
      <c r="S1203" t="str">
        <f>VLOOKUP(C1203,'Recon of ORS and DV'!$A$4:$B$358,2,FALSE)</f>
        <v>0476</v>
      </c>
    </row>
    <row r="1204" spans="1:19">
      <c r="A1204" t="s">
        <v>2304</v>
      </c>
      <c r="B1204" s="553">
        <v>44271</v>
      </c>
      <c r="C1204" t="s">
        <v>1488</v>
      </c>
      <c r="D1204" s="281">
        <v>3</v>
      </c>
      <c r="E1204" t="s">
        <v>2005</v>
      </c>
      <c r="F1204" t="s">
        <v>678</v>
      </c>
      <c r="G1204" t="s">
        <v>800</v>
      </c>
      <c r="H1204" t="s">
        <v>1489</v>
      </c>
      <c r="I1204">
        <v>5020000000</v>
      </c>
      <c r="J1204" s="560">
        <v>1500</v>
      </c>
      <c r="K1204" s="560">
        <f t="shared" si="37"/>
        <v>1</v>
      </c>
      <c r="L1204" s="560">
        <f t="shared" si="38"/>
        <v>1</v>
      </c>
      <c r="M1204" s="560" t="e">
        <f>SUMIFS('[1]MAIN-101'!$Z$1:$Z$3000,'[1]MAIN-101'!$X$1:$X$3000,S1204)</f>
        <v>#VALUE!</v>
      </c>
      <c r="N1204" s="560"/>
      <c r="O1204" s="560"/>
      <c r="S1204" t="str">
        <f>VLOOKUP(C1204,'Recon of ORS and DV'!$A$4:$B$358,2,FALSE)</f>
        <v>0487</v>
      </c>
    </row>
    <row r="1205" spans="1:19">
      <c r="A1205" t="s">
        <v>2305</v>
      </c>
      <c r="B1205" s="553">
        <v>44271</v>
      </c>
      <c r="C1205" t="s">
        <v>1490</v>
      </c>
      <c r="D1205" s="281">
        <v>1</v>
      </c>
      <c r="E1205" t="s">
        <v>2005</v>
      </c>
      <c r="F1205" t="s">
        <v>678</v>
      </c>
      <c r="G1205" t="s">
        <v>798</v>
      </c>
      <c r="H1205" t="s">
        <v>1491</v>
      </c>
      <c r="I1205">
        <v>5020000000</v>
      </c>
      <c r="J1205" s="560">
        <v>350</v>
      </c>
      <c r="K1205" s="560">
        <f t="shared" si="37"/>
        <v>1</v>
      </c>
      <c r="L1205" s="560">
        <f t="shared" si="38"/>
        <v>1</v>
      </c>
      <c r="M1205" s="560" t="e">
        <f>SUMIFS('[1]MAIN-101'!$Z$1:$Z$3000,'[1]MAIN-101'!$X$1:$X$3000,S1205)</f>
        <v>#VALUE!</v>
      </c>
      <c r="N1205" s="560"/>
      <c r="O1205" s="560"/>
      <c r="S1205" t="str">
        <f>VLOOKUP(C1205,'Recon of ORS and DV'!$A$4:$B$358,2,FALSE)</f>
        <v>0488</v>
      </c>
    </row>
    <row r="1206" spans="1:19">
      <c r="A1206" t="s">
        <v>2306</v>
      </c>
      <c r="B1206" s="553">
        <v>44271</v>
      </c>
      <c r="C1206" t="s">
        <v>1492</v>
      </c>
      <c r="D1206" s="281">
        <v>1</v>
      </c>
      <c r="E1206" t="s">
        <v>2005</v>
      </c>
      <c r="F1206" t="s">
        <v>678</v>
      </c>
      <c r="G1206" t="s">
        <v>1433</v>
      </c>
      <c r="H1206" t="s">
        <v>1493</v>
      </c>
      <c r="I1206">
        <v>5020000000</v>
      </c>
      <c r="J1206" s="560">
        <v>3800</v>
      </c>
      <c r="K1206" s="560">
        <f t="shared" si="37"/>
        <v>1</v>
      </c>
      <c r="L1206" s="560">
        <f t="shared" si="38"/>
        <v>1</v>
      </c>
      <c r="M1206" s="560" t="e">
        <f>SUMIFS('[1]MAIN-101'!$Z$1:$Z$3000,'[1]MAIN-101'!$X$1:$X$3000,S1206)</f>
        <v>#VALUE!</v>
      </c>
      <c r="N1206" s="560"/>
      <c r="O1206" s="560"/>
      <c r="S1206" t="str">
        <f>VLOOKUP(C1206,'Recon of ORS and DV'!$A$4:$B$358,2,FALSE)</f>
        <v>0570</v>
      </c>
    </row>
    <row r="1207" spans="1:19">
      <c r="A1207" t="s">
        <v>2307</v>
      </c>
      <c r="B1207" s="553">
        <v>44271</v>
      </c>
      <c r="C1207" t="s">
        <v>1494</v>
      </c>
      <c r="D1207" s="281">
        <v>1</v>
      </c>
      <c r="E1207" t="s">
        <v>2005</v>
      </c>
      <c r="F1207" t="s">
        <v>678</v>
      </c>
      <c r="G1207" t="s">
        <v>1108</v>
      </c>
      <c r="H1207" t="s">
        <v>1495</v>
      </c>
      <c r="I1207">
        <v>5020000000</v>
      </c>
      <c r="J1207" s="560">
        <v>31800</v>
      </c>
      <c r="K1207" s="560">
        <f t="shared" si="37"/>
        <v>1</v>
      </c>
      <c r="L1207" s="560">
        <f t="shared" si="38"/>
        <v>1</v>
      </c>
      <c r="M1207" s="560" t="e">
        <f>SUMIFS('[1]MAIN-101'!$Z$1:$Z$3000,'[1]MAIN-101'!$X$1:$X$3000,S1207)</f>
        <v>#VALUE!</v>
      </c>
      <c r="N1207" s="560"/>
      <c r="O1207" s="560"/>
      <c r="S1207" t="str">
        <f>VLOOKUP(C1207,'Recon of ORS and DV'!$A$4:$B$358,2,FALSE)</f>
        <v>0489</v>
      </c>
    </row>
    <row r="1208" spans="1:19">
      <c r="A1208" t="s">
        <v>2308</v>
      </c>
      <c r="B1208" s="553">
        <v>44271</v>
      </c>
      <c r="C1208" t="s">
        <v>1496</v>
      </c>
      <c r="D1208" s="281">
        <v>1</v>
      </c>
      <c r="E1208" t="s">
        <v>1996</v>
      </c>
      <c r="F1208" t="s">
        <v>676</v>
      </c>
      <c r="G1208" t="s">
        <v>1433</v>
      </c>
      <c r="H1208" t="s">
        <v>1497</v>
      </c>
      <c r="I1208">
        <v>5020000000</v>
      </c>
      <c r="J1208" s="560">
        <v>480</v>
      </c>
      <c r="K1208" s="560">
        <f t="shared" si="37"/>
        <v>1</v>
      </c>
      <c r="L1208" s="560">
        <f t="shared" si="38"/>
        <v>1</v>
      </c>
      <c r="M1208" s="560" t="e">
        <f>SUMIFS('[1]MAIN-101'!$Z$1:$Z$3000,'[1]MAIN-101'!$X$1:$X$3000,S1208)</f>
        <v>#VALUE!</v>
      </c>
      <c r="N1208" s="560"/>
      <c r="O1208" s="560"/>
      <c r="S1208" t="str">
        <f>VLOOKUP(C1208,'Recon of ORS and DV'!$A$4:$B$358,2,FALSE)</f>
        <v>0490</v>
      </c>
    </row>
    <row r="1209" spans="1:19">
      <c r="A1209" t="s">
        <v>2309</v>
      </c>
      <c r="B1209" s="553">
        <v>44271</v>
      </c>
      <c r="C1209" t="s">
        <v>1498</v>
      </c>
      <c r="D1209" s="281">
        <v>13</v>
      </c>
      <c r="E1209" t="s">
        <v>2042</v>
      </c>
      <c r="F1209" t="s">
        <v>508</v>
      </c>
      <c r="G1209" t="s">
        <v>1499</v>
      </c>
      <c r="H1209" t="s">
        <v>1500</v>
      </c>
      <c r="I1209" t="s">
        <v>2036</v>
      </c>
      <c r="J1209" s="560">
        <v>48000</v>
      </c>
      <c r="K1209" s="560">
        <f t="shared" si="37"/>
        <v>1</v>
      </c>
      <c r="L1209" s="560">
        <f t="shared" si="38"/>
        <v>1</v>
      </c>
      <c r="M1209" s="560" t="e">
        <f>SUMIFS('[1]MAIN-101'!$Z$1:$Z$3000,'[1]MAIN-101'!$X$1:$X$3000,S1209)</f>
        <v>#VALUE!</v>
      </c>
      <c r="N1209" s="560"/>
      <c r="O1209" s="560"/>
      <c r="S1209" t="str">
        <f>VLOOKUP(C1209,'Recon of ORS and DV'!$A$4:$B$358,2,FALSE)</f>
        <v>0491</v>
      </c>
    </row>
    <row r="1210" spans="1:19">
      <c r="A1210" t="s">
        <v>2310</v>
      </c>
      <c r="B1210" s="553">
        <v>44271</v>
      </c>
      <c r="C1210" t="s">
        <v>1501</v>
      </c>
      <c r="D1210" s="281">
        <v>14</v>
      </c>
      <c r="E1210" t="s">
        <v>1998</v>
      </c>
      <c r="F1210" t="s">
        <v>633</v>
      </c>
      <c r="G1210" t="s">
        <v>1030</v>
      </c>
      <c r="H1210" t="s">
        <v>1502</v>
      </c>
      <c r="I1210">
        <v>5021199000</v>
      </c>
      <c r="J1210" s="560">
        <v>45808.9</v>
      </c>
      <c r="K1210" s="560">
        <f t="shared" si="37"/>
        <v>1</v>
      </c>
      <c r="L1210" s="560">
        <f t="shared" si="38"/>
        <v>1</v>
      </c>
      <c r="M1210" s="560" t="e">
        <f>SUMIFS('[1]MAIN-101'!$Z$1:$Z$3000,'[1]MAIN-101'!$X$1:$X$3000,S1210)</f>
        <v>#VALUE!</v>
      </c>
      <c r="N1210" s="560"/>
      <c r="O1210" s="560"/>
      <c r="S1210" t="str">
        <f>VLOOKUP(C1210,'Recon of ORS and DV'!$A$4:$B$358,2,FALSE)</f>
        <v>0500</v>
      </c>
    </row>
    <row r="1211" spans="1:19">
      <c r="A1211" t="s">
        <v>2311</v>
      </c>
      <c r="B1211" s="553">
        <v>44271</v>
      </c>
      <c r="C1211" t="s">
        <v>1503</v>
      </c>
      <c r="D1211" s="281">
        <v>14</v>
      </c>
      <c r="E1211" t="s">
        <v>1998</v>
      </c>
      <c r="F1211" t="s">
        <v>633</v>
      </c>
      <c r="G1211" t="s">
        <v>1030</v>
      </c>
      <c r="H1211" t="s">
        <v>1504</v>
      </c>
      <c r="I1211">
        <v>5021199000</v>
      </c>
      <c r="J1211" s="560">
        <v>41497.269999999997</v>
      </c>
      <c r="K1211" s="560">
        <f t="shared" si="37"/>
        <v>1</v>
      </c>
      <c r="L1211" s="560">
        <f t="shared" si="38"/>
        <v>1</v>
      </c>
      <c r="M1211" s="560" t="e">
        <f>SUMIFS('[1]MAIN-101'!$Z$1:$Z$3000,'[1]MAIN-101'!$X$1:$X$3000,S1211)</f>
        <v>#VALUE!</v>
      </c>
      <c r="N1211" s="560"/>
      <c r="O1211" s="560"/>
      <c r="S1211" t="str">
        <f>VLOOKUP(C1211,'Recon of ORS and DV'!$A$4:$B$358,2,FALSE)</f>
        <v>0499</v>
      </c>
    </row>
    <row r="1212" spans="1:19">
      <c r="A1212" t="s">
        <v>2312</v>
      </c>
      <c r="B1212" s="553">
        <v>44279</v>
      </c>
      <c r="C1212" t="s">
        <v>1505</v>
      </c>
      <c r="D1212" s="281">
        <v>8</v>
      </c>
      <c r="E1212" t="s">
        <v>2006</v>
      </c>
      <c r="F1212" t="s">
        <v>651</v>
      </c>
      <c r="G1212" t="s">
        <v>1506</v>
      </c>
      <c r="H1212" t="s">
        <v>1507</v>
      </c>
      <c r="I1212">
        <v>5060000000</v>
      </c>
      <c r="J1212" s="560">
        <v>76000</v>
      </c>
      <c r="K1212" s="560">
        <f t="shared" si="37"/>
        <v>1</v>
      </c>
      <c r="L1212" s="560">
        <f t="shared" si="38"/>
        <v>1</v>
      </c>
      <c r="M1212" s="560" t="e">
        <f>SUMIFS('[1]MAIN-101'!$Z$1:$Z$3000,'[1]MAIN-101'!$X$1:$X$3000,S1212)</f>
        <v>#VALUE!</v>
      </c>
      <c r="N1212" s="560"/>
      <c r="O1212" s="560"/>
      <c r="S1212" t="str">
        <f>VLOOKUP(C1212,'Recon of ORS and DV'!$A$4:$B$358,2,FALSE)</f>
        <v>0534</v>
      </c>
    </row>
    <row r="1213" spans="1:19">
      <c r="A1213" t="s">
        <v>2313</v>
      </c>
      <c r="B1213" s="553">
        <v>44279</v>
      </c>
      <c r="C1213" t="s">
        <v>1508</v>
      </c>
      <c r="D1213" s="281">
        <v>1</v>
      </c>
      <c r="E1213" t="s">
        <v>2032</v>
      </c>
      <c r="F1213" t="s">
        <v>565</v>
      </c>
      <c r="G1213" t="s">
        <v>859</v>
      </c>
      <c r="H1213" t="s">
        <v>1509</v>
      </c>
      <c r="I1213">
        <v>5020000000</v>
      </c>
      <c r="J1213" s="560">
        <v>2130</v>
      </c>
      <c r="K1213" s="560">
        <f t="shared" si="37"/>
        <v>1</v>
      </c>
      <c r="L1213" s="560">
        <f t="shared" si="38"/>
        <v>1</v>
      </c>
      <c r="M1213" s="560" t="e">
        <f>SUMIFS('[1]MAIN-101'!$Z$1:$Z$3000,'[1]MAIN-101'!$X$1:$X$3000,S1213)</f>
        <v>#VALUE!</v>
      </c>
      <c r="N1213" s="560"/>
      <c r="O1213" s="560"/>
      <c r="S1213" t="str">
        <f>VLOOKUP(C1213,'Recon of ORS and DV'!$A$4:$B$358,2,FALSE)</f>
        <v>0535</v>
      </c>
    </row>
    <row r="1214" spans="1:19">
      <c r="A1214" t="s">
        <v>2314</v>
      </c>
      <c r="B1214" s="553">
        <v>44279</v>
      </c>
      <c r="C1214" t="s">
        <v>1510</v>
      </c>
      <c r="D1214" s="281">
        <v>1</v>
      </c>
      <c r="E1214" t="s">
        <v>2001</v>
      </c>
      <c r="F1214" t="s">
        <v>669</v>
      </c>
      <c r="G1214" t="s">
        <v>1511</v>
      </c>
      <c r="H1214" t="s">
        <v>1512</v>
      </c>
      <c r="I1214">
        <v>5020000000</v>
      </c>
      <c r="J1214" s="560">
        <v>5175</v>
      </c>
      <c r="K1214" s="560">
        <f t="shared" si="37"/>
        <v>1</v>
      </c>
      <c r="L1214" s="560">
        <f t="shared" si="38"/>
        <v>1</v>
      </c>
      <c r="M1214" s="560" t="e">
        <f>SUMIFS('[1]MAIN-101'!$Z$1:$Z$3000,'[1]MAIN-101'!$X$1:$X$3000,S1214)</f>
        <v>#VALUE!</v>
      </c>
      <c r="N1214" s="560"/>
      <c r="O1214" s="560"/>
      <c r="S1214" t="str">
        <f>VLOOKUP(C1214,'Recon of ORS and DV'!$A$4:$B$358,2,FALSE)</f>
        <v>0536</v>
      </c>
    </row>
    <row r="1215" spans="1:19">
      <c r="B1215" s="553">
        <v>44279</v>
      </c>
      <c r="C1215" t="s">
        <v>1513</v>
      </c>
      <c r="D1215" s="281">
        <v>5</v>
      </c>
      <c r="E1215" t="s">
        <v>2032</v>
      </c>
      <c r="F1215" t="s">
        <v>565</v>
      </c>
      <c r="G1215" t="s">
        <v>799</v>
      </c>
      <c r="H1215" t="s">
        <v>1515</v>
      </c>
      <c r="I1215">
        <v>5020000000</v>
      </c>
      <c r="J1215" s="560">
        <v>1200</v>
      </c>
      <c r="K1215" s="560">
        <f t="shared" si="37"/>
        <v>2</v>
      </c>
      <c r="L1215" s="560">
        <f t="shared" si="38"/>
        <v>2</v>
      </c>
    </row>
    <row r="1216" spans="1:19">
      <c r="A1216" t="s">
        <v>2315</v>
      </c>
      <c r="B1216" s="553">
        <v>44279</v>
      </c>
      <c r="C1216" t="s">
        <v>1513</v>
      </c>
      <c r="D1216" s="281">
        <v>5</v>
      </c>
      <c r="E1216" t="s">
        <v>2005</v>
      </c>
      <c r="F1216" t="s">
        <v>678</v>
      </c>
      <c r="G1216" t="s">
        <v>799</v>
      </c>
      <c r="H1216" t="s">
        <v>1515</v>
      </c>
      <c r="I1216">
        <v>5020000000</v>
      </c>
      <c r="J1216" s="560">
        <v>3000</v>
      </c>
      <c r="K1216" s="560">
        <f t="shared" si="37"/>
        <v>2</v>
      </c>
      <c r="L1216" s="560">
        <f t="shared" si="38"/>
        <v>1</v>
      </c>
      <c r="M1216" s="560" t="e">
        <f>SUMIFS('[1]MAIN-101'!$Z$1:$Z$3000,'[1]MAIN-101'!$X$1:$X$3000,S1216)</f>
        <v>#VALUE!</v>
      </c>
      <c r="N1216" s="560"/>
      <c r="O1216" s="560"/>
      <c r="S1216" t="str">
        <f>VLOOKUP(C1216,'Recon of ORS and DV'!$A$4:$B$358,2,FALSE)</f>
        <v>0537</v>
      </c>
    </row>
    <row r="1217" spans="1:19">
      <c r="A1217" t="s">
        <v>2316</v>
      </c>
      <c r="B1217" s="553">
        <v>44279</v>
      </c>
      <c r="C1217" t="s">
        <v>1516</v>
      </c>
      <c r="D1217" s="281">
        <v>4</v>
      </c>
      <c r="E1217" t="s">
        <v>2002</v>
      </c>
      <c r="F1217" t="s">
        <v>603</v>
      </c>
      <c r="G1217" t="s">
        <v>1245</v>
      </c>
      <c r="H1217" t="s">
        <v>1517</v>
      </c>
      <c r="I1217">
        <v>5020000000</v>
      </c>
      <c r="J1217" s="560">
        <v>2688</v>
      </c>
      <c r="K1217" s="560">
        <f t="shared" si="37"/>
        <v>1</v>
      </c>
      <c r="L1217" s="560">
        <f t="shared" si="38"/>
        <v>1</v>
      </c>
      <c r="M1217" s="560" t="e">
        <f>SUMIFS('[1]MAIN-101'!$Z$1:$Z$3000,'[1]MAIN-101'!$X$1:$X$3000,S1217)</f>
        <v>#VALUE!</v>
      </c>
      <c r="N1217" s="560"/>
      <c r="O1217" s="560"/>
      <c r="S1217" t="str">
        <f>VLOOKUP(C1217,'Recon of ORS and DV'!$A$4:$B$358,2,FALSE)</f>
        <v>0538</v>
      </c>
    </row>
    <row r="1218" spans="1:19">
      <c r="A1218" t="s">
        <v>2317</v>
      </c>
      <c r="B1218" s="553">
        <v>44279</v>
      </c>
      <c r="C1218" t="s">
        <v>1518</v>
      </c>
      <c r="D1218" s="281">
        <v>3</v>
      </c>
      <c r="E1218" t="s">
        <v>2032</v>
      </c>
      <c r="F1218" t="s">
        <v>565</v>
      </c>
      <c r="G1218" t="s">
        <v>1354</v>
      </c>
      <c r="H1218" t="s">
        <v>1519</v>
      </c>
      <c r="I1218">
        <v>5020000000</v>
      </c>
      <c r="J1218" s="560">
        <v>2500</v>
      </c>
      <c r="K1218" s="560">
        <f t="shared" si="37"/>
        <v>1</v>
      </c>
      <c r="L1218" s="560">
        <f t="shared" si="38"/>
        <v>1</v>
      </c>
      <c r="M1218" s="560" t="e">
        <f>SUMIFS('[1]MAIN-101'!$Z$1:$Z$3000,'[1]MAIN-101'!$X$1:$X$3000,S1218)</f>
        <v>#VALUE!</v>
      </c>
      <c r="N1218" s="560"/>
      <c r="O1218" s="560"/>
      <c r="S1218" t="str">
        <f>VLOOKUP(C1218,'Recon of ORS and DV'!$A$4:$B$358,2,FALSE)</f>
        <v>0539</v>
      </c>
    </row>
    <row r="1219" spans="1:19">
      <c r="A1219" t="s">
        <v>2318</v>
      </c>
      <c r="B1219" s="553">
        <v>44279</v>
      </c>
      <c r="C1219" t="s">
        <v>1520</v>
      </c>
      <c r="D1219" s="281">
        <v>6</v>
      </c>
      <c r="E1219" t="s">
        <v>1996</v>
      </c>
      <c r="F1219" t="s">
        <v>676</v>
      </c>
      <c r="G1219" t="s">
        <v>1433</v>
      </c>
      <c r="H1219" t="s">
        <v>1521</v>
      </c>
      <c r="I1219">
        <v>5020000000</v>
      </c>
      <c r="J1219" s="560">
        <v>640</v>
      </c>
      <c r="K1219" s="560">
        <f t="shared" si="37"/>
        <v>1</v>
      </c>
      <c r="L1219" s="560">
        <f t="shared" si="38"/>
        <v>1</v>
      </c>
      <c r="M1219" s="560" t="e">
        <f>SUMIFS('[1]MAIN-101'!$Z$1:$Z$3000,'[1]MAIN-101'!$X$1:$X$3000,S1219)</f>
        <v>#VALUE!</v>
      </c>
      <c r="N1219" s="560"/>
      <c r="O1219" s="560"/>
      <c r="S1219" t="str">
        <f>VLOOKUP(C1219,'Recon of ORS and DV'!$A$4:$B$358,2,FALSE)</f>
        <v>0540</v>
      </c>
    </row>
    <row r="1220" spans="1:19">
      <c r="B1220" s="553">
        <v>44279</v>
      </c>
      <c r="C1220" t="s">
        <v>1522</v>
      </c>
      <c r="D1220" s="281">
        <v>1</v>
      </c>
      <c r="E1220" t="s">
        <v>2016</v>
      </c>
      <c r="F1220" t="s">
        <v>319</v>
      </c>
      <c r="G1220" t="s">
        <v>1523</v>
      </c>
      <c r="H1220" t="s">
        <v>1524</v>
      </c>
      <c r="I1220">
        <v>5020000000</v>
      </c>
      <c r="J1220" s="560">
        <v>11180</v>
      </c>
      <c r="K1220" s="560">
        <f t="shared" ref="K1220:K1283" si="39">COUNTIFS($C$3:$C$1556,C1220)</f>
        <v>2</v>
      </c>
      <c r="L1220" s="560">
        <f t="shared" si="38"/>
        <v>2</v>
      </c>
    </row>
    <row r="1221" spans="1:19">
      <c r="A1221" t="s">
        <v>2319</v>
      </c>
      <c r="B1221" s="553">
        <v>44279</v>
      </c>
      <c r="C1221" t="s">
        <v>1522</v>
      </c>
      <c r="D1221" s="281">
        <v>3</v>
      </c>
      <c r="E1221" t="s">
        <v>2016</v>
      </c>
      <c r="F1221" t="s">
        <v>319</v>
      </c>
      <c r="G1221" t="s">
        <v>1523</v>
      </c>
      <c r="H1221" t="s">
        <v>1524</v>
      </c>
      <c r="I1221">
        <v>5020000000</v>
      </c>
      <c r="J1221" s="560">
        <v>22000</v>
      </c>
      <c r="K1221" s="560">
        <f t="shared" si="39"/>
        <v>2</v>
      </c>
      <c r="L1221" s="560">
        <f t="shared" si="38"/>
        <v>1</v>
      </c>
      <c r="M1221" s="560" t="e">
        <f>SUMIFS('[1]MAIN-101'!$Z$1:$Z$3000,'[1]MAIN-101'!$X$1:$X$3000,S1221)</f>
        <v>#VALUE!</v>
      </c>
      <c r="N1221" s="560"/>
      <c r="O1221" s="560"/>
      <c r="S1221" t="str">
        <f>VLOOKUP(C1221,'Recon of ORS and DV'!$A$4:$B$358,2,FALSE)</f>
        <v>0541</v>
      </c>
    </row>
    <row r="1222" spans="1:19">
      <c r="B1222" s="553">
        <v>44279</v>
      </c>
      <c r="C1222" t="s">
        <v>1525</v>
      </c>
      <c r="D1222" s="281">
        <v>1</v>
      </c>
      <c r="E1222" t="s">
        <v>2032</v>
      </c>
      <c r="F1222" t="s">
        <v>565</v>
      </c>
      <c r="G1222" t="s">
        <v>773</v>
      </c>
      <c r="H1222" t="s">
        <v>1526</v>
      </c>
      <c r="I1222">
        <v>5020000000</v>
      </c>
      <c r="J1222" s="560">
        <v>750.85</v>
      </c>
      <c r="K1222" s="560">
        <f t="shared" si="39"/>
        <v>5</v>
      </c>
      <c r="L1222" s="560">
        <f t="shared" si="38"/>
        <v>5</v>
      </c>
    </row>
    <row r="1223" spans="1:19">
      <c r="B1223" s="553">
        <v>44279</v>
      </c>
      <c r="C1223" t="s">
        <v>1525</v>
      </c>
      <c r="D1223" s="281">
        <v>1</v>
      </c>
      <c r="E1223" t="s">
        <v>2009</v>
      </c>
      <c r="F1223" t="s">
        <v>680</v>
      </c>
      <c r="G1223" t="s">
        <v>773</v>
      </c>
      <c r="H1223" t="s">
        <v>1526</v>
      </c>
      <c r="I1223">
        <v>5020000000</v>
      </c>
      <c r="J1223" s="560">
        <v>450</v>
      </c>
      <c r="K1223" s="560">
        <f t="shared" si="39"/>
        <v>5</v>
      </c>
      <c r="L1223" s="560">
        <f t="shared" si="38"/>
        <v>4</v>
      </c>
    </row>
    <row r="1224" spans="1:19">
      <c r="B1224" s="553">
        <v>44279</v>
      </c>
      <c r="C1224" t="s">
        <v>1525</v>
      </c>
      <c r="D1224" s="281">
        <v>1</v>
      </c>
      <c r="E1224" t="s">
        <v>1996</v>
      </c>
      <c r="F1224" t="s">
        <v>676</v>
      </c>
      <c r="G1224" t="s">
        <v>773</v>
      </c>
      <c r="H1224" t="s">
        <v>1526</v>
      </c>
      <c r="I1224">
        <v>5020000000</v>
      </c>
      <c r="J1224" s="560">
        <v>205</v>
      </c>
      <c r="K1224" s="560">
        <f t="shared" si="39"/>
        <v>5</v>
      </c>
      <c r="L1224" s="560">
        <f t="shared" si="38"/>
        <v>3</v>
      </c>
    </row>
    <row r="1225" spans="1:19">
      <c r="B1225" s="553">
        <v>44279</v>
      </c>
      <c r="C1225" t="s">
        <v>1525</v>
      </c>
      <c r="D1225" s="281">
        <v>1</v>
      </c>
      <c r="E1225" t="s">
        <v>1997</v>
      </c>
      <c r="F1225" t="s">
        <v>642</v>
      </c>
      <c r="G1225" t="s">
        <v>773</v>
      </c>
      <c r="H1225" t="s">
        <v>1526</v>
      </c>
      <c r="I1225">
        <v>5020000000</v>
      </c>
      <c r="J1225" s="560">
        <v>2550</v>
      </c>
      <c r="K1225" s="560">
        <f t="shared" si="39"/>
        <v>5</v>
      </c>
      <c r="L1225" s="560">
        <f t="shared" si="38"/>
        <v>2</v>
      </c>
    </row>
    <row r="1226" spans="1:19">
      <c r="A1226" t="s">
        <v>2320</v>
      </c>
      <c r="B1226" s="553">
        <v>44279</v>
      </c>
      <c r="C1226" t="s">
        <v>1525</v>
      </c>
      <c r="D1226" s="281">
        <v>1</v>
      </c>
      <c r="E1226" t="s">
        <v>1998</v>
      </c>
      <c r="F1226" t="s">
        <v>633</v>
      </c>
      <c r="G1226" t="s">
        <v>773</v>
      </c>
      <c r="H1226" t="s">
        <v>1526</v>
      </c>
      <c r="I1226">
        <v>5020000000</v>
      </c>
      <c r="J1226" s="560">
        <v>400</v>
      </c>
      <c r="K1226" s="560">
        <f t="shared" si="39"/>
        <v>5</v>
      </c>
      <c r="L1226" s="560">
        <f t="shared" si="38"/>
        <v>1</v>
      </c>
      <c r="M1226" s="560" t="e">
        <f>SUMIFS('[1]MAIN-101'!$Z$1:$Z$3000,'[1]MAIN-101'!$X$1:$X$3000,S1226)</f>
        <v>#VALUE!</v>
      </c>
      <c r="N1226" s="560"/>
      <c r="O1226" s="560"/>
      <c r="S1226" t="str">
        <f>VLOOKUP(C1226,'Recon of ORS and DV'!$A$4:$B$358,2,FALSE)</f>
        <v>0520</v>
      </c>
    </row>
    <row r="1227" spans="1:19">
      <c r="B1227" s="553">
        <v>44279</v>
      </c>
      <c r="C1227" t="s">
        <v>1527</v>
      </c>
      <c r="D1227" s="281">
        <v>1</v>
      </c>
      <c r="E1227" t="s">
        <v>2038</v>
      </c>
      <c r="F1227" t="s">
        <v>567</v>
      </c>
      <c r="G1227" t="s">
        <v>818</v>
      </c>
      <c r="H1227" t="s">
        <v>1532</v>
      </c>
      <c r="I1227">
        <v>5020000000</v>
      </c>
      <c r="J1227" s="560">
        <v>2490</v>
      </c>
      <c r="K1227" s="560">
        <f t="shared" si="39"/>
        <v>26</v>
      </c>
      <c r="L1227" s="560">
        <f t="shared" si="38"/>
        <v>26</v>
      </c>
    </row>
    <row r="1228" spans="1:19">
      <c r="B1228" s="553">
        <v>44279</v>
      </c>
      <c r="C1228" t="s">
        <v>1527</v>
      </c>
      <c r="D1228" s="281">
        <v>1</v>
      </c>
      <c r="E1228" t="s">
        <v>2039</v>
      </c>
      <c r="F1228" t="s">
        <v>560</v>
      </c>
      <c r="G1228" t="s">
        <v>818</v>
      </c>
      <c r="H1228" t="s">
        <v>1532</v>
      </c>
      <c r="I1228">
        <v>5020000000</v>
      </c>
      <c r="J1228" s="560">
        <v>16185</v>
      </c>
      <c r="K1228" s="560">
        <f t="shared" si="39"/>
        <v>26</v>
      </c>
      <c r="L1228" s="560">
        <f t="shared" si="38"/>
        <v>25</v>
      </c>
    </row>
    <row r="1229" spans="1:19">
      <c r="B1229" s="553">
        <v>44279</v>
      </c>
      <c r="C1229" t="s">
        <v>1527</v>
      </c>
      <c r="D1229" s="281">
        <v>1</v>
      </c>
      <c r="E1229" t="s">
        <v>2034</v>
      </c>
      <c r="F1229" t="s">
        <v>581</v>
      </c>
      <c r="G1229" t="s">
        <v>818</v>
      </c>
      <c r="H1229" t="s">
        <v>1532</v>
      </c>
      <c r="I1229">
        <v>5020000000</v>
      </c>
      <c r="J1229" s="560">
        <v>12764.99</v>
      </c>
      <c r="K1229" s="560">
        <f t="shared" si="39"/>
        <v>26</v>
      </c>
      <c r="L1229" s="560">
        <f t="shared" si="38"/>
        <v>24</v>
      </c>
    </row>
    <row r="1230" spans="1:19">
      <c r="B1230" s="553">
        <v>44279</v>
      </c>
      <c r="C1230" t="s">
        <v>1527</v>
      </c>
      <c r="D1230" s="281">
        <v>1</v>
      </c>
      <c r="E1230" t="s">
        <v>2035</v>
      </c>
      <c r="F1230" t="s">
        <v>596</v>
      </c>
      <c r="G1230" t="s">
        <v>818</v>
      </c>
      <c r="H1230" t="s">
        <v>1532</v>
      </c>
      <c r="I1230">
        <v>5020000000</v>
      </c>
      <c r="J1230" s="560">
        <v>7096.5</v>
      </c>
      <c r="K1230" s="560">
        <f t="shared" si="39"/>
        <v>26</v>
      </c>
      <c r="L1230" s="560">
        <f t="shared" si="38"/>
        <v>23</v>
      </c>
    </row>
    <row r="1231" spans="1:19">
      <c r="B1231" s="553">
        <v>44279</v>
      </c>
      <c r="C1231" t="s">
        <v>1527</v>
      </c>
      <c r="D1231" s="281">
        <v>1</v>
      </c>
      <c r="E1231" t="s">
        <v>2040</v>
      </c>
      <c r="F1231" t="s">
        <v>598</v>
      </c>
      <c r="G1231" t="s">
        <v>818</v>
      </c>
      <c r="H1231" t="s">
        <v>1532</v>
      </c>
      <c r="I1231">
        <v>5020000000</v>
      </c>
      <c r="J1231" s="560">
        <v>64117.5</v>
      </c>
      <c r="K1231" s="560">
        <f t="shared" si="39"/>
        <v>26</v>
      </c>
      <c r="L1231" s="560">
        <f t="shared" ref="L1231:L1294" si="40">COUNTIFS(C1231:C2784,C1231)</f>
        <v>22</v>
      </c>
    </row>
    <row r="1232" spans="1:19">
      <c r="B1232" s="553">
        <v>44279</v>
      </c>
      <c r="C1232" t="s">
        <v>1527</v>
      </c>
      <c r="D1232" s="281">
        <v>1</v>
      </c>
      <c r="E1232" t="s">
        <v>2041</v>
      </c>
      <c r="F1232" t="s">
        <v>601</v>
      </c>
      <c r="G1232" t="s">
        <v>818</v>
      </c>
      <c r="H1232" t="s">
        <v>1532</v>
      </c>
      <c r="I1232">
        <v>5020000000</v>
      </c>
      <c r="J1232" s="560">
        <v>3112.5</v>
      </c>
      <c r="K1232" s="560">
        <f t="shared" si="39"/>
        <v>26</v>
      </c>
      <c r="L1232" s="560">
        <f t="shared" si="40"/>
        <v>21</v>
      </c>
    </row>
    <row r="1233" spans="2:12">
      <c r="B1233" s="553">
        <v>44279</v>
      </c>
      <c r="C1233" t="s">
        <v>1527</v>
      </c>
      <c r="D1233" s="281">
        <v>1</v>
      </c>
      <c r="E1233" t="s">
        <v>2011</v>
      </c>
      <c r="F1233" t="s">
        <v>605</v>
      </c>
      <c r="G1233" t="s">
        <v>818</v>
      </c>
      <c r="H1233" t="s">
        <v>1532</v>
      </c>
      <c r="I1233">
        <v>5020000000</v>
      </c>
      <c r="J1233" s="560">
        <v>1143.4100000000001</v>
      </c>
      <c r="K1233" s="560">
        <f t="shared" si="39"/>
        <v>26</v>
      </c>
      <c r="L1233" s="560">
        <f t="shared" si="40"/>
        <v>20</v>
      </c>
    </row>
    <row r="1234" spans="2:12">
      <c r="B1234" s="553">
        <v>44279</v>
      </c>
      <c r="C1234" t="s">
        <v>1527</v>
      </c>
      <c r="D1234" s="281">
        <v>1</v>
      </c>
      <c r="E1234" t="s">
        <v>2002</v>
      </c>
      <c r="F1234" t="s">
        <v>603</v>
      </c>
      <c r="G1234" t="s">
        <v>818</v>
      </c>
      <c r="H1234" t="s">
        <v>1532</v>
      </c>
      <c r="I1234">
        <v>5020000000</v>
      </c>
      <c r="J1234" s="560">
        <v>10458</v>
      </c>
      <c r="K1234" s="560">
        <f t="shared" si="39"/>
        <v>26</v>
      </c>
      <c r="L1234" s="560">
        <f t="shared" si="40"/>
        <v>19</v>
      </c>
    </row>
    <row r="1235" spans="2:12">
      <c r="B1235" s="553">
        <v>44279</v>
      </c>
      <c r="C1235" t="s">
        <v>1527</v>
      </c>
      <c r="D1235" s="281">
        <v>1</v>
      </c>
      <c r="E1235" t="s">
        <v>2003</v>
      </c>
      <c r="F1235" t="s">
        <v>609</v>
      </c>
      <c r="G1235" t="s">
        <v>818</v>
      </c>
      <c r="H1235" t="s">
        <v>1532</v>
      </c>
      <c r="I1235">
        <v>5020000000</v>
      </c>
      <c r="J1235" s="560">
        <v>809.25</v>
      </c>
      <c r="K1235" s="560">
        <f t="shared" si="39"/>
        <v>26</v>
      </c>
      <c r="L1235" s="560">
        <f t="shared" si="40"/>
        <v>18</v>
      </c>
    </row>
    <row r="1236" spans="2:12">
      <c r="B1236" s="553">
        <v>44279</v>
      </c>
      <c r="C1236" t="s">
        <v>1527</v>
      </c>
      <c r="D1236" s="281">
        <v>1</v>
      </c>
      <c r="E1236" t="s">
        <v>2012</v>
      </c>
      <c r="F1236" t="s">
        <v>627</v>
      </c>
      <c r="G1236" t="s">
        <v>818</v>
      </c>
      <c r="H1236" t="s">
        <v>1532</v>
      </c>
      <c r="I1236">
        <v>5020000000</v>
      </c>
      <c r="J1236" s="560">
        <v>747</v>
      </c>
      <c r="K1236" s="560">
        <f t="shared" si="39"/>
        <v>26</v>
      </c>
      <c r="L1236" s="560">
        <f t="shared" si="40"/>
        <v>17</v>
      </c>
    </row>
    <row r="1237" spans="2:12">
      <c r="B1237" s="553">
        <v>44279</v>
      </c>
      <c r="C1237" t="s">
        <v>1527</v>
      </c>
      <c r="D1237" s="281">
        <v>1</v>
      </c>
      <c r="E1237" t="s">
        <v>1997</v>
      </c>
      <c r="F1237" t="s">
        <v>642</v>
      </c>
      <c r="G1237" t="s">
        <v>818</v>
      </c>
      <c r="H1237" t="s">
        <v>1532</v>
      </c>
      <c r="I1237">
        <v>5020000000</v>
      </c>
      <c r="J1237" s="560">
        <v>254248.09000000003</v>
      </c>
      <c r="K1237" s="560">
        <f t="shared" si="39"/>
        <v>26</v>
      </c>
      <c r="L1237" s="560">
        <f t="shared" si="40"/>
        <v>16</v>
      </c>
    </row>
    <row r="1238" spans="2:12">
      <c r="B1238" s="553">
        <v>44279</v>
      </c>
      <c r="C1238" t="s">
        <v>1527</v>
      </c>
      <c r="D1238" s="281">
        <v>4</v>
      </c>
      <c r="E1238" t="s">
        <v>2013</v>
      </c>
      <c r="F1238" t="s">
        <v>311</v>
      </c>
      <c r="G1238" t="s">
        <v>818</v>
      </c>
      <c r="H1238" t="s">
        <v>1532</v>
      </c>
      <c r="I1238">
        <v>5020000000</v>
      </c>
      <c r="J1238" s="560">
        <v>4150</v>
      </c>
      <c r="K1238" s="560">
        <f t="shared" si="39"/>
        <v>26</v>
      </c>
      <c r="L1238" s="560">
        <f t="shared" si="40"/>
        <v>15</v>
      </c>
    </row>
    <row r="1239" spans="2:12">
      <c r="B1239" s="553">
        <v>44279</v>
      </c>
      <c r="C1239" t="s">
        <v>1527</v>
      </c>
      <c r="D1239" s="281">
        <v>3</v>
      </c>
      <c r="E1239" t="s">
        <v>2014</v>
      </c>
      <c r="F1239" t="s">
        <v>651</v>
      </c>
      <c r="G1239" t="s">
        <v>818</v>
      </c>
      <c r="H1239" t="s">
        <v>1532</v>
      </c>
      <c r="I1239">
        <v>5020000000</v>
      </c>
      <c r="J1239" s="560">
        <v>4150</v>
      </c>
      <c r="K1239" s="560">
        <f t="shared" si="39"/>
        <v>26</v>
      </c>
      <c r="L1239" s="560">
        <f t="shared" si="40"/>
        <v>14</v>
      </c>
    </row>
    <row r="1240" spans="2:12">
      <c r="B1240" s="553">
        <v>44279</v>
      </c>
      <c r="C1240" t="s">
        <v>1527</v>
      </c>
      <c r="D1240" s="281">
        <v>3</v>
      </c>
      <c r="E1240" t="s">
        <v>2015</v>
      </c>
      <c r="F1240" t="s">
        <v>662</v>
      </c>
      <c r="G1240" t="s">
        <v>818</v>
      </c>
      <c r="H1240" t="s">
        <v>1532</v>
      </c>
      <c r="I1240">
        <v>5020000000</v>
      </c>
      <c r="J1240" s="560">
        <v>2075</v>
      </c>
      <c r="K1240" s="560">
        <f t="shared" si="39"/>
        <v>26</v>
      </c>
      <c r="L1240" s="560">
        <f t="shared" si="40"/>
        <v>13</v>
      </c>
    </row>
    <row r="1241" spans="2:12">
      <c r="B1241" s="553">
        <v>44279</v>
      </c>
      <c r="C1241" t="s">
        <v>1527</v>
      </c>
      <c r="D1241" s="281">
        <v>1</v>
      </c>
      <c r="E1241" t="s">
        <v>2016</v>
      </c>
      <c r="F1241" t="s">
        <v>319</v>
      </c>
      <c r="G1241" t="s">
        <v>818</v>
      </c>
      <c r="H1241" t="s">
        <v>1532</v>
      </c>
      <c r="I1241">
        <v>5020000000</v>
      </c>
      <c r="J1241" s="560">
        <v>20750</v>
      </c>
      <c r="K1241" s="560">
        <f t="shared" si="39"/>
        <v>26</v>
      </c>
      <c r="L1241" s="560">
        <f t="shared" si="40"/>
        <v>12</v>
      </c>
    </row>
    <row r="1242" spans="2:12">
      <c r="B1242" s="553">
        <v>44279</v>
      </c>
      <c r="C1242" t="s">
        <v>1527</v>
      </c>
      <c r="D1242" s="281">
        <v>1</v>
      </c>
      <c r="E1242" t="s">
        <v>2017</v>
      </c>
      <c r="F1242" t="s">
        <v>665</v>
      </c>
      <c r="G1242" t="s">
        <v>818</v>
      </c>
      <c r="H1242" t="s">
        <v>1532</v>
      </c>
      <c r="I1242">
        <v>5020000000</v>
      </c>
      <c r="J1242" s="560">
        <v>1037.5</v>
      </c>
      <c r="K1242" s="560">
        <f t="shared" si="39"/>
        <v>26</v>
      </c>
      <c r="L1242" s="560">
        <f t="shared" si="40"/>
        <v>11</v>
      </c>
    </row>
    <row r="1243" spans="2:12">
      <c r="B1243" s="553">
        <v>44279</v>
      </c>
      <c r="C1243" t="s">
        <v>1527</v>
      </c>
      <c r="D1243" s="281">
        <v>1</v>
      </c>
      <c r="E1243" t="s">
        <v>2001</v>
      </c>
      <c r="F1243" t="s">
        <v>669</v>
      </c>
      <c r="G1243" t="s">
        <v>818</v>
      </c>
      <c r="H1243" t="s">
        <v>1532</v>
      </c>
      <c r="I1243">
        <v>5020000000</v>
      </c>
      <c r="J1243" s="560">
        <v>2864.28</v>
      </c>
      <c r="K1243" s="560">
        <f t="shared" si="39"/>
        <v>26</v>
      </c>
      <c r="L1243" s="560">
        <f t="shared" si="40"/>
        <v>10</v>
      </c>
    </row>
    <row r="1244" spans="2:12">
      <c r="B1244" s="553">
        <v>44279</v>
      </c>
      <c r="C1244" t="s">
        <v>1527</v>
      </c>
      <c r="D1244" s="281">
        <v>1</v>
      </c>
      <c r="E1244" t="s">
        <v>2018</v>
      </c>
      <c r="F1244" t="s">
        <v>671</v>
      </c>
      <c r="G1244" t="s">
        <v>818</v>
      </c>
      <c r="H1244" t="s">
        <v>1532</v>
      </c>
      <c r="I1244">
        <v>5020000000</v>
      </c>
      <c r="J1244" s="560">
        <v>7215.47</v>
      </c>
      <c r="K1244" s="560">
        <f t="shared" si="39"/>
        <v>26</v>
      </c>
      <c r="L1244" s="560">
        <f t="shared" si="40"/>
        <v>9</v>
      </c>
    </row>
    <row r="1245" spans="2:12">
      <c r="B1245" s="553">
        <v>44279</v>
      </c>
      <c r="C1245" t="s">
        <v>1527</v>
      </c>
      <c r="D1245" s="281">
        <v>1</v>
      </c>
      <c r="E1245" t="s">
        <v>2000</v>
      </c>
      <c r="F1245" t="s">
        <v>683</v>
      </c>
      <c r="G1245" t="s">
        <v>818</v>
      </c>
      <c r="H1245" t="s">
        <v>1532</v>
      </c>
      <c r="I1245">
        <v>5020000000</v>
      </c>
      <c r="J1245" s="560">
        <v>331287.87</v>
      </c>
      <c r="K1245" s="560">
        <f t="shared" si="39"/>
        <v>26</v>
      </c>
      <c r="L1245" s="560">
        <f t="shared" si="40"/>
        <v>8</v>
      </c>
    </row>
    <row r="1246" spans="2:12">
      <c r="B1246" s="553">
        <v>44279</v>
      </c>
      <c r="C1246" t="s">
        <v>1527</v>
      </c>
      <c r="D1246" s="281">
        <v>1</v>
      </c>
      <c r="E1246" t="s">
        <v>2010</v>
      </c>
      <c r="F1246" t="s">
        <v>693</v>
      </c>
      <c r="G1246" t="s">
        <v>818</v>
      </c>
      <c r="H1246" t="s">
        <v>1532</v>
      </c>
      <c r="I1246">
        <v>5020000000</v>
      </c>
      <c r="J1246" s="560">
        <v>2282.5</v>
      </c>
      <c r="K1246" s="560">
        <f t="shared" si="39"/>
        <v>26</v>
      </c>
      <c r="L1246" s="560">
        <f t="shared" si="40"/>
        <v>7</v>
      </c>
    </row>
    <row r="1247" spans="2:12">
      <c r="B1247" s="553">
        <v>44279</v>
      </c>
      <c r="C1247" t="s">
        <v>1527</v>
      </c>
      <c r="D1247" s="281">
        <v>1</v>
      </c>
      <c r="E1247" t="s">
        <v>2037</v>
      </c>
      <c r="F1247" t="s">
        <v>555</v>
      </c>
      <c r="G1247" t="s">
        <v>818</v>
      </c>
      <c r="H1247" t="s">
        <v>1532</v>
      </c>
      <c r="I1247">
        <v>5020000000</v>
      </c>
      <c r="J1247" s="560">
        <v>2075</v>
      </c>
      <c r="K1247" s="560">
        <f t="shared" si="39"/>
        <v>26</v>
      </c>
      <c r="L1247" s="560">
        <f t="shared" si="40"/>
        <v>6</v>
      </c>
    </row>
    <row r="1248" spans="2:12">
      <c r="B1248" s="553">
        <v>44279</v>
      </c>
      <c r="C1248" t="s">
        <v>1527</v>
      </c>
      <c r="D1248" s="281">
        <v>1</v>
      </c>
      <c r="E1248" t="s">
        <v>2032</v>
      </c>
      <c r="F1248" t="s">
        <v>565</v>
      </c>
      <c r="G1248" t="s">
        <v>818</v>
      </c>
      <c r="H1248" t="s">
        <v>1532</v>
      </c>
      <c r="I1248">
        <v>5020000000</v>
      </c>
      <c r="J1248" s="560">
        <v>10375</v>
      </c>
      <c r="K1248" s="560">
        <f t="shared" si="39"/>
        <v>26</v>
      </c>
      <c r="L1248" s="560">
        <f t="shared" si="40"/>
        <v>5</v>
      </c>
    </row>
    <row r="1249" spans="1:19">
      <c r="B1249" s="553">
        <v>44279</v>
      </c>
      <c r="C1249" t="s">
        <v>1527</v>
      </c>
      <c r="D1249" s="281">
        <v>1</v>
      </c>
      <c r="E1249" t="s">
        <v>1996</v>
      </c>
      <c r="F1249" t="s">
        <v>676</v>
      </c>
      <c r="G1249" t="s">
        <v>818</v>
      </c>
      <c r="H1249" t="s">
        <v>1532</v>
      </c>
      <c r="I1249">
        <v>5020000000</v>
      </c>
      <c r="J1249" s="560">
        <v>7470</v>
      </c>
      <c r="K1249" s="560">
        <f t="shared" si="39"/>
        <v>26</v>
      </c>
      <c r="L1249" s="560">
        <f t="shared" si="40"/>
        <v>4</v>
      </c>
    </row>
    <row r="1250" spans="1:19">
      <c r="B1250" s="553">
        <v>44279</v>
      </c>
      <c r="C1250" t="s">
        <v>1527</v>
      </c>
      <c r="D1250" s="281">
        <v>1</v>
      </c>
      <c r="E1250" t="s">
        <v>2005</v>
      </c>
      <c r="F1250" t="s">
        <v>678</v>
      </c>
      <c r="G1250" t="s">
        <v>818</v>
      </c>
      <c r="H1250" t="s">
        <v>1532</v>
      </c>
      <c r="I1250">
        <v>5020000000</v>
      </c>
      <c r="J1250" s="560">
        <v>5312</v>
      </c>
      <c r="K1250" s="560">
        <f t="shared" si="39"/>
        <v>26</v>
      </c>
      <c r="L1250" s="560">
        <f t="shared" si="40"/>
        <v>3</v>
      </c>
    </row>
    <row r="1251" spans="1:19">
      <c r="B1251" s="553">
        <v>44279</v>
      </c>
      <c r="C1251" t="s">
        <v>1527</v>
      </c>
      <c r="D1251" s="281">
        <v>3</v>
      </c>
      <c r="E1251" t="s">
        <v>2009</v>
      </c>
      <c r="F1251" t="s">
        <v>680</v>
      </c>
      <c r="G1251" t="s">
        <v>818</v>
      </c>
      <c r="H1251" t="s">
        <v>1532</v>
      </c>
      <c r="I1251">
        <v>5020000000</v>
      </c>
      <c r="J1251" s="560">
        <v>4980</v>
      </c>
      <c r="K1251" s="560">
        <f t="shared" si="39"/>
        <v>26</v>
      </c>
      <c r="L1251" s="560">
        <f t="shared" si="40"/>
        <v>2</v>
      </c>
    </row>
    <row r="1252" spans="1:19">
      <c r="A1252" t="s">
        <v>2321</v>
      </c>
      <c r="B1252" s="553">
        <v>44279</v>
      </c>
      <c r="C1252" t="s">
        <v>1527</v>
      </c>
      <c r="D1252" s="281">
        <v>1</v>
      </c>
      <c r="E1252" t="s">
        <v>1999</v>
      </c>
      <c r="F1252" t="s">
        <v>672</v>
      </c>
      <c r="G1252" t="s">
        <v>818</v>
      </c>
      <c r="H1252" t="s">
        <v>1532</v>
      </c>
      <c r="I1252">
        <v>5020000000</v>
      </c>
      <c r="J1252" s="560">
        <v>12948</v>
      </c>
      <c r="K1252" s="560">
        <f t="shared" si="39"/>
        <v>26</v>
      </c>
      <c r="L1252" s="560">
        <f t="shared" si="40"/>
        <v>1</v>
      </c>
      <c r="M1252" s="560" t="e">
        <f>SUMIFS('[1]MAIN-101'!$Z$1:$Z$3000,'[1]MAIN-101'!$X$1:$X$3000,S1252)</f>
        <v>#VALUE!</v>
      </c>
      <c r="N1252" s="560"/>
      <c r="O1252" s="560"/>
      <c r="S1252" t="str">
        <f>VLOOKUP(C1252,'Recon of ORS and DV'!$A$4:$B$358,2,FALSE)</f>
        <v>0512</v>
      </c>
    </row>
    <row r="1253" spans="1:19">
      <c r="B1253" s="553">
        <v>44279</v>
      </c>
      <c r="C1253" t="s">
        <v>1528</v>
      </c>
      <c r="D1253" s="281">
        <v>1</v>
      </c>
      <c r="E1253" t="s">
        <v>2038</v>
      </c>
      <c r="F1253" t="s">
        <v>567</v>
      </c>
      <c r="G1253" t="s">
        <v>820</v>
      </c>
      <c r="H1253" t="s">
        <v>1532</v>
      </c>
      <c r="I1253">
        <v>5020000000</v>
      </c>
      <c r="J1253" s="560">
        <v>2490</v>
      </c>
      <c r="K1253" s="560">
        <f t="shared" si="39"/>
        <v>25</v>
      </c>
      <c r="L1253" s="560">
        <f t="shared" si="40"/>
        <v>25</v>
      </c>
    </row>
    <row r="1254" spans="1:19">
      <c r="B1254" s="553">
        <v>44279</v>
      </c>
      <c r="C1254" t="s">
        <v>1528</v>
      </c>
      <c r="D1254" s="281">
        <v>1</v>
      </c>
      <c r="E1254" t="s">
        <v>2039</v>
      </c>
      <c r="F1254" t="s">
        <v>560</v>
      </c>
      <c r="G1254" t="s">
        <v>820</v>
      </c>
      <c r="H1254" t="s">
        <v>1532</v>
      </c>
      <c r="I1254">
        <v>5020000000</v>
      </c>
      <c r="J1254" s="560">
        <v>14940</v>
      </c>
      <c r="K1254" s="560">
        <f t="shared" si="39"/>
        <v>25</v>
      </c>
      <c r="L1254" s="560">
        <f t="shared" si="40"/>
        <v>24</v>
      </c>
    </row>
    <row r="1255" spans="1:19">
      <c r="B1255" s="553">
        <v>44279</v>
      </c>
      <c r="C1255" t="s">
        <v>1528</v>
      </c>
      <c r="D1255" s="281">
        <v>1</v>
      </c>
      <c r="E1255" t="s">
        <v>2034</v>
      </c>
      <c r="F1255" t="s">
        <v>581</v>
      </c>
      <c r="G1255" t="s">
        <v>820</v>
      </c>
      <c r="H1255" t="s">
        <v>1532</v>
      </c>
      <c r="I1255">
        <v>5020000000</v>
      </c>
      <c r="J1255" s="560">
        <v>16600</v>
      </c>
      <c r="K1255" s="560">
        <f t="shared" si="39"/>
        <v>25</v>
      </c>
      <c r="L1255" s="560">
        <f t="shared" si="40"/>
        <v>23</v>
      </c>
    </row>
    <row r="1256" spans="1:19">
      <c r="B1256" s="553">
        <v>44279</v>
      </c>
      <c r="C1256" t="s">
        <v>1528</v>
      </c>
      <c r="D1256" s="281">
        <v>1</v>
      </c>
      <c r="E1256" t="s">
        <v>2035</v>
      </c>
      <c r="F1256" t="s">
        <v>596</v>
      </c>
      <c r="G1256" t="s">
        <v>820</v>
      </c>
      <c r="H1256" t="s">
        <v>1532</v>
      </c>
      <c r="I1256">
        <v>5020000000</v>
      </c>
      <c r="J1256" s="560">
        <v>3237</v>
      </c>
      <c r="K1256" s="560">
        <f t="shared" si="39"/>
        <v>25</v>
      </c>
      <c r="L1256" s="560">
        <f t="shared" si="40"/>
        <v>22</v>
      </c>
    </row>
    <row r="1257" spans="1:19">
      <c r="B1257" s="553">
        <v>44279</v>
      </c>
      <c r="C1257" t="s">
        <v>1528</v>
      </c>
      <c r="D1257" s="281">
        <v>1</v>
      </c>
      <c r="E1257" t="s">
        <v>2040</v>
      </c>
      <c r="F1257" t="s">
        <v>598</v>
      </c>
      <c r="G1257" t="s">
        <v>820</v>
      </c>
      <c r="H1257" t="s">
        <v>1532</v>
      </c>
      <c r="I1257">
        <v>5020000000</v>
      </c>
      <c r="J1257" s="560">
        <v>57270</v>
      </c>
      <c r="K1257" s="560">
        <f t="shared" si="39"/>
        <v>25</v>
      </c>
      <c r="L1257" s="560">
        <f t="shared" si="40"/>
        <v>21</v>
      </c>
    </row>
    <row r="1258" spans="1:19">
      <c r="B1258" s="553">
        <v>44279</v>
      </c>
      <c r="C1258" t="s">
        <v>1528</v>
      </c>
      <c r="D1258" s="281">
        <v>1</v>
      </c>
      <c r="E1258" t="s">
        <v>2041</v>
      </c>
      <c r="F1258" t="s">
        <v>601</v>
      </c>
      <c r="G1258" t="s">
        <v>820</v>
      </c>
      <c r="H1258" t="s">
        <v>1532</v>
      </c>
      <c r="I1258">
        <v>5020000000</v>
      </c>
      <c r="J1258" s="560">
        <v>6225</v>
      </c>
      <c r="K1258" s="560">
        <f t="shared" si="39"/>
        <v>25</v>
      </c>
      <c r="L1258" s="560">
        <f t="shared" si="40"/>
        <v>20</v>
      </c>
    </row>
    <row r="1259" spans="1:19">
      <c r="B1259" s="553">
        <v>44279</v>
      </c>
      <c r="C1259" t="s">
        <v>1528</v>
      </c>
      <c r="D1259" s="281">
        <v>1</v>
      </c>
      <c r="E1259" t="s">
        <v>2002</v>
      </c>
      <c r="F1259" t="s">
        <v>603</v>
      </c>
      <c r="G1259" t="s">
        <v>820</v>
      </c>
      <c r="H1259" t="s">
        <v>1532</v>
      </c>
      <c r="I1259">
        <v>5020000000</v>
      </c>
      <c r="J1259" s="560">
        <v>4482</v>
      </c>
      <c r="K1259" s="560">
        <f t="shared" si="39"/>
        <v>25</v>
      </c>
      <c r="L1259" s="560">
        <f t="shared" si="40"/>
        <v>19</v>
      </c>
    </row>
    <row r="1260" spans="1:19">
      <c r="B1260" s="553">
        <v>44279</v>
      </c>
      <c r="C1260" t="s">
        <v>1528</v>
      </c>
      <c r="D1260" s="281">
        <v>1</v>
      </c>
      <c r="E1260" t="s">
        <v>2003</v>
      </c>
      <c r="F1260" t="s">
        <v>609</v>
      </c>
      <c r="G1260" t="s">
        <v>820</v>
      </c>
      <c r="H1260" t="s">
        <v>1532</v>
      </c>
      <c r="I1260">
        <v>5020000000</v>
      </c>
      <c r="J1260" s="560">
        <v>1245</v>
      </c>
      <c r="K1260" s="560">
        <f t="shared" si="39"/>
        <v>25</v>
      </c>
      <c r="L1260" s="560">
        <f t="shared" si="40"/>
        <v>18</v>
      </c>
    </row>
    <row r="1261" spans="1:19">
      <c r="B1261" s="553">
        <v>44279</v>
      </c>
      <c r="C1261" t="s">
        <v>1528</v>
      </c>
      <c r="D1261" s="281">
        <v>1</v>
      </c>
      <c r="E1261" t="s">
        <v>2012</v>
      </c>
      <c r="F1261" t="s">
        <v>627</v>
      </c>
      <c r="G1261" t="s">
        <v>820</v>
      </c>
      <c r="H1261" t="s">
        <v>1532</v>
      </c>
      <c r="I1261">
        <v>5020000000</v>
      </c>
      <c r="J1261" s="560">
        <v>747</v>
      </c>
      <c r="K1261" s="560">
        <f t="shared" si="39"/>
        <v>25</v>
      </c>
      <c r="L1261" s="560">
        <f t="shared" si="40"/>
        <v>17</v>
      </c>
    </row>
    <row r="1262" spans="1:19">
      <c r="B1262" s="553">
        <v>44279</v>
      </c>
      <c r="C1262" t="s">
        <v>1528</v>
      </c>
      <c r="D1262" s="281">
        <v>1</v>
      </c>
      <c r="E1262" t="s">
        <v>2007</v>
      </c>
      <c r="F1262" t="s">
        <v>638</v>
      </c>
      <c r="G1262" t="s">
        <v>820</v>
      </c>
      <c r="H1262" t="s">
        <v>1532</v>
      </c>
      <c r="I1262">
        <v>5020000000</v>
      </c>
      <c r="J1262" s="560">
        <v>20770.75</v>
      </c>
      <c r="K1262" s="560">
        <f t="shared" si="39"/>
        <v>25</v>
      </c>
      <c r="L1262" s="560">
        <f t="shared" si="40"/>
        <v>16</v>
      </c>
    </row>
    <row r="1263" spans="1:19">
      <c r="B1263" s="553">
        <v>44279</v>
      </c>
      <c r="C1263" t="s">
        <v>1528</v>
      </c>
      <c r="D1263" s="281">
        <v>1</v>
      </c>
      <c r="E1263" t="s">
        <v>1997</v>
      </c>
      <c r="F1263" t="s">
        <v>642</v>
      </c>
      <c r="G1263" t="s">
        <v>820</v>
      </c>
      <c r="H1263" t="s">
        <v>1532</v>
      </c>
      <c r="I1263">
        <v>5020000000</v>
      </c>
      <c r="J1263" s="560">
        <v>100174.36</v>
      </c>
      <c r="K1263" s="560">
        <f t="shared" si="39"/>
        <v>25</v>
      </c>
      <c r="L1263" s="560">
        <f t="shared" si="40"/>
        <v>15</v>
      </c>
    </row>
    <row r="1264" spans="1:19">
      <c r="B1264" s="553">
        <v>44279</v>
      </c>
      <c r="C1264" t="s">
        <v>1528</v>
      </c>
      <c r="D1264" s="281">
        <v>3</v>
      </c>
      <c r="E1264" t="s">
        <v>2019</v>
      </c>
      <c r="F1264" t="s">
        <v>646</v>
      </c>
      <c r="G1264" t="s">
        <v>820</v>
      </c>
      <c r="H1264" t="s">
        <v>1532</v>
      </c>
      <c r="I1264">
        <v>5020000000</v>
      </c>
      <c r="J1264" s="560">
        <v>59711.86</v>
      </c>
      <c r="K1264" s="560">
        <f t="shared" si="39"/>
        <v>25</v>
      </c>
      <c r="L1264" s="560">
        <f t="shared" si="40"/>
        <v>14</v>
      </c>
    </row>
    <row r="1265" spans="1:19">
      <c r="B1265" s="553">
        <v>44279</v>
      </c>
      <c r="C1265" t="s">
        <v>1528</v>
      </c>
      <c r="D1265" s="281">
        <v>4</v>
      </c>
      <c r="E1265" t="s">
        <v>2013</v>
      </c>
      <c r="F1265" t="s">
        <v>311</v>
      </c>
      <c r="G1265" t="s">
        <v>820</v>
      </c>
      <c r="H1265" t="s">
        <v>1532</v>
      </c>
      <c r="I1265">
        <v>5020000000</v>
      </c>
      <c r="J1265" s="560">
        <v>4150</v>
      </c>
      <c r="K1265" s="560">
        <f t="shared" si="39"/>
        <v>25</v>
      </c>
      <c r="L1265" s="560">
        <f t="shared" si="40"/>
        <v>13</v>
      </c>
    </row>
    <row r="1266" spans="1:19">
      <c r="B1266" s="553">
        <v>44279</v>
      </c>
      <c r="C1266" t="s">
        <v>1528</v>
      </c>
      <c r="D1266" s="281">
        <v>3</v>
      </c>
      <c r="E1266" t="s">
        <v>2014</v>
      </c>
      <c r="F1266" t="s">
        <v>651</v>
      </c>
      <c r="G1266" t="s">
        <v>820</v>
      </c>
      <c r="H1266" t="s">
        <v>1532</v>
      </c>
      <c r="I1266">
        <v>5020000000</v>
      </c>
      <c r="J1266" s="560">
        <v>4150</v>
      </c>
      <c r="K1266" s="560">
        <f t="shared" si="39"/>
        <v>25</v>
      </c>
      <c r="L1266" s="560">
        <f t="shared" si="40"/>
        <v>12</v>
      </c>
    </row>
    <row r="1267" spans="1:19">
      <c r="B1267" s="553">
        <v>44279</v>
      </c>
      <c r="C1267" t="s">
        <v>1528</v>
      </c>
      <c r="D1267" s="281">
        <v>3</v>
      </c>
      <c r="E1267" t="s">
        <v>2015</v>
      </c>
      <c r="F1267" t="s">
        <v>662</v>
      </c>
      <c r="G1267" t="s">
        <v>820</v>
      </c>
      <c r="H1267" t="s">
        <v>1532</v>
      </c>
      <c r="I1267">
        <v>5020000000</v>
      </c>
      <c r="J1267" s="560">
        <v>2075</v>
      </c>
      <c r="K1267" s="560">
        <f t="shared" si="39"/>
        <v>25</v>
      </c>
      <c r="L1267" s="560">
        <f t="shared" si="40"/>
        <v>11</v>
      </c>
    </row>
    <row r="1268" spans="1:19">
      <c r="B1268" s="553">
        <v>44279</v>
      </c>
      <c r="C1268" t="s">
        <v>1528</v>
      </c>
      <c r="D1268" s="281">
        <v>1</v>
      </c>
      <c r="E1268" t="s">
        <v>2016</v>
      </c>
      <c r="F1268" t="s">
        <v>319</v>
      </c>
      <c r="G1268" t="s">
        <v>820</v>
      </c>
      <c r="H1268" t="s">
        <v>1532</v>
      </c>
      <c r="I1268">
        <v>5020000000</v>
      </c>
      <c r="J1268" s="560">
        <v>20750</v>
      </c>
      <c r="K1268" s="560">
        <f t="shared" si="39"/>
        <v>25</v>
      </c>
      <c r="L1268" s="560">
        <f t="shared" si="40"/>
        <v>10</v>
      </c>
    </row>
    <row r="1269" spans="1:19">
      <c r="B1269" s="553">
        <v>44279</v>
      </c>
      <c r="C1269" t="s">
        <v>1528</v>
      </c>
      <c r="D1269" s="281">
        <v>1</v>
      </c>
      <c r="E1269" t="s">
        <v>2017</v>
      </c>
      <c r="F1269" t="s">
        <v>665</v>
      </c>
      <c r="G1269" t="s">
        <v>820</v>
      </c>
      <c r="H1269" t="s">
        <v>1532</v>
      </c>
      <c r="I1269">
        <v>5020000000</v>
      </c>
      <c r="J1269" s="560">
        <v>1037.5</v>
      </c>
      <c r="K1269" s="560">
        <f t="shared" si="39"/>
        <v>25</v>
      </c>
      <c r="L1269" s="560">
        <f t="shared" si="40"/>
        <v>9</v>
      </c>
    </row>
    <row r="1270" spans="1:19">
      <c r="B1270" s="553">
        <v>44279</v>
      </c>
      <c r="C1270" t="s">
        <v>1528</v>
      </c>
      <c r="D1270" s="281">
        <v>1</v>
      </c>
      <c r="E1270" t="s">
        <v>2001</v>
      </c>
      <c r="F1270" t="s">
        <v>669</v>
      </c>
      <c r="G1270" t="s">
        <v>820</v>
      </c>
      <c r="H1270" t="s">
        <v>1532</v>
      </c>
      <c r="I1270">
        <v>5020000000</v>
      </c>
      <c r="J1270" s="560">
        <v>2697.5</v>
      </c>
      <c r="K1270" s="560">
        <f t="shared" si="39"/>
        <v>25</v>
      </c>
      <c r="L1270" s="560">
        <f t="shared" si="40"/>
        <v>8</v>
      </c>
    </row>
    <row r="1271" spans="1:19">
      <c r="B1271" s="553">
        <v>44279</v>
      </c>
      <c r="C1271" t="s">
        <v>1528</v>
      </c>
      <c r="D1271" s="281">
        <v>1</v>
      </c>
      <c r="E1271" t="s">
        <v>2018</v>
      </c>
      <c r="F1271" t="s">
        <v>671</v>
      </c>
      <c r="G1271" t="s">
        <v>820</v>
      </c>
      <c r="H1271" t="s">
        <v>1532</v>
      </c>
      <c r="I1271">
        <v>5020000000</v>
      </c>
      <c r="J1271" s="560">
        <v>5414.73</v>
      </c>
      <c r="K1271" s="560">
        <f t="shared" si="39"/>
        <v>25</v>
      </c>
      <c r="L1271" s="560">
        <f t="shared" si="40"/>
        <v>7</v>
      </c>
    </row>
    <row r="1272" spans="1:19">
      <c r="B1272" s="553">
        <v>44279</v>
      </c>
      <c r="C1272" t="s">
        <v>1528</v>
      </c>
      <c r="D1272" s="281">
        <v>1</v>
      </c>
      <c r="E1272" t="s">
        <v>2037</v>
      </c>
      <c r="F1272" t="s">
        <v>555</v>
      </c>
      <c r="G1272" t="s">
        <v>820</v>
      </c>
      <c r="H1272" t="s">
        <v>1532</v>
      </c>
      <c r="I1272">
        <v>5020000000</v>
      </c>
      <c r="J1272" s="560">
        <v>2075</v>
      </c>
      <c r="K1272" s="560">
        <f t="shared" si="39"/>
        <v>25</v>
      </c>
      <c r="L1272" s="560">
        <f t="shared" si="40"/>
        <v>6</v>
      </c>
    </row>
    <row r="1273" spans="1:19">
      <c r="B1273" s="553">
        <v>44279</v>
      </c>
      <c r="C1273" t="s">
        <v>1528</v>
      </c>
      <c r="D1273" s="281">
        <v>1</v>
      </c>
      <c r="E1273" t="s">
        <v>2032</v>
      </c>
      <c r="F1273" t="s">
        <v>565</v>
      </c>
      <c r="G1273" t="s">
        <v>820</v>
      </c>
      <c r="H1273" t="s">
        <v>1532</v>
      </c>
      <c r="I1273">
        <v>5020000000</v>
      </c>
      <c r="J1273" s="560">
        <v>10375</v>
      </c>
      <c r="K1273" s="560">
        <f t="shared" si="39"/>
        <v>25</v>
      </c>
      <c r="L1273" s="560">
        <f t="shared" si="40"/>
        <v>5</v>
      </c>
    </row>
    <row r="1274" spans="1:19">
      <c r="B1274" s="553">
        <v>44279</v>
      </c>
      <c r="C1274" t="s">
        <v>1528</v>
      </c>
      <c r="D1274" s="281">
        <v>1</v>
      </c>
      <c r="E1274" t="s">
        <v>1996</v>
      </c>
      <c r="F1274" t="s">
        <v>676</v>
      </c>
      <c r="G1274" t="s">
        <v>820</v>
      </c>
      <c r="H1274" t="s">
        <v>1532</v>
      </c>
      <c r="I1274">
        <v>5020000000</v>
      </c>
      <c r="J1274" s="560">
        <v>3112.5</v>
      </c>
      <c r="K1274" s="560">
        <f t="shared" si="39"/>
        <v>25</v>
      </c>
      <c r="L1274" s="560">
        <f t="shared" si="40"/>
        <v>4</v>
      </c>
    </row>
    <row r="1275" spans="1:19">
      <c r="B1275" s="553">
        <v>44279</v>
      </c>
      <c r="C1275" t="s">
        <v>1528</v>
      </c>
      <c r="D1275" s="281">
        <v>1</v>
      </c>
      <c r="E1275" t="s">
        <v>2005</v>
      </c>
      <c r="F1275" t="s">
        <v>678</v>
      </c>
      <c r="G1275" t="s">
        <v>820</v>
      </c>
      <c r="H1275" t="s">
        <v>1532</v>
      </c>
      <c r="I1275">
        <v>5020000000</v>
      </c>
      <c r="J1275" s="560">
        <v>5063</v>
      </c>
      <c r="K1275" s="560">
        <f t="shared" si="39"/>
        <v>25</v>
      </c>
      <c r="L1275" s="560">
        <f t="shared" si="40"/>
        <v>3</v>
      </c>
    </row>
    <row r="1276" spans="1:19">
      <c r="B1276" s="553">
        <v>44279</v>
      </c>
      <c r="C1276" t="s">
        <v>1528</v>
      </c>
      <c r="D1276" s="281">
        <v>3</v>
      </c>
      <c r="E1276" t="s">
        <v>2009</v>
      </c>
      <c r="F1276" t="s">
        <v>680</v>
      </c>
      <c r="G1276" t="s">
        <v>820</v>
      </c>
      <c r="H1276" t="s">
        <v>1532</v>
      </c>
      <c r="I1276">
        <v>5020000000</v>
      </c>
      <c r="J1276" s="560">
        <v>1037.5</v>
      </c>
      <c r="K1276" s="560">
        <f t="shared" si="39"/>
        <v>25</v>
      </c>
      <c r="L1276" s="560">
        <f t="shared" si="40"/>
        <v>2</v>
      </c>
    </row>
    <row r="1277" spans="1:19">
      <c r="A1277" t="s">
        <v>2322</v>
      </c>
      <c r="B1277" s="553">
        <v>44279</v>
      </c>
      <c r="C1277" t="s">
        <v>1528</v>
      </c>
      <c r="D1277" s="281">
        <v>1</v>
      </c>
      <c r="E1277" t="s">
        <v>1999</v>
      </c>
      <c r="F1277" t="s">
        <v>672</v>
      </c>
      <c r="G1277" t="s">
        <v>820</v>
      </c>
      <c r="H1277" t="s">
        <v>1532</v>
      </c>
      <c r="I1277">
        <v>5020000000</v>
      </c>
      <c r="J1277" s="560">
        <v>11952</v>
      </c>
      <c r="K1277" s="560">
        <f t="shared" si="39"/>
        <v>25</v>
      </c>
      <c r="L1277" s="560">
        <f t="shared" si="40"/>
        <v>1</v>
      </c>
      <c r="M1277" s="560" t="e">
        <f>SUMIFS('[1]MAIN-101'!$Z$1:$Z$3000,'[1]MAIN-101'!$X$1:$X$3000,S1277)</f>
        <v>#VALUE!</v>
      </c>
      <c r="N1277" s="560"/>
      <c r="O1277" s="560"/>
      <c r="S1277" t="str">
        <f>VLOOKUP(C1277,'Recon of ORS and DV'!$A$4:$B$358,2,FALSE)</f>
        <v>0513</v>
      </c>
    </row>
    <row r="1278" spans="1:19">
      <c r="B1278" s="553">
        <v>44279</v>
      </c>
      <c r="C1278" t="s">
        <v>1529</v>
      </c>
      <c r="D1278" s="281">
        <v>1</v>
      </c>
      <c r="E1278" t="s">
        <v>2038</v>
      </c>
      <c r="F1278" t="s">
        <v>567</v>
      </c>
      <c r="G1278" t="s">
        <v>821</v>
      </c>
      <c r="H1278" t="s">
        <v>1532</v>
      </c>
      <c r="I1278">
        <v>5020000000</v>
      </c>
      <c r="J1278" s="560">
        <v>1867.5</v>
      </c>
      <c r="K1278" s="560">
        <f t="shared" si="39"/>
        <v>27</v>
      </c>
      <c r="L1278" s="560">
        <f t="shared" si="40"/>
        <v>27</v>
      </c>
    </row>
    <row r="1279" spans="1:19">
      <c r="B1279" s="553">
        <v>44279</v>
      </c>
      <c r="C1279" t="s">
        <v>1529</v>
      </c>
      <c r="D1279" s="281">
        <v>1</v>
      </c>
      <c r="E1279" t="s">
        <v>2039</v>
      </c>
      <c r="F1279" t="s">
        <v>560</v>
      </c>
      <c r="G1279" t="s">
        <v>821</v>
      </c>
      <c r="H1279" t="s">
        <v>1532</v>
      </c>
      <c r="I1279">
        <v>5020000000</v>
      </c>
      <c r="J1279" s="560">
        <v>14940</v>
      </c>
      <c r="K1279" s="560">
        <f t="shared" si="39"/>
        <v>27</v>
      </c>
      <c r="L1279" s="560">
        <f t="shared" si="40"/>
        <v>26</v>
      </c>
    </row>
    <row r="1280" spans="1:19">
      <c r="B1280" s="553">
        <v>44279</v>
      </c>
      <c r="C1280" t="s">
        <v>1529</v>
      </c>
      <c r="D1280" s="281">
        <v>1</v>
      </c>
      <c r="E1280" t="s">
        <v>2034</v>
      </c>
      <c r="F1280" t="s">
        <v>581</v>
      </c>
      <c r="G1280" t="s">
        <v>821</v>
      </c>
      <c r="H1280" t="s">
        <v>1532</v>
      </c>
      <c r="I1280">
        <v>5020000000</v>
      </c>
      <c r="J1280" s="560">
        <v>10816.66</v>
      </c>
      <c r="K1280" s="560">
        <f t="shared" si="39"/>
        <v>27</v>
      </c>
      <c r="L1280" s="560">
        <f t="shared" si="40"/>
        <v>25</v>
      </c>
    </row>
    <row r="1281" spans="2:12">
      <c r="B1281" s="553">
        <v>44279</v>
      </c>
      <c r="C1281" t="s">
        <v>1529</v>
      </c>
      <c r="D1281" s="281">
        <v>1</v>
      </c>
      <c r="E1281" t="s">
        <v>2035</v>
      </c>
      <c r="F1281" t="s">
        <v>596</v>
      </c>
      <c r="G1281" t="s">
        <v>821</v>
      </c>
      <c r="H1281" t="s">
        <v>1532</v>
      </c>
      <c r="I1281">
        <v>5020000000</v>
      </c>
      <c r="J1281" s="560">
        <v>2118.15</v>
      </c>
      <c r="K1281" s="560">
        <f t="shared" si="39"/>
        <v>27</v>
      </c>
      <c r="L1281" s="560">
        <f t="shared" si="40"/>
        <v>24</v>
      </c>
    </row>
    <row r="1282" spans="2:12">
      <c r="B1282" s="553">
        <v>44279</v>
      </c>
      <c r="C1282" t="s">
        <v>1529</v>
      </c>
      <c r="D1282" s="281">
        <v>1</v>
      </c>
      <c r="E1282" t="s">
        <v>2040</v>
      </c>
      <c r="F1282" t="s">
        <v>598</v>
      </c>
      <c r="G1282" t="s">
        <v>821</v>
      </c>
      <c r="H1282" t="s">
        <v>1532</v>
      </c>
      <c r="I1282">
        <v>5020000000</v>
      </c>
      <c r="J1282" s="560">
        <v>47087.72</v>
      </c>
      <c r="K1282" s="560">
        <f t="shared" si="39"/>
        <v>27</v>
      </c>
      <c r="L1282" s="560">
        <f t="shared" si="40"/>
        <v>23</v>
      </c>
    </row>
    <row r="1283" spans="2:12">
      <c r="B1283" s="553">
        <v>44279</v>
      </c>
      <c r="C1283" t="s">
        <v>1529</v>
      </c>
      <c r="D1283" s="281">
        <v>1</v>
      </c>
      <c r="E1283" t="s">
        <v>2041</v>
      </c>
      <c r="F1283" t="s">
        <v>601</v>
      </c>
      <c r="G1283" t="s">
        <v>821</v>
      </c>
      <c r="H1283" t="s">
        <v>1532</v>
      </c>
      <c r="I1283">
        <v>5020000000</v>
      </c>
      <c r="J1283" s="560">
        <v>1245</v>
      </c>
      <c r="K1283" s="560">
        <f t="shared" si="39"/>
        <v>27</v>
      </c>
      <c r="L1283" s="560">
        <f t="shared" si="40"/>
        <v>22</v>
      </c>
    </row>
    <row r="1284" spans="2:12">
      <c r="B1284" s="553">
        <v>44279</v>
      </c>
      <c r="C1284" t="s">
        <v>1529</v>
      </c>
      <c r="D1284" s="281">
        <v>1</v>
      </c>
      <c r="E1284" t="s">
        <v>2011</v>
      </c>
      <c r="F1284" t="s">
        <v>605</v>
      </c>
      <c r="G1284" t="s">
        <v>821</v>
      </c>
      <c r="H1284" t="s">
        <v>1532</v>
      </c>
      <c r="I1284">
        <v>5020000000</v>
      </c>
      <c r="J1284" s="560">
        <v>7586.8</v>
      </c>
      <c r="K1284" s="560">
        <f t="shared" ref="K1284:K1347" si="41">COUNTIFS($C$3:$C$1556,C1284)</f>
        <v>27</v>
      </c>
      <c r="L1284" s="560">
        <f t="shared" si="40"/>
        <v>21</v>
      </c>
    </row>
    <row r="1285" spans="2:12">
      <c r="B1285" s="553">
        <v>44279</v>
      </c>
      <c r="C1285" t="s">
        <v>1529</v>
      </c>
      <c r="D1285" s="281">
        <v>1</v>
      </c>
      <c r="E1285" t="s">
        <v>2002</v>
      </c>
      <c r="F1285" t="s">
        <v>603</v>
      </c>
      <c r="G1285" t="s">
        <v>821</v>
      </c>
      <c r="H1285" t="s">
        <v>1532</v>
      </c>
      <c r="I1285">
        <v>5020000000</v>
      </c>
      <c r="J1285" s="560">
        <v>4482</v>
      </c>
      <c r="K1285" s="560">
        <f t="shared" si="41"/>
        <v>27</v>
      </c>
      <c r="L1285" s="560">
        <f t="shared" si="40"/>
        <v>20</v>
      </c>
    </row>
    <row r="1286" spans="2:12">
      <c r="B1286" s="553">
        <v>44279</v>
      </c>
      <c r="C1286" t="s">
        <v>1529</v>
      </c>
      <c r="D1286" s="281">
        <v>1</v>
      </c>
      <c r="E1286" t="s">
        <v>2003</v>
      </c>
      <c r="F1286" t="s">
        <v>609</v>
      </c>
      <c r="G1286" t="s">
        <v>821</v>
      </c>
      <c r="H1286" t="s">
        <v>1532</v>
      </c>
      <c r="I1286">
        <v>5020000000</v>
      </c>
      <c r="J1286" s="560">
        <v>871.5</v>
      </c>
      <c r="K1286" s="560">
        <f t="shared" si="41"/>
        <v>27</v>
      </c>
      <c r="L1286" s="560">
        <f t="shared" si="40"/>
        <v>19</v>
      </c>
    </row>
    <row r="1287" spans="2:12">
      <c r="B1287" s="553">
        <v>44279</v>
      </c>
      <c r="C1287" t="s">
        <v>1529</v>
      </c>
      <c r="D1287" s="281">
        <v>1</v>
      </c>
      <c r="E1287" t="s">
        <v>2012</v>
      </c>
      <c r="F1287" t="s">
        <v>627</v>
      </c>
      <c r="G1287" t="s">
        <v>821</v>
      </c>
      <c r="H1287" t="s">
        <v>1532</v>
      </c>
      <c r="I1287">
        <v>5020000000</v>
      </c>
      <c r="J1287" s="560">
        <v>747</v>
      </c>
      <c r="K1287" s="560">
        <f t="shared" si="41"/>
        <v>27</v>
      </c>
      <c r="L1287" s="560">
        <f t="shared" si="40"/>
        <v>18</v>
      </c>
    </row>
    <row r="1288" spans="2:12">
      <c r="B1288" s="553">
        <v>44279</v>
      </c>
      <c r="C1288" t="s">
        <v>1529</v>
      </c>
      <c r="D1288" s="281">
        <v>1</v>
      </c>
      <c r="E1288" t="s">
        <v>2007</v>
      </c>
      <c r="F1288" t="s">
        <v>638</v>
      </c>
      <c r="G1288" t="s">
        <v>821</v>
      </c>
      <c r="H1288" t="s">
        <v>1532</v>
      </c>
      <c r="I1288">
        <v>5020000000</v>
      </c>
      <c r="J1288" s="560">
        <v>21580</v>
      </c>
      <c r="K1288" s="560">
        <f t="shared" si="41"/>
        <v>27</v>
      </c>
      <c r="L1288" s="560">
        <f t="shared" si="40"/>
        <v>17</v>
      </c>
    </row>
    <row r="1289" spans="2:12">
      <c r="B1289" s="553">
        <v>44279</v>
      </c>
      <c r="C1289" t="s">
        <v>1529</v>
      </c>
      <c r="D1289" s="281">
        <v>1</v>
      </c>
      <c r="E1289" t="s">
        <v>1997</v>
      </c>
      <c r="F1289" t="s">
        <v>642</v>
      </c>
      <c r="G1289" t="s">
        <v>821</v>
      </c>
      <c r="H1289" t="s">
        <v>1532</v>
      </c>
      <c r="I1289">
        <v>5020000000</v>
      </c>
      <c r="J1289" s="560">
        <v>164374.85999999999</v>
      </c>
      <c r="K1289" s="560">
        <f t="shared" si="41"/>
        <v>27</v>
      </c>
      <c r="L1289" s="560">
        <f t="shared" si="40"/>
        <v>16</v>
      </c>
    </row>
    <row r="1290" spans="2:12">
      <c r="B1290" s="553">
        <v>44279</v>
      </c>
      <c r="C1290" t="s">
        <v>1529</v>
      </c>
      <c r="D1290" s="281">
        <v>3</v>
      </c>
      <c r="E1290" t="s">
        <v>2019</v>
      </c>
      <c r="F1290" t="s">
        <v>646</v>
      </c>
      <c r="G1290" t="s">
        <v>821</v>
      </c>
      <c r="H1290" t="s">
        <v>1532</v>
      </c>
      <c r="I1290">
        <v>5020000000</v>
      </c>
      <c r="J1290" s="560">
        <v>24900</v>
      </c>
      <c r="K1290" s="560">
        <f t="shared" si="41"/>
        <v>27</v>
      </c>
      <c r="L1290" s="560">
        <f t="shared" si="40"/>
        <v>15</v>
      </c>
    </row>
    <row r="1291" spans="2:12">
      <c r="B1291" s="553">
        <v>44279</v>
      </c>
      <c r="C1291" t="s">
        <v>1529</v>
      </c>
      <c r="D1291" s="281">
        <v>4</v>
      </c>
      <c r="E1291" t="s">
        <v>2013</v>
      </c>
      <c r="F1291" t="s">
        <v>311</v>
      </c>
      <c r="G1291" t="s">
        <v>821</v>
      </c>
      <c r="H1291" t="s">
        <v>1532</v>
      </c>
      <c r="I1291">
        <v>5020000000</v>
      </c>
      <c r="J1291" s="560">
        <v>4150</v>
      </c>
      <c r="K1291" s="560">
        <f t="shared" si="41"/>
        <v>27</v>
      </c>
      <c r="L1291" s="560">
        <f t="shared" si="40"/>
        <v>14</v>
      </c>
    </row>
    <row r="1292" spans="2:12">
      <c r="B1292" s="553">
        <v>44279</v>
      </c>
      <c r="C1292" t="s">
        <v>1529</v>
      </c>
      <c r="D1292" s="281">
        <v>3</v>
      </c>
      <c r="E1292" t="s">
        <v>2014</v>
      </c>
      <c r="F1292" t="s">
        <v>651</v>
      </c>
      <c r="G1292" t="s">
        <v>821</v>
      </c>
      <c r="H1292" t="s">
        <v>1532</v>
      </c>
      <c r="I1292">
        <v>5020000000</v>
      </c>
      <c r="J1292" s="560">
        <v>4150</v>
      </c>
      <c r="K1292" s="560">
        <f t="shared" si="41"/>
        <v>27</v>
      </c>
      <c r="L1292" s="560">
        <f t="shared" si="40"/>
        <v>13</v>
      </c>
    </row>
    <row r="1293" spans="2:12">
      <c r="B1293" s="553">
        <v>44279</v>
      </c>
      <c r="C1293" t="s">
        <v>1529</v>
      </c>
      <c r="D1293" s="281">
        <v>3</v>
      </c>
      <c r="E1293" t="s">
        <v>2015</v>
      </c>
      <c r="F1293" t="s">
        <v>662</v>
      </c>
      <c r="G1293" t="s">
        <v>821</v>
      </c>
      <c r="H1293" t="s">
        <v>1532</v>
      </c>
      <c r="I1293">
        <v>5020000000</v>
      </c>
      <c r="J1293" s="560">
        <v>2075</v>
      </c>
      <c r="K1293" s="560">
        <f t="shared" si="41"/>
        <v>27</v>
      </c>
      <c r="L1293" s="560">
        <f t="shared" si="40"/>
        <v>12</v>
      </c>
    </row>
    <row r="1294" spans="2:12">
      <c r="B1294" s="553">
        <v>44279</v>
      </c>
      <c r="C1294" t="s">
        <v>1529</v>
      </c>
      <c r="D1294" s="281">
        <v>1</v>
      </c>
      <c r="E1294" t="s">
        <v>2016</v>
      </c>
      <c r="F1294" t="s">
        <v>319</v>
      </c>
      <c r="G1294" t="s">
        <v>821</v>
      </c>
      <c r="H1294" t="s">
        <v>1532</v>
      </c>
      <c r="I1294">
        <v>5020000000</v>
      </c>
      <c r="J1294" s="560">
        <v>20750</v>
      </c>
      <c r="K1294" s="560">
        <f t="shared" si="41"/>
        <v>27</v>
      </c>
      <c r="L1294" s="560">
        <f t="shared" si="40"/>
        <v>11</v>
      </c>
    </row>
    <row r="1295" spans="2:12">
      <c r="B1295" s="553">
        <v>44279</v>
      </c>
      <c r="C1295" t="s">
        <v>1529</v>
      </c>
      <c r="D1295" s="281">
        <v>1</v>
      </c>
      <c r="E1295" t="s">
        <v>2017</v>
      </c>
      <c r="F1295" t="s">
        <v>665</v>
      </c>
      <c r="G1295" t="s">
        <v>821</v>
      </c>
      <c r="H1295" t="s">
        <v>1532</v>
      </c>
      <c r="I1295">
        <v>5020000000</v>
      </c>
      <c r="J1295" s="560">
        <v>1556.25</v>
      </c>
      <c r="K1295" s="560">
        <f t="shared" si="41"/>
        <v>27</v>
      </c>
      <c r="L1295" s="560">
        <f t="shared" ref="L1295:L1358" si="42">COUNTIFS(C1295:C2848,C1295)</f>
        <v>10</v>
      </c>
    </row>
    <row r="1296" spans="2:12">
      <c r="B1296" s="553">
        <v>44279</v>
      </c>
      <c r="C1296" t="s">
        <v>1529</v>
      </c>
      <c r="D1296" s="281">
        <v>1</v>
      </c>
      <c r="E1296" t="s">
        <v>2001</v>
      </c>
      <c r="F1296" t="s">
        <v>669</v>
      </c>
      <c r="G1296" t="s">
        <v>821</v>
      </c>
      <c r="H1296" t="s">
        <v>1532</v>
      </c>
      <c r="I1296">
        <v>5020000000</v>
      </c>
      <c r="J1296" s="560">
        <v>2085.38</v>
      </c>
      <c r="K1296" s="560">
        <f t="shared" si="41"/>
        <v>27</v>
      </c>
      <c r="L1296" s="560">
        <f t="shared" si="42"/>
        <v>9</v>
      </c>
    </row>
    <row r="1297" spans="1:19">
      <c r="B1297" s="553">
        <v>44279</v>
      </c>
      <c r="C1297" t="s">
        <v>1529</v>
      </c>
      <c r="D1297" s="281">
        <v>1</v>
      </c>
      <c r="E1297" t="s">
        <v>2018</v>
      </c>
      <c r="F1297" t="s">
        <v>671</v>
      </c>
      <c r="G1297" t="s">
        <v>821</v>
      </c>
      <c r="H1297" t="s">
        <v>1532</v>
      </c>
      <c r="I1297">
        <v>5020000000</v>
      </c>
      <c r="J1297" s="560">
        <v>4565</v>
      </c>
      <c r="K1297" s="560">
        <f t="shared" si="41"/>
        <v>27</v>
      </c>
      <c r="L1297" s="560">
        <f t="shared" si="42"/>
        <v>8</v>
      </c>
    </row>
    <row r="1298" spans="1:19">
      <c r="B1298" s="553">
        <v>44279</v>
      </c>
      <c r="C1298" t="s">
        <v>1529</v>
      </c>
      <c r="D1298" s="281">
        <v>1</v>
      </c>
      <c r="E1298" t="s">
        <v>2000</v>
      </c>
      <c r="F1298" t="s">
        <v>683</v>
      </c>
      <c r="G1298" t="s">
        <v>821</v>
      </c>
      <c r="H1298" t="s">
        <v>1532</v>
      </c>
      <c r="I1298">
        <v>5020000000</v>
      </c>
      <c r="J1298" s="560">
        <v>128235</v>
      </c>
      <c r="K1298" s="560">
        <f t="shared" si="41"/>
        <v>27</v>
      </c>
      <c r="L1298" s="560">
        <f t="shared" si="42"/>
        <v>7</v>
      </c>
    </row>
    <row r="1299" spans="1:19">
      <c r="B1299" s="553">
        <v>44279</v>
      </c>
      <c r="C1299" t="s">
        <v>1529</v>
      </c>
      <c r="D1299" s="281">
        <v>1</v>
      </c>
      <c r="E1299" t="s">
        <v>2037</v>
      </c>
      <c r="F1299" t="s">
        <v>555</v>
      </c>
      <c r="G1299" t="s">
        <v>821</v>
      </c>
      <c r="H1299" t="s">
        <v>1532</v>
      </c>
      <c r="I1299">
        <v>5020000000</v>
      </c>
      <c r="J1299" s="560">
        <v>2075</v>
      </c>
      <c r="K1299" s="560">
        <f t="shared" si="41"/>
        <v>27</v>
      </c>
      <c r="L1299" s="560">
        <f t="shared" si="42"/>
        <v>6</v>
      </c>
    </row>
    <row r="1300" spans="1:19">
      <c r="B1300" s="553">
        <v>44279</v>
      </c>
      <c r="C1300" t="s">
        <v>1529</v>
      </c>
      <c r="D1300" s="281">
        <v>1</v>
      </c>
      <c r="E1300" t="s">
        <v>2032</v>
      </c>
      <c r="F1300" t="s">
        <v>565</v>
      </c>
      <c r="G1300" t="s">
        <v>821</v>
      </c>
      <c r="H1300" t="s">
        <v>1532</v>
      </c>
      <c r="I1300">
        <v>5020000000</v>
      </c>
      <c r="J1300" s="560">
        <v>10375</v>
      </c>
      <c r="K1300" s="560">
        <f t="shared" si="41"/>
        <v>27</v>
      </c>
      <c r="L1300" s="560">
        <f t="shared" si="42"/>
        <v>5</v>
      </c>
    </row>
    <row r="1301" spans="1:19">
      <c r="B1301" s="553">
        <v>44279</v>
      </c>
      <c r="C1301" t="s">
        <v>1529</v>
      </c>
      <c r="D1301" s="281">
        <v>1</v>
      </c>
      <c r="E1301" t="s">
        <v>1996</v>
      </c>
      <c r="F1301" t="s">
        <v>676</v>
      </c>
      <c r="G1301" t="s">
        <v>821</v>
      </c>
      <c r="H1301" t="s">
        <v>1532</v>
      </c>
      <c r="I1301">
        <v>5020000000</v>
      </c>
      <c r="J1301" s="560">
        <v>1037.5</v>
      </c>
      <c r="K1301" s="560">
        <f t="shared" si="41"/>
        <v>27</v>
      </c>
      <c r="L1301" s="560">
        <f t="shared" si="42"/>
        <v>4</v>
      </c>
    </row>
    <row r="1302" spans="1:19">
      <c r="B1302" s="553">
        <v>44279</v>
      </c>
      <c r="C1302" t="s">
        <v>1529</v>
      </c>
      <c r="D1302" s="281">
        <v>1</v>
      </c>
      <c r="E1302" t="s">
        <v>2005</v>
      </c>
      <c r="F1302" t="s">
        <v>678</v>
      </c>
      <c r="G1302" t="s">
        <v>821</v>
      </c>
      <c r="H1302" t="s">
        <v>1532</v>
      </c>
      <c r="I1302">
        <v>5020000000</v>
      </c>
      <c r="J1302" s="560">
        <v>5063</v>
      </c>
      <c r="K1302" s="560">
        <f t="shared" si="41"/>
        <v>27</v>
      </c>
      <c r="L1302" s="560">
        <f t="shared" si="42"/>
        <v>3</v>
      </c>
    </row>
    <row r="1303" spans="1:19">
      <c r="B1303" s="553">
        <v>44279</v>
      </c>
      <c r="C1303" t="s">
        <v>1529</v>
      </c>
      <c r="D1303" s="281">
        <v>3</v>
      </c>
      <c r="E1303" t="s">
        <v>2009</v>
      </c>
      <c r="F1303" t="s">
        <v>680</v>
      </c>
      <c r="G1303" t="s">
        <v>821</v>
      </c>
      <c r="H1303" t="s">
        <v>1532</v>
      </c>
      <c r="I1303">
        <v>5020000000</v>
      </c>
      <c r="J1303" s="560">
        <v>4980</v>
      </c>
      <c r="K1303" s="560">
        <f t="shared" si="41"/>
        <v>27</v>
      </c>
      <c r="L1303" s="560">
        <f t="shared" si="42"/>
        <v>2</v>
      </c>
    </row>
    <row r="1304" spans="1:19">
      <c r="A1304" t="s">
        <v>2640</v>
      </c>
      <c r="B1304" s="553">
        <v>44279</v>
      </c>
      <c r="C1304" t="s">
        <v>1529</v>
      </c>
      <c r="D1304" s="281">
        <v>1</v>
      </c>
      <c r="E1304" t="s">
        <v>1999</v>
      </c>
      <c r="F1304" t="s">
        <v>672</v>
      </c>
      <c r="G1304" t="s">
        <v>821</v>
      </c>
      <c r="H1304" t="s">
        <v>1532</v>
      </c>
      <c r="I1304">
        <v>5020000000</v>
      </c>
      <c r="J1304" s="560">
        <v>11952</v>
      </c>
      <c r="K1304" s="560">
        <f t="shared" si="41"/>
        <v>27</v>
      </c>
      <c r="L1304" s="560">
        <f t="shared" si="42"/>
        <v>1</v>
      </c>
      <c r="M1304" s="560" t="e">
        <f>SUMIFS('[1]MAIN-101'!$Z$1:$Z$3000,'[1]MAIN-101'!$X$1:$X$3000,S1304)</f>
        <v>#VALUE!</v>
      </c>
      <c r="N1304" s="560"/>
      <c r="O1304" s="560"/>
      <c r="S1304" t="str">
        <f>VLOOKUP(C1304,'Recon of ORS and DV'!$A$4:$B$358,2,FALSE)</f>
        <v>0514</v>
      </c>
    </row>
    <row r="1305" spans="1:19">
      <c r="B1305" s="553">
        <v>44279</v>
      </c>
      <c r="C1305" t="s">
        <v>1530</v>
      </c>
      <c r="D1305" s="281">
        <v>1</v>
      </c>
      <c r="E1305" t="s">
        <v>2038</v>
      </c>
      <c r="F1305" t="s">
        <v>567</v>
      </c>
      <c r="G1305" t="s">
        <v>822</v>
      </c>
      <c r="H1305" t="s">
        <v>1532</v>
      </c>
      <c r="I1305">
        <v>5020000000</v>
      </c>
      <c r="J1305" s="560">
        <v>2490</v>
      </c>
      <c r="K1305" s="560">
        <f t="shared" si="41"/>
        <v>27</v>
      </c>
      <c r="L1305" s="560">
        <f t="shared" si="42"/>
        <v>27</v>
      </c>
    </row>
    <row r="1306" spans="1:19">
      <c r="B1306" s="553">
        <v>44279</v>
      </c>
      <c r="C1306" t="s">
        <v>1530</v>
      </c>
      <c r="D1306" s="281">
        <v>1</v>
      </c>
      <c r="E1306" t="s">
        <v>2039</v>
      </c>
      <c r="F1306" t="s">
        <v>560</v>
      </c>
      <c r="G1306" t="s">
        <v>822</v>
      </c>
      <c r="H1306" t="s">
        <v>1532</v>
      </c>
      <c r="I1306">
        <v>5020000000</v>
      </c>
      <c r="J1306" s="560">
        <v>14940</v>
      </c>
      <c r="K1306" s="560">
        <f t="shared" si="41"/>
        <v>27</v>
      </c>
      <c r="L1306" s="560">
        <f t="shared" si="42"/>
        <v>26</v>
      </c>
    </row>
    <row r="1307" spans="1:19">
      <c r="B1307" s="553">
        <v>44279</v>
      </c>
      <c r="C1307" t="s">
        <v>1530</v>
      </c>
      <c r="D1307" s="281">
        <v>1</v>
      </c>
      <c r="E1307" t="s">
        <v>2034</v>
      </c>
      <c r="F1307" t="s">
        <v>581</v>
      </c>
      <c r="G1307" t="s">
        <v>822</v>
      </c>
      <c r="H1307" t="s">
        <v>1532</v>
      </c>
      <c r="I1307">
        <v>5020000000</v>
      </c>
      <c r="J1307" s="560">
        <v>7470</v>
      </c>
      <c r="K1307" s="560">
        <f t="shared" si="41"/>
        <v>27</v>
      </c>
      <c r="L1307" s="560">
        <f t="shared" si="42"/>
        <v>25</v>
      </c>
    </row>
    <row r="1308" spans="1:19">
      <c r="B1308" s="553">
        <v>44279</v>
      </c>
      <c r="C1308" t="s">
        <v>1530</v>
      </c>
      <c r="D1308" s="281">
        <v>1</v>
      </c>
      <c r="E1308" t="s">
        <v>2035</v>
      </c>
      <c r="F1308" t="s">
        <v>596</v>
      </c>
      <c r="G1308" t="s">
        <v>822</v>
      </c>
      <c r="H1308" t="s">
        <v>1532</v>
      </c>
      <c r="I1308">
        <v>5020000000</v>
      </c>
      <c r="J1308" s="560">
        <v>1992</v>
      </c>
      <c r="K1308" s="560">
        <f t="shared" si="41"/>
        <v>27</v>
      </c>
      <c r="L1308" s="560">
        <f t="shared" si="42"/>
        <v>24</v>
      </c>
    </row>
    <row r="1309" spans="1:19">
      <c r="B1309" s="553">
        <v>44279</v>
      </c>
      <c r="C1309" t="s">
        <v>1530</v>
      </c>
      <c r="D1309" s="281">
        <v>1</v>
      </c>
      <c r="E1309" t="s">
        <v>2040</v>
      </c>
      <c r="F1309" t="s">
        <v>598</v>
      </c>
      <c r="G1309" t="s">
        <v>822</v>
      </c>
      <c r="H1309" t="s">
        <v>1532</v>
      </c>
      <c r="I1309">
        <v>5020000000</v>
      </c>
      <c r="J1309" s="560">
        <v>72625</v>
      </c>
      <c r="K1309" s="560">
        <f t="shared" si="41"/>
        <v>27</v>
      </c>
      <c r="L1309" s="560">
        <f t="shared" si="42"/>
        <v>23</v>
      </c>
    </row>
    <row r="1310" spans="1:19">
      <c r="B1310" s="553">
        <v>44279</v>
      </c>
      <c r="C1310" t="s">
        <v>1530</v>
      </c>
      <c r="D1310" s="281">
        <v>1</v>
      </c>
      <c r="E1310" t="s">
        <v>2041</v>
      </c>
      <c r="F1310" t="s">
        <v>601</v>
      </c>
      <c r="G1310" t="s">
        <v>822</v>
      </c>
      <c r="H1310" t="s">
        <v>1532</v>
      </c>
      <c r="I1310">
        <v>5020000000</v>
      </c>
      <c r="J1310" s="560">
        <v>12450</v>
      </c>
      <c r="K1310" s="560">
        <f t="shared" si="41"/>
        <v>27</v>
      </c>
      <c r="L1310" s="560">
        <f t="shared" si="42"/>
        <v>22</v>
      </c>
    </row>
    <row r="1311" spans="1:19">
      <c r="B1311" s="553">
        <v>44279</v>
      </c>
      <c r="C1311" t="s">
        <v>1530</v>
      </c>
      <c r="D1311" s="281">
        <v>1</v>
      </c>
      <c r="E1311" t="s">
        <v>2011</v>
      </c>
      <c r="F1311" t="s">
        <v>605</v>
      </c>
      <c r="G1311" t="s">
        <v>822</v>
      </c>
      <c r="H1311" t="s">
        <v>1532</v>
      </c>
      <c r="I1311">
        <v>5020000000</v>
      </c>
      <c r="J1311" s="560">
        <v>3735</v>
      </c>
      <c r="K1311" s="560">
        <f t="shared" si="41"/>
        <v>27</v>
      </c>
      <c r="L1311" s="560">
        <f t="shared" si="42"/>
        <v>21</v>
      </c>
    </row>
    <row r="1312" spans="1:19">
      <c r="B1312" s="553">
        <v>44279</v>
      </c>
      <c r="C1312" t="s">
        <v>1530</v>
      </c>
      <c r="D1312" s="281">
        <v>1</v>
      </c>
      <c r="E1312" t="s">
        <v>2002</v>
      </c>
      <c r="F1312" t="s">
        <v>603</v>
      </c>
      <c r="G1312" t="s">
        <v>822</v>
      </c>
      <c r="H1312" t="s">
        <v>1532</v>
      </c>
      <c r="I1312">
        <v>5020000000</v>
      </c>
      <c r="J1312" s="560">
        <v>7470</v>
      </c>
      <c r="K1312" s="560">
        <f t="shared" si="41"/>
        <v>27</v>
      </c>
      <c r="L1312" s="560">
        <f t="shared" si="42"/>
        <v>20</v>
      </c>
    </row>
    <row r="1313" spans="2:12">
      <c r="B1313" s="553">
        <v>44279</v>
      </c>
      <c r="C1313" t="s">
        <v>1530</v>
      </c>
      <c r="D1313" s="281">
        <v>1</v>
      </c>
      <c r="E1313" t="s">
        <v>2003</v>
      </c>
      <c r="F1313" t="s">
        <v>609</v>
      </c>
      <c r="G1313" t="s">
        <v>822</v>
      </c>
      <c r="H1313" t="s">
        <v>1532</v>
      </c>
      <c r="I1313">
        <v>5020000000</v>
      </c>
      <c r="J1313" s="560">
        <v>2502.4499999999998</v>
      </c>
      <c r="K1313" s="560">
        <f t="shared" si="41"/>
        <v>27</v>
      </c>
      <c r="L1313" s="560">
        <f t="shared" si="42"/>
        <v>19</v>
      </c>
    </row>
    <row r="1314" spans="2:12">
      <c r="B1314" s="553">
        <v>44279</v>
      </c>
      <c r="C1314" t="s">
        <v>1530</v>
      </c>
      <c r="D1314" s="281">
        <v>1</v>
      </c>
      <c r="E1314" t="s">
        <v>2012</v>
      </c>
      <c r="F1314" t="s">
        <v>627</v>
      </c>
      <c r="G1314" t="s">
        <v>822</v>
      </c>
      <c r="H1314" t="s">
        <v>1532</v>
      </c>
      <c r="I1314">
        <v>5020000000</v>
      </c>
      <c r="J1314" s="560">
        <v>498</v>
      </c>
      <c r="K1314" s="560">
        <f t="shared" si="41"/>
        <v>27</v>
      </c>
      <c r="L1314" s="560">
        <f t="shared" si="42"/>
        <v>18</v>
      </c>
    </row>
    <row r="1315" spans="2:12">
      <c r="B1315" s="553">
        <v>44279</v>
      </c>
      <c r="C1315" t="s">
        <v>1530</v>
      </c>
      <c r="D1315" s="281">
        <v>1</v>
      </c>
      <c r="E1315" t="s">
        <v>2007</v>
      </c>
      <c r="F1315" t="s">
        <v>638</v>
      </c>
      <c r="G1315" t="s">
        <v>822</v>
      </c>
      <c r="H1315" t="s">
        <v>1532</v>
      </c>
      <c r="I1315">
        <v>5020000000</v>
      </c>
      <c r="J1315" s="560">
        <v>41541.5</v>
      </c>
      <c r="K1315" s="560">
        <f t="shared" si="41"/>
        <v>27</v>
      </c>
      <c r="L1315" s="560">
        <f t="shared" si="42"/>
        <v>17</v>
      </c>
    </row>
    <row r="1316" spans="2:12">
      <c r="B1316" s="553">
        <v>44279</v>
      </c>
      <c r="C1316" t="s">
        <v>1530</v>
      </c>
      <c r="D1316" s="281">
        <v>2</v>
      </c>
      <c r="E1316" t="s">
        <v>1997</v>
      </c>
      <c r="F1316" t="s">
        <v>642</v>
      </c>
      <c r="G1316" t="s">
        <v>822</v>
      </c>
      <c r="H1316" t="s">
        <v>1532</v>
      </c>
      <c r="I1316">
        <v>5020000000</v>
      </c>
      <c r="J1316" s="560">
        <v>167342.10999999999</v>
      </c>
      <c r="K1316" s="560">
        <f t="shared" si="41"/>
        <v>27</v>
      </c>
      <c r="L1316" s="560">
        <f t="shared" si="42"/>
        <v>16</v>
      </c>
    </row>
    <row r="1317" spans="2:12">
      <c r="B1317" s="553">
        <v>44279</v>
      </c>
      <c r="C1317" t="s">
        <v>1530</v>
      </c>
      <c r="D1317" s="281">
        <v>4</v>
      </c>
      <c r="E1317" t="s">
        <v>2013</v>
      </c>
      <c r="F1317" t="s">
        <v>311</v>
      </c>
      <c r="G1317" t="s">
        <v>822</v>
      </c>
      <c r="H1317" t="s">
        <v>1532</v>
      </c>
      <c r="I1317">
        <v>5020000000</v>
      </c>
      <c r="J1317" s="560">
        <v>4150</v>
      </c>
      <c r="K1317" s="560">
        <f t="shared" si="41"/>
        <v>27</v>
      </c>
      <c r="L1317" s="560">
        <f t="shared" si="42"/>
        <v>15</v>
      </c>
    </row>
    <row r="1318" spans="2:12">
      <c r="B1318" s="553">
        <v>44279</v>
      </c>
      <c r="C1318" t="s">
        <v>1530</v>
      </c>
      <c r="D1318" s="281">
        <v>3</v>
      </c>
      <c r="E1318" t="s">
        <v>2014</v>
      </c>
      <c r="F1318" t="s">
        <v>651</v>
      </c>
      <c r="G1318" t="s">
        <v>822</v>
      </c>
      <c r="H1318" t="s">
        <v>1532</v>
      </c>
      <c r="I1318">
        <v>5020000000</v>
      </c>
      <c r="J1318" s="560">
        <v>4150</v>
      </c>
      <c r="K1318" s="560">
        <f t="shared" si="41"/>
        <v>27</v>
      </c>
      <c r="L1318" s="560">
        <f t="shared" si="42"/>
        <v>14</v>
      </c>
    </row>
    <row r="1319" spans="2:12">
      <c r="B1319" s="553">
        <v>44279</v>
      </c>
      <c r="C1319" t="s">
        <v>1530</v>
      </c>
      <c r="D1319" s="281">
        <v>3</v>
      </c>
      <c r="E1319" t="s">
        <v>2015</v>
      </c>
      <c r="F1319" t="s">
        <v>662</v>
      </c>
      <c r="G1319" t="s">
        <v>822</v>
      </c>
      <c r="H1319" t="s">
        <v>1532</v>
      </c>
      <c r="I1319">
        <v>5020000000</v>
      </c>
      <c r="J1319" s="560">
        <v>2075</v>
      </c>
      <c r="K1319" s="560">
        <f t="shared" si="41"/>
        <v>27</v>
      </c>
      <c r="L1319" s="560">
        <f t="shared" si="42"/>
        <v>13</v>
      </c>
    </row>
    <row r="1320" spans="2:12">
      <c r="B1320" s="553">
        <v>44279</v>
      </c>
      <c r="C1320" t="s">
        <v>1530</v>
      </c>
      <c r="D1320" s="281">
        <v>1</v>
      </c>
      <c r="E1320" t="s">
        <v>2016</v>
      </c>
      <c r="F1320" t="s">
        <v>319</v>
      </c>
      <c r="G1320" t="s">
        <v>822</v>
      </c>
      <c r="H1320" t="s">
        <v>1532</v>
      </c>
      <c r="I1320">
        <v>5020000000</v>
      </c>
      <c r="J1320" s="560">
        <v>16600</v>
      </c>
      <c r="K1320" s="560">
        <f t="shared" si="41"/>
        <v>27</v>
      </c>
      <c r="L1320" s="560">
        <f t="shared" si="42"/>
        <v>12</v>
      </c>
    </row>
    <row r="1321" spans="2:12">
      <c r="B1321" s="553">
        <v>44279</v>
      </c>
      <c r="C1321" t="s">
        <v>1530</v>
      </c>
      <c r="D1321" s="281">
        <v>1</v>
      </c>
      <c r="E1321" t="s">
        <v>2017</v>
      </c>
      <c r="F1321" t="s">
        <v>665</v>
      </c>
      <c r="G1321" t="s">
        <v>822</v>
      </c>
      <c r="H1321" t="s">
        <v>1532</v>
      </c>
      <c r="I1321">
        <v>5020000000</v>
      </c>
      <c r="J1321" s="560">
        <v>1037.5</v>
      </c>
      <c r="K1321" s="560">
        <f t="shared" si="41"/>
        <v>27</v>
      </c>
      <c r="L1321" s="560">
        <f t="shared" si="42"/>
        <v>11</v>
      </c>
    </row>
    <row r="1322" spans="2:12">
      <c r="B1322" s="553">
        <v>44279</v>
      </c>
      <c r="C1322" t="s">
        <v>1530</v>
      </c>
      <c r="D1322" s="281">
        <v>1</v>
      </c>
      <c r="E1322" t="s">
        <v>2001</v>
      </c>
      <c r="F1322" t="s">
        <v>669</v>
      </c>
      <c r="G1322" t="s">
        <v>822</v>
      </c>
      <c r="H1322" t="s">
        <v>1532</v>
      </c>
      <c r="I1322">
        <v>5020000000</v>
      </c>
      <c r="J1322" s="560">
        <v>2075</v>
      </c>
      <c r="K1322" s="560">
        <f t="shared" si="41"/>
        <v>27</v>
      </c>
      <c r="L1322" s="560">
        <f t="shared" si="42"/>
        <v>10</v>
      </c>
    </row>
    <row r="1323" spans="2:12">
      <c r="B1323" s="553">
        <v>44279</v>
      </c>
      <c r="C1323" t="s">
        <v>1530</v>
      </c>
      <c r="D1323" s="281">
        <v>1</v>
      </c>
      <c r="E1323" t="s">
        <v>2018</v>
      </c>
      <c r="F1323" t="s">
        <v>671</v>
      </c>
      <c r="G1323" t="s">
        <v>822</v>
      </c>
      <c r="H1323" t="s">
        <v>1532</v>
      </c>
      <c r="I1323">
        <v>5020000000</v>
      </c>
      <c r="J1323" s="560">
        <v>4565</v>
      </c>
      <c r="K1323" s="560">
        <f t="shared" si="41"/>
        <v>27</v>
      </c>
      <c r="L1323" s="560">
        <f t="shared" si="42"/>
        <v>9</v>
      </c>
    </row>
    <row r="1324" spans="2:12">
      <c r="B1324" s="553">
        <v>44279</v>
      </c>
      <c r="C1324" t="s">
        <v>1530</v>
      </c>
      <c r="D1324" s="281">
        <v>1</v>
      </c>
      <c r="E1324" t="s">
        <v>2000</v>
      </c>
      <c r="F1324" t="s">
        <v>683</v>
      </c>
      <c r="G1324" t="s">
        <v>822</v>
      </c>
      <c r="H1324" t="s">
        <v>1532</v>
      </c>
      <c r="I1324">
        <v>5020000000</v>
      </c>
      <c r="J1324" s="560">
        <v>123670</v>
      </c>
      <c r="K1324" s="560">
        <f t="shared" si="41"/>
        <v>27</v>
      </c>
      <c r="L1324" s="560">
        <f t="shared" si="42"/>
        <v>8</v>
      </c>
    </row>
    <row r="1325" spans="2:12">
      <c r="B1325" s="553">
        <v>44279</v>
      </c>
      <c r="C1325" t="s">
        <v>1530</v>
      </c>
      <c r="D1325" s="281">
        <v>1</v>
      </c>
      <c r="E1325" t="s">
        <v>2010</v>
      </c>
      <c r="F1325" t="s">
        <v>693</v>
      </c>
      <c r="G1325" t="s">
        <v>822</v>
      </c>
      <c r="H1325" t="s">
        <v>1532</v>
      </c>
      <c r="I1325">
        <v>5020000000</v>
      </c>
      <c r="J1325" s="560">
        <v>2490</v>
      </c>
      <c r="K1325" s="560">
        <f t="shared" si="41"/>
        <v>27</v>
      </c>
      <c r="L1325" s="560">
        <f t="shared" si="42"/>
        <v>7</v>
      </c>
    </row>
    <row r="1326" spans="2:12">
      <c r="B1326" s="553">
        <v>44279</v>
      </c>
      <c r="C1326" t="s">
        <v>1530</v>
      </c>
      <c r="D1326" s="281">
        <v>1</v>
      </c>
      <c r="E1326" t="s">
        <v>2037</v>
      </c>
      <c r="F1326" t="s">
        <v>555</v>
      </c>
      <c r="G1326" t="s">
        <v>822</v>
      </c>
      <c r="H1326" t="s">
        <v>1532</v>
      </c>
      <c r="I1326">
        <v>5020000000</v>
      </c>
      <c r="J1326" s="560">
        <v>2075</v>
      </c>
      <c r="K1326" s="560">
        <f t="shared" si="41"/>
        <v>27</v>
      </c>
      <c r="L1326" s="560">
        <f t="shared" si="42"/>
        <v>6</v>
      </c>
    </row>
    <row r="1327" spans="2:12">
      <c r="B1327" s="553">
        <v>44279</v>
      </c>
      <c r="C1327" t="s">
        <v>1530</v>
      </c>
      <c r="D1327" s="281">
        <v>1</v>
      </c>
      <c r="E1327" t="s">
        <v>2032</v>
      </c>
      <c r="F1327" t="s">
        <v>565</v>
      </c>
      <c r="G1327" t="s">
        <v>822</v>
      </c>
      <c r="H1327" t="s">
        <v>1532</v>
      </c>
      <c r="I1327">
        <v>5020000000</v>
      </c>
      <c r="J1327" s="560">
        <v>10375</v>
      </c>
      <c r="K1327" s="560">
        <f t="shared" si="41"/>
        <v>27</v>
      </c>
      <c r="L1327" s="560">
        <f t="shared" si="42"/>
        <v>5</v>
      </c>
    </row>
    <row r="1328" spans="2:12">
      <c r="B1328" s="553">
        <v>44279</v>
      </c>
      <c r="C1328" t="s">
        <v>1530</v>
      </c>
      <c r="D1328" s="281">
        <v>1</v>
      </c>
      <c r="E1328" t="s">
        <v>1996</v>
      </c>
      <c r="F1328" t="s">
        <v>676</v>
      </c>
      <c r="G1328" t="s">
        <v>822</v>
      </c>
      <c r="H1328" t="s">
        <v>1532</v>
      </c>
      <c r="I1328">
        <v>5020000000</v>
      </c>
      <c r="J1328" s="560">
        <v>2075</v>
      </c>
      <c r="K1328" s="560">
        <f t="shared" si="41"/>
        <v>27</v>
      </c>
      <c r="L1328" s="560">
        <f t="shared" si="42"/>
        <v>4</v>
      </c>
    </row>
    <row r="1329" spans="1:19">
      <c r="B1329" s="553">
        <v>44279</v>
      </c>
      <c r="C1329" t="s">
        <v>1530</v>
      </c>
      <c r="D1329" s="281">
        <v>1</v>
      </c>
      <c r="E1329" t="s">
        <v>2005</v>
      </c>
      <c r="F1329" t="s">
        <v>678</v>
      </c>
      <c r="G1329" t="s">
        <v>822</v>
      </c>
      <c r="H1329" t="s">
        <v>1532</v>
      </c>
      <c r="I1329">
        <v>5020000000</v>
      </c>
      <c r="J1329" s="560">
        <v>5063</v>
      </c>
      <c r="K1329" s="560">
        <f t="shared" si="41"/>
        <v>27</v>
      </c>
      <c r="L1329" s="560">
        <f t="shared" si="42"/>
        <v>3</v>
      </c>
    </row>
    <row r="1330" spans="1:19">
      <c r="B1330" s="553">
        <v>44279</v>
      </c>
      <c r="C1330" t="s">
        <v>1530</v>
      </c>
      <c r="D1330" s="281">
        <v>3</v>
      </c>
      <c r="E1330" t="s">
        <v>2009</v>
      </c>
      <c r="F1330" t="s">
        <v>680</v>
      </c>
      <c r="G1330" t="s">
        <v>822</v>
      </c>
      <c r="H1330" t="s">
        <v>1532</v>
      </c>
      <c r="I1330">
        <v>5020000000</v>
      </c>
      <c r="J1330" s="560">
        <v>4980</v>
      </c>
      <c r="K1330" s="560">
        <f t="shared" si="41"/>
        <v>27</v>
      </c>
      <c r="L1330" s="560">
        <f t="shared" si="42"/>
        <v>2</v>
      </c>
    </row>
    <row r="1331" spans="1:19">
      <c r="A1331" t="s">
        <v>2323</v>
      </c>
      <c r="B1331" s="553">
        <v>44279</v>
      </c>
      <c r="C1331" t="s">
        <v>1530</v>
      </c>
      <c r="D1331" s="281">
        <v>1</v>
      </c>
      <c r="E1331" t="s">
        <v>1999</v>
      </c>
      <c r="F1331" t="s">
        <v>672</v>
      </c>
      <c r="G1331" t="s">
        <v>822</v>
      </c>
      <c r="H1331" t="s">
        <v>1532</v>
      </c>
      <c r="I1331">
        <v>5020000000</v>
      </c>
      <c r="J1331" s="560">
        <v>11952</v>
      </c>
      <c r="K1331" s="560">
        <f t="shared" si="41"/>
        <v>27</v>
      </c>
      <c r="L1331" s="560">
        <f t="shared" si="42"/>
        <v>1</v>
      </c>
      <c r="M1331" s="560" t="e">
        <f>SUMIFS('[1]MAIN-101'!$Z$1:$Z$3000,'[1]MAIN-101'!$X$1:$X$3000,S1331)</f>
        <v>#VALUE!</v>
      </c>
      <c r="N1331" s="560"/>
      <c r="O1331" s="560"/>
      <c r="S1331" t="str">
        <f>VLOOKUP(C1331,'Recon of ORS and DV'!$A$4:$B$358,2,FALSE)</f>
        <v>0515</v>
      </c>
    </row>
    <row r="1332" spans="1:19">
      <c r="B1332" s="553">
        <v>44279</v>
      </c>
      <c r="C1332" t="s">
        <v>1531</v>
      </c>
      <c r="D1332" s="281">
        <v>1</v>
      </c>
      <c r="E1332" t="s">
        <v>2038</v>
      </c>
      <c r="F1332" t="s">
        <v>567</v>
      </c>
      <c r="G1332" t="s">
        <v>823</v>
      </c>
      <c r="H1332" t="s">
        <v>1532</v>
      </c>
      <c r="I1332">
        <v>5020000000</v>
      </c>
      <c r="J1332" s="560">
        <v>1494</v>
      </c>
      <c r="K1332" s="560">
        <f t="shared" si="41"/>
        <v>26</v>
      </c>
      <c r="L1332" s="560">
        <f t="shared" si="42"/>
        <v>26</v>
      </c>
    </row>
    <row r="1333" spans="1:19">
      <c r="B1333" s="553">
        <v>44279</v>
      </c>
      <c r="C1333" t="s">
        <v>1531</v>
      </c>
      <c r="D1333" s="281">
        <v>1</v>
      </c>
      <c r="E1333" t="s">
        <v>2039</v>
      </c>
      <c r="F1333" t="s">
        <v>560</v>
      </c>
      <c r="G1333" t="s">
        <v>823</v>
      </c>
      <c r="H1333" t="s">
        <v>1532</v>
      </c>
      <c r="I1333">
        <v>5020000000</v>
      </c>
      <c r="J1333" s="560">
        <v>11205</v>
      </c>
      <c r="K1333" s="560">
        <f t="shared" si="41"/>
        <v>26</v>
      </c>
      <c r="L1333" s="560">
        <f t="shared" si="42"/>
        <v>25</v>
      </c>
    </row>
    <row r="1334" spans="1:19">
      <c r="B1334" s="553">
        <v>44279</v>
      </c>
      <c r="C1334" t="s">
        <v>1531</v>
      </c>
      <c r="D1334" s="281">
        <v>1</v>
      </c>
      <c r="E1334" t="s">
        <v>2034</v>
      </c>
      <c r="F1334" t="s">
        <v>581</v>
      </c>
      <c r="G1334" t="s">
        <v>823</v>
      </c>
      <c r="H1334" t="s">
        <v>1532</v>
      </c>
      <c r="I1334">
        <v>5020000000</v>
      </c>
      <c r="J1334" s="560">
        <v>6225</v>
      </c>
      <c r="K1334" s="560">
        <f t="shared" si="41"/>
        <v>26</v>
      </c>
      <c r="L1334" s="560">
        <f t="shared" si="42"/>
        <v>24</v>
      </c>
    </row>
    <row r="1335" spans="1:19">
      <c r="B1335" s="553">
        <v>44279</v>
      </c>
      <c r="C1335" t="s">
        <v>1531</v>
      </c>
      <c r="D1335" s="281">
        <v>1</v>
      </c>
      <c r="E1335" t="s">
        <v>2035</v>
      </c>
      <c r="F1335" t="s">
        <v>596</v>
      </c>
      <c r="G1335" t="s">
        <v>823</v>
      </c>
      <c r="H1335" t="s">
        <v>1532</v>
      </c>
      <c r="I1335">
        <v>5020000000</v>
      </c>
      <c r="J1335" s="560">
        <v>2490</v>
      </c>
      <c r="K1335" s="560">
        <f t="shared" si="41"/>
        <v>26</v>
      </c>
      <c r="L1335" s="560">
        <f t="shared" si="42"/>
        <v>23</v>
      </c>
    </row>
    <row r="1336" spans="1:19">
      <c r="B1336" s="553">
        <v>44279</v>
      </c>
      <c r="C1336" t="s">
        <v>1531</v>
      </c>
      <c r="D1336" s="281">
        <v>1</v>
      </c>
      <c r="E1336" t="s">
        <v>2040</v>
      </c>
      <c r="F1336" t="s">
        <v>598</v>
      </c>
      <c r="G1336" t="s">
        <v>823</v>
      </c>
      <c r="H1336" t="s">
        <v>1532</v>
      </c>
      <c r="I1336">
        <v>5020000000</v>
      </c>
      <c r="J1336" s="560">
        <v>9960</v>
      </c>
      <c r="K1336" s="560">
        <f t="shared" si="41"/>
        <v>26</v>
      </c>
      <c r="L1336" s="560">
        <f t="shared" si="42"/>
        <v>22</v>
      </c>
    </row>
    <row r="1337" spans="1:19">
      <c r="B1337" s="553">
        <v>44279</v>
      </c>
      <c r="C1337" t="s">
        <v>1531</v>
      </c>
      <c r="D1337" s="281">
        <v>1</v>
      </c>
      <c r="E1337" t="s">
        <v>2041</v>
      </c>
      <c r="F1337" t="s">
        <v>601</v>
      </c>
      <c r="G1337" t="s">
        <v>823</v>
      </c>
      <c r="H1337" t="s">
        <v>1532</v>
      </c>
      <c r="I1337">
        <v>5020000000</v>
      </c>
      <c r="J1337" s="560">
        <v>4980</v>
      </c>
      <c r="K1337" s="560">
        <f t="shared" si="41"/>
        <v>26</v>
      </c>
      <c r="L1337" s="560">
        <f t="shared" si="42"/>
        <v>21</v>
      </c>
    </row>
    <row r="1338" spans="1:19">
      <c r="B1338" s="553">
        <v>44279</v>
      </c>
      <c r="C1338" t="s">
        <v>1531</v>
      </c>
      <c r="D1338" s="281">
        <v>1</v>
      </c>
      <c r="E1338" t="s">
        <v>2011</v>
      </c>
      <c r="F1338" t="s">
        <v>605</v>
      </c>
      <c r="G1338" t="s">
        <v>823</v>
      </c>
      <c r="H1338" t="s">
        <v>1532</v>
      </c>
      <c r="I1338">
        <v>5020000000</v>
      </c>
      <c r="J1338" s="560">
        <v>2490</v>
      </c>
      <c r="K1338" s="560">
        <f t="shared" si="41"/>
        <v>26</v>
      </c>
      <c r="L1338" s="560">
        <f t="shared" si="42"/>
        <v>20</v>
      </c>
    </row>
    <row r="1339" spans="1:19">
      <c r="B1339" s="553">
        <v>44279</v>
      </c>
      <c r="C1339" t="s">
        <v>1531</v>
      </c>
      <c r="D1339" s="281">
        <v>1</v>
      </c>
      <c r="E1339" t="s">
        <v>2002</v>
      </c>
      <c r="F1339" t="s">
        <v>603</v>
      </c>
      <c r="G1339" t="s">
        <v>823</v>
      </c>
      <c r="H1339" t="s">
        <v>1532</v>
      </c>
      <c r="I1339">
        <v>5020000000</v>
      </c>
      <c r="J1339" s="560">
        <v>4482</v>
      </c>
      <c r="K1339" s="560">
        <f t="shared" si="41"/>
        <v>26</v>
      </c>
      <c r="L1339" s="560">
        <f t="shared" si="42"/>
        <v>19</v>
      </c>
    </row>
    <row r="1340" spans="1:19">
      <c r="B1340" s="553">
        <v>44279</v>
      </c>
      <c r="C1340" t="s">
        <v>1531</v>
      </c>
      <c r="D1340" s="281">
        <v>1</v>
      </c>
      <c r="E1340" t="s">
        <v>2003</v>
      </c>
      <c r="F1340" t="s">
        <v>609</v>
      </c>
      <c r="G1340" t="s">
        <v>823</v>
      </c>
      <c r="H1340" t="s">
        <v>1532</v>
      </c>
      <c r="I1340">
        <v>5020000000</v>
      </c>
      <c r="J1340" s="560">
        <v>871.5</v>
      </c>
      <c r="K1340" s="560">
        <f t="shared" si="41"/>
        <v>26</v>
      </c>
      <c r="L1340" s="560">
        <f t="shared" si="42"/>
        <v>18</v>
      </c>
    </row>
    <row r="1341" spans="1:19">
      <c r="B1341" s="553">
        <v>44279</v>
      </c>
      <c r="C1341" t="s">
        <v>1531</v>
      </c>
      <c r="D1341" s="281">
        <v>1</v>
      </c>
      <c r="E1341" t="s">
        <v>2012</v>
      </c>
      <c r="F1341" t="s">
        <v>627</v>
      </c>
      <c r="G1341" t="s">
        <v>823</v>
      </c>
      <c r="H1341" t="s">
        <v>1532</v>
      </c>
      <c r="I1341">
        <v>5020000000</v>
      </c>
      <c r="J1341" s="560">
        <v>2386.25</v>
      </c>
      <c r="K1341" s="560">
        <f t="shared" si="41"/>
        <v>26</v>
      </c>
      <c r="L1341" s="560">
        <f t="shared" si="42"/>
        <v>17</v>
      </c>
    </row>
    <row r="1342" spans="1:19">
      <c r="B1342" s="553">
        <v>44279</v>
      </c>
      <c r="C1342" t="s">
        <v>1531</v>
      </c>
      <c r="D1342" s="281">
        <v>1</v>
      </c>
      <c r="E1342" t="s">
        <v>2007</v>
      </c>
      <c r="F1342" t="s">
        <v>638</v>
      </c>
      <c r="G1342" t="s">
        <v>823</v>
      </c>
      <c r="H1342" t="s">
        <v>1532</v>
      </c>
      <c r="I1342">
        <v>5020000000</v>
      </c>
      <c r="J1342" s="560">
        <v>23738</v>
      </c>
      <c r="K1342" s="560">
        <f t="shared" si="41"/>
        <v>26</v>
      </c>
      <c r="L1342" s="560">
        <f t="shared" si="42"/>
        <v>16</v>
      </c>
    </row>
    <row r="1343" spans="1:19">
      <c r="B1343" s="553">
        <v>44279</v>
      </c>
      <c r="C1343" t="s">
        <v>1531</v>
      </c>
      <c r="D1343" s="281">
        <v>2</v>
      </c>
      <c r="E1343" t="s">
        <v>1997</v>
      </c>
      <c r="F1343" t="s">
        <v>642</v>
      </c>
      <c r="G1343" t="s">
        <v>823</v>
      </c>
      <c r="H1343" t="s">
        <v>1532</v>
      </c>
      <c r="I1343">
        <v>5020000000</v>
      </c>
      <c r="J1343" s="560">
        <v>129846.86</v>
      </c>
      <c r="K1343" s="560">
        <f t="shared" si="41"/>
        <v>26</v>
      </c>
      <c r="L1343" s="560">
        <f t="shared" si="42"/>
        <v>15</v>
      </c>
    </row>
    <row r="1344" spans="1:19">
      <c r="B1344" s="553">
        <v>44279</v>
      </c>
      <c r="C1344" t="s">
        <v>1531</v>
      </c>
      <c r="D1344" s="281">
        <v>4</v>
      </c>
      <c r="E1344" t="s">
        <v>2013</v>
      </c>
      <c r="F1344" t="s">
        <v>311</v>
      </c>
      <c r="G1344" t="s">
        <v>823</v>
      </c>
      <c r="H1344" t="s">
        <v>1532</v>
      </c>
      <c r="I1344">
        <v>5020000000</v>
      </c>
      <c r="J1344" s="560">
        <v>10375</v>
      </c>
      <c r="K1344" s="560">
        <f t="shared" si="41"/>
        <v>26</v>
      </c>
      <c r="L1344" s="560">
        <f t="shared" si="42"/>
        <v>14</v>
      </c>
    </row>
    <row r="1345" spans="1:19">
      <c r="B1345" s="553">
        <v>44279</v>
      </c>
      <c r="C1345" t="s">
        <v>1531</v>
      </c>
      <c r="D1345" s="281">
        <v>3</v>
      </c>
      <c r="E1345" t="s">
        <v>2014</v>
      </c>
      <c r="F1345" t="s">
        <v>651</v>
      </c>
      <c r="G1345" t="s">
        <v>823</v>
      </c>
      <c r="H1345" t="s">
        <v>1532</v>
      </c>
      <c r="I1345">
        <v>5020000000</v>
      </c>
      <c r="J1345" s="560">
        <v>4150</v>
      </c>
      <c r="K1345" s="560">
        <f t="shared" si="41"/>
        <v>26</v>
      </c>
      <c r="L1345" s="560">
        <f t="shared" si="42"/>
        <v>13</v>
      </c>
    </row>
    <row r="1346" spans="1:19">
      <c r="B1346" s="553">
        <v>44279</v>
      </c>
      <c r="C1346" t="s">
        <v>1531</v>
      </c>
      <c r="D1346" s="281">
        <v>3</v>
      </c>
      <c r="E1346" t="s">
        <v>2015</v>
      </c>
      <c r="F1346" t="s">
        <v>662</v>
      </c>
      <c r="G1346" t="s">
        <v>823</v>
      </c>
      <c r="H1346" t="s">
        <v>1532</v>
      </c>
      <c r="I1346">
        <v>5020000000</v>
      </c>
      <c r="J1346" s="560">
        <v>2075</v>
      </c>
      <c r="K1346" s="560">
        <f t="shared" si="41"/>
        <v>26</v>
      </c>
      <c r="L1346" s="560">
        <f t="shared" si="42"/>
        <v>12</v>
      </c>
    </row>
    <row r="1347" spans="1:19">
      <c r="B1347" s="553">
        <v>44279</v>
      </c>
      <c r="C1347" t="s">
        <v>1531</v>
      </c>
      <c r="D1347" s="281">
        <v>1</v>
      </c>
      <c r="E1347" t="s">
        <v>2016</v>
      </c>
      <c r="F1347" t="s">
        <v>319</v>
      </c>
      <c r="G1347" t="s">
        <v>823</v>
      </c>
      <c r="H1347" t="s">
        <v>1532</v>
      </c>
      <c r="I1347">
        <v>5020000000</v>
      </c>
      <c r="J1347" s="560">
        <v>31125</v>
      </c>
      <c r="K1347" s="560">
        <f t="shared" si="41"/>
        <v>26</v>
      </c>
      <c r="L1347" s="560">
        <f t="shared" si="42"/>
        <v>11</v>
      </c>
    </row>
    <row r="1348" spans="1:19">
      <c r="B1348" s="553">
        <v>44279</v>
      </c>
      <c r="C1348" t="s">
        <v>1531</v>
      </c>
      <c r="D1348" s="281">
        <v>1</v>
      </c>
      <c r="E1348" t="s">
        <v>2017</v>
      </c>
      <c r="F1348" t="s">
        <v>665</v>
      </c>
      <c r="G1348" t="s">
        <v>823</v>
      </c>
      <c r="H1348" t="s">
        <v>1532</v>
      </c>
      <c r="I1348">
        <v>5020000000</v>
      </c>
      <c r="J1348" s="560">
        <v>1037.5</v>
      </c>
      <c r="K1348" s="560">
        <f t="shared" ref="K1348:K1411" si="43">COUNTIFS($C$3:$C$1556,C1348)</f>
        <v>26</v>
      </c>
      <c r="L1348" s="560">
        <f t="shared" si="42"/>
        <v>10</v>
      </c>
    </row>
    <row r="1349" spans="1:19">
      <c r="B1349" s="553">
        <v>44279</v>
      </c>
      <c r="C1349" t="s">
        <v>1531</v>
      </c>
      <c r="D1349" s="281">
        <v>1</v>
      </c>
      <c r="E1349" t="s">
        <v>2001</v>
      </c>
      <c r="F1349" t="s">
        <v>669</v>
      </c>
      <c r="G1349" t="s">
        <v>823</v>
      </c>
      <c r="H1349" t="s">
        <v>1532</v>
      </c>
      <c r="I1349">
        <v>5020000000</v>
      </c>
      <c r="J1349" s="560">
        <v>2619.69</v>
      </c>
      <c r="K1349" s="560">
        <f t="shared" si="43"/>
        <v>26</v>
      </c>
      <c r="L1349" s="560">
        <f t="shared" si="42"/>
        <v>9</v>
      </c>
    </row>
    <row r="1350" spans="1:19">
      <c r="B1350" s="553">
        <v>44279</v>
      </c>
      <c r="C1350" t="s">
        <v>1531</v>
      </c>
      <c r="D1350" s="281">
        <v>1</v>
      </c>
      <c r="E1350" t="s">
        <v>2018</v>
      </c>
      <c r="F1350" t="s">
        <v>671</v>
      </c>
      <c r="G1350" t="s">
        <v>823</v>
      </c>
      <c r="H1350" t="s">
        <v>1532</v>
      </c>
      <c r="I1350">
        <v>5020000000</v>
      </c>
      <c r="J1350" s="560">
        <v>4565</v>
      </c>
      <c r="K1350" s="560">
        <f t="shared" si="43"/>
        <v>26</v>
      </c>
      <c r="L1350" s="560">
        <f t="shared" si="42"/>
        <v>8</v>
      </c>
    </row>
    <row r="1351" spans="1:19">
      <c r="B1351" s="553">
        <v>44279</v>
      </c>
      <c r="C1351" t="s">
        <v>1531</v>
      </c>
      <c r="D1351" s="281">
        <v>1</v>
      </c>
      <c r="E1351" t="s">
        <v>2000</v>
      </c>
      <c r="F1351" t="s">
        <v>683</v>
      </c>
      <c r="G1351" t="s">
        <v>823</v>
      </c>
      <c r="H1351" t="s">
        <v>1532</v>
      </c>
      <c r="I1351">
        <v>5020000000</v>
      </c>
      <c r="J1351" s="560">
        <v>54780</v>
      </c>
      <c r="K1351" s="560">
        <f t="shared" si="43"/>
        <v>26</v>
      </c>
      <c r="L1351" s="560">
        <f t="shared" si="42"/>
        <v>7</v>
      </c>
    </row>
    <row r="1352" spans="1:19">
      <c r="B1352" s="553">
        <v>44279</v>
      </c>
      <c r="C1352" t="s">
        <v>1531</v>
      </c>
      <c r="D1352" s="281">
        <v>1</v>
      </c>
      <c r="E1352" t="s">
        <v>2037</v>
      </c>
      <c r="F1352" t="s">
        <v>555</v>
      </c>
      <c r="G1352" t="s">
        <v>823</v>
      </c>
      <c r="H1352" t="s">
        <v>1532</v>
      </c>
      <c r="I1352">
        <v>5020000000</v>
      </c>
      <c r="J1352" s="560">
        <v>2075</v>
      </c>
      <c r="K1352" s="560">
        <f t="shared" si="43"/>
        <v>26</v>
      </c>
      <c r="L1352" s="560">
        <f t="shared" si="42"/>
        <v>6</v>
      </c>
    </row>
    <row r="1353" spans="1:19">
      <c r="B1353" s="553">
        <v>44279</v>
      </c>
      <c r="C1353" t="s">
        <v>1531</v>
      </c>
      <c r="D1353" s="281">
        <v>1</v>
      </c>
      <c r="E1353" t="s">
        <v>2032</v>
      </c>
      <c r="F1353" t="s">
        <v>565</v>
      </c>
      <c r="G1353" t="s">
        <v>823</v>
      </c>
      <c r="H1353" t="s">
        <v>1532</v>
      </c>
      <c r="I1353">
        <v>5020000000</v>
      </c>
      <c r="J1353" s="560">
        <v>10375</v>
      </c>
      <c r="K1353" s="560">
        <f t="shared" si="43"/>
        <v>26</v>
      </c>
      <c r="L1353" s="560">
        <f t="shared" si="42"/>
        <v>5</v>
      </c>
    </row>
    <row r="1354" spans="1:19">
      <c r="B1354" s="553">
        <v>44279</v>
      </c>
      <c r="C1354" t="s">
        <v>1531</v>
      </c>
      <c r="D1354" s="281">
        <v>1</v>
      </c>
      <c r="E1354" t="s">
        <v>1996</v>
      </c>
      <c r="F1354" t="s">
        <v>676</v>
      </c>
      <c r="G1354" t="s">
        <v>823</v>
      </c>
      <c r="H1354" t="s">
        <v>1532</v>
      </c>
      <c r="I1354">
        <v>5020000000</v>
      </c>
      <c r="J1354" s="560">
        <v>1037.5</v>
      </c>
      <c r="K1354" s="560">
        <f t="shared" si="43"/>
        <v>26</v>
      </c>
      <c r="L1354" s="560">
        <f t="shared" si="42"/>
        <v>4</v>
      </c>
    </row>
    <row r="1355" spans="1:19">
      <c r="B1355" s="553">
        <v>44279</v>
      </c>
      <c r="C1355" t="s">
        <v>1531</v>
      </c>
      <c r="D1355" s="281">
        <v>1</v>
      </c>
      <c r="E1355" t="s">
        <v>2005</v>
      </c>
      <c r="F1355" t="s">
        <v>678</v>
      </c>
      <c r="G1355" t="s">
        <v>823</v>
      </c>
      <c r="H1355" t="s">
        <v>1532</v>
      </c>
      <c r="I1355">
        <v>5020000000</v>
      </c>
      <c r="J1355" s="560">
        <v>4316</v>
      </c>
      <c r="K1355" s="560">
        <f t="shared" si="43"/>
        <v>26</v>
      </c>
      <c r="L1355" s="560">
        <f t="shared" si="42"/>
        <v>3</v>
      </c>
    </row>
    <row r="1356" spans="1:19">
      <c r="B1356" s="553">
        <v>44279</v>
      </c>
      <c r="C1356" t="s">
        <v>1531</v>
      </c>
      <c r="D1356" s="281">
        <v>3</v>
      </c>
      <c r="E1356" t="s">
        <v>2009</v>
      </c>
      <c r="F1356" t="s">
        <v>680</v>
      </c>
      <c r="G1356" t="s">
        <v>823</v>
      </c>
      <c r="H1356" t="s">
        <v>1532</v>
      </c>
      <c r="I1356">
        <v>5020000000</v>
      </c>
      <c r="J1356" s="560">
        <v>8300</v>
      </c>
      <c r="K1356" s="560">
        <f t="shared" si="43"/>
        <v>26</v>
      </c>
      <c r="L1356" s="560">
        <f t="shared" si="42"/>
        <v>2</v>
      </c>
    </row>
    <row r="1357" spans="1:19">
      <c r="A1357" t="s">
        <v>2324</v>
      </c>
      <c r="B1357" s="553">
        <v>44279</v>
      </c>
      <c r="C1357" t="s">
        <v>1531</v>
      </c>
      <c r="D1357" s="281">
        <v>1</v>
      </c>
      <c r="E1357" t="s">
        <v>1999</v>
      </c>
      <c r="F1357" t="s">
        <v>672</v>
      </c>
      <c r="G1357" t="s">
        <v>823</v>
      </c>
      <c r="H1357" t="s">
        <v>1532</v>
      </c>
      <c r="I1357">
        <v>5020000000</v>
      </c>
      <c r="J1357" s="560">
        <v>8964</v>
      </c>
      <c r="K1357" s="560">
        <f t="shared" si="43"/>
        <v>26</v>
      </c>
      <c r="L1357" s="560">
        <f t="shared" si="42"/>
        <v>1</v>
      </c>
      <c r="M1357" s="560" t="e">
        <f>SUMIFS('[1]MAIN-101'!$Z$1:$Z$3000,'[1]MAIN-101'!$X$1:$X$3000,S1357)</f>
        <v>#VALUE!</v>
      </c>
      <c r="N1357" s="560"/>
      <c r="O1357" s="560"/>
      <c r="S1357" t="str">
        <f>VLOOKUP(C1357,'Recon of ORS and DV'!$A$4:$B$358,2,FALSE)</f>
        <v>0516</v>
      </c>
    </row>
    <row r="1358" spans="1:19">
      <c r="B1358" s="553">
        <v>44279</v>
      </c>
      <c r="C1358" t="s">
        <v>1534</v>
      </c>
      <c r="D1358" s="281">
        <v>11</v>
      </c>
      <c r="E1358" t="s">
        <v>2037</v>
      </c>
      <c r="F1358" t="s">
        <v>555</v>
      </c>
      <c r="G1358" t="s">
        <v>821</v>
      </c>
      <c r="H1358" t="s">
        <v>1535</v>
      </c>
      <c r="I1358">
        <v>5020000000</v>
      </c>
      <c r="J1358" s="560">
        <v>57498</v>
      </c>
      <c r="K1358" s="560">
        <f t="shared" si="43"/>
        <v>4</v>
      </c>
      <c r="L1358" s="560">
        <f t="shared" si="42"/>
        <v>4</v>
      </c>
    </row>
    <row r="1359" spans="1:19">
      <c r="B1359" s="553">
        <v>44279</v>
      </c>
      <c r="C1359" t="s">
        <v>1534</v>
      </c>
      <c r="D1359" s="281">
        <v>11</v>
      </c>
      <c r="E1359" t="s">
        <v>2039</v>
      </c>
      <c r="F1359" t="s">
        <v>560</v>
      </c>
      <c r="G1359" t="s">
        <v>821</v>
      </c>
      <c r="H1359" t="s">
        <v>1535</v>
      </c>
      <c r="I1359">
        <v>5020000000</v>
      </c>
      <c r="J1359" s="560">
        <v>785004</v>
      </c>
      <c r="K1359" s="560">
        <f t="shared" si="43"/>
        <v>4</v>
      </c>
      <c r="L1359" s="560">
        <f t="shared" ref="L1359:L1422" si="44">COUNTIFS(C1359:C2912,C1359)</f>
        <v>3</v>
      </c>
    </row>
    <row r="1360" spans="1:19">
      <c r="B1360" s="553">
        <v>44279</v>
      </c>
      <c r="C1360" t="s">
        <v>1534</v>
      </c>
      <c r="D1360" s="281">
        <v>11</v>
      </c>
      <c r="E1360" t="s">
        <v>2002</v>
      </c>
      <c r="F1360" t="s">
        <v>603</v>
      </c>
      <c r="G1360" t="s">
        <v>821</v>
      </c>
      <c r="H1360" t="s">
        <v>1535</v>
      </c>
      <c r="I1360">
        <v>5020000000</v>
      </c>
      <c r="J1360" s="560">
        <v>19166</v>
      </c>
      <c r="K1360" s="560">
        <f t="shared" si="43"/>
        <v>4</v>
      </c>
      <c r="L1360" s="560">
        <f t="shared" si="44"/>
        <v>2</v>
      </c>
    </row>
    <row r="1361" spans="1:19">
      <c r="A1361" t="s">
        <v>2325</v>
      </c>
      <c r="B1361" s="553">
        <v>44279</v>
      </c>
      <c r="C1361" t="s">
        <v>1534</v>
      </c>
      <c r="D1361" s="281">
        <v>11</v>
      </c>
      <c r="E1361" t="s">
        <v>1998</v>
      </c>
      <c r="F1361" t="s">
        <v>633</v>
      </c>
      <c r="G1361" t="s">
        <v>821</v>
      </c>
      <c r="H1361" t="s">
        <v>1535</v>
      </c>
      <c r="I1361">
        <v>5020000000</v>
      </c>
      <c r="J1361" s="560">
        <v>38332</v>
      </c>
      <c r="K1361" s="560">
        <f t="shared" si="43"/>
        <v>4</v>
      </c>
      <c r="L1361" s="560">
        <f t="shared" si="44"/>
        <v>1</v>
      </c>
      <c r="M1361" s="560" t="e">
        <f>SUMIFS('[1]MAIN-101'!$Z$1:$Z$3000,'[1]MAIN-101'!$X$1:$X$3000,S1361)</f>
        <v>#VALUE!</v>
      </c>
      <c r="N1361" s="560"/>
      <c r="O1361" s="560"/>
      <c r="S1361" t="str">
        <f>VLOOKUP(C1361,'Recon of ORS and DV'!$A$4:$B$358,2,FALSE)</f>
        <v>0517</v>
      </c>
    </row>
    <row r="1362" spans="1:19">
      <c r="B1362" s="553">
        <v>44280</v>
      </c>
      <c r="C1362" t="s">
        <v>1536</v>
      </c>
      <c r="D1362" s="281">
        <v>5</v>
      </c>
      <c r="E1362" t="s">
        <v>2037</v>
      </c>
      <c r="F1362" t="s">
        <v>555</v>
      </c>
      <c r="G1362" t="s">
        <v>818</v>
      </c>
      <c r="H1362" t="s">
        <v>1538</v>
      </c>
      <c r="I1362">
        <v>5020000000</v>
      </c>
      <c r="J1362" s="560">
        <v>15000</v>
      </c>
      <c r="K1362" s="560">
        <f t="shared" si="43"/>
        <v>9</v>
      </c>
      <c r="L1362" s="560">
        <f t="shared" si="44"/>
        <v>9</v>
      </c>
    </row>
    <row r="1363" spans="1:19">
      <c r="B1363" s="553">
        <v>44280</v>
      </c>
      <c r="C1363" t="s">
        <v>1536</v>
      </c>
      <c r="D1363" s="281">
        <v>5</v>
      </c>
      <c r="E1363" t="s">
        <v>2039</v>
      </c>
      <c r="F1363" t="s">
        <v>560</v>
      </c>
      <c r="G1363" t="s">
        <v>818</v>
      </c>
      <c r="H1363" t="s">
        <v>1538</v>
      </c>
      <c r="I1363">
        <v>5020000000</v>
      </c>
      <c r="J1363" s="560">
        <v>23000</v>
      </c>
      <c r="K1363" s="560">
        <f t="shared" si="43"/>
        <v>9</v>
      </c>
      <c r="L1363" s="560">
        <f t="shared" si="44"/>
        <v>8</v>
      </c>
    </row>
    <row r="1364" spans="1:19">
      <c r="B1364" s="553">
        <v>44280</v>
      </c>
      <c r="C1364" t="s">
        <v>1536</v>
      </c>
      <c r="D1364" s="281">
        <v>5</v>
      </c>
      <c r="E1364" t="s">
        <v>1998</v>
      </c>
      <c r="F1364" t="s">
        <v>633</v>
      </c>
      <c r="G1364" t="s">
        <v>818</v>
      </c>
      <c r="H1364" t="s">
        <v>1538</v>
      </c>
      <c r="I1364">
        <v>5020000000</v>
      </c>
      <c r="J1364" s="560">
        <v>5000</v>
      </c>
      <c r="K1364" s="560">
        <f t="shared" si="43"/>
        <v>9</v>
      </c>
      <c r="L1364" s="560">
        <f t="shared" si="44"/>
        <v>7</v>
      </c>
    </row>
    <row r="1365" spans="1:19">
      <c r="B1365" s="553">
        <v>44280</v>
      </c>
      <c r="C1365" t="s">
        <v>1536</v>
      </c>
      <c r="D1365" s="281">
        <v>6</v>
      </c>
      <c r="E1365" t="s">
        <v>2037</v>
      </c>
      <c r="F1365" t="s">
        <v>555</v>
      </c>
      <c r="G1365" t="s">
        <v>818</v>
      </c>
      <c r="H1365" t="s">
        <v>1538</v>
      </c>
      <c r="I1365">
        <v>5020000000</v>
      </c>
      <c r="J1365" s="560">
        <v>30000</v>
      </c>
      <c r="K1365" s="560">
        <f t="shared" si="43"/>
        <v>9</v>
      </c>
      <c r="L1365" s="560">
        <f t="shared" si="44"/>
        <v>6</v>
      </c>
    </row>
    <row r="1366" spans="1:19">
      <c r="B1366" s="553">
        <v>44280</v>
      </c>
      <c r="C1366" t="s">
        <v>1536</v>
      </c>
      <c r="D1366" s="281">
        <v>6</v>
      </c>
      <c r="E1366" t="s">
        <v>2039</v>
      </c>
      <c r="F1366" t="s">
        <v>560</v>
      </c>
      <c r="G1366" t="s">
        <v>818</v>
      </c>
      <c r="H1366" t="s">
        <v>1538</v>
      </c>
      <c r="I1366">
        <v>5020000000</v>
      </c>
      <c r="J1366" s="560">
        <v>20000</v>
      </c>
      <c r="K1366" s="560">
        <f t="shared" si="43"/>
        <v>9</v>
      </c>
      <c r="L1366" s="560">
        <f t="shared" si="44"/>
        <v>5</v>
      </c>
    </row>
    <row r="1367" spans="1:19">
      <c r="B1367" s="553">
        <v>44280</v>
      </c>
      <c r="C1367" t="s">
        <v>1536</v>
      </c>
      <c r="D1367" s="281">
        <v>6</v>
      </c>
      <c r="E1367" t="s">
        <v>2005</v>
      </c>
      <c r="F1367" t="s">
        <v>678</v>
      </c>
      <c r="G1367" t="s">
        <v>818</v>
      </c>
      <c r="H1367" t="s">
        <v>1538</v>
      </c>
      <c r="I1367">
        <v>5020000000</v>
      </c>
      <c r="J1367" s="560">
        <v>147500</v>
      </c>
      <c r="K1367" s="560">
        <f t="shared" si="43"/>
        <v>9</v>
      </c>
      <c r="L1367" s="560">
        <f t="shared" si="44"/>
        <v>4</v>
      </c>
    </row>
    <row r="1368" spans="1:19">
      <c r="B1368" s="553">
        <v>44280</v>
      </c>
      <c r="C1368" t="s">
        <v>1536</v>
      </c>
      <c r="D1368" s="281">
        <v>7</v>
      </c>
      <c r="E1368" t="s">
        <v>2037</v>
      </c>
      <c r="F1368" t="s">
        <v>555</v>
      </c>
      <c r="G1368" t="s">
        <v>818</v>
      </c>
      <c r="H1368" t="s">
        <v>1538</v>
      </c>
      <c r="I1368">
        <v>5020000000</v>
      </c>
      <c r="J1368" s="560">
        <v>25000</v>
      </c>
      <c r="K1368" s="560">
        <f t="shared" si="43"/>
        <v>9</v>
      </c>
      <c r="L1368" s="560">
        <f t="shared" si="44"/>
        <v>3</v>
      </c>
    </row>
    <row r="1369" spans="1:19">
      <c r="B1369" s="553">
        <v>44280</v>
      </c>
      <c r="C1369" t="s">
        <v>1536</v>
      </c>
      <c r="D1369" s="281">
        <v>7</v>
      </c>
      <c r="E1369" t="s">
        <v>2039</v>
      </c>
      <c r="F1369" t="s">
        <v>560</v>
      </c>
      <c r="G1369" t="s">
        <v>818</v>
      </c>
      <c r="H1369" t="s">
        <v>1538</v>
      </c>
      <c r="I1369">
        <v>5020000000</v>
      </c>
      <c r="J1369" s="560">
        <v>40000</v>
      </c>
      <c r="K1369" s="560">
        <f t="shared" si="43"/>
        <v>9</v>
      </c>
      <c r="L1369" s="560">
        <f t="shared" si="44"/>
        <v>2</v>
      </c>
    </row>
    <row r="1370" spans="1:19">
      <c r="A1370" t="s">
        <v>2326</v>
      </c>
      <c r="B1370" s="553">
        <v>44280</v>
      </c>
      <c r="C1370" t="s">
        <v>1536</v>
      </c>
      <c r="D1370" s="281">
        <v>7</v>
      </c>
      <c r="E1370" t="s">
        <v>2005</v>
      </c>
      <c r="F1370" t="s">
        <v>678</v>
      </c>
      <c r="G1370" t="s">
        <v>818</v>
      </c>
      <c r="H1370" t="s">
        <v>1538</v>
      </c>
      <c r="I1370">
        <v>5020000000</v>
      </c>
      <c r="J1370" s="560">
        <v>40000</v>
      </c>
      <c r="K1370" s="560">
        <f t="shared" si="43"/>
        <v>9</v>
      </c>
      <c r="L1370" s="560">
        <f t="shared" si="44"/>
        <v>1</v>
      </c>
      <c r="M1370" s="560" t="e">
        <f>SUMIFS('[1]MAIN-101'!$Z$1:$Z$3000,'[1]MAIN-101'!$X$1:$X$3000,S1370)</f>
        <v>#VALUE!</v>
      </c>
      <c r="N1370" s="560"/>
      <c r="O1370" s="560"/>
      <c r="S1370" t="str">
        <f>VLOOKUP(C1370,'Recon of ORS and DV'!$A$4:$B$358,2,FALSE)</f>
        <v>0525</v>
      </c>
    </row>
    <row r="1371" spans="1:19">
      <c r="B1371" s="553">
        <v>44280</v>
      </c>
      <c r="C1371" t="s">
        <v>1541</v>
      </c>
      <c r="D1371" s="281">
        <v>5</v>
      </c>
      <c r="E1371" t="s">
        <v>2037</v>
      </c>
      <c r="F1371" t="s">
        <v>555</v>
      </c>
      <c r="G1371" t="s">
        <v>1539</v>
      </c>
      <c r="H1371" t="s">
        <v>1543</v>
      </c>
      <c r="I1371">
        <v>5020000000</v>
      </c>
      <c r="J1371" s="560">
        <v>30000</v>
      </c>
      <c r="K1371" s="560">
        <f t="shared" si="43"/>
        <v>9</v>
      </c>
      <c r="L1371" s="560">
        <f t="shared" si="44"/>
        <v>9</v>
      </c>
    </row>
    <row r="1372" spans="1:19">
      <c r="B1372" s="553">
        <v>44280</v>
      </c>
      <c r="C1372" t="s">
        <v>1541</v>
      </c>
      <c r="D1372" s="281">
        <v>5</v>
      </c>
      <c r="E1372" t="s">
        <v>2039</v>
      </c>
      <c r="F1372" t="s">
        <v>560</v>
      </c>
      <c r="G1372" t="s">
        <v>1539</v>
      </c>
      <c r="H1372" t="s">
        <v>1543</v>
      </c>
      <c r="I1372">
        <v>5020000000</v>
      </c>
      <c r="J1372" s="560">
        <v>20000</v>
      </c>
      <c r="K1372" s="560">
        <f t="shared" si="43"/>
        <v>9</v>
      </c>
      <c r="L1372" s="560">
        <f t="shared" si="44"/>
        <v>8</v>
      </c>
    </row>
    <row r="1373" spans="1:19">
      <c r="B1373" s="553">
        <v>44280</v>
      </c>
      <c r="C1373" t="s">
        <v>1541</v>
      </c>
      <c r="D1373" s="281">
        <v>5</v>
      </c>
      <c r="E1373" t="s">
        <v>1998</v>
      </c>
      <c r="F1373" t="s">
        <v>633</v>
      </c>
      <c r="G1373" t="s">
        <v>1539</v>
      </c>
      <c r="H1373" t="s">
        <v>1543</v>
      </c>
      <c r="I1373">
        <v>5020000000</v>
      </c>
      <c r="J1373" s="560">
        <v>10000</v>
      </c>
      <c r="K1373" s="560">
        <f t="shared" si="43"/>
        <v>9</v>
      </c>
      <c r="L1373" s="560">
        <f t="shared" si="44"/>
        <v>7</v>
      </c>
    </row>
    <row r="1374" spans="1:19">
      <c r="B1374" s="553">
        <v>44280</v>
      </c>
      <c r="C1374" t="s">
        <v>1541</v>
      </c>
      <c r="D1374" s="281">
        <v>6</v>
      </c>
      <c r="E1374" t="s">
        <v>2037</v>
      </c>
      <c r="F1374" t="s">
        <v>555</v>
      </c>
      <c r="G1374" t="s">
        <v>1539</v>
      </c>
      <c r="H1374" t="s">
        <v>1543</v>
      </c>
      <c r="I1374">
        <v>5020000000</v>
      </c>
      <c r="J1374" s="560">
        <v>25000</v>
      </c>
      <c r="K1374" s="560">
        <f t="shared" si="43"/>
        <v>9</v>
      </c>
      <c r="L1374" s="560">
        <f t="shared" si="44"/>
        <v>6</v>
      </c>
    </row>
    <row r="1375" spans="1:19">
      <c r="B1375" s="553">
        <v>44280</v>
      </c>
      <c r="C1375" t="s">
        <v>1541</v>
      </c>
      <c r="D1375" s="281">
        <v>6</v>
      </c>
      <c r="E1375" t="s">
        <v>2039</v>
      </c>
      <c r="F1375" t="s">
        <v>560</v>
      </c>
      <c r="G1375" t="s">
        <v>1539</v>
      </c>
      <c r="H1375" t="s">
        <v>1543</v>
      </c>
      <c r="I1375">
        <v>5020000000</v>
      </c>
      <c r="J1375" s="560">
        <v>10000</v>
      </c>
      <c r="K1375" s="560">
        <f t="shared" si="43"/>
        <v>9</v>
      </c>
      <c r="L1375" s="560">
        <f t="shared" si="44"/>
        <v>5</v>
      </c>
    </row>
    <row r="1376" spans="1:19">
      <c r="B1376" s="553">
        <v>44280</v>
      </c>
      <c r="C1376" t="s">
        <v>1541</v>
      </c>
      <c r="D1376" s="281">
        <v>6</v>
      </c>
      <c r="E1376" t="s">
        <v>2005</v>
      </c>
      <c r="F1376" t="s">
        <v>678</v>
      </c>
      <c r="G1376" t="s">
        <v>1539</v>
      </c>
      <c r="H1376" t="s">
        <v>1543</v>
      </c>
      <c r="I1376">
        <v>5020000000</v>
      </c>
      <c r="J1376" s="560">
        <v>241200</v>
      </c>
      <c r="K1376" s="560">
        <f t="shared" si="43"/>
        <v>9</v>
      </c>
      <c r="L1376" s="560">
        <f t="shared" si="44"/>
        <v>4</v>
      </c>
    </row>
    <row r="1377" spans="1:19">
      <c r="B1377" s="553">
        <v>44280</v>
      </c>
      <c r="C1377" t="s">
        <v>1541</v>
      </c>
      <c r="D1377" s="281">
        <v>7</v>
      </c>
      <c r="E1377" t="s">
        <v>2037</v>
      </c>
      <c r="F1377" t="s">
        <v>555</v>
      </c>
      <c r="G1377" t="s">
        <v>1539</v>
      </c>
      <c r="H1377" t="s">
        <v>1543</v>
      </c>
      <c r="I1377">
        <v>5020000000</v>
      </c>
      <c r="J1377" s="560">
        <v>30000</v>
      </c>
      <c r="K1377" s="560">
        <f t="shared" si="43"/>
        <v>9</v>
      </c>
      <c r="L1377" s="560">
        <f t="shared" si="44"/>
        <v>3</v>
      </c>
    </row>
    <row r="1378" spans="1:19">
      <c r="B1378" s="553">
        <v>44280</v>
      </c>
      <c r="C1378" t="s">
        <v>1541</v>
      </c>
      <c r="D1378" s="281">
        <v>7</v>
      </c>
      <c r="E1378" t="s">
        <v>2039</v>
      </c>
      <c r="F1378" t="s">
        <v>560</v>
      </c>
      <c r="G1378" t="s">
        <v>1539</v>
      </c>
      <c r="H1378" t="s">
        <v>1543</v>
      </c>
      <c r="I1378">
        <v>5020000000</v>
      </c>
      <c r="J1378" s="560">
        <v>30000</v>
      </c>
      <c r="K1378" s="560">
        <f t="shared" si="43"/>
        <v>9</v>
      </c>
      <c r="L1378" s="560">
        <f t="shared" si="44"/>
        <v>2</v>
      </c>
    </row>
    <row r="1379" spans="1:19">
      <c r="A1379" t="s">
        <v>2327</v>
      </c>
      <c r="B1379" s="553">
        <v>44280</v>
      </c>
      <c r="C1379" t="s">
        <v>1541</v>
      </c>
      <c r="D1379" s="281">
        <v>7</v>
      </c>
      <c r="E1379" t="s">
        <v>2005</v>
      </c>
      <c r="F1379" t="s">
        <v>678</v>
      </c>
      <c r="G1379" t="s">
        <v>1539</v>
      </c>
      <c r="H1379" t="s">
        <v>1543</v>
      </c>
      <c r="I1379">
        <v>5020000000</v>
      </c>
      <c r="J1379" s="560">
        <v>70000</v>
      </c>
      <c r="K1379" s="560">
        <f t="shared" si="43"/>
        <v>9</v>
      </c>
      <c r="L1379" s="560">
        <f t="shared" si="44"/>
        <v>1</v>
      </c>
      <c r="M1379" s="560" t="e">
        <f>SUMIFS('[1]MAIN-101'!$Z$1:$Z$3000,'[1]MAIN-101'!$X$1:$X$3000,S1379)</f>
        <v>#VALUE!</v>
      </c>
      <c r="N1379" s="560"/>
      <c r="O1379" s="560"/>
      <c r="S1379" t="str">
        <f>VLOOKUP(C1379,'Recon of ORS and DV'!$A$4:$B$358,2,FALSE)</f>
        <v>0526</v>
      </c>
    </row>
    <row r="1380" spans="1:19">
      <c r="B1380" s="553">
        <v>44280</v>
      </c>
      <c r="C1380" t="s">
        <v>1542</v>
      </c>
      <c r="D1380" s="281">
        <v>5</v>
      </c>
      <c r="E1380" t="s">
        <v>2037</v>
      </c>
      <c r="F1380" t="s">
        <v>555</v>
      </c>
      <c r="G1380" t="s">
        <v>1540</v>
      </c>
      <c r="H1380" t="s">
        <v>1543</v>
      </c>
      <c r="I1380">
        <v>5020000000</v>
      </c>
      <c r="J1380" s="560">
        <v>10000</v>
      </c>
      <c r="K1380" s="560">
        <f t="shared" si="43"/>
        <v>9</v>
      </c>
      <c r="L1380" s="560">
        <f t="shared" si="44"/>
        <v>9</v>
      </c>
    </row>
    <row r="1381" spans="1:19">
      <c r="B1381" s="553">
        <v>44280</v>
      </c>
      <c r="C1381" t="s">
        <v>1542</v>
      </c>
      <c r="D1381" s="281">
        <v>5</v>
      </c>
      <c r="E1381" t="s">
        <v>2039</v>
      </c>
      <c r="F1381" t="s">
        <v>560</v>
      </c>
      <c r="G1381" t="s">
        <v>1540</v>
      </c>
      <c r="H1381" t="s">
        <v>1543</v>
      </c>
      <c r="I1381">
        <v>5020000000</v>
      </c>
      <c r="J1381" s="560">
        <v>5000</v>
      </c>
      <c r="K1381" s="560">
        <f t="shared" si="43"/>
        <v>9</v>
      </c>
      <c r="L1381" s="560">
        <f t="shared" si="44"/>
        <v>8</v>
      </c>
    </row>
    <row r="1382" spans="1:19">
      <c r="B1382" s="553">
        <v>44280</v>
      </c>
      <c r="C1382" t="s">
        <v>1542</v>
      </c>
      <c r="D1382" s="281">
        <v>5</v>
      </c>
      <c r="E1382" t="s">
        <v>1998</v>
      </c>
      <c r="F1382" t="s">
        <v>633</v>
      </c>
      <c r="G1382" t="s">
        <v>1540</v>
      </c>
      <c r="H1382" t="s">
        <v>1543</v>
      </c>
      <c r="I1382">
        <v>5020000000</v>
      </c>
      <c r="J1382" s="560">
        <v>5000</v>
      </c>
      <c r="K1382" s="560">
        <f t="shared" si="43"/>
        <v>9</v>
      </c>
      <c r="L1382" s="560">
        <f t="shared" si="44"/>
        <v>7</v>
      </c>
    </row>
    <row r="1383" spans="1:19">
      <c r="B1383" s="553">
        <v>44280</v>
      </c>
      <c r="C1383" t="s">
        <v>1542</v>
      </c>
      <c r="D1383" s="281">
        <v>6</v>
      </c>
      <c r="E1383" t="s">
        <v>2037</v>
      </c>
      <c r="F1383" t="s">
        <v>555</v>
      </c>
      <c r="G1383" t="s">
        <v>1540</v>
      </c>
      <c r="H1383" t="s">
        <v>1543</v>
      </c>
      <c r="I1383">
        <v>5020000000</v>
      </c>
      <c r="J1383" s="560">
        <v>20000</v>
      </c>
      <c r="K1383" s="560">
        <f t="shared" si="43"/>
        <v>9</v>
      </c>
      <c r="L1383" s="560">
        <f t="shared" si="44"/>
        <v>6</v>
      </c>
    </row>
    <row r="1384" spans="1:19">
      <c r="B1384" s="553">
        <v>44280</v>
      </c>
      <c r="C1384" t="s">
        <v>1542</v>
      </c>
      <c r="D1384" s="281">
        <v>6</v>
      </c>
      <c r="E1384" t="s">
        <v>2039</v>
      </c>
      <c r="F1384" t="s">
        <v>560</v>
      </c>
      <c r="G1384" t="s">
        <v>1540</v>
      </c>
      <c r="H1384" t="s">
        <v>1543</v>
      </c>
      <c r="I1384">
        <v>5020000000</v>
      </c>
      <c r="J1384" s="560">
        <v>5000</v>
      </c>
      <c r="K1384" s="560">
        <f t="shared" si="43"/>
        <v>9</v>
      </c>
      <c r="L1384" s="560">
        <f t="shared" si="44"/>
        <v>5</v>
      </c>
    </row>
    <row r="1385" spans="1:19">
      <c r="B1385" s="553">
        <v>44280</v>
      </c>
      <c r="C1385" t="s">
        <v>1542</v>
      </c>
      <c r="D1385" s="281">
        <v>6</v>
      </c>
      <c r="E1385" t="s">
        <v>2005</v>
      </c>
      <c r="F1385" t="s">
        <v>678</v>
      </c>
      <c r="G1385" t="s">
        <v>1540</v>
      </c>
      <c r="H1385" t="s">
        <v>1543</v>
      </c>
      <c r="I1385">
        <v>5020000000</v>
      </c>
      <c r="J1385" s="560">
        <v>80000</v>
      </c>
      <c r="K1385" s="560">
        <f t="shared" si="43"/>
        <v>9</v>
      </c>
      <c r="L1385" s="560">
        <f t="shared" si="44"/>
        <v>4</v>
      </c>
    </row>
    <row r="1386" spans="1:19">
      <c r="B1386" s="553">
        <v>44280</v>
      </c>
      <c r="C1386" t="s">
        <v>1542</v>
      </c>
      <c r="D1386" s="281">
        <v>7</v>
      </c>
      <c r="E1386" t="s">
        <v>2037</v>
      </c>
      <c r="F1386" t="s">
        <v>555</v>
      </c>
      <c r="G1386" t="s">
        <v>1540</v>
      </c>
      <c r="H1386" t="s">
        <v>1543</v>
      </c>
      <c r="I1386">
        <v>5020000000</v>
      </c>
      <c r="J1386" s="560">
        <v>20000</v>
      </c>
      <c r="K1386" s="560">
        <f t="shared" si="43"/>
        <v>9</v>
      </c>
      <c r="L1386" s="560">
        <f t="shared" si="44"/>
        <v>3</v>
      </c>
    </row>
    <row r="1387" spans="1:19">
      <c r="B1387" s="553">
        <v>44280</v>
      </c>
      <c r="C1387" t="s">
        <v>1542</v>
      </c>
      <c r="D1387" s="281">
        <v>7</v>
      </c>
      <c r="E1387" t="s">
        <v>2039</v>
      </c>
      <c r="F1387" t="s">
        <v>560</v>
      </c>
      <c r="G1387" t="s">
        <v>1540</v>
      </c>
      <c r="H1387" t="s">
        <v>1543</v>
      </c>
      <c r="I1387">
        <v>5020000000</v>
      </c>
      <c r="J1387" s="560">
        <v>20000</v>
      </c>
      <c r="K1387" s="560">
        <f t="shared" si="43"/>
        <v>9</v>
      </c>
      <c r="L1387" s="560">
        <f t="shared" si="44"/>
        <v>2</v>
      </c>
    </row>
    <row r="1388" spans="1:19">
      <c r="A1388" t="s">
        <v>2328</v>
      </c>
      <c r="B1388" s="553">
        <v>44280</v>
      </c>
      <c r="C1388" t="s">
        <v>1542</v>
      </c>
      <c r="D1388" s="281">
        <v>7</v>
      </c>
      <c r="E1388" t="s">
        <v>2005</v>
      </c>
      <c r="F1388" t="s">
        <v>678</v>
      </c>
      <c r="G1388" t="s">
        <v>1540</v>
      </c>
      <c r="H1388" t="s">
        <v>1543</v>
      </c>
      <c r="I1388">
        <v>5020000000</v>
      </c>
      <c r="J1388" s="560">
        <v>40000</v>
      </c>
      <c r="K1388" s="560">
        <f t="shared" si="43"/>
        <v>9</v>
      </c>
      <c r="L1388" s="560">
        <f t="shared" si="44"/>
        <v>1</v>
      </c>
      <c r="M1388" s="560" t="e">
        <f>SUMIFS('[1]MAIN-101'!$Z$1:$Z$3000,'[1]MAIN-101'!$X$1:$X$3000,S1388)</f>
        <v>#VALUE!</v>
      </c>
      <c r="N1388" s="560"/>
      <c r="O1388" s="560"/>
      <c r="S1388" t="str">
        <f>VLOOKUP(C1388,'Recon of ORS and DV'!$A$4:$B$358,2,FALSE)</f>
        <v>0527</v>
      </c>
    </row>
    <row r="1389" spans="1:19">
      <c r="B1389" s="553">
        <v>44280</v>
      </c>
      <c r="C1389" t="s">
        <v>1544</v>
      </c>
      <c r="D1389" s="281">
        <v>10</v>
      </c>
      <c r="E1389" t="s">
        <v>2037</v>
      </c>
      <c r="F1389" t="s">
        <v>555</v>
      </c>
      <c r="G1389" t="s">
        <v>818</v>
      </c>
      <c r="H1389" t="s">
        <v>1545</v>
      </c>
      <c r="I1389">
        <v>5020000000</v>
      </c>
      <c r="J1389" s="560">
        <v>10000</v>
      </c>
      <c r="K1389" s="560">
        <f t="shared" si="43"/>
        <v>6</v>
      </c>
      <c r="L1389" s="560">
        <f t="shared" si="44"/>
        <v>6</v>
      </c>
    </row>
    <row r="1390" spans="1:19">
      <c r="B1390" s="553">
        <v>44280</v>
      </c>
      <c r="C1390" t="s">
        <v>1544</v>
      </c>
      <c r="D1390" s="281">
        <v>10</v>
      </c>
      <c r="E1390" t="s">
        <v>2039</v>
      </c>
      <c r="F1390" t="s">
        <v>560</v>
      </c>
      <c r="G1390" t="s">
        <v>818</v>
      </c>
      <c r="H1390" t="s">
        <v>1545</v>
      </c>
      <c r="I1390">
        <v>5020000000</v>
      </c>
      <c r="J1390" s="560">
        <v>150000</v>
      </c>
      <c r="K1390" s="560">
        <f t="shared" si="43"/>
        <v>6</v>
      </c>
      <c r="L1390" s="560">
        <f t="shared" si="44"/>
        <v>5</v>
      </c>
    </row>
    <row r="1391" spans="1:19">
      <c r="B1391" s="553">
        <v>44280</v>
      </c>
      <c r="C1391" t="s">
        <v>1544</v>
      </c>
      <c r="D1391" s="281">
        <v>10</v>
      </c>
      <c r="E1391" t="s">
        <v>2021</v>
      </c>
      <c r="F1391" t="s">
        <v>631</v>
      </c>
      <c r="G1391" t="s">
        <v>818</v>
      </c>
      <c r="H1391" t="s">
        <v>1545</v>
      </c>
      <c r="I1391">
        <v>5020000000</v>
      </c>
      <c r="J1391" s="560">
        <v>60000</v>
      </c>
      <c r="K1391" s="560">
        <f t="shared" si="43"/>
        <v>6</v>
      </c>
      <c r="L1391" s="560">
        <f t="shared" si="44"/>
        <v>4</v>
      </c>
    </row>
    <row r="1392" spans="1:19">
      <c r="B1392" s="553">
        <v>44280</v>
      </c>
      <c r="C1392" t="s">
        <v>1544</v>
      </c>
      <c r="D1392" s="281">
        <v>10</v>
      </c>
      <c r="E1392" t="s">
        <v>2005</v>
      </c>
      <c r="F1392" t="s">
        <v>678</v>
      </c>
      <c r="G1392" t="s">
        <v>818</v>
      </c>
      <c r="H1392" t="s">
        <v>1545</v>
      </c>
      <c r="I1392">
        <v>5020000000</v>
      </c>
      <c r="J1392" s="560">
        <v>15000</v>
      </c>
      <c r="K1392" s="560">
        <f t="shared" si="43"/>
        <v>6</v>
      </c>
      <c r="L1392" s="560">
        <f t="shared" si="44"/>
        <v>3</v>
      </c>
    </row>
    <row r="1393" spans="1:19">
      <c r="B1393" s="553">
        <v>44280</v>
      </c>
      <c r="C1393" t="s">
        <v>1544</v>
      </c>
      <c r="D1393" s="281">
        <v>10</v>
      </c>
      <c r="E1393" t="s">
        <v>2008</v>
      </c>
      <c r="F1393" t="s">
        <v>653</v>
      </c>
      <c r="G1393" t="s">
        <v>818</v>
      </c>
      <c r="H1393" t="s">
        <v>1545</v>
      </c>
      <c r="I1393">
        <v>5020000000</v>
      </c>
      <c r="J1393" s="560">
        <v>200000</v>
      </c>
      <c r="K1393" s="560">
        <f t="shared" si="43"/>
        <v>6</v>
      </c>
      <c r="L1393" s="560">
        <f t="shared" si="44"/>
        <v>2</v>
      </c>
    </row>
    <row r="1394" spans="1:19">
      <c r="A1394" t="s">
        <v>2329</v>
      </c>
      <c r="B1394" s="553">
        <v>44280</v>
      </c>
      <c r="C1394" t="s">
        <v>1544</v>
      </c>
      <c r="D1394" s="281">
        <v>10</v>
      </c>
      <c r="E1394" t="s">
        <v>1999</v>
      </c>
      <c r="F1394" t="s">
        <v>672</v>
      </c>
      <c r="G1394" t="s">
        <v>818</v>
      </c>
      <c r="H1394" t="s">
        <v>1545</v>
      </c>
      <c r="I1394">
        <v>5020000000</v>
      </c>
      <c r="J1394" s="560">
        <v>20476.189999999999</v>
      </c>
      <c r="K1394" s="560">
        <f t="shared" si="43"/>
        <v>6</v>
      </c>
      <c r="L1394" s="560">
        <f t="shared" si="44"/>
        <v>1</v>
      </c>
      <c r="M1394" s="560" t="e">
        <f>SUMIFS('[1]MAIN-101'!$Z$1:$Z$3000,'[1]MAIN-101'!$X$1:$X$3000,S1394)</f>
        <v>#VALUE!</v>
      </c>
      <c r="N1394" s="560"/>
      <c r="O1394" s="560"/>
      <c r="S1394" t="str">
        <f>VLOOKUP(C1394,'Recon of ORS and DV'!$A$4:$B$358,2,FALSE)</f>
        <v>0528</v>
      </c>
    </row>
    <row r="1395" spans="1:19">
      <c r="B1395" s="553">
        <v>44280</v>
      </c>
      <c r="C1395" t="s">
        <v>1546</v>
      </c>
      <c r="D1395" s="281">
        <v>10</v>
      </c>
      <c r="E1395" t="s">
        <v>2037</v>
      </c>
      <c r="F1395" t="s">
        <v>555</v>
      </c>
      <c r="G1395" t="s">
        <v>820</v>
      </c>
      <c r="H1395" t="s">
        <v>1545</v>
      </c>
      <c r="I1395">
        <v>5020000000</v>
      </c>
      <c r="J1395" s="560">
        <v>30000</v>
      </c>
      <c r="K1395" s="560">
        <f t="shared" si="43"/>
        <v>5</v>
      </c>
      <c r="L1395" s="560">
        <f t="shared" si="44"/>
        <v>5</v>
      </c>
    </row>
    <row r="1396" spans="1:19">
      <c r="B1396" s="553">
        <v>44280</v>
      </c>
      <c r="C1396" t="s">
        <v>1546</v>
      </c>
      <c r="D1396" s="281">
        <v>10</v>
      </c>
      <c r="E1396" t="s">
        <v>2039</v>
      </c>
      <c r="F1396" t="s">
        <v>560</v>
      </c>
      <c r="G1396" t="s">
        <v>820</v>
      </c>
      <c r="H1396" t="s">
        <v>1545</v>
      </c>
      <c r="I1396">
        <v>5020000000</v>
      </c>
      <c r="J1396" s="560">
        <v>120000</v>
      </c>
      <c r="K1396" s="560">
        <f t="shared" si="43"/>
        <v>5</v>
      </c>
      <c r="L1396" s="560">
        <f t="shared" si="44"/>
        <v>4</v>
      </c>
    </row>
    <row r="1397" spans="1:19">
      <c r="B1397" s="553">
        <v>44280</v>
      </c>
      <c r="C1397" t="s">
        <v>1546</v>
      </c>
      <c r="D1397" s="281">
        <v>10</v>
      </c>
      <c r="E1397" t="s">
        <v>2021</v>
      </c>
      <c r="F1397" t="s">
        <v>631</v>
      </c>
      <c r="G1397" t="s">
        <v>820</v>
      </c>
      <c r="H1397" t="s">
        <v>1545</v>
      </c>
      <c r="I1397">
        <v>5020000000</v>
      </c>
      <c r="J1397" s="560">
        <v>30000</v>
      </c>
      <c r="K1397" s="560">
        <f t="shared" si="43"/>
        <v>5</v>
      </c>
      <c r="L1397" s="560">
        <f t="shared" si="44"/>
        <v>3</v>
      </c>
    </row>
    <row r="1398" spans="1:19">
      <c r="B1398" s="553">
        <v>44280</v>
      </c>
      <c r="C1398" t="s">
        <v>1546</v>
      </c>
      <c r="D1398" s="281">
        <v>10</v>
      </c>
      <c r="E1398" t="s">
        <v>2008</v>
      </c>
      <c r="F1398" t="s">
        <v>653</v>
      </c>
      <c r="G1398" t="s">
        <v>820</v>
      </c>
      <c r="H1398" t="s">
        <v>1545</v>
      </c>
      <c r="I1398">
        <v>5020000000</v>
      </c>
      <c r="J1398" s="560">
        <v>80000</v>
      </c>
      <c r="K1398" s="560">
        <f t="shared" si="43"/>
        <v>5</v>
      </c>
      <c r="L1398" s="560">
        <f t="shared" si="44"/>
        <v>2</v>
      </c>
    </row>
    <row r="1399" spans="1:19">
      <c r="A1399" t="s">
        <v>2330</v>
      </c>
      <c r="B1399" s="553">
        <v>44280</v>
      </c>
      <c r="C1399" t="s">
        <v>1546</v>
      </c>
      <c r="D1399" s="281">
        <v>10</v>
      </c>
      <c r="E1399" t="s">
        <v>1999</v>
      </c>
      <c r="F1399" t="s">
        <v>672</v>
      </c>
      <c r="G1399" t="s">
        <v>820</v>
      </c>
      <c r="H1399" t="s">
        <v>1545</v>
      </c>
      <c r="I1399">
        <v>5020000000</v>
      </c>
      <c r="J1399" s="560">
        <v>24121.43</v>
      </c>
      <c r="K1399" s="560">
        <f t="shared" si="43"/>
        <v>5</v>
      </c>
      <c r="L1399" s="560">
        <f t="shared" si="44"/>
        <v>1</v>
      </c>
      <c r="M1399" s="560" t="e">
        <f>SUMIFS('[1]MAIN-101'!$Z$1:$Z$3000,'[1]MAIN-101'!$X$1:$X$3000,S1399)</f>
        <v>#VALUE!</v>
      </c>
      <c r="N1399" s="560"/>
      <c r="O1399" s="560"/>
      <c r="S1399" t="str">
        <f>VLOOKUP(C1399,'Recon of ORS and DV'!$A$4:$B$358,2,FALSE)</f>
        <v>0529</v>
      </c>
    </row>
    <row r="1400" spans="1:19">
      <c r="B1400" s="553">
        <v>44280</v>
      </c>
      <c r="C1400" t="s">
        <v>1547</v>
      </c>
      <c r="D1400" s="281">
        <v>10</v>
      </c>
      <c r="E1400" t="s">
        <v>2037</v>
      </c>
      <c r="F1400" t="s">
        <v>555</v>
      </c>
      <c r="G1400" t="s">
        <v>1539</v>
      </c>
      <c r="H1400" t="s">
        <v>1545</v>
      </c>
      <c r="I1400">
        <v>5020000000</v>
      </c>
      <c r="J1400" s="560">
        <v>50000</v>
      </c>
      <c r="K1400" s="560">
        <f t="shared" si="43"/>
        <v>5</v>
      </c>
      <c r="L1400" s="560">
        <f t="shared" si="44"/>
        <v>5</v>
      </c>
    </row>
    <row r="1401" spans="1:19">
      <c r="B1401" s="553">
        <v>44280</v>
      </c>
      <c r="C1401" t="s">
        <v>1547</v>
      </c>
      <c r="D1401" s="281">
        <v>10</v>
      </c>
      <c r="E1401" t="s">
        <v>2039</v>
      </c>
      <c r="F1401" t="s">
        <v>560</v>
      </c>
      <c r="G1401" t="s">
        <v>1539</v>
      </c>
      <c r="H1401" t="s">
        <v>1545</v>
      </c>
      <c r="I1401">
        <v>5020000000</v>
      </c>
      <c r="J1401" s="560">
        <v>50000</v>
      </c>
      <c r="K1401" s="560">
        <f t="shared" si="43"/>
        <v>5</v>
      </c>
      <c r="L1401" s="560">
        <f t="shared" si="44"/>
        <v>4</v>
      </c>
    </row>
    <row r="1402" spans="1:19">
      <c r="B1402" s="553">
        <v>44280</v>
      </c>
      <c r="C1402" t="s">
        <v>1547</v>
      </c>
      <c r="D1402" s="281">
        <v>10</v>
      </c>
      <c r="E1402" t="s">
        <v>2021</v>
      </c>
      <c r="F1402" t="s">
        <v>631</v>
      </c>
      <c r="G1402" t="s">
        <v>1539</v>
      </c>
      <c r="H1402" t="s">
        <v>1545</v>
      </c>
      <c r="I1402">
        <v>5020000000</v>
      </c>
      <c r="J1402" s="560">
        <v>50000</v>
      </c>
      <c r="K1402" s="560">
        <f t="shared" si="43"/>
        <v>5</v>
      </c>
      <c r="L1402" s="560">
        <f t="shared" si="44"/>
        <v>3</v>
      </c>
    </row>
    <row r="1403" spans="1:19">
      <c r="B1403" s="553">
        <v>44280</v>
      </c>
      <c r="C1403" t="s">
        <v>1547</v>
      </c>
      <c r="D1403" s="281">
        <v>10</v>
      </c>
      <c r="E1403" t="s">
        <v>2008</v>
      </c>
      <c r="F1403" t="s">
        <v>653</v>
      </c>
      <c r="G1403" t="s">
        <v>1539</v>
      </c>
      <c r="H1403" t="s">
        <v>1545</v>
      </c>
      <c r="I1403">
        <v>5020000000</v>
      </c>
      <c r="J1403" s="560">
        <v>67000</v>
      </c>
      <c r="K1403" s="560">
        <f t="shared" si="43"/>
        <v>5</v>
      </c>
      <c r="L1403" s="560">
        <f t="shared" si="44"/>
        <v>2</v>
      </c>
    </row>
    <row r="1404" spans="1:19">
      <c r="A1404" t="s">
        <v>2331</v>
      </c>
      <c r="B1404" s="553">
        <v>44280</v>
      </c>
      <c r="C1404" t="s">
        <v>1547</v>
      </c>
      <c r="D1404" s="281">
        <v>10</v>
      </c>
      <c r="E1404" t="s">
        <v>1999</v>
      </c>
      <c r="F1404" t="s">
        <v>672</v>
      </c>
      <c r="G1404" t="s">
        <v>1539</v>
      </c>
      <c r="H1404" t="s">
        <v>1545</v>
      </c>
      <c r="I1404">
        <v>5020000000</v>
      </c>
      <c r="J1404" s="560">
        <v>24007.14</v>
      </c>
      <c r="K1404" s="560">
        <f t="shared" si="43"/>
        <v>5</v>
      </c>
      <c r="L1404" s="560">
        <f t="shared" si="44"/>
        <v>1</v>
      </c>
      <c r="M1404" s="560" t="e">
        <f>SUMIFS('[1]MAIN-101'!$Z$1:$Z$3000,'[1]MAIN-101'!$X$1:$X$3000,S1404)</f>
        <v>#VALUE!</v>
      </c>
      <c r="N1404" s="560"/>
      <c r="O1404" s="560"/>
      <c r="S1404" t="str">
        <f>VLOOKUP(C1404,'Recon of ORS and DV'!$A$4:$B$358,2,FALSE)</f>
        <v>0530</v>
      </c>
    </row>
    <row r="1405" spans="1:19">
      <c r="B1405" s="553">
        <v>44280</v>
      </c>
      <c r="C1405" t="s">
        <v>1548</v>
      </c>
      <c r="D1405" s="281">
        <v>10</v>
      </c>
      <c r="E1405" t="s">
        <v>2037</v>
      </c>
      <c r="F1405" t="s">
        <v>555</v>
      </c>
      <c r="G1405" t="s">
        <v>1540</v>
      </c>
      <c r="H1405" t="s">
        <v>1545</v>
      </c>
      <c r="I1405">
        <v>5020000000</v>
      </c>
      <c r="J1405" s="560">
        <v>50000</v>
      </c>
      <c r="K1405" s="560">
        <f t="shared" si="43"/>
        <v>5</v>
      </c>
      <c r="L1405" s="560">
        <f t="shared" si="44"/>
        <v>5</v>
      </c>
    </row>
    <row r="1406" spans="1:19">
      <c r="B1406" s="553">
        <v>44280</v>
      </c>
      <c r="C1406" t="s">
        <v>1548</v>
      </c>
      <c r="D1406" s="281">
        <v>10</v>
      </c>
      <c r="E1406" t="s">
        <v>2039</v>
      </c>
      <c r="F1406" t="s">
        <v>560</v>
      </c>
      <c r="G1406" t="s">
        <v>1540</v>
      </c>
      <c r="H1406" t="s">
        <v>1545</v>
      </c>
      <c r="I1406">
        <v>5020000000</v>
      </c>
      <c r="J1406" s="560">
        <v>50000</v>
      </c>
      <c r="K1406" s="560">
        <f t="shared" si="43"/>
        <v>5</v>
      </c>
      <c r="L1406" s="560">
        <f t="shared" si="44"/>
        <v>4</v>
      </c>
    </row>
    <row r="1407" spans="1:19">
      <c r="B1407" s="553">
        <v>44280</v>
      </c>
      <c r="C1407" t="s">
        <v>1548</v>
      </c>
      <c r="D1407" s="281">
        <v>10</v>
      </c>
      <c r="E1407" t="s">
        <v>2021</v>
      </c>
      <c r="F1407" t="s">
        <v>631</v>
      </c>
      <c r="G1407" t="s">
        <v>1540</v>
      </c>
      <c r="H1407" t="s">
        <v>1545</v>
      </c>
      <c r="I1407">
        <v>5020000000</v>
      </c>
      <c r="J1407" s="560">
        <v>50000</v>
      </c>
      <c r="K1407" s="560">
        <f t="shared" si="43"/>
        <v>5</v>
      </c>
      <c r="L1407" s="560">
        <f t="shared" si="44"/>
        <v>3</v>
      </c>
    </row>
    <row r="1408" spans="1:19">
      <c r="B1408" s="553">
        <v>44280</v>
      </c>
      <c r="C1408" t="s">
        <v>1548</v>
      </c>
      <c r="D1408" s="281">
        <v>10</v>
      </c>
      <c r="E1408" t="s">
        <v>2008</v>
      </c>
      <c r="F1408" t="s">
        <v>653</v>
      </c>
      <c r="G1408" t="s">
        <v>1540</v>
      </c>
      <c r="H1408" t="s">
        <v>1545</v>
      </c>
      <c r="I1408">
        <v>5020000000</v>
      </c>
      <c r="J1408" s="560">
        <v>147000</v>
      </c>
      <c r="K1408" s="560">
        <f t="shared" si="43"/>
        <v>5</v>
      </c>
      <c r="L1408" s="560">
        <f t="shared" si="44"/>
        <v>2</v>
      </c>
    </row>
    <row r="1409" spans="1:19">
      <c r="A1409" t="s">
        <v>2332</v>
      </c>
      <c r="B1409" s="553">
        <v>44280</v>
      </c>
      <c r="C1409" t="s">
        <v>1548</v>
      </c>
      <c r="D1409" s="281">
        <v>10</v>
      </c>
      <c r="E1409" t="s">
        <v>1999</v>
      </c>
      <c r="F1409" t="s">
        <v>672</v>
      </c>
      <c r="G1409" t="s">
        <v>1540</v>
      </c>
      <c r="H1409" t="s">
        <v>1545</v>
      </c>
      <c r="I1409">
        <v>5020000000</v>
      </c>
      <c r="J1409" s="560">
        <v>24342.85</v>
      </c>
      <c r="K1409" s="560">
        <f t="shared" si="43"/>
        <v>5</v>
      </c>
      <c r="L1409" s="560">
        <f t="shared" si="44"/>
        <v>1</v>
      </c>
      <c r="M1409" s="560" t="e">
        <f>SUMIFS('[1]MAIN-101'!$Z$1:$Z$3000,'[1]MAIN-101'!$X$1:$X$3000,S1409)</f>
        <v>#VALUE!</v>
      </c>
      <c r="N1409" s="560"/>
      <c r="O1409" s="560"/>
      <c r="S1409" t="str">
        <f>VLOOKUP(C1409,'Recon of ORS and DV'!$A$4:$B$358,2,FALSE)</f>
        <v>0531</v>
      </c>
    </row>
    <row r="1410" spans="1:19">
      <c r="B1410" s="553">
        <v>44280</v>
      </c>
      <c r="C1410" t="s">
        <v>1549</v>
      </c>
      <c r="D1410" s="281">
        <v>1</v>
      </c>
      <c r="E1410" t="s">
        <v>2007</v>
      </c>
      <c r="F1410" t="s">
        <v>638</v>
      </c>
      <c r="G1410" t="s">
        <v>1075</v>
      </c>
      <c r="H1410" t="s">
        <v>1551</v>
      </c>
      <c r="I1410">
        <v>5020000000</v>
      </c>
      <c r="J1410" s="560">
        <v>10400</v>
      </c>
      <c r="K1410" s="560">
        <f t="shared" si="43"/>
        <v>2</v>
      </c>
      <c r="L1410" s="560">
        <f t="shared" si="44"/>
        <v>2</v>
      </c>
    </row>
    <row r="1411" spans="1:19">
      <c r="A1411" t="s">
        <v>2333</v>
      </c>
      <c r="B1411" s="553">
        <v>44280</v>
      </c>
      <c r="C1411" t="s">
        <v>1549</v>
      </c>
      <c r="D1411" s="281">
        <v>1</v>
      </c>
      <c r="E1411" t="s">
        <v>1997</v>
      </c>
      <c r="F1411" t="s">
        <v>642</v>
      </c>
      <c r="G1411" t="s">
        <v>1075</v>
      </c>
      <c r="H1411" t="s">
        <v>1551</v>
      </c>
      <c r="I1411">
        <v>5020000000</v>
      </c>
      <c r="J1411" s="560">
        <v>3720</v>
      </c>
      <c r="K1411" s="560">
        <f t="shared" si="43"/>
        <v>2</v>
      </c>
      <c r="L1411" s="560">
        <f t="shared" si="44"/>
        <v>1</v>
      </c>
      <c r="M1411" s="560" t="e">
        <f>SUMIFS('[1]MAIN-101'!$Z$1:$Z$3000,'[1]MAIN-101'!$X$1:$X$3000,S1411)</f>
        <v>#VALUE!</v>
      </c>
      <c r="N1411" s="560"/>
      <c r="O1411" s="560"/>
      <c r="S1411" t="str">
        <f>VLOOKUP(C1411,'Recon of ORS and DV'!$A$4:$B$358,2,FALSE)</f>
        <v>0577</v>
      </c>
    </row>
    <row r="1412" spans="1:19">
      <c r="B1412" s="553">
        <v>44280</v>
      </c>
      <c r="C1412" t="s">
        <v>1550</v>
      </c>
      <c r="D1412" s="281">
        <v>10</v>
      </c>
      <c r="E1412" t="s">
        <v>1998</v>
      </c>
      <c r="F1412" t="s">
        <v>633</v>
      </c>
      <c r="G1412" t="s">
        <v>1075</v>
      </c>
      <c r="H1412" t="s">
        <v>1551</v>
      </c>
      <c r="I1412">
        <v>5020000000</v>
      </c>
      <c r="J1412" s="560">
        <v>5534</v>
      </c>
      <c r="K1412" s="560">
        <f t="shared" ref="K1412:K1475" si="45">COUNTIFS($C$3:$C$1556,C1412)</f>
        <v>4</v>
      </c>
      <c r="L1412" s="560">
        <f t="shared" si="44"/>
        <v>4</v>
      </c>
    </row>
    <row r="1413" spans="1:19">
      <c r="B1413" s="553">
        <v>44280</v>
      </c>
      <c r="C1413" t="s">
        <v>1550</v>
      </c>
      <c r="D1413" s="281">
        <v>1</v>
      </c>
      <c r="E1413" t="s">
        <v>2004</v>
      </c>
      <c r="F1413" t="s">
        <v>629</v>
      </c>
      <c r="G1413" t="s">
        <v>1075</v>
      </c>
      <c r="H1413" t="s">
        <v>1551</v>
      </c>
      <c r="I1413">
        <v>5020000000</v>
      </c>
      <c r="J1413" s="560">
        <v>5534</v>
      </c>
      <c r="K1413" s="560">
        <f t="shared" si="45"/>
        <v>4</v>
      </c>
      <c r="L1413" s="560">
        <f t="shared" si="44"/>
        <v>3</v>
      </c>
    </row>
    <row r="1414" spans="1:19">
      <c r="B1414" s="553">
        <v>44280</v>
      </c>
      <c r="C1414" t="s">
        <v>1550</v>
      </c>
      <c r="D1414" s="281">
        <v>1</v>
      </c>
      <c r="E1414" t="s">
        <v>1998</v>
      </c>
      <c r="F1414" t="s">
        <v>633</v>
      </c>
      <c r="G1414" t="s">
        <v>1075</v>
      </c>
      <c r="H1414" t="s">
        <v>1551</v>
      </c>
      <c r="I1414">
        <v>5020000000</v>
      </c>
      <c r="J1414" s="560">
        <v>16692</v>
      </c>
      <c r="K1414" s="560">
        <f t="shared" si="45"/>
        <v>4</v>
      </c>
      <c r="L1414" s="560">
        <f t="shared" si="44"/>
        <v>2</v>
      </c>
    </row>
    <row r="1415" spans="1:19">
      <c r="A1415" t="s">
        <v>2334</v>
      </c>
      <c r="B1415" s="553">
        <v>44280</v>
      </c>
      <c r="C1415" t="s">
        <v>1550</v>
      </c>
      <c r="D1415" s="281">
        <v>4</v>
      </c>
      <c r="E1415" t="s">
        <v>1998</v>
      </c>
      <c r="F1415" t="s">
        <v>633</v>
      </c>
      <c r="G1415" t="s">
        <v>1075</v>
      </c>
      <c r="H1415" t="s">
        <v>1551</v>
      </c>
      <c r="I1415">
        <v>5020000000</v>
      </c>
      <c r="J1415" s="560">
        <v>16026.5</v>
      </c>
      <c r="K1415" s="560">
        <f t="shared" si="45"/>
        <v>4</v>
      </c>
      <c r="L1415" s="560">
        <f t="shared" si="44"/>
        <v>1</v>
      </c>
      <c r="M1415" s="560" t="e">
        <f>SUMIFS('[1]MAIN-101'!$Z$1:$Z$3000,'[1]MAIN-101'!$X$1:$X$3000,S1415)</f>
        <v>#VALUE!</v>
      </c>
      <c r="N1415" s="560"/>
      <c r="O1415" s="560"/>
      <c r="S1415" t="str">
        <f>VLOOKUP(C1415,'Recon of ORS and DV'!$A$4:$B$358,2,FALSE)</f>
        <v>0578</v>
      </c>
    </row>
    <row r="1416" spans="1:19">
      <c r="A1416" t="s">
        <v>2335</v>
      </c>
      <c r="B1416" s="553">
        <v>44280</v>
      </c>
      <c r="C1416" t="s">
        <v>1552</v>
      </c>
      <c r="D1416" s="281">
        <v>7</v>
      </c>
      <c r="E1416" t="s">
        <v>2002</v>
      </c>
      <c r="F1416" t="s">
        <v>603</v>
      </c>
      <c r="G1416" t="s">
        <v>1102</v>
      </c>
      <c r="H1416" t="s">
        <v>1553</v>
      </c>
      <c r="I1416">
        <v>5020000000</v>
      </c>
      <c r="J1416" s="560">
        <v>1200</v>
      </c>
      <c r="K1416" s="560">
        <f t="shared" si="45"/>
        <v>1</v>
      </c>
      <c r="L1416" s="560">
        <f t="shared" si="44"/>
        <v>1</v>
      </c>
      <c r="M1416" s="560" t="e">
        <f>SUMIFS('[1]MAIN-101'!$Z$1:$Z$3000,'[1]MAIN-101'!$X$1:$X$3000,S1416)</f>
        <v>#VALUE!</v>
      </c>
      <c r="N1416" s="560"/>
      <c r="O1416" s="560"/>
      <c r="S1416" t="str">
        <f>VLOOKUP(C1416,'Recon of ORS and DV'!$A$4:$B$358,2,FALSE)</f>
        <v>0532</v>
      </c>
    </row>
    <row r="1417" spans="1:19">
      <c r="B1417" s="553">
        <v>44280</v>
      </c>
      <c r="C1417" t="s">
        <v>1554</v>
      </c>
      <c r="D1417" s="281">
        <v>4</v>
      </c>
      <c r="E1417" t="s">
        <v>2037</v>
      </c>
      <c r="F1417" t="s">
        <v>555</v>
      </c>
      <c r="G1417" t="s">
        <v>818</v>
      </c>
      <c r="H1417" t="s">
        <v>1556</v>
      </c>
      <c r="I1417">
        <v>5020000000</v>
      </c>
      <c r="J1417" s="560">
        <v>180000</v>
      </c>
      <c r="K1417" s="560">
        <f t="shared" si="45"/>
        <v>8</v>
      </c>
      <c r="L1417" s="560">
        <f t="shared" si="44"/>
        <v>8</v>
      </c>
    </row>
    <row r="1418" spans="1:19">
      <c r="B1418" s="553">
        <v>44280</v>
      </c>
      <c r="C1418" t="s">
        <v>1554</v>
      </c>
      <c r="D1418" s="281">
        <v>4</v>
      </c>
      <c r="E1418" t="s">
        <v>2032</v>
      </c>
      <c r="F1418" t="s">
        <v>565</v>
      </c>
      <c r="G1418" t="s">
        <v>818</v>
      </c>
      <c r="H1418" t="s">
        <v>1556</v>
      </c>
      <c r="I1418">
        <v>5020000000</v>
      </c>
      <c r="J1418" s="560">
        <v>20000</v>
      </c>
      <c r="K1418" s="560">
        <f t="shared" si="45"/>
        <v>8</v>
      </c>
      <c r="L1418" s="560">
        <f t="shared" si="44"/>
        <v>7</v>
      </c>
    </row>
    <row r="1419" spans="1:19">
      <c r="B1419" s="553">
        <v>44280</v>
      </c>
      <c r="C1419" t="s">
        <v>1554</v>
      </c>
      <c r="D1419" s="281">
        <v>4</v>
      </c>
      <c r="E1419" t="s">
        <v>2041</v>
      </c>
      <c r="F1419" t="s">
        <v>601</v>
      </c>
      <c r="G1419" t="s">
        <v>818</v>
      </c>
      <c r="H1419" t="s">
        <v>1556</v>
      </c>
      <c r="I1419">
        <v>5020000000</v>
      </c>
      <c r="J1419" s="560">
        <v>6000</v>
      </c>
      <c r="K1419" s="560">
        <f t="shared" si="45"/>
        <v>8</v>
      </c>
      <c r="L1419" s="560">
        <f t="shared" si="44"/>
        <v>6</v>
      </c>
    </row>
    <row r="1420" spans="1:19">
      <c r="B1420" s="553">
        <v>44280</v>
      </c>
      <c r="C1420" t="s">
        <v>1554</v>
      </c>
      <c r="D1420" s="281">
        <v>4</v>
      </c>
      <c r="E1420" t="s">
        <v>2002</v>
      </c>
      <c r="F1420" t="s">
        <v>603</v>
      </c>
      <c r="G1420" t="s">
        <v>818</v>
      </c>
      <c r="H1420" t="s">
        <v>1556</v>
      </c>
      <c r="I1420">
        <v>5020000000</v>
      </c>
      <c r="J1420" s="560">
        <v>10000</v>
      </c>
      <c r="K1420" s="560">
        <f t="shared" si="45"/>
        <v>8</v>
      </c>
      <c r="L1420" s="560">
        <f t="shared" si="44"/>
        <v>5</v>
      </c>
    </row>
    <row r="1421" spans="1:19">
      <c r="B1421" s="553">
        <v>44280</v>
      </c>
      <c r="C1421" t="s">
        <v>1554</v>
      </c>
      <c r="D1421" s="281">
        <v>4</v>
      </c>
      <c r="E1421" t="s">
        <v>1998</v>
      </c>
      <c r="F1421" t="s">
        <v>633</v>
      </c>
      <c r="G1421" t="s">
        <v>818</v>
      </c>
      <c r="H1421" t="s">
        <v>1556</v>
      </c>
      <c r="I1421">
        <v>5020000000</v>
      </c>
      <c r="J1421" s="560">
        <v>120000</v>
      </c>
      <c r="K1421" s="560">
        <f t="shared" si="45"/>
        <v>8</v>
      </c>
      <c r="L1421" s="560">
        <f t="shared" si="44"/>
        <v>4</v>
      </c>
    </row>
    <row r="1422" spans="1:19">
      <c r="B1422" s="553">
        <v>44280</v>
      </c>
      <c r="C1422" t="s">
        <v>1554</v>
      </c>
      <c r="D1422" s="281">
        <v>4</v>
      </c>
      <c r="E1422" t="s">
        <v>2005</v>
      </c>
      <c r="F1422" t="s">
        <v>678</v>
      </c>
      <c r="G1422" t="s">
        <v>818</v>
      </c>
      <c r="H1422" t="s">
        <v>1556</v>
      </c>
      <c r="I1422">
        <v>5020000000</v>
      </c>
      <c r="J1422" s="560">
        <v>140000</v>
      </c>
      <c r="K1422" s="560">
        <f t="shared" si="45"/>
        <v>8</v>
      </c>
      <c r="L1422" s="560">
        <f t="shared" si="44"/>
        <v>3</v>
      </c>
    </row>
    <row r="1423" spans="1:19">
      <c r="B1423" s="553">
        <v>44280</v>
      </c>
      <c r="C1423" t="s">
        <v>1554</v>
      </c>
      <c r="D1423" s="281">
        <v>4</v>
      </c>
      <c r="E1423" t="s">
        <v>1997</v>
      </c>
      <c r="F1423" t="s">
        <v>642</v>
      </c>
      <c r="G1423" t="s">
        <v>818</v>
      </c>
      <c r="H1423" t="s">
        <v>1556</v>
      </c>
      <c r="I1423">
        <v>5020000000</v>
      </c>
      <c r="J1423" s="560">
        <v>40000</v>
      </c>
      <c r="K1423" s="560">
        <f t="shared" si="45"/>
        <v>8</v>
      </c>
      <c r="L1423" s="560">
        <f t="shared" ref="L1423:L1486" si="46">COUNTIFS(C1423:C2976,C1423)</f>
        <v>2</v>
      </c>
    </row>
    <row r="1424" spans="1:19">
      <c r="A1424" t="s">
        <v>2336</v>
      </c>
      <c r="B1424" s="553">
        <v>44280</v>
      </c>
      <c r="C1424" t="s">
        <v>1554</v>
      </c>
      <c r="D1424" s="281">
        <v>4</v>
      </c>
      <c r="E1424" t="s">
        <v>2007</v>
      </c>
      <c r="F1424" t="s">
        <v>638</v>
      </c>
      <c r="G1424" t="s">
        <v>818</v>
      </c>
      <c r="H1424" t="s">
        <v>1556</v>
      </c>
      <c r="I1424">
        <v>5020000000</v>
      </c>
      <c r="J1424" s="560">
        <v>34000</v>
      </c>
      <c r="K1424" s="560">
        <f t="shared" si="45"/>
        <v>8</v>
      </c>
      <c r="L1424" s="560">
        <f t="shared" si="46"/>
        <v>1</v>
      </c>
      <c r="M1424" s="560" t="e">
        <f>SUMIFS('[1]MAIN-101'!$Z$1:$Z$3000,'[1]MAIN-101'!$X$1:$X$3000,S1424)</f>
        <v>#VALUE!</v>
      </c>
      <c r="N1424" s="560"/>
      <c r="O1424" s="560"/>
      <c r="S1424" t="str">
        <f>VLOOKUP(C1424,'Recon of ORS and DV'!$A$4:$B$358,2,FALSE)</f>
        <v>0543</v>
      </c>
    </row>
    <row r="1425" spans="1:19">
      <c r="B1425" s="553">
        <v>44280</v>
      </c>
      <c r="C1425" t="s">
        <v>1557</v>
      </c>
      <c r="D1425" s="281">
        <v>4</v>
      </c>
      <c r="E1425" t="s">
        <v>2037</v>
      </c>
      <c r="F1425" t="s">
        <v>555</v>
      </c>
      <c r="G1425" t="s">
        <v>820</v>
      </c>
      <c r="H1425" t="s">
        <v>1556</v>
      </c>
      <c r="I1425">
        <v>5020000000</v>
      </c>
      <c r="J1425" s="560">
        <v>190000</v>
      </c>
      <c r="K1425" s="560">
        <f t="shared" si="45"/>
        <v>8</v>
      </c>
      <c r="L1425" s="560">
        <f t="shared" si="46"/>
        <v>8</v>
      </c>
    </row>
    <row r="1426" spans="1:19">
      <c r="B1426" s="553">
        <v>44280</v>
      </c>
      <c r="C1426" t="s">
        <v>1557</v>
      </c>
      <c r="D1426" s="281">
        <v>4</v>
      </c>
      <c r="E1426" t="s">
        <v>2032</v>
      </c>
      <c r="F1426" t="s">
        <v>565</v>
      </c>
      <c r="G1426" t="s">
        <v>820</v>
      </c>
      <c r="H1426" t="s">
        <v>1556</v>
      </c>
      <c r="I1426">
        <v>5020000000</v>
      </c>
      <c r="J1426" s="560">
        <v>20000</v>
      </c>
      <c r="K1426" s="560">
        <f t="shared" si="45"/>
        <v>8</v>
      </c>
      <c r="L1426" s="560">
        <f t="shared" si="46"/>
        <v>7</v>
      </c>
    </row>
    <row r="1427" spans="1:19">
      <c r="B1427" s="553">
        <v>44280</v>
      </c>
      <c r="C1427" t="s">
        <v>1557</v>
      </c>
      <c r="D1427" s="281">
        <v>4</v>
      </c>
      <c r="E1427" t="s">
        <v>2041</v>
      </c>
      <c r="F1427" t="s">
        <v>601</v>
      </c>
      <c r="G1427" t="s">
        <v>820</v>
      </c>
      <c r="H1427" t="s">
        <v>1556</v>
      </c>
      <c r="I1427">
        <v>5020000000</v>
      </c>
      <c r="J1427" s="560">
        <v>6000</v>
      </c>
      <c r="K1427" s="560">
        <f t="shared" si="45"/>
        <v>8</v>
      </c>
      <c r="L1427" s="560">
        <f t="shared" si="46"/>
        <v>6</v>
      </c>
    </row>
    <row r="1428" spans="1:19">
      <c r="B1428" s="553">
        <v>44280</v>
      </c>
      <c r="C1428" t="s">
        <v>1557</v>
      </c>
      <c r="D1428" s="281">
        <v>4</v>
      </c>
      <c r="E1428" t="s">
        <v>2002</v>
      </c>
      <c r="F1428" t="s">
        <v>603</v>
      </c>
      <c r="G1428" t="s">
        <v>820</v>
      </c>
      <c r="H1428" t="s">
        <v>1556</v>
      </c>
      <c r="I1428">
        <v>5020000000</v>
      </c>
      <c r="J1428" s="560">
        <v>10000</v>
      </c>
      <c r="K1428" s="560">
        <f t="shared" si="45"/>
        <v>8</v>
      </c>
      <c r="L1428" s="560">
        <f t="shared" si="46"/>
        <v>5</v>
      </c>
    </row>
    <row r="1429" spans="1:19">
      <c r="B1429" s="553">
        <v>44280</v>
      </c>
      <c r="C1429" t="s">
        <v>1557</v>
      </c>
      <c r="D1429" s="281">
        <v>4</v>
      </c>
      <c r="E1429" t="s">
        <v>1998</v>
      </c>
      <c r="F1429" t="s">
        <v>633</v>
      </c>
      <c r="G1429" t="s">
        <v>820</v>
      </c>
      <c r="H1429" t="s">
        <v>1556</v>
      </c>
      <c r="I1429">
        <v>5020000000</v>
      </c>
      <c r="J1429" s="560">
        <v>120000</v>
      </c>
      <c r="K1429" s="560">
        <f t="shared" si="45"/>
        <v>8</v>
      </c>
      <c r="L1429" s="560">
        <f t="shared" si="46"/>
        <v>4</v>
      </c>
    </row>
    <row r="1430" spans="1:19">
      <c r="B1430" s="553">
        <v>44280</v>
      </c>
      <c r="C1430" t="s">
        <v>1557</v>
      </c>
      <c r="D1430" s="281">
        <v>4</v>
      </c>
      <c r="E1430" t="s">
        <v>2005</v>
      </c>
      <c r="F1430" t="s">
        <v>678</v>
      </c>
      <c r="G1430" t="s">
        <v>820</v>
      </c>
      <c r="H1430" t="s">
        <v>1556</v>
      </c>
      <c r="I1430">
        <v>5020000000</v>
      </c>
      <c r="J1430" s="560">
        <v>140000</v>
      </c>
      <c r="K1430" s="560">
        <f t="shared" si="45"/>
        <v>8</v>
      </c>
      <c r="L1430" s="560">
        <f t="shared" si="46"/>
        <v>3</v>
      </c>
    </row>
    <row r="1431" spans="1:19">
      <c r="B1431" s="553">
        <v>44280</v>
      </c>
      <c r="C1431" t="s">
        <v>1557</v>
      </c>
      <c r="D1431" s="281">
        <v>4</v>
      </c>
      <c r="E1431" t="s">
        <v>1997</v>
      </c>
      <c r="F1431" t="s">
        <v>642</v>
      </c>
      <c r="G1431" t="s">
        <v>820</v>
      </c>
      <c r="H1431" t="s">
        <v>1556</v>
      </c>
      <c r="I1431">
        <v>5020000000</v>
      </c>
      <c r="J1431" s="560">
        <v>60000</v>
      </c>
      <c r="K1431" s="560">
        <f t="shared" si="45"/>
        <v>8</v>
      </c>
      <c r="L1431" s="560">
        <f t="shared" si="46"/>
        <v>2</v>
      </c>
    </row>
    <row r="1432" spans="1:19">
      <c r="A1432" t="s">
        <v>2337</v>
      </c>
      <c r="B1432" s="553">
        <v>44280</v>
      </c>
      <c r="C1432" t="s">
        <v>1557</v>
      </c>
      <c r="D1432" s="281">
        <v>4</v>
      </c>
      <c r="E1432" t="s">
        <v>2007</v>
      </c>
      <c r="F1432" t="s">
        <v>638</v>
      </c>
      <c r="G1432" t="s">
        <v>820</v>
      </c>
      <c r="H1432" t="s">
        <v>1556</v>
      </c>
      <c r="I1432">
        <v>5020000000</v>
      </c>
      <c r="J1432" s="560">
        <v>4000</v>
      </c>
      <c r="K1432" s="560">
        <f t="shared" si="45"/>
        <v>8</v>
      </c>
      <c r="L1432" s="560">
        <f t="shared" si="46"/>
        <v>1</v>
      </c>
      <c r="M1432" s="560" t="e">
        <f>SUMIFS('[1]MAIN-101'!$Z$1:$Z$3000,'[1]MAIN-101'!$X$1:$X$3000,S1432)</f>
        <v>#VALUE!</v>
      </c>
      <c r="N1432" s="560"/>
      <c r="O1432" s="560"/>
      <c r="S1432" t="str">
        <f>VLOOKUP(C1432,'Recon of ORS and DV'!$A$4:$B$358,2,FALSE)</f>
        <v>0544</v>
      </c>
    </row>
    <row r="1433" spans="1:19">
      <c r="B1433" s="553">
        <v>44280</v>
      </c>
      <c r="C1433" t="s">
        <v>1558</v>
      </c>
      <c r="D1433" s="281">
        <v>4</v>
      </c>
      <c r="E1433" t="s">
        <v>2037</v>
      </c>
      <c r="F1433" t="s">
        <v>555</v>
      </c>
      <c r="G1433" t="s">
        <v>1539</v>
      </c>
      <c r="H1433" t="s">
        <v>1556</v>
      </c>
      <c r="I1433">
        <v>5020000000</v>
      </c>
      <c r="J1433" s="560">
        <v>200000</v>
      </c>
      <c r="K1433" s="560">
        <f t="shared" si="45"/>
        <v>8</v>
      </c>
      <c r="L1433" s="560">
        <f t="shared" si="46"/>
        <v>8</v>
      </c>
    </row>
    <row r="1434" spans="1:19">
      <c r="B1434" s="553">
        <v>44280</v>
      </c>
      <c r="C1434" t="s">
        <v>1558</v>
      </c>
      <c r="D1434" s="281">
        <v>4</v>
      </c>
      <c r="E1434" t="s">
        <v>2032</v>
      </c>
      <c r="F1434" t="s">
        <v>565</v>
      </c>
      <c r="G1434" t="s">
        <v>1539</v>
      </c>
      <c r="H1434" t="s">
        <v>1556</v>
      </c>
      <c r="I1434">
        <v>5020000000</v>
      </c>
      <c r="J1434" s="560">
        <v>20000</v>
      </c>
      <c r="K1434" s="560">
        <f t="shared" si="45"/>
        <v>8</v>
      </c>
      <c r="L1434" s="560">
        <f t="shared" si="46"/>
        <v>7</v>
      </c>
    </row>
    <row r="1435" spans="1:19">
      <c r="B1435" s="553">
        <v>44280</v>
      </c>
      <c r="C1435" t="s">
        <v>1558</v>
      </c>
      <c r="D1435" s="281">
        <v>4</v>
      </c>
      <c r="E1435" t="s">
        <v>2041</v>
      </c>
      <c r="F1435" t="s">
        <v>601</v>
      </c>
      <c r="G1435" t="s">
        <v>1539</v>
      </c>
      <c r="H1435" t="s">
        <v>1556</v>
      </c>
      <c r="I1435">
        <v>5020000000</v>
      </c>
      <c r="J1435" s="560">
        <v>6000</v>
      </c>
      <c r="K1435" s="560">
        <f t="shared" si="45"/>
        <v>8</v>
      </c>
      <c r="L1435" s="560">
        <f t="shared" si="46"/>
        <v>6</v>
      </c>
    </row>
    <row r="1436" spans="1:19">
      <c r="B1436" s="553">
        <v>44280</v>
      </c>
      <c r="C1436" t="s">
        <v>1558</v>
      </c>
      <c r="D1436" s="281">
        <v>4</v>
      </c>
      <c r="E1436" t="s">
        <v>2002</v>
      </c>
      <c r="F1436" t="s">
        <v>603</v>
      </c>
      <c r="G1436" t="s">
        <v>1539</v>
      </c>
      <c r="H1436" t="s">
        <v>1556</v>
      </c>
      <c r="I1436">
        <v>5020000000</v>
      </c>
      <c r="J1436" s="560">
        <v>10000</v>
      </c>
      <c r="K1436" s="560">
        <f t="shared" si="45"/>
        <v>8</v>
      </c>
      <c r="L1436" s="560">
        <f t="shared" si="46"/>
        <v>5</v>
      </c>
    </row>
    <row r="1437" spans="1:19">
      <c r="B1437" s="553">
        <v>44280</v>
      </c>
      <c r="C1437" t="s">
        <v>1558</v>
      </c>
      <c r="D1437" s="281">
        <v>4</v>
      </c>
      <c r="E1437" t="s">
        <v>1998</v>
      </c>
      <c r="F1437" t="s">
        <v>633</v>
      </c>
      <c r="G1437" t="s">
        <v>1539</v>
      </c>
      <c r="H1437" t="s">
        <v>1556</v>
      </c>
      <c r="I1437">
        <v>5020000000</v>
      </c>
      <c r="J1437" s="560">
        <v>120000</v>
      </c>
      <c r="K1437" s="560">
        <f t="shared" si="45"/>
        <v>8</v>
      </c>
      <c r="L1437" s="560">
        <f t="shared" si="46"/>
        <v>4</v>
      </c>
    </row>
    <row r="1438" spans="1:19">
      <c r="B1438" s="553">
        <v>44280</v>
      </c>
      <c r="C1438" t="s">
        <v>1558</v>
      </c>
      <c r="D1438" s="281">
        <v>4</v>
      </c>
      <c r="E1438" t="s">
        <v>2005</v>
      </c>
      <c r="F1438" t="s">
        <v>678</v>
      </c>
      <c r="G1438" t="s">
        <v>1539</v>
      </c>
      <c r="H1438" t="s">
        <v>1556</v>
      </c>
      <c r="I1438">
        <v>5020000000</v>
      </c>
      <c r="J1438" s="560">
        <v>140000</v>
      </c>
      <c r="K1438" s="560">
        <f t="shared" si="45"/>
        <v>8</v>
      </c>
      <c r="L1438" s="560">
        <f t="shared" si="46"/>
        <v>3</v>
      </c>
    </row>
    <row r="1439" spans="1:19">
      <c r="B1439" s="553">
        <v>44280</v>
      </c>
      <c r="C1439" t="s">
        <v>1558</v>
      </c>
      <c r="D1439" s="281">
        <v>4</v>
      </c>
      <c r="E1439" t="s">
        <v>1997</v>
      </c>
      <c r="F1439" t="s">
        <v>642</v>
      </c>
      <c r="G1439" t="s">
        <v>1539</v>
      </c>
      <c r="H1439" t="s">
        <v>1556</v>
      </c>
      <c r="I1439">
        <v>5020000000</v>
      </c>
      <c r="J1439" s="560">
        <v>40000</v>
      </c>
      <c r="K1439" s="560">
        <f t="shared" si="45"/>
        <v>8</v>
      </c>
      <c r="L1439" s="560">
        <f t="shared" si="46"/>
        <v>2</v>
      </c>
    </row>
    <row r="1440" spans="1:19">
      <c r="A1440" t="s">
        <v>2338</v>
      </c>
      <c r="B1440" s="553">
        <v>44280</v>
      </c>
      <c r="C1440" t="s">
        <v>1558</v>
      </c>
      <c r="D1440" s="281">
        <v>4</v>
      </c>
      <c r="E1440" t="s">
        <v>2007</v>
      </c>
      <c r="F1440" t="s">
        <v>638</v>
      </c>
      <c r="G1440" t="s">
        <v>1539</v>
      </c>
      <c r="H1440" t="s">
        <v>1556</v>
      </c>
      <c r="I1440">
        <v>5020000000</v>
      </c>
      <c r="J1440" s="560">
        <v>64000</v>
      </c>
      <c r="K1440" s="560">
        <f t="shared" si="45"/>
        <v>8</v>
      </c>
      <c r="L1440" s="560">
        <f t="shared" si="46"/>
        <v>1</v>
      </c>
      <c r="M1440" s="560" t="e">
        <f>SUMIFS('[1]MAIN-101'!$Z$1:$Z$3000,'[1]MAIN-101'!$X$1:$X$3000,S1440)</f>
        <v>#VALUE!</v>
      </c>
      <c r="N1440" s="560"/>
      <c r="O1440" s="560"/>
      <c r="S1440" t="str">
        <f>VLOOKUP(C1440,'Recon of ORS and DV'!$A$4:$B$358,2,FALSE)</f>
        <v>0545</v>
      </c>
    </row>
    <row r="1441" spans="1:19">
      <c r="B1441" s="553">
        <v>44280</v>
      </c>
      <c r="C1441" t="s">
        <v>1559</v>
      </c>
      <c r="D1441" s="281">
        <v>4</v>
      </c>
      <c r="E1441" t="s">
        <v>2037</v>
      </c>
      <c r="F1441" t="s">
        <v>555</v>
      </c>
      <c r="G1441" t="s">
        <v>822</v>
      </c>
      <c r="H1441" t="s">
        <v>1556</v>
      </c>
      <c r="I1441">
        <v>5020000000</v>
      </c>
      <c r="J1441" s="560">
        <v>190000</v>
      </c>
      <c r="K1441" s="560">
        <f t="shared" si="45"/>
        <v>8</v>
      </c>
      <c r="L1441" s="560">
        <f t="shared" si="46"/>
        <v>8</v>
      </c>
    </row>
    <row r="1442" spans="1:19">
      <c r="B1442" s="553">
        <v>44280</v>
      </c>
      <c r="C1442" t="s">
        <v>1559</v>
      </c>
      <c r="D1442" s="281">
        <v>4</v>
      </c>
      <c r="E1442" t="s">
        <v>2032</v>
      </c>
      <c r="F1442" t="s">
        <v>565</v>
      </c>
      <c r="G1442" t="s">
        <v>822</v>
      </c>
      <c r="H1442" t="s">
        <v>1556</v>
      </c>
      <c r="I1442">
        <v>5020000000</v>
      </c>
      <c r="J1442" s="560">
        <v>20000</v>
      </c>
      <c r="K1442" s="560">
        <f t="shared" si="45"/>
        <v>8</v>
      </c>
      <c r="L1442" s="560">
        <f t="shared" si="46"/>
        <v>7</v>
      </c>
    </row>
    <row r="1443" spans="1:19">
      <c r="B1443" s="553">
        <v>44280</v>
      </c>
      <c r="C1443" t="s">
        <v>1559</v>
      </c>
      <c r="D1443" s="281">
        <v>4</v>
      </c>
      <c r="E1443" t="s">
        <v>2041</v>
      </c>
      <c r="F1443" t="s">
        <v>601</v>
      </c>
      <c r="G1443" t="s">
        <v>822</v>
      </c>
      <c r="H1443" t="s">
        <v>1556</v>
      </c>
      <c r="I1443">
        <v>5020000000</v>
      </c>
      <c r="J1443" s="560">
        <v>6000</v>
      </c>
      <c r="K1443" s="560">
        <f t="shared" si="45"/>
        <v>8</v>
      </c>
      <c r="L1443" s="560">
        <f t="shared" si="46"/>
        <v>6</v>
      </c>
    </row>
    <row r="1444" spans="1:19">
      <c r="B1444" s="553">
        <v>44280</v>
      </c>
      <c r="C1444" t="s">
        <v>1559</v>
      </c>
      <c r="D1444" s="281">
        <v>4</v>
      </c>
      <c r="E1444" t="s">
        <v>2002</v>
      </c>
      <c r="F1444" t="s">
        <v>603</v>
      </c>
      <c r="G1444" t="s">
        <v>822</v>
      </c>
      <c r="H1444" t="s">
        <v>1556</v>
      </c>
      <c r="I1444">
        <v>5020000000</v>
      </c>
      <c r="J1444" s="560">
        <v>10000</v>
      </c>
      <c r="K1444" s="560">
        <f t="shared" si="45"/>
        <v>8</v>
      </c>
      <c r="L1444" s="560">
        <f t="shared" si="46"/>
        <v>5</v>
      </c>
    </row>
    <row r="1445" spans="1:19">
      <c r="B1445" s="553">
        <v>44280</v>
      </c>
      <c r="C1445" t="s">
        <v>1559</v>
      </c>
      <c r="D1445" s="281">
        <v>4</v>
      </c>
      <c r="E1445" t="s">
        <v>1998</v>
      </c>
      <c r="F1445" t="s">
        <v>633</v>
      </c>
      <c r="G1445" t="s">
        <v>822</v>
      </c>
      <c r="H1445" t="s">
        <v>1556</v>
      </c>
      <c r="I1445">
        <v>5020000000</v>
      </c>
      <c r="J1445" s="560">
        <v>120000</v>
      </c>
      <c r="K1445" s="560">
        <f t="shared" si="45"/>
        <v>8</v>
      </c>
      <c r="L1445" s="560">
        <f t="shared" si="46"/>
        <v>4</v>
      </c>
    </row>
    <row r="1446" spans="1:19">
      <c r="B1446" s="553">
        <v>44280</v>
      </c>
      <c r="C1446" t="s">
        <v>1559</v>
      </c>
      <c r="D1446" s="281">
        <v>4</v>
      </c>
      <c r="E1446" t="s">
        <v>2005</v>
      </c>
      <c r="F1446" t="s">
        <v>678</v>
      </c>
      <c r="G1446" t="s">
        <v>822</v>
      </c>
      <c r="H1446" t="s">
        <v>1556</v>
      </c>
      <c r="I1446">
        <v>5020000000</v>
      </c>
      <c r="J1446" s="560">
        <v>140000</v>
      </c>
      <c r="K1446" s="560">
        <f t="shared" si="45"/>
        <v>8</v>
      </c>
      <c r="L1446" s="560">
        <f t="shared" si="46"/>
        <v>3</v>
      </c>
    </row>
    <row r="1447" spans="1:19">
      <c r="B1447" s="553">
        <v>44280</v>
      </c>
      <c r="C1447" t="s">
        <v>1559</v>
      </c>
      <c r="D1447" s="281">
        <v>4</v>
      </c>
      <c r="E1447" t="s">
        <v>1997</v>
      </c>
      <c r="F1447" t="s">
        <v>642</v>
      </c>
      <c r="G1447" t="s">
        <v>822</v>
      </c>
      <c r="H1447" t="s">
        <v>1556</v>
      </c>
      <c r="I1447">
        <v>5020000000</v>
      </c>
      <c r="J1447" s="560">
        <v>40000</v>
      </c>
      <c r="K1447" s="560">
        <f t="shared" si="45"/>
        <v>8</v>
      </c>
      <c r="L1447" s="560">
        <f t="shared" si="46"/>
        <v>2</v>
      </c>
    </row>
    <row r="1448" spans="1:19">
      <c r="A1448" t="s">
        <v>2339</v>
      </c>
      <c r="B1448" s="553">
        <v>44280</v>
      </c>
      <c r="C1448" t="s">
        <v>1559</v>
      </c>
      <c r="D1448" s="281">
        <v>4</v>
      </c>
      <c r="E1448" t="s">
        <v>2007</v>
      </c>
      <c r="F1448" t="s">
        <v>638</v>
      </c>
      <c r="G1448" t="s">
        <v>822</v>
      </c>
      <c r="H1448" t="s">
        <v>1556</v>
      </c>
      <c r="I1448">
        <v>5020000000</v>
      </c>
      <c r="J1448" s="560">
        <v>24000</v>
      </c>
      <c r="K1448" s="560">
        <f t="shared" si="45"/>
        <v>8</v>
      </c>
      <c r="L1448" s="560">
        <f t="shared" si="46"/>
        <v>1</v>
      </c>
      <c r="M1448" s="560" t="e">
        <f>SUMIFS('[1]MAIN-101'!$Z$1:$Z$3000,'[1]MAIN-101'!$X$1:$X$3000,S1448)</f>
        <v>#VALUE!</v>
      </c>
      <c r="N1448" s="560"/>
      <c r="O1448" s="560"/>
      <c r="S1448" t="str">
        <f>VLOOKUP(C1448,'Recon of ORS and DV'!$A$4:$B$358,2,FALSE)</f>
        <v>0546</v>
      </c>
    </row>
    <row r="1449" spans="1:19">
      <c r="B1449" s="553">
        <v>44280</v>
      </c>
      <c r="C1449" t="s">
        <v>1560</v>
      </c>
      <c r="D1449" s="281">
        <v>4</v>
      </c>
      <c r="E1449" t="s">
        <v>2037</v>
      </c>
      <c r="F1449" t="s">
        <v>555</v>
      </c>
      <c r="G1449" t="s">
        <v>1540</v>
      </c>
      <c r="H1449" t="s">
        <v>1556</v>
      </c>
      <c r="I1449">
        <v>5020000000</v>
      </c>
      <c r="J1449" s="560">
        <v>180000</v>
      </c>
      <c r="K1449" s="560">
        <f t="shared" si="45"/>
        <v>8</v>
      </c>
      <c r="L1449" s="560">
        <f t="shared" si="46"/>
        <v>8</v>
      </c>
    </row>
    <row r="1450" spans="1:19">
      <c r="B1450" s="553">
        <v>44280</v>
      </c>
      <c r="C1450" t="s">
        <v>1560</v>
      </c>
      <c r="D1450" s="281">
        <v>4</v>
      </c>
      <c r="E1450" t="s">
        <v>2032</v>
      </c>
      <c r="F1450" t="s">
        <v>565</v>
      </c>
      <c r="G1450" t="s">
        <v>1540</v>
      </c>
      <c r="H1450" t="s">
        <v>1556</v>
      </c>
      <c r="I1450">
        <v>5020000000</v>
      </c>
      <c r="J1450" s="560">
        <v>20000</v>
      </c>
      <c r="K1450" s="560">
        <f t="shared" si="45"/>
        <v>8</v>
      </c>
      <c r="L1450" s="560">
        <f t="shared" si="46"/>
        <v>7</v>
      </c>
    </row>
    <row r="1451" spans="1:19">
      <c r="B1451" s="553">
        <v>44280</v>
      </c>
      <c r="C1451" t="s">
        <v>1560</v>
      </c>
      <c r="D1451" s="281">
        <v>4</v>
      </c>
      <c r="E1451" t="s">
        <v>2041</v>
      </c>
      <c r="F1451" t="s">
        <v>601</v>
      </c>
      <c r="G1451" t="s">
        <v>1540</v>
      </c>
      <c r="H1451" t="s">
        <v>1556</v>
      </c>
      <c r="I1451">
        <v>5020000000</v>
      </c>
      <c r="J1451" s="560">
        <v>6000</v>
      </c>
      <c r="K1451" s="560">
        <f t="shared" si="45"/>
        <v>8</v>
      </c>
      <c r="L1451" s="560">
        <f t="shared" si="46"/>
        <v>6</v>
      </c>
    </row>
    <row r="1452" spans="1:19">
      <c r="B1452" s="553">
        <v>44280</v>
      </c>
      <c r="C1452" t="s">
        <v>1560</v>
      </c>
      <c r="D1452" s="281">
        <v>4</v>
      </c>
      <c r="E1452" t="s">
        <v>2002</v>
      </c>
      <c r="F1452" t="s">
        <v>603</v>
      </c>
      <c r="G1452" t="s">
        <v>1540</v>
      </c>
      <c r="H1452" t="s">
        <v>1556</v>
      </c>
      <c r="I1452">
        <v>5020000000</v>
      </c>
      <c r="J1452" s="560">
        <v>10000</v>
      </c>
      <c r="K1452" s="560">
        <f t="shared" si="45"/>
        <v>8</v>
      </c>
      <c r="L1452" s="560">
        <f t="shared" si="46"/>
        <v>5</v>
      </c>
    </row>
    <row r="1453" spans="1:19">
      <c r="B1453" s="553">
        <v>44280</v>
      </c>
      <c r="C1453" t="s">
        <v>1560</v>
      </c>
      <c r="D1453" s="281">
        <v>4</v>
      </c>
      <c r="E1453" t="s">
        <v>1998</v>
      </c>
      <c r="F1453" t="s">
        <v>633</v>
      </c>
      <c r="G1453" t="s">
        <v>1540</v>
      </c>
      <c r="H1453" t="s">
        <v>1556</v>
      </c>
      <c r="I1453">
        <v>5020000000</v>
      </c>
      <c r="J1453" s="560">
        <v>120000</v>
      </c>
      <c r="K1453" s="560">
        <f t="shared" si="45"/>
        <v>8</v>
      </c>
      <c r="L1453" s="560">
        <f t="shared" si="46"/>
        <v>4</v>
      </c>
    </row>
    <row r="1454" spans="1:19">
      <c r="B1454" s="553">
        <v>44280</v>
      </c>
      <c r="C1454" t="s">
        <v>1560</v>
      </c>
      <c r="D1454" s="281">
        <v>4</v>
      </c>
      <c r="E1454" t="s">
        <v>2005</v>
      </c>
      <c r="F1454" t="s">
        <v>678</v>
      </c>
      <c r="G1454" t="s">
        <v>1540</v>
      </c>
      <c r="H1454" t="s">
        <v>1556</v>
      </c>
      <c r="I1454">
        <v>5020000000</v>
      </c>
      <c r="J1454" s="560">
        <v>140000</v>
      </c>
      <c r="K1454" s="560">
        <f t="shared" si="45"/>
        <v>8</v>
      </c>
      <c r="L1454" s="560">
        <f t="shared" si="46"/>
        <v>3</v>
      </c>
    </row>
    <row r="1455" spans="1:19">
      <c r="B1455" s="553">
        <v>44280</v>
      </c>
      <c r="C1455" t="s">
        <v>1560</v>
      </c>
      <c r="D1455" s="281">
        <v>4</v>
      </c>
      <c r="E1455" t="s">
        <v>1997</v>
      </c>
      <c r="F1455" t="s">
        <v>642</v>
      </c>
      <c r="G1455" t="s">
        <v>1540</v>
      </c>
      <c r="H1455" t="s">
        <v>1556</v>
      </c>
      <c r="I1455">
        <v>5020000000</v>
      </c>
      <c r="J1455" s="560">
        <v>40000</v>
      </c>
      <c r="K1455" s="560">
        <f t="shared" si="45"/>
        <v>8</v>
      </c>
      <c r="L1455" s="560">
        <f t="shared" si="46"/>
        <v>2</v>
      </c>
    </row>
    <row r="1456" spans="1:19">
      <c r="A1456" t="s">
        <v>2340</v>
      </c>
      <c r="B1456" s="553">
        <v>44280</v>
      </c>
      <c r="C1456" t="s">
        <v>1560</v>
      </c>
      <c r="D1456" s="281">
        <v>4</v>
      </c>
      <c r="E1456" t="s">
        <v>2007</v>
      </c>
      <c r="F1456" t="s">
        <v>638</v>
      </c>
      <c r="G1456" t="s">
        <v>1540</v>
      </c>
      <c r="H1456" t="s">
        <v>1556</v>
      </c>
      <c r="I1456">
        <v>5020000000</v>
      </c>
      <c r="J1456" s="560">
        <v>34000</v>
      </c>
      <c r="K1456" s="560">
        <f t="shared" si="45"/>
        <v>8</v>
      </c>
      <c r="L1456" s="560">
        <f t="shared" si="46"/>
        <v>1</v>
      </c>
      <c r="M1456" s="560" t="e">
        <f>SUMIFS('[1]MAIN-101'!$Z$1:$Z$3000,'[1]MAIN-101'!$X$1:$X$3000,S1456)</f>
        <v>#VALUE!</v>
      </c>
      <c r="N1456" s="560"/>
      <c r="O1456" s="560"/>
      <c r="S1456" t="str">
        <f>VLOOKUP(C1456,'Recon of ORS and DV'!$A$4:$B$358,2,FALSE)</f>
        <v>0547</v>
      </c>
    </row>
    <row r="1457" spans="1:19">
      <c r="A1457" t="s">
        <v>2341</v>
      </c>
      <c r="B1457" s="553">
        <v>44280</v>
      </c>
      <c r="C1457" t="s">
        <v>1561</v>
      </c>
      <c r="D1457" s="281">
        <v>12</v>
      </c>
      <c r="E1457" t="s">
        <v>2039</v>
      </c>
      <c r="F1457" t="s">
        <v>560</v>
      </c>
      <c r="G1457" t="s">
        <v>1562</v>
      </c>
      <c r="H1457" t="s">
        <v>1563</v>
      </c>
      <c r="I1457" t="s">
        <v>2039</v>
      </c>
      <c r="J1457" s="560">
        <v>20000</v>
      </c>
      <c r="K1457" s="560">
        <f t="shared" si="45"/>
        <v>1</v>
      </c>
      <c r="L1457" s="560">
        <f t="shared" si="46"/>
        <v>1</v>
      </c>
      <c r="M1457" s="560" t="e">
        <f>SUMIFS('[1]MAIN-101'!$Z$1:$Z$3000,'[1]MAIN-101'!$X$1:$X$3000,S1457)</f>
        <v>#VALUE!</v>
      </c>
      <c r="N1457" s="560"/>
      <c r="O1457" s="560"/>
      <c r="S1457" t="str">
        <f>VLOOKUP(C1457,'Recon of ORS and DV'!$A$4:$B$358,2,FALSE)</f>
        <v>0533</v>
      </c>
    </row>
    <row r="1458" spans="1:19">
      <c r="A1458">
        <v>0</v>
      </c>
      <c r="B1458" s="553">
        <v>44280</v>
      </c>
      <c r="C1458" t="s">
        <v>1564</v>
      </c>
      <c r="D1458" s="281">
        <v>11</v>
      </c>
      <c r="E1458" t="s">
        <v>2039</v>
      </c>
      <c r="F1458" t="s">
        <v>560</v>
      </c>
      <c r="G1458" t="s">
        <v>1565</v>
      </c>
      <c r="H1458" t="s">
        <v>1566</v>
      </c>
      <c r="I1458">
        <v>5020000000</v>
      </c>
      <c r="J1458" s="560">
        <v>0</v>
      </c>
      <c r="K1458" s="560">
        <f t="shared" si="45"/>
        <v>1</v>
      </c>
      <c r="L1458" s="560">
        <f t="shared" si="46"/>
        <v>1</v>
      </c>
      <c r="M1458" s="560" t="e">
        <f>SUMIFS('[1]MAIN-101'!$Z$1:$Z$3000,'[1]MAIN-101'!$X$1:$X$3000,S1458)</f>
        <v>#VALUE!</v>
      </c>
      <c r="N1458" s="560"/>
      <c r="O1458" s="560"/>
      <c r="S1458">
        <f>VLOOKUP(C1458,'Recon of ORS and DV'!$A$4:$B$358,2,FALSE)</f>
        <v>0</v>
      </c>
    </row>
    <row r="1459" spans="1:19">
      <c r="A1459" t="s">
        <v>2342</v>
      </c>
      <c r="B1459" s="553">
        <v>44280</v>
      </c>
      <c r="C1459" t="s">
        <v>1567</v>
      </c>
      <c r="D1459" s="281">
        <v>2</v>
      </c>
      <c r="E1459" t="s">
        <v>2040</v>
      </c>
      <c r="F1459" t="s">
        <v>598</v>
      </c>
      <c r="G1459" t="s">
        <v>1315</v>
      </c>
      <c r="H1459" t="s">
        <v>1568</v>
      </c>
      <c r="I1459">
        <v>5020000000</v>
      </c>
      <c r="J1459" s="560">
        <v>101505.45</v>
      </c>
      <c r="K1459" s="560">
        <f t="shared" si="45"/>
        <v>1</v>
      </c>
      <c r="L1459" s="560">
        <f t="shared" si="46"/>
        <v>1</v>
      </c>
      <c r="M1459" s="560" t="e">
        <f>SUMIFS('[1]MAIN-101'!$Z$1:$Z$3000,'[1]MAIN-101'!$X$1:$X$3000,S1459)</f>
        <v>#VALUE!</v>
      </c>
      <c r="N1459" s="560"/>
      <c r="O1459" s="560"/>
      <c r="S1459" t="str">
        <f>VLOOKUP(C1459,'Recon of ORS and DV'!$A$4:$B$358,2,FALSE)</f>
        <v>0558</v>
      </c>
    </row>
    <row r="1460" spans="1:19">
      <c r="A1460" t="s">
        <v>2343</v>
      </c>
      <c r="B1460" s="553">
        <v>44280</v>
      </c>
      <c r="C1460" t="s">
        <v>1569</v>
      </c>
      <c r="D1460" s="281">
        <v>4</v>
      </c>
      <c r="E1460" t="s">
        <v>1997</v>
      </c>
      <c r="F1460" t="s">
        <v>642</v>
      </c>
      <c r="G1460" t="s">
        <v>1075</v>
      </c>
      <c r="H1460" t="s">
        <v>1570</v>
      </c>
      <c r="I1460">
        <v>5020000000</v>
      </c>
      <c r="J1460" s="560">
        <v>13034</v>
      </c>
      <c r="K1460" s="560">
        <f t="shared" si="45"/>
        <v>1</v>
      </c>
      <c r="L1460" s="560">
        <f t="shared" si="46"/>
        <v>1</v>
      </c>
      <c r="M1460" s="560" t="e">
        <f>SUMIFS('[1]MAIN-101'!$Z$1:$Z$3000,'[1]MAIN-101'!$X$1:$X$3000,S1460)</f>
        <v>#VALUE!</v>
      </c>
      <c r="N1460" s="560"/>
      <c r="O1460" s="560"/>
      <c r="S1460" t="str">
        <f>VLOOKUP(C1460,'Recon of ORS and DV'!$A$4:$B$358,2,FALSE)</f>
        <v>0556</v>
      </c>
    </row>
    <row r="1461" spans="1:19">
      <c r="A1461" t="s">
        <v>2344</v>
      </c>
      <c r="B1461" s="553">
        <v>44280</v>
      </c>
      <c r="C1461" t="s">
        <v>1571</v>
      </c>
      <c r="D1461" s="281">
        <v>1</v>
      </c>
      <c r="E1461" t="s">
        <v>2032</v>
      </c>
      <c r="F1461" t="s">
        <v>565</v>
      </c>
      <c r="G1461" t="s">
        <v>1572</v>
      </c>
      <c r="H1461" t="s">
        <v>1573</v>
      </c>
      <c r="I1461">
        <v>5020000000</v>
      </c>
      <c r="J1461" s="560">
        <v>6850</v>
      </c>
      <c r="K1461" s="560">
        <f t="shared" si="45"/>
        <v>1</v>
      </c>
      <c r="L1461" s="560">
        <f t="shared" si="46"/>
        <v>1</v>
      </c>
      <c r="M1461" s="560" t="e">
        <f>SUMIFS('[1]MAIN-101'!$Z$1:$Z$3000,'[1]MAIN-101'!$X$1:$X$3000,S1461)</f>
        <v>#VALUE!</v>
      </c>
      <c r="N1461" s="560"/>
      <c r="O1461" s="560"/>
      <c r="S1461" t="str">
        <f>VLOOKUP(C1461,'Recon of ORS and DV'!$A$4:$B$358,2,FALSE)</f>
        <v>0557</v>
      </c>
    </row>
    <row r="1462" spans="1:19">
      <c r="A1462" t="s">
        <v>2345</v>
      </c>
      <c r="B1462" s="553">
        <v>44280</v>
      </c>
      <c r="C1462" t="s">
        <v>1574</v>
      </c>
      <c r="D1462" s="281">
        <v>1</v>
      </c>
      <c r="E1462" t="s">
        <v>2002</v>
      </c>
      <c r="F1462" t="s">
        <v>603</v>
      </c>
      <c r="G1462" t="s">
        <v>1102</v>
      </c>
      <c r="H1462" t="s">
        <v>1575</v>
      </c>
      <c r="I1462">
        <v>5020000000</v>
      </c>
      <c r="J1462" s="560">
        <v>2500</v>
      </c>
      <c r="K1462" s="560">
        <f t="shared" si="45"/>
        <v>1</v>
      </c>
      <c r="L1462" s="560">
        <f t="shared" si="46"/>
        <v>1</v>
      </c>
      <c r="M1462" s="560" t="e">
        <f>SUMIFS('[1]MAIN-101'!$Z$1:$Z$3000,'[1]MAIN-101'!$X$1:$X$3000,S1462)</f>
        <v>#VALUE!</v>
      </c>
      <c r="N1462" s="560"/>
      <c r="O1462" s="560"/>
      <c r="S1462" t="str">
        <f>VLOOKUP(C1462,'Recon of ORS and DV'!$A$4:$B$358,2,FALSE)</f>
        <v>0562</v>
      </c>
    </row>
    <row r="1463" spans="1:19">
      <c r="A1463" t="s">
        <v>2346</v>
      </c>
      <c r="B1463" s="553">
        <v>44280</v>
      </c>
      <c r="C1463" t="s">
        <v>1576</v>
      </c>
      <c r="D1463" s="281">
        <v>4</v>
      </c>
      <c r="E1463" t="s">
        <v>2032</v>
      </c>
      <c r="F1463" t="s">
        <v>565</v>
      </c>
      <c r="G1463" t="s">
        <v>1577</v>
      </c>
      <c r="H1463" t="s">
        <v>1578</v>
      </c>
      <c r="I1463">
        <v>5020000000</v>
      </c>
      <c r="J1463" s="560">
        <v>2511.36</v>
      </c>
      <c r="K1463" s="560">
        <f t="shared" si="45"/>
        <v>1</v>
      </c>
      <c r="L1463" s="560">
        <f t="shared" si="46"/>
        <v>1</v>
      </c>
      <c r="M1463" s="560" t="e">
        <f>SUMIFS('[1]MAIN-101'!$Z$1:$Z$3000,'[1]MAIN-101'!$X$1:$X$3000,S1463)</f>
        <v>#VALUE!</v>
      </c>
      <c r="N1463" s="560"/>
      <c r="O1463" s="560"/>
      <c r="S1463" t="str">
        <f>VLOOKUP(C1463,'Recon of ORS and DV'!$A$4:$B$358,2,FALSE)</f>
        <v>0563</v>
      </c>
    </row>
    <row r="1464" spans="1:19">
      <c r="A1464" t="s">
        <v>2347</v>
      </c>
      <c r="B1464" s="553">
        <v>44280</v>
      </c>
      <c r="C1464" t="s">
        <v>1579</v>
      </c>
      <c r="D1464" s="281">
        <v>10</v>
      </c>
      <c r="E1464" t="s">
        <v>1998</v>
      </c>
      <c r="F1464" t="s">
        <v>633</v>
      </c>
      <c r="G1464" t="s">
        <v>1235</v>
      </c>
      <c r="H1464" t="s">
        <v>1570</v>
      </c>
      <c r="I1464">
        <v>5020000000</v>
      </c>
      <c r="J1464" s="560">
        <v>10000</v>
      </c>
      <c r="K1464" s="560">
        <f t="shared" si="45"/>
        <v>1</v>
      </c>
      <c r="L1464" s="560">
        <f t="shared" si="46"/>
        <v>1</v>
      </c>
      <c r="M1464" s="560" t="e">
        <f>SUMIFS('[1]MAIN-101'!$Z$1:$Z$3000,'[1]MAIN-101'!$X$1:$X$3000,S1464)</f>
        <v>#VALUE!</v>
      </c>
      <c r="N1464" s="560"/>
      <c r="O1464" s="560"/>
      <c r="S1464" t="str">
        <f>VLOOKUP(C1464,'Recon of ORS and DV'!$A$4:$B$358,2,FALSE)</f>
        <v>0564</v>
      </c>
    </row>
    <row r="1465" spans="1:19">
      <c r="A1465" t="s">
        <v>2348</v>
      </c>
      <c r="B1465" s="553">
        <v>44280</v>
      </c>
      <c r="C1465" t="s">
        <v>1580</v>
      </c>
      <c r="D1465" s="281">
        <v>1</v>
      </c>
      <c r="E1465" t="s">
        <v>2000</v>
      </c>
      <c r="F1465" t="s">
        <v>683</v>
      </c>
      <c r="G1465" t="s">
        <v>779</v>
      </c>
      <c r="H1465" t="s">
        <v>1581</v>
      </c>
      <c r="I1465">
        <v>5020000000</v>
      </c>
      <c r="J1465" s="560">
        <v>170501.47</v>
      </c>
      <c r="K1465" s="560">
        <f t="shared" si="45"/>
        <v>1</v>
      </c>
      <c r="L1465" s="560">
        <f t="shared" si="46"/>
        <v>1</v>
      </c>
      <c r="M1465" s="560" t="e">
        <f>SUMIFS('[1]MAIN-101'!$Z$1:$Z$3000,'[1]MAIN-101'!$X$1:$X$3000,S1465)</f>
        <v>#VALUE!</v>
      </c>
      <c r="N1465" s="560"/>
      <c r="O1465" s="560"/>
      <c r="S1465" t="str">
        <f>VLOOKUP(C1465,'Recon of ORS and DV'!$A$4:$B$358,2,FALSE)</f>
        <v>0565</v>
      </c>
    </row>
    <row r="1466" spans="1:19">
      <c r="A1466" t="s">
        <v>2349</v>
      </c>
      <c r="B1466" s="553">
        <v>44280</v>
      </c>
      <c r="C1466" t="s">
        <v>1582</v>
      </c>
      <c r="D1466" s="281">
        <v>1</v>
      </c>
      <c r="E1466" t="s">
        <v>2035</v>
      </c>
      <c r="F1466" t="s">
        <v>596</v>
      </c>
      <c r="G1466" t="s">
        <v>839</v>
      </c>
      <c r="H1466" t="s">
        <v>1583</v>
      </c>
      <c r="I1466">
        <v>5020000000</v>
      </c>
      <c r="J1466" s="560">
        <v>7712.46</v>
      </c>
      <c r="K1466" s="560">
        <f t="shared" si="45"/>
        <v>1</v>
      </c>
      <c r="L1466" s="560">
        <f t="shared" si="46"/>
        <v>1</v>
      </c>
      <c r="M1466" s="560" t="e">
        <f>SUMIFS('[1]MAIN-101'!$Z$1:$Z$3000,'[1]MAIN-101'!$X$1:$X$3000,S1466)</f>
        <v>#VALUE!</v>
      </c>
      <c r="N1466" s="560"/>
      <c r="O1466" s="560"/>
      <c r="S1466" t="str">
        <f>VLOOKUP(C1466,'Recon of ORS and DV'!$A$4:$B$358,2,FALSE)</f>
        <v>0566</v>
      </c>
    </row>
    <row r="1467" spans="1:19">
      <c r="A1467" t="s">
        <v>2350</v>
      </c>
      <c r="B1467" s="553">
        <v>44280</v>
      </c>
      <c r="C1467" t="s">
        <v>1584</v>
      </c>
      <c r="D1467" s="281">
        <v>2</v>
      </c>
      <c r="E1467" t="s">
        <v>2040</v>
      </c>
      <c r="F1467" t="s">
        <v>598</v>
      </c>
      <c r="G1467" t="s">
        <v>1315</v>
      </c>
      <c r="H1467" t="s">
        <v>1585</v>
      </c>
      <c r="I1467">
        <v>5020000000</v>
      </c>
      <c r="J1467" s="560">
        <v>9559.2900000000009</v>
      </c>
      <c r="K1467" s="560">
        <f t="shared" si="45"/>
        <v>1</v>
      </c>
      <c r="L1467" s="560">
        <f t="shared" si="46"/>
        <v>1</v>
      </c>
      <c r="M1467" s="560" t="e">
        <f>SUMIFS('[1]MAIN-101'!$Z$1:$Z$3000,'[1]MAIN-101'!$X$1:$X$3000,S1467)</f>
        <v>#VALUE!</v>
      </c>
      <c r="N1467" s="560"/>
      <c r="O1467" s="560"/>
      <c r="S1467" t="str">
        <f>VLOOKUP(C1467,'Recon of ORS and DV'!$A$4:$B$358,2,FALSE)</f>
        <v>0567</v>
      </c>
    </row>
    <row r="1468" spans="1:19">
      <c r="A1468" t="s">
        <v>2351</v>
      </c>
      <c r="B1468" s="553">
        <v>44280</v>
      </c>
      <c r="C1468" t="s">
        <v>1586</v>
      </c>
      <c r="D1468" s="281">
        <v>1</v>
      </c>
      <c r="E1468" t="s">
        <v>2005</v>
      </c>
      <c r="F1468" t="s">
        <v>678</v>
      </c>
      <c r="G1468" t="s">
        <v>818</v>
      </c>
      <c r="H1468" t="s">
        <v>1587</v>
      </c>
      <c r="I1468">
        <v>5020000000</v>
      </c>
      <c r="J1468" s="560">
        <v>51050</v>
      </c>
      <c r="K1468" s="560">
        <f t="shared" si="45"/>
        <v>1</v>
      </c>
      <c r="L1468" s="560">
        <f t="shared" si="46"/>
        <v>1</v>
      </c>
      <c r="M1468" s="560" t="e">
        <f>SUMIFS('[1]MAIN-101'!$Z$1:$Z$3000,'[1]MAIN-101'!$X$1:$X$3000,S1468)</f>
        <v>#VALUE!</v>
      </c>
      <c r="N1468" s="560"/>
      <c r="O1468" s="560"/>
      <c r="S1468" t="str">
        <f>VLOOKUP(C1468,'Recon of ORS and DV'!$A$4:$B$358,2,FALSE)</f>
        <v>0552</v>
      </c>
    </row>
    <row r="1469" spans="1:19">
      <c r="A1469" t="s">
        <v>2352</v>
      </c>
      <c r="B1469" s="553">
        <v>44280</v>
      </c>
      <c r="C1469" t="s">
        <v>1588</v>
      </c>
      <c r="D1469" s="281">
        <v>1</v>
      </c>
      <c r="E1469" t="s">
        <v>2005</v>
      </c>
      <c r="F1469" t="s">
        <v>678</v>
      </c>
      <c r="G1469" t="s">
        <v>820</v>
      </c>
      <c r="H1469" t="s">
        <v>1587</v>
      </c>
      <c r="I1469">
        <v>5020000000</v>
      </c>
      <c r="J1469" s="560">
        <v>100000</v>
      </c>
      <c r="K1469" s="560">
        <f t="shared" si="45"/>
        <v>1</v>
      </c>
      <c r="L1469" s="560">
        <f t="shared" si="46"/>
        <v>1</v>
      </c>
      <c r="M1469" s="560" t="e">
        <f>SUMIFS('[1]MAIN-101'!$Z$1:$Z$3000,'[1]MAIN-101'!$X$1:$X$3000,S1469)</f>
        <v>#VALUE!</v>
      </c>
      <c r="N1469" s="560"/>
      <c r="O1469" s="560"/>
      <c r="S1469" t="str">
        <f>VLOOKUP(C1469,'Recon of ORS and DV'!$A$4:$B$358,2,FALSE)</f>
        <v>0553</v>
      </c>
    </row>
    <row r="1470" spans="1:19">
      <c r="A1470" t="s">
        <v>2353</v>
      </c>
      <c r="B1470" s="553">
        <v>44280</v>
      </c>
      <c r="C1470" t="s">
        <v>1589</v>
      </c>
      <c r="D1470" s="281">
        <v>1</v>
      </c>
      <c r="E1470" t="s">
        <v>2005</v>
      </c>
      <c r="F1470" t="s">
        <v>678</v>
      </c>
      <c r="G1470" t="s">
        <v>1539</v>
      </c>
      <c r="H1470" t="s">
        <v>1587</v>
      </c>
      <c r="I1470">
        <v>5020000000</v>
      </c>
      <c r="J1470" s="560">
        <v>99030</v>
      </c>
      <c r="K1470" s="560">
        <f t="shared" si="45"/>
        <v>1</v>
      </c>
      <c r="L1470" s="560">
        <f t="shared" si="46"/>
        <v>1</v>
      </c>
      <c r="M1470" s="560" t="e">
        <f>SUMIFS('[1]MAIN-101'!$Z$1:$Z$3000,'[1]MAIN-101'!$X$1:$X$3000,S1470)</f>
        <v>#VALUE!</v>
      </c>
      <c r="N1470" s="560"/>
      <c r="O1470" s="560"/>
      <c r="S1470" t="str">
        <f>VLOOKUP(C1470,'Recon of ORS and DV'!$A$4:$B$358,2,FALSE)</f>
        <v>0554</v>
      </c>
    </row>
    <row r="1471" spans="1:19">
      <c r="A1471" t="s">
        <v>2354</v>
      </c>
      <c r="B1471" s="553">
        <v>44280</v>
      </c>
      <c r="C1471" t="s">
        <v>1591</v>
      </c>
      <c r="D1471" s="281">
        <v>1</v>
      </c>
      <c r="E1471" t="s">
        <v>2005</v>
      </c>
      <c r="F1471" t="s">
        <v>678</v>
      </c>
      <c r="G1471" t="s">
        <v>1540</v>
      </c>
      <c r="H1471" t="s">
        <v>1590</v>
      </c>
      <c r="I1471">
        <v>5020000000</v>
      </c>
      <c r="J1471" s="560">
        <v>10250</v>
      </c>
      <c r="K1471" s="560">
        <f t="shared" si="45"/>
        <v>1</v>
      </c>
      <c r="L1471" s="560">
        <f t="shared" si="46"/>
        <v>1</v>
      </c>
      <c r="M1471" s="560" t="e">
        <f>SUMIFS('[1]MAIN-101'!$Z$1:$Z$3000,'[1]MAIN-101'!$X$1:$X$3000,S1471)</f>
        <v>#VALUE!</v>
      </c>
      <c r="N1471" s="560"/>
      <c r="O1471" s="560"/>
      <c r="S1471" t="str">
        <f>VLOOKUP(C1471,'Recon of ORS and DV'!$A$4:$B$358,2,FALSE)</f>
        <v>0555</v>
      </c>
    </row>
    <row r="1472" spans="1:19">
      <c r="B1472" s="553">
        <v>44280</v>
      </c>
      <c r="C1472" t="s">
        <v>1592</v>
      </c>
      <c r="D1472" s="281">
        <v>1</v>
      </c>
      <c r="E1472" t="s">
        <v>1999</v>
      </c>
      <c r="F1472" t="s">
        <v>672</v>
      </c>
      <c r="G1472" t="s">
        <v>1030</v>
      </c>
      <c r="H1472" t="s">
        <v>1593</v>
      </c>
      <c r="I1472">
        <v>5020000000</v>
      </c>
      <c r="J1472" s="560">
        <v>11380.25</v>
      </c>
      <c r="K1472" s="560">
        <f t="shared" si="45"/>
        <v>2</v>
      </c>
      <c r="L1472" s="560">
        <f t="shared" si="46"/>
        <v>2</v>
      </c>
    </row>
    <row r="1473" spans="1:19">
      <c r="A1473" t="s">
        <v>2355</v>
      </c>
      <c r="B1473" s="553">
        <v>44280</v>
      </c>
      <c r="C1473" t="s">
        <v>1592</v>
      </c>
      <c r="D1473" s="281">
        <v>5</v>
      </c>
      <c r="E1473" t="s">
        <v>2005</v>
      </c>
      <c r="F1473" t="s">
        <v>678</v>
      </c>
      <c r="G1473" t="s">
        <v>1030</v>
      </c>
      <c r="H1473" t="s">
        <v>1593</v>
      </c>
      <c r="I1473">
        <v>5020000000</v>
      </c>
      <c r="J1473" s="560">
        <v>75</v>
      </c>
      <c r="K1473" s="560">
        <f t="shared" si="45"/>
        <v>2</v>
      </c>
      <c r="L1473" s="560">
        <f t="shared" si="46"/>
        <v>1</v>
      </c>
      <c r="M1473" s="560" t="e">
        <f>SUMIFS('[1]MAIN-101'!$Z$1:$Z$3000,'[1]MAIN-101'!$X$1:$X$3000,S1473)</f>
        <v>#VALUE!</v>
      </c>
      <c r="N1473" s="560"/>
      <c r="O1473" s="560"/>
      <c r="S1473" t="str">
        <f>VLOOKUP(C1473,'Recon of ORS and DV'!$A$4:$B$358,2,FALSE)</f>
        <v>0560</v>
      </c>
    </row>
    <row r="1474" spans="1:19">
      <c r="A1474" t="s">
        <v>2356</v>
      </c>
      <c r="B1474" s="553">
        <v>44280</v>
      </c>
      <c r="C1474" t="s">
        <v>1594</v>
      </c>
      <c r="D1474" s="281">
        <v>14</v>
      </c>
      <c r="E1474" t="s">
        <v>1998</v>
      </c>
      <c r="F1474" t="s">
        <v>633</v>
      </c>
      <c r="G1474" t="s">
        <v>1342</v>
      </c>
      <c r="H1474" t="s">
        <v>1595</v>
      </c>
      <c r="I1474">
        <v>5021199000</v>
      </c>
      <c r="J1474" s="560">
        <v>8164.75</v>
      </c>
      <c r="K1474" s="560">
        <f t="shared" si="45"/>
        <v>1</v>
      </c>
      <c r="L1474" s="560">
        <f t="shared" si="46"/>
        <v>1</v>
      </c>
      <c r="M1474" s="560" t="e">
        <f>SUMIFS('[1]MAIN-101'!$Z$1:$Z$3000,'[1]MAIN-101'!$X$1:$X$3000,S1474)</f>
        <v>#VALUE!</v>
      </c>
      <c r="N1474" s="560"/>
      <c r="O1474" s="560"/>
      <c r="S1474" t="str">
        <f>VLOOKUP(C1474,'Recon of ORS and DV'!$A$4:$B$358,2,FALSE)</f>
        <v>0561</v>
      </c>
    </row>
    <row r="1475" spans="1:19">
      <c r="B1475" s="553">
        <v>44284</v>
      </c>
      <c r="C1475" t="s">
        <v>1596</v>
      </c>
      <c r="D1475" s="281">
        <v>9</v>
      </c>
      <c r="E1475" t="s">
        <v>1998</v>
      </c>
      <c r="F1475" t="s">
        <v>633</v>
      </c>
      <c r="G1475" t="s">
        <v>1075</v>
      </c>
      <c r="H1475" t="s">
        <v>1597</v>
      </c>
      <c r="I1475">
        <v>5020000000</v>
      </c>
      <c r="J1475" s="560">
        <v>11158</v>
      </c>
      <c r="K1475" s="560">
        <f t="shared" si="45"/>
        <v>2</v>
      </c>
      <c r="L1475" s="560">
        <f t="shared" si="46"/>
        <v>2</v>
      </c>
    </row>
    <row r="1476" spans="1:19">
      <c r="A1476" t="s">
        <v>2357</v>
      </c>
      <c r="B1476" s="553">
        <v>44284</v>
      </c>
      <c r="C1476" t="s">
        <v>1596</v>
      </c>
      <c r="D1476" s="281">
        <v>11</v>
      </c>
      <c r="E1476" t="s">
        <v>1998</v>
      </c>
      <c r="F1476" t="s">
        <v>633</v>
      </c>
      <c r="G1476" t="s">
        <v>1075</v>
      </c>
      <c r="H1476" t="s">
        <v>1597</v>
      </c>
      <c r="I1476">
        <v>5020000000</v>
      </c>
      <c r="J1476" s="560">
        <v>11158</v>
      </c>
      <c r="K1476" s="560">
        <f t="shared" ref="K1476:K1539" si="47">COUNTIFS($C$3:$C$1556,C1476)</f>
        <v>2</v>
      </c>
      <c r="L1476" s="560">
        <f t="shared" si="46"/>
        <v>1</v>
      </c>
      <c r="M1476" s="560" t="e">
        <f>SUMIFS('[1]MAIN-101'!$Z$1:$Z$3000,'[1]MAIN-101'!$X$1:$X$3000,S1476)</f>
        <v>#VALUE!</v>
      </c>
      <c r="N1476" s="560"/>
      <c r="O1476" s="560"/>
      <c r="S1476" t="str">
        <f>VLOOKUP(C1476,'Recon of ORS and DV'!$A$4:$B$358,2,FALSE)</f>
        <v>0576</v>
      </c>
    </row>
    <row r="1477" spans="1:19">
      <c r="B1477" s="553">
        <v>44284</v>
      </c>
      <c r="C1477" t="s">
        <v>1598</v>
      </c>
      <c r="D1477" s="281">
        <v>12</v>
      </c>
      <c r="E1477" t="s">
        <v>2037</v>
      </c>
      <c r="F1477" t="s">
        <v>555</v>
      </c>
      <c r="G1477" t="s">
        <v>823</v>
      </c>
      <c r="H1477" t="s">
        <v>1600</v>
      </c>
      <c r="I1477" t="s">
        <v>2037</v>
      </c>
      <c r="J1477" s="560">
        <v>52700</v>
      </c>
      <c r="K1477" s="560">
        <f t="shared" si="47"/>
        <v>7</v>
      </c>
      <c r="L1477" s="560">
        <f t="shared" si="46"/>
        <v>7</v>
      </c>
    </row>
    <row r="1478" spans="1:19">
      <c r="B1478" s="553">
        <v>44284</v>
      </c>
      <c r="C1478" t="s">
        <v>1598</v>
      </c>
      <c r="D1478" s="281">
        <v>12</v>
      </c>
      <c r="E1478" t="s">
        <v>2039</v>
      </c>
      <c r="F1478" t="s">
        <v>560</v>
      </c>
      <c r="G1478" t="s">
        <v>823</v>
      </c>
      <c r="H1478" t="s">
        <v>1600</v>
      </c>
      <c r="I1478" t="s">
        <v>2039</v>
      </c>
      <c r="J1478" s="560">
        <v>86250</v>
      </c>
      <c r="K1478" s="560">
        <f t="shared" si="47"/>
        <v>7</v>
      </c>
      <c r="L1478" s="560">
        <f t="shared" si="46"/>
        <v>6</v>
      </c>
    </row>
    <row r="1479" spans="1:19">
      <c r="B1479" s="553">
        <v>44284</v>
      </c>
      <c r="C1479" t="s">
        <v>1598</v>
      </c>
      <c r="D1479" s="281">
        <v>12</v>
      </c>
      <c r="E1479" t="s">
        <v>2032</v>
      </c>
      <c r="F1479" t="s">
        <v>565</v>
      </c>
      <c r="G1479" t="s">
        <v>823</v>
      </c>
      <c r="H1479" t="s">
        <v>1600</v>
      </c>
      <c r="I1479" t="s">
        <v>2032</v>
      </c>
      <c r="J1479" s="560">
        <v>3750</v>
      </c>
      <c r="K1479" s="560">
        <f t="shared" si="47"/>
        <v>7</v>
      </c>
      <c r="L1479" s="560">
        <f t="shared" si="46"/>
        <v>5</v>
      </c>
    </row>
    <row r="1480" spans="1:19">
      <c r="B1480" s="553">
        <v>44284</v>
      </c>
      <c r="C1480" t="s">
        <v>1598</v>
      </c>
      <c r="D1480" s="281">
        <v>12</v>
      </c>
      <c r="E1480" t="s">
        <v>2002</v>
      </c>
      <c r="F1480" t="s">
        <v>603</v>
      </c>
      <c r="G1480" t="s">
        <v>823</v>
      </c>
      <c r="H1480" t="s">
        <v>1600</v>
      </c>
      <c r="I1480" t="s">
        <v>2002</v>
      </c>
      <c r="J1480" s="560">
        <v>1125</v>
      </c>
      <c r="K1480" s="560">
        <f t="shared" si="47"/>
        <v>7</v>
      </c>
      <c r="L1480" s="560">
        <f t="shared" si="46"/>
        <v>4</v>
      </c>
    </row>
    <row r="1481" spans="1:19">
      <c r="B1481" s="553">
        <v>44284</v>
      </c>
      <c r="C1481" t="s">
        <v>1598</v>
      </c>
      <c r="D1481" s="281">
        <v>12</v>
      </c>
      <c r="E1481" t="s">
        <v>2021</v>
      </c>
      <c r="F1481" t="s">
        <v>631</v>
      </c>
      <c r="G1481" t="s">
        <v>823</v>
      </c>
      <c r="H1481" t="s">
        <v>1600</v>
      </c>
      <c r="I1481" t="s">
        <v>2021</v>
      </c>
      <c r="J1481" s="560">
        <v>400</v>
      </c>
      <c r="K1481" s="560">
        <f t="shared" si="47"/>
        <v>7</v>
      </c>
      <c r="L1481" s="560">
        <f t="shared" si="46"/>
        <v>3</v>
      </c>
    </row>
    <row r="1482" spans="1:19">
      <c r="B1482" s="553">
        <v>44284</v>
      </c>
      <c r="C1482" t="s">
        <v>1598</v>
      </c>
      <c r="D1482" s="281">
        <v>12</v>
      </c>
      <c r="E1482" t="s">
        <v>1998</v>
      </c>
      <c r="F1482" t="s">
        <v>633</v>
      </c>
      <c r="G1482" t="s">
        <v>823</v>
      </c>
      <c r="H1482" t="s">
        <v>1600</v>
      </c>
      <c r="I1482" t="s">
        <v>1998</v>
      </c>
      <c r="J1482" s="560">
        <v>110876</v>
      </c>
      <c r="K1482" s="560">
        <f t="shared" si="47"/>
        <v>7</v>
      </c>
      <c r="L1482" s="560">
        <f t="shared" si="46"/>
        <v>2</v>
      </c>
    </row>
    <row r="1483" spans="1:19">
      <c r="A1483" t="s">
        <v>2358</v>
      </c>
      <c r="B1483" s="553">
        <v>44284</v>
      </c>
      <c r="C1483" t="s">
        <v>1598</v>
      </c>
      <c r="D1483" s="281">
        <v>12</v>
      </c>
      <c r="E1483" t="s">
        <v>1997</v>
      </c>
      <c r="F1483" t="s">
        <v>642</v>
      </c>
      <c r="G1483" t="s">
        <v>823</v>
      </c>
      <c r="H1483" t="s">
        <v>1600</v>
      </c>
      <c r="I1483" t="s">
        <v>1997</v>
      </c>
      <c r="J1483" s="560">
        <v>1000</v>
      </c>
      <c r="K1483" s="560">
        <f t="shared" si="47"/>
        <v>7</v>
      </c>
      <c r="L1483" s="560">
        <f t="shared" si="46"/>
        <v>1</v>
      </c>
      <c r="M1483" s="560" t="e">
        <f>SUMIFS('[1]MAIN-101'!$Z$1:$Z$3000,'[1]MAIN-101'!$X$1:$X$3000,S1483)</f>
        <v>#VALUE!</v>
      </c>
      <c r="N1483" s="560"/>
      <c r="O1483" s="560"/>
      <c r="S1483" t="str">
        <f>VLOOKUP(C1483,'Recon of ORS and DV'!$A$4:$B$358,2,FALSE)</f>
        <v>0574</v>
      </c>
    </row>
    <row r="1484" spans="1:19">
      <c r="B1484" s="553">
        <v>44284</v>
      </c>
      <c r="C1484" t="s">
        <v>1599</v>
      </c>
      <c r="D1484" s="281">
        <v>12</v>
      </c>
      <c r="E1484" t="s">
        <v>2037</v>
      </c>
      <c r="F1484" t="s">
        <v>555</v>
      </c>
      <c r="G1484" t="s">
        <v>821</v>
      </c>
      <c r="H1484" t="s">
        <v>1600</v>
      </c>
      <c r="I1484" t="s">
        <v>2037</v>
      </c>
      <c r="J1484" s="560">
        <v>37300</v>
      </c>
      <c r="K1484" s="560">
        <f t="shared" si="47"/>
        <v>7</v>
      </c>
      <c r="L1484" s="560">
        <f t="shared" si="46"/>
        <v>7</v>
      </c>
    </row>
    <row r="1485" spans="1:19">
      <c r="B1485" s="553">
        <v>44284</v>
      </c>
      <c r="C1485" t="s">
        <v>1599</v>
      </c>
      <c r="D1485" s="281">
        <v>12</v>
      </c>
      <c r="E1485" t="s">
        <v>2039</v>
      </c>
      <c r="F1485" t="s">
        <v>560</v>
      </c>
      <c r="G1485" t="s">
        <v>821</v>
      </c>
      <c r="H1485" t="s">
        <v>1600</v>
      </c>
      <c r="I1485" t="s">
        <v>2039</v>
      </c>
      <c r="J1485" s="560">
        <v>40965</v>
      </c>
      <c r="K1485" s="560">
        <f t="shared" si="47"/>
        <v>7</v>
      </c>
      <c r="L1485" s="560">
        <f t="shared" si="46"/>
        <v>6</v>
      </c>
    </row>
    <row r="1486" spans="1:19">
      <c r="B1486" s="553">
        <v>44284</v>
      </c>
      <c r="C1486" t="s">
        <v>1599</v>
      </c>
      <c r="D1486" s="281">
        <v>12</v>
      </c>
      <c r="E1486" t="s">
        <v>2032</v>
      </c>
      <c r="F1486" t="s">
        <v>565</v>
      </c>
      <c r="G1486" t="s">
        <v>821</v>
      </c>
      <c r="H1486" t="s">
        <v>1600</v>
      </c>
      <c r="I1486" t="s">
        <v>2032</v>
      </c>
      <c r="J1486" s="560">
        <v>5000</v>
      </c>
      <c r="K1486" s="560">
        <f t="shared" si="47"/>
        <v>7</v>
      </c>
      <c r="L1486" s="560">
        <f t="shared" si="46"/>
        <v>5</v>
      </c>
    </row>
    <row r="1487" spans="1:19">
      <c r="B1487" s="553">
        <v>44284</v>
      </c>
      <c r="C1487" t="s">
        <v>1599</v>
      </c>
      <c r="D1487" s="281">
        <v>12</v>
      </c>
      <c r="E1487" t="s">
        <v>2002</v>
      </c>
      <c r="F1487" t="s">
        <v>603</v>
      </c>
      <c r="G1487" t="s">
        <v>821</v>
      </c>
      <c r="H1487" t="s">
        <v>1600</v>
      </c>
      <c r="I1487" t="s">
        <v>2002</v>
      </c>
      <c r="J1487" s="560">
        <v>1500</v>
      </c>
      <c r="K1487" s="560">
        <f t="shared" si="47"/>
        <v>7</v>
      </c>
      <c r="L1487" s="560">
        <f t="shared" ref="L1487:L1550" si="48">COUNTIFS(C1487:C3040,C1487)</f>
        <v>4</v>
      </c>
    </row>
    <row r="1488" spans="1:19">
      <c r="B1488" s="553">
        <v>44284</v>
      </c>
      <c r="C1488" t="s">
        <v>1599</v>
      </c>
      <c r="D1488" s="281">
        <v>12</v>
      </c>
      <c r="E1488" t="s">
        <v>2021</v>
      </c>
      <c r="F1488" t="s">
        <v>631</v>
      </c>
      <c r="G1488" t="s">
        <v>821</v>
      </c>
      <c r="H1488" t="s">
        <v>1600</v>
      </c>
      <c r="I1488" t="s">
        <v>1997</v>
      </c>
      <c r="J1488" s="560">
        <v>400</v>
      </c>
      <c r="K1488" s="560">
        <f t="shared" si="47"/>
        <v>7</v>
      </c>
      <c r="L1488" s="560">
        <f t="shared" si="48"/>
        <v>3</v>
      </c>
    </row>
    <row r="1489" spans="1:19">
      <c r="B1489" s="553">
        <v>44284</v>
      </c>
      <c r="C1489" t="s">
        <v>1599</v>
      </c>
      <c r="D1489" s="281">
        <v>12</v>
      </c>
      <c r="E1489" t="s">
        <v>1998</v>
      </c>
      <c r="F1489" t="s">
        <v>633</v>
      </c>
      <c r="G1489" t="s">
        <v>821</v>
      </c>
      <c r="H1489" t="s">
        <v>1600</v>
      </c>
      <c r="I1489" t="s">
        <v>1997</v>
      </c>
      <c r="J1489" s="560">
        <v>98299</v>
      </c>
      <c r="K1489" s="560">
        <f t="shared" si="47"/>
        <v>7</v>
      </c>
      <c r="L1489" s="560">
        <f t="shared" si="48"/>
        <v>2</v>
      </c>
    </row>
    <row r="1490" spans="1:19">
      <c r="A1490" t="s">
        <v>2359</v>
      </c>
      <c r="B1490" s="553">
        <v>44284</v>
      </c>
      <c r="C1490" t="s">
        <v>1599</v>
      </c>
      <c r="D1490" s="281">
        <v>12</v>
      </c>
      <c r="E1490" t="s">
        <v>1997</v>
      </c>
      <c r="F1490" t="s">
        <v>642</v>
      </c>
      <c r="G1490" t="s">
        <v>821</v>
      </c>
      <c r="H1490" t="s">
        <v>1600</v>
      </c>
      <c r="I1490" t="s">
        <v>1997</v>
      </c>
      <c r="J1490" s="560">
        <v>1000</v>
      </c>
      <c r="K1490" s="560">
        <f t="shared" si="47"/>
        <v>7</v>
      </c>
      <c r="L1490" s="560">
        <f t="shared" si="48"/>
        <v>1</v>
      </c>
      <c r="M1490" s="560" t="e">
        <f>SUMIFS('[1]MAIN-101'!$Z$1:$Z$3000,'[1]MAIN-101'!$X$1:$X$3000,S1490)</f>
        <v>#VALUE!</v>
      </c>
      <c r="N1490" s="560"/>
      <c r="O1490" s="560"/>
      <c r="S1490" t="str">
        <f>VLOOKUP(C1490,'Recon of ORS and DV'!$A$4:$B$358,2,FALSE)</f>
        <v>0575</v>
      </c>
    </row>
    <row r="1491" spans="1:19">
      <c r="B1491" s="553">
        <v>44284</v>
      </c>
      <c r="C1491" t="s">
        <v>1601</v>
      </c>
      <c r="D1491" s="281">
        <v>8</v>
      </c>
      <c r="E1491" t="s">
        <v>2037</v>
      </c>
      <c r="F1491" t="s">
        <v>555</v>
      </c>
      <c r="G1491" t="s">
        <v>820</v>
      </c>
      <c r="H1491" t="s">
        <v>1602</v>
      </c>
      <c r="I1491">
        <v>5020000000</v>
      </c>
      <c r="J1491" s="560">
        <v>100000</v>
      </c>
      <c r="K1491" s="560">
        <f t="shared" si="47"/>
        <v>5</v>
      </c>
      <c r="L1491" s="560">
        <f t="shared" si="48"/>
        <v>5</v>
      </c>
    </row>
    <row r="1492" spans="1:19">
      <c r="B1492" s="553">
        <v>44284</v>
      </c>
      <c r="C1492" t="s">
        <v>1601</v>
      </c>
      <c r="D1492" s="281">
        <v>8</v>
      </c>
      <c r="E1492" t="s">
        <v>2039</v>
      </c>
      <c r="F1492" t="s">
        <v>560</v>
      </c>
      <c r="G1492" t="s">
        <v>820</v>
      </c>
      <c r="H1492" t="s">
        <v>1602</v>
      </c>
      <c r="I1492">
        <v>5020000000</v>
      </c>
      <c r="J1492" s="560">
        <v>300000</v>
      </c>
      <c r="K1492" s="560">
        <f t="shared" si="47"/>
        <v>5</v>
      </c>
      <c r="L1492" s="560">
        <f t="shared" si="48"/>
        <v>4</v>
      </c>
    </row>
    <row r="1493" spans="1:19">
      <c r="B1493" s="553">
        <v>44284</v>
      </c>
      <c r="C1493" t="s">
        <v>1601</v>
      </c>
      <c r="D1493" s="281">
        <v>8</v>
      </c>
      <c r="E1493" t="s">
        <v>2005</v>
      </c>
      <c r="F1493" t="s">
        <v>678</v>
      </c>
      <c r="G1493" t="s">
        <v>820</v>
      </c>
      <c r="H1493" t="s">
        <v>1602</v>
      </c>
      <c r="I1493">
        <v>5020000000</v>
      </c>
      <c r="J1493" s="560">
        <v>50000</v>
      </c>
      <c r="K1493" s="560">
        <f t="shared" si="47"/>
        <v>5</v>
      </c>
      <c r="L1493" s="560">
        <f t="shared" si="48"/>
        <v>3</v>
      </c>
    </row>
    <row r="1494" spans="1:19">
      <c r="B1494" s="553">
        <v>44284</v>
      </c>
      <c r="C1494" t="s">
        <v>1601</v>
      </c>
      <c r="D1494" s="281">
        <v>8</v>
      </c>
      <c r="E1494" t="s">
        <v>1998</v>
      </c>
      <c r="F1494" t="s">
        <v>633</v>
      </c>
      <c r="G1494" t="s">
        <v>820</v>
      </c>
      <c r="H1494" t="s">
        <v>1602</v>
      </c>
      <c r="I1494">
        <v>5020000000</v>
      </c>
      <c r="J1494" s="560">
        <v>914950</v>
      </c>
      <c r="K1494" s="560">
        <f t="shared" si="47"/>
        <v>5</v>
      </c>
      <c r="L1494" s="560">
        <f t="shared" si="48"/>
        <v>2</v>
      </c>
    </row>
    <row r="1495" spans="1:19">
      <c r="A1495" t="s">
        <v>2360</v>
      </c>
      <c r="B1495" s="553">
        <v>44284</v>
      </c>
      <c r="C1495" t="s">
        <v>1601</v>
      </c>
      <c r="D1495" s="281">
        <v>8</v>
      </c>
      <c r="E1495" t="s">
        <v>2000</v>
      </c>
      <c r="F1495" t="s">
        <v>683</v>
      </c>
      <c r="G1495" t="s">
        <v>820</v>
      </c>
      <c r="H1495" t="s">
        <v>1602</v>
      </c>
      <c r="I1495">
        <v>5020000000</v>
      </c>
      <c r="J1495" s="560">
        <v>100000</v>
      </c>
      <c r="K1495" s="560">
        <f t="shared" si="47"/>
        <v>5</v>
      </c>
      <c r="L1495" s="560">
        <f t="shared" si="48"/>
        <v>1</v>
      </c>
      <c r="M1495" s="560" t="e">
        <f>SUMIFS('[1]MAIN-101'!$Z$1:$Z$3000,'[1]MAIN-101'!$X$1:$X$3000,S1495)</f>
        <v>#VALUE!</v>
      </c>
      <c r="N1495" s="560"/>
      <c r="O1495" s="560"/>
      <c r="S1495" t="str">
        <f>VLOOKUP(C1495,'Recon of ORS and DV'!$A$4:$B$358,2,FALSE)</f>
        <v>0580</v>
      </c>
    </row>
    <row r="1496" spans="1:19">
      <c r="B1496" s="553">
        <v>44284</v>
      </c>
      <c r="C1496" t="s">
        <v>1603</v>
      </c>
      <c r="D1496" s="281">
        <v>8</v>
      </c>
      <c r="E1496" t="s">
        <v>2037</v>
      </c>
      <c r="F1496" t="s">
        <v>555</v>
      </c>
      <c r="G1496" t="s">
        <v>1539</v>
      </c>
      <c r="H1496" t="s">
        <v>1602</v>
      </c>
      <c r="I1496">
        <v>5020000000</v>
      </c>
      <c r="J1496" s="560">
        <v>50000</v>
      </c>
      <c r="K1496" s="560">
        <f t="shared" si="47"/>
        <v>5</v>
      </c>
      <c r="L1496" s="560">
        <f t="shared" si="48"/>
        <v>5</v>
      </c>
    </row>
    <row r="1497" spans="1:19">
      <c r="B1497" s="553">
        <v>44284</v>
      </c>
      <c r="C1497" t="s">
        <v>1603</v>
      </c>
      <c r="D1497" s="281">
        <v>8</v>
      </c>
      <c r="E1497" t="s">
        <v>2039</v>
      </c>
      <c r="F1497" t="s">
        <v>560</v>
      </c>
      <c r="G1497" t="s">
        <v>1539</v>
      </c>
      <c r="H1497" t="s">
        <v>1602</v>
      </c>
      <c r="I1497">
        <v>5020000000</v>
      </c>
      <c r="J1497" s="560">
        <v>150000</v>
      </c>
      <c r="K1497" s="560">
        <f t="shared" si="47"/>
        <v>5</v>
      </c>
      <c r="L1497" s="560">
        <f t="shared" si="48"/>
        <v>4</v>
      </c>
    </row>
    <row r="1498" spans="1:19">
      <c r="B1498" s="553">
        <v>44284</v>
      </c>
      <c r="C1498" t="s">
        <v>1603</v>
      </c>
      <c r="D1498" s="281">
        <v>8</v>
      </c>
      <c r="E1498" t="s">
        <v>2005</v>
      </c>
      <c r="F1498" t="s">
        <v>678</v>
      </c>
      <c r="G1498" t="s">
        <v>1539</v>
      </c>
      <c r="H1498" t="s">
        <v>1602</v>
      </c>
      <c r="I1498">
        <v>5020000000</v>
      </c>
      <c r="J1498" s="560">
        <v>25000</v>
      </c>
      <c r="K1498" s="560">
        <f t="shared" si="47"/>
        <v>5</v>
      </c>
      <c r="L1498" s="560">
        <f t="shared" si="48"/>
        <v>3</v>
      </c>
    </row>
    <row r="1499" spans="1:19">
      <c r="B1499" s="553">
        <v>44284</v>
      </c>
      <c r="C1499" t="s">
        <v>1603</v>
      </c>
      <c r="D1499" s="281">
        <v>8</v>
      </c>
      <c r="E1499" t="s">
        <v>1998</v>
      </c>
      <c r="F1499" t="s">
        <v>633</v>
      </c>
      <c r="G1499" t="s">
        <v>1539</v>
      </c>
      <c r="H1499" t="s">
        <v>1602</v>
      </c>
      <c r="I1499">
        <v>5020000000</v>
      </c>
      <c r="J1499" s="560">
        <v>1016031.21</v>
      </c>
      <c r="K1499" s="560">
        <f t="shared" si="47"/>
        <v>5</v>
      </c>
      <c r="L1499" s="560">
        <f t="shared" si="48"/>
        <v>2</v>
      </c>
    </row>
    <row r="1500" spans="1:19">
      <c r="A1500" t="s">
        <v>2361</v>
      </c>
      <c r="B1500" s="553">
        <v>44284</v>
      </c>
      <c r="C1500" t="s">
        <v>1603</v>
      </c>
      <c r="D1500" s="281">
        <v>8</v>
      </c>
      <c r="E1500" t="s">
        <v>2000</v>
      </c>
      <c r="F1500" t="s">
        <v>683</v>
      </c>
      <c r="G1500" t="s">
        <v>1539</v>
      </c>
      <c r="H1500" t="s">
        <v>1602</v>
      </c>
      <c r="I1500">
        <v>5020000000</v>
      </c>
      <c r="J1500" s="560">
        <v>25000</v>
      </c>
      <c r="K1500" s="560">
        <f t="shared" si="47"/>
        <v>5</v>
      </c>
      <c r="L1500" s="560">
        <f t="shared" si="48"/>
        <v>1</v>
      </c>
      <c r="M1500" s="560" t="e">
        <f>SUMIFS('[1]MAIN-101'!$Z$1:$Z$3000,'[1]MAIN-101'!$X$1:$X$3000,S1500)</f>
        <v>#VALUE!</v>
      </c>
      <c r="N1500" s="560"/>
      <c r="O1500" s="560"/>
      <c r="S1500" t="str">
        <f>VLOOKUP(C1500,'Recon of ORS and DV'!$A$4:$B$358,2,FALSE)</f>
        <v>0581</v>
      </c>
    </row>
    <row r="1501" spans="1:19">
      <c r="B1501" s="553">
        <v>44284</v>
      </c>
      <c r="C1501" t="s">
        <v>1604</v>
      </c>
      <c r="D1501" s="281">
        <v>9</v>
      </c>
      <c r="E1501" t="s">
        <v>2037</v>
      </c>
      <c r="F1501" t="s">
        <v>555</v>
      </c>
      <c r="G1501" t="s">
        <v>818</v>
      </c>
      <c r="H1501" t="s">
        <v>1605</v>
      </c>
      <c r="I1501">
        <v>5020000000</v>
      </c>
      <c r="J1501" s="560">
        <v>70000</v>
      </c>
      <c r="K1501" s="560">
        <f t="shared" si="47"/>
        <v>9</v>
      </c>
      <c r="L1501" s="560">
        <f t="shared" si="48"/>
        <v>9</v>
      </c>
    </row>
    <row r="1502" spans="1:19">
      <c r="B1502" s="553">
        <v>44284</v>
      </c>
      <c r="C1502" t="s">
        <v>1604</v>
      </c>
      <c r="D1502" s="281">
        <v>9</v>
      </c>
      <c r="E1502" t="s">
        <v>2039</v>
      </c>
      <c r="F1502" t="s">
        <v>560</v>
      </c>
      <c r="G1502" t="s">
        <v>818</v>
      </c>
      <c r="H1502" t="s">
        <v>1605</v>
      </c>
      <c r="I1502">
        <v>5020000000</v>
      </c>
      <c r="J1502" s="560">
        <v>15000</v>
      </c>
      <c r="K1502" s="560">
        <f t="shared" si="47"/>
        <v>9</v>
      </c>
      <c r="L1502" s="560">
        <f t="shared" si="48"/>
        <v>8</v>
      </c>
    </row>
    <row r="1503" spans="1:19">
      <c r="B1503" s="553">
        <v>44284</v>
      </c>
      <c r="C1503" t="s">
        <v>1604</v>
      </c>
      <c r="D1503" s="281">
        <v>9</v>
      </c>
      <c r="E1503" t="s">
        <v>2032</v>
      </c>
      <c r="F1503" t="s">
        <v>565</v>
      </c>
      <c r="G1503" t="s">
        <v>818</v>
      </c>
      <c r="H1503" t="s">
        <v>1605</v>
      </c>
      <c r="I1503">
        <v>5020000000</v>
      </c>
      <c r="J1503" s="560">
        <v>10000</v>
      </c>
      <c r="K1503" s="560">
        <f t="shared" si="47"/>
        <v>9</v>
      </c>
      <c r="L1503" s="560">
        <f t="shared" si="48"/>
        <v>7</v>
      </c>
    </row>
    <row r="1504" spans="1:19">
      <c r="B1504" s="553">
        <v>44284</v>
      </c>
      <c r="C1504" t="s">
        <v>1604</v>
      </c>
      <c r="D1504" s="281">
        <v>9</v>
      </c>
      <c r="E1504" t="s">
        <v>2021</v>
      </c>
      <c r="F1504" t="s">
        <v>631</v>
      </c>
      <c r="G1504" t="s">
        <v>818</v>
      </c>
      <c r="H1504" t="s">
        <v>1605</v>
      </c>
      <c r="I1504">
        <v>5020000000</v>
      </c>
      <c r="J1504" s="560">
        <v>50000</v>
      </c>
      <c r="K1504" s="560">
        <f t="shared" si="47"/>
        <v>9</v>
      </c>
      <c r="L1504" s="560">
        <f t="shared" si="48"/>
        <v>6</v>
      </c>
    </row>
    <row r="1505" spans="1:19">
      <c r="B1505" s="553">
        <v>44284</v>
      </c>
      <c r="C1505" t="s">
        <v>1604</v>
      </c>
      <c r="D1505" s="281">
        <v>9</v>
      </c>
      <c r="E1505" t="s">
        <v>1998</v>
      </c>
      <c r="F1505" t="s">
        <v>633</v>
      </c>
      <c r="G1505" t="s">
        <v>818</v>
      </c>
      <c r="H1505" t="s">
        <v>1605</v>
      </c>
      <c r="I1505">
        <v>5020000000</v>
      </c>
      <c r="J1505" s="560">
        <v>40000</v>
      </c>
      <c r="K1505" s="560">
        <f t="shared" si="47"/>
        <v>9</v>
      </c>
      <c r="L1505" s="560">
        <f t="shared" si="48"/>
        <v>5</v>
      </c>
    </row>
    <row r="1506" spans="1:19">
      <c r="B1506" s="553">
        <v>44284</v>
      </c>
      <c r="C1506" t="s">
        <v>1604</v>
      </c>
      <c r="D1506" s="281">
        <v>9</v>
      </c>
      <c r="E1506" t="s">
        <v>2023</v>
      </c>
      <c r="F1506" t="s">
        <v>674</v>
      </c>
      <c r="G1506" t="s">
        <v>818</v>
      </c>
      <c r="H1506" t="s">
        <v>1605</v>
      </c>
      <c r="I1506">
        <v>5020000000</v>
      </c>
      <c r="J1506" s="560">
        <v>63243.76</v>
      </c>
      <c r="K1506" s="560">
        <f t="shared" si="47"/>
        <v>9</v>
      </c>
      <c r="L1506" s="560">
        <f t="shared" si="48"/>
        <v>4</v>
      </c>
    </row>
    <row r="1507" spans="1:19">
      <c r="B1507" s="553">
        <v>44284</v>
      </c>
      <c r="C1507" t="s">
        <v>1604</v>
      </c>
      <c r="D1507" s="281">
        <v>9</v>
      </c>
      <c r="E1507" t="s">
        <v>1996</v>
      </c>
      <c r="F1507" t="s">
        <v>676</v>
      </c>
      <c r="G1507" t="s">
        <v>818</v>
      </c>
      <c r="H1507" t="s">
        <v>1605</v>
      </c>
      <c r="I1507">
        <v>5020000000</v>
      </c>
      <c r="J1507" s="560">
        <v>25000</v>
      </c>
      <c r="K1507" s="560">
        <f t="shared" si="47"/>
        <v>9</v>
      </c>
      <c r="L1507" s="560">
        <f t="shared" si="48"/>
        <v>3</v>
      </c>
    </row>
    <row r="1508" spans="1:19">
      <c r="B1508" s="553">
        <v>44284</v>
      </c>
      <c r="C1508" t="s">
        <v>1604</v>
      </c>
      <c r="D1508" s="281">
        <v>9</v>
      </c>
      <c r="E1508" t="s">
        <v>2005</v>
      </c>
      <c r="F1508" t="s">
        <v>678</v>
      </c>
      <c r="G1508" t="s">
        <v>818</v>
      </c>
      <c r="H1508" t="s">
        <v>1605</v>
      </c>
      <c r="I1508">
        <v>5020000000</v>
      </c>
      <c r="J1508" s="560">
        <v>25000</v>
      </c>
      <c r="K1508" s="560">
        <f t="shared" si="47"/>
        <v>9</v>
      </c>
      <c r="L1508" s="560">
        <f t="shared" si="48"/>
        <v>2</v>
      </c>
    </row>
    <row r="1509" spans="1:19">
      <c r="A1509" t="s">
        <v>2362</v>
      </c>
      <c r="B1509" s="553">
        <v>44284</v>
      </c>
      <c r="C1509" t="s">
        <v>1604</v>
      </c>
      <c r="D1509" s="281">
        <v>9</v>
      </c>
      <c r="E1509" t="s">
        <v>2009</v>
      </c>
      <c r="F1509" t="s">
        <v>680</v>
      </c>
      <c r="G1509" t="s">
        <v>818</v>
      </c>
      <c r="H1509" t="s">
        <v>1605</v>
      </c>
      <c r="I1509">
        <v>5020000000</v>
      </c>
      <c r="J1509" s="560">
        <v>50000</v>
      </c>
      <c r="K1509" s="560">
        <f t="shared" si="47"/>
        <v>9</v>
      </c>
      <c r="L1509" s="560">
        <f t="shared" si="48"/>
        <v>1</v>
      </c>
      <c r="M1509" s="560" t="e">
        <f>SUMIFS('[1]MAIN-101'!$Z$1:$Z$3000,'[1]MAIN-101'!$X$1:$X$3000,S1509)</f>
        <v>#VALUE!</v>
      </c>
      <c r="N1509" s="560"/>
      <c r="O1509" s="560"/>
      <c r="S1509" t="str">
        <f>VLOOKUP(C1509,'Recon of ORS and DV'!$A$4:$B$358,2,FALSE)</f>
        <v>0582</v>
      </c>
    </row>
    <row r="1510" spans="1:19">
      <c r="B1510" s="553">
        <v>44284</v>
      </c>
      <c r="C1510" t="s">
        <v>1606</v>
      </c>
      <c r="D1510" s="281">
        <v>9</v>
      </c>
      <c r="E1510" t="s">
        <v>2037</v>
      </c>
      <c r="F1510" t="s">
        <v>555</v>
      </c>
      <c r="G1510" t="s">
        <v>1539</v>
      </c>
      <c r="H1510" t="s">
        <v>1605</v>
      </c>
      <c r="I1510">
        <v>5020000000</v>
      </c>
      <c r="J1510" s="560">
        <v>70000</v>
      </c>
      <c r="K1510" s="560">
        <f t="shared" si="47"/>
        <v>9</v>
      </c>
      <c r="L1510" s="560">
        <f t="shared" si="48"/>
        <v>9</v>
      </c>
    </row>
    <row r="1511" spans="1:19">
      <c r="B1511" s="553">
        <v>44284</v>
      </c>
      <c r="C1511" t="s">
        <v>1606</v>
      </c>
      <c r="D1511" s="281">
        <v>9</v>
      </c>
      <c r="E1511" t="s">
        <v>2039</v>
      </c>
      <c r="F1511" t="s">
        <v>560</v>
      </c>
      <c r="G1511" t="s">
        <v>1539</v>
      </c>
      <c r="H1511" t="s">
        <v>1605</v>
      </c>
      <c r="I1511">
        <v>5020000000</v>
      </c>
      <c r="J1511" s="560">
        <v>15000</v>
      </c>
      <c r="K1511" s="560">
        <f t="shared" si="47"/>
        <v>9</v>
      </c>
      <c r="L1511" s="560">
        <f t="shared" si="48"/>
        <v>8</v>
      </c>
    </row>
    <row r="1512" spans="1:19">
      <c r="B1512" s="553">
        <v>44284</v>
      </c>
      <c r="C1512" t="s">
        <v>1606</v>
      </c>
      <c r="D1512" s="281">
        <v>9</v>
      </c>
      <c r="E1512" t="s">
        <v>2032</v>
      </c>
      <c r="F1512" t="s">
        <v>565</v>
      </c>
      <c r="G1512" t="s">
        <v>1539</v>
      </c>
      <c r="H1512" t="s">
        <v>1605</v>
      </c>
      <c r="I1512">
        <v>5020000000</v>
      </c>
      <c r="J1512" s="560">
        <v>10000</v>
      </c>
      <c r="K1512" s="560">
        <f t="shared" si="47"/>
        <v>9</v>
      </c>
      <c r="L1512" s="560">
        <f t="shared" si="48"/>
        <v>7</v>
      </c>
    </row>
    <row r="1513" spans="1:19">
      <c r="B1513" s="553">
        <v>44284</v>
      </c>
      <c r="C1513" t="s">
        <v>1606</v>
      </c>
      <c r="D1513" s="281">
        <v>9</v>
      </c>
      <c r="E1513" t="s">
        <v>2021</v>
      </c>
      <c r="F1513" t="s">
        <v>631</v>
      </c>
      <c r="G1513" t="s">
        <v>1539</v>
      </c>
      <c r="H1513" t="s">
        <v>1605</v>
      </c>
      <c r="I1513">
        <v>5020000000</v>
      </c>
      <c r="J1513" s="560">
        <v>50000</v>
      </c>
      <c r="K1513" s="560">
        <f t="shared" si="47"/>
        <v>9</v>
      </c>
      <c r="L1513" s="560">
        <f t="shared" si="48"/>
        <v>6</v>
      </c>
    </row>
    <row r="1514" spans="1:19">
      <c r="B1514" s="553">
        <v>44284</v>
      </c>
      <c r="C1514" t="s">
        <v>1606</v>
      </c>
      <c r="D1514" s="281">
        <v>9</v>
      </c>
      <c r="E1514" t="s">
        <v>1998</v>
      </c>
      <c r="F1514" t="s">
        <v>633</v>
      </c>
      <c r="G1514" t="s">
        <v>1539</v>
      </c>
      <c r="H1514" t="s">
        <v>1605</v>
      </c>
      <c r="I1514">
        <v>5020000000</v>
      </c>
      <c r="J1514" s="560">
        <v>40000</v>
      </c>
      <c r="K1514" s="560">
        <f t="shared" si="47"/>
        <v>9</v>
      </c>
      <c r="L1514" s="560">
        <f t="shared" si="48"/>
        <v>5</v>
      </c>
    </row>
    <row r="1515" spans="1:19">
      <c r="B1515" s="553">
        <v>44284</v>
      </c>
      <c r="C1515" t="s">
        <v>1606</v>
      </c>
      <c r="D1515" s="281">
        <v>9</v>
      </c>
      <c r="E1515" t="s">
        <v>2023</v>
      </c>
      <c r="F1515" t="s">
        <v>674</v>
      </c>
      <c r="G1515" t="s">
        <v>1539</v>
      </c>
      <c r="H1515" t="s">
        <v>1605</v>
      </c>
      <c r="I1515">
        <v>5020000000</v>
      </c>
      <c r="J1515" s="560">
        <v>48817.760000000002</v>
      </c>
      <c r="K1515" s="560">
        <f t="shared" si="47"/>
        <v>9</v>
      </c>
      <c r="L1515" s="560">
        <f t="shared" si="48"/>
        <v>4</v>
      </c>
    </row>
    <row r="1516" spans="1:19">
      <c r="B1516" s="553">
        <v>44284</v>
      </c>
      <c r="C1516" t="s">
        <v>1606</v>
      </c>
      <c r="D1516" s="281">
        <v>9</v>
      </c>
      <c r="E1516" t="s">
        <v>1996</v>
      </c>
      <c r="F1516" t="s">
        <v>676</v>
      </c>
      <c r="G1516" t="s">
        <v>1539</v>
      </c>
      <c r="H1516" t="s">
        <v>1605</v>
      </c>
      <c r="I1516">
        <v>5020000000</v>
      </c>
      <c r="J1516" s="560">
        <v>25000</v>
      </c>
      <c r="K1516" s="560">
        <f t="shared" si="47"/>
        <v>9</v>
      </c>
      <c r="L1516" s="560">
        <f t="shared" si="48"/>
        <v>3</v>
      </c>
    </row>
    <row r="1517" spans="1:19">
      <c r="B1517" s="553">
        <v>44284</v>
      </c>
      <c r="C1517" t="s">
        <v>1606</v>
      </c>
      <c r="D1517" s="281">
        <v>9</v>
      </c>
      <c r="E1517" t="s">
        <v>2005</v>
      </c>
      <c r="F1517" t="s">
        <v>678</v>
      </c>
      <c r="G1517" t="s">
        <v>1539</v>
      </c>
      <c r="H1517" t="s">
        <v>1605</v>
      </c>
      <c r="I1517">
        <v>5020000000</v>
      </c>
      <c r="J1517" s="560">
        <v>25000</v>
      </c>
      <c r="K1517" s="560">
        <f t="shared" si="47"/>
        <v>9</v>
      </c>
      <c r="L1517" s="560">
        <f t="shared" si="48"/>
        <v>2</v>
      </c>
    </row>
    <row r="1518" spans="1:19">
      <c r="A1518" t="s">
        <v>2363</v>
      </c>
      <c r="B1518" s="553">
        <v>44284</v>
      </c>
      <c r="C1518" t="s">
        <v>1606</v>
      </c>
      <c r="D1518" s="281">
        <v>9</v>
      </c>
      <c r="E1518" t="s">
        <v>2009</v>
      </c>
      <c r="F1518" t="s">
        <v>680</v>
      </c>
      <c r="G1518" t="s">
        <v>1539</v>
      </c>
      <c r="H1518" t="s">
        <v>1605</v>
      </c>
      <c r="I1518">
        <v>5020000000</v>
      </c>
      <c r="J1518" s="560">
        <v>50000</v>
      </c>
      <c r="K1518" s="560">
        <f t="shared" si="47"/>
        <v>9</v>
      </c>
      <c r="L1518" s="560">
        <f t="shared" si="48"/>
        <v>1</v>
      </c>
      <c r="M1518" s="560" t="e">
        <f>SUMIFS('[1]MAIN-101'!$Z$1:$Z$3000,'[1]MAIN-101'!$X$1:$X$3000,S1518)</f>
        <v>#VALUE!</v>
      </c>
      <c r="N1518" s="560"/>
      <c r="O1518" s="560"/>
      <c r="S1518" t="str">
        <f>VLOOKUP(C1518,'Recon of ORS and DV'!$A$4:$B$358,2,FALSE)</f>
        <v>0583</v>
      </c>
    </row>
    <row r="1519" spans="1:19">
      <c r="B1519" s="553">
        <v>44284</v>
      </c>
      <c r="C1519" t="s">
        <v>1607</v>
      </c>
      <c r="D1519" s="281">
        <v>9</v>
      </c>
      <c r="E1519" t="s">
        <v>2037</v>
      </c>
      <c r="F1519" t="s">
        <v>555</v>
      </c>
      <c r="G1519" t="s">
        <v>1540</v>
      </c>
      <c r="H1519" t="s">
        <v>1605</v>
      </c>
      <c r="I1519">
        <v>5020000000</v>
      </c>
      <c r="J1519" s="560">
        <v>70000</v>
      </c>
      <c r="K1519" s="560">
        <f t="shared" si="47"/>
        <v>9</v>
      </c>
      <c r="L1519" s="560">
        <f t="shared" si="48"/>
        <v>9</v>
      </c>
    </row>
    <row r="1520" spans="1:19">
      <c r="B1520" s="553">
        <v>44284</v>
      </c>
      <c r="C1520" t="s">
        <v>1607</v>
      </c>
      <c r="D1520" s="281">
        <v>9</v>
      </c>
      <c r="E1520" t="s">
        <v>2039</v>
      </c>
      <c r="F1520" t="s">
        <v>560</v>
      </c>
      <c r="G1520" t="s">
        <v>1540</v>
      </c>
      <c r="H1520" t="s">
        <v>1605</v>
      </c>
      <c r="I1520">
        <v>5020000000</v>
      </c>
      <c r="J1520" s="560">
        <v>15000</v>
      </c>
      <c r="K1520" s="560">
        <f t="shared" si="47"/>
        <v>9</v>
      </c>
      <c r="L1520" s="560">
        <f t="shared" si="48"/>
        <v>8</v>
      </c>
    </row>
    <row r="1521" spans="1:19">
      <c r="B1521" s="553">
        <v>44284</v>
      </c>
      <c r="C1521" t="s">
        <v>1607</v>
      </c>
      <c r="D1521" s="281">
        <v>9</v>
      </c>
      <c r="E1521" t="s">
        <v>2032</v>
      </c>
      <c r="F1521" t="s">
        <v>565</v>
      </c>
      <c r="G1521" t="s">
        <v>1540</v>
      </c>
      <c r="H1521" t="s">
        <v>1605</v>
      </c>
      <c r="I1521">
        <v>5020000000</v>
      </c>
      <c r="J1521" s="560">
        <v>10000</v>
      </c>
      <c r="K1521" s="560">
        <f t="shared" si="47"/>
        <v>9</v>
      </c>
      <c r="L1521" s="560">
        <f t="shared" si="48"/>
        <v>7</v>
      </c>
    </row>
    <row r="1522" spans="1:19">
      <c r="B1522" s="553">
        <v>44284</v>
      </c>
      <c r="C1522" t="s">
        <v>1607</v>
      </c>
      <c r="D1522" s="281">
        <v>9</v>
      </c>
      <c r="E1522" t="s">
        <v>2021</v>
      </c>
      <c r="F1522" t="s">
        <v>631</v>
      </c>
      <c r="G1522" t="s">
        <v>1540</v>
      </c>
      <c r="H1522" t="s">
        <v>1605</v>
      </c>
      <c r="I1522">
        <v>5020000000</v>
      </c>
      <c r="J1522" s="560">
        <v>50000</v>
      </c>
      <c r="K1522" s="560">
        <f t="shared" si="47"/>
        <v>9</v>
      </c>
      <c r="L1522" s="560">
        <f t="shared" si="48"/>
        <v>6</v>
      </c>
    </row>
    <row r="1523" spans="1:19">
      <c r="B1523" s="553">
        <v>44284</v>
      </c>
      <c r="C1523" t="s">
        <v>1607</v>
      </c>
      <c r="D1523" s="281">
        <v>9</v>
      </c>
      <c r="E1523" t="s">
        <v>1998</v>
      </c>
      <c r="F1523" t="s">
        <v>633</v>
      </c>
      <c r="G1523" t="s">
        <v>1540</v>
      </c>
      <c r="H1523" t="s">
        <v>1605</v>
      </c>
      <c r="I1523">
        <v>5020000000</v>
      </c>
      <c r="J1523" s="560">
        <v>40000</v>
      </c>
      <c r="K1523" s="560">
        <f t="shared" si="47"/>
        <v>9</v>
      </c>
      <c r="L1523" s="560">
        <f t="shared" si="48"/>
        <v>5</v>
      </c>
    </row>
    <row r="1524" spans="1:19">
      <c r="B1524" s="553">
        <v>44284</v>
      </c>
      <c r="C1524" t="s">
        <v>1607</v>
      </c>
      <c r="D1524" s="281">
        <v>9</v>
      </c>
      <c r="E1524" t="s">
        <v>2023</v>
      </c>
      <c r="F1524" t="s">
        <v>674</v>
      </c>
      <c r="G1524" t="s">
        <v>1540</v>
      </c>
      <c r="H1524" t="s">
        <v>1605</v>
      </c>
      <c r="I1524">
        <v>5020000000</v>
      </c>
      <c r="J1524" s="560">
        <v>63243.76</v>
      </c>
      <c r="K1524" s="560">
        <f t="shared" si="47"/>
        <v>9</v>
      </c>
      <c r="L1524" s="560">
        <f t="shared" si="48"/>
        <v>4</v>
      </c>
    </row>
    <row r="1525" spans="1:19">
      <c r="B1525" s="553">
        <v>44284</v>
      </c>
      <c r="C1525" t="s">
        <v>1607</v>
      </c>
      <c r="D1525" s="281">
        <v>9</v>
      </c>
      <c r="E1525" t="s">
        <v>1996</v>
      </c>
      <c r="F1525" t="s">
        <v>676</v>
      </c>
      <c r="G1525" t="s">
        <v>1540</v>
      </c>
      <c r="H1525" t="s">
        <v>1605</v>
      </c>
      <c r="I1525">
        <v>5020000000</v>
      </c>
      <c r="J1525" s="560">
        <v>25000</v>
      </c>
      <c r="K1525" s="560">
        <f t="shared" si="47"/>
        <v>9</v>
      </c>
      <c r="L1525" s="560">
        <f t="shared" si="48"/>
        <v>3</v>
      </c>
    </row>
    <row r="1526" spans="1:19">
      <c r="B1526" s="553">
        <v>44284</v>
      </c>
      <c r="C1526" t="s">
        <v>1607</v>
      </c>
      <c r="D1526" s="281">
        <v>9</v>
      </c>
      <c r="E1526" t="s">
        <v>2005</v>
      </c>
      <c r="F1526" t="s">
        <v>678</v>
      </c>
      <c r="G1526" t="s">
        <v>1540</v>
      </c>
      <c r="H1526" t="s">
        <v>1605</v>
      </c>
      <c r="I1526">
        <v>5020000000</v>
      </c>
      <c r="J1526" s="560">
        <v>25000</v>
      </c>
      <c r="K1526" s="560">
        <f t="shared" si="47"/>
        <v>9</v>
      </c>
      <c r="L1526" s="560">
        <f t="shared" si="48"/>
        <v>2</v>
      </c>
    </row>
    <row r="1527" spans="1:19">
      <c r="A1527" t="s">
        <v>2364</v>
      </c>
      <c r="B1527" s="553">
        <v>44284</v>
      </c>
      <c r="C1527" t="s">
        <v>1607</v>
      </c>
      <c r="D1527" s="281">
        <v>9</v>
      </c>
      <c r="E1527" t="s">
        <v>2009</v>
      </c>
      <c r="F1527" t="s">
        <v>680</v>
      </c>
      <c r="G1527" t="s">
        <v>1540</v>
      </c>
      <c r="H1527" t="s">
        <v>1605</v>
      </c>
      <c r="I1527">
        <v>5020000000</v>
      </c>
      <c r="J1527" s="560">
        <v>50000</v>
      </c>
      <c r="K1527" s="560">
        <f t="shared" si="47"/>
        <v>9</v>
      </c>
      <c r="L1527" s="560">
        <f t="shared" si="48"/>
        <v>1</v>
      </c>
      <c r="M1527" s="560" t="e">
        <f>SUMIFS('[1]MAIN-101'!$Z$1:$Z$3000,'[1]MAIN-101'!$X$1:$X$3000,S1527)</f>
        <v>#VALUE!</v>
      </c>
      <c r="N1527" s="560"/>
      <c r="O1527" s="560"/>
      <c r="S1527" t="str">
        <f>VLOOKUP(C1527,'Recon of ORS and DV'!$A$4:$B$358,2,FALSE)</f>
        <v>0584</v>
      </c>
    </row>
    <row r="1528" spans="1:19">
      <c r="B1528" s="553">
        <v>44284</v>
      </c>
      <c r="C1528" t="s">
        <v>1608</v>
      </c>
      <c r="D1528" s="281">
        <v>8</v>
      </c>
      <c r="E1528" t="s">
        <v>2037</v>
      </c>
      <c r="F1528" t="s">
        <v>555</v>
      </c>
      <c r="G1528" t="s">
        <v>822</v>
      </c>
      <c r="H1528" t="s">
        <v>1602</v>
      </c>
      <c r="I1528">
        <v>5020000000</v>
      </c>
      <c r="J1528" s="560">
        <v>100000</v>
      </c>
      <c r="K1528" s="560">
        <f t="shared" si="47"/>
        <v>5</v>
      </c>
      <c r="L1528" s="560">
        <f t="shared" si="48"/>
        <v>5</v>
      </c>
    </row>
    <row r="1529" spans="1:19">
      <c r="B1529" s="553">
        <v>44284</v>
      </c>
      <c r="C1529" t="s">
        <v>1608</v>
      </c>
      <c r="D1529" s="281">
        <v>8</v>
      </c>
      <c r="E1529" t="s">
        <v>2039</v>
      </c>
      <c r="F1529" t="s">
        <v>560</v>
      </c>
      <c r="G1529" t="s">
        <v>822</v>
      </c>
      <c r="H1529" t="s">
        <v>1602</v>
      </c>
      <c r="I1529">
        <v>5020000000</v>
      </c>
      <c r="J1529" s="560">
        <v>200000</v>
      </c>
      <c r="K1529" s="560">
        <f t="shared" si="47"/>
        <v>5</v>
      </c>
      <c r="L1529" s="560">
        <f t="shared" si="48"/>
        <v>4</v>
      </c>
    </row>
    <row r="1530" spans="1:19">
      <c r="B1530" s="553">
        <v>44284</v>
      </c>
      <c r="C1530" t="s">
        <v>1608</v>
      </c>
      <c r="D1530" s="281">
        <v>8</v>
      </c>
      <c r="E1530" t="s">
        <v>2005</v>
      </c>
      <c r="F1530" t="s">
        <v>678</v>
      </c>
      <c r="G1530" t="s">
        <v>822</v>
      </c>
      <c r="H1530" t="s">
        <v>1602</v>
      </c>
      <c r="I1530">
        <v>5020000000</v>
      </c>
      <c r="J1530" s="560">
        <v>50000</v>
      </c>
      <c r="K1530" s="560">
        <f t="shared" si="47"/>
        <v>5</v>
      </c>
      <c r="L1530" s="560">
        <f t="shared" si="48"/>
        <v>3</v>
      </c>
    </row>
    <row r="1531" spans="1:19">
      <c r="B1531" s="553">
        <v>44284</v>
      </c>
      <c r="C1531" t="s">
        <v>1608</v>
      </c>
      <c r="D1531" s="281">
        <v>8</v>
      </c>
      <c r="E1531" t="s">
        <v>1998</v>
      </c>
      <c r="F1531" t="s">
        <v>633</v>
      </c>
      <c r="G1531" t="s">
        <v>822</v>
      </c>
      <c r="H1531" t="s">
        <v>1602</v>
      </c>
      <c r="I1531">
        <v>5020000000</v>
      </c>
      <c r="J1531" s="560">
        <v>360350</v>
      </c>
      <c r="K1531" s="560">
        <f t="shared" si="47"/>
        <v>5</v>
      </c>
      <c r="L1531" s="560">
        <f t="shared" si="48"/>
        <v>2</v>
      </c>
    </row>
    <row r="1532" spans="1:19">
      <c r="A1532" t="s">
        <v>2365</v>
      </c>
      <c r="B1532" s="553">
        <v>44284</v>
      </c>
      <c r="C1532" t="s">
        <v>1608</v>
      </c>
      <c r="D1532" s="281">
        <v>8</v>
      </c>
      <c r="E1532" t="s">
        <v>2000</v>
      </c>
      <c r="F1532" t="s">
        <v>683</v>
      </c>
      <c r="G1532" t="s">
        <v>822</v>
      </c>
      <c r="H1532" t="s">
        <v>1602</v>
      </c>
      <c r="I1532">
        <v>5020000000</v>
      </c>
      <c r="J1532" s="560">
        <v>50000</v>
      </c>
      <c r="K1532" s="560">
        <f t="shared" si="47"/>
        <v>5</v>
      </c>
      <c r="L1532" s="560">
        <f t="shared" si="48"/>
        <v>1</v>
      </c>
      <c r="M1532" s="560" t="e">
        <f>SUMIFS('[1]MAIN-101'!$Z$1:$Z$3000,'[1]MAIN-101'!$X$1:$X$3000,S1532)</f>
        <v>#VALUE!</v>
      </c>
      <c r="N1532" s="560"/>
      <c r="O1532" s="560"/>
      <c r="S1532" t="str">
        <f>VLOOKUP(C1532,'Recon of ORS and DV'!$A$4:$B$358,2,FALSE)</f>
        <v>0586</v>
      </c>
    </row>
    <row r="1533" spans="1:19">
      <c r="B1533" s="553">
        <v>44284</v>
      </c>
      <c r="C1533" t="s">
        <v>1609</v>
      </c>
      <c r="D1533" s="281">
        <v>3</v>
      </c>
      <c r="E1533" t="s">
        <v>2037</v>
      </c>
      <c r="F1533" t="s">
        <v>555</v>
      </c>
      <c r="G1533" t="s">
        <v>818</v>
      </c>
      <c r="H1533" t="s">
        <v>1610</v>
      </c>
      <c r="I1533">
        <v>5020000000</v>
      </c>
      <c r="J1533" s="560">
        <v>30000</v>
      </c>
      <c r="K1533" s="560">
        <f t="shared" si="47"/>
        <v>4</v>
      </c>
      <c r="L1533" s="560">
        <f t="shared" si="48"/>
        <v>4</v>
      </c>
    </row>
    <row r="1534" spans="1:19">
      <c r="B1534" s="553">
        <v>44284</v>
      </c>
      <c r="C1534" t="s">
        <v>1609</v>
      </c>
      <c r="D1534" s="281">
        <v>3</v>
      </c>
      <c r="E1534" t="s">
        <v>2039</v>
      </c>
      <c r="F1534" t="s">
        <v>560</v>
      </c>
      <c r="G1534" t="s">
        <v>818</v>
      </c>
      <c r="H1534" t="s">
        <v>1610</v>
      </c>
      <c r="I1534">
        <v>5020000000</v>
      </c>
      <c r="J1534" s="560">
        <v>50000</v>
      </c>
      <c r="K1534" s="560">
        <f t="shared" si="47"/>
        <v>4</v>
      </c>
      <c r="L1534" s="560">
        <f t="shared" si="48"/>
        <v>3</v>
      </c>
    </row>
    <row r="1535" spans="1:19">
      <c r="B1535" s="553">
        <v>44284</v>
      </c>
      <c r="C1535" t="s">
        <v>1609</v>
      </c>
      <c r="D1535" s="281">
        <v>3</v>
      </c>
      <c r="E1535" t="s">
        <v>2032</v>
      </c>
      <c r="F1535" t="s">
        <v>565</v>
      </c>
      <c r="G1535" t="s">
        <v>818</v>
      </c>
      <c r="H1535" t="s">
        <v>1610</v>
      </c>
      <c r="I1535">
        <v>5020000000</v>
      </c>
      <c r="J1535" s="560">
        <v>10000</v>
      </c>
      <c r="K1535" s="560">
        <f t="shared" si="47"/>
        <v>4</v>
      </c>
      <c r="L1535" s="560">
        <f t="shared" si="48"/>
        <v>2</v>
      </c>
    </row>
    <row r="1536" spans="1:19">
      <c r="A1536" t="s">
        <v>2366</v>
      </c>
      <c r="B1536" s="553">
        <v>44284</v>
      </c>
      <c r="C1536" t="s">
        <v>1609</v>
      </c>
      <c r="D1536" s="281">
        <v>3</v>
      </c>
      <c r="E1536" t="s">
        <v>2005</v>
      </c>
      <c r="F1536" t="s">
        <v>678</v>
      </c>
      <c r="G1536" t="s">
        <v>818</v>
      </c>
      <c r="H1536" t="s">
        <v>1610</v>
      </c>
      <c r="I1536">
        <v>5020000000</v>
      </c>
      <c r="J1536" s="560">
        <v>104400</v>
      </c>
      <c r="K1536" s="560">
        <f t="shared" si="47"/>
        <v>4</v>
      </c>
      <c r="L1536" s="560">
        <f t="shared" si="48"/>
        <v>1</v>
      </c>
      <c r="M1536" s="560" t="e">
        <f>SUMIFS('[1]MAIN-101'!$Z$1:$Z$3000,'[1]MAIN-101'!$X$1:$X$3000,S1536)</f>
        <v>#VALUE!</v>
      </c>
      <c r="N1536" s="560"/>
      <c r="O1536" s="560"/>
      <c r="S1536" t="str">
        <f>VLOOKUP(C1536,'Recon of ORS and DV'!$A$4:$B$358,2,FALSE)</f>
        <v>0587</v>
      </c>
    </row>
    <row r="1537" spans="1:19">
      <c r="B1537" s="553">
        <v>44284</v>
      </c>
      <c r="C1537" t="s">
        <v>1611</v>
      </c>
      <c r="D1537" s="281">
        <v>3</v>
      </c>
      <c r="E1537" t="s">
        <v>2037</v>
      </c>
      <c r="F1537" t="s">
        <v>555</v>
      </c>
      <c r="G1537" t="s">
        <v>1539</v>
      </c>
      <c r="H1537" t="s">
        <v>1610</v>
      </c>
      <c r="I1537">
        <v>5020000000</v>
      </c>
      <c r="J1537" s="560">
        <v>30000</v>
      </c>
      <c r="K1537" s="560">
        <f t="shared" si="47"/>
        <v>4</v>
      </c>
      <c r="L1537" s="560">
        <f t="shared" si="48"/>
        <v>4</v>
      </c>
    </row>
    <row r="1538" spans="1:19">
      <c r="B1538" s="553">
        <v>44284</v>
      </c>
      <c r="C1538" t="s">
        <v>1611</v>
      </c>
      <c r="D1538" s="281">
        <v>3</v>
      </c>
      <c r="E1538" t="s">
        <v>2039</v>
      </c>
      <c r="F1538" t="s">
        <v>560</v>
      </c>
      <c r="G1538" t="s">
        <v>1539</v>
      </c>
      <c r="H1538" t="s">
        <v>1610</v>
      </c>
      <c r="I1538">
        <v>5020000000</v>
      </c>
      <c r="J1538" s="560">
        <v>50000</v>
      </c>
      <c r="K1538" s="560">
        <f t="shared" si="47"/>
        <v>4</v>
      </c>
      <c r="L1538" s="560">
        <f t="shared" si="48"/>
        <v>3</v>
      </c>
    </row>
    <row r="1539" spans="1:19">
      <c r="B1539" s="553">
        <v>44284</v>
      </c>
      <c r="C1539" t="s">
        <v>1611</v>
      </c>
      <c r="D1539" s="281">
        <v>3</v>
      </c>
      <c r="E1539" t="s">
        <v>2032</v>
      </c>
      <c r="F1539" t="s">
        <v>565</v>
      </c>
      <c r="G1539" t="s">
        <v>1539</v>
      </c>
      <c r="H1539" t="s">
        <v>1610</v>
      </c>
      <c r="I1539">
        <v>5020000000</v>
      </c>
      <c r="J1539" s="560">
        <v>10000</v>
      </c>
      <c r="K1539" s="560">
        <f t="shared" si="47"/>
        <v>4</v>
      </c>
      <c r="L1539" s="560">
        <f t="shared" si="48"/>
        <v>2</v>
      </c>
    </row>
    <row r="1540" spans="1:19">
      <c r="A1540" t="s">
        <v>2367</v>
      </c>
      <c r="B1540" s="553">
        <v>44284</v>
      </c>
      <c r="C1540" t="s">
        <v>1611</v>
      </c>
      <c r="D1540" s="281">
        <v>3</v>
      </c>
      <c r="E1540" t="s">
        <v>2005</v>
      </c>
      <c r="F1540" t="s">
        <v>678</v>
      </c>
      <c r="G1540" t="s">
        <v>1539</v>
      </c>
      <c r="H1540" t="s">
        <v>1610</v>
      </c>
      <c r="I1540">
        <v>5020000000</v>
      </c>
      <c r="J1540" s="560">
        <v>104400</v>
      </c>
      <c r="K1540" s="560">
        <f t="shared" ref="K1540:K1556" si="49">COUNTIFS($C$3:$C$1556,C1540)</f>
        <v>4</v>
      </c>
      <c r="L1540" s="560">
        <f t="shared" si="48"/>
        <v>1</v>
      </c>
      <c r="M1540" s="560" t="e">
        <f>SUMIFS('[1]MAIN-101'!$Z$1:$Z$3000,'[1]MAIN-101'!$X$1:$X$3000,S1540)</f>
        <v>#VALUE!</v>
      </c>
      <c r="N1540" s="560"/>
      <c r="O1540" s="560"/>
      <c r="S1540" t="str">
        <f>VLOOKUP(C1540,'Recon of ORS and DV'!$A$4:$B$358,2,FALSE)</f>
        <v>0588</v>
      </c>
    </row>
    <row r="1541" spans="1:19">
      <c r="B1541" s="553">
        <v>44284</v>
      </c>
      <c r="C1541" t="s">
        <v>1612</v>
      </c>
      <c r="D1541" s="281">
        <v>3</v>
      </c>
      <c r="E1541" t="s">
        <v>2037</v>
      </c>
      <c r="F1541" t="s">
        <v>555</v>
      </c>
      <c r="G1541" t="s">
        <v>1540</v>
      </c>
      <c r="H1541" t="s">
        <v>1610</v>
      </c>
      <c r="I1541">
        <v>5020000000</v>
      </c>
      <c r="J1541" s="560">
        <v>30000</v>
      </c>
      <c r="K1541" s="560">
        <f t="shared" si="49"/>
        <v>4</v>
      </c>
      <c r="L1541" s="560">
        <f t="shared" si="48"/>
        <v>4</v>
      </c>
    </row>
    <row r="1542" spans="1:19">
      <c r="B1542" s="553">
        <v>44284</v>
      </c>
      <c r="C1542" t="s">
        <v>1612</v>
      </c>
      <c r="D1542" s="281">
        <v>3</v>
      </c>
      <c r="E1542" t="s">
        <v>2039</v>
      </c>
      <c r="F1542" t="s">
        <v>560</v>
      </c>
      <c r="G1542" t="s">
        <v>1540</v>
      </c>
      <c r="H1542" t="s">
        <v>1610</v>
      </c>
      <c r="I1542">
        <v>5020000000</v>
      </c>
      <c r="J1542" s="560">
        <v>50000</v>
      </c>
      <c r="K1542" s="560">
        <f t="shared" si="49"/>
        <v>4</v>
      </c>
      <c r="L1542" s="560">
        <f t="shared" si="48"/>
        <v>3</v>
      </c>
    </row>
    <row r="1543" spans="1:19">
      <c r="B1543" s="553">
        <v>44284</v>
      </c>
      <c r="C1543" t="s">
        <v>1612</v>
      </c>
      <c r="D1543" s="281">
        <v>3</v>
      </c>
      <c r="E1543" t="s">
        <v>2032</v>
      </c>
      <c r="F1543" t="s">
        <v>565</v>
      </c>
      <c r="G1543" t="s">
        <v>1540</v>
      </c>
      <c r="H1543" t="s">
        <v>1610</v>
      </c>
      <c r="I1543">
        <v>5020000000</v>
      </c>
      <c r="J1543" s="560">
        <v>10000</v>
      </c>
      <c r="K1543" s="560">
        <f t="shared" si="49"/>
        <v>4</v>
      </c>
      <c r="L1543" s="560">
        <f t="shared" si="48"/>
        <v>2</v>
      </c>
    </row>
    <row r="1544" spans="1:19">
      <c r="A1544" t="s">
        <v>2368</v>
      </c>
      <c r="B1544" s="553">
        <v>44284</v>
      </c>
      <c r="C1544" t="s">
        <v>1612</v>
      </c>
      <c r="D1544" s="281">
        <v>3</v>
      </c>
      <c r="E1544" t="s">
        <v>2005</v>
      </c>
      <c r="F1544" t="s">
        <v>678</v>
      </c>
      <c r="G1544" t="s">
        <v>1540</v>
      </c>
      <c r="H1544" t="s">
        <v>1610</v>
      </c>
      <c r="I1544">
        <v>5020000000</v>
      </c>
      <c r="J1544" s="560">
        <v>104400</v>
      </c>
      <c r="K1544" s="560">
        <f t="shared" si="49"/>
        <v>4</v>
      </c>
      <c r="L1544" s="560">
        <f t="shared" si="48"/>
        <v>1</v>
      </c>
      <c r="M1544" s="560" t="e">
        <f>SUMIFS('[1]MAIN-101'!$Z$1:$Z$3000,'[1]MAIN-101'!$X$1:$X$3000,S1544)</f>
        <v>#VALUE!</v>
      </c>
      <c r="N1544" s="560"/>
      <c r="O1544" s="560"/>
      <c r="S1544" t="str">
        <f>VLOOKUP(C1544,'Recon of ORS and DV'!$A$4:$B$358,2,FALSE)</f>
        <v>0589</v>
      </c>
    </row>
    <row r="1545" spans="1:19">
      <c r="B1545" s="553">
        <v>44285</v>
      </c>
      <c r="C1545" t="s">
        <v>1614</v>
      </c>
      <c r="D1545" s="281">
        <v>11</v>
      </c>
      <c r="E1545" t="s">
        <v>2037</v>
      </c>
      <c r="F1545" t="s">
        <v>555</v>
      </c>
      <c r="G1545" t="s">
        <v>822</v>
      </c>
      <c r="H1545" t="s">
        <v>1615</v>
      </c>
      <c r="I1545">
        <v>5020000000</v>
      </c>
      <c r="J1545" s="560">
        <v>57498</v>
      </c>
      <c r="K1545" s="560">
        <f t="shared" si="49"/>
        <v>4</v>
      </c>
      <c r="L1545" s="560">
        <f t="shared" si="48"/>
        <v>4</v>
      </c>
    </row>
    <row r="1546" spans="1:19">
      <c r="B1546" s="553">
        <v>44285</v>
      </c>
      <c r="C1546" t="s">
        <v>1614</v>
      </c>
      <c r="D1546" s="281">
        <v>11</v>
      </c>
      <c r="E1546" t="s">
        <v>2039</v>
      </c>
      <c r="F1546" t="s">
        <v>560</v>
      </c>
      <c r="G1546" t="s">
        <v>822</v>
      </c>
      <c r="H1546" t="s">
        <v>1615</v>
      </c>
      <c r="I1546">
        <v>5020000000</v>
      </c>
      <c r="J1546" s="560">
        <v>525004</v>
      </c>
      <c r="K1546" s="560">
        <f t="shared" si="49"/>
        <v>4</v>
      </c>
      <c r="L1546" s="560">
        <f t="shared" si="48"/>
        <v>3</v>
      </c>
    </row>
    <row r="1547" spans="1:19">
      <c r="B1547" s="553">
        <v>44285</v>
      </c>
      <c r="C1547" t="s">
        <v>1614</v>
      </c>
      <c r="D1547" s="281">
        <v>11</v>
      </c>
      <c r="E1547" t="s">
        <v>2002</v>
      </c>
      <c r="F1547" t="s">
        <v>603</v>
      </c>
      <c r="G1547" t="s">
        <v>822</v>
      </c>
      <c r="H1547" t="s">
        <v>1615</v>
      </c>
      <c r="I1547">
        <v>5020000000</v>
      </c>
      <c r="J1547" s="560">
        <v>19166</v>
      </c>
      <c r="K1547" s="560">
        <f t="shared" si="49"/>
        <v>4</v>
      </c>
      <c r="L1547" s="560">
        <f t="shared" si="48"/>
        <v>2</v>
      </c>
    </row>
    <row r="1548" spans="1:19">
      <c r="A1548" t="s">
        <v>2369</v>
      </c>
      <c r="B1548" s="553">
        <v>44285</v>
      </c>
      <c r="C1548" t="s">
        <v>1614</v>
      </c>
      <c r="D1548" s="281">
        <v>11</v>
      </c>
      <c r="E1548" t="s">
        <v>1998</v>
      </c>
      <c r="F1548" t="s">
        <v>633</v>
      </c>
      <c r="G1548" t="s">
        <v>822</v>
      </c>
      <c r="H1548" t="s">
        <v>1615</v>
      </c>
      <c r="I1548">
        <v>5020000000</v>
      </c>
      <c r="J1548" s="560">
        <v>38332</v>
      </c>
      <c r="K1548" s="560">
        <f t="shared" si="49"/>
        <v>4</v>
      </c>
      <c r="L1548" s="560">
        <f t="shared" si="48"/>
        <v>1</v>
      </c>
      <c r="M1548" s="560" t="e">
        <f>SUMIFS('[1]MAIN-101'!$Z$1:$Z$3000,'[1]MAIN-101'!$X$1:$X$3000,S1548)</f>
        <v>#VALUE!</v>
      </c>
      <c r="N1548" s="560"/>
      <c r="O1548" s="560"/>
      <c r="S1548" t="str">
        <f>VLOOKUP(C1548,'Recon of ORS and DV'!$A$4:$B$358,2,FALSE)</f>
        <v>0590</v>
      </c>
    </row>
    <row r="1549" spans="1:19">
      <c r="B1549" s="553">
        <v>44285</v>
      </c>
      <c r="C1549" t="s">
        <v>1616</v>
      </c>
      <c r="D1549" s="281">
        <v>10</v>
      </c>
      <c r="E1549" t="s">
        <v>2037</v>
      </c>
      <c r="F1549" t="s">
        <v>555</v>
      </c>
      <c r="G1549" t="s">
        <v>822</v>
      </c>
      <c r="H1549" t="s">
        <v>1145</v>
      </c>
      <c r="I1549">
        <v>5020000000</v>
      </c>
      <c r="J1549" s="560">
        <v>10000</v>
      </c>
      <c r="K1549" s="560">
        <f t="shared" si="49"/>
        <v>5</v>
      </c>
      <c r="L1549" s="560">
        <f t="shared" si="48"/>
        <v>5</v>
      </c>
    </row>
    <row r="1550" spans="1:19">
      <c r="B1550" s="553">
        <v>44285</v>
      </c>
      <c r="C1550" t="s">
        <v>1616</v>
      </c>
      <c r="D1550" s="281">
        <v>10</v>
      </c>
      <c r="E1550" t="s">
        <v>2039</v>
      </c>
      <c r="F1550" t="s">
        <v>560</v>
      </c>
      <c r="G1550" t="s">
        <v>822</v>
      </c>
      <c r="H1550" t="s">
        <v>1145</v>
      </c>
      <c r="I1550">
        <v>5020000000</v>
      </c>
      <c r="J1550" s="560">
        <v>80000</v>
      </c>
      <c r="K1550" s="560">
        <f t="shared" si="49"/>
        <v>5</v>
      </c>
      <c r="L1550" s="560">
        <f t="shared" si="48"/>
        <v>4</v>
      </c>
    </row>
    <row r="1551" spans="1:19">
      <c r="B1551" s="553">
        <v>44285</v>
      </c>
      <c r="C1551" t="s">
        <v>1616</v>
      </c>
      <c r="D1551" s="281">
        <v>10</v>
      </c>
      <c r="E1551" t="s">
        <v>2032</v>
      </c>
      <c r="F1551" t="s">
        <v>565</v>
      </c>
      <c r="G1551" t="s">
        <v>822</v>
      </c>
      <c r="H1551" t="s">
        <v>1145</v>
      </c>
      <c r="I1551">
        <v>5020000000</v>
      </c>
      <c r="J1551" s="560">
        <v>30000</v>
      </c>
      <c r="K1551" s="560">
        <f t="shared" si="49"/>
        <v>5</v>
      </c>
      <c r="L1551" s="560">
        <f t="shared" ref="L1551:L1556" si="50">COUNTIFS(C1551:C3104,C1551)</f>
        <v>3</v>
      </c>
    </row>
    <row r="1552" spans="1:19">
      <c r="B1552" s="553">
        <v>44285</v>
      </c>
      <c r="C1552" t="s">
        <v>1616</v>
      </c>
      <c r="D1552" s="281">
        <v>10</v>
      </c>
      <c r="E1552" t="s">
        <v>2005</v>
      </c>
      <c r="F1552" t="s">
        <v>678</v>
      </c>
      <c r="G1552" t="s">
        <v>822</v>
      </c>
      <c r="H1552" t="s">
        <v>1145</v>
      </c>
      <c r="I1552">
        <v>5020000000</v>
      </c>
      <c r="J1552" s="560">
        <v>20000</v>
      </c>
      <c r="K1552" s="560">
        <f t="shared" si="49"/>
        <v>5</v>
      </c>
      <c r="L1552" s="560">
        <f t="shared" si="50"/>
        <v>2</v>
      </c>
    </row>
    <row r="1553" spans="1:19">
      <c r="A1553" t="s">
        <v>2370</v>
      </c>
      <c r="B1553" s="553">
        <v>44285</v>
      </c>
      <c r="C1553" t="s">
        <v>1616</v>
      </c>
      <c r="D1553" s="281">
        <v>10</v>
      </c>
      <c r="E1553" t="s">
        <v>2021</v>
      </c>
      <c r="F1553" t="s">
        <v>631</v>
      </c>
      <c r="G1553" t="s">
        <v>822</v>
      </c>
      <c r="H1553" t="s">
        <v>1145</v>
      </c>
      <c r="I1553">
        <v>5020000000</v>
      </c>
      <c r="J1553" s="560">
        <v>147809.53</v>
      </c>
      <c r="K1553" s="560">
        <f t="shared" si="49"/>
        <v>5</v>
      </c>
      <c r="L1553" s="560">
        <f t="shared" si="50"/>
        <v>1</v>
      </c>
      <c r="M1553" s="560" t="e">
        <f>SUMIFS('[1]MAIN-101'!$Z$1:$Z$3000,'[1]MAIN-101'!$X$1:$X$3000,S1553)</f>
        <v>#VALUE!</v>
      </c>
      <c r="N1553" s="560"/>
      <c r="O1553" s="560"/>
      <c r="S1553" t="str">
        <f>VLOOKUP(C1553,'Recon of ORS and DV'!$A$4:$B$358,2,FALSE)</f>
        <v>0591</v>
      </c>
    </row>
    <row r="1554" spans="1:19">
      <c r="A1554" t="s">
        <v>2371</v>
      </c>
      <c r="B1554" s="553">
        <v>44285</v>
      </c>
      <c r="C1554" t="s">
        <v>1618</v>
      </c>
      <c r="D1554" s="281">
        <v>1</v>
      </c>
      <c r="E1554" t="s">
        <v>2002</v>
      </c>
      <c r="F1554" t="s">
        <v>603</v>
      </c>
      <c r="G1554" t="s">
        <v>1102</v>
      </c>
      <c r="H1554" t="s">
        <v>1617</v>
      </c>
      <c r="I1554">
        <v>5020000000</v>
      </c>
      <c r="J1554" s="560">
        <v>3500</v>
      </c>
      <c r="K1554" s="560">
        <f t="shared" si="49"/>
        <v>1</v>
      </c>
      <c r="L1554" s="560">
        <f t="shared" si="50"/>
        <v>1</v>
      </c>
      <c r="M1554" s="560" t="e">
        <f>SUMIFS('[1]MAIN-101'!$Z$1:$Z$3000,'[1]MAIN-101'!$X$1:$X$3000,S1554)</f>
        <v>#VALUE!</v>
      </c>
      <c r="N1554" s="560"/>
      <c r="O1554" s="560"/>
      <c r="S1554" t="str">
        <f>VLOOKUP(C1554,'Recon of ORS and DV'!$A$4:$B$358,2,FALSE)</f>
        <v>0594</v>
      </c>
    </row>
    <row r="1555" spans="1:19">
      <c r="A1555" t="s">
        <v>2372</v>
      </c>
      <c r="B1555" s="553">
        <v>44285</v>
      </c>
      <c r="C1555" t="s">
        <v>1619</v>
      </c>
      <c r="D1555" s="281">
        <v>1</v>
      </c>
      <c r="E1555" t="s">
        <v>1999</v>
      </c>
      <c r="F1555" t="s">
        <v>672</v>
      </c>
      <c r="G1555" t="s">
        <v>6</v>
      </c>
      <c r="H1555" t="s">
        <v>1620</v>
      </c>
      <c r="I1555">
        <v>5020000000</v>
      </c>
      <c r="J1555" s="560">
        <v>12000</v>
      </c>
      <c r="K1555" s="560">
        <f t="shared" si="49"/>
        <v>1</v>
      </c>
      <c r="L1555" s="560">
        <f t="shared" si="50"/>
        <v>1</v>
      </c>
      <c r="M1555" s="560" t="e">
        <f>SUMIFS('[1]MAIN-101'!$Z$1:$Z$3000,'[1]MAIN-101'!$X$1:$X$3000,S1555)</f>
        <v>#VALUE!</v>
      </c>
      <c r="N1555" s="560"/>
      <c r="O1555" s="560"/>
      <c r="S1555" t="str">
        <f>VLOOKUP(C1555,'Recon of ORS and DV'!$A$4:$B$358,2,FALSE)</f>
        <v>0595</v>
      </c>
    </row>
    <row r="1556" spans="1:19">
      <c r="A1556" t="s">
        <v>2373</v>
      </c>
      <c r="B1556" s="553">
        <v>44285</v>
      </c>
      <c r="C1556" t="s">
        <v>1622</v>
      </c>
      <c r="D1556" s="281">
        <v>1</v>
      </c>
      <c r="E1556" t="s">
        <v>2002</v>
      </c>
      <c r="F1556" t="s">
        <v>603</v>
      </c>
      <c r="G1556" t="s">
        <v>797</v>
      </c>
      <c r="H1556" t="s">
        <v>1621</v>
      </c>
      <c r="I1556">
        <v>5020000000</v>
      </c>
      <c r="J1556" s="560">
        <v>4800</v>
      </c>
      <c r="K1556" s="560">
        <f t="shared" si="49"/>
        <v>1</v>
      </c>
      <c r="L1556" s="560">
        <f t="shared" si="50"/>
        <v>1</v>
      </c>
      <c r="M1556" s="560" t="e">
        <f>SUMIFS('[1]MAIN-101'!$Z$1:$Z$3000,'[1]MAIN-101'!$X$1:$X$3000,S1556)</f>
        <v>#VALUE!</v>
      </c>
      <c r="N1556" s="560"/>
      <c r="O1556" s="560"/>
      <c r="S1556" t="str">
        <f>VLOOKUP(C1556,'Recon of ORS and DV'!$A$4:$B$358,2,FALSE)</f>
        <v>0596</v>
      </c>
    </row>
    <row r="1567" spans="1:19">
      <c r="G1567" t="s">
        <v>2376</v>
      </c>
      <c r="H1567" t="s">
        <v>2377</v>
      </c>
    </row>
    <row r="1568" spans="1:19">
      <c r="B1568">
        <v>1</v>
      </c>
      <c r="E1568" s="540" t="s">
        <v>2374</v>
      </c>
      <c r="F1568" s="540" t="s">
        <v>2375</v>
      </c>
    </row>
    <row r="1569" spans="2:9">
      <c r="B1569">
        <v>1</v>
      </c>
      <c r="E1569" s="281" t="s">
        <v>11</v>
      </c>
      <c r="F1569" s="281" t="s">
        <v>2054</v>
      </c>
      <c r="G1569" s="562">
        <f>SUMIFS(J:J,C:C,E1569)</f>
        <v>150000</v>
      </c>
      <c r="H1569" s="562" t="e">
        <f>SUMIFS(M:M,S:S,F1569)</f>
        <v>#VALUE!</v>
      </c>
      <c r="I1569" s="276" t="e">
        <f>G1569-H1569</f>
        <v>#VALUE!</v>
      </c>
    </row>
    <row r="1570" spans="2:9">
      <c r="B1570">
        <v>1</v>
      </c>
      <c r="E1570" s="281" t="s">
        <v>8</v>
      </c>
      <c r="F1570" s="281" t="s">
        <v>2055</v>
      </c>
      <c r="G1570" s="562">
        <f t="shared" ref="G1570:G1633" si="51">SUMIFS(J:J,C:C,E1570)</f>
        <v>10000</v>
      </c>
      <c r="H1570" s="562" t="e">
        <f t="shared" ref="H1570:H1633" si="52">SUMIFS(M:M,S:S,F1570)</f>
        <v>#VALUE!</v>
      </c>
      <c r="I1570" s="276" t="e">
        <f t="shared" ref="I1570:I1633" si="53">G1570-H1570</f>
        <v>#VALUE!</v>
      </c>
    </row>
    <row r="1571" spans="2:9">
      <c r="B1571">
        <v>1</v>
      </c>
      <c r="E1571" s="281" t="s">
        <v>4</v>
      </c>
      <c r="F1571" s="281" t="s">
        <v>2056</v>
      </c>
      <c r="G1571" s="562">
        <f t="shared" si="51"/>
        <v>1935301.23</v>
      </c>
      <c r="H1571" s="562" t="e">
        <f t="shared" si="52"/>
        <v>#VALUE!</v>
      </c>
      <c r="I1571" s="276" t="e">
        <f t="shared" si="53"/>
        <v>#VALUE!</v>
      </c>
    </row>
    <row r="1572" spans="2:9">
      <c r="B1572">
        <v>1</v>
      </c>
      <c r="E1572" s="281" t="s">
        <v>763</v>
      </c>
      <c r="F1572" s="281" t="s">
        <v>2057</v>
      </c>
      <c r="G1572" s="562">
        <f t="shared" si="51"/>
        <v>452644.64</v>
      </c>
      <c r="H1572" s="562" t="e">
        <f t="shared" si="52"/>
        <v>#VALUE!</v>
      </c>
      <c r="I1572" s="276" t="e">
        <f t="shared" si="53"/>
        <v>#VALUE!</v>
      </c>
    </row>
    <row r="1573" spans="2:9">
      <c r="B1573">
        <v>1</v>
      </c>
      <c r="E1573" s="281" t="s">
        <v>766</v>
      </c>
      <c r="F1573" s="281" t="s">
        <v>2058</v>
      </c>
      <c r="G1573" s="562">
        <f t="shared" si="51"/>
        <v>325034.35000000003</v>
      </c>
      <c r="H1573" s="562" t="e">
        <f t="shared" si="52"/>
        <v>#VALUE!</v>
      </c>
      <c r="I1573" s="276" t="e">
        <f t="shared" si="53"/>
        <v>#VALUE!</v>
      </c>
    </row>
    <row r="1574" spans="2:9">
      <c r="B1574">
        <v>1</v>
      </c>
      <c r="E1574" s="281" t="s">
        <v>767</v>
      </c>
      <c r="F1574" s="281" t="s">
        <v>2059</v>
      </c>
      <c r="G1574" s="562">
        <f t="shared" si="51"/>
        <v>666774.09000000008</v>
      </c>
      <c r="H1574" s="562" t="e">
        <f t="shared" si="52"/>
        <v>#VALUE!</v>
      </c>
      <c r="I1574" s="276" t="e">
        <f t="shared" si="53"/>
        <v>#VALUE!</v>
      </c>
    </row>
    <row r="1575" spans="2:9">
      <c r="B1575">
        <v>1</v>
      </c>
      <c r="E1575" s="281" t="s">
        <v>772</v>
      </c>
      <c r="F1575" s="281" t="s">
        <v>2060</v>
      </c>
      <c r="G1575" s="562">
        <f t="shared" si="51"/>
        <v>5000</v>
      </c>
      <c r="H1575" s="562" t="e">
        <f t="shared" si="52"/>
        <v>#VALUE!</v>
      </c>
      <c r="I1575" s="276" t="e">
        <f t="shared" si="53"/>
        <v>#VALUE!</v>
      </c>
    </row>
    <row r="1576" spans="2:9">
      <c r="B1576">
        <v>1</v>
      </c>
      <c r="E1576" s="281" t="s">
        <v>775</v>
      </c>
      <c r="F1576" s="281" t="s">
        <v>2061</v>
      </c>
      <c r="G1576" s="562">
        <f t="shared" si="51"/>
        <v>452126.62</v>
      </c>
      <c r="H1576" s="562" t="e">
        <f t="shared" si="52"/>
        <v>#VALUE!</v>
      </c>
      <c r="I1576" s="276" t="e">
        <f t="shared" si="53"/>
        <v>#VALUE!</v>
      </c>
    </row>
    <row r="1577" spans="2:9">
      <c r="B1577">
        <v>1</v>
      </c>
      <c r="E1577" s="281" t="s">
        <v>778</v>
      </c>
      <c r="F1577" s="281" t="s">
        <v>2062</v>
      </c>
      <c r="G1577" s="562">
        <f t="shared" si="51"/>
        <v>160190.04</v>
      </c>
      <c r="H1577" s="562" t="e">
        <f t="shared" si="52"/>
        <v>#VALUE!</v>
      </c>
      <c r="I1577" s="276" t="e">
        <f t="shared" si="53"/>
        <v>#VALUE!</v>
      </c>
    </row>
    <row r="1578" spans="2:9">
      <c r="B1578">
        <v>1</v>
      </c>
      <c r="E1578" s="281" t="s">
        <v>849</v>
      </c>
      <c r="F1578" s="281" t="s">
        <v>2063</v>
      </c>
      <c r="G1578" s="562">
        <f t="shared" si="51"/>
        <v>10311.43</v>
      </c>
      <c r="H1578" s="562" t="e">
        <f t="shared" si="52"/>
        <v>#VALUE!</v>
      </c>
      <c r="I1578" s="276" t="e">
        <f t="shared" si="53"/>
        <v>#VALUE!</v>
      </c>
    </row>
    <row r="1579" spans="2:9">
      <c r="B1579">
        <v>1</v>
      </c>
      <c r="E1579" s="281" t="s">
        <v>781</v>
      </c>
      <c r="F1579" s="281" t="s">
        <v>2064</v>
      </c>
      <c r="G1579" s="562">
        <f t="shared" si="51"/>
        <v>11250</v>
      </c>
      <c r="H1579" s="562" t="e">
        <f t="shared" si="52"/>
        <v>#VALUE!</v>
      </c>
      <c r="I1579" s="276" t="e">
        <f t="shared" si="53"/>
        <v>#VALUE!</v>
      </c>
    </row>
    <row r="1580" spans="2:9">
      <c r="B1580">
        <v>1</v>
      </c>
      <c r="E1580" s="281" t="s">
        <v>787</v>
      </c>
      <c r="F1580" s="281" t="s">
        <v>2065</v>
      </c>
      <c r="G1580" s="562">
        <f t="shared" si="51"/>
        <v>574114.94999999995</v>
      </c>
      <c r="H1580" s="562" t="e">
        <f t="shared" si="52"/>
        <v>#VALUE!</v>
      </c>
      <c r="I1580" s="276" t="e">
        <f t="shared" si="53"/>
        <v>#VALUE!</v>
      </c>
    </row>
    <row r="1581" spans="2:9">
      <c r="B1581">
        <v>1</v>
      </c>
      <c r="E1581" s="281" t="s">
        <v>790</v>
      </c>
      <c r="F1581" s="281" t="s">
        <v>2066</v>
      </c>
      <c r="G1581" s="562">
        <f t="shared" si="51"/>
        <v>2500</v>
      </c>
      <c r="H1581" s="562" t="e">
        <f t="shared" si="52"/>
        <v>#VALUE!</v>
      </c>
      <c r="I1581" s="276" t="e">
        <f t="shared" si="53"/>
        <v>#VALUE!</v>
      </c>
    </row>
    <row r="1582" spans="2:9">
      <c r="B1582">
        <v>1</v>
      </c>
      <c r="E1582" s="281" t="s">
        <v>793</v>
      </c>
      <c r="F1582" s="281" t="s">
        <v>2067</v>
      </c>
      <c r="G1582" s="562">
        <f t="shared" si="51"/>
        <v>0</v>
      </c>
      <c r="H1582" s="562" t="e">
        <f t="shared" si="52"/>
        <v>#VALUE!</v>
      </c>
      <c r="I1582" s="276" t="e">
        <f t="shared" si="53"/>
        <v>#VALUE!</v>
      </c>
    </row>
    <row r="1583" spans="2:9">
      <c r="B1583">
        <v>1</v>
      </c>
      <c r="E1583" s="281" t="s">
        <v>807</v>
      </c>
      <c r="F1583" s="281"/>
      <c r="G1583" s="562">
        <f t="shared" si="51"/>
        <v>4313.25</v>
      </c>
      <c r="H1583" s="562" t="e">
        <f t="shared" si="52"/>
        <v>#VALUE!</v>
      </c>
      <c r="I1583" s="276" t="e">
        <f t="shared" si="53"/>
        <v>#VALUE!</v>
      </c>
    </row>
    <row r="1584" spans="2:9">
      <c r="B1584">
        <v>1</v>
      </c>
      <c r="E1584" s="281" t="s">
        <v>809</v>
      </c>
      <c r="F1584" s="281" t="s">
        <v>2068</v>
      </c>
      <c r="G1584" s="562">
        <f t="shared" si="51"/>
        <v>22550.49</v>
      </c>
      <c r="H1584" s="562" t="e">
        <f t="shared" si="52"/>
        <v>#VALUE!</v>
      </c>
      <c r="I1584" s="276" t="e">
        <f t="shared" si="53"/>
        <v>#VALUE!</v>
      </c>
    </row>
    <row r="1585" spans="2:9">
      <c r="B1585">
        <v>1</v>
      </c>
      <c r="E1585" s="281" t="s">
        <v>817</v>
      </c>
      <c r="F1585" s="281"/>
      <c r="G1585" s="562">
        <f t="shared" si="51"/>
        <v>7800</v>
      </c>
      <c r="H1585" s="562" t="e">
        <f t="shared" si="52"/>
        <v>#VALUE!</v>
      </c>
      <c r="I1585" s="276" t="e">
        <f t="shared" si="53"/>
        <v>#VALUE!</v>
      </c>
    </row>
    <row r="1586" spans="2:9">
      <c r="B1586">
        <v>1</v>
      </c>
      <c r="E1586" s="281" t="s">
        <v>824</v>
      </c>
      <c r="F1586" s="281" t="s">
        <v>2069</v>
      </c>
      <c r="G1586" s="562">
        <f t="shared" si="51"/>
        <v>7800</v>
      </c>
      <c r="H1586" s="562" t="e">
        <f t="shared" si="52"/>
        <v>#VALUE!</v>
      </c>
      <c r="I1586" s="276" t="e">
        <f t="shared" si="53"/>
        <v>#VALUE!</v>
      </c>
    </row>
    <row r="1587" spans="2:9">
      <c r="B1587">
        <v>1</v>
      </c>
      <c r="E1587" s="281" t="s">
        <v>825</v>
      </c>
      <c r="F1587" s="281" t="s">
        <v>2070</v>
      </c>
      <c r="G1587" s="562">
        <f t="shared" si="51"/>
        <v>7800</v>
      </c>
      <c r="H1587" s="562" t="e">
        <f t="shared" si="52"/>
        <v>#VALUE!</v>
      </c>
      <c r="I1587" s="276" t="e">
        <f t="shared" si="53"/>
        <v>#VALUE!</v>
      </c>
    </row>
    <row r="1588" spans="2:9">
      <c r="B1588">
        <v>1</v>
      </c>
      <c r="E1588" s="281" t="s">
        <v>826</v>
      </c>
      <c r="F1588" s="281" t="s">
        <v>2071</v>
      </c>
      <c r="G1588" s="562">
        <f t="shared" si="51"/>
        <v>7800</v>
      </c>
      <c r="H1588" s="562" t="e">
        <f t="shared" si="52"/>
        <v>#VALUE!</v>
      </c>
      <c r="I1588" s="276" t="e">
        <f t="shared" si="53"/>
        <v>#VALUE!</v>
      </c>
    </row>
    <row r="1589" spans="2:9">
      <c r="B1589">
        <v>1</v>
      </c>
      <c r="E1589" s="281" t="s">
        <v>827</v>
      </c>
      <c r="F1589" s="281" t="s">
        <v>2072</v>
      </c>
      <c r="G1589" s="562">
        <f t="shared" si="51"/>
        <v>7800</v>
      </c>
      <c r="H1589" s="562" t="e">
        <f t="shared" si="52"/>
        <v>#VALUE!</v>
      </c>
      <c r="I1589" s="276" t="e">
        <f t="shared" si="53"/>
        <v>#VALUE!</v>
      </c>
    </row>
    <row r="1590" spans="2:9">
      <c r="B1590">
        <v>1</v>
      </c>
      <c r="E1590" s="281" t="s">
        <v>829</v>
      </c>
      <c r="F1590" s="281" t="s">
        <v>2073</v>
      </c>
      <c r="G1590" s="562">
        <f t="shared" si="51"/>
        <v>59500</v>
      </c>
      <c r="H1590" s="562" t="e">
        <f t="shared" si="52"/>
        <v>#VALUE!</v>
      </c>
      <c r="I1590" s="276" t="e">
        <f t="shared" si="53"/>
        <v>#VALUE!</v>
      </c>
    </row>
    <row r="1591" spans="2:9">
      <c r="B1591">
        <v>1</v>
      </c>
      <c r="E1591" s="281" t="s">
        <v>832</v>
      </c>
      <c r="F1591" s="281" t="s">
        <v>2074</v>
      </c>
      <c r="G1591" s="562">
        <f t="shared" si="51"/>
        <v>18046.37</v>
      </c>
      <c r="H1591" s="562" t="e">
        <f t="shared" si="52"/>
        <v>#VALUE!</v>
      </c>
      <c r="I1591" s="276" t="e">
        <f t="shared" si="53"/>
        <v>#VALUE!</v>
      </c>
    </row>
    <row r="1592" spans="2:9">
      <c r="B1592">
        <v>1</v>
      </c>
      <c r="E1592" s="281" t="s">
        <v>835</v>
      </c>
      <c r="F1592" s="281" t="s">
        <v>2075</v>
      </c>
      <c r="G1592" s="562">
        <f t="shared" si="51"/>
        <v>3675</v>
      </c>
      <c r="H1592" s="562" t="e">
        <f t="shared" si="52"/>
        <v>#VALUE!</v>
      </c>
      <c r="I1592" s="276" t="e">
        <f t="shared" si="53"/>
        <v>#VALUE!</v>
      </c>
    </row>
    <row r="1593" spans="2:9">
      <c r="B1593">
        <v>1</v>
      </c>
      <c r="E1593" s="281" t="s">
        <v>838</v>
      </c>
      <c r="F1593" s="281" t="s">
        <v>2076</v>
      </c>
      <c r="G1593" s="562">
        <f t="shared" si="51"/>
        <v>10895.41</v>
      </c>
      <c r="H1593" s="562" t="e">
        <f t="shared" si="52"/>
        <v>#VALUE!</v>
      </c>
      <c r="I1593" s="276" t="e">
        <f t="shared" si="53"/>
        <v>#VALUE!</v>
      </c>
    </row>
    <row r="1594" spans="2:9">
      <c r="B1594">
        <v>1</v>
      </c>
      <c r="E1594" s="281" t="s">
        <v>841</v>
      </c>
      <c r="F1594" s="281" t="s">
        <v>2077</v>
      </c>
      <c r="G1594" s="562">
        <f t="shared" si="51"/>
        <v>14080</v>
      </c>
      <c r="H1594" s="562" t="e">
        <f t="shared" si="52"/>
        <v>#VALUE!</v>
      </c>
      <c r="I1594" s="276" t="e">
        <f t="shared" si="53"/>
        <v>#VALUE!</v>
      </c>
    </row>
    <row r="1595" spans="2:9">
      <c r="B1595">
        <v>1</v>
      </c>
      <c r="E1595" s="281" t="s">
        <v>846</v>
      </c>
      <c r="F1595" s="281" t="s">
        <v>2078</v>
      </c>
      <c r="G1595" s="562">
        <f t="shared" si="51"/>
        <v>1880</v>
      </c>
      <c r="H1595" s="562" t="e">
        <f t="shared" si="52"/>
        <v>#VALUE!</v>
      </c>
      <c r="I1595" s="276" t="e">
        <f t="shared" si="53"/>
        <v>#VALUE!</v>
      </c>
    </row>
    <row r="1596" spans="2:9">
      <c r="B1596">
        <v>1</v>
      </c>
      <c r="E1596" s="281" t="s">
        <v>851</v>
      </c>
      <c r="F1596" s="281" t="s">
        <v>2079</v>
      </c>
      <c r="G1596" s="562">
        <f t="shared" si="51"/>
        <v>0</v>
      </c>
      <c r="H1596" s="562" t="e">
        <f t="shared" si="52"/>
        <v>#VALUE!</v>
      </c>
      <c r="I1596" s="276" t="e">
        <f t="shared" si="53"/>
        <v>#VALUE!</v>
      </c>
    </row>
    <row r="1597" spans="2:9">
      <c r="B1597">
        <v>1</v>
      </c>
      <c r="E1597" s="281" t="s">
        <v>854</v>
      </c>
      <c r="F1597" s="281" t="s">
        <v>2080</v>
      </c>
      <c r="G1597" s="562">
        <f t="shared" si="51"/>
        <v>20061.82</v>
      </c>
      <c r="H1597" s="562" t="e">
        <f t="shared" si="52"/>
        <v>#VALUE!</v>
      </c>
      <c r="I1597" s="276" t="e">
        <f t="shared" si="53"/>
        <v>#VALUE!</v>
      </c>
    </row>
    <row r="1598" spans="2:9">
      <c r="B1598">
        <v>1</v>
      </c>
      <c r="E1598" s="281" t="s">
        <v>856</v>
      </c>
      <c r="F1598" s="281" t="s">
        <v>2081</v>
      </c>
      <c r="G1598" s="562">
        <f t="shared" si="51"/>
        <v>33474</v>
      </c>
      <c r="H1598" s="562" t="e">
        <f t="shared" si="52"/>
        <v>#VALUE!</v>
      </c>
      <c r="I1598" s="276" t="e">
        <f t="shared" si="53"/>
        <v>#VALUE!</v>
      </c>
    </row>
    <row r="1599" spans="2:9">
      <c r="B1599">
        <v>1</v>
      </c>
      <c r="E1599" s="281" t="s">
        <v>858</v>
      </c>
      <c r="F1599" s="281"/>
      <c r="G1599" s="562">
        <f t="shared" si="51"/>
        <v>0</v>
      </c>
      <c r="H1599" s="562" t="e">
        <f t="shared" si="52"/>
        <v>#VALUE!</v>
      </c>
      <c r="I1599" s="276" t="e">
        <f t="shared" si="53"/>
        <v>#VALUE!</v>
      </c>
    </row>
    <row r="1600" spans="2:9">
      <c r="B1600">
        <v>1</v>
      </c>
      <c r="E1600" s="281" t="s">
        <v>861</v>
      </c>
      <c r="F1600" s="281" t="s">
        <v>2082</v>
      </c>
      <c r="G1600" s="562">
        <f t="shared" si="51"/>
        <v>51777.94</v>
      </c>
      <c r="H1600" s="562" t="e">
        <f t="shared" si="52"/>
        <v>#VALUE!</v>
      </c>
      <c r="I1600" s="276" t="e">
        <f t="shared" si="53"/>
        <v>#VALUE!</v>
      </c>
    </row>
    <row r="1601" spans="2:9">
      <c r="B1601">
        <v>1</v>
      </c>
      <c r="E1601" s="281" t="s">
        <v>865</v>
      </c>
      <c r="F1601" s="281" t="s">
        <v>2083</v>
      </c>
      <c r="G1601" s="562">
        <f t="shared" si="51"/>
        <v>92085.57</v>
      </c>
      <c r="H1601" s="562" t="e">
        <f t="shared" si="52"/>
        <v>#VALUE!</v>
      </c>
      <c r="I1601" s="276" t="e">
        <f t="shared" si="53"/>
        <v>#VALUE!</v>
      </c>
    </row>
    <row r="1602" spans="2:9">
      <c r="B1602">
        <v>1</v>
      </c>
      <c r="E1602" s="281" t="s">
        <v>866</v>
      </c>
      <c r="F1602" s="281" t="s">
        <v>2084</v>
      </c>
      <c r="G1602" s="562">
        <f t="shared" si="51"/>
        <v>40307.629999999997</v>
      </c>
      <c r="H1602" s="562" t="e">
        <f t="shared" si="52"/>
        <v>#VALUE!</v>
      </c>
      <c r="I1602" s="276" t="e">
        <f t="shared" si="53"/>
        <v>#VALUE!</v>
      </c>
    </row>
    <row r="1603" spans="2:9">
      <c r="B1603">
        <v>1</v>
      </c>
      <c r="E1603" s="281" t="s">
        <v>868</v>
      </c>
      <c r="F1603" s="281" t="s">
        <v>2085</v>
      </c>
      <c r="G1603" s="562">
        <f t="shared" si="51"/>
        <v>40307.629999999997</v>
      </c>
      <c r="H1603" s="562" t="e">
        <f t="shared" si="52"/>
        <v>#VALUE!</v>
      </c>
      <c r="I1603" s="276" t="e">
        <f t="shared" si="53"/>
        <v>#VALUE!</v>
      </c>
    </row>
    <row r="1604" spans="2:9">
      <c r="B1604">
        <v>1</v>
      </c>
      <c r="E1604" s="281" t="s">
        <v>870</v>
      </c>
      <c r="F1604" s="281" t="s">
        <v>2086</v>
      </c>
      <c r="G1604" s="562">
        <f t="shared" si="51"/>
        <v>92085.57</v>
      </c>
      <c r="H1604" s="562" t="e">
        <f t="shared" si="52"/>
        <v>#VALUE!</v>
      </c>
      <c r="I1604" s="276" t="e">
        <f t="shared" si="53"/>
        <v>#VALUE!</v>
      </c>
    </row>
    <row r="1605" spans="2:9">
      <c r="B1605">
        <v>1</v>
      </c>
      <c r="E1605" s="281" t="s">
        <v>871</v>
      </c>
      <c r="F1605" s="281" t="s">
        <v>2087</v>
      </c>
      <c r="G1605" s="562">
        <f t="shared" si="51"/>
        <v>40307.629999999997</v>
      </c>
      <c r="H1605" s="562" t="e">
        <f t="shared" si="52"/>
        <v>#VALUE!</v>
      </c>
      <c r="I1605" s="276" t="e">
        <f t="shared" si="53"/>
        <v>#VALUE!</v>
      </c>
    </row>
    <row r="1606" spans="2:9">
      <c r="B1606">
        <v>1</v>
      </c>
      <c r="E1606" s="281" t="s">
        <v>1029</v>
      </c>
      <c r="F1606" s="281" t="s">
        <v>2088</v>
      </c>
      <c r="G1606" s="562">
        <f t="shared" si="51"/>
        <v>150000</v>
      </c>
      <c r="H1606" s="562" t="e">
        <f t="shared" si="52"/>
        <v>#VALUE!</v>
      </c>
      <c r="I1606" s="276" t="e">
        <f t="shared" si="53"/>
        <v>#VALUE!</v>
      </c>
    </row>
    <row r="1607" spans="2:9">
      <c r="B1607">
        <v>1</v>
      </c>
      <c r="E1607" s="281" t="s">
        <v>1032</v>
      </c>
      <c r="F1607" s="281" t="s">
        <v>2089</v>
      </c>
      <c r="G1607" s="562">
        <f t="shared" si="51"/>
        <v>10000</v>
      </c>
      <c r="H1607" s="562" t="e">
        <f t="shared" si="52"/>
        <v>#VALUE!</v>
      </c>
      <c r="I1607" s="276" t="e">
        <f t="shared" si="53"/>
        <v>#VALUE!</v>
      </c>
    </row>
    <row r="1608" spans="2:9">
      <c r="B1608">
        <v>1</v>
      </c>
      <c r="E1608" s="281" t="s">
        <v>1034</v>
      </c>
      <c r="F1608" s="281" t="s">
        <v>2090</v>
      </c>
      <c r="G1608" s="562">
        <f t="shared" si="51"/>
        <v>28636.36</v>
      </c>
      <c r="H1608" s="562" t="e">
        <f t="shared" si="52"/>
        <v>#VALUE!</v>
      </c>
      <c r="I1608" s="276" t="e">
        <f t="shared" si="53"/>
        <v>#VALUE!</v>
      </c>
    </row>
    <row r="1609" spans="2:9">
      <c r="B1609">
        <v>1</v>
      </c>
      <c r="E1609" s="281" t="s">
        <v>1046</v>
      </c>
      <c r="F1609" s="281" t="s">
        <v>2091</v>
      </c>
      <c r="G1609" s="562">
        <f t="shared" si="51"/>
        <v>2073.09</v>
      </c>
      <c r="H1609" s="562" t="e">
        <f t="shared" si="52"/>
        <v>#VALUE!</v>
      </c>
      <c r="I1609" s="276" t="e">
        <f t="shared" si="53"/>
        <v>#VALUE!</v>
      </c>
    </row>
    <row r="1610" spans="2:9">
      <c r="B1610">
        <v>1</v>
      </c>
      <c r="E1610" s="281" t="s">
        <v>1047</v>
      </c>
      <c r="F1610" s="281" t="s">
        <v>2092</v>
      </c>
      <c r="G1610" s="562">
        <f t="shared" si="51"/>
        <v>0</v>
      </c>
      <c r="H1610" s="562" t="e">
        <f t="shared" si="52"/>
        <v>#VALUE!</v>
      </c>
      <c r="I1610" s="276" t="e">
        <f t="shared" si="53"/>
        <v>#VALUE!</v>
      </c>
    </row>
    <row r="1611" spans="2:9">
      <c r="B1611">
        <v>1</v>
      </c>
      <c r="E1611" s="281" t="s">
        <v>1264</v>
      </c>
      <c r="F1611" s="281"/>
      <c r="G1611" s="562">
        <f t="shared" si="51"/>
        <v>17600</v>
      </c>
      <c r="H1611" s="562" t="e">
        <f t="shared" si="52"/>
        <v>#VALUE!</v>
      </c>
      <c r="I1611" s="276" t="e">
        <f t="shared" si="53"/>
        <v>#VALUE!</v>
      </c>
    </row>
    <row r="1612" spans="2:9">
      <c r="B1612">
        <v>1</v>
      </c>
      <c r="E1612" s="281" t="s">
        <v>1048</v>
      </c>
      <c r="F1612" s="281" t="s">
        <v>2093</v>
      </c>
      <c r="G1612" s="562">
        <f t="shared" si="51"/>
        <v>80000</v>
      </c>
      <c r="H1612" s="562" t="e">
        <f t="shared" si="52"/>
        <v>#VALUE!</v>
      </c>
      <c r="I1612" s="276" t="e">
        <f t="shared" si="53"/>
        <v>#VALUE!</v>
      </c>
    </row>
    <row r="1613" spans="2:9">
      <c r="B1613">
        <v>1</v>
      </c>
      <c r="E1613" s="281" t="s">
        <v>1049</v>
      </c>
      <c r="F1613" s="281" t="s">
        <v>2094</v>
      </c>
      <c r="G1613" s="562">
        <f t="shared" si="51"/>
        <v>750</v>
      </c>
      <c r="H1613" s="562" t="e">
        <f t="shared" si="52"/>
        <v>#VALUE!</v>
      </c>
      <c r="I1613" s="276" t="e">
        <f t="shared" si="53"/>
        <v>#VALUE!</v>
      </c>
    </row>
    <row r="1614" spans="2:9">
      <c r="B1614">
        <v>1</v>
      </c>
      <c r="E1614" s="281" t="s">
        <v>1050</v>
      </c>
      <c r="F1614" s="281" t="s">
        <v>2095</v>
      </c>
      <c r="G1614" s="562">
        <f t="shared" si="51"/>
        <v>750</v>
      </c>
      <c r="H1614" s="562" t="e">
        <f t="shared" si="52"/>
        <v>#VALUE!</v>
      </c>
      <c r="I1614" s="276" t="e">
        <f t="shared" si="53"/>
        <v>#VALUE!</v>
      </c>
    </row>
    <row r="1615" spans="2:9">
      <c r="B1615">
        <v>1</v>
      </c>
      <c r="E1615" s="281" t="s">
        <v>1051</v>
      </c>
      <c r="F1615" s="281" t="s">
        <v>2096</v>
      </c>
      <c r="G1615" s="562">
        <f t="shared" si="51"/>
        <v>750</v>
      </c>
      <c r="H1615" s="562" t="e">
        <f t="shared" si="52"/>
        <v>#VALUE!</v>
      </c>
      <c r="I1615" s="276" t="e">
        <f t="shared" si="53"/>
        <v>#VALUE!</v>
      </c>
    </row>
    <row r="1616" spans="2:9">
      <c r="B1616">
        <v>1</v>
      </c>
      <c r="E1616" s="281" t="s">
        <v>1052</v>
      </c>
      <c r="F1616" s="281" t="s">
        <v>2097</v>
      </c>
      <c r="G1616" s="562">
        <f t="shared" si="51"/>
        <v>97200</v>
      </c>
      <c r="H1616" s="562" t="e">
        <f t="shared" si="52"/>
        <v>#VALUE!</v>
      </c>
      <c r="I1616" s="276" t="e">
        <f t="shared" si="53"/>
        <v>#VALUE!</v>
      </c>
    </row>
    <row r="1617" spans="2:9">
      <c r="B1617">
        <v>1</v>
      </c>
      <c r="E1617" s="281" t="s">
        <v>1053</v>
      </c>
      <c r="F1617" s="281" t="s">
        <v>2098</v>
      </c>
      <c r="G1617" s="562">
        <f t="shared" si="51"/>
        <v>97200</v>
      </c>
      <c r="H1617" s="562" t="e">
        <f t="shared" si="52"/>
        <v>#VALUE!</v>
      </c>
      <c r="I1617" s="276" t="e">
        <f t="shared" si="53"/>
        <v>#VALUE!</v>
      </c>
    </row>
    <row r="1618" spans="2:9">
      <c r="B1618">
        <v>1</v>
      </c>
      <c r="E1618" s="281" t="s">
        <v>1054</v>
      </c>
      <c r="F1618" s="281" t="s">
        <v>2099</v>
      </c>
      <c r="G1618" s="562">
        <f t="shared" si="51"/>
        <v>97200</v>
      </c>
      <c r="H1618" s="562" t="e">
        <f t="shared" si="52"/>
        <v>#VALUE!</v>
      </c>
      <c r="I1618" s="276" t="e">
        <f t="shared" si="53"/>
        <v>#VALUE!</v>
      </c>
    </row>
    <row r="1619" spans="2:9">
      <c r="B1619">
        <v>1</v>
      </c>
      <c r="E1619" s="281" t="s">
        <v>1055</v>
      </c>
      <c r="F1619" s="281" t="s">
        <v>2100</v>
      </c>
      <c r="G1619" s="562">
        <f t="shared" si="51"/>
        <v>97200</v>
      </c>
      <c r="H1619" s="562" t="e">
        <f t="shared" si="52"/>
        <v>#VALUE!</v>
      </c>
      <c r="I1619" s="276" t="e">
        <f t="shared" si="53"/>
        <v>#VALUE!</v>
      </c>
    </row>
    <row r="1620" spans="2:9">
      <c r="B1620">
        <v>1</v>
      </c>
      <c r="E1620" s="281" t="s">
        <v>1056</v>
      </c>
      <c r="F1620" s="281" t="s">
        <v>2101</v>
      </c>
      <c r="G1620" s="562">
        <f t="shared" si="51"/>
        <v>97200</v>
      </c>
      <c r="H1620" s="562" t="e">
        <f t="shared" si="52"/>
        <v>#VALUE!</v>
      </c>
      <c r="I1620" s="276" t="e">
        <f t="shared" si="53"/>
        <v>#VALUE!</v>
      </c>
    </row>
    <row r="1621" spans="2:9">
      <c r="B1621">
        <v>1</v>
      </c>
      <c r="E1621" s="281" t="s">
        <v>1057</v>
      </c>
      <c r="F1621" s="281" t="s">
        <v>2102</v>
      </c>
      <c r="G1621" s="562">
        <f t="shared" si="51"/>
        <v>62500</v>
      </c>
      <c r="H1621" s="562" t="e">
        <f t="shared" si="52"/>
        <v>#VALUE!</v>
      </c>
      <c r="I1621" s="276" t="e">
        <f t="shared" si="53"/>
        <v>#VALUE!</v>
      </c>
    </row>
    <row r="1622" spans="2:9">
      <c r="B1622">
        <v>1</v>
      </c>
      <c r="E1622" s="281" t="s">
        <v>1058</v>
      </c>
      <c r="F1622" s="281" t="s">
        <v>2103</v>
      </c>
      <c r="G1622" s="562">
        <f t="shared" si="51"/>
        <v>50000</v>
      </c>
      <c r="H1622" s="562" t="e">
        <f t="shared" si="52"/>
        <v>#VALUE!</v>
      </c>
      <c r="I1622" s="276" t="e">
        <f t="shared" si="53"/>
        <v>#VALUE!</v>
      </c>
    </row>
    <row r="1623" spans="2:9">
      <c r="B1623">
        <v>1</v>
      </c>
      <c r="E1623" s="281" t="s">
        <v>1059</v>
      </c>
      <c r="F1623" s="281" t="s">
        <v>2104</v>
      </c>
      <c r="G1623" s="562">
        <f t="shared" si="51"/>
        <v>50000</v>
      </c>
      <c r="H1623" s="562" t="e">
        <f t="shared" si="52"/>
        <v>#VALUE!</v>
      </c>
      <c r="I1623" s="276" t="e">
        <f t="shared" si="53"/>
        <v>#VALUE!</v>
      </c>
    </row>
    <row r="1624" spans="2:9">
      <c r="B1624">
        <v>1</v>
      </c>
      <c r="E1624" s="281" t="s">
        <v>1060</v>
      </c>
      <c r="F1624" s="281" t="s">
        <v>2105</v>
      </c>
      <c r="G1624" s="562">
        <f t="shared" si="51"/>
        <v>50000</v>
      </c>
      <c r="H1624" s="562" t="e">
        <f t="shared" si="52"/>
        <v>#VALUE!</v>
      </c>
      <c r="I1624" s="276" t="e">
        <f t="shared" si="53"/>
        <v>#VALUE!</v>
      </c>
    </row>
    <row r="1625" spans="2:9">
      <c r="B1625">
        <v>1</v>
      </c>
      <c r="E1625" s="281" t="s">
        <v>1061</v>
      </c>
      <c r="F1625" s="281" t="s">
        <v>2106</v>
      </c>
      <c r="G1625" s="562">
        <f t="shared" si="51"/>
        <v>50000</v>
      </c>
      <c r="H1625" s="562" t="e">
        <f t="shared" si="52"/>
        <v>#VALUE!</v>
      </c>
      <c r="I1625" s="276" t="e">
        <f t="shared" si="53"/>
        <v>#VALUE!</v>
      </c>
    </row>
    <row r="1626" spans="2:9">
      <c r="B1626">
        <v>1</v>
      </c>
      <c r="E1626" s="281" t="s">
        <v>1063</v>
      </c>
      <c r="F1626" s="281" t="s">
        <v>2107</v>
      </c>
      <c r="G1626" s="562">
        <f t="shared" si="51"/>
        <v>4734.25</v>
      </c>
      <c r="H1626" s="562" t="e">
        <f t="shared" si="52"/>
        <v>#VALUE!</v>
      </c>
      <c r="I1626" s="276" t="e">
        <f t="shared" si="53"/>
        <v>#VALUE!</v>
      </c>
    </row>
    <row r="1627" spans="2:9">
      <c r="B1627">
        <v>1</v>
      </c>
      <c r="E1627" s="281" t="s">
        <v>1077</v>
      </c>
      <c r="F1627" s="281" t="s">
        <v>2108</v>
      </c>
      <c r="G1627" s="562">
        <f t="shared" si="51"/>
        <v>1350</v>
      </c>
      <c r="H1627" s="562" t="e">
        <f t="shared" si="52"/>
        <v>#VALUE!</v>
      </c>
      <c r="I1627" s="276" t="e">
        <f t="shared" si="53"/>
        <v>#VALUE!</v>
      </c>
    </row>
    <row r="1628" spans="2:9">
      <c r="B1628">
        <v>1</v>
      </c>
      <c r="E1628" s="281" t="s">
        <v>1078</v>
      </c>
      <c r="F1628" s="281" t="s">
        <v>2109</v>
      </c>
      <c r="G1628" s="562">
        <f t="shared" si="51"/>
        <v>528841.48</v>
      </c>
      <c r="H1628" s="562" t="e">
        <f t="shared" si="52"/>
        <v>#VALUE!</v>
      </c>
      <c r="I1628" s="276" t="e">
        <f t="shared" si="53"/>
        <v>#VALUE!</v>
      </c>
    </row>
    <row r="1629" spans="2:9">
      <c r="B1629">
        <v>1</v>
      </c>
      <c r="E1629" s="281" t="s">
        <v>1079</v>
      </c>
      <c r="F1629" s="281" t="s">
        <v>2110</v>
      </c>
      <c r="G1629" s="562">
        <f t="shared" si="51"/>
        <v>241528.69</v>
      </c>
      <c r="H1629" s="562" t="e">
        <f t="shared" si="52"/>
        <v>#VALUE!</v>
      </c>
      <c r="I1629" s="276" t="e">
        <f t="shared" si="53"/>
        <v>#VALUE!</v>
      </c>
    </row>
    <row r="1630" spans="2:9">
      <c r="B1630">
        <v>1</v>
      </c>
      <c r="E1630" s="281" t="s">
        <v>1080</v>
      </c>
      <c r="F1630" s="281" t="s">
        <v>2111</v>
      </c>
      <c r="G1630" s="562">
        <f t="shared" si="51"/>
        <v>337586.4</v>
      </c>
      <c r="H1630" s="562" t="e">
        <f t="shared" si="52"/>
        <v>#VALUE!</v>
      </c>
      <c r="I1630" s="276" t="e">
        <f t="shared" si="53"/>
        <v>#VALUE!</v>
      </c>
    </row>
    <row r="1631" spans="2:9">
      <c r="B1631">
        <v>1</v>
      </c>
      <c r="E1631" s="281" t="s">
        <v>1081</v>
      </c>
      <c r="F1631" s="281" t="s">
        <v>2112</v>
      </c>
      <c r="G1631" s="562">
        <f t="shared" si="51"/>
        <v>355426.3600000001</v>
      </c>
      <c r="H1631" s="562" t="e">
        <f t="shared" si="52"/>
        <v>#VALUE!</v>
      </c>
      <c r="I1631" s="276" t="e">
        <f t="shared" si="53"/>
        <v>#VALUE!</v>
      </c>
    </row>
    <row r="1632" spans="2:9">
      <c r="B1632">
        <v>1</v>
      </c>
      <c r="E1632" s="281" t="s">
        <v>1082</v>
      </c>
      <c r="F1632" s="281" t="s">
        <v>2113</v>
      </c>
      <c r="G1632" s="562">
        <f t="shared" si="51"/>
        <v>230967.52</v>
      </c>
      <c r="H1632" s="562" t="e">
        <f t="shared" si="52"/>
        <v>#VALUE!</v>
      </c>
      <c r="I1632" s="276" t="e">
        <f t="shared" si="53"/>
        <v>#VALUE!</v>
      </c>
    </row>
    <row r="1633" spans="2:9">
      <c r="B1633">
        <v>1</v>
      </c>
      <c r="E1633" s="281" t="s">
        <v>1083</v>
      </c>
      <c r="F1633" s="281" t="s">
        <v>2114</v>
      </c>
      <c r="G1633" s="562">
        <f t="shared" si="51"/>
        <v>65016.91</v>
      </c>
      <c r="H1633" s="562" t="e">
        <f t="shared" si="52"/>
        <v>#VALUE!</v>
      </c>
      <c r="I1633" s="276" t="e">
        <f t="shared" si="53"/>
        <v>#VALUE!</v>
      </c>
    </row>
    <row r="1634" spans="2:9">
      <c r="B1634">
        <v>1</v>
      </c>
      <c r="E1634" s="281" t="s">
        <v>1084</v>
      </c>
      <c r="F1634" s="281" t="s">
        <v>2115</v>
      </c>
      <c r="G1634" s="562">
        <f t="shared" ref="G1634:G1697" si="54">SUMIFS(J:J,C:C,E1634)</f>
        <v>16881.330000000002</v>
      </c>
      <c r="H1634" s="562" t="e">
        <f t="shared" ref="H1634:H1697" si="55">SUMIFS(M:M,S:S,F1634)</f>
        <v>#VALUE!</v>
      </c>
      <c r="I1634" s="276" t="e">
        <f t="shared" ref="I1634:I1697" si="56">G1634-H1634</f>
        <v>#VALUE!</v>
      </c>
    </row>
    <row r="1635" spans="2:9">
      <c r="B1635">
        <v>1</v>
      </c>
      <c r="E1635" s="281" t="s">
        <v>1085</v>
      </c>
      <c r="F1635" s="281" t="s">
        <v>2116</v>
      </c>
      <c r="G1635" s="562">
        <f t="shared" si="54"/>
        <v>4194.7300000000005</v>
      </c>
      <c r="H1635" s="562" t="e">
        <f t="shared" si="55"/>
        <v>#VALUE!</v>
      </c>
      <c r="I1635" s="276" t="e">
        <f t="shared" si="56"/>
        <v>#VALUE!</v>
      </c>
    </row>
    <row r="1636" spans="2:9">
      <c r="B1636">
        <v>1</v>
      </c>
      <c r="E1636" s="281" t="s">
        <v>1087</v>
      </c>
      <c r="F1636" s="281" t="s">
        <v>2117</v>
      </c>
      <c r="G1636" s="562">
        <f t="shared" si="54"/>
        <v>36158</v>
      </c>
      <c r="H1636" s="562" t="e">
        <f t="shared" si="55"/>
        <v>#VALUE!</v>
      </c>
      <c r="I1636" s="276" t="e">
        <f t="shared" si="56"/>
        <v>#VALUE!</v>
      </c>
    </row>
    <row r="1637" spans="2:9">
      <c r="B1637">
        <v>1</v>
      </c>
      <c r="E1637" s="281" t="s">
        <v>1088</v>
      </c>
      <c r="F1637" s="281" t="s">
        <v>2118</v>
      </c>
      <c r="G1637" s="562">
        <f t="shared" si="54"/>
        <v>1046300</v>
      </c>
      <c r="H1637" s="562" t="e">
        <f t="shared" si="55"/>
        <v>#VALUE!</v>
      </c>
      <c r="I1637" s="276" t="e">
        <f t="shared" si="56"/>
        <v>#VALUE!</v>
      </c>
    </row>
    <row r="1638" spans="2:9">
      <c r="B1638">
        <v>1</v>
      </c>
      <c r="E1638" s="281" t="s">
        <v>1090</v>
      </c>
      <c r="F1638" s="281" t="s">
        <v>2119</v>
      </c>
      <c r="G1638" s="562">
        <f t="shared" si="54"/>
        <v>535050</v>
      </c>
      <c r="H1638" s="562" t="e">
        <f t="shared" si="55"/>
        <v>#VALUE!</v>
      </c>
      <c r="I1638" s="276" t="e">
        <f t="shared" si="56"/>
        <v>#VALUE!</v>
      </c>
    </row>
    <row r="1639" spans="2:9">
      <c r="B1639">
        <v>1</v>
      </c>
      <c r="E1639" s="281" t="s">
        <v>1091</v>
      </c>
      <c r="F1639" s="281" t="s">
        <v>2120</v>
      </c>
      <c r="G1639" s="562">
        <f t="shared" si="54"/>
        <v>963500</v>
      </c>
      <c r="H1639" s="562" t="e">
        <f t="shared" si="55"/>
        <v>#VALUE!</v>
      </c>
      <c r="I1639" s="276" t="e">
        <f t="shared" si="56"/>
        <v>#VALUE!</v>
      </c>
    </row>
    <row r="1640" spans="2:9">
      <c r="B1640">
        <v>1</v>
      </c>
      <c r="E1640" s="281" t="s">
        <v>1092</v>
      </c>
      <c r="F1640" s="281" t="s">
        <v>2121</v>
      </c>
      <c r="G1640" s="562">
        <f t="shared" si="54"/>
        <v>870350</v>
      </c>
      <c r="H1640" s="562" t="e">
        <f t="shared" si="55"/>
        <v>#VALUE!</v>
      </c>
      <c r="I1640" s="276" t="e">
        <f t="shared" si="56"/>
        <v>#VALUE!</v>
      </c>
    </row>
    <row r="1641" spans="2:9">
      <c r="B1641">
        <v>1</v>
      </c>
      <c r="E1641" s="281" t="s">
        <v>1093</v>
      </c>
      <c r="F1641" s="281" t="s">
        <v>2122</v>
      </c>
      <c r="G1641" s="562">
        <f t="shared" si="54"/>
        <v>815900</v>
      </c>
      <c r="H1641" s="562" t="e">
        <f t="shared" si="55"/>
        <v>#VALUE!</v>
      </c>
      <c r="I1641" s="276" t="e">
        <f t="shared" si="56"/>
        <v>#VALUE!</v>
      </c>
    </row>
    <row r="1642" spans="2:9">
      <c r="B1642">
        <v>1</v>
      </c>
      <c r="E1642" s="281" t="s">
        <v>1094</v>
      </c>
      <c r="F1642" s="281" t="s">
        <v>2123</v>
      </c>
      <c r="G1642" s="562">
        <f t="shared" si="54"/>
        <v>62014.22</v>
      </c>
      <c r="H1642" s="562" t="e">
        <f t="shared" si="55"/>
        <v>#VALUE!</v>
      </c>
      <c r="I1642" s="276" t="e">
        <f t="shared" si="56"/>
        <v>#VALUE!</v>
      </c>
    </row>
    <row r="1643" spans="2:9">
      <c r="B1643">
        <v>1</v>
      </c>
      <c r="E1643" s="281" t="s">
        <v>1096</v>
      </c>
      <c r="F1643" s="281" t="s">
        <v>2124</v>
      </c>
      <c r="G1643" s="562">
        <f t="shared" si="54"/>
        <v>17167.73</v>
      </c>
      <c r="H1643" s="562" t="e">
        <f t="shared" si="55"/>
        <v>#VALUE!</v>
      </c>
      <c r="I1643" s="276" t="e">
        <f t="shared" si="56"/>
        <v>#VALUE!</v>
      </c>
    </row>
    <row r="1644" spans="2:9">
      <c r="B1644">
        <v>1</v>
      </c>
      <c r="E1644" s="281" t="s">
        <v>1097</v>
      </c>
      <c r="F1644" s="281" t="s">
        <v>2125</v>
      </c>
      <c r="G1644" s="562">
        <f t="shared" si="54"/>
        <v>17698.68</v>
      </c>
      <c r="H1644" s="562" t="e">
        <f t="shared" si="55"/>
        <v>#VALUE!</v>
      </c>
      <c r="I1644" s="276" t="e">
        <f t="shared" si="56"/>
        <v>#VALUE!</v>
      </c>
    </row>
    <row r="1645" spans="2:9">
      <c r="B1645">
        <v>1</v>
      </c>
      <c r="E1645" s="281" t="s">
        <v>1098</v>
      </c>
      <c r="F1645" s="281" t="s">
        <v>2126</v>
      </c>
      <c r="G1645" s="562">
        <f t="shared" si="54"/>
        <v>18167.440000000002</v>
      </c>
      <c r="H1645" s="562" t="e">
        <f t="shared" si="55"/>
        <v>#VALUE!</v>
      </c>
      <c r="I1645" s="276" t="e">
        <f t="shared" si="56"/>
        <v>#VALUE!</v>
      </c>
    </row>
    <row r="1646" spans="2:9">
      <c r="B1646">
        <v>1</v>
      </c>
      <c r="E1646" s="281" t="s">
        <v>1099</v>
      </c>
      <c r="F1646" s="281" t="s">
        <v>2127</v>
      </c>
      <c r="G1646" s="562">
        <f t="shared" si="54"/>
        <v>21594.01</v>
      </c>
      <c r="H1646" s="562" t="e">
        <f t="shared" si="55"/>
        <v>#VALUE!</v>
      </c>
      <c r="I1646" s="276" t="e">
        <f t="shared" si="56"/>
        <v>#VALUE!</v>
      </c>
    </row>
    <row r="1647" spans="2:9">
      <c r="B1647">
        <v>1</v>
      </c>
      <c r="E1647" s="281" t="s">
        <v>1100</v>
      </c>
      <c r="F1647" s="281" t="s">
        <v>2128</v>
      </c>
      <c r="G1647" s="562">
        <f t="shared" si="54"/>
        <v>12904.51</v>
      </c>
      <c r="H1647" s="562" t="e">
        <f t="shared" si="55"/>
        <v>#VALUE!</v>
      </c>
      <c r="I1647" s="276" t="e">
        <f t="shared" si="56"/>
        <v>#VALUE!</v>
      </c>
    </row>
    <row r="1648" spans="2:9">
      <c r="B1648">
        <v>1</v>
      </c>
      <c r="E1648" s="281" t="s">
        <v>1101</v>
      </c>
      <c r="F1648" s="281" t="s">
        <v>2129</v>
      </c>
      <c r="G1648" s="562">
        <f t="shared" si="54"/>
        <v>1200</v>
      </c>
      <c r="H1648" s="562" t="e">
        <f t="shared" si="55"/>
        <v>#VALUE!</v>
      </c>
      <c r="I1648" s="276" t="e">
        <f t="shared" si="56"/>
        <v>#VALUE!</v>
      </c>
    </row>
    <row r="1649" spans="2:9">
      <c r="B1649">
        <v>1</v>
      </c>
      <c r="E1649" s="281" t="s">
        <v>1104</v>
      </c>
      <c r="F1649" s="281" t="s">
        <v>2130</v>
      </c>
      <c r="G1649" s="562">
        <f t="shared" si="54"/>
        <v>8885.08</v>
      </c>
      <c r="H1649" s="562" t="e">
        <f t="shared" si="55"/>
        <v>#VALUE!</v>
      </c>
      <c r="I1649" s="276" t="e">
        <f t="shared" si="56"/>
        <v>#VALUE!</v>
      </c>
    </row>
    <row r="1650" spans="2:9">
      <c r="B1650">
        <v>1</v>
      </c>
      <c r="E1650" s="281" t="s">
        <v>1107</v>
      </c>
      <c r="F1650" s="281" t="s">
        <v>2131</v>
      </c>
      <c r="G1650" s="562">
        <f t="shared" si="54"/>
        <v>10600</v>
      </c>
      <c r="H1650" s="562" t="e">
        <f t="shared" si="55"/>
        <v>#VALUE!</v>
      </c>
      <c r="I1650" s="276" t="e">
        <f t="shared" si="56"/>
        <v>#VALUE!</v>
      </c>
    </row>
    <row r="1651" spans="2:9">
      <c r="B1651">
        <v>1</v>
      </c>
      <c r="E1651" s="281" t="s">
        <v>1110</v>
      </c>
      <c r="F1651" s="281" t="s">
        <v>2132</v>
      </c>
      <c r="G1651" s="562">
        <f t="shared" si="54"/>
        <v>2400</v>
      </c>
      <c r="H1651" s="562" t="e">
        <f t="shared" si="55"/>
        <v>#VALUE!</v>
      </c>
      <c r="I1651" s="276" t="e">
        <f t="shared" si="56"/>
        <v>#VALUE!</v>
      </c>
    </row>
    <row r="1652" spans="2:9">
      <c r="B1652">
        <v>1</v>
      </c>
      <c r="E1652" s="281" t="s">
        <v>1112</v>
      </c>
      <c r="F1652" s="281" t="s">
        <v>2133</v>
      </c>
      <c r="G1652" s="562">
        <f t="shared" si="54"/>
        <v>2049964.0999999999</v>
      </c>
      <c r="H1652" s="562" t="e">
        <f t="shared" si="55"/>
        <v>#VALUE!</v>
      </c>
      <c r="I1652" s="276" t="e">
        <f t="shared" si="56"/>
        <v>#VALUE!</v>
      </c>
    </row>
    <row r="1653" spans="2:9">
      <c r="B1653">
        <v>1</v>
      </c>
      <c r="E1653" s="281" t="s">
        <v>1114</v>
      </c>
      <c r="F1653" s="281" t="s">
        <v>2134</v>
      </c>
      <c r="G1653" s="562">
        <f t="shared" si="54"/>
        <v>429402.37</v>
      </c>
      <c r="H1653" s="562" t="e">
        <f t="shared" si="55"/>
        <v>#VALUE!</v>
      </c>
      <c r="I1653" s="276" t="e">
        <f t="shared" si="56"/>
        <v>#VALUE!</v>
      </c>
    </row>
    <row r="1654" spans="2:9">
      <c r="B1654">
        <v>1</v>
      </c>
      <c r="E1654" s="281" t="s">
        <v>1115</v>
      </c>
      <c r="F1654" s="281" t="s">
        <v>2135</v>
      </c>
      <c r="G1654" s="562">
        <f t="shared" si="54"/>
        <v>389716.8</v>
      </c>
      <c r="H1654" s="562" t="e">
        <f t="shared" si="55"/>
        <v>#VALUE!</v>
      </c>
      <c r="I1654" s="276" t="e">
        <f t="shared" si="56"/>
        <v>#VALUE!</v>
      </c>
    </row>
    <row r="1655" spans="2:9">
      <c r="B1655">
        <v>1</v>
      </c>
      <c r="E1655" s="281" t="s">
        <v>1116</v>
      </c>
      <c r="F1655" s="281" t="s">
        <v>2136</v>
      </c>
      <c r="G1655" s="562">
        <f t="shared" si="54"/>
        <v>457.27</v>
      </c>
      <c r="H1655" s="562" t="e">
        <f t="shared" si="55"/>
        <v>#VALUE!</v>
      </c>
      <c r="I1655" s="276" t="e">
        <f t="shared" si="56"/>
        <v>#VALUE!</v>
      </c>
    </row>
    <row r="1656" spans="2:9">
      <c r="B1656">
        <v>1</v>
      </c>
      <c r="E1656" s="281" t="s">
        <v>1118</v>
      </c>
      <c r="F1656" s="281" t="s">
        <v>2137</v>
      </c>
      <c r="G1656" s="562">
        <f t="shared" si="54"/>
        <v>258.18</v>
      </c>
      <c r="H1656" s="562" t="e">
        <f t="shared" si="55"/>
        <v>#VALUE!</v>
      </c>
      <c r="I1656" s="276" t="e">
        <f t="shared" si="56"/>
        <v>#VALUE!</v>
      </c>
    </row>
    <row r="1657" spans="2:9">
      <c r="B1657">
        <v>1</v>
      </c>
      <c r="E1657" s="281" t="s">
        <v>1120</v>
      </c>
      <c r="F1657" s="281" t="s">
        <v>2138</v>
      </c>
      <c r="G1657" s="562">
        <f t="shared" si="54"/>
        <v>614.54999999999995</v>
      </c>
      <c r="H1657" s="562" t="e">
        <f t="shared" si="55"/>
        <v>#VALUE!</v>
      </c>
      <c r="I1657" s="276" t="e">
        <f t="shared" si="56"/>
        <v>#VALUE!</v>
      </c>
    </row>
    <row r="1658" spans="2:9">
      <c r="B1658">
        <v>1</v>
      </c>
      <c r="E1658" s="281" t="s">
        <v>1122</v>
      </c>
      <c r="F1658" s="281" t="s">
        <v>2139</v>
      </c>
      <c r="G1658" s="562">
        <f t="shared" si="54"/>
        <v>105049.54</v>
      </c>
      <c r="H1658" s="562" t="e">
        <f t="shared" si="55"/>
        <v>#VALUE!</v>
      </c>
      <c r="I1658" s="276" t="e">
        <f t="shared" si="56"/>
        <v>#VALUE!</v>
      </c>
    </row>
    <row r="1659" spans="2:9">
      <c r="B1659">
        <v>1</v>
      </c>
      <c r="E1659" s="281" t="s">
        <v>1124</v>
      </c>
      <c r="F1659" s="281" t="s">
        <v>2140</v>
      </c>
      <c r="G1659" s="562">
        <f t="shared" si="54"/>
        <v>40307.629999999997</v>
      </c>
      <c r="H1659" s="562" t="e">
        <f t="shared" si="55"/>
        <v>#VALUE!</v>
      </c>
      <c r="I1659" s="276" t="e">
        <f t="shared" si="56"/>
        <v>#VALUE!</v>
      </c>
    </row>
    <row r="1660" spans="2:9">
      <c r="B1660">
        <v>1</v>
      </c>
      <c r="E1660" s="281" t="s">
        <v>1126</v>
      </c>
      <c r="F1660" s="281" t="s">
        <v>2141</v>
      </c>
      <c r="G1660" s="562">
        <f t="shared" si="54"/>
        <v>51777.93</v>
      </c>
      <c r="H1660" s="562" t="e">
        <f t="shared" si="55"/>
        <v>#VALUE!</v>
      </c>
      <c r="I1660" s="276" t="e">
        <f t="shared" si="56"/>
        <v>#VALUE!</v>
      </c>
    </row>
    <row r="1661" spans="2:9">
      <c r="B1661">
        <v>1</v>
      </c>
      <c r="E1661" s="281" t="s">
        <v>1127</v>
      </c>
      <c r="F1661" s="281"/>
      <c r="G1661" s="562">
        <f t="shared" si="54"/>
        <v>0</v>
      </c>
      <c r="H1661" s="562" t="e">
        <f t="shared" si="55"/>
        <v>#VALUE!</v>
      </c>
      <c r="I1661" s="276" t="e">
        <f t="shared" si="56"/>
        <v>#VALUE!</v>
      </c>
    </row>
    <row r="1662" spans="2:9">
      <c r="B1662">
        <v>1</v>
      </c>
      <c r="E1662" s="281" t="s">
        <v>1130</v>
      </c>
      <c r="F1662" s="281" t="s">
        <v>2142</v>
      </c>
      <c r="G1662" s="562">
        <f t="shared" si="54"/>
        <v>25000</v>
      </c>
      <c r="H1662" s="562" t="e">
        <f t="shared" si="55"/>
        <v>#VALUE!</v>
      </c>
      <c r="I1662" s="276" t="e">
        <f t="shared" si="56"/>
        <v>#VALUE!</v>
      </c>
    </row>
    <row r="1663" spans="2:9">
      <c r="B1663">
        <v>1</v>
      </c>
      <c r="E1663" s="281" t="s">
        <v>1133</v>
      </c>
      <c r="F1663" s="281" t="s">
        <v>2143</v>
      </c>
      <c r="G1663" s="562">
        <f t="shared" si="54"/>
        <v>1990</v>
      </c>
      <c r="H1663" s="562" t="e">
        <f t="shared" si="55"/>
        <v>#VALUE!</v>
      </c>
      <c r="I1663" s="276" t="e">
        <f t="shared" si="56"/>
        <v>#VALUE!</v>
      </c>
    </row>
    <row r="1664" spans="2:9">
      <c r="B1664">
        <v>1</v>
      </c>
      <c r="E1664" s="281" t="s">
        <v>1136</v>
      </c>
      <c r="F1664" s="281" t="s">
        <v>2144</v>
      </c>
      <c r="G1664" s="562">
        <f t="shared" si="54"/>
        <v>170501.47</v>
      </c>
      <c r="H1664" s="562" t="e">
        <f t="shared" si="55"/>
        <v>#VALUE!</v>
      </c>
      <c r="I1664" s="276" t="e">
        <f t="shared" si="56"/>
        <v>#VALUE!</v>
      </c>
    </row>
    <row r="1665" spans="2:9">
      <c r="B1665">
        <v>1</v>
      </c>
      <c r="E1665" s="281" t="s">
        <v>1138</v>
      </c>
      <c r="F1665" s="281" t="s">
        <v>2145</v>
      </c>
      <c r="G1665" s="562">
        <f t="shared" si="54"/>
        <v>0</v>
      </c>
      <c r="H1665" s="562" t="e">
        <f t="shared" si="55"/>
        <v>#VALUE!</v>
      </c>
      <c r="I1665" s="276" t="e">
        <f t="shared" si="56"/>
        <v>#VALUE!</v>
      </c>
    </row>
    <row r="1666" spans="2:9">
      <c r="B1666">
        <v>1</v>
      </c>
      <c r="E1666" s="281" t="s">
        <v>1140</v>
      </c>
      <c r="F1666" s="281" t="s">
        <v>2146</v>
      </c>
      <c r="G1666" s="562">
        <f t="shared" si="54"/>
        <v>640000</v>
      </c>
      <c r="H1666" s="562" t="e">
        <f t="shared" si="55"/>
        <v>#VALUE!</v>
      </c>
      <c r="I1666" s="276" t="e">
        <f t="shared" si="56"/>
        <v>#VALUE!</v>
      </c>
    </row>
    <row r="1667" spans="2:9">
      <c r="B1667">
        <v>1</v>
      </c>
      <c r="E1667" s="281" t="s">
        <v>1141</v>
      </c>
      <c r="F1667" s="281" t="s">
        <v>2147</v>
      </c>
      <c r="G1667" s="562">
        <f t="shared" si="54"/>
        <v>0</v>
      </c>
      <c r="H1667" s="562" t="e">
        <f t="shared" si="55"/>
        <v>#VALUE!</v>
      </c>
      <c r="I1667" s="276" t="e">
        <f t="shared" si="56"/>
        <v>#VALUE!</v>
      </c>
    </row>
    <row r="1668" spans="2:9">
      <c r="B1668">
        <v>1</v>
      </c>
      <c r="E1668" s="281" t="s">
        <v>1142</v>
      </c>
      <c r="F1668" s="281" t="s">
        <v>2148</v>
      </c>
      <c r="G1668" s="562">
        <f t="shared" si="54"/>
        <v>0</v>
      </c>
      <c r="H1668" s="562" t="e">
        <f t="shared" si="55"/>
        <v>#VALUE!</v>
      </c>
      <c r="I1668" s="276" t="e">
        <f t="shared" si="56"/>
        <v>#VALUE!</v>
      </c>
    </row>
    <row r="1669" spans="2:9">
      <c r="B1669">
        <v>1</v>
      </c>
      <c r="E1669" s="281" t="s">
        <v>1143</v>
      </c>
      <c r="F1669" s="281" t="s">
        <v>2149</v>
      </c>
      <c r="G1669" s="562">
        <f t="shared" si="54"/>
        <v>0</v>
      </c>
      <c r="H1669" s="562" t="e">
        <f t="shared" si="55"/>
        <v>#VALUE!</v>
      </c>
      <c r="I1669" s="276" t="e">
        <f t="shared" si="56"/>
        <v>#VALUE!</v>
      </c>
    </row>
    <row r="1670" spans="2:9">
      <c r="B1670">
        <v>1</v>
      </c>
      <c r="E1670" s="281" t="s">
        <v>1144</v>
      </c>
      <c r="F1670" s="281"/>
      <c r="G1670" s="562">
        <f t="shared" si="54"/>
        <v>0</v>
      </c>
      <c r="H1670" s="562" t="e">
        <f t="shared" si="55"/>
        <v>#VALUE!</v>
      </c>
      <c r="I1670" s="276" t="e">
        <f t="shared" si="56"/>
        <v>#VALUE!</v>
      </c>
    </row>
    <row r="1671" spans="2:9">
      <c r="B1671">
        <v>1</v>
      </c>
      <c r="E1671" s="281" t="s">
        <v>1146</v>
      </c>
      <c r="F1671" s="281"/>
      <c r="G1671" s="562">
        <f t="shared" si="54"/>
        <v>0</v>
      </c>
      <c r="H1671" s="562" t="e">
        <f t="shared" si="55"/>
        <v>#VALUE!</v>
      </c>
      <c r="I1671" s="276" t="e">
        <f t="shared" si="56"/>
        <v>#VALUE!</v>
      </c>
    </row>
    <row r="1672" spans="2:9">
      <c r="B1672">
        <v>1</v>
      </c>
      <c r="E1672" s="281" t="s">
        <v>1147</v>
      </c>
      <c r="F1672" s="281" t="s">
        <v>2150</v>
      </c>
      <c r="G1672" s="562">
        <f t="shared" si="54"/>
        <v>80335.709999999992</v>
      </c>
      <c r="H1672" s="562" t="e">
        <f t="shared" si="55"/>
        <v>#VALUE!</v>
      </c>
      <c r="I1672" s="276" t="e">
        <f t="shared" si="56"/>
        <v>#VALUE!</v>
      </c>
    </row>
    <row r="1673" spans="2:9">
      <c r="B1673">
        <v>1</v>
      </c>
      <c r="E1673" s="281" t="s">
        <v>1148</v>
      </c>
      <c r="F1673" s="281"/>
      <c r="G1673" s="562">
        <f t="shared" si="54"/>
        <v>0</v>
      </c>
      <c r="H1673" s="562" t="e">
        <f t="shared" si="55"/>
        <v>#VALUE!</v>
      </c>
      <c r="I1673" s="276" t="e">
        <f t="shared" si="56"/>
        <v>#VALUE!</v>
      </c>
    </row>
    <row r="1674" spans="2:9">
      <c r="B1674">
        <v>1</v>
      </c>
      <c r="E1674" s="281" t="s">
        <v>1149</v>
      </c>
      <c r="F1674" s="281"/>
      <c r="G1674" s="562">
        <f t="shared" si="54"/>
        <v>0</v>
      </c>
      <c r="H1674" s="562" t="e">
        <f t="shared" si="55"/>
        <v>#VALUE!</v>
      </c>
      <c r="I1674" s="276" t="e">
        <f t="shared" si="56"/>
        <v>#VALUE!</v>
      </c>
    </row>
    <row r="1675" spans="2:9">
      <c r="B1675">
        <v>1</v>
      </c>
      <c r="E1675" s="281" t="s">
        <v>1151</v>
      </c>
      <c r="F1675" s="281"/>
      <c r="G1675" s="562">
        <f t="shared" si="54"/>
        <v>0</v>
      </c>
      <c r="H1675" s="562" t="e">
        <f t="shared" si="55"/>
        <v>#VALUE!</v>
      </c>
      <c r="I1675" s="276" t="e">
        <f t="shared" si="56"/>
        <v>#VALUE!</v>
      </c>
    </row>
    <row r="1676" spans="2:9">
      <c r="B1676">
        <v>1</v>
      </c>
      <c r="E1676" s="281" t="s">
        <v>1152</v>
      </c>
      <c r="F1676" s="281" t="s">
        <v>2151</v>
      </c>
      <c r="G1676" s="562">
        <f t="shared" si="54"/>
        <v>31356</v>
      </c>
      <c r="H1676" s="562" t="e">
        <f t="shared" si="55"/>
        <v>#VALUE!</v>
      </c>
      <c r="I1676" s="276" t="e">
        <f t="shared" si="56"/>
        <v>#VALUE!</v>
      </c>
    </row>
    <row r="1677" spans="2:9">
      <c r="B1677">
        <v>1</v>
      </c>
      <c r="E1677" s="281" t="s">
        <v>1153</v>
      </c>
      <c r="F1677" s="281"/>
      <c r="G1677" s="562">
        <f t="shared" si="54"/>
        <v>0</v>
      </c>
      <c r="H1677" s="562" t="e">
        <f t="shared" si="55"/>
        <v>#VALUE!</v>
      </c>
      <c r="I1677" s="276" t="e">
        <f t="shared" si="56"/>
        <v>#VALUE!</v>
      </c>
    </row>
    <row r="1678" spans="2:9">
      <c r="B1678">
        <v>1</v>
      </c>
      <c r="E1678" s="281" t="s">
        <v>1154</v>
      </c>
      <c r="F1678" s="281"/>
      <c r="G1678" s="562">
        <f t="shared" si="54"/>
        <v>0</v>
      </c>
      <c r="H1678" s="562" t="e">
        <f t="shared" si="55"/>
        <v>#VALUE!</v>
      </c>
      <c r="I1678" s="276" t="e">
        <f t="shared" si="56"/>
        <v>#VALUE!</v>
      </c>
    </row>
    <row r="1679" spans="2:9">
      <c r="B1679">
        <v>1</v>
      </c>
      <c r="E1679" s="281" t="s">
        <v>1155</v>
      </c>
      <c r="F1679" s="281"/>
      <c r="G1679" s="562">
        <f t="shared" si="54"/>
        <v>0</v>
      </c>
      <c r="H1679" s="562" t="e">
        <f t="shared" si="55"/>
        <v>#VALUE!</v>
      </c>
      <c r="I1679" s="276" t="e">
        <f t="shared" si="56"/>
        <v>#VALUE!</v>
      </c>
    </row>
    <row r="1680" spans="2:9">
      <c r="B1680">
        <v>1</v>
      </c>
      <c r="E1680" s="281" t="s">
        <v>1156</v>
      </c>
      <c r="F1680" s="281" t="s">
        <v>2152</v>
      </c>
      <c r="G1680" s="562">
        <f t="shared" si="54"/>
        <v>11500</v>
      </c>
      <c r="H1680" s="562" t="e">
        <f t="shared" si="55"/>
        <v>#VALUE!</v>
      </c>
      <c r="I1680" s="276" t="e">
        <f t="shared" si="56"/>
        <v>#VALUE!</v>
      </c>
    </row>
    <row r="1681" spans="2:9">
      <c r="B1681">
        <v>1</v>
      </c>
      <c r="E1681" s="281" t="s">
        <v>1159</v>
      </c>
      <c r="F1681" s="281" t="s">
        <v>2153</v>
      </c>
      <c r="G1681" s="562">
        <f t="shared" si="54"/>
        <v>666486.65999999992</v>
      </c>
      <c r="H1681" s="562" t="e">
        <f t="shared" si="55"/>
        <v>#VALUE!</v>
      </c>
      <c r="I1681" s="276" t="e">
        <f t="shared" si="56"/>
        <v>#VALUE!</v>
      </c>
    </row>
    <row r="1682" spans="2:9">
      <c r="B1682">
        <v>1</v>
      </c>
      <c r="E1682" s="281" t="s">
        <v>1160</v>
      </c>
      <c r="F1682" s="281" t="s">
        <v>2154</v>
      </c>
      <c r="G1682" s="562">
        <f t="shared" si="54"/>
        <v>92085.57</v>
      </c>
      <c r="H1682" s="562" t="e">
        <f t="shared" si="55"/>
        <v>#VALUE!</v>
      </c>
      <c r="I1682" s="276" t="e">
        <f t="shared" si="56"/>
        <v>#VALUE!</v>
      </c>
    </row>
    <row r="1683" spans="2:9">
      <c r="B1683">
        <v>1</v>
      </c>
      <c r="E1683" s="281" t="s">
        <v>1161</v>
      </c>
      <c r="F1683" s="281" t="s">
        <v>2155</v>
      </c>
      <c r="G1683" s="562">
        <f t="shared" si="54"/>
        <v>688368.09</v>
      </c>
      <c r="H1683" s="562" t="e">
        <f t="shared" si="55"/>
        <v>#VALUE!</v>
      </c>
      <c r="I1683" s="276" t="e">
        <f t="shared" si="56"/>
        <v>#VALUE!</v>
      </c>
    </row>
    <row r="1684" spans="2:9">
      <c r="B1684">
        <v>1</v>
      </c>
      <c r="E1684" s="281" t="s">
        <v>1162</v>
      </c>
      <c r="F1684" s="281" t="s">
        <v>2156</v>
      </c>
      <c r="G1684" s="562">
        <f t="shared" si="54"/>
        <v>92085.57</v>
      </c>
      <c r="H1684" s="562" t="e">
        <f t="shared" si="55"/>
        <v>#VALUE!</v>
      </c>
      <c r="I1684" s="276" t="e">
        <f t="shared" si="56"/>
        <v>#VALUE!</v>
      </c>
    </row>
    <row r="1685" spans="2:9">
      <c r="B1685">
        <v>1</v>
      </c>
      <c r="E1685" s="281" t="s">
        <v>1163</v>
      </c>
      <c r="F1685" s="281" t="s">
        <v>2157</v>
      </c>
      <c r="G1685" s="562">
        <f t="shared" si="54"/>
        <v>40307.629999999997</v>
      </c>
      <c r="H1685" s="562" t="e">
        <f t="shared" si="55"/>
        <v>#VALUE!</v>
      </c>
      <c r="I1685" s="276" t="e">
        <f t="shared" si="56"/>
        <v>#VALUE!</v>
      </c>
    </row>
    <row r="1686" spans="2:9">
      <c r="B1686">
        <v>1</v>
      </c>
      <c r="E1686" s="281" t="s">
        <v>1164</v>
      </c>
      <c r="F1686" s="281" t="s">
        <v>2158</v>
      </c>
      <c r="G1686" s="562">
        <f t="shared" si="54"/>
        <v>470812.07</v>
      </c>
      <c r="H1686" s="562" t="e">
        <f t="shared" si="55"/>
        <v>#VALUE!</v>
      </c>
      <c r="I1686" s="276" t="e">
        <f t="shared" si="56"/>
        <v>#VALUE!</v>
      </c>
    </row>
    <row r="1687" spans="2:9">
      <c r="B1687">
        <v>1</v>
      </c>
      <c r="E1687" s="281" t="s">
        <v>1167</v>
      </c>
      <c r="F1687" s="281" t="s">
        <v>2159</v>
      </c>
      <c r="G1687" s="562">
        <f t="shared" si="54"/>
        <v>40307.629999999997</v>
      </c>
      <c r="H1687" s="562" t="e">
        <f t="shared" si="55"/>
        <v>#VALUE!</v>
      </c>
      <c r="I1687" s="276" t="e">
        <f t="shared" si="56"/>
        <v>#VALUE!</v>
      </c>
    </row>
    <row r="1688" spans="2:9">
      <c r="B1688">
        <v>1</v>
      </c>
      <c r="E1688" s="281" t="s">
        <v>1168</v>
      </c>
      <c r="F1688" s="281" t="s">
        <v>2160</v>
      </c>
      <c r="G1688" s="562">
        <f t="shared" si="54"/>
        <v>13614.41</v>
      </c>
      <c r="H1688" s="562" t="e">
        <f t="shared" si="55"/>
        <v>#VALUE!</v>
      </c>
      <c r="I1688" s="276" t="e">
        <f t="shared" si="56"/>
        <v>#VALUE!</v>
      </c>
    </row>
    <row r="1689" spans="2:9">
      <c r="B1689">
        <v>1</v>
      </c>
      <c r="E1689" s="281" t="s">
        <v>1169</v>
      </c>
      <c r="F1689" s="281" t="s">
        <v>2161</v>
      </c>
      <c r="G1689" s="562">
        <f t="shared" si="54"/>
        <v>13614.41</v>
      </c>
      <c r="H1689" s="562" t="e">
        <f t="shared" si="55"/>
        <v>#VALUE!</v>
      </c>
      <c r="I1689" s="276" t="e">
        <f t="shared" si="56"/>
        <v>#VALUE!</v>
      </c>
    </row>
    <row r="1690" spans="2:9">
      <c r="B1690">
        <v>1</v>
      </c>
      <c r="E1690" s="281" t="s">
        <v>1171</v>
      </c>
      <c r="F1690" s="281" t="s">
        <v>2162</v>
      </c>
      <c r="G1690" s="562">
        <f t="shared" si="54"/>
        <v>13614.41</v>
      </c>
      <c r="H1690" s="562" t="e">
        <f t="shared" si="55"/>
        <v>#VALUE!</v>
      </c>
      <c r="I1690" s="276" t="e">
        <f t="shared" si="56"/>
        <v>#VALUE!</v>
      </c>
    </row>
    <row r="1691" spans="2:9">
      <c r="B1691">
        <v>1</v>
      </c>
      <c r="E1691" s="281" t="s">
        <v>1173</v>
      </c>
      <c r="F1691" s="281" t="s">
        <v>2163</v>
      </c>
      <c r="G1691" s="562">
        <f t="shared" si="54"/>
        <v>13614.41</v>
      </c>
      <c r="H1691" s="562" t="e">
        <f t="shared" si="55"/>
        <v>#VALUE!</v>
      </c>
      <c r="I1691" s="276" t="e">
        <f t="shared" si="56"/>
        <v>#VALUE!</v>
      </c>
    </row>
    <row r="1692" spans="2:9">
      <c r="B1692">
        <v>1</v>
      </c>
      <c r="E1692" s="281" t="s">
        <v>1175</v>
      </c>
      <c r="F1692" s="281" t="s">
        <v>2164</v>
      </c>
      <c r="G1692" s="562">
        <f t="shared" si="54"/>
        <v>13614.41</v>
      </c>
      <c r="H1692" s="562" t="e">
        <f t="shared" si="55"/>
        <v>#VALUE!</v>
      </c>
      <c r="I1692" s="276" t="e">
        <f t="shared" si="56"/>
        <v>#VALUE!</v>
      </c>
    </row>
    <row r="1693" spans="2:9">
      <c r="B1693">
        <v>1</v>
      </c>
      <c r="E1693" s="281" t="s">
        <v>1177</v>
      </c>
      <c r="F1693" s="281" t="s">
        <v>2165</v>
      </c>
      <c r="G1693" s="562">
        <f t="shared" si="54"/>
        <v>29300.399999999998</v>
      </c>
      <c r="H1693" s="562" t="e">
        <f t="shared" si="55"/>
        <v>#VALUE!</v>
      </c>
      <c r="I1693" s="276" t="e">
        <f t="shared" si="56"/>
        <v>#VALUE!</v>
      </c>
    </row>
    <row r="1694" spans="2:9">
      <c r="B1694">
        <v>1</v>
      </c>
      <c r="E1694" s="281" t="s">
        <v>1179</v>
      </c>
      <c r="F1694" s="281" t="s">
        <v>2166</v>
      </c>
      <c r="G1694" s="562">
        <f t="shared" si="54"/>
        <v>28839.81</v>
      </c>
      <c r="H1694" s="562" t="e">
        <f t="shared" si="55"/>
        <v>#VALUE!</v>
      </c>
      <c r="I1694" s="276" t="e">
        <f t="shared" si="56"/>
        <v>#VALUE!</v>
      </c>
    </row>
    <row r="1695" spans="2:9">
      <c r="B1695">
        <v>1</v>
      </c>
      <c r="E1695" s="281" t="s">
        <v>1182</v>
      </c>
      <c r="F1695" s="281" t="s">
        <v>2167</v>
      </c>
      <c r="G1695" s="562">
        <f t="shared" si="54"/>
        <v>18000</v>
      </c>
      <c r="H1695" s="562" t="e">
        <f t="shared" si="55"/>
        <v>#VALUE!</v>
      </c>
      <c r="I1695" s="276" t="e">
        <f t="shared" si="56"/>
        <v>#VALUE!</v>
      </c>
    </row>
    <row r="1696" spans="2:9">
      <c r="B1696">
        <v>1</v>
      </c>
      <c r="E1696" s="281" t="s">
        <v>1184</v>
      </c>
      <c r="F1696" s="281" t="s">
        <v>2168</v>
      </c>
      <c r="G1696" s="562">
        <f t="shared" si="54"/>
        <v>560</v>
      </c>
      <c r="H1696" s="562" t="e">
        <f t="shared" si="55"/>
        <v>#VALUE!</v>
      </c>
      <c r="I1696" s="276" t="e">
        <f t="shared" si="56"/>
        <v>#VALUE!</v>
      </c>
    </row>
    <row r="1697" spans="2:9">
      <c r="B1697">
        <v>1</v>
      </c>
      <c r="E1697" s="281" t="s">
        <v>1186</v>
      </c>
      <c r="F1697" s="281" t="s">
        <v>2169</v>
      </c>
      <c r="G1697" s="562">
        <f t="shared" si="54"/>
        <v>918.4</v>
      </c>
      <c r="H1697" s="562" t="e">
        <f t="shared" si="55"/>
        <v>#VALUE!</v>
      </c>
      <c r="I1697" s="276" t="e">
        <f t="shared" si="56"/>
        <v>#VALUE!</v>
      </c>
    </row>
    <row r="1698" spans="2:9">
      <c r="B1698">
        <v>1</v>
      </c>
      <c r="E1698" s="281" t="s">
        <v>1188</v>
      </c>
      <c r="F1698" s="281" t="s">
        <v>2170</v>
      </c>
      <c r="G1698" s="562">
        <f t="shared" ref="G1698:G1761" si="57">SUMIFS(J:J,C:C,E1698)</f>
        <v>14000</v>
      </c>
      <c r="H1698" s="562" t="e">
        <f t="shared" ref="H1698:H1761" si="58">SUMIFS(M:M,S:S,F1698)</f>
        <v>#VALUE!</v>
      </c>
      <c r="I1698" s="276" t="e">
        <f t="shared" ref="I1698:I1761" si="59">G1698-H1698</f>
        <v>#VALUE!</v>
      </c>
    </row>
    <row r="1699" spans="2:9">
      <c r="B1699">
        <v>1</v>
      </c>
      <c r="E1699" s="281" t="s">
        <v>1191</v>
      </c>
      <c r="F1699" s="281" t="s">
        <v>2171</v>
      </c>
      <c r="G1699" s="562">
        <f t="shared" si="57"/>
        <v>8774</v>
      </c>
      <c r="H1699" s="562" t="e">
        <f t="shared" si="58"/>
        <v>#VALUE!</v>
      </c>
      <c r="I1699" s="276" t="e">
        <f t="shared" si="59"/>
        <v>#VALUE!</v>
      </c>
    </row>
    <row r="1700" spans="2:9">
      <c r="B1700">
        <v>1</v>
      </c>
      <c r="E1700" s="281" t="s">
        <v>1194</v>
      </c>
      <c r="F1700" s="281" t="s">
        <v>2172</v>
      </c>
      <c r="G1700" s="562">
        <f t="shared" si="57"/>
        <v>2850</v>
      </c>
      <c r="H1700" s="562" t="e">
        <f t="shared" si="58"/>
        <v>#VALUE!</v>
      </c>
      <c r="I1700" s="276" t="e">
        <f t="shared" si="59"/>
        <v>#VALUE!</v>
      </c>
    </row>
    <row r="1701" spans="2:9">
      <c r="B1701">
        <v>1</v>
      </c>
      <c r="E1701" s="281" t="s">
        <v>1197</v>
      </c>
      <c r="F1701" s="281" t="s">
        <v>2173</v>
      </c>
      <c r="G1701" s="562">
        <f t="shared" si="57"/>
        <v>500</v>
      </c>
      <c r="H1701" s="562" t="e">
        <f t="shared" si="58"/>
        <v>#VALUE!</v>
      </c>
      <c r="I1701" s="276" t="e">
        <f t="shared" si="59"/>
        <v>#VALUE!</v>
      </c>
    </row>
    <row r="1702" spans="2:9">
      <c r="B1702">
        <v>1</v>
      </c>
      <c r="E1702" s="281" t="s">
        <v>1198</v>
      </c>
      <c r="F1702" s="281" t="s">
        <v>2174</v>
      </c>
      <c r="G1702" s="562">
        <f t="shared" si="57"/>
        <v>100000</v>
      </c>
      <c r="H1702" s="562" t="e">
        <f t="shared" si="58"/>
        <v>#VALUE!</v>
      </c>
      <c r="I1702" s="276" t="e">
        <f t="shared" si="59"/>
        <v>#VALUE!</v>
      </c>
    </row>
    <row r="1703" spans="2:9">
      <c r="B1703">
        <v>1</v>
      </c>
      <c r="E1703" s="281" t="s">
        <v>1199</v>
      </c>
      <c r="F1703" s="281"/>
      <c r="G1703" s="562">
        <f t="shared" si="57"/>
        <v>0</v>
      </c>
      <c r="H1703" s="562" t="e">
        <f t="shared" si="58"/>
        <v>#VALUE!</v>
      </c>
      <c r="I1703" s="276" t="e">
        <f t="shared" si="59"/>
        <v>#VALUE!</v>
      </c>
    </row>
    <row r="1704" spans="2:9">
      <c r="B1704">
        <v>1</v>
      </c>
      <c r="E1704" s="281" t="s">
        <v>1200</v>
      </c>
      <c r="F1704" s="281"/>
      <c r="G1704" s="562">
        <f t="shared" si="57"/>
        <v>0</v>
      </c>
      <c r="H1704" s="562" t="e">
        <f t="shared" si="58"/>
        <v>#VALUE!</v>
      </c>
      <c r="I1704" s="276" t="e">
        <f t="shared" si="59"/>
        <v>#VALUE!</v>
      </c>
    </row>
    <row r="1705" spans="2:9">
      <c r="B1705">
        <v>1</v>
      </c>
      <c r="E1705" s="281" t="s">
        <v>1201</v>
      </c>
      <c r="F1705" s="281" t="s">
        <v>2175</v>
      </c>
      <c r="G1705" s="562">
        <f t="shared" si="57"/>
        <v>135125</v>
      </c>
      <c r="H1705" s="562" t="e">
        <f t="shared" si="58"/>
        <v>#VALUE!</v>
      </c>
      <c r="I1705" s="276" t="e">
        <f t="shared" si="59"/>
        <v>#VALUE!</v>
      </c>
    </row>
    <row r="1706" spans="2:9">
      <c r="B1706">
        <v>1</v>
      </c>
      <c r="E1706" s="281" t="s">
        <v>1202</v>
      </c>
      <c r="F1706" s="281"/>
      <c r="G1706" s="562">
        <f t="shared" si="57"/>
        <v>0</v>
      </c>
      <c r="H1706" s="562" t="e">
        <f t="shared" si="58"/>
        <v>#VALUE!</v>
      </c>
      <c r="I1706" s="276" t="e">
        <f t="shared" si="59"/>
        <v>#VALUE!</v>
      </c>
    </row>
    <row r="1707" spans="2:9">
      <c r="B1707">
        <v>1</v>
      </c>
      <c r="E1707" s="281" t="s">
        <v>1203</v>
      </c>
      <c r="F1707" s="281" t="s">
        <v>2176</v>
      </c>
      <c r="G1707" s="562">
        <f t="shared" si="57"/>
        <v>0</v>
      </c>
      <c r="H1707" s="562" t="e">
        <f t="shared" si="58"/>
        <v>#VALUE!</v>
      </c>
      <c r="I1707" s="276" t="e">
        <f t="shared" si="59"/>
        <v>#VALUE!</v>
      </c>
    </row>
    <row r="1708" spans="2:9">
      <c r="B1708">
        <v>1</v>
      </c>
      <c r="E1708" s="281" t="s">
        <v>1204</v>
      </c>
      <c r="F1708" s="281"/>
      <c r="G1708" s="562">
        <f t="shared" si="57"/>
        <v>0</v>
      </c>
      <c r="H1708" s="562" t="e">
        <f t="shared" si="58"/>
        <v>#VALUE!</v>
      </c>
      <c r="I1708" s="276" t="e">
        <f t="shared" si="59"/>
        <v>#VALUE!</v>
      </c>
    </row>
    <row r="1709" spans="2:9">
      <c r="B1709">
        <v>1</v>
      </c>
      <c r="E1709" s="281" t="s">
        <v>1208</v>
      </c>
      <c r="F1709" s="281"/>
      <c r="G1709" s="562">
        <f t="shared" si="57"/>
        <v>0</v>
      </c>
      <c r="H1709" s="562" t="e">
        <f t="shared" si="58"/>
        <v>#VALUE!</v>
      </c>
      <c r="I1709" s="276" t="e">
        <f t="shared" si="59"/>
        <v>#VALUE!</v>
      </c>
    </row>
    <row r="1710" spans="2:9">
      <c r="B1710">
        <v>1</v>
      </c>
      <c r="E1710" s="281" t="s">
        <v>1209</v>
      </c>
      <c r="F1710" s="281"/>
      <c r="G1710" s="562">
        <f t="shared" si="57"/>
        <v>0</v>
      </c>
      <c r="H1710" s="562" t="e">
        <f t="shared" si="58"/>
        <v>#VALUE!</v>
      </c>
      <c r="I1710" s="276" t="e">
        <f t="shared" si="59"/>
        <v>#VALUE!</v>
      </c>
    </row>
    <row r="1711" spans="2:9">
      <c r="B1711">
        <v>1</v>
      </c>
      <c r="E1711" s="281" t="s">
        <v>1210</v>
      </c>
      <c r="F1711" s="281"/>
      <c r="G1711" s="562">
        <f t="shared" si="57"/>
        <v>0</v>
      </c>
      <c r="H1711" s="562" t="e">
        <f t="shared" si="58"/>
        <v>#VALUE!</v>
      </c>
      <c r="I1711" s="276" t="e">
        <f t="shared" si="59"/>
        <v>#VALUE!</v>
      </c>
    </row>
    <row r="1712" spans="2:9">
      <c r="B1712">
        <v>1</v>
      </c>
      <c r="E1712" s="281" t="s">
        <v>1211</v>
      </c>
      <c r="F1712" s="281"/>
      <c r="G1712" s="562">
        <f t="shared" si="57"/>
        <v>0</v>
      </c>
      <c r="H1712" s="562" t="e">
        <f t="shared" si="58"/>
        <v>#VALUE!</v>
      </c>
      <c r="I1712" s="276" t="e">
        <f t="shared" si="59"/>
        <v>#VALUE!</v>
      </c>
    </row>
    <row r="1713" spans="2:9">
      <c r="B1713">
        <v>1</v>
      </c>
      <c r="E1713" s="281" t="s">
        <v>1212</v>
      </c>
      <c r="F1713" s="281" t="s">
        <v>2177</v>
      </c>
      <c r="G1713" s="562">
        <f t="shared" si="57"/>
        <v>22320</v>
      </c>
      <c r="H1713" s="562" t="e">
        <f t="shared" si="58"/>
        <v>#VALUE!</v>
      </c>
      <c r="I1713" s="276" t="e">
        <f t="shared" si="59"/>
        <v>#VALUE!</v>
      </c>
    </row>
    <row r="1714" spans="2:9">
      <c r="B1714">
        <v>1</v>
      </c>
      <c r="E1714" s="281" t="s">
        <v>1222</v>
      </c>
      <c r="F1714" s="281" t="s">
        <v>2178</v>
      </c>
      <c r="G1714" s="562">
        <f t="shared" si="57"/>
        <v>144603.29</v>
      </c>
      <c r="H1714" s="562" t="e">
        <f t="shared" si="58"/>
        <v>#VALUE!</v>
      </c>
      <c r="I1714" s="276" t="e">
        <f t="shared" si="59"/>
        <v>#VALUE!</v>
      </c>
    </row>
    <row r="1715" spans="2:9">
      <c r="B1715">
        <v>1</v>
      </c>
      <c r="E1715" s="281" t="s">
        <v>1224</v>
      </c>
      <c r="F1715" s="281" t="s">
        <v>2179</v>
      </c>
      <c r="G1715" s="562">
        <f t="shared" si="57"/>
        <v>119889.07</v>
      </c>
      <c r="H1715" s="562" t="e">
        <f t="shared" si="58"/>
        <v>#VALUE!</v>
      </c>
      <c r="I1715" s="276" t="e">
        <f t="shared" si="59"/>
        <v>#VALUE!</v>
      </c>
    </row>
    <row r="1716" spans="2:9">
      <c r="B1716">
        <v>1</v>
      </c>
      <c r="E1716" s="281" t="s">
        <v>1226</v>
      </c>
      <c r="F1716" s="281" t="s">
        <v>2180</v>
      </c>
      <c r="G1716" s="562">
        <f t="shared" si="57"/>
        <v>83142.720000000001</v>
      </c>
      <c r="H1716" s="562" t="e">
        <f t="shared" si="58"/>
        <v>#VALUE!</v>
      </c>
      <c r="I1716" s="276" t="e">
        <f t="shared" si="59"/>
        <v>#VALUE!</v>
      </c>
    </row>
    <row r="1717" spans="2:9">
      <c r="B1717">
        <v>1</v>
      </c>
      <c r="E1717" s="281" t="s">
        <v>1228</v>
      </c>
      <c r="F1717" s="281" t="s">
        <v>2181</v>
      </c>
      <c r="G1717" s="562">
        <f t="shared" si="57"/>
        <v>106531.33</v>
      </c>
      <c r="H1717" s="562" t="e">
        <f t="shared" si="58"/>
        <v>#VALUE!</v>
      </c>
      <c r="I1717" s="276" t="e">
        <f t="shared" si="59"/>
        <v>#VALUE!</v>
      </c>
    </row>
    <row r="1718" spans="2:9">
      <c r="B1718">
        <v>1</v>
      </c>
      <c r="E1718" s="281" t="s">
        <v>1229</v>
      </c>
      <c r="F1718" s="281" t="s">
        <v>2182</v>
      </c>
      <c r="G1718" s="562">
        <f t="shared" si="57"/>
        <v>0</v>
      </c>
      <c r="H1718" s="562" t="e">
        <f t="shared" si="58"/>
        <v>#VALUE!</v>
      </c>
      <c r="I1718" s="276" t="e">
        <f t="shared" si="59"/>
        <v>#VALUE!</v>
      </c>
    </row>
    <row r="1719" spans="2:9">
      <c r="B1719">
        <v>1</v>
      </c>
      <c r="E1719" s="281" t="s">
        <v>1232</v>
      </c>
      <c r="F1719" s="281" t="s">
        <v>2183</v>
      </c>
      <c r="G1719" s="562">
        <f t="shared" si="57"/>
        <v>0</v>
      </c>
      <c r="H1719" s="562" t="e">
        <f t="shared" si="58"/>
        <v>#VALUE!</v>
      </c>
      <c r="I1719" s="276" t="e">
        <f t="shared" si="59"/>
        <v>#VALUE!</v>
      </c>
    </row>
    <row r="1720" spans="2:9">
      <c r="B1720">
        <v>1</v>
      </c>
      <c r="E1720" s="281" t="s">
        <v>1234</v>
      </c>
      <c r="F1720" s="281" t="s">
        <v>2184</v>
      </c>
      <c r="G1720" s="562">
        <f t="shared" si="57"/>
        <v>10000</v>
      </c>
      <c r="H1720" s="562" t="e">
        <f t="shared" si="58"/>
        <v>#VALUE!</v>
      </c>
      <c r="I1720" s="276" t="e">
        <f t="shared" si="59"/>
        <v>#VALUE!</v>
      </c>
    </row>
    <row r="1721" spans="2:9">
      <c r="B1721">
        <v>1</v>
      </c>
      <c r="E1721" s="281" t="s">
        <v>1237</v>
      </c>
      <c r="F1721" s="281" t="s">
        <v>2185</v>
      </c>
      <c r="G1721" s="562">
        <f t="shared" si="57"/>
        <v>10790</v>
      </c>
      <c r="H1721" s="562" t="e">
        <f t="shared" si="58"/>
        <v>#VALUE!</v>
      </c>
      <c r="I1721" s="276" t="e">
        <f t="shared" si="59"/>
        <v>#VALUE!</v>
      </c>
    </row>
    <row r="1722" spans="2:9">
      <c r="B1722">
        <v>1</v>
      </c>
      <c r="E1722" s="281" t="s">
        <v>1238</v>
      </c>
      <c r="F1722" s="281" t="s">
        <v>2186</v>
      </c>
      <c r="G1722" s="562">
        <f t="shared" si="57"/>
        <v>12352.18</v>
      </c>
      <c r="H1722" s="562" t="e">
        <f t="shared" si="58"/>
        <v>#VALUE!</v>
      </c>
      <c r="I1722" s="276" t="e">
        <f t="shared" si="59"/>
        <v>#VALUE!</v>
      </c>
    </row>
    <row r="1723" spans="2:9">
      <c r="B1723">
        <v>1</v>
      </c>
      <c r="E1723" s="281" t="s">
        <v>1239</v>
      </c>
      <c r="F1723" s="281" t="s">
        <v>2187</v>
      </c>
      <c r="G1723" s="562">
        <f t="shared" si="57"/>
        <v>23474</v>
      </c>
      <c r="H1723" s="562" t="e">
        <f t="shared" si="58"/>
        <v>#VALUE!</v>
      </c>
      <c r="I1723" s="276" t="e">
        <f t="shared" si="59"/>
        <v>#VALUE!</v>
      </c>
    </row>
    <row r="1724" spans="2:9">
      <c r="B1724">
        <v>1</v>
      </c>
      <c r="E1724" s="281" t="s">
        <v>1240</v>
      </c>
      <c r="F1724" s="281" t="s">
        <v>2188</v>
      </c>
      <c r="G1724" s="562">
        <f t="shared" si="57"/>
        <v>27256.91</v>
      </c>
      <c r="H1724" s="562" t="e">
        <f t="shared" si="58"/>
        <v>#VALUE!</v>
      </c>
      <c r="I1724" s="276" t="e">
        <f t="shared" si="59"/>
        <v>#VALUE!</v>
      </c>
    </row>
    <row r="1725" spans="2:9">
      <c r="B1725">
        <v>1</v>
      </c>
      <c r="E1725" s="281" t="s">
        <v>1241</v>
      </c>
      <c r="F1725" s="281" t="s">
        <v>2189</v>
      </c>
      <c r="G1725" s="562">
        <f t="shared" si="57"/>
        <v>7321.62</v>
      </c>
      <c r="H1725" s="562" t="e">
        <f t="shared" si="58"/>
        <v>#VALUE!</v>
      </c>
      <c r="I1725" s="276" t="e">
        <f t="shared" si="59"/>
        <v>#VALUE!</v>
      </c>
    </row>
    <row r="1726" spans="2:9">
      <c r="B1726">
        <v>1</v>
      </c>
      <c r="E1726" s="281" t="s">
        <v>1244</v>
      </c>
      <c r="F1726" s="281"/>
      <c r="G1726" s="562">
        <f t="shared" si="57"/>
        <v>0</v>
      </c>
      <c r="H1726" s="562" t="e">
        <f t="shared" si="58"/>
        <v>#VALUE!</v>
      </c>
      <c r="I1726" s="276" t="e">
        <f t="shared" si="59"/>
        <v>#VALUE!</v>
      </c>
    </row>
    <row r="1727" spans="2:9">
      <c r="B1727">
        <v>1</v>
      </c>
      <c r="E1727" s="281" t="s">
        <v>1247</v>
      </c>
      <c r="F1727" s="281"/>
      <c r="G1727" s="562">
        <f t="shared" si="57"/>
        <v>0</v>
      </c>
      <c r="H1727" s="562" t="e">
        <f t="shared" si="58"/>
        <v>#VALUE!</v>
      </c>
      <c r="I1727" s="276" t="e">
        <f t="shared" si="59"/>
        <v>#VALUE!</v>
      </c>
    </row>
    <row r="1728" spans="2:9">
      <c r="B1728">
        <v>1</v>
      </c>
      <c r="E1728" s="281" t="s">
        <v>1249</v>
      </c>
      <c r="F1728" s="281"/>
      <c r="G1728" s="562">
        <f t="shared" si="57"/>
        <v>0.01</v>
      </c>
      <c r="H1728" s="562" t="e">
        <f t="shared" si="58"/>
        <v>#VALUE!</v>
      </c>
      <c r="I1728" s="276" t="e">
        <f t="shared" si="59"/>
        <v>#VALUE!</v>
      </c>
    </row>
    <row r="1729" spans="2:9">
      <c r="B1729">
        <v>1</v>
      </c>
      <c r="E1729" s="281" t="s">
        <v>1251</v>
      </c>
      <c r="F1729" s="281"/>
      <c r="G1729" s="562">
        <f t="shared" si="57"/>
        <v>0</v>
      </c>
      <c r="H1729" s="562" t="e">
        <f t="shared" si="58"/>
        <v>#VALUE!</v>
      </c>
      <c r="I1729" s="276" t="e">
        <f t="shared" si="59"/>
        <v>#VALUE!</v>
      </c>
    </row>
    <row r="1730" spans="2:9">
      <c r="B1730">
        <v>1</v>
      </c>
      <c r="E1730" s="281" t="s">
        <v>1253</v>
      </c>
      <c r="F1730" s="281"/>
      <c r="G1730" s="562">
        <f t="shared" si="57"/>
        <v>0</v>
      </c>
      <c r="H1730" s="562" t="e">
        <f t="shared" si="58"/>
        <v>#VALUE!</v>
      </c>
      <c r="I1730" s="276" t="e">
        <f t="shared" si="59"/>
        <v>#VALUE!</v>
      </c>
    </row>
    <row r="1731" spans="2:9">
      <c r="B1731">
        <v>1</v>
      </c>
      <c r="E1731" s="281" t="s">
        <v>1254</v>
      </c>
      <c r="F1731" s="281"/>
      <c r="G1731" s="562">
        <f t="shared" si="57"/>
        <v>0</v>
      </c>
      <c r="H1731" s="562" t="e">
        <f t="shared" si="58"/>
        <v>#VALUE!</v>
      </c>
      <c r="I1731" s="276" t="e">
        <f t="shared" si="59"/>
        <v>#VALUE!</v>
      </c>
    </row>
    <row r="1732" spans="2:9">
      <c r="B1732">
        <v>1</v>
      </c>
      <c r="E1732" s="281" t="s">
        <v>1255</v>
      </c>
      <c r="F1732" s="281"/>
      <c r="G1732" s="562">
        <f t="shared" si="57"/>
        <v>0</v>
      </c>
      <c r="H1732" s="562" t="e">
        <f t="shared" si="58"/>
        <v>#VALUE!</v>
      </c>
      <c r="I1732" s="276" t="e">
        <f t="shared" si="59"/>
        <v>#VALUE!</v>
      </c>
    </row>
    <row r="1733" spans="2:9">
      <c r="B1733">
        <v>1</v>
      </c>
      <c r="E1733" s="281" t="s">
        <v>1259</v>
      </c>
      <c r="F1733" s="281"/>
      <c r="G1733" s="562">
        <f t="shared" si="57"/>
        <v>0</v>
      </c>
      <c r="H1733" s="562" t="e">
        <f t="shared" si="58"/>
        <v>#VALUE!</v>
      </c>
      <c r="I1733" s="276" t="e">
        <f t="shared" si="59"/>
        <v>#VALUE!</v>
      </c>
    </row>
    <row r="1734" spans="2:9">
      <c r="B1734">
        <v>1</v>
      </c>
      <c r="E1734" s="281" t="s">
        <v>1261</v>
      </c>
      <c r="F1734" s="281"/>
      <c r="G1734" s="562">
        <f t="shared" si="57"/>
        <v>0</v>
      </c>
      <c r="H1734" s="562" t="e">
        <f t="shared" si="58"/>
        <v>#VALUE!</v>
      </c>
      <c r="I1734" s="276" t="e">
        <f t="shared" si="59"/>
        <v>#VALUE!</v>
      </c>
    </row>
    <row r="1735" spans="2:9">
      <c r="B1735">
        <v>1</v>
      </c>
      <c r="E1735" s="281" t="s">
        <v>1262</v>
      </c>
      <c r="F1735" s="281"/>
      <c r="G1735" s="562">
        <f t="shared" si="57"/>
        <v>0</v>
      </c>
      <c r="H1735" s="562" t="e">
        <f t="shared" si="58"/>
        <v>#VALUE!</v>
      </c>
      <c r="I1735" s="276" t="e">
        <f t="shared" si="59"/>
        <v>#VALUE!</v>
      </c>
    </row>
    <row r="1736" spans="2:9">
      <c r="B1736">
        <v>1</v>
      </c>
      <c r="E1736" s="281" t="s">
        <v>1268</v>
      </c>
      <c r="F1736" s="281" t="s">
        <v>2190</v>
      </c>
      <c r="G1736" s="562">
        <f t="shared" si="57"/>
        <v>83842.210000000006</v>
      </c>
      <c r="H1736" s="562" t="e">
        <f t="shared" si="58"/>
        <v>#VALUE!</v>
      </c>
      <c r="I1736" s="276" t="e">
        <f t="shared" si="59"/>
        <v>#VALUE!</v>
      </c>
    </row>
    <row r="1737" spans="2:9">
      <c r="B1737">
        <v>1</v>
      </c>
      <c r="E1737" s="281" t="s">
        <v>1269</v>
      </c>
      <c r="F1737" s="281" t="s">
        <v>2191</v>
      </c>
      <c r="G1737" s="562">
        <f t="shared" si="57"/>
        <v>83842.210000000006</v>
      </c>
      <c r="H1737" s="562" t="e">
        <f t="shared" si="58"/>
        <v>#VALUE!</v>
      </c>
      <c r="I1737" s="276" t="e">
        <f t="shared" si="59"/>
        <v>#VALUE!</v>
      </c>
    </row>
    <row r="1738" spans="2:9">
      <c r="B1738">
        <v>1</v>
      </c>
      <c r="E1738" s="281" t="s">
        <v>1270</v>
      </c>
      <c r="F1738" s="281" t="s">
        <v>2192</v>
      </c>
      <c r="G1738" s="562">
        <f t="shared" si="57"/>
        <v>29300.399999999998</v>
      </c>
      <c r="H1738" s="562" t="e">
        <f t="shared" si="58"/>
        <v>#VALUE!</v>
      </c>
      <c r="I1738" s="276" t="e">
        <f t="shared" si="59"/>
        <v>#VALUE!</v>
      </c>
    </row>
    <row r="1739" spans="2:9">
      <c r="B1739">
        <v>1</v>
      </c>
      <c r="E1739" s="281" t="s">
        <v>1271</v>
      </c>
      <c r="F1739" s="281" t="s">
        <v>2193</v>
      </c>
      <c r="G1739" s="562">
        <f t="shared" si="57"/>
        <v>9170</v>
      </c>
      <c r="H1739" s="562" t="e">
        <f t="shared" si="58"/>
        <v>#VALUE!</v>
      </c>
      <c r="I1739" s="276" t="e">
        <f t="shared" si="59"/>
        <v>#VALUE!</v>
      </c>
    </row>
    <row r="1740" spans="2:9">
      <c r="B1740">
        <v>1</v>
      </c>
      <c r="E1740" s="281" t="s">
        <v>1274</v>
      </c>
      <c r="F1740" s="281" t="s">
        <v>2194</v>
      </c>
      <c r="G1740" s="562">
        <f t="shared" si="57"/>
        <v>1200</v>
      </c>
      <c r="H1740" s="562" t="e">
        <f t="shared" si="58"/>
        <v>#VALUE!</v>
      </c>
      <c r="I1740" s="276" t="e">
        <f t="shared" si="59"/>
        <v>#VALUE!</v>
      </c>
    </row>
    <row r="1741" spans="2:9">
      <c r="B1741">
        <v>1</v>
      </c>
      <c r="E1741" s="281" t="s">
        <v>1277</v>
      </c>
      <c r="F1741" s="281" t="s">
        <v>2195</v>
      </c>
      <c r="G1741" s="562">
        <f t="shared" si="57"/>
        <v>2404.7800000000002</v>
      </c>
      <c r="H1741" s="562" t="e">
        <f t="shared" si="58"/>
        <v>#VALUE!</v>
      </c>
      <c r="I1741" s="276" t="e">
        <f t="shared" si="59"/>
        <v>#VALUE!</v>
      </c>
    </row>
    <row r="1742" spans="2:9">
      <c r="B1742">
        <v>1</v>
      </c>
      <c r="E1742" s="281" t="s">
        <v>1278</v>
      </c>
      <c r="F1742" s="281" t="s">
        <v>2196</v>
      </c>
      <c r="G1742" s="562">
        <f t="shared" si="57"/>
        <v>2800</v>
      </c>
      <c r="H1742" s="562" t="e">
        <f t="shared" si="58"/>
        <v>#VALUE!</v>
      </c>
      <c r="I1742" s="276" t="e">
        <f t="shared" si="59"/>
        <v>#VALUE!</v>
      </c>
    </row>
    <row r="1743" spans="2:9">
      <c r="B1743">
        <v>1</v>
      </c>
      <c r="E1743" s="281" t="s">
        <v>1279</v>
      </c>
      <c r="F1743" s="281" t="s">
        <v>2197</v>
      </c>
      <c r="G1743" s="562">
        <f t="shared" si="57"/>
        <v>29300.399999999998</v>
      </c>
      <c r="H1743" s="562" t="e">
        <f t="shared" si="58"/>
        <v>#VALUE!</v>
      </c>
      <c r="I1743" s="276" t="e">
        <f t="shared" si="59"/>
        <v>#VALUE!</v>
      </c>
    </row>
    <row r="1744" spans="2:9">
      <c r="B1744">
        <v>1</v>
      </c>
      <c r="E1744" s="281" t="s">
        <v>1280</v>
      </c>
      <c r="F1744" s="281" t="s">
        <v>2198</v>
      </c>
      <c r="G1744" s="562">
        <f t="shared" si="57"/>
        <v>29300.399999999998</v>
      </c>
      <c r="H1744" s="562" t="e">
        <f t="shared" si="58"/>
        <v>#VALUE!</v>
      </c>
      <c r="I1744" s="276" t="e">
        <f t="shared" si="59"/>
        <v>#VALUE!</v>
      </c>
    </row>
    <row r="1745" spans="2:9">
      <c r="B1745">
        <v>1</v>
      </c>
      <c r="E1745" s="281" t="s">
        <v>1281</v>
      </c>
      <c r="F1745" s="281" t="s">
        <v>2199</v>
      </c>
      <c r="G1745" s="562">
        <f t="shared" si="57"/>
        <v>11000</v>
      </c>
      <c r="H1745" s="562" t="e">
        <f t="shared" si="58"/>
        <v>#VALUE!</v>
      </c>
      <c r="I1745" s="276" t="e">
        <f t="shared" si="59"/>
        <v>#VALUE!</v>
      </c>
    </row>
    <row r="1746" spans="2:9">
      <c r="B1746">
        <v>1</v>
      </c>
      <c r="E1746" s="281" t="s">
        <v>1282</v>
      </c>
      <c r="F1746" s="281" t="s">
        <v>2200</v>
      </c>
      <c r="G1746" s="562">
        <f t="shared" si="57"/>
        <v>2500</v>
      </c>
      <c r="H1746" s="562" t="e">
        <f t="shared" si="58"/>
        <v>#VALUE!</v>
      </c>
      <c r="I1746" s="276" t="e">
        <f t="shared" si="59"/>
        <v>#VALUE!</v>
      </c>
    </row>
    <row r="1747" spans="2:9">
      <c r="B1747">
        <v>1</v>
      </c>
      <c r="E1747" s="281" t="s">
        <v>1284</v>
      </c>
      <c r="F1747" s="281" t="s">
        <v>2201</v>
      </c>
      <c r="G1747" s="562">
        <f t="shared" si="57"/>
        <v>4223.5</v>
      </c>
      <c r="H1747" s="562" t="e">
        <f t="shared" si="58"/>
        <v>#VALUE!</v>
      </c>
      <c r="I1747" s="276" t="e">
        <f t="shared" si="59"/>
        <v>#VALUE!</v>
      </c>
    </row>
    <row r="1748" spans="2:9">
      <c r="B1748">
        <v>1</v>
      </c>
      <c r="E1748" s="281" t="s">
        <v>1286</v>
      </c>
      <c r="F1748" s="281" t="s">
        <v>2202</v>
      </c>
      <c r="G1748" s="562">
        <f t="shared" si="57"/>
        <v>10000</v>
      </c>
      <c r="H1748" s="562" t="e">
        <f t="shared" si="58"/>
        <v>#VALUE!</v>
      </c>
      <c r="I1748" s="276" t="e">
        <f t="shared" si="59"/>
        <v>#VALUE!</v>
      </c>
    </row>
    <row r="1749" spans="2:9">
      <c r="B1749">
        <v>1</v>
      </c>
      <c r="E1749" s="281" t="s">
        <v>1287</v>
      </c>
      <c r="F1749" s="281" t="s">
        <v>2203</v>
      </c>
      <c r="G1749" s="562">
        <f t="shared" si="57"/>
        <v>27760</v>
      </c>
      <c r="H1749" s="562" t="e">
        <f t="shared" si="58"/>
        <v>#VALUE!</v>
      </c>
      <c r="I1749" s="276" t="e">
        <f t="shared" si="59"/>
        <v>#VALUE!</v>
      </c>
    </row>
    <row r="1750" spans="2:9">
      <c r="B1750">
        <v>1</v>
      </c>
      <c r="E1750" s="281" t="s">
        <v>1289</v>
      </c>
      <c r="F1750" s="281" t="s">
        <v>2204</v>
      </c>
      <c r="G1750" s="562">
        <f t="shared" si="57"/>
        <v>16332.5</v>
      </c>
      <c r="H1750" s="562" t="e">
        <f t="shared" si="58"/>
        <v>#VALUE!</v>
      </c>
      <c r="I1750" s="276" t="e">
        <f t="shared" si="59"/>
        <v>#VALUE!</v>
      </c>
    </row>
    <row r="1751" spans="2:9">
      <c r="B1751">
        <v>1</v>
      </c>
      <c r="E1751" s="281" t="s">
        <v>1292</v>
      </c>
      <c r="F1751" s="281" t="s">
        <v>2205</v>
      </c>
      <c r="G1751" s="562">
        <f t="shared" si="57"/>
        <v>22316</v>
      </c>
      <c r="H1751" s="562" t="e">
        <f t="shared" si="58"/>
        <v>#VALUE!</v>
      </c>
      <c r="I1751" s="276" t="e">
        <f t="shared" si="59"/>
        <v>#VALUE!</v>
      </c>
    </row>
    <row r="1752" spans="2:9">
      <c r="B1752">
        <v>1</v>
      </c>
      <c r="E1752" s="281" t="s">
        <v>1293</v>
      </c>
      <c r="F1752" s="281" t="s">
        <v>2206</v>
      </c>
      <c r="G1752" s="562">
        <f t="shared" si="57"/>
        <v>13034</v>
      </c>
      <c r="H1752" s="562" t="e">
        <f t="shared" si="58"/>
        <v>#VALUE!</v>
      </c>
      <c r="I1752" s="276" t="e">
        <f t="shared" si="59"/>
        <v>#VALUE!</v>
      </c>
    </row>
    <row r="1753" spans="2:9">
      <c r="B1753">
        <v>1</v>
      </c>
      <c r="E1753" s="281" t="s">
        <v>1294</v>
      </c>
      <c r="F1753" s="281" t="s">
        <v>2207</v>
      </c>
      <c r="G1753" s="562">
        <f t="shared" si="57"/>
        <v>150000</v>
      </c>
      <c r="H1753" s="562" t="e">
        <f t="shared" si="58"/>
        <v>#VALUE!</v>
      </c>
      <c r="I1753" s="276" t="e">
        <f t="shared" si="59"/>
        <v>#VALUE!</v>
      </c>
    </row>
    <row r="1754" spans="2:9">
      <c r="B1754">
        <v>1</v>
      </c>
      <c r="E1754" s="281" t="s">
        <v>1296</v>
      </c>
      <c r="F1754" s="281" t="s">
        <v>2208</v>
      </c>
      <c r="G1754" s="562">
        <f t="shared" si="57"/>
        <v>64106</v>
      </c>
      <c r="H1754" s="562" t="e">
        <f t="shared" si="58"/>
        <v>#VALUE!</v>
      </c>
      <c r="I1754" s="276" t="e">
        <f t="shared" si="59"/>
        <v>#VALUE!</v>
      </c>
    </row>
    <row r="1755" spans="2:9">
      <c r="B1755">
        <v>1</v>
      </c>
      <c r="E1755" s="281" t="s">
        <v>1299</v>
      </c>
      <c r="F1755" s="281" t="s">
        <v>2209</v>
      </c>
      <c r="G1755" s="562">
        <f t="shared" si="57"/>
        <v>16332.5</v>
      </c>
      <c r="H1755" s="562" t="e">
        <f t="shared" si="58"/>
        <v>#VALUE!</v>
      </c>
      <c r="I1755" s="276" t="e">
        <f t="shared" si="59"/>
        <v>#VALUE!</v>
      </c>
    </row>
    <row r="1756" spans="2:9">
      <c r="B1756">
        <v>1</v>
      </c>
      <c r="E1756" s="281" t="s">
        <v>1302</v>
      </c>
      <c r="F1756" s="281" t="s">
        <v>2210</v>
      </c>
      <c r="G1756" s="562">
        <f t="shared" si="57"/>
        <v>9900</v>
      </c>
      <c r="H1756" s="562" t="e">
        <f t="shared" si="58"/>
        <v>#VALUE!</v>
      </c>
      <c r="I1756" s="276" t="e">
        <f t="shared" si="59"/>
        <v>#VALUE!</v>
      </c>
    </row>
    <row r="1757" spans="2:9">
      <c r="B1757">
        <v>1</v>
      </c>
      <c r="E1757" s="281" t="s">
        <v>1305</v>
      </c>
      <c r="F1757" s="281" t="s">
        <v>2211</v>
      </c>
      <c r="G1757" s="562">
        <f t="shared" si="57"/>
        <v>6617.76</v>
      </c>
      <c r="H1757" s="562" t="e">
        <f t="shared" si="58"/>
        <v>#VALUE!</v>
      </c>
      <c r="I1757" s="276" t="e">
        <f t="shared" si="59"/>
        <v>#VALUE!</v>
      </c>
    </row>
    <row r="1758" spans="2:9">
      <c r="B1758">
        <v>1</v>
      </c>
      <c r="E1758" s="281" t="s">
        <v>1306</v>
      </c>
      <c r="F1758" s="281" t="s">
        <v>2212</v>
      </c>
      <c r="G1758" s="562">
        <f t="shared" si="57"/>
        <v>2179.06</v>
      </c>
      <c r="H1758" s="562" t="e">
        <f t="shared" si="58"/>
        <v>#VALUE!</v>
      </c>
      <c r="I1758" s="276" t="e">
        <f t="shared" si="59"/>
        <v>#VALUE!</v>
      </c>
    </row>
    <row r="1759" spans="2:9">
      <c r="B1759">
        <v>1</v>
      </c>
      <c r="E1759" s="281" t="s">
        <v>1310</v>
      </c>
      <c r="F1759" s="281" t="s">
        <v>2213</v>
      </c>
      <c r="G1759" s="562">
        <f t="shared" si="57"/>
        <v>3075</v>
      </c>
      <c r="H1759" s="562" t="e">
        <f t="shared" si="58"/>
        <v>#VALUE!</v>
      </c>
      <c r="I1759" s="276" t="e">
        <f t="shared" si="59"/>
        <v>#VALUE!</v>
      </c>
    </row>
    <row r="1760" spans="2:9">
      <c r="B1760">
        <v>1</v>
      </c>
      <c r="E1760" s="281" t="s">
        <v>1312</v>
      </c>
      <c r="F1760" s="281" t="s">
        <v>2214</v>
      </c>
      <c r="G1760" s="562">
        <f t="shared" si="57"/>
        <v>3048</v>
      </c>
      <c r="H1760" s="562" t="e">
        <f t="shared" si="58"/>
        <v>#VALUE!</v>
      </c>
      <c r="I1760" s="276" t="e">
        <f t="shared" si="59"/>
        <v>#VALUE!</v>
      </c>
    </row>
    <row r="1761" spans="2:9">
      <c r="B1761">
        <v>1</v>
      </c>
      <c r="E1761" s="281" t="s">
        <v>1314</v>
      </c>
      <c r="F1761" s="281"/>
      <c r="G1761" s="562">
        <f t="shared" si="57"/>
        <v>0</v>
      </c>
      <c r="H1761" s="562" t="e">
        <f t="shared" si="58"/>
        <v>#VALUE!</v>
      </c>
      <c r="I1761" s="276" t="e">
        <f t="shared" si="59"/>
        <v>#VALUE!</v>
      </c>
    </row>
    <row r="1762" spans="2:9">
      <c r="B1762">
        <v>1</v>
      </c>
      <c r="E1762" s="281" t="s">
        <v>1317</v>
      </c>
      <c r="F1762" s="281" t="s">
        <v>2215</v>
      </c>
      <c r="G1762" s="562">
        <f t="shared" ref="G1762:G1825" si="60">SUMIFS(J:J,C:C,E1762)</f>
        <v>1080</v>
      </c>
      <c r="H1762" s="562" t="e">
        <f t="shared" ref="H1762:H1825" si="61">SUMIFS(M:M,S:S,F1762)</f>
        <v>#VALUE!</v>
      </c>
      <c r="I1762" s="276" t="e">
        <f t="shared" ref="I1762:I1825" si="62">G1762-H1762</f>
        <v>#VALUE!</v>
      </c>
    </row>
    <row r="1763" spans="2:9">
      <c r="B1763">
        <v>1</v>
      </c>
      <c r="E1763" s="281" t="s">
        <v>1319</v>
      </c>
      <c r="F1763" s="281" t="s">
        <v>2216</v>
      </c>
      <c r="G1763" s="562">
        <f t="shared" si="60"/>
        <v>8800</v>
      </c>
      <c r="H1763" s="562" t="e">
        <f t="shared" si="61"/>
        <v>#VALUE!</v>
      </c>
      <c r="I1763" s="276" t="e">
        <f t="shared" si="62"/>
        <v>#VALUE!</v>
      </c>
    </row>
    <row r="1764" spans="2:9">
      <c r="B1764">
        <v>1</v>
      </c>
      <c r="E1764" s="281" t="s">
        <v>1321</v>
      </c>
      <c r="F1764" s="281" t="s">
        <v>2217</v>
      </c>
      <c r="G1764" s="562">
        <f t="shared" si="60"/>
        <v>29318.18</v>
      </c>
      <c r="H1764" s="562" t="e">
        <f t="shared" si="61"/>
        <v>#VALUE!</v>
      </c>
      <c r="I1764" s="276" t="e">
        <f t="shared" si="62"/>
        <v>#VALUE!</v>
      </c>
    </row>
    <row r="1765" spans="2:9">
      <c r="B1765">
        <v>1</v>
      </c>
      <c r="E1765" s="281" t="s">
        <v>1322</v>
      </c>
      <c r="F1765" s="281" t="s">
        <v>2218</v>
      </c>
      <c r="G1765" s="562">
        <f t="shared" si="60"/>
        <v>9565</v>
      </c>
      <c r="H1765" s="562" t="e">
        <f t="shared" si="61"/>
        <v>#VALUE!</v>
      </c>
      <c r="I1765" s="276" t="e">
        <f t="shared" si="62"/>
        <v>#VALUE!</v>
      </c>
    </row>
    <row r="1766" spans="2:9">
      <c r="B1766">
        <v>1</v>
      </c>
      <c r="E1766" s="281" t="s">
        <v>1324</v>
      </c>
      <c r="F1766" s="281" t="s">
        <v>2219</v>
      </c>
      <c r="G1766" s="562">
        <f t="shared" si="60"/>
        <v>1560</v>
      </c>
      <c r="H1766" s="562" t="e">
        <f t="shared" si="61"/>
        <v>#VALUE!</v>
      </c>
      <c r="I1766" s="276" t="e">
        <f t="shared" si="62"/>
        <v>#VALUE!</v>
      </c>
    </row>
    <row r="1767" spans="2:9">
      <c r="B1767">
        <v>1</v>
      </c>
      <c r="E1767" s="281" t="s">
        <v>1326</v>
      </c>
      <c r="F1767" s="281" t="s">
        <v>2220</v>
      </c>
      <c r="G1767" s="562">
        <f t="shared" si="60"/>
        <v>17820</v>
      </c>
      <c r="H1767" s="562" t="e">
        <f t="shared" si="61"/>
        <v>#VALUE!</v>
      </c>
      <c r="I1767" s="276" t="e">
        <f t="shared" si="62"/>
        <v>#VALUE!</v>
      </c>
    </row>
    <row r="1768" spans="2:9">
      <c r="B1768">
        <v>1</v>
      </c>
      <c r="E1768" s="281" t="s">
        <v>1328</v>
      </c>
      <c r="F1768" s="281" t="s">
        <v>2221</v>
      </c>
      <c r="G1768" s="562">
        <f t="shared" si="60"/>
        <v>11547.23</v>
      </c>
      <c r="H1768" s="562" t="e">
        <f t="shared" si="61"/>
        <v>#VALUE!</v>
      </c>
      <c r="I1768" s="276" t="e">
        <f t="shared" si="62"/>
        <v>#VALUE!</v>
      </c>
    </row>
    <row r="1769" spans="2:9">
      <c r="B1769">
        <v>1</v>
      </c>
      <c r="E1769" s="281" t="s">
        <v>1331</v>
      </c>
      <c r="F1769" s="281" t="s">
        <v>2222</v>
      </c>
      <c r="G1769" s="562">
        <f t="shared" si="60"/>
        <v>1840</v>
      </c>
      <c r="H1769" s="562" t="e">
        <f t="shared" si="61"/>
        <v>#VALUE!</v>
      </c>
      <c r="I1769" s="276" t="e">
        <f t="shared" si="62"/>
        <v>#VALUE!</v>
      </c>
    </row>
    <row r="1770" spans="2:9">
      <c r="B1770">
        <v>1</v>
      </c>
      <c r="E1770" s="281" t="s">
        <v>1333</v>
      </c>
      <c r="F1770" s="281" t="s">
        <v>2223</v>
      </c>
      <c r="G1770" s="562">
        <f t="shared" si="60"/>
        <v>17500</v>
      </c>
      <c r="H1770" s="562" t="e">
        <f t="shared" si="61"/>
        <v>#VALUE!</v>
      </c>
      <c r="I1770" s="276" t="e">
        <f t="shared" si="62"/>
        <v>#VALUE!</v>
      </c>
    </row>
    <row r="1771" spans="2:9">
      <c r="B1771">
        <v>1</v>
      </c>
      <c r="E1771" s="281" t="s">
        <v>1336</v>
      </c>
      <c r="F1771" s="281" t="s">
        <v>2224</v>
      </c>
      <c r="G1771" s="562">
        <f t="shared" si="60"/>
        <v>1800</v>
      </c>
      <c r="H1771" s="562" t="e">
        <f t="shared" si="61"/>
        <v>#VALUE!</v>
      </c>
      <c r="I1771" s="276" t="e">
        <f t="shared" si="62"/>
        <v>#VALUE!</v>
      </c>
    </row>
    <row r="1772" spans="2:9">
      <c r="B1772">
        <v>1</v>
      </c>
      <c r="E1772" s="281" t="s">
        <v>1338</v>
      </c>
      <c r="F1772" s="281" t="s">
        <v>2225</v>
      </c>
      <c r="G1772" s="562">
        <f t="shared" si="60"/>
        <v>20626.73</v>
      </c>
      <c r="H1772" s="562" t="e">
        <f t="shared" si="61"/>
        <v>#VALUE!</v>
      </c>
      <c r="I1772" s="276" t="e">
        <f t="shared" si="62"/>
        <v>#VALUE!</v>
      </c>
    </row>
    <row r="1773" spans="2:9">
      <c r="B1773">
        <v>1</v>
      </c>
      <c r="E1773" s="281" t="s">
        <v>1341</v>
      </c>
      <c r="F1773" s="281" t="s">
        <v>2226</v>
      </c>
      <c r="G1773" s="562">
        <f t="shared" si="60"/>
        <v>16308.47</v>
      </c>
      <c r="H1773" s="562" t="e">
        <f t="shared" si="61"/>
        <v>#VALUE!</v>
      </c>
      <c r="I1773" s="276" t="e">
        <f t="shared" si="62"/>
        <v>#VALUE!</v>
      </c>
    </row>
    <row r="1774" spans="2:9">
      <c r="B1774">
        <v>1</v>
      </c>
      <c r="E1774" s="281" t="s">
        <v>1343</v>
      </c>
      <c r="F1774" s="281" t="s">
        <v>2227</v>
      </c>
      <c r="G1774" s="562">
        <f t="shared" si="60"/>
        <v>7200</v>
      </c>
      <c r="H1774" s="562" t="e">
        <f t="shared" si="61"/>
        <v>#VALUE!</v>
      </c>
      <c r="I1774" s="276" t="e">
        <f t="shared" si="62"/>
        <v>#VALUE!</v>
      </c>
    </row>
    <row r="1775" spans="2:9">
      <c r="B1775">
        <v>1</v>
      </c>
      <c r="E1775" s="281" t="s">
        <v>1364</v>
      </c>
      <c r="F1775" s="281" t="s">
        <v>2228</v>
      </c>
      <c r="G1775" s="562">
        <f t="shared" si="60"/>
        <v>12900</v>
      </c>
      <c r="H1775" s="562" t="e">
        <f t="shared" si="61"/>
        <v>#VALUE!</v>
      </c>
      <c r="I1775" s="276" t="e">
        <f t="shared" si="62"/>
        <v>#VALUE!</v>
      </c>
    </row>
    <row r="1776" spans="2:9">
      <c r="B1776">
        <v>1</v>
      </c>
      <c r="E1776" s="281" t="s">
        <v>1365</v>
      </c>
      <c r="F1776" s="281" t="s">
        <v>2229</v>
      </c>
      <c r="G1776" s="562">
        <f t="shared" si="60"/>
        <v>4950</v>
      </c>
      <c r="H1776" s="562" t="e">
        <f t="shared" si="61"/>
        <v>#VALUE!</v>
      </c>
      <c r="I1776" s="276" t="e">
        <f t="shared" si="62"/>
        <v>#VALUE!</v>
      </c>
    </row>
    <row r="1777" spans="2:9">
      <c r="B1777">
        <v>1</v>
      </c>
      <c r="E1777" s="281" t="s">
        <v>1367</v>
      </c>
      <c r="F1777" s="281" t="s">
        <v>2230</v>
      </c>
      <c r="G1777" s="562">
        <f t="shared" si="60"/>
        <v>7830</v>
      </c>
      <c r="H1777" s="562" t="e">
        <f t="shared" si="61"/>
        <v>#VALUE!</v>
      </c>
      <c r="I1777" s="276" t="e">
        <f t="shared" si="62"/>
        <v>#VALUE!</v>
      </c>
    </row>
    <row r="1778" spans="2:9">
      <c r="B1778">
        <v>1</v>
      </c>
      <c r="E1778" s="281" t="s">
        <v>1368</v>
      </c>
      <c r="F1778" s="281" t="s">
        <v>2231</v>
      </c>
      <c r="G1778" s="562">
        <f t="shared" si="60"/>
        <v>27000</v>
      </c>
      <c r="H1778" s="562" t="e">
        <f t="shared" si="61"/>
        <v>#VALUE!</v>
      </c>
      <c r="I1778" s="276" t="e">
        <f t="shared" si="62"/>
        <v>#VALUE!</v>
      </c>
    </row>
    <row r="1779" spans="2:9">
      <c r="B1779">
        <v>1</v>
      </c>
      <c r="E1779" s="281" t="s">
        <v>1370</v>
      </c>
      <c r="F1779" s="281" t="s">
        <v>2232</v>
      </c>
      <c r="G1779" s="562">
        <f t="shared" si="60"/>
        <v>3400</v>
      </c>
      <c r="H1779" s="562" t="e">
        <f t="shared" si="61"/>
        <v>#VALUE!</v>
      </c>
      <c r="I1779" s="276" t="e">
        <f t="shared" si="62"/>
        <v>#VALUE!</v>
      </c>
    </row>
    <row r="1780" spans="2:9">
      <c r="B1780">
        <v>1</v>
      </c>
      <c r="E1780" s="281" t="s">
        <v>1371</v>
      </c>
      <c r="F1780" s="281" t="s">
        <v>2233</v>
      </c>
      <c r="G1780" s="562">
        <f t="shared" si="60"/>
        <v>1800</v>
      </c>
      <c r="H1780" s="562" t="e">
        <f t="shared" si="61"/>
        <v>#VALUE!</v>
      </c>
      <c r="I1780" s="276" t="e">
        <f t="shared" si="62"/>
        <v>#VALUE!</v>
      </c>
    </row>
    <row r="1781" spans="2:9">
      <c r="B1781">
        <v>1</v>
      </c>
      <c r="E1781" s="281" t="s">
        <v>1372</v>
      </c>
      <c r="F1781" s="281" t="s">
        <v>2234</v>
      </c>
      <c r="G1781" s="562">
        <f t="shared" si="60"/>
        <v>39600</v>
      </c>
      <c r="H1781" s="562" t="e">
        <f t="shared" si="61"/>
        <v>#VALUE!</v>
      </c>
      <c r="I1781" s="276" t="e">
        <f t="shared" si="62"/>
        <v>#VALUE!</v>
      </c>
    </row>
    <row r="1782" spans="2:9">
      <c r="B1782">
        <v>1</v>
      </c>
      <c r="E1782" s="281" t="s">
        <v>1373</v>
      </c>
      <c r="F1782" s="281" t="s">
        <v>2235</v>
      </c>
      <c r="G1782" s="562">
        <f t="shared" si="60"/>
        <v>5600</v>
      </c>
      <c r="H1782" s="562" t="e">
        <f t="shared" si="61"/>
        <v>#VALUE!</v>
      </c>
      <c r="I1782" s="276" t="e">
        <f t="shared" si="62"/>
        <v>#VALUE!</v>
      </c>
    </row>
    <row r="1783" spans="2:9">
      <c r="B1783">
        <v>1</v>
      </c>
      <c r="E1783" s="281" t="s">
        <v>1374</v>
      </c>
      <c r="F1783" s="281" t="s">
        <v>2236</v>
      </c>
      <c r="G1783" s="562">
        <f t="shared" si="60"/>
        <v>4032</v>
      </c>
      <c r="H1783" s="562" t="e">
        <f t="shared" si="61"/>
        <v>#VALUE!</v>
      </c>
      <c r="I1783" s="276" t="e">
        <f t="shared" si="62"/>
        <v>#VALUE!</v>
      </c>
    </row>
    <row r="1784" spans="2:9">
      <c r="B1784">
        <v>1</v>
      </c>
      <c r="E1784" s="281" t="s">
        <v>1375</v>
      </c>
      <c r="F1784" s="281" t="s">
        <v>2237</v>
      </c>
      <c r="G1784" s="562">
        <f t="shared" si="60"/>
        <v>22882.230000000003</v>
      </c>
      <c r="H1784" s="562" t="e">
        <f t="shared" si="61"/>
        <v>#VALUE!</v>
      </c>
      <c r="I1784" s="276" t="e">
        <f t="shared" si="62"/>
        <v>#VALUE!</v>
      </c>
    </row>
    <row r="1785" spans="2:9">
      <c r="B1785">
        <v>1</v>
      </c>
      <c r="E1785" s="281" t="s">
        <v>1376</v>
      </c>
      <c r="F1785" s="281" t="s">
        <v>2238</v>
      </c>
      <c r="G1785" s="562">
        <f t="shared" si="60"/>
        <v>2275</v>
      </c>
      <c r="H1785" s="562" t="e">
        <f t="shared" si="61"/>
        <v>#VALUE!</v>
      </c>
      <c r="I1785" s="276" t="e">
        <f t="shared" si="62"/>
        <v>#VALUE!</v>
      </c>
    </row>
    <row r="1786" spans="2:9">
      <c r="B1786">
        <v>1</v>
      </c>
      <c r="E1786" s="281" t="s">
        <v>1377</v>
      </c>
      <c r="F1786" s="281" t="s">
        <v>2239</v>
      </c>
      <c r="G1786" s="562">
        <f t="shared" si="60"/>
        <v>6323</v>
      </c>
      <c r="H1786" s="562" t="e">
        <f t="shared" si="61"/>
        <v>#VALUE!</v>
      </c>
      <c r="I1786" s="276" t="e">
        <f t="shared" si="62"/>
        <v>#VALUE!</v>
      </c>
    </row>
    <row r="1787" spans="2:9">
      <c r="B1787">
        <v>1</v>
      </c>
      <c r="E1787" s="281" t="s">
        <v>1378</v>
      </c>
      <c r="F1787" s="281" t="s">
        <v>2240</v>
      </c>
      <c r="G1787" s="562">
        <f t="shared" si="60"/>
        <v>1242</v>
      </c>
      <c r="H1787" s="562" t="e">
        <f t="shared" si="61"/>
        <v>#VALUE!</v>
      </c>
      <c r="I1787" s="276" t="e">
        <f t="shared" si="62"/>
        <v>#VALUE!</v>
      </c>
    </row>
    <row r="1788" spans="2:9">
      <c r="B1788">
        <v>1</v>
      </c>
      <c r="E1788" s="281" t="s">
        <v>1379</v>
      </c>
      <c r="F1788" s="281" t="s">
        <v>2241</v>
      </c>
      <c r="G1788" s="562">
        <f t="shared" si="60"/>
        <v>170501.47</v>
      </c>
      <c r="H1788" s="562" t="e">
        <f t="shared" si="61"/>
        <v>#VALUE!</v>
      </c>
      <c r="I1788" s="276" t="e">
        <f t="shared" si="62"/>
        <v>#VALUE!</v>
      </c>
    </row>
    <row r="1789" spans="2:9">
      <c r="B1789">
        <v>1</v>
      </c>
      <c r="E1789" s="281" t="s">
        <v>1383</v>
      </c>
      <c r="F1789" s="281" t="s">
        <v>2242</v>
      </c>
      <c r="G1789" s="562">
        <f t="shared" si="60"/>
        <v>7635</v>
      </c>
      <c r="H1789" s="562" t="e">
        <f t="shared" si="61"/>
        <v>#VALUE!</v>
      </c>
      <c r="I1789" s="276" t="e">
        <f t="shared" si="62"/>
        <v>#VALUE!</v>
      </c>
    </row>
    <row r="1790" spans="2:9">
      <c r="B1790">
        <v>1</v>
      </c>
      <c r="E1790" s="281" t="s">
        <v>1385</v>
      </c>
      <c r="F1790" s="281" t="s">
        <v>2243</v>
      </c>
      <c r="G1790" s="562">
        <f t="shared" si="60"/>
        <v>429402.37</v>
      </c>
      <c r="H1790" s="562" t="e">
        <f t="shared" si="61"/>
        <v>#VALUE!</v>
      </c>
      <c r="I1790" s="276" t="e">
        <f t="shared" si="62"/>
        <v>#VALUE!</v>
      </c>
    </row>
    <row r="1791" spans="2:9">
      <c r="B1791">
        <v>1</v>
      </c>
      <c r="E1791" s="281" t="s">
        <v>1386</v>
      </c>
      <c r="F1791" s="281" t="s">
        <v>2244</v>
      </c>
      <c r="G1791" s="562">
        <f t="shared" si="60"/>
        <v>688368.09</v>
      </c>
      <c r="H1791" s="562" t="e">
        <f t="shared" si="61"/>
        <v>#VALUE!</v>
      </c>
      <c r="I1791" s="276" t="e">
        <f t="shared" si="62"/>
        <v>#VALUE!</v>
      </c>
    </row>
    <row r="1792" spans="2:9">
      <c r="B1792">
        <v>1</v>
      </c>
      <c r="E1792" s="281" t="s">
        <v>1387</v>
      </c>
      <c r="F1792" s="281" t="s">
        <v>2245</v>
      </c>
      <c r="G1792" s="562">
        <f t="shared" si="60"/>
        <v>389716.8</v>
      </c>
      <c r="H1792" s="562" t="e">
        <f t="shared" si="61"/>
        <v>#VALUE!</v>
      </c>
      <c r="I1792" s="276" t="e">
        <f t="shared" si="62"/>
        <v>#VALUE!</v>
      </c>
    </row>
    <row r="1793" spans="2:9">
      <c r="B1793">
        <v>1</v>
      </c>
      <c r="E1793" s="281" t="s">
        <v>1388</v>
      </c>
      <c r="F1793" s="281" t="s">
        <v>2246</v>
      </c>
      <c r="G1793" s="562">
        <f t="shared" si="60"/>
        <v>40307.629999999997</v>
      </c>
      <c r="H1793" s="562" t="e">
        <f t="shared" si="61"/>
        <v>#VALUE!</v>
      </c>
      <c r="I1793" s="276" t="e">
        <f t="shared" si="62"/>
        <v>#VALUE!</v>
      </c>
    </row>
    <row r="1794" spans="2:9">
      <c r="B1794">
        <v>1</v>
      </c>
      <c r="E1794" s="281" t="s">
        <v>1389</v>
      </c>
      <c r="F1794" s="281" t="s">
        <v>2247</v>
      </c>
      <c r="G1794" s="562">
        <f t="shared" si="60"/>
        <v>51777.94</v>
      </c>
      <c r="H1794" s="562" t="e">
        <f t="shared" si="61"/>
        <v>#VALUE!</v>
      </c>
      <c r="I1794" s="276" t="e">
        <f t="shared" si="62"/>
        <v>#VALUE!</v>
      </c>
    </row>
    <row r="1795" spans="2:9">
      <c r="B1795">
        <v>1</v>
      </c>
      <c r="E1795" s="281" t="s">
        <v>1391</v>
      </c>
      <c r="F1795" s="281"/>
      <c r="G1795" s="562">
        <f t="shared" si="60"/>
        <v>92085.57</v>
      </c>
      <c r="H1795" s="562" t="e">
        <f t="shared" si="61"/>
        <v>#VALUE!</v>
      </c>
      <c r="I1795" s="276" t="e">
        <f t="shared" si="62"/>
        <v>#VALUE!</v>
      </c>
    </row>
    <row r="1796" spans="2:9">
      <c r="B1796">
        <v>1</v>
      </c>
      <c r="E1796" s="281" t="s">
        <v>1392</v>
      </c>
      <c r="F1796" s="281" t="s">
        <v>2248</v>
      </c>
      <c r="G1796" s="562">
        <f t="shared" si="60"/>
        <v>40307.629999999997</v>
      </c>
      <c r="H1796" s="562" t="e">
        <f t="shared" si="61"/>
        <v>#VALUE!</v>
      </c>
      <c r="I1796" s="276" t="e">
        <f t="shared" si="62"/>
        <v>#VALUE!</v>
      </c>
    </row>
    <row r="1797" spans="2:9">
      <c r="B1797">
        <v>1</v>
      </c>
      <c r="E1797" s="281" t="s">
        <v>1393</v>
      </c>
      <c r="F1797" s="281" t="s">
        <v>2249</v>
      </c>
      <c r="G1797" s="562">
        <f t="shared" si="60"/>
        <v>29300.399999999998</v>
      </c>
      <c r="H1797" s="562" t="e">
        <f t="shared" si="61"/>
        <v>#VALUE!</v>
      </c>
      <c r="I1797" s="276" t="e">
        <f t="shared" si="62"/>
        <v>#VALUE!</v>
      </c>
    </row>
    <row r="1798" spans="2:9">
      <c r="B1798">
        <v>1</v>
      </c>
      <c r="E1798" s="281" t="s">
        <v>1395</v>
      </c>
      <c r="F1798" s="281" t="s">
        <v>2250</v>
      </c>
      <c r="G1798" s="562">
        <f t="shared" si="60"/>
        <v>29300.399999999998</v>
      </c>
      <c r="H1798" s="562" t="e">
        <f t="shared" si="61"/>
        <v>#VALUE!</v>
      </c>
      <c r="I1798" s="276" t="e">
        <f t="shared" si="62"/>
        <v>#VALUE!</v>
      </c>
    </row>
    <row r="1799" spans="2:9">
      <c r="B1799">
        <v>1</v>
      </c>
      <c r="E1799" s="281" t="s">
        <v>1396</v>
      </c>
      <c r="F1799" s="281" t="s">
        <v>2251</v>
      </c>
      <c r="G1799" s="562">
        <f t="shared" si="60"/>
        <v>29300.399999999998</v>
      </c>
      <c r="H1799" s="562" t="e">
        <f t="shared" si="61"/>
        <v>#VALUE!</v>
      </c>
      <c r="I1799" s="276" t="e">
        <f t="shared" si="62"/>
        <v>#VALUE!</v>
      </c>
    </row>
    <row r="1800" spans="2:9">
      <c r="B1800">
        <v>1</v>
      </c>
      <c r="E1800" s="281" t="s">
        <v>1397</v>
      </c>
      <c r="F1800" s="281" t="s">
        <v>2252</v>
      </c>
      <c r="G1800" s="562">
        <f t="shared" si="60"/>
        <v>29300.399999999998</v>
      </c>
      <c r="H1800" s="562" t="e">
        <f t="shared" si="61"/>
        <v>#VALUE!</v>
      </c>
      <c r="I1800" s="276" t="e">
        <f t="shared" si="62"/>
        <v>#VALUE!</v>
      </c>
    </row>
    <row r="1801" spans="2:9">
      <c r="B1801">
        <v>1</v>
      </c>
      <c r="E1801" s="281" t="s">
        <v>1398</v>
      </c>
      <c r="F1801" s="281" t="s">
        <v>2253</v>
      </c>
      <c r="G1801" s="562">
        <f t="shared" si="60"/>
        <v>29300.399999999998</v>
      </c>
      <c r="H1801" s="562" t="e">
        <f t="shared" si="61"/>
        <v>#VALUE!</v>
      </c>
      <c r="I1801" s="276" t="e">
        <f t="shared" si="62"/>
        <v>#VALUE!</v>
      </c>
    </row>
    <row r="1802" spans="2:9">
      <c r="B1802">
        <v>1</v>
      </c>
      <c r="E1802" s="281" t="s">
        <v>1400</v>
      </c>
      <c r="F1802" s="281" t="s">
        <v>2254</v>
      </c>
      <c r="G1802" s="562">
        <f t="shared" si="60"/>
        <v>29300.399999999998</v>
      </c>
      <c r="H1802" s="562" t="e">
        <f t="shared" si="61"/>
        <v>#VALUE!</v>
      </c>
      <c r="I1802" s="276" t="e">
        <f t="shared" si="62"/>
        <v>#VALUE!</v>
      </c>
    </row>
    <row r="1803" spans="2:9">
      <c r="B1803">
        <v>1</v>
      </c>
      <c r="E1803" s="281" t="s">
        <v>1401</v>
      </c>
      <c r="F1803" s="281" t="s">
        <v>2255</v>
      </c>
      <c r="G1803" s="562">
        <f t="shared" si="60"/>
        <v>2049964.0999999999</v>
      </c>
      <c r="H1803" s="562" t="e">
        <f t="shared" si="61"/>
        <v>#VALUE!</v>
      </c>
      <c r="I1803" s="276" t="e">
        <f t="shared" si="62"/>
        <v>#VALUE!</v>
      </c>
    </row>
    <row r="1804" spans="2:9">
      <c r="B1804">
        <v>1</v>
      </c>
      <c r="E1804" s="281" t="s">
        <v>1402</v>
      </c>
      <c r="F1804" s="281" t="s">
        <v>2256</v>
      </c>
      <c r="G1804" s="562">
        <f t="shared" si="60"/>
        <v>470812.07</v>
      </c>
      <c r="H1804" s="562" t="e">
        <f t="shared" si="61"/>
        <v>#VALUE!</v>
      </c>
      <c r="I1804" s="276" t="e">
        <f t="shared" si="62"/>
        <v>#VALUE!</v>
      </c>
    </row>
    <row r="1805" spans="2:9">
      <c r="B1805">
        <v>1</v>
      </c>
      <c r="E1805" s="281" t="s">
        <v>1403</v>
      </c>
      <c r="F1805" s="281" t="s">
        <v>2257</v>
      </c>
      <c r="G1805" s="562">
        <f t="shared" si="60"/>
        <v>40307.629999999997</v>
      </c>
      <c r="H1805" s="562" t="e">
        <f t="shared" si="61"/>
        <v>#VALUE!</v>
      </c>
      <c r="I1805" s="276" t="e">
        <f t="shared" si="62"/>
        <v>#VALUE!</v>
      </c>
    </row>
    <row r="1806" spans="2:9">
      <c r="B1806">
        <v>1</v>
      </c>
      <c r="E1806" s="281" t="s">
        <v>1405</v>
      </c>
      <c r="F1806" s="281" t="s">
        <v>2258</v>
      </c>
      <c r="G1806" s="562">
        <f t="shared" si="60"/>
        <v>29300.399999999998</v>
      </c>
      <c r="H1806" s="562" t="e">
        <f t="shared" si="61"/>
        <v>#VALUE!</v>
      </c>
      <c r="I1806" s="276" t="e">
        <f t="shared" si="62"/>
        <v>#VALUE!</v>
      </c>
    </row>
    <row r="1807" spans="2:9">
      <c r="B1807">
        <v>1</v>
      </c>
      <c r="E1807" s="281" t="s">
        <v>1407</v>
      </c>
      <c r="F1807" s="281" t="s">
        <v>2259</v>
      </c>
      <c r="G1807" s="562">
        <f t="shared" si="60"/>
        <v>2016</v>
      </c>
      <c r="H1807" s="562" t="e">
        <f t="shared" si="61"/>
        <v>#VALUE!</v>
      </c>
      <c r="I1807" s="276" t="e">
        <f t="shared" si="62"/>
        <v>#VALUE!</v>
      </c>
    </row>
    <row r="1808" spans="2:9">
      <c r="B1808">
        <v>1</v>
      </c>
      <c r="E1808" s="281" t="s">
        <v>1409</v>
      </c>
      <c r="F1808" s="281" t="s">
        <v>2260</v>
      </c>
      <c r="G1808" s="562">
        <f t="shared" si="60"/>
        <v>1344</v>
      </c>
      <c r="H1808" s="562" t="e">
        <f t="shared" si="61"/>
        <v>#VALUE!</v>
      </c>
      <c r="I1808" s="276" t="e">
        <f t="shared" si="62"/>
        <v>#VALUE!</v>
      </c>
    </row>
    <row r="1809" spans="2:9">
      <c r="B1809">
        <v>1</v>
      </c>
      <c r="E1809" s="281" t="s">
        <v>1410</v>
      </c>
      <c r="F1809" s="281" t="s">
        <v>2261</v>
      </c>
      <c r="G1809" s="562">
        <f t="shared" si="60"/>
        <v>1651.12</v>
      </c>
      <c r="H1809" s="562" t="e">
        <f t="shared" si="61"/>
        <v>#VALUE!</v>
      </c>
      <c r="I1809" s="276" t="e">
        <f t="shared" si="62"/>
        <v>#VALUE!</v>
      </c>
    </row>
    <row r="1810" spans="2:9">
      <c r="B1810">
        <v>1</v>
      </c>
      <c r="E1810" s="281" t="s">
        <v>1412</v>
      </c>
      <c r="F1810" s="281" t="s">
        <v>2262</v>
      </c>
      <c r="G1810" s="562">
        <f t="shared" si="60"/>
        <v>29300.399999999998</v>
      </c>
      <c r="H1810" s="562" t="e">
        <f t="shared" si="61"/>
        <v>#VALUE!</v>
      </c>
      <c r="I1810" s="276" t="e">
        <f t="shared" si="62"/>
        <v>#VALUE!</v>
      </c>
    </row>
    <row r="1811" spans="2:9">
      <c r="B1811">
        <v>1</v>
      </c>
      <c r="E1811" s="281" t="s">
        <v>1413</v>
      </c>
      <c r="F1811" s="281" t="s">
        <v>2263</v>
      </c>
      <c r="G1811" s="562">
        <f t="shared" si="60"/>
        <v>92085.57</v>
      </c>
      <c r="H1811" s="562" t="e">
        <f t="shared" si="61"/>
        <v>#VALUE!</v>
      </c>
      <c r="I1811" s="276" t="e">
        <f t="shared" si="62"/>
        <v>#VALUE!</v>
      </c>
    </row>
    <row r="1812" spans="2:9">
      <c r="B1812">
        <v>1</v>
      </c>
      <c r="E1812" s="281" t="s">
        <v>1414</v>
      </c>
      <c r="F1812" s="281" t="s">
        <v>2264</v>
      </c>
      <c r="G1812" s="562">
        <f t="shared" si="60"/>
        <v>666486.65999999992</v>
      </c>
      <c r="H1812" s="562" t="e">
        <f t="shared" si="61"/>
        <v>#VALUE!</v>
      </c>
      <c r="I1812" s="276" t="e">
        <f t="shared" si="62"/>
        <v>#VALUE!</v>
      </c>
    </row>
    <row r="1813" spans="2:9">
      <c r="B1813">
        <v>1</v>
      </c>
      <c r="E1813" s="281" t="s">
        <v>1415</v>
      </c>
      <c r="F1813" s="281" t="s">
        <v>2265</v>
      </c>
      <c r="G1813" s="562">
        <f t="shared" si="60"/>
        <v>0</v>
      </c>
      <c r="H1813" s="562" t="e">
        <f t="shared" si="61"/>
        <v>#VALUE!</v>
      </c>
      <c r="I1813" s="276" t="e">
        <f t="shared" si="62"/>
        <v>#VALUE!</v>
      </c>
    </row>
    <row r="1814" spans="2:9">
      <c r="B1814">
        <v>1</v>
      </c>
      <c r="E1814" s="281" t="s">
        <v>1417</v>
      </c>
      <c r="F1814" s="281" t="s">
        <v>2266</v>
      </c>
      <c r="G1814" s="562">
        <f t="shared" si="60"/>
        <v>22000</v>
      </c>
      <c r="H1814" s="562" t="e">
        <f t="shared" si="61"/>
        <v>#VALUE!</v>
      </c>
      <c r="I1814" s="276" t="e">
        <f t="shared" si="62"/>
        <v>#VALUE!</v>
      </c>
    </row>
    <row r="1815" spans="2:9">
      <c r="B1815">
        <v>1</v>
      </c>
      <c r="E1815" s="281" t="s">
        <v>1420</v>
      </c>
      <c r="F1815" s="281" t="s">
        <v>2267</v>
      </c>
      <c r="G1815" s="562">
        <f t="shared" si="60"/>
        <v>14000</v>
      </c>
      <c r="H1815" s="562" t="e">
        <f t="shared" si="61"/>
        <v>#VALUE!</v>
      </c>
      <c r="I1815" s="276" t="e">
        <f t="shared" si="62"/>
        <v>#VALUE!</v>
      </c>
    </row>
    <row r="1816" spans="2:9">
      <c r="B1816">
        <v>1</v>
      </c>
      <c r="E1816" s="281" t="s">
        <v>1422</v>
      </c>
      <c r="F1816" s="281" t="s">
        <v>2268</v>
      </c>
      <c r="G1816" s="562">
        <f t="shared" si="60"/>
        <v>7873</v>
      </c>
      <c r="H1816" s="562" t="e">
        <f t="shared" si="61"/>
        <v>#VALUE!</v>
      </c>
      <c r="I1816" s="276" t="e">
        <f t="shared" si="62"/>
        <v>#VALUE!</v>
      </c>
    </row>
    <row r="1817" spans="2:9">
      <c r="B1817">
        <v>1</v>
      </c>
      <c r="E1817" s="281" t="s">
        <v>1424</v>
      </c>
      <c r="F1817" s="281" t="s">
        <v>2269</v>
      </c>
      <c r="G1817" s="562">
        <f t="shared" si="60"/>
        <v>640000</v>
      </c>
      <c r="H1817" s="562" t="e">
        <f t="shared" si="61"/>
        <v>#VALUE!</v>
      </c>
      <c r="I1817" s="276" t="e">
        <f t="shared" si="62"/>
        <v>#VALUE!</v>
      </c>
    </row>
    <row r="1818" spans="2:9">
      <c r="B1818">
        <v>1</v>
      </c>
      <c r="E1818" s="281" t="s">
        <v>1425</v>
      </c>
      <c r="F1818" s="281" t="s">
        <v>2270</v>
      </c>
      <c r="G1818" s="562">
        <f t="shared" si="60"/>
        <v>160000</v>
      </c>
      <c r="H1818" s="562" t="e">
        <f t="shared" si="61"/>
        <v>#VALUE!</v>
      </c>
      <c r="I1818" s="276" t="e">
        <f t="shared" si="62"/>
        <v>#VALUE!</v>
      </c>
    </row>
    <row r="1819" spans="2:9">
      <c r="B1819">
        <v>1</v>
      </c>
      <c r="E1819" s="281" t="s">
        <v>1426</v>
      </c>
      <c r="F1819" s="281" t="s">
        <v>2271</v>
      </c>
      <c r="G1819" s="562">
        <f t="shared" si="60"/>
        <v>119634</v>
      </c>
      <c r="H1819" s="562" t="e">
        <f t="shared" si="61"/>
        <v>#VALUE!</v>
      </c>
      <c r="I1819" s="276" t="e">
        <f t="shared" si="62"/>
        <v>#VALUE!</v>
      </c>
    </row>
    <row r="1820" spans="2:9">
      <c r="B1820">
        <v>1</v>
      </c>
      <c r="E1820" s="281" t="s">
        <v>1427</v>
      </c>
      <c r="F1820" s="281" t="s">
        <v>2272</v>
      </c>
      <c r="G1820" s="562">
        <f t="shared" si="60"/>
        <v>94707.14</v>
      </c>
      <c r="H1820" s="562" t="e">
        <f t="shared" si="61"/>
        <v>#VALUE!</v>
      </c>
      <c r="I1820" s="276" t="e">
        <f t="shared" si="62"/>
        <v>#VALUE!</v>
      </c>
    </row>
    <row r="1821" spans="2:9">
      <c r="B1821">
        <v>1</v>
      </c>
      <c r="E1821" s="281" t="s">
        <v>1428</v>
      </c>
      <c r="F1821" s="281" t="s">
        <v>2273</v>
      </c>
      <c r="G1821" s="562">
        <f t="shared" si="60"/>
        <v>11000</v>
      </c>
      <c r="H1821" s="562" t="e">
        <f t="shared" si="61"/>
        <v>#VALUE!</v>
      </c>
      <c r="I1821" s="276" t="e">
        <f t="shared" si="62"/>
        <v>#VALUE!</v>
      </c>
    </row>
    <row r="1822" spans="2:9">
      <c r="B1822">
        <v>1</v>
      </c>
      <c r="E1822" s="281" t="s">
        <v>1430</v>
      </c>
      <c r="F1822" s="281" t="s">
        <v>2274</v>
      </c>
      <c r="G1822" s="562">
        <f t="shared" si="60"/>
        <v>3760</v>
      </c>
      <c r="H1822" s="562" t="e">
        <f t="shared" si="61"/>
        <v>#VALUE!</v>
      </c>
      <c r="I1822" s="276" t="e">
        <f t="shared" si="62"/>
        <v>#VALUE!</v>
      </c>
    </row>
    <row r="1823" spans="2:9">
      <c r="B1823">
        <v>1</v>
      </c>
      <c r="E1823" s="281" t="s">
        <v>1432</v>
      </c>
      <c r="F1823" s="281" t="s">
        <v>2275</v>
      </c>
      <c r="G1823" s="562">
        <f t="shared" si="60"/>
        <v>800</v>
      </c>
      <c r="H1823" s="562" t="e">
        <f t="shared" si="61"/>
        <v>#VALUE!</v>
      </c>
      <c r="I1823" s="276" t="e">
        <f t="shared" si="62"/>
        <v>#VALUE!</v>
      </c>
    </row>
    <row r="1824" spans="2:9">
      <c r="B1824">
        <v>1</v>
      </c>
      <c r="E1824" s="281" t="s">
        <v>1435</v>
      </c>
      <c r="F1824" s="281" t="s">
        <v>2276</v>
      </c>
      <c r="G1824" s="562">
        <f t="shared" si="60"/>
        <v>30000</v>
      </c>
      <c r="H1824" s="562" t="e">
        <f t="shared" si="61"/>
        <v>#VALUE!</v>
      </c>
      <c r="I1824" s="276" t="e">
        <f t="shared" si="62"/>
        <v>#VALUE!</v>
      </c>
    </row>
    <row r="1825" spans="2:9">
      <c r="B1825">
        <v>1</v>
      </c>
      <c r="E1825" s="281" t="s">
        <v>1438</v>
      </c>
      <c r="F1825" s="281" t="s">
        <v>2277</v>
      </c>
      <c r="G1825" s="562">
        <f t="shared" si="60"/>
        <v>216000</v>
      </c>
      <c r="H1825" s="562" t="e">
        <f t="shared" si="61"/>
        <v>#VALUE!</v>
      </c>
      <c r="I1825" s="276" t="e">
        <f t="shared" si="62"/>
        <v>#VALUE!</v>
      </c>
    </row>
    <row r="1826" spans="2:9">
      <c r="B1826">
        <v>1</v>
      </c>
      <c r="E1826" s="281" t="s">
        <v>1440</v>
      </c>
      <c r="F1826" s="281" t="s">
        <v>2278</v>
      </c>
      <c r="G1826" s="562">
        <f t="shared" ref="G1826:G1889" si="63">SUMIFS(J:J,C:C,E1826)</f>
        <v>60000</v>
      </c>
      <c r="H1826" s="562" t="e">
        <f t="shared" ref="H1826:H1889" si="64">SUMIFS(M:M,S:S,F1826)</f>
        <v>#VALUE!</v>
      </c>
      <c r="I1826" s="276" t="e">
        <f t="shared" ref="I1826:I1889" si="65">G1826-H1826</f>
        <v>#VALUE!</v>
      </c>
    </row>
    <row r="1827" spans="2:9">
      <c r="B1827">
        <v>1</v>
      </c>
      <c r="E1827" s="281" t="s">
        <v>1441</v>
      </c>
      <c r="F1827" s="281" t="s">
        <v>2279</v>
      </c>
      <c r="G1827" s="562">
        <f t="shared" si="63"/>
        <v>60000</v>
      </c>
      <c r="H1827" s="562" t="e">
        <f t="shared" si="64"/>
        <v>#VALUE!</v>
      </c>
      <c r="I1827" s="276" t="e">
        <f t="shared" si="65"/>
        <v>#VALUE!</v>
      </c>
    </row>
    <row r="1828" spans="2:9">
      <c r="B1828">
        <v>1</v>
      </c>
      <c r="E1828" s="281" t="s">
        <v>1442</v>
      </c>
      <c r="F1828" s="281" t="s">
        <v>2280</v>
      </c>
      <c r="G1828" s="562">
        <f t="shared" si="63"/>
        <v>66000</v>
      </c>
      <c r="H1828" s="562" t="e">
        <f t="shared" si="64"/>
        <v>#VALUE!</v>
      </c>
      <c r="I1828" s="276" t="e">
        <f t="shared" si="65"/>
        <v>#VALUE!</v>
      </c>
    </row>
    <row r="1829" spans="2:9">
      <c r="B1829">
        <v>1</v>
      </c>
      <c r="E1829" s="281" t="s">
        <v>1443</v>
      </c>
      <c r="F1829" s="281" t="s">
        <v>2281</v>
      </c>
      <c r="G1829" s="562">
        <f t="shared" si="63"/>
        <v>72000</v>
      </c>
      <c r="H1829" s="562" t="e">
        <f t="shared" si="64"/>
        <v>#VALUE!</v>
      </c>
      <c r="I1829" s="276" t="e">
        <f t="shared" si="65"/>
        <v>#VALUE!</v>
      </c>
    </row>
    <row r="1830" spans="2:9">
      <c r="B1830">
        <v>1</v>
      </c>
      <c r="E1830" s="281" t="s">
        <v>1444</v>
      </c>
      <c r="F1830" s="281" t="s">
        <v>2282</v>
      </c>
      <c r="G1830" s="562">
        <f t="shared" si="63"/>
        <v>48000</v>
      </c>
      <c r="H1830" s="562" t="e">
        <f t="shared" si="64"/>
        <v>#VALUE!</v>
      </c>
      <c r="I1830" s="276" t="e">
        <f t="shared" si="65"/>
        <v>#VALUE!</v>
      </c>
    </row>
    <row r="1831" spans="2:9">
      <c r="B1831">
        <v>1</v>
      </c>
      <c r="E1831" s="281" t="s">
        <v>1445</v>
      </c>
      <c r="F1831" s="281" t="s">
        <v>2283</v>
      </c>
      <c r="G1831" s="562">
        <f t="shared" si="63"/>
        <v>3500</v>
      </c>
      <c r="H1831" s="562" t="e">
        <f t="shared" si="64"/>
        <v>#VALUE!</v>
      </c>
      <c r="I1831" s="276" t="e">
        <f t="shared" si="65"/>
        <v>#VALUE!</v>
      </c>
    </row>
    <row r="1832" spans="2:9">
      <c r="B1832">
        <v>1</v>
      </c>
      <c r="E1832" s="281" t="s">
        <v>1448</v>
      </c>
      <c r="F1832" s="281" t="s">
        <v>2284</v>
      </c>
      <c r="G1832" s="562">
        <f t="shared" si="63"/>
        <v>976560</v>
      </c>
      <c r="H1832" s="562" t="e">
        <f t="shared" si="64"/>
        <v>#VALUE!</v>
      </c>
      <c r="I1832" s="276" t="e">
        <f t="shared" si="65"/>
        <v>#VALUE!</v>
      </c>
    </row>
    <row r="1833" spans="2:9">
      <c r="B1833">
        <v>1</v>
      </c>
      <c r="E1833" s="281" t="s">
        <v>1451</v>
      </c>
      <c r="F1833" s="281" t="s">
        <v>2285</v>
      </c>
      <c r="G1833" s="562">
        <f t="shared" si="63"/>
        <v>2000</v>
      </c>
      <c r="H1833" s="562" t="e">
        <f t="shared" si="64"/>
        <v>#VALUE!</v>
      </c>
      <c r="I1833" s="276" t="e">
        <f t="shared" si="65"/>
        <v>#VALUE!</v>
      </c>
    </row>
    <row r="1834" spans="2:9">
      <c r="B1834">
        <v>1</v>
      </c>
      <c r="E1834" s="281" t="s">
        <v>1453</v>
      </c>
      <c r="F1834" s="281" t="s">
        <v>2286</v>
      </c>
      <c r="G1834" s="562">
        <f t="shared" si="63"/>
        <v>70905.22</v>
      </c>
      <c r="H1834" s="562" t="e">
        <f t="shared" si="64"/>
        <v>#VALUE!</v>
      </c>
      <c r="I1834" s="276" t="e">
        <f t="shared" si="65"/>
        <v>#VALUE!</v>
      </c>
    </row>
    <row r="1835" spans="2:9">
      <c r="B1835">
        <v>1</v>
      </c>
      <c r="E1835" s="281" t="s">
        <v>1455</v>
      </c>
      <c r="F1835" s="281" t="s">
        <v>2287</v>
      </c>
      <c r="G1835" s="562">
        <f t="shared" si="63"/>
        <v>82098.38</v>
      </c>
      <c r="H1835" s="562" t="e">
        <f t="shared" si="64"/>
        <v>#VALUE!</v>
      </c>
      <c r="I1835" s="276" t="e">
        <f t="shared" si="65"/>
        <v>#VALUE!</v>
      </c>
    </row>
    <row r="1836" spans="2:9">
      <c r="B1836">
        <v>1</v>
      </c>
      <c r="E1836" s="281" t="s">
        <v>1457</v>
      </c>
      <c r="F1836" s="281" t="s">
        <v>2288</v>
      </c>
      <c r="G1836" s="562">
        <f t="shared" si="63"/>
        <v>9600</v>
      </c>
      <c r="H1836" s="562" t="e">
        <f t="shared" si="64"/>
        <v>#VALUE!</v>
      </c>
      <c r="I1836" s="276" t="e">
        <f t="shared" si="65"/>
        <v>#VALUE!</v>
      </c>
    </row>
    <row r="1837" spans="2:9">
      <c r="B1837">
        <v>1</v>
      </c>
      <c r="E1837" s="281" t="s">
        <v>1459</v>
      </c>
      <c r="F1837" s="281" t="s">
        <v>2289</v>
      </c>
      <c r="G1837" s="562">
        <f t="shared" si="63"/>
        <v>10000</v>
      </c>
      <c r="H1837" s="562" t="e">
        <f t="shared" si="64"/>
        <v>#VALUE!</v>
      </c>
      <c r="I1837" s="276" t="e">
        <f t="shared" si="65"/>
        <v>#VALUE!</v>
      </c>
    </row>
    <row r="1838" spans="2:9">
      <c r="B1838">
        <v>1</v>
      </c>
      <c r="E1838" s="281" t="s">
        <v>1461</v>
      </c>
      <c r="F1838" s="281" t="s">
        <v>2290</v>
      </c>
      <c r="G1838" s="562">
        <f t="shared" si="63"/>
        <v>10000</v>
      </c>
      <c r="H1838" s="562" t="e">
        <f t="shared" si="64"/>
        <v>#VALUE!</v>
      </c>
      <c r="I1838" s="276" t="e">
        <f t="shared" si="65"/>
        <v>#VALUE!</v>
      </c>
    </row>
    <row r="1839" spans="2:9">
      <c r="B1839">
        <v>1</v>
      </c>
      <c r="E1839" s="281" t="s">
        <v>1464</v>
      </c>
      <c r="F1839" s="281" t="s">
        <v>2291</v>
      </c>
      <c r="G1839" s="562">
        <f t="shared" si="63"/>
        <v>6320</v>
      </c>
      <c r="H1839" s="562" t="e">
        <f t="shared" si="64"/>
        <v>#VALUE!</v>
      </c>
      <c r="I1839" s="276" t="e">
        <f t="shared" si="65"/>
        <v>#VALUE!</v>
      </c>
    </row>
    <row r="1840" spans="2:9">
      <c r="B1840">
        <v>1</v>
      </c>
      <c r="E1840" s="281" t="s">
        <v>1466</v>
      </c>
      <c r="F1840" s="281" t="s">
        <v>2292</v>
      </c>
      <c r="G1840" s="562">
        <f t="shared" si="63"/>
        <v>2800</v>
      </c>
      <c r="H1840" s="562" t="e">
        <f t="shared" si="64"/>
        <v>#VALUE!</v>
      </c>
      <c r="I1840" s="276" t="e">
        <f t="shared" si="65"/>
        <v>#VALUE!</v>
      </c>
    </row>
    <row r="1841" spans="2:9">
      <c r="B1841">
        <v>1</v>
      </c>
      <c r="E1841" s="281" t="s">
        <v>1468</v>
      </c>
      <c r="F1841" s="281" t="s">
        <v>2293</v>
      </c>
      <c r="G1841" s="562">
        <f t="shared" si="63"/>
        <v>5390.81</v>
      </c>
      <c r="H1841" s="562" t="e">
        <f t="shared" si="64"/>
        <v>#VALUE!</v>
      </c>
      <c r="I1841" s="276" t="e">
        <f t="shared" si="65"/>
        <v>#VALUE!</v>
      </c>
    </row>
    <row r="1842" spans="2:9">
      <c r="B1842">
        <v>1</v>
      </c>
      <c r="E1842" s="281" t="s">
        <v>1469</v>
      </c>
      <c r="F1842" s="281" t="s">
        <v>2294</v>
      </c>
      <c r="G1842" s="562">
        <f t="shared" si="63"/>
        <v>13600</v>
      </c>
      <c r="H1842" s="562" t="e">
        <f t="shared" si="64"/>
        <v>#VALUE!</v>
      </c>
      <c r="I1842" s="276" t="e">
        <f t="shared" si="65"/>
        <v>#VALUE!</v>
      </c>
    </row>
    <row r="1843" spans="2:9">
      <c r="B1843">
        <v>1</v>
      </c>
      <c r="E1843" s="281" t="s">
        <v>1470</v>
      </c>
      <c r="F1843" s="281" t="s">
        <v>2295</v>
      </c>
      <c r="G1843" s="562">
        <f t="shared" si="63"/>
        <v>40369.5</v>
      </c>
      <c r="H1843" s="562" t="e">
        <f t="shared" si="64"/>
        <v>#VALUE!</v>
      </c>
      <c r="I1843" s="276" t="e">
        <f t="shared" si="65"/>
        <v>#VALUE!</v>
      </c>
    </row>
    <row r="1844" spans="2:9">
      <c r="B1844">
        <v>1</v>
      </c>
      <c r="E1844" s="281" t="s">
        <v>1471</v>
      </c>
      <c r="F1844" s="281" t="s">
        <v>2296</v>
      </c>
      <c r="G1844" s="562">
        <f t="shared" si="63"/>
        <v>12300</v>
      </c>
      <c r="H1844" s="562" t="e">
        <f t="shared" si="64"/>
        <v>#VALUE!</v>
      </c>
      <c r="I1844" s="276" t="e">
        <f t="shared" si="65"/>
        <v>#VALUE!</v>
      </c>
    </row>
    <row r="1845" spans="2:9">
      <c r="B1845">
        <v>1</v>
      </c>
      <c r="E1845" s="281" t="s">
        <v>1472</v>
      </c>
      <c r="F1845" s="281" t="s">
        <v>2297</v>
      </c>
      <c r="G1845" s="562">
        <f t="shared" si="63"/>
        <v>18421.13</v>
      </c>
      <c r="H1845" s="562" t="e">
        <f t="shared" si="64"/>
        <v>#VALUE!</v>
      </c>
      <c r="I1845" s="276" t="e">
        <f t="shared" si="65"/>
        <v>#VALUE!</v>
      </c>
    </row>
    <row r="1846" spans="2:9">
      <c r="B1846">
        <v>1</v>
      </c>
      <c r="E1846" s="281" t="s">
        <v>1473</v>
      </c>
      <c r="F1846" s="281" t="s">
        <v>2298</v>
      </c>
      <c r="G1846" s="562">
        <f t="shared" si="63"/>
        <v>920</v>
      </c>
      <c r="H1846" s="562" t="e">
        <f t="shared" si="64"/>
        <v>#VALUE!</v>
      </c>
      <c r="I1846" s="276" t="e">
        <f t="shared" si="65"/>
        <v>#VALUE!</v>
      </c>
    </row>
    <row r="1847" spans="2:9">
      <c r="B1847">
        <v>1</v>
      </c>
      <c r="E1847" s="281" t="s">
        <v>1479</v>
      </c>
      <c r="F1847" s="281" t="s">
        <v>2299</v>
      </c>
      <c r="G1847" s="562">
        <f t="shared" si="63"/>
        <v>2486</v>
      </c>
      <c r="H1847" s="562" t="e">
        <f t="shared" si="64"/>
        <v>#VALUE!</v>
      </c>
      <c r="I1847" s="276" t="e">
        <f t="shared" si="65"/>
        <v>#VALUE!</v>
      </c>
    </row>
    <row r="1848" spans="2:9">
      <c r="B1848">
        <v>1</v>
      </c>
      <c r="E1848" s="281" t="s">
        <v>1482</v>
      </c>
      <c r="F1848" s="281" t="s">
        <v>2300</v>
      </c>
      <c r="G1848" s="562">
        <f t="shared" si="63"/>
        <v>1200</v>
      </c>
      <c r="H1848" s="562" t="e">
        <f t="shared" si="64"/>
        <v>#VALUE!</v>
      </c>
      <c r="I1848" s="276" t="e">
        <f t="shared" si="65"/>
        <v>#VALUE!</v>
      </c>
    </row>
    <row r="1849" spans="2:9">
      <c r="B1849">
        <v>1</v>
      </c>
      <c r="E1849" s="281" t="s">
        <v>1484</v>
      </c>
      <c r="F1849" s="281" t="s">
        <v>2301</v>
      </c>
      <c r="G1849" s="562">
        <f t="shared" si="63"/>
        <v>13034</v>
      </c>
      <c r="H1849" s="562" t="e">
        <f t="shared" si="64"/>
        <v>#VALUE!</v>
      </c>
      <c r="I1849" s="276" t="e">
        <f t="shared" si="65"/>
        <v>#VALUE!</v>
      </c>
    </row>
    <row r="1850" spans="2:9">
      <c r="B1850">
        <v>1</v>
      </c>
      <c r="E1850" s="281" t="s">
        <v>1485</v>
      </c>
      <c r="F1850" s="281" t="s">
        <v>2302</v>
      </c>
      <c r="G1850" s="562">
        <f t="shared" si="63"/>
        <v>21301.64</v>
      </c>
      <c r="H1850" s="562" t="e">
        <f t="shared" si="64"/>
        <v>#VALUE!</v>
      </c>
      <c r="I1850" s="276" t="e">
        <f t="shared" si="65"/>
        <v>#VALUE!</v>
      </c>
    </row>
    <row r="1851" spans="2:9">
      <c r="B1851">
        <v>1</v>
      </c>
      <c r="E1851" s="281" t="s">
        <v>1486</v>
      </c>
      <c r="F1851" s="281" t="s">
        <v>2303</v>
      </c>
      <c r="G1851" s="562">
        <f t="shared" si="63"/>
        <v>1200</v>
      </c>
      <c r="H1851" s="562" t="e">
        <f t="shared" si="64"/>
        <v>#VALUE!</v>
      </c>
      <c r="I1851" s="276" t="e">
        <f t="shared" si="65"/>
        <v>#VALUE!</v>
      </c>
    </row>
    <row r="1852" spans="2:9">
      <c r="B1852">
        <v>1</v>
      </c>
      <c r="E1852" s="281" t="s">
        <v>1488</v>
      </c>
      <c r="F1852" s="281" t="s">
        <v>2304</v>
      </c>
      <c r="G1852" s="562">
        <f t="shared" si="63"/>
        <v>1500</v>
      </c>
      <c r="H1852" s="562" t="e">
        <f t="shared" si="64"/>
        <v>#VALUE!</v>
      </c>
      <c r="I1852" s="276" t="e">
        <f t="shared" si="65"/>
        <v>#VALUE!</v>
      </c>
    </row>
    <row r="1853" spans="2:9">
      <c r="B1853">
        <v>1</v>
      </c>
      <c r="E1853" s="281" t="s">
        <v>1490</v>
      </c>
      <c r="F1853" s="281" t="s">
        <v>2305</v>
      </c>
      <c r="G1853" s="562">
        <f t="shared" si="63"/>
        <v>350</v>
      </c>
      <c r="H1853" s="562" t="e">
        <f t="shared" si="64"/>
        <v>#VALUE!</v>
      </c>
      <c r="I1853" s="276" t="e">
        <f t="shared" si="65"/>
        <v>#VALUE!</v>
      </c>
    </row>
    <row r="1854" spans="2:9">
      <c r="B1854">
        <v>1</v>
      </c>
      <c r="E1854" s="281" t="s">
        <v>1492</v>
      </c>
      <c r="F1854" s="281" t="s">
        <v>2306</v>
      </c>
      <c r="G1854" s="562">
        <f t="shared" si="63"/>
        <v>3800</v>
      </c>
      <c r="H1854" s="562" t="e">
        <f t="shared" si="64"/>
        <v>#VALUE!</v>
      </c>
      <c r="I1854" s="276" t="e">
        <f t="shared" si="65"/>
        <v>#VALUE!</v>
      </c>
    </row>
    <row r="1855" spans="2:9">
      <c r="B1855">
        <v>1</v>
      </c>
      <c r="E1855" s="281" t="s">
        <v>1494</v>
      </c>
      <c r="F1855" s="281" t="s">
        <v>2307</v>
      </c>
      <c r="G1855" s="562">
        <f t="shared" si="63"/>
        <v>31800</v>
      </c>
      <c r="H1855" s="562" t="e">
        <f t="shared" si="64"/>
        <v>#VALUE!</v>
      </c>
      <c r="I1855" s="276" t="e">
        <f t="shared" si="65"/>
        <v>#VALUE!</v>
      </c>
    </row>
    <row r="1856" spans="2:9">
      <c r="B1856">
        <v>1</v>
      </c>
      <c r="E1856" s="281" t="s">
        <v>1496</v>
      </c>
      <c r="F1856" s="281" t="s">
        <v>2308</v>
      </c>
      <c r="G1856" s="562">
        <f t="shared" si="63"/>
        <v>480</v>
      </c>
      <c r="H1856" s="562" t="e">
        <f t="shared" si="64"/>
        <v>#VALUE!</v>
      </c>
      <c r="I1856" s="276" t="e">
        <f t="shared" si="65"/>
        <v>#VALUE!</v>
      </c>
    </row>
    <row r="1857" spans="2:9">
      <c r="B1857">
        <v>1</v>
      </c>
      <c r="E1857" s="281" t="s">
        <v>1498</v>
      </c>
      <c r="F1857" s="281" t="s">
        <v>2309</v>
      </c>
      <c r="G1857" s="562">
        <f t="shared" si="63"/>
        <v>48000</v>
      </c>
      <c r="H1857" s="562" t="e">
        <f t="shared" si="64"/>
        <v>#VALUE!</v>
      </c>
      <c r="I1857" s="276" t="e">
        <f t="shared" si="65"/>
        <v>#VALUE!</v>
      </c>
    </row>
    <row r="1858" spans="2:9">
      <c r="B1858">
        <v>1</v>
      </c>
      <c r="E1858" s="281" t="s">
        <v>1501</v>
      </c>
      <c r="F1858" s="281" t="s">
        <v>2310</v>
      </c>
      <c r="G1858" s="562">
        <f t="shared" si="63"/>
        <v>45808.9</v>
      </c>
      <c r="H1858" s="562" t="e">
        <f t="shared" si="64"/>
        <v>#VALUE!</v>
      </c>
      <c r="I1858" s="276" t="e">
        <f t="shared" si="65"/>
        <v>#VALUE!</v>
      </c>
    </row>
    <row r="1859" spans="2:9">
      <c r="B1859">
        <v>1</v>
      </c>
      <c r="E1859" s="281" t="s">
        <v>1503</v>
      </c>
      <c r="F1859" s="281" t="s">
        <v>2311</v>
      </c>
      <c r="G1859" s="562">
        <f t="shared" si="63"/>
        <v>41497.269999999997</v>
      </c>
      <c r="H1859" s="562" t="e">
        <f t="shared" si="64"/>
        <v>#VALUE!</v>
      </c>
      <c r="I1859" s="276" t="e">
        <f t="shared" si="65"/>
        <v>#VALUE!</v>
      </c>
    </row>
    <row r="1860" spans="2:9">
      <c r="B1860">
        <v>1</v>
      </c>
      <c r="E1860" s="281" t="s">
        <v>1505</v>
      </c>
      <c r="F1860" s="281" t="s">
        <v>2312</v>
      </c>
      <c r="G1860" s="562">
        <f t="shared" si="63"/>
        <v>76000</v>
      </c>
      <c r="H1860" s="562" t="e">
        <f t="shared" si="64"/>
        <v>#VALUE!</v>
      </c>
      <c r="I1860" s="276" t="e">
        <f t="shared" si="65"/>
        <v>#VALUE!</v>
      </c>
    </row>
    <row r="1861" spans="2:9">
      <c r="B1861">
        <v>1</v>
      </c>
      <c r="E1861" s="281" t="s">
        <v>1508</v>
      </c>
      <c r="F1861" s="281" t="s">
        <v>2313</v>
      </c>
      <c r="G1861" s="562">
        <f t="shared" si="63"/>
        <v>2130</v>
      </c>
      <c r="H1861" s="562" t="e">
        <f t="shared" si="64"/>
        <v>#VALUE!</v>
      </c>
      <c r="I1861" s="276" t="e">
        <f t="shared" si="65"/>
        <v>#VALUE!</v>
      </c>
    </row>
    <row r="1862" spans="2:9">
      <c r="B1862">
        <v>1</v>
      </c>
      <c r="E1862" s="281" t="s">
        <v>1510</v>
      </c>
      <c r="F1862" s="281" t="s">
        <v>2314</v>
      </c>
      <c r="G1862" s="562">
        <f t="shared" si="63"/>
        <v>5175</v>
      </c>
      <c r="H1862" s="562" t="e">
        <f t="shared" si="64"/>
        <v>#VALUE!</v>
      </c>
      <c r="I1862" s="276" t="e">
        <f t="shared" si="65"/>
        <v>#VALUE!</v>
      </c>
    </row>
    <row r="1863" spans="2:9">
      <c r="B1863">
        <v>1</v>
      </c>
      <c r="E1863" s="281" t="s">
        <v>1513</v>
      </c>
      <c r="F1863" s="281" t="s">
        <v>2315</v>
      </c>
      <c r="G1863" s="562">
        <f t="shared" si="63"/>
        <v>4200</v>
      </c>
      <c r="H1863" s="562" t="e">
        <f t="shared" si="64"/>
        <v>#VALUE!</v>
      </c>
      <c r="I1863" s="276" t="e">
        <f t="shared" si="65"/>
        <v>#VALUE!</v>
      </c>
    </row>
    <row r="1864" spans="2:9">
      <c r="B1864">
        <v>1</v>
      </c>
      <c r="E1864" s="281" t="s">
        <v>1516</v>
      </c>
      <c r="F1864" s="281" t="s">
        <v>2316</v>
      </c>
      <c r="G1864" s="562">
        <f t="shared" si="63"/>
        <v>2688</v>
      </c>
      <c r="H1864" s="562" t="e">
        <f t="shared" si="64"/>
        <v>#VALUE!</v>
      </c>
      <c r="I1864" s="276" t="e">
        <f t="shared" si="65"/>
        <v>#VALUE!</v>
      </c>
    </row>
    <row r="1865" spans="2:9">
      <c r="B1865">
        <v>1</v>
      </c>
      <c r="E1865" s="281" t="s">
        <v>1518</v>
      </c>
      <c r="F1865" s="281" t="s">
        <v>2317</v>
      </c>
      <c r="G1865" s="562">
        <f t="shared" si="63"/>
        <v>2500</v>
      </c>
      <c r="H1865" s="562" t="e">
        <f t="shared" si="64"/>
        <v>#VALUE!</v>
      </c>
      <c r="I1865" s="276" t="e">
        <f t="shared" si="65"/>
        <v>#VALUE!</v>
      </c>
    </row>
    <row r="1866" spans="2:9">
      <c r="B1866">
        <v>1</v>
      </c>
      <c r="E1866" s="281" t="s">
        <v>1520</v>
      </c>
      <c r="F1866" s="281" t="s">
        <v>2318</v>
      </c>
      <c r="G1866" s="562">
        <f t="shared" si="63"/>
        <v>640</v>
      </c>
      <c r="H1866" s="562" t="e">
        <f t="shared" si="64"/>
        <v>#VALUE!</v>
      </c>
      <c r="I1866" s="276" t="e">
        <f t="shared" si="65"/>
        <v>#VALUE!</v>
      </c>
    </row>
    <row r="1867" spans="2:9">
      <c r="B1867">
        <v>1</v>
      </c>
      <c r="E1867" s="281" t="s">
        <v>1522</v>
      </c>
      <c r="F1867" s="281" t="s">
        <v>2319</v>
      </c>
      <c r="G1867" s="562">
        <f t="shared" si="63"/>
        <v>33180</v>
      </c>
      <c r="H1867" s="562" t="e">
        <f t="shared" si="64"/>
        <v>#VALUE!</v>
      </c>
      <c r="I1867" s="276" t="e">
        <f t="shared" si="65"/>
        <v>#VALUE!</v>
      </c>
    </row>
    <row r="1868" spans="2:9">
      <c r="B1868">
        <v>1</v>
      </c>
      <c r="E1868" s="281" t="s">
        <v>1525</v>
      </c>
      <c r="F1868" s="281" t="s">
        <v>2320</v>
      </c>
      <c r="G1868" s="562">
        <f t="shared" si="63"/>
        <v>4355.8500000000004</v>
      </c>
      <c r="H1868" s="562" t="e">
        <f t="shared" si="64"/>
        <v>#VALUE!</v>
      </c>
      <c r="I1868" s="276" t="e">
        <f t="shared" si="65"/>
        <v>#VALUE!</v>
      </c>
    </row>
    <row r="1869" spans="2:9">
      <c r="B1869">
        <v>1</v>
      </c>
      <c r="E1869" s="281" t="s">
        <v>1527</v>
      </c>
      <c r="F1869" s="281" t="s">
        <v>2321</v>
      </c>
      <c r="G1869" s="562">
        <f t="shared" si="63"/>
        <v>792144.86</v>
      </c>
      <c r="H1869" s="562" t="e">
        <f t="shared" si="64"/>
        <v>#VALUE!</v>
      </c>
      <c r="I1869" s="276" t="e">
        <f t="shared" si="65"/>
        <v>#VALUE!</v>
      </c>
    </row>
    <row r="1870" spans="2:9">
      <c r="B1870">
        <v>1</v>
      </c>
      <c r="E1870" s="281" t="s">
        <v>1528</v>
      </c>
      <c r="F1870" s="281" t="s">
        <v>2322</v>
      </c>
      <c r="G1870" s="562">
        <f t="shared" si="63"/>
        <v>361782.69999999995</v>
      </c>
      <c r="H1870" s="562" t="e">
        <f t="shared" si="64"/>
        <v>#VALUE!</v>
      </c>
      <c r="I1870" s="276" t="e">
        <f t="shared" si="65"/>
        <v>#VALUE!</v>
      </c>
    </row>
    <row r="1871" spans="2:9">
      <c r="B1871">
        <v>1</v>
      </c>
      <c r="E1871" s="281" t="s">
        <v>1529</v>
      </c>
      <c r="F1871" s="281"/>
      <c r="G1871" s="562">
        <f t="shared" si="63"/>
        <v>505666.32</v>
      </c>
      <c r="H1871" s="562" t="e">
        <f t="shared" si="64"/>
        <v>#VALUE!</v>
      </c>
      <c r="I1871" s="276" t="e">
        <f t="shared" si="65"/>
        <v>#VALUE!</v>
      </c>
    </row>
    <row r="1872" spans="2:9">
      <c r="B1872">
        <v>1</v>
      </c>
      <c r="E1872" s="281" t="s">
        <v>1530</v>
      </c>
      <c r="F1872" s="281" t="s">
        <v>2323</v>
      </c>
      <c r="G1872" s="562">
        <f t="shared" si="63"/>
        <v>532388.56000000006</v>
      </c>
      <c r="H1872" s="562" t="e">
        <f t="shared" si="64"/>
        <v>#VALUE!</v>
      </c>
      <c r="I1872" s="276" t="e">
        <f t="shared" si="65"/>
        <v>#VALUE!</v>
      </c>
    </row>
    <row r="1873" spans="2:9">
      <c r="B1873">
        <v>1</v>
      </c>
      <c r="E1873" s="281" t="s">
        <v>1531</v>
      </c>
      <c r="F1873" s="281" t="s">
        <v>2324</v>
      </c>
      <c r="G1873" s="562">
        <f t="shared" si="63"/>
        <v>345963.3</v>
      </c>
      <c r="H1873" s="562" t="e">
        <f t="shared" si="64"/>
        <v>#VALUE!</v>
      </c>
      <c r="I1873" s="276" t="e">
        <f t="shared" si="65"/>
        <v>#VALUE!</v>
      </c>
    </row>
    <row r="1874" spans="2:9">
      <c r="B1874">
        <v>1</v>
      </c>
      <c r="E1874" s="281" t="s">
        <v>1534</v>
      </c>
      <c r="F1874" s="281" t="s">
        <v>2325</v>
      </c>
      <c r="G1874" s="562">
        <f t="shared" si="63"/>
        <v>900000</v>
      </c>
      <c r="H1874" s="562" t="e">
        <f t="shared" si="64"/>
        <v>#VALUE!</v>
      </c>
      <c r="I1874" s="276" t="e">
        <f t="shared" si="65"/>
        <v>#VALUE!</v>
      </c>
    </row>
    <row r="1875" spans="2:9">
      <c r="B1875">
        <v>1</v>
      </c>
      <c r="E1875" s="281" t="s">
        <v>1536</v>
      </c>
      <c r="F1875" s="281" t="s">
        <v>2326</v>
      </c>
      <c r="G1875" s="562">
        <f t="shared" si="63"/>
        <v>345500</v>
      </c>
      <c r="H1875" s="562" t="e">
        <f t="shared" si="64"/>
        <v>#VALUE!</v>
      </c>
      <c r="I1875" s="276" t="e">
        <f t="shared" si="65"/>
        <v>#VALUE!</v>
      </c>
    </row>
    <row r="1876" spans="2:9">
      <c r="B1876">
        <v>1</v>
      </c>
      <c r="E1876" s="281" t="s">
        <v>1541</v>
      </c>
      <c r="F1876" s="281" t="s">
        <v>2327</v>
      </c>
      <c r="G1876" s="562">
        <f t="shared" si="63"/>
        <v>466200</v>
      </c>
      <c r="H1876" s="562" t="e">
        <f t="shared" si="64"/>
        <v>#VALUE!</v>
      </c>
      <c r="I1876" s="276" t="e">
        <f t="shared" si="65"/>
        <v>#VALUE!</v>
      </c>
    </row>
    <row r="1877" spans="2:9">
      <c r="B1877">
        <v>1</v>
      </c>
      <c r="E1877" s="281" t="s">
        <v>1542</v>
      </c>
      <c r="F1877" s="281" t="s">
        <v>2328</v>
      </c>
      <c r="G1877" s="562">
        <f t="shared" si="63"/>
        <v>205000</v>
      </c>
      <c r="H1877" s="562" t="e">
        <f t="shared" si="64"/>
        <v>#VALUE!</v>
      </c>
      <c r="I1877" s="276" t="e">
        <f t="shared" si="65"/>
        <v>#VALUE!</v>
      </c>
    </row>
    <row r="1878" spans="2:9">
      <c r="B1878">
        <v>1</v>
      </c>
      <c r="E1878" s="281" t="s">
        <v>1544</v>
      </c>
      <c r="F1878" s="281" t="s">
        <v>2329</v>
      </c>
      <c r="G1878" s="562">
        <f t="shared" si="63"/>
        <v>455476.19</v>
      </c>
      <c r="H1878" s="562" t="e">
        <f t="shared" si="64"/>
        <v>#VALUE!</v>
      </c>
      <c r="I1878" s="276" t="e">
        <f t="shared" si="65"/>
        <v>#VALUE!</v>
      </c>
    </row>
    <row r="1879" spans="2:9">
      <c r="B1879">
        <v>1</v>
      </c>
      <c r="E1879" s="281" t="s">
        <v>1546</v>
      </c>
      <c r="F1879" s="281" t="s">
        <v>2330</v>
      </c>
      <c r="G1879" s="562">
        <f t="shared" si="63"/>
        <v>284121.43</v>
      </c>
      <c r="H1879" s="562" t="e">
        <f t="shared" si="64"/>
        <v>#VALUE!</v>
      </c>
      <c r="I1879" s="276" t="e">
        <f t="shared" si="65"/>
        <v>#VALUE!</v>
      </c>
    </row>
    <row r="1880" spans="2:9">
      <c r="B1880">
        <v>1</v>
      </c>
      <c r="E1880" s="281" t="s">
        <v>1547</v>
      </c>
      <c r="F1880" s="281" t="s">
        <v>2331</v>
      </c>
      <c r="G1880" s="562">
        <f t="shared" si="63"/>
        <v>241007.14</v>
      </c>
      <c r="H1880" s="562" t="e">
        <f t="shared" si="64"/>
        <v>#VALUE!</v>
      </c>
      <c r="I1880" s="276" t="e">
        <f t="shared" si="65"/>
        <v>#VALUE!</v>
      </c>
    </row>
    <row r="1881" spans="2:9">
      <c r="B1881">
        <v>1</v>
      </c>
      <c r="E1881" s="281" t="s">
        <v>1548</v>
      </c>
      <c r="F1881" s="281" t="s">
        <v>2332</v>
      </c>
      <c r="G1881" s="562">
        <f t="shared" si="63"/>
        <v>321342.84999999998</v>
      </c>
      <c r="H1881" s="562" t="e">
        <f t="shared" si="64"/>
        <v>#VALUE!</v>
      </c>
      <c r="I1881" s="276" t="e">
        <f t="shared" si="65"/>
        <v>#VALUE!</v>
      </c>
    </row>
    <row r="1882" spans="2:9">
      <c r="B1882">
        <v>1</v>
      </c>
      <c r="E1882" s="281" t="s">
        <v>1549</v>
      </c>
      <c r="F1882" s="281" t="s">
        <v>2333</v>
      </c>
      <c r="G1882" s="562">
        <f t="shared" si="63"/>
        <v>14120</v>
      </c>
      <c r="H1882" s="562" t="e">
        <f t="shared" si="64"/>
        <v>#VALUE!</v>
      </c>
      <c r="I1882" s="276" t="e">
        <f t="shared" si="65"/>
        <v>#VALUE!</v>
      </c>
    </row>
    <row r="1883" spans="2:9">
      <c r="B1883">
        <v>1</v>
      </c>
      <c r="E1883" s="281" t="s">
        <v>1550</v>
      </c>
      <c r="F1883" s="281" t="s">
        <v>2334</v>
      </c>
      <c r="G1883" s="562">
        <f t="shared" si="63"/>
        <v>43786.5</v>
      </c>
      <c r="H1883" s="562" t="e">
        <f t="shared" si="64"/>
        <v>#VALUE!</v>
      </c>
      <c r="I1883" s="276" t="e">
        <f t="shared" si="65"/>
        <v>#VALUE!</v>
      </c>
    </row>
    <row r="1884" spans="2:9">
      <c r="B1884">
        <v>1</v>
      </c>
      <c r="E1884" s="281" t="s">
        <v>1552</v>
      </c>
      <c r="F1884" s="281" t="s">
        <v>2335</v>
      </c>
      <c r="G1884" s="562">
        <f t="shared" si="63"/>
        <v>1200</v>
      </c>
      <c r="H1884" s="562" t="e">
        <f t="shared" si="64"/>
        <v>#VALUE!</v>
      </c>
      <c r="I1884" s="276" t="e">
        <f t="shared" si="65"/>
        <v>#VALUE!</v>
      </c>
    </row>
    <row r="1885" spans="2:9">
      <c r="B1885">
        <v>1</v>
      </c>
      <c r="E1885" s="281" t="s">
        <v>1554</v>
      </c>
      <c r="F1885" s="281" t="s">
        <v>2336</v>
      </c>
      <c r="G1885" s="562">
        <f t="shared" si="63"/>
        <v>550000</v>
      </c>
      <c r="H1885" s="562" t="e">
        <f t="shared" si="64"/>
        <v>#VALUE!</v>
      </c>
      <c r="I1885" s="276" t="e">
        <f t="shared" si="65"/>
        <v>#VALUE!</v>
      </c>
    </row>
    <row r="1886" spans="2:9">
      <c r="B1886">
        <v>1</v>
      </c>
      <c r="E1886" s="281" t="s">
        <v>1557</v>
      </c>
      <c r="F1886" s="281" t="s">
        <v>2337</v>
      </c>
      <c r="G1886" s="562">
        <f t="shared" si="63"/>
        <v>550000</v>
      </c>
      <c r="H1886" s="562" t="e">
        <f t="shared" si="64"/>
        <v>#VALUE!</v>
      </c>
      <c r="I1886" s="276" t="e">
        <f t="shared" si="65"/>
        <v>#VALUE!</v>
      </c>
    </row>
    <row r="1887" spans="2:9">
      <c r="B1887">
        <v>1</v>
      </c>
      <c r="E1887" s="281" t="s">
        <v>1558</v>
      </c>
      <c r="F1887" s="281" t="s">
        <v>2338</v>
      </c>
      <c r="G1887" s="562">
        <f t="shared" si="63"/>
        <v>600000</v>
      </c>
      <c r="H1887" s="562" t="e">
        <f t="shared" si="64"/>
        <v>#VALUE!</v>
      </c>
      <c r="I1887" s="276" t="e">
        <f t="shared" si="65"/>
        <v>#VALUE!</v>
      </c>
    </row>
    <row r="1888" spans="2:9">
      <c r="B1888">
        <v>1</v>
      </c>
      <c r="E1888" s="281" t="s">
        <v>1559</v>
      </c>
      <c r="F1888" s="281" t="s">
        <v>2339</v>
      </c>
      <c r="G1888" s="562">
        <f t="shared" si="63"/>
        <v>550000</v>
      </c>
      <c r="H1888" s="562" t="e">
        <f t="shared" si="64"/>
        <v>#VALUE!</v>
      </c>
      <c r="I1888" s="276" t="e">
        <f t="shared" si="65"/>
        <v>#VALUE!</v>
      </c>
    </row>
    <row r="1889" spans="2:9">
      <c r="B1889">
        <v>1</v>
      </c>
      <c r="E1889" s="281" t="s">
        <v>1560</v>
      </c>
      <c r="F1889" s="281" t="s">
        <v>2340</v>
      </c>
      <c r="G1889" s="562">
        <f t="shared" si="63"/>
        <v>550000</v>
      </c>
      <c r="H1889" s="562" t="e">
        <f t="shared" si="64"/>
        <v>#VALUE!</v>
      </c>
      <c r="I1889" s="276" t="e">
        <f t="shared" si="65"/>
        <v>#VALUE!</v>
      </c>
    </row>
    <row r="1890" spans="2:9">
      <c r="B1890">
        <v>1</v>
      </c>
      <c r="E1890" s="281" t="s">
        <v>1561</v>
      </c>
      <c r="F1890" s="281" t="s">
        <v>2341</v>
      </c>
      <c r="G1890" s="562">
        <f t="shared" ref="G1890:G1923" si="66">SUMIFS(J:J,C:C,E1890)</f>
        <v>20000</v>
      </c>
      <c r="H1890" s="562" t="e">
        <f t="shared" ref="H1890:H1923" si="67">SUMIFS(M:M,S:S,F1890)</f>
        <v>#VALUE!</v>
      </c>
      <c r="I1890" s="276" t="e">
        <f t="shared" ref="I1890:I1924" si="68">G1890-H1890</f>
        <v>#VALUE!</v>
      </c>
    </row>
    <row r="1891" spans="2:9">
      <c r="B1891">
        <v>1</v>
      </c>
      <c r="E1891" s="281" t="s">
        <v>1564</v>
      </c>
      <c r="F1891" s="281"/>
      <c r="G1891" s="562">
        <f t="shared" si="66"/>
        <v>0</v>
      </c>
      <c r="H1891" s="562" t="e">
        <f t="shared" si="67"/>
        <v>#VALUE!</v>
      </c>
      <c r="I1891" s="276" t="e">
        <f t="shared" si="68"/>
        <v>#VALUE!</v>
      </c>
    </row>
    <row r="1892" spans="2:9">
      <c r="B1892">
        <v>1</v>
      </c>
      <c r="E1892" s="281" t="s">
        <v>1567</v>
      </c>
      <c r="F1892" s="281" t="s">
        <v>2342</v>
      </c>
      <c r="G1892" s="562">
        <f t="shared" si="66"/>
        <v>101505.45</v>
      </c>
      <c r="H1892" s="562" t="e">
        <f t="shared" si="67"/>
        <v>#VALUE!</v>
      </c>
      <c r="I1892" s="276" t="e">
        <f t="shared" si="68"/>
        <v>#VALUE!</v>
      </c>
    </row>
    <row r="1893" spans="2:9">
      <c r="B1893">
        <v>1</v>
      </c>
      <c r="E1893" s="281" t="s">
        <v>1569</v>
      </c>
      <c r="F1893" s="281" t="s">
        <v>2343</v>
      </c>
      <c r="G1893" s="562">
        <f t="shared" si="66"/>
        <v>13034</v>
      </c>
      <c r="H1893" s="562" t="e">
        <f t="shared" si="67"/>
        <v>#VALUE!</v>
      </c>
      <c r="I1893" s="276" t="e">
        <f t="shared" si="68"/>
        <v>#VALUE!</v>
      </c>
    </row>
    <row r="1894" spans="2:9">
      <c r="B1894">
        <v>1</v>
      </c>
      <c r="E1894" s="281" t="s">
        <v>1571</v>
      </c>
      <c r="F1894" s="281" t="s">
        <v>2344</v>
      </c>
      <c r="G1894" s="562">
        <f t="shared" si="66"/>
        <v>6850</v>
      </c>
      <c r="H1894" s="562" t="e">
        <f t="shared" si="67"/>
        <v>#VALUE!</v>
      </c>
      <c r="I1894" s="276" t="e">
        <f t="shared" si="68"/>
        <v>#VALUE!</v>
      </c>
    </row>
    <row r="1895" spans="2:9">
      <c r="B1895">
        <v>1</v>
      </c>
      <c r="E1895" s="281" t="s">
        <v>1574</v>
      </c>
      <c r="F1895" s="281" t="s">
        <v>2345</v>
      </c>
      <c r="G1895" s="562">
        <f t="shared" si="66"/>
        <v>2500</v>
      </c>
      <c r="H1895" s="562" t="e">
        <f t="shared" si="67"/>
        <v>#VALUE!</v>
      </c>
      <c r="I1895" s="276" t="e">
        <f t="shared" si="68"/>
        <v>#VALUE!</v>
      </c>
    </row>
    <row r="1896" spans="2:9">
      <c r="B1896">
        <v>1</v>
      </c>
      <c r="E1896" s="281" t="s">
        <v>1576</v>
      </c>
      <c r="F1896" s="281" t="s">
        <v>2346</v>
      </c>
      <c r="G1896" s="562">
        <f t="shared" si="66"/>
        <v>2511.36</v>
      </c>
      <c r="H1896" s="562" t="e">
        <f t="shared" si="67"/>
        <v>#VALUE!</v>
      </c>
      <c r="I1896" s="276" t="e">
        <f t="shared" si="68"/>
        <v>#VALUE!</v>
      </c>
    </row>
    <row r="1897" spans="2:9">
      <c r="B1897">
        <v>1</v>
      </c>
      <c r="E1897" s="281" t="s">
        <v>1579</v>
      </c>
      <c r="F1897" s="281" t="s">
        <v>2347</v>
      </c>
      <c r="G1897" s="562">
        <f t="shared" si="66"/>
        <v>10000</v>
      </c>
      <c r="H1897" s="562" t="e">
        <f t="shared" si="67"/>
        <v>#VALUE!</v>
      </c>
      <c r="I1897" s="276" t="e">
        <f t="shared" si="68"/>
        <v>#VALUE!</v>
      </c>
    </row>
    <row r="1898" spans="2:9">
      <c r="B1898">
        <v>1</v>
      </c>
      <c r="E1898" s="281" t="s">
        <v>1580</v>
      </c>
      <c r="F1898" s="281" t="s">
        <v>2348</v>
      </c>
      <c r="G1898" s="562">
        <f t="shared" si="66"/>
        <v>170501.47</v>
      </c>
      <c r="H1898" s="562" t="e">
        <f t="shared" si="67"/>
        <v>#VALUE!</v>
      </c>
      <c r="I1898" s="276" t="e">
        <f t="shared" si="68"/>
        <v>#VALUE!</v>
      </c>
    </row>
    <row r="1899" spans="2:9">
      <c r="B1899">
        <v>1</v>
      </c>
      <c r="E1899" s="281" t="s">
        <v>1582</v>
      </c>
      <c r="F1899" s="281" t="s">
        <v>2349</v>
      </c>
      <c r="G1899" s="562">
        <f t="shared" si="66"/>
        <v>7712.46</v>
      </c>
      <c r="H1899" s="562" t="e">
        <f t="shared" si="67"/>
        <v>#VALUE!</v>
      </c>
      <c r="I1899" s="276" t="e">
        <f t="shared" si="68"/>
        <v>#VALUE!</v>
      </c>
    </row>
    <row r="1900" spans="2:9">
      <c r="B1900">
        <v>1</v>
      </c>
      <c r="E1900" s="281" t="s">
        <v>1584</v>
      </c>
      <c r="F1900" s="281" t="s">
        <v>2350</v>
      </c>
      <c r="G1900" s="562">
        <f t="shared" si="66"/>
        <v>9559.2900000000009</v>
      </c>
      <c r="H1900" s="562" t="e">
        <f t="shared" si="67"/>
        <v>#VALUE!</v>
      </c>
      <c r="I1900" s="276" t="e">
        <f t="shared" si="68"/>
        <v>#VALUE!</v>
      </c>
    </row>
    <row r="1901" spans="2:9">
      <c r="B1901">
        <v>1</v>
      </c>
      <c r="E1901" s="281" t="s">
        <v>1586</v>
      </c>
      <c r="F1901" s="281" t="s">
        <v>2351</v>
      </c>
      <c r="G1901" s="562">
        <f t="shared" si="66"/>
        <v>51050</v>
      </c>
      <c r="H1901" s="562" t="e">
        <f t="shared" si="67"/>
        <v>#VALUE!</v>
      </c>
      <c r="I1901" s="276" t="e">
        <f t="shared" si="68"/>
        <v>#VALUE!</v>
      </c>
    </row>
    <row r="1902" spans="2:9">
      <c r="B1902">
        <v>1</v>
      </c>
      <c r="E1902" s="281" t="s">
        <v>1588</v>
      </c>
      <c r="F1902" s="281" t="s">
        <v>2352</v>
      </c>
      <c r="G1902" s="562">
        <f t="shared" si="66"/>
        <v>100000</v>
      </c>
      <c r="H1902" s="562" t="e">
        <f t="shared" si="67"/>
        <v>#VALUE!</v>
      </c>
      <c r="I1902" s="276" t="e">
        <f t="shared" si="68"/>
        <v>#VALUE!</v>
      </c>
    </row>
    <row r="1903" spans="2:9">
      <c r="B1903">
        <v>1</v>
      </c>
      <c r="E1903" s="281" t="s">
        <v>1589</v>
      </c>
      <c r="F1903" s="281" t="s">
        <v>2353</v>
      </c>
      <c r="G1903" s="562">
        <f t="shared" si="66"/>
        <v>99030</v>
      </c>
      <c r="H1903" s="562" t="e">
        <f t="shared" si="67"/>
        <v>#VALUE!</v>
      </c>
      <c r="I1903" s="276" t="e">
        <f t="shared" si="68"/>
        <v>#VALUE!</v>
      </c>
    </row>
    <row r="1904" spans="2:9">
      <c r="B1904">
        <v>1</v>
      </c>
      <c r="E1904" s="281" t="s">
        <v>1591</v>
      </c>
      <c r="F1904" s="281" t="s">
        <v>2354</v>
      </c>
      <c r="G1904" s="562">
        <f t="shared" si="66"/>
        <v>10250</v>
      </c>
      <c r="H1904" s="562" t="e">
        <f t="shared" si="67"/>
        <v>#VALUE!</v>
      </c>
      <c r="I1904" s="276" t="e">
        <f t="shared" si="68"/>
        <v>#VALUE!</v>
      </c>
    </row>
    <row r="1905" spans="2:9">
      <c r="B1905">
        <v>1</v>
      </c>
      <c r="E1905" s="281" t="s">
        <v>1592</v>
      </c>
      <c r="F1905" s="281" t="s">
        <v>2355</v>
      </c>
      <c r="G1905" s="562">
        <f t="shared" si="66"/>
        <v>11455.25</v>
      </c>
      <c r="H1905" s="562" t="e">
        <f t="shared" si="67"/>
        <v>#VALUE!</v>
      </c>
      <c r="I1905" s="276" t="e">
        <f t="shared" si="68"/>
        <v>#VALUE!</v>
      </c>
    </row>
    <row r="1906" spans="2:9">
      <c r="B1906">
        <v>1</v>
      </c>
      <c r="E1906" s="281" t="s">
        <v>1594</v>
      </c>
      <c r="F1906" s="281" t="s">
        <v>2356</v>
      </c>
      <c r="G1906" s="562">
        <f t="shared" si="66"/>
        <v>8164.75</v>
      </c>
      <c r="H1906" s="562" t="e">
        <f t="shared" si="67"/>
        <v>#VALUE!</v>
      </c>
      <c r="I1906" s="276" t="e">
        <f t="shared" si="68"/>
        <v>#VALUE!</v>
      </c>
    </row>
    <row r="1907" spans="2:9">
      <c r="B1907">
        <v>1</v>
      </c>
      <c r="E1907" s="281" t="s">
        <v>1596</v>
      </c>
      <c r="F1907" s="281" t="s">
        <v>2357</v>
      </c>
      <c r="G1907" s="562">
        <f t="shared" si="66"/>
        <v>22316</v>
      </c>
      <c r="H1907" s="562" t="e">
        <f t="shared" si="67"/>
        <v>#VALUE!</v>
      </c>
      <c r="I1907" s="276" t="e">
        <f t="shared" si="68"/>
        <v>#VALUE!</v>
      </c>
    </row>
    <row r="1908" spans="2:9">
      <c r="B1908">
        <v>1</v>
      </c>
      <c r="E1908" s="281" t="s">
        <v>1598</v>
      </c>
      <c r="F1908" s="281" t="s">
        <v>2358</v>
      </c>
      <c r="G1908" s="562">
        <f t="shared" si="66"/>
        <v>256101</v>
      </c>
      <c r="H1908" s="562" t="e">
        <f t="shared" si="67"/>
        <v>#VALUE!</v>
      </c>
      <c r="I1908" s="276" t="e">
        <f t="shared" si="68"/>
        <v>#VALUE!</v>
      </c>
    </row>
    <row r="1909" spans="2:9">
      <c r="B1909">
        <v>1</v>
      </c>
      <c r="E1909" s="281" t="s">
        <v>1599</v>
      </c>
      <c r="F1909" s="281" t="s">
        <v>2359</v>
      </c>
      <c r="G1909" s="562">
        <f t="shared" si="66"/>
        <v>184464</v>
      </c>
      <c r="H1909" s="562" t="e">
        <f t="shared" si="67"/>
        <v>#VALUE!</v>
      </c>
      <c r="I1909" s="276" t="e">
        <f t="shared" si="68"/>
        <v>#VALUE!</v>
      </c>
    </row>
    <row r="1910" spans="2:9">
      <c r="B1910">
        <v>1</v>
      </c>
      <c r="E1910" s="281" t="s">
        <v>1601</v>
      </c>
      <c r="F1910" s="281" t="s">
        <v>2360</v>
      </c>
      <c r="G1910" s="562">
        <f t="shared" si="66"/>
        <v>1464950</v>
      </c>
      <c r="H1910" s="562" t="e">
        <f t="shared" si="67"/>
        <v>#VALUE!</v>
      </c>
      <c r="I1910" s="276" t="e">
        <f t="shared" si="68"/>
        <v>#VALUE!</v>
      </c>
    </row>
    <row r="1911" spans="2:9">
      <c r="B1911">
        <v>1</v>
      </c>
      <c r="E1911" s="281" t="s">
        <v>1603</v>
      </c>
      <c r="F1911" s="281" t="s">
        <v>2361</v>
      </c>
      <c r="G1911" s="562">
        <f t="shared" si="66"/>
        <v>1266031.21</v>
      </c>
      <c r="H1911" s="562" t="e">
        <f t="shared" si="67"/>
        <v>#VALUE!</v>
      </c>
      <c r="I1911" s="276" t="e">
        <f t="shared" si="68"/>
        <v>#VALUE!</v>
      </c>
    </row>
    <row r="1912" spans="2:9">
      <c r="B1912">
        <v>1</v>
      </c>
      <c r="E1912" s="281" t="s">
        <v>1604</v>
      </c>
      <c r="F1912" s="281" t="s">
        <v>2362</v>
      </c>
      <c r="G1912" s="562">
        <f t="shared" si="66"/>
        <v>348243.76</v>
      </c>
      <c r="H1912" s="562" t="e">
        <f t="shared" si="67"/>
        <v>#VALUE!</v>
      </c>
      <c r="I1912" s="276" t="e">
        <f t="shared" si="68"/>
        <v>#VALUE!</v>
      </c>
    </row>
    <row r="1913" spans="2:9">
      <c r="B1913">
        <v>1</v>
      </c>
      <c r="E1913" s="281" t="s">
        <v>1606</v>
      </c>
      <c r="F1913" s="281" t="s">
        <v>2363</v>
      </c>
      <c r="G1913" s="562">
        <f t="shared" si="66"/>
        <v>333817.76</v>
      </c>
      <c r="H1913" s="562" t="e">
        <f t="shared" si="67"/>
        <v>#VALUE!</v>
      </c>
      <c r="I1913" s="276" t="e">
        <f t="shared" si="68"/>
        <v>#VALUE!</v>
      </c>
    </row>
    <row r="1914" spans="2:9">
      <c r="B1914">
        <v>1</v>
      </c>
      <c r="E1914" s="281" t="s">
        <v>1607</v>
      </c>
      <c r="F1914" s="281" t="s">
        <v>2364</v>
      </c>
      <c r="G1914" s="562">
        <f t="shared" si="66"/>
        <v>348243.76</v>
      </c>
      <c r="H1914" s="562" t="e">
        <f t="shared" si="67"/>
        <v>#VALUE!</v>
      </c>
      <c r="I1914" s="276" t="e">
        <f t="shared" si="68"/>
        <v>#VALUE!</v>
      </c>
    </row>
    <row r="1915" spans="2:9">
      <c r="B1915">
        <v>1</v>
      </c>
      <c r="E1915" s="281" t="s">
        <v>1608</v>
      </c>
      <c r="F1915" s="281" t="s">
        <v>2365</v>
      </c>
      <c r="G1915" s="562">
        <f t="shared" si="66"/>
        <v>760350</v>
      </c>
      <c r="H1915" s="562" t="e">
        <f t="shared" si="67"/>
        <v>#VALUE!</v>
      </c>
      <c r="I1915" s="276" t="e">
        <f t="shared" si="68"/>
        <v>#VALUE!</v>
      </c>
    </row>
    <row r="1916" spans="2:9">
      <c r="B1916">
        <v>1</v>
      </c>
      <c r="E1916" s="281" t="s">
        <v>1609</v>
      </c>
      <c r="F1916" s="281" t="s">
        <v>2366</v>
      </c>
      <c r="G1916" s="562">
        <f t="shared" si="66"/>
        <v>194400</v>
      </c>
      <c r="H1916" s="562" t="e">
        <f t="shared" si="67"/>
        <v>#VALUE!</v>
      </c>
      <c r="I1916" s="276" t="e">
        <f t="shared" si="68"/>
        <v>#VALUE!</v>
      </c>
    </row>
    <row r="1917" spans="2:9">
      <c r="B1917">
        <v>1</v>
      </c>
      <c r="E1917" s="281" t="s">
        <v>1611</v>
      </c>
      <c r="F1917" s="281" t="s">
        <v>2367</v>
      </c>
      <c r="G1917" s="562">
        <f t="shared" si="66"/>
        <v>194400</v>
      </c>
      <c r="H1917" s="562" t="e">
        <f t="shared" si="67"/>
        <v>#VALUE!</v>
      </c>
      <c r="I1917" s="276" t="e">
        <f t="shared" si="68"/>
        <v>#VALUE!</v>
      </c>
    </row>
    <row r="1918" spans="2:9">
      <c r="B1918">
        <v>1</v>
      </c>
      <c r="E1918" s="281" t="s">
        <v>1612</v>
      </c>
      <c r="F1918" s="281" t="s">
        <v>2368</v>
      </c>
      <c r="G1918" s="562">
        <f t="shared" si="66"/>
        <v>194400</v>
      </c>
      <c r="H1918" s="562" t="e">
        <f t="shared" si="67"/>
        <v>#VALUE!</v>
      </c>
      <c r="I1918" s="276" t="e">
        <f t="shared" si="68"/>
        <v>#VALUE!</v>
      </c>
    </row>
    <row r="1919" spans="2:9">
      <c r="B1919">
        <v>1</v>
      </c>
      <c r="E1919" s="281" t="s">
        <v>1614</v>
      </c>
      <c r="F1919" s="281" t="s">
        <v>2369</v>
      </c>
      <c r="G1919" s="562">
        <f t="shared" si="66"/>
        <v>640000</v>
      </c>
      <c r="H1919" s="562" t="e">
        <f t="shared" si="67"/>
        <v>#VALUE!</v>
      </c>
      <c r="I1919" s="276" t="e">
        <f t="shared" si="68"/>
        <v>#VALUE!</v>
      </c>
    </row>
    <row r="1920" spans="2:9">
      <c r="B1920">
        <v>1</v>
      </c>
      <c r="E1920" s="281" t="s">
        <v>1616</v>
      </c>
      <c r="F1920" s="281" t="s">
        <v>2370</v>
      </c>
      <c r="G1920" s="562">
        <f t="shared" si="66"/>
        <v>287809.53000000003</v>
      </c>
      <c r="H1920" s="562" t="e">
        <f t="shared" si="67"/>
        <v>#VALUE!</v>
      </c>
      <c r="I1920" s="276" t="e">
        <f t="shared" si="68"/>
        <v>#VALUE!</v>
      </c>
    </row>
    <row r="1921" spans="2:9">
      <c r="B1921">
        <v>1</v>
      </c>
      <c r="E1921" s="281" t="s">
        <v>1618</v>
      </c>
      <c r="F1921" s="281" t="s">
        <v>2371</v>
      </c>
      <c r="G1921" s="562">
        <f t="shared" si="66"/>
        <v>3500</v>
      </c>
      <c r="H1921" s="562" t="e">
        <f t="shared" si="67"/>
        <v>#VALUE!</v>
      </c>
      <c r="I1921" s="276" t="e">
        <f t="shared" si="68"/>
        <v>#VALUE!</v>
      </c>
    </row>
    <row r="1922" spans="2:9">
      <c r="B1922">
        <v>1</v>
      </c>
      <c r="E1922" s="281" t="s">
        <v>1619</v>
      </c>
      <c r="F1922" s="281" t="s">
        <v>2372</v>
      </c>
      <c r="G1922" s="562">
        <f t="shared" si="66"/>
        <v>12000</v>
      </c>
      <c r="H1922" s="562" t="e">
        <f t="shared" si="67"/>
        <v>#VALUE!</v>
      </c>
      <c r="I1922" s="276" t="e">
        <f t="shared" si="68"/>
        <v>#VALUE!</v>
      </c>
    </row>
    <row r="1923" spans="2:9">
      <c r="B1923">
        <v>1</v>
      </c>
      <c r="E1923" s="281" t="s">
        <v>1622</v>
      </c>
      <c r="F1923" s="281" t="s">
        <v>2373</v>
      </c>
      <c r="G1923" s="562">
        <f t="shared" si="66"/>
        <v>4800</v>
      </c>
      <c r="H1923" s="562" t="e">
        <f t="shared" si="67"/>
        <v>#VALUE!</v>
      </c>
      <c r="I1923" s="276" t="e">
        <f t="shared" si="68"/>
        <v>#VALUE!</v>
      </c>
    </row>
    <row r="1924" spans="2:9">
      <c r="B1924">
        <v>1</v>
      </c>
      <c r="G1924" s="562">
        <f>SUBTOTAL(9,G1569:G1923)</f>
        <v>45075472.159999982</v>
      </c>
      <c r="H1924" s="562" t="e">
        <f>SUBTOTAL(9,H1569:H1923)</f>
        <v>#VALUE!</v>
      </c>
      <c r="I1924" s="276" t="e">
        <f t="shared" si="68"/>
        <v>#VALUE!</v>
      </c>
    </row>
  </sheetData>
  <autoFilter ref="B2:S1556" xr:uid="{00000000-0009-0000-0000-00000B000000}"/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88F97-50EE-4803-9E99-689856BD27DA}">
  <sheetPr filterMode="1"/>
  <dimension ref="A1:E358"/>
  <sheetViews>
    <sheetView workbookViewId="0">
      <pane ySplit="3" topLeftCell="A4" activePane="bottomLeft" state="frozen"/>
      <selection pane="bottomLeft" activeCell="D2" sqref="D2"/>
    </sheetView>
  </sheetViews>
  <sheetFormatPr defaultRowHeight="14.4"/>
  <cols>
    <col min="3" max="4" width="14.33203125" bestFit="1" customWidth="1"/>
    <col min="5" max="5" width="15.109375" customWidth="1"/>
  </cols>
  <sheetData>
    <row r="1" spans="1:5">
      <c r="D1" s="276" t="e">
        <f>D2-'Format for Import of DV'!M1</f>
        <v>#VALUE!</v>
      </c>
    </row>
    <row r="2" spans="1:5">
      <c r="C2" s="276">
        <f>SUM(C4:C358)</f>
        <v>45075472.159999982</v>
      </c>
      <c r="D2" s="276" t="e">
        <f>SUM(D4:D358)</f>
        <v>#VALUE!</v>
      </c>
      <c r="E2" s="276" t="e">
        <f>SUM(E4:E358)</f>
        <v>#VALUE!</v>
      </c>
    </row>
    <row r="3" spans="1:5">
      <c r="A3" s="540" t="s">
        <v>2374</v>
      </c>
      <c r="B3" s="540" t="s">
        <v>2375</v>
      </c>
    </row>
    <row r="4" spans="1:5">
      <c r="A4" s="281" t="s">
        <v>11</v>
      </c>
      <c r="B4" s="281" t="s">
        <v>2054</v>
      </c>
      <c r="C4" s="562">
        <f>SUMIFS('Format for Import of DV'!J:J,'Format for Import of DV'!C:C,'Recon of ORS and DV'!A4)</f>
        <v>150000</v>
      </c>
      <c r="D4" s="562" t="e">
        <f>SUMIFS('Format for Import of DV'!M:M,'Format for Import of DV'!S:S,'Recon of ORS and DV'!B4)</f>
        <v>#VALUE!</v>
      </c>
      <c r="E4" s="276" t="e">
        <f>C4-D4</f>
        <v>#VALUE!</v>
      </c>
    </row>
    <row r="5" spans="1:5" hidden="1">
      <c r="A5" s="281" t="s">
        <v>8</v>
      </c>
      <c r="B5" s="281" t="s">
        <v>2055</v>
      </c>
      <c r="C5" s="562">
        <f>SUMIFS('Format for Import of DV'!J:J,'Format for Import of DV'!C:C,'Recon of ORS and DV'!A5)</f>
        <v>10000</v>
      </c>
      <c r="D5" s="562" t="e">
        <f>SUMIFS('Format for Import of DV'!M:M,'Format for Import of DV'!S:S,'Recon of ORS and DV'!B5)</f>
        <v>#VALUE!</v>
      </c>
      <c r="E5" s="276" t="e">
        <f t="shared" ref="E5:E68" si="0">C5-D5</f>
        <v>#VALUE!</v>
      </c>
    </row>
    <row r="6" spans="1:5" hidden="1">
      <c r="A6" s="281" t="s">
        <v>4</v>
      </c>
      <c r="B6" s="281" t="s">
        <v>2056</v>
      </c>
      <c r="C6" s="562">
        <f>SUMIFS('Format for Import of DV'!J:J,'Format for Import of DV'!C:C,'Recon of ORS and DV'!A6)</f>
        <v>1935301.23</v>
      </c>
      <c r="D6" s="562" t="e">
        <f>SUMIFS('Format for Import of DV'!M:M,'Format for Import of DV'!S:S,'Recon of ORS and DV'!B6)</f>
        <v>#VALUE!</v>
      </c>
      <c r="E6" s="276" t="e">
        <f t="shared" si="0"/>
        <v>#VALUE!</v>
      </c>
    </row>
    <row r="7" spans="1:5" hidden="1">
      <c r="A7" s="281" t="s">
        <v>763</v>
      </c>
      <c r="B7" s="281" t="s">
        <v>2057</v>
      </c>
      <c r="C7" s="562">
        <f>SUMIFS('Format for Import of DV'!J:J,'Format for Import of DV'!C:C,'Recon of ORS and DV'!A7)</f>
        <v>452644.64</v>
      </c>
      <c r="D7" s="562" t="e">
        <f>SUMIFS('Format for Import of DV'!M:M,'Format for Import of DV'!S:S,'Recon of ORS and DV'!B7)</f>
        <v>#VALUE!</v>
      </c>
      <c r="E7" s="276" t="e">
        <f t="shared" si="0"/>
        <v>#VALUE!</v>
      </c>
    </row>
    <row r="8" spans="1:5" hidden="1">
      <c r="A8" s="281" t="s">
        <v>766</v>
      </c>
      <c r="B8" s="281" t="s">
        <v>2058</v>
      </c>
      <c r="C8" s="562">
        <f>SUMIFS('Format for Import of DV'!J:J,'Format for Import of DV'!C:C,'Recon of ORS and DV'!A8)</f>
        <v>325034.35000000003</v>
      </c>
      <c r="D8" s="562" t="e">
        <f>SUMIFS('Format for Import of DV'!M:M,'Format for Import of DV'!S:S,'Recon of ORS and DV'!B8)</f>
        <v>#VALUE!</v>
      </c>
      <c r="E8" s="276" t="e">
        <f t="shared" si="0"/>
        <v>#VALUE!</v>
      </c>
    </row>
    <row r="9" spans="1:5" hidden="1">
      <c r="A9" s="281" t="s">
        <v>767</v>
      </c>
      <c r="B9" s="281" t="s">
        <v>2059</v>
      </c>
      <c r="C9" s="562">
        <f>SUMIFS('Format for Import of DV'!J:J,'Format for Import of DV'!C:C,'Recon of ORS and DV'!A9)</f>
        <v>666774.09000000008</v>
      </c>
      <c r="D9" s="562" t="e">
        <f>SUMIFS('Format for Import of DV'!M:M,'Format for Import of DV'!S:S,'Recon of ORS and DV'!B9)</f>
        <v>#VALUE!</v>
      </c>
      <c r="E9" s="276" t="e">
        <f t="shared" si="0"/>
        <v>#VALUE!</v>
      </c>
    </row>
    <row r="10" spans="1:5" hidden="1">
      <c r="A10" s="281" t="s">
        <v>772</v>
      </c>
      <c r="B10" s="281" t="s">
        <v>2060</v>
      </c>
      <c r="C10" s="562">
        <f>SUMIFS('Format for Import of DV'!J:J,'Format for Import of DV'!C:C,'Recon of ORS and DV'!A10)</f>
        <v>5000</v>
      </c>
      <c r="D10" s="562" t="e">
        <f>SUMIFS('Format for Import of DV'!M:M,'Format for Import of DV'!S:S,'Recon of ORS and DV'!B10)</f>
        <v>#VALUE!</v>
      </c>
      <c r="E10" s="276" t="e">
        <f t="shared" si="0"/>
        <v>#VALUE!</v>
      </c>
    </row>
    <row r="11" spans="1:5" hidden="1">
      <c r="A11" s="281" t="s">
        <v>775</v>
      </c>
      <c r="B11" s="281" t="s">
        <v>2061</v>
      </c>
      <c r="C11" s="562">
        <f>SUMIFS('Format for Import of DV'!J:J,'Format for Import of DV'!C:C,'Recon of ORS and DV'!A11)</f>
        <v>452126.62</v>
      </c>
      <c r="D11" s="562" t="e">
        <f>SUMIFS('Format for Import of DV'!M:M,'Format for Import of DV'!S:S,'Recon of ORS and DV'!B11)</f>
        <v>#VALUE!</v>
      </c>
      <c r="E11" s="276" t="e">
        <f t="shared" si="0"/>
        <v>#VALUE!</v>
      </c>
    </row>
    <row r="12" spans="1:5" hidden="1">
      <c r="A12" s="281" t="s">
        <v>778</v>
      </c>
      <c r="B12" s="281" t="s">
        <v>2062</v>
      </c>
      <c r="C12" s="562">
        <f>SUMIFS('Format for Import of DV'!J:J,'Format for Import of DV'!C:C,'Recon of ORS and DV'!A12)</f>
        <v>160190.04</v>
      </c>
      <c r="D12" s="562" t="e">
        <f>SUMIFS('Format for Import of DV'!M:M,'Format for Import of DV'!S:S,'Recon of ORS and DV'!B12)</f>
        <v>#VALUE!</v>
      </c>
      <c r="E12" s="276" t="e">
        <f t="shared" si="0"/>
        <v>#VALUE!</v>
      </c>
    </row>
    <row r="13" spans="1:5" hidden="1">
      <c r="A13" s="281" t="s">
        <v>849</v>
      </c>
      <c r="B13" s="281" t="s">
        <v>2063</v>
      </c>
      <c r="C13" s="562">
        <f>SUMIFS('Format for Import of DV'!J:J,'Format for Import of DV'!C:C,'Recon of ORS and DV'!A13)</f>
        <v>10311.43</v>
      </c>
      <c r="D13" s="562" t="e">
        <f>SUMIFS('Format for Import of DV'!M:M,'Format for Import of DV'!S:S,'Recon of ORS and DV'!B13)</f>
        <v>#VALUE!</v>
      </c>
      <c r="E13" s="276" t="e">
        <f t="shared" si="0"/>
        <v>#VALUE!</v>
      </c>
    </row>
    <row r="14" spans="1:5" hidden="1">
      <c r="A14" s="281" t="s">
        <v>781</v>
      </c>
      <c r="B14" s="281" t="s">
        <v>2064</v>
      </c>
      <c r="C14" s="562">
        <f>SUMIFS('Format for Import of DV'!J:J,'Format for Import of DV'!C:C,'Recon of ORS and DV'!A14)</f>
        <v>11250</v>
      </c>
      <c r="D14" s="562" t="e">
        <f>SUMIFS('Format for Import of DV'!M:M,'Format for Import of DV'!S:S,'Recon of ORS and DV'!B14)</f>
        <v>#VALUE!</v>
      </c>
      <c r="E14" s="276" t="e">
        <f t="shared" si="0"/>
        <v>#VALUE!</v>
      </c>
    </row>
    <row r="15" spans="1:5" hidden="1">
      <c r="A15" s="281" t="s">
        <v>787</v>
      </c>
      <c r="B15" s="281" t="s">
        <v>2065</v>
      </c>
      <c r="C15" s="562">
        <f>SUMIFS('Format for Import of DV'!J:J,'Format for Import of DV'!C:C,'Recon of ORS and DV'!A15)</f>
        <v>574114.94999999995</v>
      </c>
      <c r="D15" s="562" t="e">
        <f>SUMIFS('Format for Import of DV'!M:M,'Format for Import of DV'!S:S,'Recon of ORS and DV'!B15)</f>
        <v>#VALUE!</v>
      </c>
      <c r="E15" s="276" t="e">
        <f t="shared" si="0"/>
        <v>#VALUE!</v>
      </c>
    </row>
    <row r="16" spans="1:5" hidden="1">
      <c r="A16" s="281" t="s">
        <v>790</v>
      </c>
      <c r="B16" s="281" t="s">
        <v>2066</v>
      </c>
      <c r="C16" s="562">
        <f>SUMIFS('Format for Import of DV'!J:J,'Format for Import of DV'!C:C,'Recon of ORS and DV'!A16)</f>
        <v>2500</v>
      </c>
      <c r="D16" s="562" t="e">
        <f>SUMIFS('Format for Import of DV'!M:M,'Format for Import of DV'!S:S,'Recon of ORS and DV'!B16)</f>
        <v>#VALUE!</v>
      </c>
      <c r="E16" s="276" t="e">
        <f t="shared" si="0"/>
        <v>#VALUE!</v>
      </c>
    </row>
    <row r="17" spans="1:5" hidden="1">
      <c r="A17" s="281" t="s">
        <v>793</v>
      </c>
      <c r="B17" s="281" t="s">
        <v>2067</v>
      </c>
      <c r="C17" s="562">
        <f>SUMIFS('Format for Import of DV'!J:J,'Format for Import of DV'!C:C,'Recon of ORS and DV'!A17)</f>
        <v>0</v>
      </c>
      <c r="D17" s="562" t="e">
        <f>SUMIFS('Format for Import of DV'!M:M,'Format for Import of DV'!S:S,'Recon of ORS and DV'!B17)</f>
        <v>#VALUE!</v>
      </c>
      <c r="E17" s="276" t="e">
        <f t="shared" si="0"/>
        <v>#VALUE!</v>
      </c>
    </row>
    <row r="18" spans="1:5" hidden="1">
      <c r="A18" s="281" t="s">
        <v>807</v>
      </c>
      <c r="B18" s="281" t="s">
        <v>2419</v>
      </c>
      <c r="C18" s="562">
        <f>SUMIFS('Format for Import of DV'!J:J,'Format for Import of DV'!C:C,'Recon of ORS and DV'!A18)</f>
        <v>4313.25</v>
      </c>
      <c r="D18" s="562" t="e">
        <f>SUMIFS('Format for Import of DV'!M:M,'Format for Import of DV'!S:S,'Recon of ORS and DV'!B18)</f>
        <v>#VALUE!</v>
      </c>
      <c r="E18" s="276" t="e">
        <f t="shared" si="0"/>
        <v>#VALUE!</v>
      </c>
    </row>
    <row r="19" spans="1:5" hidden="1">
      <c r="A19" s="281" t="s">
        <v>809</v>
      </c>
      <c r="B19" s="281" t="s">
        <v>2068</v>
      </c>
      <c r="C19" s="562">
        <f>SUMIFS('Format for Import of DV'!J:J,'Format for Import of DV'!C:C,'Recon of ORS and DV'!A19)</f>
        <v>22550.49</v>
      </c>
      <c r="D19" s="562" t="e">
        <f>SUMIFS('Format for Import of DV'!M:M,'Format for Import of DV'!S:S,'Recon of ORS and DV'!B19)</f>
        <v>#VALUE!</v>
      </c>
      <c r="E19" s="276" t="e">
        <f t="shared" si="0"/>
        <v>#VALUE!</v>
      </c>
    </row>
    <row r="20" spans="1:5" hidden="1">
      <c r="A20" s="281" t="s">
        <v>817</v>
      </c>
      <c r="B20" s="557" t="s">
        <v>2073</v>
      </c>
      <c r="C20" s="562">
        <f>SUMIFS('Format for Import of DV'!J:J,'Format for Import of DV'!C:C,'Recon of ORS and DV'!A20)</f>
        <v>7800</v>
      </c>
      <c r="D20" s="562" t="e">
        <f>SUMIFS('Format for Import of DV'!M:M,'Format for Import of DV'!S:S,'Recon of ORS and DV'!B20)</f>
        <v>#VALUE!</v>
      </c>
      <c r="E20" s="276" t="e">
        <f t="shared" si="0"/>
        <v>#VALUE!</v>
      </c>
    </row>
    <row r="21" spans="1:5" hidden="1">
      <c r="A21" s="281" t="s">
        <v>824</v>
      </c>
      <c r="B21" s="281" t="s">
        <v>2069</v>
      </c>
      <c r="C21" s="562">
        <f>SUMIFS('Format for Import of DV'!J:J,'Format for Import of DV'!C:C,'Recon of ORS and DV'!A21)</f>
        <v>7800</v>
      </c>
      <c r="D21" s="562" t="e">
        <f>SUMIFS('Format for Import of DV'!M:M,'Format for Import of DV'!S:S,'Recon of ORS and DV'!B21)</f>
        <v>#VALUE!</v>
      </c>
      <c r="E21" s="276" t="e">
        <f t="shared" si="0"/>
        <v>#VALUE!</v>
      </c>
    </row>
    <row r="22" spans="1:5" hidden="1">
      <c r="A22" s="281" t="s">
        <v>825</v>
      </c>
      <c r="B22" s="281" t="s">
        <v>2070</v>
      </c>
      <c r="C22" s="562">
        <f>SUMIFS('Format for Import of DV'!J:J,'Format for Import of DV'!C:C,'Recon of ORS and DV'!A22)</f>
        <v>7800</v>
      </c>
      <c r="D22" s="562" t="e">
        <f>SUMIFS('Format for Import of DV'!M:M,'Format for Import of DV'!S:S,'Recon of ORS and DV'!B22)</f>
        <v>#VALUE!</v>
      </c>
      <c r="E22" s="276" t="e">
        <f t="shared" si="0"/>
        <v>#VALUE!</v>
      </c>
    </row>
    <row r="23" spans="1:5" hidden="1">
      <c r="A23" s="281" t="s">
        <v>826</v>
      </c>
      <c r="B23" s="281" t="s">
        <v>2071</v>
      </c>
      <c r="C23" s="562">
        <f>SUMIFS('Format for Import of DV'!J:J,'Format for Import of DV'!C:C,'Recon of ORS and DV'!A23)</f>
        <v>7800</v>
      </c>
      <c r="D23" s="562" t="e">
        <f>SUMIFS('Format for Import of DV'!M:M,'Format for Import of DV'!S:S,'Recon of ORS and DV'!B23)</f>
        <v>#VALUE!</v>
      </c>
      <c r="E23" s="276" t="e">
        <f t="shared" si="0"/>
        <v>#VALUE!</v>
      </c>
    </row>
    <row r="24" spans="1:5" hidden="1">
      <c r="A24" s="281" t="s">
        <v>827</v>
      </c>
      <c r="B24" s="281" t="s">
        <v>2072</v>
      </c>
      <c r="C24" s="562">
        <f>SUMIFS('Format for Import of DV'!J:J,'Format for Import of DV'!C:C,'Recon of ORS and DV'!A24)</f>
        <v>7800</v>
      </c>
      <c r="D24" s="562" t="e">
        <f>SUMIFS('Format for Import of DV'!M:M,'Format for Import of DV'!S:S,'Recon of ORS and DV'!B24)</f>
        <v>#VALUE!</v>
      </c>
      <c r="E24" s="276" t="e">
        <f t="shared" si="0"/>
        <v>#VALUE!</v>
      </c>
    </row>
    <row r="25" spans="1:5" hidden="1">
      <c r="A25" s="281" t="s">
        <v>829</v>
      </c>
      <c r="B25" s="281" t="s">
        <v>2425</v>
      </c>
      <c r="C25" s="562">
        <f>SUMIFS('Format for Import of DV'!J:J,'Format for Import of DV'!C:C,'Recon of ORS and DV'!A25)</f>
        <v>59500</v>
      </c>
      <c r="D25" s="562" t="e">
        <f>SUMIFS('Format for Import of DV'!M:M,'Format for Import of DV'!S:S,'Recon of ORS and DV'!B25)</f>
        <v>#VALUE!</v>
      </c>
      <c r="E25" s="276" t="e">
        <f t="shared" si="0"/>
        <v>#VALUE!</v>
      </c>
    </row>
    <row r="26" spans="1:5" hidden="1">
      <c r="A26" s="281" t="s">
        <v>832</v>
      </c>
      <c r="B26" s="281" t="s">
        <v>2074</v>
      </c>
      <c r="C26" s="562">
        <f>SUMIFS('Format for Import of DV'!J:J,'Format for Import of DV'!C:C,'Recon of ORS and DV'!A26)</f>
        <v>18046.37</v>
      </c>
      <c r="D26" s="562" t="e">
        <f>SUMIFS('Format for Import of DV'!M:M,'Format for Import of DV'!S:S,'Recon of ORS and DV'!B26)</f>
        <v>#VALUE!</v>
      </c>
      <c r="E26" s="276" t="e">
        <f t="shared" si="0"/>
        <v>#VALUE!</v>
      </c>
    </row>
    <row r="27" spans="1:5" hidden="1">
      <c r="A27" s="281" t="s">
        <v>835</v>
      </c>
      <c r="B27" s="281" t="s">
        <v>2075</v>
      </c>
      <c r="C27" s="562">
        <f>SUMIFS('Format for Import of DV'!J:J,'Format for Import of DV'!C:C,'Recon of ORS and DV'!A27)</f>
        <v>3675</v>
      </c>
      <c r="D27" s="562" t="e">
        <f>SUMIFS('Format for Import of DV'!M:M,'Format for Import of DV'!S:S,'Recon of ORS and DV'!B27)</f>
        <v>#VALUE!</v>
      </c>
      <c r="E27" s="276" t="e">
        <f t="shared" si="0"/>
        <v>#VALUE!</v>
      </c>
    </row>
    <row r="28" spans="1:5" hidden="1">
      <c r="A28" s="281" t="s">
        <v>838</v>
      </c>
      <c r="B28" s="281" t="s">
        <v>2076</v>
      </c>
      <c r="C28" s="562">
        <f>SUMIFS('Format for Import of DV'!J:J,'Format for Import of DV'!C:C,'Recon of ORS and DV'!A28)</f>
        <v>10895.41</v>
      </c>
      <c r="D28" s="562" t="e">
        <f>SUMIFS('Format for Import of DV'!M:M,'Format for Import of DV'!S:S,'Recon of ORS and DV'!B28)</f>
        <v>#VALUE!</v>
      </c>
      <c r="E28" s="276" t="e">
        <f t="shared" si="0"/>
        <v>#VALUE!</v>
      </c>
    </row>
    <row r="29" spans="1:5" hidden="1">
      <c r="A29" s="281" t="s">
        <v>841</v>
      </c>
      <c r="B29" s="281" t="s">
        <v>2077</v>
      </c>
      <c r="C29" s="562">
        <f>SUMIFS('Format for Import of DV'!J:J,'Format for Import of DV'!C:C,'Recon of ORS and DV'!A29)</f>
        <v>14080</v>
      </c>
      <c r="D29" s="562" t="e">
        <f>SUMIFS('Format for Import of DV'!M:M,'Format for Import of DV'!S:S,'Recon of ORS and DV'!B29)</f>
        <v>#VALUE!</v>
      </c>
      <c r="E29" s="276" t="e">
        <f t="shared" si="0"/>
        <v>#VALUE!</v>
      </c>
    </row>
    <row r="30" spans="1:5" hidden="1">
      <c r="A30" s="281" t="s">
        <v>846</v>
      </c>
      <c r="B30" s="281" t="s">
        <v>2078</v>
      </c>
      <c r="C30" s="562">
        <f>SUMIFS('Format for Import of DV'!J:J,'Format for Import of DV'!C:C,'Recon of ORS and DV'!A30)</f>
        <v>1880</v>
      </c>
      <c r="D30" s="562" t="e">
        <f>SUMIFS('Format for Import of DV'!M:M,'Format for Import of DV'!S:S,'Recon of ORS and DV'!B30)</f>
        <v>#VALUE!</v>
      </c>
      <c r="E30" s="276" t="e">
        <f t="shared" si="0"/>
        <v>#VALUE!</v>
      </c>
    </row>
    <row r="31" spans="1:5" hidden="1">
      <c r="A31" s="281" t="s">
        <v>851</v>
      </c>
      <c r="B31" s="281" t="s">
        <v>2079</v>
      </c>
      <c r="C31" s="562">
        <f>SUMIFS('Format for Import of DV'!J:J,'Format for Import of DV'!C:C,'Recon of ORS and DV'!A31)</f>
        <v>0</v>
      </c>
      <c r="D31" s="562" t="e">
        <f>SUMIFS('Format for Import of DV'!M:M,'Format for Import of DV'!S:S,'Recon of ORS and DV'!B31)</f>
        <v>#VALUE!</v>
      </c>
      <c r="E31" s="276" t="e">
        <f t="shared" si="0"/>
        <v>#VALUE!</v>
      </c>
    </row>
    <row r="32" spans="1:5" hidden="1">
      <c r="A32" s="281" t="s">
        <v>854</v>
      </c>
      <c r="B32" s="281" t="s">
        <v>2080</v>
      </c>
      <c r="C32" s="562">
        <f>SUMIFS('Format for Import of DV'!J:J,'Format for Import of DV'!C:C,'Recon of ORS and DV'!A32)</f>
        <v>20061.82</v>
      </c>
      <c r="D32" s="562" t="e">
        <f>SUMIFS('Format for Import of DV'!M:M,'Format for Import of DV'!S:S,'Recon of ORS and DV'!B32)</f>
        <v>#VALUE!</v>
      </c>
      <c r="E32" s="276" t="e">
        <f t="shared" si="0"/>
        <v>#VALUE!</v>
      </c>
    </row>
    <row r="33" spans="1:5" hidden="1">
      <c r="A33" s="281" t="s">
        <v>856</v>
      </c>
      <c r="B33" s="281" t="s">
        <v>2081</v>
      </c>
      <c r="C33" s="562">
        <f>SUMIFS('Format for Import of DV'!J:J,'Format for Import of DV'!C:C,'Recon of ORS and DV'!A33)</f>
        <v>33474</v>
      </c>
      <c r="D33" s="562" t="e">
        <f>SUMIFS('Format for Import of DV'!M:M,'Format for Import of DV'!S:S,'Recon of ORS and DV'!B33)</f>
        <v>#VALUE!</v>
      </c>
      <c r="E33" s="276" t="e">
        <f t="shared" si="0"/>
        <v>#VALUE!</v>
      </c>
    </row>
    <row r="34" spans="1:5" hidden="1">
      <c r="A34" s="281" t="s">
        <v>858</v>
      </c>
      <c r="B34" s="281"/>
      <c r="C34" s="562">
        <f>SUMIFS('Format for Import of DV'!J:J,'Format for Import of DV'!C:C,'Recon of ORS and DV'!A34)</f>
        <v>0</v>
      </c>
      <c r="D34" s="562" t="e">
        <f>SUMIFS('Format for Import of DV'!M:M,'Format for Import of DV'!S:S,'Recon of ORS and DV'!B34)</f>
        <v>#VALUE!</v>
      </c>
      <c r="E34" s="276" t="e">
        <f t="shared" si="0"/>
        <v>#VALUE!</v>
      </c>
    </row>
    <row r="35" spans="1:5" hidden="1">
      <c r="A35" s="281" t="s">
        <v>861</v>
      </c>
      <c r="B35" s="281" t="s">
        <v>2082</v>
      </c>
      <c r="C35" s="562">
        <f>SUMIFS('Format for Import of DV'!J:J,'Format for Import of DV'!C:C,'Recon of ORS and DV'!A35)</f>
        <v>51777.94</v>
      </c>
      <c r="D35" s="562" t="e">
        <f>SUMIFS('Format for Import of DV'!M:M,'Format for Import of DV'!S:S,'Recon of ORS and DV'!B35)</f>
        <v>#VALUE!</v>
      </c>
      <c r="E35" s="276" t="e">
        <f t="shared" si="0"/>
        <v>#VALUE!</v>
      </c>
    </row>
    <row r="36" spans="1:5" hidden="1">
      <c r="A36" s="281" t="s">
        <v>865</v>
      </c>
      <c r="B36" s="281" t="s">
        <v>2083</v>
      </c>
      <c r="C36" s="562">
        <f>SUMIFS('Format for Import of DV'!J:J,'Format for Import of DV'!C:C,'Recon of ORS and DV'!A36)</f>
        <v>92085.57</v>
      </c>
      <c r="D36" s="562" t="e">
        <f>SUMIFS('Format for Import of DV'!M:M,'Format for Import of DV'!S:S,'Recon of ORS and DV'!B36)</f>
        <v>#VALUE!</v>
      </c>
      <c r="E36" s="276" t="e">
        <f t="shared" si="0"/>
        <v>#VALUE!</v>
      </c>
    </row>
    <row r="37" spans="1:5" hidden="1">
      <c r="A37" s="281" t="s">
        <v>866</v>
      </c>
      <c r="B37" s="281" t="s">
        <v>2084</v>
      </c>
      <c r="C37" s="562">
        <f>SUMIFS('Format for Import of DV'!J:J,'Format for Import of DV'!C:C,'Recon of ORS and DV'!A37)</f>
        <v>40307.629999999997</v>
      </c>
      <c r="D37" s="562" t="e">
        <f>SUMIFS('Format for Import of DV'!M:M,'Format for Import of DV'!S:S,'Recon of ORS and DV'!B37)</f>
        <v>#VALUE!</v>
      </c>
      <c r="E37" s="276" t="e">
        <f t="shared" si="0"/>
        <v>#VALUE!</v>
      </c>
    </row>
    <row r="38" spans="1:5" hidden="1">
      <c r="A38" s="281" t="s">
        <v>868</v>
      </c>
      <c r="B38" s="281" t="s">
        <v>2085</v>
      </c>
      <c r="C38" s="562">
        <f>SUMIFS('Format for Import of DV'!J:J,'Format for Import of DV'!C:C,'Recon of ORS and DV'!A38)</f>
        <v>40307.629999999997</v>
      </c>
      <c r="D38" s="562" t="e">
        <f>SUMIFS('Format for Import of DV'!M:M,'Format for Import of DV'!S:S,'Recon of ORS and DV'!B38)</f>
        <v>#VALUE!</v>
      </c>
      <c r="E38" s="276" t="e">
        <f t="shared" si="0"/>
        <v>#VALUE!</v>
      </c>
    </row>
    <row r="39" spans="1:5" hidden="1">
      <c r="A39" s="281" t="s">
        <v>870</v>
      </c>
      <c r="B39" s="281" t="s">
        <v>2086</v>
      </c>
      <c r="C39" s="562">
        <f>SUMIFS('Format for Import of DV'!J:J,'Format for Import of DV'!C:C,'Recon of ORS and DV'!A39)</f>
        <v>92085.57</v>
      </c>
      <c r="D39" s="562" t="e">
        <f>SUMIFS('Format for Import of DV'!M:M,'Format for Import of DV'!S:S,'Recon of ORS and DV'!B39)</f>
        <v>#VALUE!</v>
      </c>
      <c r="E39" s="276" t="e">
        <f t="shared" si="0"/>
        <v>#VALUE!</v>
      </c>
    </row>
    <row r="40" spans="1:5" hidden="1">
      <c r="A40" s="281" t="s">
        <v>871</v>
      </c>
      <c r="B40" s="281" t="s">
        <v>2087</v>
      </c>
      <c r="C40" s="562">
        <f>SUMIFS('Format for Import of DV'!J:J,'Format for Import of DV'!C:C,'Recon of ORS and DV'!A40)</f>
        <v>40307.629999999997</v>
      </c>
      <c r="D40" s="562" t="e">
        <f>SUMIFS('Format for Import of DV'!M:M,'Format for Import of DV'!S:S,'Recon of ORS and DV'!B40)</f>
        <v>#VALUE!</v>
      </c>
      <c r="E40" s="276" t="e">
        <f t="shared" si="0"/>
        <v>#VALUE!</v>
      </c>
    </row>
    <row r="41" spans="1:5" hidden="1">
      <c r="A41" s="281" t="s">
        <v>1029</v>
      </c>
      <c r="B41" s="281" t="s">
        <v>2088</v>
      </c>
      <c r="C41" s="562">
        <f>SUMIFS('Format for Import of DV'!J:J,'Format for Import of DV'!C:C,'Recon of ORS and DV'!A41)</f>
        <v>150000</v>
      </c>
      <c r="D41" s="562" t="e">
        <f>SUMIFS('Format for Import of DV'!M:M,'Format for Import of DV'!S:S,'Recon of ORS and DV'!B41)</f>
        <v>#VALUE!</v>
      </c>
      <c r="E41" s="276" t="e">
        <f t="shared" si="0"/>
        <v>#VALUE!</v>
      </c>
    </row>
    <row r="42" spans="1:5" hidden="1">
      <c r="A42" s="281" t="s">
        <v>1032</v>
      </c>
      <c r="B42" s="281" t="s">
        <v>2089</v>
      </c>
      <c r="C42" s="562">
        <f>SUMIFS('Format for Import of DV'!J:J,'Format for Import of DV'!C:C,'Recon of ORS and DV'!A42)</f>
        <v>10000</v>
      </c>
      <c r="D42" s="562" t="e">
        <f>SUMIFS('Format for Import of DV'!M:M,'Format for Import of DV'!S:S,'Recon of ORS and DV'!B42)</f>
        <v>#VALUE!</v>
      </c>
      <c r="E42" s="276" t="e">
        <f t="shared" si="0"/>
        <v>#VALUE!</v>
      </c>
    </row>
    <row r="43" spans="1:5" hidden="1">
      <c r="A43" s="281" t="s">
        <v>1034</v>
      </c>
      <c r="B43" s="281" t="s">
        <v>2090</v>
      </c>
      <c r="C43" s="562">
        <f>SUMIFS('Format for Import of DV'!J:J,'Format for Import of DV'!C:C,'Recon of ORS and DV'!A43)</f>
        <v>28636.36</v>
      </c>
      <c r="D43" s="562" t="e">
        <f>SUMIFS('Format for Import of DV'!M:M,'Format for Import of DV'!S:S,'Recon of ORS and DV'!B43)</f>
        <v>#VALUE!</v>
      </c>
      <c r="E43" s="276" t="e">
        <f t="shared" si="0"/>
        <v>#VALUE!</v>
      </c>
    </row>
    <row r="44" spans="1:5" hidden="1">
      <c r="A44" s="281" t="s">
        <v>1046</v>
      </c>
      <c r="B44" s="281" t="s">
        <v>2091</v>
      </c>
      <c r="C44" s="562">
        <f>SUMIFS('Format for Import of DV'!J:J,'Format for Import of DV'!C:C,'Recon of ORS and DV'!A44)</f>
        <v>2073.09</v>
      </c>
      <c r="D44" s="562" t="e">
        <f>SUMIFS('Format for Import of DV'!M:M,'Format for Import of DV'!S:S,'Recon of ORS and DV'!B44)</f>
        <v>#VALUE!</v>
      </c>
      <c r="E44" s="276" t="e">
        <f t="shared" si="0"/>
        <v>#VALUE!</v>
      </c>
    </row>
    <row r="45" spans="1:5" hidden="1">
      <c r="A45" s="281" t="s">
        <v>1047</v>
      </c>
      <c r="B45" s="281" t="s">
        <v>2092</v>
      </c>
      <c r="C45" s="562">
        <f>SUMIFS('Format for Import of DV'!J:J,'Format for Import of DV'!C:C,'Recon of ORS and DV'!A45)</f>
        <v>0</v>
      </c>
      <c r="D45" s="562" t="e">
        <f>SUMIFS('Format for Import of DV'!M:M,'Format for Import of DV'!S:S,'Recon of ORS and DV'!B45)</f>
        <v>#VALUE!</v>
      </c>
      <c r="E45" s="276" t="e">
        <f t="shared" si="0"/>
        <v>#VALUE!</v>
      </c>
    </row>
    <row r="46" spans="1:5" hidden="1">
      <c r="A46" s="281" t="s">
        <v>1264</v>
      </c>
      <c r="B46" s="281" t="s">
        <v>2457</v>
      </c>
      <c r="C46" s="562">
        <f>SUMIFS('Format for Import of DV'!J:J,'Format for Import of DV'!C:C,'Recon of ORS and DV'!A46)</f>
        <v>17600</v>
      </c>
      <c r="D46" s="562" t="e">
        <f>SUMIFS('Format for Import of DV'!M:M,'Format for Import of DV'!S:S,'Recon of ORS and DV'!B46)</f>
        <v>#VALUE!</v>
      </c>
      <c r="E46" s="276" t="e">
        <f t="shared" si="0"/>
        <v>#VALUE!</v>
      </c>
    </row>
    <row r="47" spans="1:5" hidden="1">
      <c r="A47" s="281" t="s">
        <v>1048</v>
      </c>
      <c r="B47" s="281" t="s">
        <v>2093</v>
      </c>
      <c r="C47" s="562">
        <f>SUMIFS('Format for Import of DV'!J:J,'Format for Import of DV'!C:C,'Recon of ORS and DV'!A47)</f>
        <v>80000</v>
      </c>
      <c r="D47" s="562" t="e">
        <f>SUMIFS('Format for Import of DV'!M:M,'Format for Import of DV'!S:S,'Recon of ORS and DV'!B47)</f>
        <v>#VALUE!</v>
      </c>
      <c r="E47" s="276" t="e">
        <f t="shared" si="0"/>
        <v>#VALUE!</v>
      </c>
    </row>
    <row r="48" spans="1:5" hidden="1">
      <c r="A48" s="281" t="s">
        <v>1049</v>
      </c>
      <c r="B48" s="281" t="s">
        <v>2094</v>
      </c>
      <c r="C48" s="562">
        <f>SUMIFS('Format for Import of DV'!J:J,'Format for Import of DV'!C:C,'Recon of ORS and DV'!A48)</f>
        <v>750</v>
      </c>
      <c r="D48" s="562" t="e">
        <f>SUMIFS('Format for Import of DV'!M:M,'Format for Import of DV'!S:S,'Recon of ORS and DV'!B48)</f>
        <v>#VALUE!</v>
      </c>
      <c r="E48" s="276" t="e">
        <f t="shared" si="0"/>
        <v>#VALUE!</v>
      </c>
    </row>
    <row r="49" spans="1:5" hidden="1">
      <c r="A49" s="281" t="s">
        <v>1050</v>
      </c>
      <c r="B49" s="281" t="s">
        <v>2095</v>
      </c>
      <c r="C49" s="562">
        <f>SUMIFS('Format for Import of DV'!J:J,'Format for Import of DV'!C:C,'Recon of ORS and DV'!A49)</f>
        <v>750</v>
      </c>
      <c r="D49" s="562" t="e">
        <f>SUMIFS('Format for Import of DV'!M:M,'Format for Import of DV'!S:S,'Recon of ORS and DV'!B49)</f>
        <v>#VALUE!</v>
      </c>
      <c r="E49" s="276" t="e">
        <f t="shared" si="0"/>
        <v>#VALUE!</v>
      </c>
    </row>
    <row r="50" spans="1:5" hidden="1">
      <c r="A50" s="281" t="s">
        <v>1051</v>
      </c>
      <c r="B50" s="281" t="s">
        <v>2096</v>
      </c>
      <c r="C50" s="562">
        <f>SUMIFS('Format for Import of DV'!J:J,'Format for Import of DV'!C:C,'Recon of ORS and DV'!A50)</f>
        <v>750</v>
      </c>
      <c r="D50" s="562" t="e">
        <f>SUMIFS('Format for Import of DV'!M:M,'Format for Import of DV'!S:S,'Recon of ORS and DV'!B50)</f>
        <v>#VALUE!</v>
      </c>
      <c r="E50" s="276" t="e">
        <f t="shared" si="0"/>
        <v>#VALUE!</v>
      </c>
    </row>
    <row r="51" spans="1:5" hidden="1">
      <c r="A51" s="281" t="s">
        <v>1052</v>
      </c>
      <c r="B51" s="281" t="s">
        <v>2097</v>
      </c>
      <c r="C51" s="562">
        <f>SUMIFS('Format for Import of DV'!J:J,'Format for Import of DV'!C:C,'Recon of ORS and DV'!A51)</f>
        <v>97200</v>
      </c>
      <c r="D51" s="562" t="e">
        <f>SUMIFS('Format for Import of DV'!M:M,'Format for Import of DV'!S:S,'Recon of ORS and DV'!B51)</f>
        <v>#VALUE!</v>
      </c>
      <c r="E51" s="276" t="e">
        <f t="shared" si="0"/>
        <v>#VALUE!</v>
      </c>
    </row>
    <row r="52" spans="1:5" hidden="1">
      <c r="A52" s="281" t="s">
        <v>1053</v>
      </c>
      <c r="B52" s="281" t="s">
        <v>2098</v>
      </c>
      <c r="C52" s="562">
        <f>SUMIFS('Format for Import of DV'!J:J,'Format for Import of DV'!C:C,'Recon of ORS and DV'!A52)</f>
        <v>97200</v>
      </c>
      <c r="D52" s="562" t="e">
        <f>SUMIFS('Format for Import of DV'!M:M,'Format for Import of DV'!S:S,'Recon of ORS and DV'!B52)</f>
        <v>#VALUE!</v>
      </c>
      <c r="E52" s="276" t="e">
        <f t="shared" si="0"/>
        <v>#VALUE!</v>
      </c>
    </row>
    <row r="53" spans="1:5" hidden="1">
      <c r="A53" s="281" t="s">
        <v>1054</v>
      </c>
      <c r="B53" s="281" t="s">
        <v>2099</v>
      </c>
      <c r="C53" s="562">
        <f>SUMIFS('Format for Import of DV'!J:J,'Format for Import of DV'!C:C,'Recon of ORS and DV'!A53)</f>
        <v>97200</v>
      </c>
      <c r="D53" s="562" t="e">
        <f>SUMIFS('Format for Import of DV'!M:M,'Format for Import of DV'!S:S,'Recon of ORS and DV'!B53)</f>
        <v>#VALUE!</v>
      </c>
      <c r="E53" s="276" t="e">
        <f t="shared" si="0"/>
        <v>#VALUE!</v>
      </c>
    </row>
    <row r="54" spans="1:5" hidden="1">
      <c r="A54" s="281" t="s">
        <v>1055</v>
      </c>
      <c r="B54" s="281" t="s">
        <v>2100</v>
      </c>
      <c r="C54" s="562">
        <f>SUMIFS('Format for Import of DV'!J:J,'Format for Import of DV'!C:C,'Recon of ORS and DV'!A54)</f>
        <v>97200</v>
      </c>
      <c r="D54" s="562" t="e">
        <f>SUMIFS('Format for Import of DV'!M:M,'Format for Import of DV'!S:S,'Recon of ORS and DV'!B54)</f>
        <v>#VALUE!</v>
      </c>
      <c r="E54" s="276" t="e">
        <f t="shared" si="0"/>
        <v>#VALUE!</v>
      </c>
    </row>
    <row r="55" spans="1:5" hidden="1">
      <c r="A55" s="281" t="s">
        <v>1056</v>
      </c>
      <c r="B55" s="281" t="s">
        <v>2101</v>
      </c>
      <c r="C55" s="562">
        <f>SUMIFS('Format for Import of DV'!J:J,'Format for Import of DV'!C:C,'Recon of ORS and DV'!A55)</f>
        <v>97200</v>
      </c>
      <c r="D55" s="562" t="e">
        <f>SUMIFS('Format for Import of DV'!M:M,'Format for Import of DV'!S:S,'Recon of ORS and DV'!B55)</f>
        <v>#VALUE!</v>
      </c>
      <c r="E55" s="276" t="e">
        <f t="shared" si="0"/>
        <v>#VALUE!</v>
      </c>
    </row>
    <row r="56" spans="1:5" hidden="1">
      <c r="A56" s="281" t="s">
        <v>1057</v>
      </c>
      <c r="B56" s="281" t="s">
        <v>2102</v>
      </c>
      <c r="C56" s="562">
        <f>SUMIFS('Format for Import of DV'!J:J,'Format for Import of DV'!C:C,'Recon of ORS and DV'!A56)</f>
        <v>62500</v>
      </c>
      <c r="D56" s="562" t="e">
        <f>SUMIFS('Format for Import of DV'!M:M,'Format for Import of DV'!S:S,'Recon of ORS and DV'!B56)</f>
        <v>#VALUE!</v>
      </c>
      <c r="E56" s="276" t="e">
        <f t="shared" si="0"/>
        <v>#VALUE!</v>
      </c>
    </row>
    <row r="57" spans="1:5" hidden="1">
      <c r="A57" s="281" t="s">
        <v>1058</v>
      </c>
      <c r="B57" s="281" t="s">
        <v>2103</v>
      </c>
      <c r="C57" s="562">
        <f>SUMIFS('Format for Import of DV'!J:J,'Format for Import of DV'!C:C,'Recon of ORS and DV'!A57)</f>
        <v>50000</v>
      </c>
      <c r="D57" s="562" t="e">
        <f>SUMIFS('Format for Import of DV'!M:M,'Format for Import of DV'!S:S,'Recon of ORS and DV'!B57)</f>
        <v>#VALUE!</v>
      </c>
      <c r="E57" s="276" t="e">
        <f t="shared" si="0"/>
        <v>#VALUE!</v>
      </c>
    </row>
    <row r="58" spans="1:5" hidden="1">
      <c r="A58" s="281" t="s">
        <v>1059</v>
      </c>
      <c r="B58" s="281" t="s">
        <v>2104</v>
      </c>
      <c r="C58" s="562">
        <f>SUMIFS('Format for Import of DV'!J:J,'Format for Import of DV'!C:C,'Recon of ORS and DV'!A58)</f>
        <v>50000</v>
      </c>
      <c r="D58" s="562" t="e">
        <f>SUMIFS('Format for Import of DV'!M:M,'Format for Import of DV'!S:S,'Recon of ORS and DV'!B58)</f>
        <v>#VALUE!</v>
      </c>
      <c r="E58" s="276" t="e">
        <f t="shared" si="0"/>
        <v>#VALUE!</v>
      </c>
    </row>
    <row r="59" spans="1:5" hidden="1">
      <c r="A59" s="281" t="s">
        <v>1060</v>
      </c>
      <c r="B59" s="281" t="s">
        <v>2105</v>
      </c>
      <c r="C59" s="562">
        <f>SUMIFS('Format for Import of DV'!J:J,'Format for Import of DV'!C:C,'Recon of ORS and DV'!A59)</f>
        <v>50000</v>
      </c>
      <c r="D59" s="562" t="e">
        <f>SUMIFS('Format for Import of DV'!M:M,'Format for Import of DV'!S:S,'Recon of ORS and DV'!B59)</f>
        <v>#VALUE!</v>
      </c>
      <c r="E59" s="276" t="e">
        <f t="shared" si="0"/>
        <v>#VALUE!</v>
      </c>
    </row>
    <row r="60" spans="1:5" hidden="1">
      <c r="A60" s="281" t="s">
        <v>1061</v>
      </c>
      <c r="B60" s="281" t="s">
        <v>2106</v>
      </c>
      <c r="C60" s="562">
        <f>SUMIFS('Format for Import of DV'!J:J,'Format for Import of DV'!C:C,'Recon of ORS and DV'!A60)</f>
        <v>50000</v>
      </c>
      <c r="D60" s="562" t="e">
        <f>SUMIFS('Format for Import of DV'!M:M,'Format for Import of DV'!S:S,'Recon of ORS and DV'!B60)</f>
        <v>#VALUE!</v>
      </c>
      <c r="E60" s="276" t="e">
        <f t="shared" si="0"/>
        <v>#VALUE!</v>
      </c>
    </row>
    <row r="61" spans="1:5" hidden="1">
      <c r="A61" s="281" t="s">
        <v>1063</v>
      </c>
      <c r="B61" s="281" t="s">
        <v>2107</v>
      </c>
      <c r="C61" s="562">
        <f>SUMIFS('Format for Import of DV'!J:J,'Format for Import of DV'!C:C,'Recon of ORS and DV'!A61)</f>
        <v>4734.25</v>
      </c>
      <c r="D61" s="562" t="e">
        <f>SUMIFS('Format for Import of DV'!M:M,'Format for Import of DV'!S:S,'Recon of ORS and DV'!B61)</f>
        <v>#VALUE!</v>
      </c>
      <c r="E61" s="276" t="e">
        <f t="shared" si="0"/>
        <v>#VALUE!</v>
      </c>
    </row>
    <row r="62" spans="1:5" hidden="1">
      <c r="A62" s="281" t="s">
        <v>1077</v>
      </c>
      <c r="B62" s="281" t="s">
        <v>2108</v>
      </c>
      <c r="C62" s="562">
        <f>SUMIFS('Format for Import of DV'!J:J,'Format for Import of DV'!C:C,'Recon of ORS and DV'!A62)</f>
        <v>1350</v>
      </c>
      <c r="D62" s="562" t="e">
        <f>SUMIFS('Format for Import of DV'!M:M,'Format for Import of DV'!S:S,'Recon of ORS and DV'!B62)</f>
        <v>#VALUE!</v>
      </c>
      <c r="E62" s="276" t="e">
        <f t="shared" si="0"/>
        <v>#VALUE!</v>
      </c>
    </row>
    <row r="63" spans="1:5" hidden="1">
      <c r="A63" s="281" t="s">
        <v>1078</v>
      </c>
      <c r="B63" s="281" t="s">
        <v>2109</v>
      </c>
      <c r="C63" s="562">
        <f>SUMIFS('Format for Import of DV'!J:J,'Format for Import of DV'!C:C,'Recon of ORS and DV'!A63)</f>
        <v>528841.48</v>
      </c>
      <c r="D63" s="562" t="e">
        <f>SUMIFS('Format for Import of DV'!M:M,'Format for Import of DV'!S:S,'Recon of ORS and DV'!B63)</f>
        <v>#VALUE!</v>
      </c>
      <c r="E63" s="276" t="e">
        <f t="shared" si="0"/>
        <v>#VALUE!</v>
      </c>
    </row>
    <row r="64" spans="1:5" hidden="1">
      <c r="A64" s="281" t="s">
        <v>1079</v>
      </c>
      <c r="B64" s="281" t="s">
        <v>2110</v>
      </c>
      <c r="C64" s="562">
        <f>SUMIFS('Format for Import of DV'!J:J,'Format for Import of DV'!C:C,'Recon of ORS and DV'!A64)</f>
        <v>241528.69</v>
      </c>
      <c r="D64" s="562" t="e">
        <f>SUMIFS('Format for Import of DV'!M:M,'Format for Import of DV'!S:S,'Recon of ORS and DV'!B64)</f>
        <v>#VALUE!</v>
      </c>
      <c r="E64" s="276" t="e">
        <f t="shared" si="0"/>
        <v>#VALUE!</v>
      </c>
    </row>
    <row r="65" spans="1:5" hidden="1">
      <c r="A65" s="281" t="s">
        <v>1080</v>
      </c>
      <c r="B65" s="281" t="s">
        <v>2111</v>
      </c>
      <c r="C65" s="562">
        <f>SUMIFS('Format for Import of DV'!J:J,'Format for Import of DV'!C:C,'Recon of ORS and DV'!A65)</f>
        <v>337586.4</v>
      </c>
      <c r="D65" s="562" t="e">
        <f>SUMIFS('Format for Import of DV'!M:M,'Format for Import of DV'!S:S,'Recon of ORS and DV'!B65)</f>
        <v>#VALUE!</v>
      </c>
      <c r="E65" s="276" t="e">
        <f t="shared" si="0"/>
        <v>#VALUE!</v>
      </c>
    </row>
    <row r="66" spans="1:5" hidden="1">
      <c r="A66" s="281" t="s">
        <v>1081</v>
      </c>
      <c r="B66" s="281" t="s">
        <v>2112</v>
      </c>
      <c r="C66" s="562">
        <f>SUMIFS('Format for Import of DV'!J:J,'Format for Import of DV'!C:C,'Recon of ORS and DV'!A66)</f>
        <v>355426.3600000001</v>
      </c>
      <c r="D66" s="562" t="e">
        <f>SUMIFS('Format for Import of DV'!M:M,'Format for Import of DV'!S:S,'Recon of ORS and DV'!B66)</f>
        <v>#VALUE!</v>
      </c>
      <c r="E66" s="276" t="e">
        <f t="shared" si="0"/>
        <v>#VALUE!</v>
      </c>
    </row>
    <row r="67" spans="1:5" hidden="1">
      <c r="A67" s="281" t="s">
        <v>1082</v>
      </c>
      <c r="B67" s="281" t="s">
        <v>2113</v>
      </c>
      <c r="C67" s="562">
        <f>SUMIFS('Format for Import of DV'!J:J,'Format for Import of DV'!C:C,'Recon of ORS and DV'!A67)</f>
        <v>230967.52</v>
      </c>
      <c r="D67" s="562" t="e">
        <f>SUMIFS('Format for Import of DV'!M:M,'Format for Import of DV'!S:S,'Recon of ORS and DV'!B67)</f>
        <v>#VALUE!</v>
      </c>
      <c r="E67" s="276" t="e">
        <f t="shared" si="0"/>
        <v>#VALUE!</v>
      </c>
    </row>
    <row r="68" spans="1:5" hidden="1">
      <c r="A68" s="281" t="s">
        <v>1083</v>
      </c>
      <c r="B68" s="281" t="s">
        <v>2114</v>
      </c>
      <c r="C68" s="562">
        <f>SUMIFS('Format for Import of DV'!J:J,'Format for Import of DV'!C:C,'Recon of ORS and DV'!A68)</f>
        <v>65016.91</v>
      </c>
      <c r="D68" s="562" t="e">
        <f>SUMIFS('Format for Import of DV'!M:M,'Format for Import of DV'!S:S,'Recon of ORS and DV'!B68)</f>
        <v>#VALUE!</v>
      </c>
      <c r="E68" s="276" t="e">
        <f t="shared" si="0"/>
        <v>#VALUE!</v>
      </c>
    </row>
    <row r="69" spans="1:5" hidden="1">
      <c r="A69" s="281" t="s">
        <v>1084</v>
      </c>
      <c r="B69" s="281" t="s">
        <v>2115</v>
      </c>
      <c r="C69" s="562">
        <f>SUMIFS('Format for Import of DV'!J:J,'Format for Import of DV'!C:C,'Recon of ORS and DV'!A69)</f>
        <v>16881.330000000002</v>
      </c>
      <c r="D69" s="562" t="e">
        <f>SUMIFS('Format for Import of DV'!M:M,'Format for Import of DV'!S:S,'Recon of ORS and DV'!B69)</f>
        <v>#VALUE!</v>
      </c>
      <c r="E69" s="276" t="e">
        <f t="shared" ref="E69:E132" si="1">C69-D69</f>
        <v>#VALUE!</v>
      </c>
    </row>
    <row r="70" spans="1:5" hidden="1">
      <c r="A70" s="281" t="s">
        <v>1085</v>
      </c>
      <c r="B70" s="281" t="s">
        <v>2116</v>
      </c>
      <c r="C70" s="562">
        <f>SUMIFS('Format for Import of DV'!J:J,'Format for Import of DV'!C:C,'Recon of ORS and DV'!A70)</f>
        <v>4194.7300000000005</v>
      </c>
      <c r="D70" s="562" t="e">
        <f>SUMIFS('Format for Import of DV'!M:M,'Format for Import of DV'!S:S,'Recon of ORS and DV'!B70)</f>
        <v>#VALUE!</v>
      </c>
      <c r="E70" s="276" t="e">
        <f t="shared" si="1"/>
        <v>#VALUE!</v>
      </c>
    </row>
    <row r="71" spans="1:5" hidden="1">
      <c r="A71" s="281" t="s">
        <v>1087</v>
      </c>
      <c r="B71" s="281" t="s">
        <v>2117</v>
      </c>
      <c r="C71" s="562">
        <f>SUMIFS('Format for Import of DV'!J:J,'Format for Import of DV'!C:C,'Recon of ORS and DV'!A71)</f>
        <v>36158</v>
      </c>
      <c r="D71" s="562" t="e">
        <f>SUMIFS('Format for Import of DV'!M:M,'Format for Import of DV'!S:S,'Recon of ORS and DV'!B71)</f>
        <v>#VALUE!</v>
      </c>
      <c r="E71" s="276" t="e">
        <f t="shared" si="1"/>
        <v>#VALUE!</v>
      </c>
    </row>
    <row r="72" spans="1:5" hidden="1">
      <c r="A72" s="281" t="s">
        <v>1088</v>
      </c>
      <c r="B72" s="281" t="s">
        <v>2118</v>
      </c>
      <c r="C72" s="562">
        <f>SUMIFS('Format for Import of DV'!J:J,'Format for Import of DV'!C:C,'Recon of ORS and DV'!A72)</f>
        <v>1046300</v>
      </c>
      <c r="D72" s="562" t="e">
        <f>SUMIFS('Format for Import of DV'!M:M,'Format for Import of DV'!S:S,'Recon of ORS and DV'!B72)</f>
        <v>#VALUE!</v>
      </c>
      <c r="E72" s="276" t="e">
        <f t="shared" si="1"/>
        <v>#VALUE!</v>
      </c>
    </row>
    <row r="73" spans="1:5" hidden="1">
      <c r="A73" s="281" t="s">
        <v>1090</v>
      </c>
      <c r="B73" s="281" t="s">
        <v>2119</v>
      </c>
      <c r="C73" s="562">
        <f>SUMIFS('Format for Import of DV'!J:J,'Format for Import of DV'!C:C,'Recon of ORS and DV'!A73)</f>
        <v>535050</v>
      </c>
      <c r="D73" s="562" t="e">
        <f>SUMIFS('Format for Import of DV'!M:M,'Format for Import of DV'!S:S,'Recon of ORS and DV'!B73)</f>
        <v>#VALUE!</v>
      </c>
      <c r="E73" s="276" t="e">
        <f t="shared" si="1"/>
        <v>#VALUE!</v>
      </c>
    </row>
    <row r="74" spans="1:5" hidden="1">
      <c r="A74" s="281" t="s">
        <v>1091</v>
      </c>
      <c r="B74" s="281" t="s">
        <v>2120</v>
      </c>
      <c r="C74" s="562">
        <f>SUMIFS('Format for Import of DV'!J:J,'Format for Import of DV'!C:C,'Recon of ORS and DV'!A74)</f>
        <v>963500</v>
      </c>
      <c r="D74" s="562" t="e">
        <f>SUMIFS('Format for Import of DV'!M:M,'Format for Import of DV'!S:S,'Recon of ORS and DV'!B74)</f>
        <v>#VALUE!</v>
      </c>
      <c r="E74" s="276" t="e">
        <f t="shared" si="1"/>
        <v>#VALUE!</v>
      </c>
    </row>
    <row r="75" spans="1:5" hidden="1">
      <c r="A75" s="281" t="s">
        <v>1092</v>
      </c>
      <c r="B75" s="281" t="s">
        <v>2121</v>
      </c>
      <c r="C75" s="562">
        <f>SUMIFS('Format for Import of DV'!J:J,'Format for Import of DV'!C:C,'Recon of ORS and DV'!A75)</f>
        <v>870350</v>
      </c>
      <c r="D75" s="562" t="e">
        <f>SUMIFS('Format for Import of DV'!M:M,'Format for Import of DV'!S:S,'Recon of ORS and DV'!B75)</f>
        <v>#VALUE!</v>
      </c>
      <c r="E75" s="276" t="e">
        <f t="shared" si="1"/>
        <v>#VALUE!</v>
      </c>
    </row>
    <row r="76" spans="1:5" hidden="1">
      <c r="A76" s="281" t="s">
        <v>1093</v>
      </c>
      <c r="B76" s="281" t="s">
        <v>2122</v>
      </c>
      <c r="C76" s="562">
        <f>SUMIFS('Format for Import of DV'!J:J,'Format for Import of DV'!C:C,'Recon of ORS and DV'!A76)</f>
        <v>815900</v>
      </c>
      <c r="D76" s="562" t="e">
        <f>SUMIFS('Format for Import of DV'!M:M,'Format for Import of DV'!S:S,'Recon of ORS and DV'!B76)</f>
        <v>#VALUE!</v>
      </c>
      <c r="E76" s="276" t="e">
        <f t="shared" si="1"/>
        <v>#VALUE!</v>
      </c>
    </row>
    <row r="77" spans="1:5" hidden="1">
      <c r="A77" s="281" t="s">
        <v>1094</v>
      </c>
      <c r="B77" s="281" t="s">
        <v>2123</v>
      </c>
      <c r="C77" s="562">
        <f>SUMIFS('Format for Import of DV'!J:J,'Format for Import of DV'!C:C,'Recon of ORS and DV'!A77)</f>
        <v>62014.22</v>
      </c>
      <c r="D77" s="562" t="e">
        <f>SUMIFS('Format for Import of DV'!M:M,'Format for Import of DV'!S:S,'Recon of ORS and DV'!B77)</f>
        <v>#VALUE!</v>
      </c>
      <c r="E77" s="276" t="e">
        <f t="shared" si="1"/>
        <v>#VALUE!</v>
      </c>
    </row>
    <row r="78" spans="1:5" hidden="1">
      <c r="A78" s="281" t="s">
        <v>1096</v>
      </c>
      <c r="B78" s="281" t="s">
        <v>2124</v>
      </c>
      <c r="C78" s="562">
        <f>SUMIFS('Format for Import of DV'!J:J,'Format for Import of DV'!C:C,'Recon of ORS and DV'!A78)</f>
        <v>17167.73</v>
      </c>
      <c r="D78" s="562" t="e">
        <f>SUMIFS('Format for Import of DV'!M:M,'Format for Import of DV'!S:S,'Recon of ORS and DV'!B78)</f>
        <v>#VALUE!</v>
      </c>
      <c r="E78" s="276" t="e">
        <f t="shared" si="1"/>
        <v>#VALUE!</v>
      </c>
    </row>
    <row r="79" spans="1:5" hidden="1">
      <c r="A79" s="281" t="s">
        <v>1097</v>
      </c>
      <c r="B79" s="281" t="s">
        <v>2125</v>
      </c>
      <c r="C79" s="562">
        <f>SUMIFS('Format for Import of DV'!J:J,'Format for Import of DV'!C:C,'Recon of ORS and DV'!A79)</f>
        <v>17698.68</v>
      </c>
      <c r="D79" s="562" t="e">
        <f>SUMIFS('Format for Import of DV'!M:M,'Format for Import of DV'!S:S,'Recon of ORS and DV'!B79)</f>
        <v>#VALUE!</v>
      </c>
      <c r="E79" s="276" t="e">
        <f t="shared" si="1"/>
        <v>#VALUE!</v>
      </c>
    </row>
    <row r="80" spans="1:5" hidden="1">
      <c r="A80" s="281" t="s">
        <v>1098</v>
      </c>
      <c r="B80" s="281" t="s">
        <v>2126</v>
      </c>
      <c r="C80" s="562">
        <f>SUMIFS('Format for Import of DV'!J:J,'Format for Import of DV'!C:C,'Recon of ORS and DV'!A80)</f>
        <v>18167.440000000002</v>
      </c>
      <c r="D80" s="562" t="e">
        <f>SUMIFS('Format for Import of DV'!M:M,'Format for Import of DV'!S:S,'Recon of ORS and DV'!B80)</f>
        <v>#VALUE!</v>
      </c>
      <c r="E80" s="276" t="e">
        <f t="shared" si="1"/>
        <v>#VALUE!</v>
      </c>
    </row>
    <row r="81" spans="1:5" hidden="1">
      <c r="A81" s="281" t="s">
        <v>1099</v>
      </c>
      <c r="B81" s="281" t="s">
        <v>2127</v>
      </c>
      <c r="C81" s="562">
        <f>SUMIFS('Format for Import of DV'!J:J,'Format for Import of DV'!C:C,'Recon of ORS and DV'!A81)</f>
        <v>21594.01</v>
      </c>
      <c r="D81" s="562" t="e">
        <f>SUMIFS('Format for Import of DV'!M:M,'Format for Import of DV'!S:S,'Recon of ORS and DV'!B81)</f>
        <v>#VALUE!</v>
      </c>
      <c r="E81" s="276" t="e">
        <f t="shared" si="1"/>
        <v>#VALUE!</v>
      </c>
    </row>
    <row r="82" spans="1:5" hidden="1">
      <c r="A82" s="281" t="s">
        <v>1100</v>
      </c>
      <c r="B82" s="281" t="s">
        <v>2128</v>
      </c>
      <c r="C82" s="562">
        <f>SUMIFS('Format for Import of DV'!J:J,'Format for Import of DV'!C:C,'Recon of ORS and DV'!A82)</f>
        <v>12904.51</v>
      </c>
      <c r="D82" s="562" t="e">
        <f>SUMIFS('Format for Import of DV'!M:M,'Format for Import of DV'!S:S,'Recon of ORS and DV'!B82)</f>
        <v>#VALUE!</v>
      </c>
      <c r="E82" s="276" t="e">
        <f t="shared" si="1"/>
        <v>#VALUE!</v>
      </c>
    </row>
    <row r="83" spans="1:5" hidden="1">
      <c r="A83" s="281" t="s">
        <v>1101</v>
      </c>
      <c r="B83" s="281" t="s">
        <v>2129</v>
      </c>
      <c r="C83" s="562">
        <f>SUMIFS('Format for Import of DV'!J:J,'Format for Import of DV'!C:C,'Recon of ORS and DV'!A83)</f>
        <v>1200</v>
      </c>
      <c r="D83" s="562" t="e">
        <f>SUMIFS('Format for Import of DV'!M:M,'Format for Import of DV'!S:S,'Recon of ORS and DV'!B83)</f>
        <v>#VALUE!</v>
      </c>
      <c r="E83" s="276" t="e">
        <f t="shared" si="1"/>
        <v>#VALUE!</v>
      </c>
    </row>
    <row r="84" spans="1:5" hidden="1">
      <c r="A84" s="281" t="s">
        <v>1104</v>
      </c>
      <c r="B84" s="281" t="s">
        <v>2130</v>
      </c>
      <c r="C84" s="562">
        <f>SUMIFS('Format for Import of DV'!J:J,'Format for Import of DV'!C:C,'Recon of ORS and DV'!A84)</f>
        <v>8885.08</v>
      </c>
      <c r="D84" s="562" t="e">
        <f>SUMIFS('Format for Import of DV'!M:M,'Format for Import of DV'!S:S,'Recon of ORS and DV'!B84)</f>
        <v>#VALUE!</v>
      </c>
      <c r="E84" s="276" t="e">
        <f t="shared" si="1"/>
        <v>#VALUE!</v>
      </c>
    </row>
    <row r="85" spans="1:5" hidden="1">
      <c r="A85" s="281" t="s">
        <v>1107</v>
      </c>
      <c r="B85" s="281" t="s">
        <v>2131</v>
      </c>
      <c r="C85" s="562">
        <f>SUMIFS('Format for Import of DV'!J:J,'Format for Import of DV'!C:C,'Recon of ORS and DV'!A85)</f>
        <v>10600</v>
      </c>
      <c r="D85" s="562" t="e">
        <f>SUMIFS('Format for Import of DV'!M:M,'Format for Import of DV'!S:S,'Recon of ORS and DV'!B85)</f>
        <v>#VALUE!</v>
      </c>
      <c r="E85" s="276" t="e">
        <f t="shared" si="1"/>
        <v>#VALUE!</v>
      </c>
    </row>
    <row r="86" spans="1:5" hidden="1">
      <c r="A86" s="281" t="s">
        <v>1110</v>
      </c>
      <c r="B86" s="281" t="s">
        <v>2132</v>
      </c>
      <c r="C86" s="562">
        <f>SUMIFS('Format for Import of DV'!J:J,'Format for Import of DV'!C:C,'Recon of ORS and DV'!A86)</f>
        <v>2400</v>
      </c>
      <c r="D86" s="562" t="e">
        <f>SUMIFS('Format for Import of DV'!M:M,'Format for Import of DV'!S:S,'Recon of ORS and DV'!B86)</f>
        <v>#VALUE!</v>
      </c>
      <c r="E86" s="276" t="e">
        <f t="shared" si="1"/>
        <v>#VALUE!</v>
      </c>
    </row>
    <row r="87" spans="1:5" hidden="1">
      <c r="A87" s="281" t="s">
        <v>1112</v>
      </c>
      <c r="B87" s="281" t="s">
        <v>2133</v>
      </c>
      <c r="C87" s="562">
        <f>SUMIFS('Format for Import of DV'!J:J,'Format for Import of DV'!C:C,'Recon of ORS and DV'!A87)</f>
        <v>2049964.0999999999</v>
      </c>
      <c r="D87" s="562" t="e">
        <f>SUMIFS('Format for Import of DV'!M:M,'Format for Import of DV'!S:S,'Recon of ORS and DV'!B87)</f>
        <v>#VALUE!</v>
      </c>
      <c r="E87" s="276" t="e">
        <f t="shared" si="1"/>
        <v>#VALUE!</v>
      </c>
    </row>
    <row r="88" spans="1:5" hidden="1">
      <c r="A88" s="281" t="s">
        <v>1114</v>
      </c>
      <c r="B88" s="281" t="s">
        <v>2134</v>
      </c>
      <c r="C88" s="562">
        <f>SUMIFS('Format for Import of DV'!J:J,'Format for Import of DV'!C:C,'Recon of ORS and DV'!A88)</f>
        <v>429402.37</v>
      </c>
      <c r="D88" s="562" t="e">
        <f>SUMIFS('Format for Import of DV'!M:M,'Format for Import of DV'!S:S,'Recon of ORS and DV'!B88)</f>
        <v>#VALUE!</v>
      </c>
      <c r="E88" s="276" t="e">
        <f t="shared" si="1"/>
        <v>#VALUE!</v>
      </c>
    </row>
    <row r="89" spans="1:5" hidden="1">
      <c r="A89" s="281" t="s">
        <v>1115</v>
      </c>
      <c r="B89" s="281" t="s">
        <v>2135</v>
      </c>
      <c r="C89" s="562">
        <f>SUMIFS('Format for Import of DV'!J:J,'Format for Import of DV'!C:C,'Recon of ORS and DV'!A89)</f>
        <v>389716.8</v>
      </c>
      <c r="D89" s="562" t="e">
        <f>SUMIFS('Format for Import of DV'!M:M,'Format for Import of DV'!S:S,'Recon of ORS and DV'!B89)</f>
        <v>#VALUE!</v>
      </c>
      <c r="E89" s="276" t="e">
        <f t="shared" si="1"/>
        <v>#VALUE!</v>
      </c>
    </row>
    <row r="90" spans="1:5" hidden="1">
      <c r="A90" s="281" t="s">
        <v>1116</v>
      </c>
      <c r="B90" s="281" t="s">
        <v>2136</v>
      </c>
      <c r="C90" s="562">
        <f>SUMIFS('Format for Import of DV'!J:J,'Format for Import of DV'!C:C,'Recon of ORS and DV'!A90)</f>
        <v>457.27</v>
      </c>
      <c r="D90" s="562" t="e">
        <f>SUMIFS('Format for Import of DV'!M:M,'Format for Import of DV'!S:S,'Recon of ORS and DV'!B90)</f>
        <v>#VALUE!</v>
      </c>
      <c r="E90" s="276" t="e">
        <f t="shared" si="1"/>
        <v>#VALUE!</v>
      </c>
    </row>
    <row r="91" spans="1:5" hidden="1">
      <c r="A91" s="281" t="s">
        <v>1118</v>
      </c>
      <c r="B91" s="281" t="s">
        <v>2137</v>
      </c>
      <c r="C91" s="562">
        <f>SUMIFS('Format for Import of DV'!J:J,'Format for Import of DV'!C:C,'Recon of ORS and DV'!A91)</f>
        <v>258.18</v>
      </c>
      <c r="D91" s="562" t="e">
        <f>SUMIFS('Format for Import of DV'!M:M,'Format for Import of DV'!S:S,'Recon of ORS and DV'!B91)</f>
        <v>#VALUE!</v>
      </c>
      <c r="E91" s="276" t="e">
        <f t="shared" si="1"/>
        <v>#VALUE!</v>
      </c>
    </row>
    <row r="92" spans="1:5" hidden="1">
      <c r="A92" s="281" t="s">
        <v>1120</v>
      </c>
      <c r="B92" s="281" t="s">
        <v>2138</v>
      </c>
      <c r="C92" s="562">
        <f>SUMIFS('Format for Import of DV'!J:J,'Format for Import of DV'!C:C,'Recon of ORS and DV'!A92)</f>
        <v>614.54999999999995</v>
      </c>
      <c r="D92" s="562" t="e">
        <f>SUMIFS('Format for Import of DV'!M:M,'Format for Import of DV'!S:S,'Recon of ORS and DV'!B92)</f>
        <v>#VALUE!</v>
      </c>
      <c r="E92" s="276" t="e">
        <f t="shared" si="1"/>
        <v>#VALUE!</v>
      </c>
    </row>
    <row r="93" spans="1:5" hidden="1">
      <c r="A93" s="281" t="s">
        <v>1122</v>
      </c>
      <c r="B93" s="281" t="s">
        <v>2139</v>
      </c>
      <c r="C93" s="562">
        <f>SUMIFS('Format for Import of DV'!J:J,'Format for Import of DV'!C:C,'Recon of ORS and DV'!A93)</f>
        <v>105049.54</v>
      </c>
      <c r="D93" s="562" t="e">
        <f>SUMIFS('Format for Import of DV'!M:M,'Format for Import of DV'!S:S,'Recon of ORS and DV'!B93)</f>
        <v>#VALUE!</v>
      </c>
      <c r="E93" s="276" t="e">
        <f t="shared" si="1"/>
        <v>#VALUE!</v>
      </c>
    </row>
    <row r="94" spans="1:5" hidden="1">
      <c r="A94" s="281" t="s">
        <v>1124</v>
      </c>
      <c r="B94" s="281" t="s">
        <v>2140</v>
      </c>
      <c r="C94" s="562">
        <f>SUMIFS('Format for Import of DV'!J:J,'Format for Import of DV'!C:C,'Recon of ORS and DV'!A94)</f>
        <v>40307.629999999997</v>
      </c>
      <c r="D94" s="562" t="e">
        <f>SUMIFS('Format for Import of DV'!M:M,'Format for Import of DV'!S:S,'Recon of ORS and DV'!B94)</f>
        <v>#VALUE!</v>
      </c>
      <c r="E94" s="276" t="e">
        <f t="shared" si="1"/>
        <v>#VALUE!</v>
      </c>
    </row>
    <row r="95" spans="1:5" hidden="1">
      <c r="A95" s="281" t="s">
        <v>1126</v>
      </c>
      <c r="B95" s="281" t="s">
        <v>2141</v>
      </c>
      <c r="C95" s="562">
        <f>SUMIFS('Format for Import of DV'!J:J,'Format for Import of DV'!C:C,'Recon of ORS and DV'!A95)</f>
        <v>51777.93</v>
      </c>
      <c r="D95" s="562" t="e">
        <f>SUMIFS('Format for Import of DV'!M:M,'Format for Import of DV'!S:S,'Recon of ORS and DV'!B95)</f>
        <v>#VALUE!</v>
      </c>
      <c r="E95" s="276" t="e">
        <f t="shared" si="1"/>
        <v>#VALUE!</v>
      </c>
    </row>
    <row r="96" spans="1:5" hidden="1">
      <c r="A96" s="281" t="s">
        <v>1127</v>
      </c>
      <c r="B96" s="281"/>
      <c r="C96" s="562">
        <f>SUMIFS('Format for Import of DV'!J:J,'Format for Import of DV'!C:C,'Recon of ORS and DV'!A96)</f>
        <v>0</v>
      </c>
      <c r="D96" s="562" t="e">
        <f>SUMIFS('Format for Import of DV'!M:M,'Format for Import of DV'!S:S,'Recon of ORS and DV'!B96)</f>
        <v>#VALUE!</v>
      </c>
      <c r="E96" s="276" t="e">
        <f t="shared" si="1"/>
        <v>#VALUE!</v>
      </c>
    </row>
    <row r="97" spans="1:5" hidden="1">
      <c r="A97" s="281" t="s">
        <v>1130</v>
      </c>
      <c r="B97" s="281" t="s">
        <v>2142</v>
      </c>
      <c r="C97" s="562">
        <f>SUMIFS('Format for Import of DV'!J:J,'Format for Import of DV'!C:C,'Recon of ORS and DV'!A97)</f>
        <v>25000</v>
      </c>
      <c r="D97" s="562" t="e">
        <f>SUMIFS('Format for Import of DV'!M:M,'Format for Import of DV'!S:S,'Recon of ORS and DV'!B97)</f>
        <v>#VALUE!</v>
      </c>
      <c r="E97" s="276" t="e">
        <f t="shared" si="1"/>
        <v>#VALUE!</v>
      </c>
    </row>
    <row r="98" spans="1:5" hidden="1">
      <c r="A98" s="281" t="s">
        <v>1133</v>
      </c>
      <c r="B98" s="281" t="s">
        <v>2143</v>
      </c>
      <c r="C98" s="562">
        <f>SUMIFS('Format for Import of DV'!J:J,'Format for Import of DV'!C:C,'Recon of ORS and DV'!A98)</f>
        <v>1990</v>
      </c>
      <c r="D98" s="562" t="e">
        <f>SUMIFS('Format for Import of DV'!M:M,'Format for Import of DV'!S:S,'Recon of ORS and DV'!B98)</f>
        <v>#VALUE!</v>
      </c>
      <c r="E98" s="276" t="e">
        <f t="shared" si="1"/>
        <v>#VALUE!</v>
      </c>
    </row>
    <row r="99" spans="1:5" hidden="1">
      <c r="A99" s="281" t="s">
        <v>1136</v>
      </c>
      <c r="B99" s="281" t="s">
        <v>2144</v>
      </c>
      <c r="C99" s="562">
        <f>SUMIFS('Format for Import of DV'!J:J,'Format for Import of DV'!C:C,'Recon of ORS and DV'!A99)</f>
        <v>170501.47</v>
      </c>
      <c r="D99" s="562" t="e">
        <f>SUMIFS('Format for Import of DV'!M:M,'Format for Import of DV'!S:S,'Recon of ORS and DV'!B99)</f>
        <v>#VALUE!</v>
      </c>
      <c r="E99" s="276" t="e">
        <f t="shared" si="1"/>
        <v>#VALUE!</v>
      </c>
    </row>
    <row r="100" spans="1:5" hidden="1">
      <c r="A100" s="281" t="s">
        <v>1138</v>
      </c>
      <c r="B100" s="281" t="s">
        <v>2145</v>
      </c>
      <c r="C100" s="562">
        <f>SUMIFS('Format for Import of DV'!J:J,'Format for Import of DV'!C:C,'Recon of ORS and DV'!A100)</f>
        <v>0</v>
      </c>
      <c r="D100" s="562" t="e">
        <f>SUMIFS('Format for Import of DV'!M:M,'Format for Import of DV'!S:S,'Recon of ORS and DV'!B100)</f>
        <v>#VALUE!</v>
      </c>
      <c r="E100" s="276" t="e">
        <f t="shared" si="1"/>
        <v>#VALUE!</v>
      </c>
    </row>
    <row r="101" spans="1:5" hidden="1">
      <c r="A101" s="281" t="s">
        <v>1140</v>
      </c>
      <c r="B101" s="281" t="s">
        <v>2146</v>
      </c>
      <c r="C101" s="562">
        <f>SUMIFS('Format for Import of DV'!J:J,'Format for Import of DV'!C:C,'Recon of ORS and DV'!A101)</f>
        <v>640000</v>
      </c>
      <c r="D101" s="562" t="e">
        <f>SUMIFS('Format for Import of DV'!M:M,'Format for Import of DV'!S:S,'Recon of ORS and DV'!B101)</f>
        <v>#VALUE!</v>
      </c>
      <c r="E101" s="276" t="e">
        <f t="shared" si="1"/>
        <v>#VALUE!</v>
      </c>
    </row>
    <row r="102" spans="1:5" hidden="1">
      <c r="A102" s="281" t="s">
        <v>1141</v>
      </c>
      <c r="B102" s="281" t="s">
        <v>2147</v>
      </c>
      <c r="C102" s="562">
        <f>SUMIFS('Format for Import of DV'!J:J,'Format for Import of DV'!C:C,'Recon of ORS and DV'!A102)</f>
        <v>0</v>
      </c>
      <c r="D102" s="562" t="e">
        <f>SUMIFS('Format for Import of DV'!M:M,'Format for Import of DV'!S:S,'Recon of ORS and DV'!B102)</f>
        <v>#VALUE!</v>
      </c>
      <c r="E102" s="276" t="e">
        <f t="shared" si="1"/>
        <v>#VALUE!</v>
      </c>
    </row>
    <row r="103" spans="1:5" hidden="1">
      <c r="A103" s="281" t="s">
        <v>1142</v>
      </c>
      <c r="B103" s="281" t="s">
        <v>2148</v>
      </c>
      <c r="C103" s="562">
        <f>SUMIFS('Format for Import of DV'!J:J,'Format for Import of DV'!C:C,'Recon of ORS and DV'!A103)</f>
        <v>0</v>
      </c>
      <c r="D103" s="562" t="e">
        <f>SUMIFS('Format for Import of DV'!M:M,'Format for Import of DV'!S:S,'Recon of ORS and DV'!B103)</f>
        <v>#VALUE!</v>
      </c>
      <c r="E103" s="276" t="e">
        <f t="shared" si="1"/>
        <v>#VALUE!</v>
      </c>
    </row>
    <row r="104" spans="1:5" hidden="1">
      <c r="A104" s="281" t="s">
        <v>1143</v>
      </c>
      <c r="B104" s="281" t="s">
        <v>2149</v>
      </c>
      <c r="C104" s="562">
        <f>SUMIFS('Format for Import of DV'!J:J,'Format for Import of DV'!C:C,'Recon of ORS and DV'!A104)</f>
        <v>0</v>
      </c>
      <c r="D104" s="562" t="e">
        <f>SUMIFS('Format for Import of DV'!M:M,'Format for Import of DV'!S:S,'Recon of ORS and DV'!B104)</f>
        <v>#VALUE!</v>
      </c>
      <c r="E104" s="276" t="e">
        <f t="shared" si="1"/>
        <v>#VALUE!</v>
      </c>
    </row>
    <row r="105" spans="1:5" hidden="1">
      <c r="A105" s="281" t="s">
        <v>1144</v>
      </c>
      <c r="B105" s="281"/>
      <c r="C105" s="562">
        <f>SUMIFS('Format for Import of DV'!J:J,'Format for Import of DV'!C:C,'Recon of ORS and DV'!A105)</f>
        <v>0</v>
      </c>
      <c r="D105" s="562" t="e">
        <f>SUMIFS('Format for Import of DV'!M:M,'Format for Import of DV'!S:S,'Recon of ORS and DV'!B105)</f>
        <v>#VALUE!</v>
      </c>
      <c r="E105" s="276" t="e">
        <f t="shared" si="1"/>
        <v>#VALUE!</v>
      </c>
    </row>
    <row r="106" spans="1:5" hidden="1">
      <c r="A106" s="281" t="s">
        <v>1146</v>
      </c>
      <c r="B106" s="281"/>
      <c r="C106" s="562">
        <f>SUMIFS('Format for Import of DV'!J:J,'Format for Import of DV'!C:C,'Recon of ORS and DV'!A106)</f>
        <v>0</v>
      </c>
      <c r="D106" s="562" t="e">
        <f>SUMIFS('Format for Import of DV'!M:M,'Format for Import of DV'!S:S,'Recon of ORS and DV'!B106)</f>
        <v>#VALUE!</v>
      </c>
      <c r="E106" s="276" t="e">
        <f t="shared" si="1"/>
        <v>#VALUE!</v>
      </c>
    </row>
    <row r="107" spans="1:5" hidden="1">
      <c r="A107" s="281" t="s">
        <v>1147</v>
      </c>
      <c r="B107" s="281" t="s">
        <v>2150</v>
      </c>
      <c r="C107" s="562">
        <f>SUMIFS('Format for Import of DV'!J:J,'Format for Import of DV'!C:C,'Recon of ORS and DV'!A107)</f>
        <v>80335.709999999992</v>
      </c>
      <c r="D107" s="562" t="e">
        <f>SUMIFS('Format for Import of DV'!M:M,'Format for Import of DV'!S:S,'Recon of ORS and DV'!B107)</f>
        <v>#VALUE!</v>
      </c>
      <c r="E107" s="276" t="e">
        <f t="shared" si="1"/>
        <v>#VALUE!</v>
      </c>
    </row>
    <row r="108" spans="1:5" hidden="1">
      <c r="A108" s="281" t="s">
        <v>1148</v>
      </c>
      <c r="B108" s="281"/>
      <c r="C108" s="562">
        <f>SUMIFS('Format for Import of DV'!J:J,'Format for Import of DV'!C:C,'Recon of ORS and DV'!A108)</f>
        <v>0</v>
      </c>
      <c r="D108" s="562" t="e">
        <f>SUMIFS('Format for Import of DV'!M:M,'Format for Import of DV'!S:S,'Recon of ORS and DV'!B108)</f>
        <v>#VALUE!</v>
      </c>
      <c r="E108" s="276" t="e">
        <f t="shared" si="1"/>
        <v>#VALUE!</v>
      </c>
    </row>
    <row r="109" spans="1:5" hidden="1">
      <c r="A109" s="281" t="s">
        <v>1149</v>
      </c>
      <c r="B109" s="281"/>
      <c r="C109" s="562">
        <f>SUMIFS('Format for Import of DV'!J:J,'Format for Import of DV'!C:C,'Recon of ORS and DV'!A109)</f>
        <v>0</v>
      </c>
      <c r="D109" s="562" t="e">
        <f>SUMIFS('Format for Import of DV'!M:M,'Format for Import of DV'!S:S,'Recon of ORS and DV'!B109)</f>
        <v>#VALUE!</v>
      </c>
      <c r="E109" s="276" t="e">
        <f t="shared" si="1"/>
        <v>#VALUE!</v>
      </c>
    </row>
    <row r="110" spans="1:5" hidden="1">
      <c r="A110" s="281" t="s">
        <v>1151</v>
      </c>
      <c r="B110" s="281"/>
      <c r="C110" s="562">
        <f>SUMIFS('Format for Import of DV'!J:J,'Format for Import of DV'!C:C,'Recon of ORS and DV'!A110)</f>
        <v>0</v>
      </c>
      <c r="D110" s="562" t="e">
        <f>SUMIFS('Format for Import of DV'!M:M,'Format for Import of DV'!S:S,'Recon of ORS and DV'!B110)</f>
        <v>#VALUE!</v>
      </c>
      <c r="E110" s="276" t="e">
        <f t="shared" si="1"/>
        <v>#VALUE!</v>
      </c>
    </row>
    <row r="111" spans="1:5" hidden="1">
      <c r="A111" s="281" t="s">
        <v>1152</v>
      </c>
      <c r="B111" s="281" t="s">
        <v>2151</v>
      </c>
      <c r="C111" s="562">
        <f>SUMIFS('Format for Import of DV'!J:J,'Format for Import of DV'!C:C,'Recon of ORS and DV'!A111)</f>
        <v>31356</v>
      </c>
      <c r="D111" s="562" t="e">
        <f>SUMIFS('Format for Import of DV'!M:M,'Format for Import of DV'!S:S,'Recon of ORS and DV'!B111)</f>
        <v>#VALUE!</v>
      </c>
      <c r="E111" s="276" t="e">
        <f t="shared" si="1"/>
        <v>#VALUE!</v>
      </c>
    </row>
    <row r="112" spans="1:5" hidden="1">
      <c r="A112" s="281" t="s">
        <v>1153</v>
      </c>
      <c r="B112" s="281"/>
      <c r="C112" s="562">
        <f>SUMIFS('Format for Import of DV'!J:J,'Format for Import of DV'!C:C,'Recon of ORS and DV'!A112)</f>
        <v>0</v>
      </c>
      <c r="D112" s="562" t="e">
        <f>SUMIFS('Format for Import of DV'!M:M,'Format for Import of DV'!S:S,'Recon of ORS and DV'!B112)</f>
        <v>#VALUE!</v>
      </c>
      <c r="E112" s="276" t="e">
        <f t="shared" si="1"/>
        <v>#VALUE!</v>
      </c>
    </row>
    <row r="113" spans="1:5" hidden="1">
      <c r="A113" s="281" t="s">
        <v>1154</v>
      </c>
      <c r="B113" s="281"/>
      <c r="C113" s="562">
        <f>SUMIFS('Format for Import of DV'!J:J,'Format for Import of DV'!C:C,'Recon of ORS and DV'!A113)</f>
        <v>0</v>
      </c>
      <c r="D113" s="562" t="e">
        <f>SUMIFS('Format for Import of DV'!M:M,'Format for Import of DV'!S:S,'Recon of ORS and DV'!B113)</f>
        <v>#VALUE!</v>
      </c>
      <c r="E113" s="276" t="e">
        <f t="shared" si="1"/>
        <v>#VALUE!</v>
      </c>
    </row>
    <row r="114" spans="1:5" hidden="1">
      <c r="A114" s="281" t="s">
        <v>1155</v>
      </c>
      <c r="B114" s="281"/>
      <c r="C114" s="562">
        <f>SUMIFS('Format for Import of DV'!J:J,'Format for Import of DV'!C:C,'Recon of ORS and DV'!A114)</f>
        <v>0</v>
      </c>
      <c r="D114" s="562" t="e">
        <f>SUMIFS('Format for Import of DV'!M:M,'Format for Import of DV'!S:S,'Recon of ORS and DV'!B114)</f>
        <v>#VALUE!</v>
      </c>
      <c r="E114" s="276" t="e">
        <f t="shared" si="1"/>
        <v>#VALUE!</v>
      </c>
    </row>
    <row r="115" spans="1:5" hidden="1">
      <c r="A115" s="281" t="s">
        <v>1156</v>
      </c>
      <c r="B115" s="281" t="s">
        <v>2152</v>
      </c>
      <c r="C115" s="562">
        <f>SUMIFS('Format for Import of DV'!J:J,'Format for Import of DV'!C:C,'Recon of ORS and DV'!A115)</f>
        <v>11500</v>
      </c>
      <c r="D115" s="562" t="e">
        <f>SUMIFS('Format for Import of DV'!M:M,'Format for Import of DV'!S:S,'Recon of ORS and DV'!B115)</f>
        <v>#VALUE!</v>
      </c>
      <c r="E115" s="276" t="e">
        <f t="shared" si="1"/>
        <v>#VALUE!</v>
      </c>
    </row>
    <row r="116" spans="1:5" hidden="1">
      <c r="A116" s="281" t="s">
        <v>1159</v>
      </c>
      <c r="B116" s="281" t="s">
        <v>2153</v>
      </c>
      <c r="C116" s="562">
        <f>SUMIFS('Format for Import of DV'!J:J,'Format for Import of DV'!C:C,'Recon of ORS and DV'!A116)</f>
        <v>666486.65999999992</v>
      </c>
      <c r="D116" s="562" t="e">
        <f>SUMIFS('Format for Import of DV'!M:M,'Format for Import of DV'!S:S,'Recon of ORS and DV'!B116)</f>
        <v>#VALUE!</v>
      </c>
      <c r="E116" s="276" t="e">
        <f t="shared" si="1"/>
        <v>#VALUE!</v>
      </c>
    </row>
    <row r="117" spans="1:5" hidden="1">
      <c r="A117" s="281" t="s">
        <v>1160</v>
      </c>
      <c r="B117" s="281" t="s">
        <v>2154</v>
      </c>
      <c r="C117" s="562">
        <f>SUMIFS('Format for Import of DV'!J:J,'Format for Import of DV'!C:C,'Recon of ORS and DV'!A117)</f>
        <v>92085.57</v>
      </c>
      <c r="D117" s="562" t="e">
        <f>SUMIFS('Format for Import of DV'!M:M,'Format for Import of DV'!S:S,'Recon of ORS and DV'!B117)</f>
        <v>#VALUE!</v>
      </c>
      <c r="E117" s="276" t="e">
        <f t="shared" si="1"/>
        <v>#VALUE!</v>
      </c>
    </row>
    <row r="118" spans="1:5" hidden="1">
      <c r="A118" s="281" t="s">
        <v>1161</v>
      </c>
      <c r="B118" s="281" t="s">
        <v>2155</v>
      </c>
      <c r="C118" s="562">
        <f>SUMIFS('Format for Import of DV'!J:J,'Format for Import of DV'!C:C,'Recon of ORS and DV'!A118)</f>
        <v>688368.09</v>
      </c>
      <c r="D118" s="562" t="e">
        <f>SUMIFS('Format for Import of DV'!M:M,'Format for Import of DV'!S:S,'Recon of ORS and DV'!B118)</f>
        <v>#VALUE!</v>
      </c>
      <c r="E118" s="276" t="e">
        <f t="shared" si="1"/>
        <v>#VALUE!</v>
      </c>
    </row>
    <row r="119" spans="1:5" hidden="1">
      <c r="A119" s="281" t="s">
        <v>1162</v>
      </c>
      <c r="B119" s="281" t="s">
        <v>2156</v>
      </c>
      <c r="C119" s="562">
        <f>SUMIFS('Format for Import of DV'!J:J,'Format for Import of DV'!C:C,'Recon of ORS and DV'!A119)</f>
        <v>92085.57</v>
      </c>
      <c r="D119" s="562" t="e">
        <f>SUMIFS('Format for Import of DV'!M:M,'Format for Import of DV'!S:S,'Recon of ORS and DV'!B119)</f>
        <v>#VALUE!</v>
      </c>
      <c r="E119" s="276" t="e">
        <f t="shared" si="1"/>
        <v>#VALUE!</v>
      </c>
    </row>
    <row r="120" spans="1:5" hidden="1">
      <c r="A120" s="281" t="s">
        <v>1163</v>
      </c>
      <c r="B120" s="281" t="s">
        <v>2157</v>
      </c>
      <c r="C120" s="562">
        <f>SUMIFS('Format for Import of DV'!J:J,'Format for Import of DV'!C:C,'Recon of ORS and DV'!A120)</f>
        <v>40307.629999999997</v>
      </c>
      <c r="D120" s="562" t="e">
        <f>SUMIFS('Format for Import of DV'!M:M,'Format for Import of DV'!S:S,'Recon of ORS and DV'!B120)</f>
        <v>#VALUE!</v>
      </c>
      <c r="E120" s="276" t="e">
        <f t="shared" si="1"/>
        <v>#VALUE!</v>
      </c>
    </row>
    <row r="121" spans="1:5" hidden="1">
      <c r="A121" s="281" t="s">
        <v>1164</v>
      </c>
      <c r="B121" s="281" t="s">
        <v>2158</v>
      </c>
      <c r="C121" s="562">
        <f>SUMIFS('Format for Import of DV'!J:J,'Format for Import of DV'!C:C,'Recon of ORS and DV'!A121)</f>
        <v>470812.07</v>
      </c>
      <c r="D121" s="562" t="e">
        <f>SUMIFS('Format for Import of DV'!M:M,'Format for Import of DV'!S:S,'Recon of ORS and DV'!B121)</f>
        <v>#VALUE!</v>
      </c>
      <c r="E121" s="276" t="e">
        <f t="shared" si="1"/>
        <v>#VALUE!</v>
      </c>
    </row>
    <row r="122" spans="1:5" hidden="1">
      <c r="A122" s="281" t="s">
        <v>1167</v>
      </c>
      <c r="B122" s="281" t="s">
        <v>2159</v>
      </c>
      <c r="C122" s="562">
        <f>SUMIFS('Format for Import of DV'!J:J,'Format for Import of DV'!C:C,'Recon of ORS and DV'!A122)</f>
        <v>40307.629999999997</v>
      </c>
      <c r="D122" s="562" t="e">
        <f>SUMIFS('Format for Import of DV'!M:M,'Format for Import of DV'!S:S,'Recon of ORS and DV'!B122)</f>
        <v>#VALUE!</v>
      </c>
      <c r="E122" s="276" t="e">
        <f t="shared" si="1"/>
        <v>#VALUE!</v>
      </c>
    </row>
    <row r="123" spans="1:5" hidden="1">
      <c r="A123" s="281" t="s">
        <v>1168</v>
      </c>
      <c r="B123" s="281" t="s">
        <v>2160</v>
      </c>
      <c r="C123" s="562">
        <f>SUMIFS('Format for Import of DV'!J:J,'Format for Import of DV'!C:C,'Recon of ORS and DV'!A123)</f>
        <v>13614.41</v>
      </c>
      <c r="D123" s="562" t="e">
        <f>SUMIFS('Format for Import of DV'!M:M,'Format for Import of DV'!S:S,'Recon of ORS and DV'!B123)</f>
        <v>#VALUE!</v>
      </c>
      <c r="E123" s="276" t="e">
        <f t="shared" si="1"/>
        <v>#VALUE!</v>
      </c>
    </row>
    <row r="124" spans="1:5" hidden="1">
      <c r="A124" s="281" t="s">
        <v>1169</v>
      </c>
      <c r="B124" s="281" t="s">
        <v>2161</v>
      </c>
      <c r="C124" s="562">
        <f>SUMIFS('Format for Import of DV'!J:J,'Format for Import of DV'!C:C,'Recon of ORS and DV'!A124)</f>
        <v>13614.41</v>
      </c>
      <c r="D124" s="562" t="e">
        <f>SUMIFS('Format for Import of DV'!M:M,'Format for Import of DV'!S:S,'Recon of ORS and DV'!B124)</f>
        <v>#VALUE!</v>
      </c>
      <c r="E124" s="276" t="e">
        <f t="shared" si="1"/>
        <v>#VALUE!</v>
      </c>
    </row>
    <row r="125" spans="1:5" hidden="1">
      <c r="A125" s="281" t="s">
        <v>1171</v>
      </c>
      <c r="B125" s="281" t="s">
        <v>2162</v>
      </c>
      <c r="C125" s="562">
        <f>SUMIFS('Format for Import of DV'!J:J,'Format for Import of DV'!C:C,'Recon of ORS and DV'!A125)</f>
        <v>13614.41</v>
      </c>
      <c r="D125" s="562" t="e">
        <f>SUMIFS('Format for Import of DV'!M:M,'Format for Import of DV'!S:S,'Recon of ORS and DV'!B125)</f>
        <v>#VALUE!</v>
      </c>
      <c r="E125" s="276" t="e">
        <f t="shared" si="1"/>
        <v>#VALUE!</v>
      </c>
    </row>
    <row r="126" spans="1:5" hidden="1">
      <c r="A126" s="281" t="s">
        <v>1173</v>
      </c>
      <c r="B126" s="281" t="s">
        <v>2163</v>
      </c>
      <c r="C126" s="562">
        <f>SUMIFS('Format for Import of DV'!J:J,'Format for Import of DV'!C:C,'Recon of ORS and DV'!A126)</f>
        <v>13614.41</v>
      </c>
      <c r="D126" s="562" t="e">
        <f>SUMIFS('Format for Import of DV'!M:M,'Format for Import of DV'!S:S,'Recon of ORS and DV'!B126)</f>
        <v>#VALUE!</v>
      </c>
      <c r="E126" s="276" t="e">
        <f t="shared" si="1"/>
        <v>#VALUE!</v>
      </c>
    </row>
    <row r="127" spans="1:5" hidden="1">
      <c r="A127" s="281" t="s">
        <v>1175</v>
      </c>
      <c r="B127" s="281" t="s">
        <v>2164</v>
      </c>
      <c r="C127" s="562">
        <f>SUMIFS('Format for Import of DV'!J:J,'Format for Import of DV'!C:C,'Recon of ORS and DV'!A127)</f>
        <v>13614.41</v>
      </c>
      <c r="D127" s="562" t="e">
        <f>SUMIFS('Format for Import of DV'!M:M,'Format for Import of DV'!S:S,'Recon of ORS and DV'!B127)</f>
        <v>#VALUE!</v>
      </c>
      <c r="E127" s="276" t="e">
        <f t="shared" si="1"/>
        <v>#VALUE!</v>
      </c>
    </row>
    <row r="128" spans="1:5" hidden="1">
      <c r="A128" s="281" t="s">
        <v>1177</v>
      </c>
      <c r="B128" s="281" t="s">
        <v>2165</v>
      </c>
      <c r="C128" s="562">
        <f>SUMIFS('Format for Import of DV'!J:J,'Format for Import of DV'!C:C,'Recon of ORS and DV'!A128)</f>
        <v>29300.399999999998</v>
      </c>
      <c r="D128" s="562" t="e">
        <f>SUMIFS('Format for Import of DV'!M:M,'Format for Import of DV'!S:S,'Recon of ORS and DV'!B128)</f>
        <v>#VALUE!</v>
      </c>
      <c r="E128" s="276" t="e">
        <f t="shared" si="1"/>
        <v>#VALUE!</v>
      </c>
    </row>
    <row r="129" spans="1:5" hidden="1">
      <c r="A129" s="281" t="s">
        <v>1179</v>
      </c>
      <c r="B129" s="281" t="s">
        <v>2166</v>
      </c>
      <c r="C129" s="562">
        <f>SUMIFS('Format for Import of DV'!J:J,'Format for Import of DV'!C:C,'Recon of ORS and DV'!A129)</f>
        <v>28839.81</v>
      </c>
      <c r="D129" s="562" t="e">
        <f>SUMIFS('Format for Import of DV'!M:M,'Format for Import of DV'!S:S,'Recon of ORS and DV'!B129)</f>
        <v>#VALUE!</v>
      </c>
      <c r="E129" s="276" t="e">
        <f t="shared" si="1"/>
        <v>#VALUE!</v>
      </c>
    </row>
    <row r="130" spans="1:5" hidden="1">
      <c r="A130" s="281" t="s">
        <v>1182</v>
      </c>
      <c r="B130" s="281" t="s">
        <v>2167</v>
      </c>
      <c r="C130" s="562">
        <f>SUMIFS('Format for Import of DV'!J:J,'Format for Import of DV'!C:C,'Recon of ORS and DV'!A130)</f>
        <v>18000</v>
      </c>
      <c r="D130" s="562" t="e">
        <f>SUMIFS('Format for Import of DV'!M:M,'Format for Import of DV'!S:S,'Recon of ORS and DV'!B130)</f>
        <v>#VALUE!</v>
      </c>
      <c r="E130" s="276" t="e">
        <f t="shared" si="1"/>
        <v>#VALUE!</v>
      </c>
    </row>
    <row r="131" spans="1:5" hidden="1">
      <c r="A131" s="281" t="s">
        <v>1184</v>
      </c>
      <c r="B131" s="281" t="s">
        <v>2168</v>
      </c>
      <c r="C131" s="562">
        <f>SUMIFS('Format for Import of DV'!J:J,'Format for Import of DV'!C:C,'Recon of ORS and DV'!A131)</f>
        <v>560</v>
      </c>
      <c r="D131" s="562" t="e">
        <f>SUMIFS('Format for Import of DV'!M:M,'Format for Import of DV'!S:S,'Recon of ORS and DV'!B131)</f>
        <v>#VALUE!</v>
      </c>
      <c r="E131" s="276" t="e">
        <f t="shared" si="1"/>
        <v>#VALUE!</v>
      </c>
    </row>
    <row r="132" spans="1:5" hidden="1">
      <c r="A132" s="281" t="s">
        <v>1186</v>
      </c>
      <c r="B132" s="281" t="s">
        <v>2169</v>
      </c>
      <c r="C132" s="562">
        <f>SUMIFS('Format for Import of DV'!J:J,'Format for Import of DV'!C:C,'Recon of ORS and DV'!A132)</f>
        <v>918.4</v>
      </c>
      <c r="D132" s="562" t="e">
        <f>SUMIFS('Format for Import of DV'!M:M,'Format for Import of DV'!S:S,'Recon of ORS and DV'!B132)</f>
        <v>#VALUE!</v>
      </c>
      <c r="E132" s="276" t="e">
        <f t="shared" si="1"/>
        <v>#VALUE!</v>
      </c>
    </row>
    <row r="133" spans="1:5" hidden="1">
      <c r="A133" s="281" t="s">
        <v>1188</v>
      </c>
      <c r="B133" s="281" t="s">
        <v>2170</v>
      </c>
      <c r="C133" s="562">
        <f>SUMIFS('Format for Import of DV'!J:J,'Format for Import of DV'!C:C,'Recon of ORS and DV'!A133)</f>
        <v>14000</v>
      </c>
      <c r="D133" s="562" t="e">
        <f>SUMIFS('Format for Import of DV'!M:M,'Format for Import of DV'!S:S,'Recon of ORS and DV'!B133)</f>
        <v>#VALUE!</v>
      </c>
      <c r="E133" s="276" t="e">
        <f t="shared" ref="E133:E196" si="2">C133-D133</f>
        <v>#VALUE!</v>
      </c>
    </row>
    <row r="134" spans="1:5" hidden="1">
      <c r="A134" s="281" t="s">
        <v>1191</v>
      </c>
      <c r="B134" s="281" t="s">
        <v>2171</v>
      </c>
      <c r="C134" s="562">
        <f>SUMIFS('Format for Import of DV'!J:J,'Format for Import of DV'!C:C,'Recon of ORS and DV'!A134)</f>
        <v>8774</v>
      </c>
      <c r="D134" s="562" t="e">
        <f>SUMIFS('Format for Import of DV'!M:M,'Format for Import of DV'!S:S,'Recon of ORS and DV'!B134)</f>
        <v>#VALUE!</v>
      </c>
      <c r="E134" s="276" t="e">
        <f t="shared" si="2"/>
        <v>#VALUE!</v>
      </c>
    </row>
    <row r="135" spans="1:5" hidden="1">
      <c r="A135" s="281" t="s">
        <v>1194</v>
      </c>
      <c r="B135" s="281" t="s">
        <v>2172</v>
      </c>
      <c r="C135" s="562">
        <f>SUMIFS('Format for Import of DV'!J:J,'Format for Import of DV'!C:C,'Recon of ORS and DV'!A135)</f>
        <v>2850</v>
      </c>
      <c r="D135" s="562" t="e">
        <f>SUMIFS('Format for Import of DV'!M:M,'Format for Import of DV'!S:S,'Recon of ORS and DV'!B135)</f>
        <v>#VALUE!</v>
      </c>
      <c r="E135" s="276" t="e">
        <f t="shared" si="2"/>
        <v>#VALUE!</v>
      </c>
    </row>
    <row r="136" spans="1:5" hidden="1">
      <c r="A136" s="281" t="s">
        <v>1197</v>
      </c>
      <c r="B136" s="281" t="s">
        <v>2173</v>
      </c>
      <c r="C136" s="562">
        <f>SUMIFS('Format for Import of DV'!J:J,'Format for Import of DV'!C:C,'Recon of ORS and DV'!A136)</f>
        <v>500</v>
      </c>
      <c r="D136" s="562" t="e">
        <f>SUMIFS('Format for Import of DV'!M:M,'Format for Import of DV'!S:S,'Recon of ORS and DV'!B136)</f>
        <v>#VALUE!</v>
      </c>
      <c r="E136" s="276" t="e">
        <f t="shared" si="2"/>
        <v>#VALUE!</v>
      </c>
    </row>
    <row r="137" spans="1:5" hidden="1">
      <c r="A137" s="281" t="s">
        <v>1198</v>
      </c>
      <c r="B137" s="281" t="s">
        <v>2174</v>
      </c>
      <c r="C137" s="562">
        <f>SUMIFS('Format for Import of DV'!J:J,'Format for Import of DV'!C:C,'Recon of ORS and DV'!A137)</f>
        <v>100000</v>
      </c>
      <c r="D137" s="562" t="e">
        <f>SUMIFS('Format for Import of DV'!M:M,'Format for Import of DV'!S:S,'Recon of ORS and DV'!B137)</f>
        <v>#VALUE!</v>
      </c>
      <c r="E137" s="276" t="e">
        <f t="shared" si="2"/>
        <v>#VALUE!</v>
      </c>
    </row>
    <row r="138" spans="1:5" hidden="1">
      <c r="A138" s="281" t="s">
        <v>1199</v>
      </c>
      <c r="B138" s="281"/>
      <c r="C138" s="562">
        <f>SUMIFS('Format for Import of DV'!J:J,'Format for Import of DV'!C:C,'Recon of ORS and DV'!A138)</f>
        <v>0</v>
      </c>
      <c r="D138" s="562" t="e">
        <f>SUMIFS('Format for Import of DV'!M:M,'Format for Import of DV'!S:S,'Recon of ORS and DV'!B138)</f>
        <v>#VALUE!</v>
      </c>
      <c r="E138" s="276" t="e">
        <f t="shared" si="2"/>
        <v>#VALUE!</v>
      </c>
    </row>
    <row r="139" spans="1:5" hidden="1">
      <c r="A139" s="281" t="s">
        <v>1200</v>
      </c>
      <c r="B139" s="281"/>
      <c r="C139" s="562">
        <f>SUMIFS('Format for Import of DV'!J:J,'Format for Import of DV'!C:C,'Recon of ORS and DV'!A139)</f>
        <v>0</v>
      </c>
      <c r="D139" s="562" t="e">
        <f>SUMIFS('Format for Import of DV'!M:M,'Format for Import of DV'!S:S,'Recon of ORS and DV'!B139)</f>
        <v>#VALUE!</v>
      </c>
      <c r="E139" s="276" t="e">
        <f t="shared" si="2"/>
        <v>#VALUE!</v>
      </c>
    </row>
    <row r="140" spans="1:5" hidden="1">
      <c r="A140" s="281" t="s">
        <v>1201</v>
      </c>
      <c r="B140" s="281" t="s">
        <v>2175</v>
      </c>
      <c r="C140" s="562">
        <f>SUMIFS('Format for Import of DV'!J:J,'Format for Import of DV'!C:C,'Recon of ORS and DV'!A140)</f>
        <v>135125</v>
      </c>
      <c r="D140" s="562" t="e">
        <f>SUMIFS('Format for Import of DV'!M:M,'Format for Import of DV'!S:S,'Recon of ORS and DV'!B140)</f>
        <v>#VALUE!</v>
      </c>
      <c r="E140" s="276" t="e">
        <f t="shared" si="2"/>
        <v>#VALUE!</v>
      </c>
    </row>
    <row r="141" spans="1:5" hidden="1">
      <c r="A141" s="281" t="s">
        <v>1202</v>
      </c>
      <c r="B141" s="281"/>
      <c r="C141" s="562">
        <f>SUMIFS('Format for Import of DV'!J:J,'Format for Import of DV'!C:C,'Recon of ORS and DV'!A141)</f>
        <v>0</v>
      </c>
      <c r="D141" s="562" t="e">
        <f>SUMIFS('Format for Import of DV'!M:M,'Format for Import of DV'!S:S,'Recon of ORS and DV'!B141)</f>
        <v>#VALUE!</v>
      </c>
      <c r="E141" s="276" t="e">
        <f t="shared" si="2"/>
        <v>#VALUE!</v>
      </c>
    </row>
    <row r="142" spans="1:5" hidden="1">
      <c r="A142" s="281" t="s">
        <v>1203</v>
      </c>
      <c r="B142" s="281" t="s">
        <v>2176</v>
      </c>
      <c r="C142" s="562">
        <f>SUMIFS('Format for Import of DV'!J:J,'Format for Import of DV'!C:C,'Recon of ORS and DV'!A142)</f>
        <v>0</v>
      </c>
      <c r="D142" s="562" t="e">
        <f>SUMIFS('Format for Import of DV'!M:M,'Format for Import of DV'!S:S,'Recon of ORS and DV'!B142)</f>
        <v>#VALUE!</v>
      </c>
      <c r="E142" s="276" t="e">
        <f t="shared" si="2"/>
        <v>#VALUE!</v>
      </c>
    </row>
    <row r="143" spans="1:5" hidden="1">
      <c r="A143" s="281" t="s">
        <v>1204</v>
      </c>
      <c r="B143" s="281"/>
      <c r="C143" s="562">
        <f>SUMIFS('Format for Import of DV'!J:J,'Format for Import of DV'!C:C,'Recon of ORS and DV'!A143)</f>
        <v>0</v>
      </c>
      <c r="D143" s="562" t="e">
        <f>SUMIFS('Format for Import of DV'!M:M,'Format for Import of DV'!S:S,'Recon of ORS and DV'!B143)</f>
        <v>#VALUE!</v>
      </c>
      <c r="E143" s="276" t="e">
        <f t="shared" si="2"/>
        <v>#VALUE!</v>
      </c>
    </row>
    <row r="144" spans="1:5" hidden="1">
      <c r="A144" s="281" t="s">
        <v>1208</v>
      </c>
      <c r="B144" s="281"/>
      <c r="C144" s="562">
        <f>SUMIFS('Format for Import of DV'!J:J,'Format for Import of DV'!C:C,'Recon of ORS and DV'!A144)</f>
        <v>0</v>
      </c>
      <c r="D144" s="562" t="e">
        <f>SUMIFS('Format for Import of DV'!M:M,'Format for Import of DV'!S:S,'Recon of ORS and DV'!B144)</f>
        <v>#VALUE!</v>
      </c>
      <c r="E144" s="276" t="e">
        <f t="shared" si="2"/>
        <v>#VALUE!</v>
      </c>
    </row>
    <row r="145" spans="1:5" hidden="1">
      <c r="A145" s="281" t="s">
        <v>1209</v>
      </c>
      <c r="B145" s="281"/>
      <c r="C145" s="562">
        <f>SUMIFS('Format for Import of DV'!J:J,'Format for Import of DV'!C:C,'Recon of ORS and DV'!A145)</f>
        <v>0</v>
      </c>
      <c r="D145" s="562" t="e">
        <f>SUMIFS('Format for Import of DV'!M:M,'Format for Import of DV'!S:S,'Recon of ORS and DV'!B145)</f>
        <v>#VALUE!</v>
      </c>
      <c r="E145" s="276" t="e">
        <f t="shared" si="2"/>
        <v>#VALUE!</v>
      </c>
    </row>
    <row r="146" spans="1:5" hidden="1">
      <c r="A146" s="281" t="s">
        <v>1210</v>
      </c>
      <c r="B146" s="281"/>
      <c r="C146" s="562">
        <f>SUMIFS('Format for Import of DV'!J:J,'Format for Import of DV'!C:C,'Recon of ORS and DV'!A146)</f>
        <v>0</v>
      </c>
      <c r="D146" s="562" t="e">
        <f>SUMIFS('Format for Import of DV'!M:M,'Format for Import of DV'!S:S,'Recon of ORS and DV'!B146)</f>
        <v>#VALUE!</v>
      </c>
      <c r="E146" s="276" t="e">
        <f t="shared" si="2"/>
        <v>#VALUE!</v>
      </c>
    </row>
    <row r="147" spans="1:5" hidden="1">
      <c r="A147" s="281" t="s">
        <v>1211</v>
      </c>
      <c r="B147" s="281"/>
      <c r="C147" s="562">
        <f>SUMIFS('Format for Import of DV'!J:J,'Format for Import of DV'!C:C,'Recon of ORS and DV'!A147)</f>
        <v>0</v>
      </c>
      <c r="D147" s="562" t="e">
        <f>SUMIFS('Format for Import of DV'!M:M,'Format for Import of DV'!S:S,'Recon of ORS and DV'!B147)</f>
        <v>#VALUE!</v>
      </c>
      <c r="E147" s="276" t="e">
        <f t="shared" si="2"/>
        <v>#VALUE!</v>
      </c>
    </row>
    <row r="148" spans="1:5" hidden="1">
      <c r="A148" s="281" t="s">
        <v>1212</v>
      </c>
      <c r="B148" s="281" t="s">
        <v>2177</v>
      </c>
      <c r="C148" s="562">
        <f>SUMIFS('Format for Import of DV'!J:J,'Format for Import of DV'!C:C,'Recon of ORS and DV'!A148)</f>
        <v>22320</v>
      </c>
      <c r="D148" s="562" t="e">
        <f>SUMIFS('Format for Import of DV'!M:M,'Format for Import of DV'!S:S,'Recon of ORS and DV'!B148)</f>
        <v>#VALUE!</v>
      </c>
      <c r="E148" s="276" t="e">
        <f t="shared" si="2"/>
        <v>#VALUE!</v>
      </c>
    </row>
    <row r="149" spans="1:5" hidden="1">
      <c r="A149" s="281" t="s">
        <v>1222</v>
      </c>
      <c r="B149" s="281" t="s">
        <v>2178</v>
      </c>
      <c r="C149" s="562">
        <f>SUMIFS('Format for Import of DV'!J:J,'Format for Import of DV'!C:C,'Recon of ORS and DV'!A149)</f>
        <v>144603.29</v>
      </c>
      <c r="D149" s="562" t="e">
        <f>SUMIFS('Format for Import of DV'!M:M,'Format for Import of DV'!S:S,'Recon of ORS and DV'!B149)</f>
        <v>#VALUE!</v>
      </c>
      <c r="E149" s="276" t="e">
        <f t="shared" si="2"/>
        <v>#VALUE!</v>
      </c>
    </row>
    <row r="150" spans="1:5" hidden="1">
      <c r="A150" s="281" t="s">
        <v>1224</v>
      </c>
      <c r="B150" s="281" t="s">
        <v>2179</v>
      </c>
      <c r="C150" s="562">
        <f>SUMIFS('Format for Import of DV'!J:J,'Format for Import of DV'!C:C,'Recon of ORS and DV'!A150)</f>
        <v>119889.07</v>
      </c>
      <c r="D150" s="562" t="e">
        <f>SUMIFS('Format for Import of DV'!M:M,'Format for Import of DV'!S:S,'Recon of ORS and DV'!B150)</f>
        <v>#VALUE!</v>
      </c>
      <c r="E150" s="276" t="e">
        <f t="shared" si="2"/>
        <v>#VALUE!</v>
      </c>
    </row>
    <row r="151" spans="1:5" hidden="1">
      <c r="A151" s="281" t="s">
        <v>1226</v>
      </c>
      <c r="B151" s="281" t="s">
        <v>2180</v>
      </c>
      <c r="C151" s="562">
        <f>SUMIFS('Format for Import of DV'!J:J,'Format for Import of DV'!C:C,'Recon of ORS and DV'!A151)</f>
        <v>83142.720000000001</v>
      </c>
      <c r="D151" s="562" t="e">
        <f>SUMIFS('Format for Import of DV'!M:M,'Format for Import of DV'!S:S,'Recon of ORS and DV'!B151)</f>
        <v>#VALUE!</v>
      </c>
      <c r="E151" s="276" t="e">
        <f t="shared" si="2"/>
        <v>#VALUE!</v>
      </c>
    </row>
    <row r="152" spans="1:5" hidden="1">
      <c r="A152" s="281" t="s">
        <v>1228</v>
      </c>
      <c r="B152" s="281" t="s">
        <v>2181</v>
      </c>
      <c r="C152" s="562">
        <f>SUMIFS('Format for Import of DV'!J:J,'Format for Import of DV'!C:C,'Recon of ORS and DV'!A152)</f>
        <v>106531.33</v>
      </c>
      <c r="D152" s="562" t="e">
        <f>SUMIFS('Format for Import of DV'!M:M,'Format for Import of DV'!S:S,'Recon of ORS and DV'!B152)</f>
        <v>#VALUE!</v>
      </c>
      <c r="E152" s="276" t="e">
        <f t="shared" si="2"/>
        <v>#VALUE!</v>
      </c>
    </row>
    <row r="153" spans="1:5" hidden="1">
      <c r="A153" s="281" t="s">
        <v>1229</v>
      </c>
      <c r="B153" s="281" t="s">
        <v>2182</v>
      </c>
      <c r="C153" s="562">
        <f>SUMIFS('Format for Import of DV'!J:J,'Format for Import of DV'!C:C,'Recon of ORS and DV'!A153)</f>
        <v>0</v>
      </c>
      <c r="D153" s="562" t="e">
        <f>SUMIFS('Format for Import of DV'!M:M,'Format for Import of DV'!S:S,'Recon of ORS and DV'!B153)</f>
        <v>#VALUE!</v>
      </c>
      <c r="E153" s="276" t="e">
        <f t="shared" si="2"/>
        <v>#VALUE!</v>
      </c>
    </row>
    <row r="154" spans="1:5" hidden="1">
      <c r="A154" s="281" t="s">
        <v>1232</v>
      </c>
      <c r="B154" s="281" t="s">
        <v>2183</v>
      </c>
      <c r="C154" s="562">
        <f>SUMIFS('Format for Import of DV'!J:J,'Format for Import of DV'!C:C,'Recon of ORS and DV'!A154)</f>
        <v>0</v>
      </c>
      <c r="D154" s="562" t="e">
        <f>SUMIFS('Format for Import of DV'!M:M,'Format for Import of DV'!S:S,'Recon of ORS and DV'!B154)</f>
        <v>#VALUE!</v>
      </c>
      <c r="E154" s="276" t="e">
        <f t="shared" si="2"/>
        <v>#VALUE!</v>
      </c>
    </row>
    <row r="155" spans="1:5" hidden="1">
      <c r="A155" s="281" t="s">
        <v>1234</v>
      </c>
      <c r="B155" s="281" t="s">
        <v>2184</v>
      </c>
      <c r="C155" s="562">
        <f>SUMIFS('Format for Import of DV'!J:J,'Format for Import of DV'!C:C,'Recon of ORS and DV'!A155)</f>
        <v>10000</v>
      </c>
      <c r="D155" s="562" t="e">
        <f>SUMIFS('Format for Import of DV'!M:M,'Format for Import of DV'!S:S,'Recon of ORS and DV'!B155)</f>
        <v>#VALUE!</v>
      </c>
      <c r="E155" s="276" t="e">
        <f t="shared" si="2"/>
        <v>#VALUE!</v>
      </c>
    </row>
    <row r="156" spans="1:5" hidden="1">
      <c r="A156" s="281" t="s">
        <v>1237</v>
      </c>
      <c r="B156" s="281" t="s">
        <v>2185</v>
      </c>
      <c r="C156" s="562">
        <f>SUMIFS('Format for Import of DV'!J:J,'Format for Import of DV'!C:C,'Recon of ORS and DV'!A156)</f>
        <v>10790</v>
      </c>
      <c r="D156" s="562" t="e">
        <f>SUMIFS('Format for Import of DV'!M:M,'Format for Import of DV'!S:S,'Recon of ORS and DV'!B156)</f>
        <v>#VALUE!</v>
      </c>
      <c r="E156" s="276" t="e">
        <f t="shared" si="2"/>
        <v>#VALUE!</v>
      </c>
    </row>
    <row r="157" spans="1:5" hidden="1">
      <c r="A157" s="281" t="s">
        <v>1238</v>
      </c>
      <c r="B157" s="281" t="s">
        <v>2186</v>
      </c>
      <c r="C157" s="562">
        <f>SUMIFS('Format for Import of DV'!J:J,'Format for Import of DV'!C:C,'Recon of ORS and DV'!A157)</f>
        <v>12352.18</v>
      </c>
      <c r="D157" s="562" t="e">
        <f>SUMIFS('Format for Import of DV'!M:M,'Format for Import of DV'!S:S,'Recon of ORS and DV'!B157)</f>
        <v>#VALUE!</v>
      </c>
      <c r="E157" s="276" t="e">
        <f t="shared" si="2"/>
        <v>#VALUE!</v>
      </c>
    </row>
    <row r="158" spans="1:5" hidden="1">
      <c r="A158" s="281" t="s">
        <v>1239</v>
      </c>
      <c r="B158" s="281" t="s">
        <v>2187</v>
      </c>
      <c r="C158" s="562">
        <f>SUMIFS('Format for Import of DV'!J:J,'Format for Import of DV'!C:C,'Recon of ORS and DV'!A158)</f>
        <v>23474</v>
      </c>
      <c r="D158" s="562" t="e">
        <f>SUMIFS('Format for Import of DV'!M:M,'Format for Import of DV'!S:S,'Recon of ORS and DV'!B158)</f>
        <v>#VALUE!</v>
      </c>
      <c r="E158" s="276" t="e">
        <f t="shared" si="2"/>
        <v>#VALUE!</v>
      </c>
    </row>
    <row r="159" spans="1:5" hidden="1">
      <c r="A159" s="281" t="s">
        <v>1240</v>
      </c>
      <c r="B159" s="281" t="s">
        <v>2188</v>
      </c>
      <c r="C159" s="562">
        <f>SUMIFS('Format for Import of DV'!J:J,'Format for Import of DV'!C:C,'Recon of ORS and DV'!A159)</f>
        <v>27256.91</v>
      </c>
      <c r="D159" s="562" t="e">
        <f>SUMIFS('Format for Import of DV'!M:M,'Format for Import of DV'!S:S,'Recon of ORS and DV'!B159)</f>
        <v>#VALUE!</v>
      </c>
      <c r="E159" s="276" t="e">
        <f t="shared" si="2"/>
        <v>#VALUE!</v>
      </c>
    </row>
    <row r="160" spans="1:5" hidden="1">
      <c r="A160" s="281" t="s">
        <v>1241</v>
      </c>
      <c r="B160" s="281" t="s">
        <v>2189</v>
      </c>
      <c r="C160" s="562">
        <f>SUMIFS('Format for Import of DV'!J:J,'Format for Import of DV'!C:C,'Recon of ORS and DV'!A160)</f>
        <v>7321.62</v>
      </c>
      <c r="D160" s="562" t="e">
        <f>SUMIFS('Format for Import of DV'!M:M,'Format for Import of DV'!S:S,'Recon of ORS and DV'!B160)</f>
        <v>#VALUE!</v>
      </c>
      <c r="E160" s="276" t="e">
        <f t="shared" si="2"/>
        <v>#VALUE!</v>
      </c>
    </row>
    <row r="161" spans="1:5" hidden="1">
      <c r="A161" s="281" t="s">
        <v>1244</v>
      </c>
      <c r="B161" s="281"/>
      <c r="C161" s="562">
        <f>SUMIFS('Format for Import of DV'!J:J,'Format for Import of DV'!C:C,'Recon of ORS and DV'!A161)</f>
        <v>0</v>
      </c>
      <c r="D161" s="562" t="e">
        <f>SUMIFS('Format for Import of DV'!M:M,'Format for Import of DV'!S:S,'Recon of ORS and DV'!B161)</f>
        <v>#VALUE!</v>
      </c>
      <c r="E161" s="276" t="e">
        <f t="shared" si="2"/>
        <v>#VALUE!</v>
      </c>
    </row>
    <row r="162" spans="1:5" hidden="1">
      <c r="A162" s="281" t="s">
        <v>1247</v>
      </c>
      <c r="B162" s="281"/>
      <c r="C162" s="562">
        <f>SUMIFS('Format for Import of DV'!J:J,'Format for Import of DV'!C:C,'Recon of ORS and DV'!A162)</f>
        <v>0</v>
      </c>
      <c r="D162" s="562" t="e">
        <f>SUMIFS('Format for Import of DV'!M:M,'Format for Import of DV'!S:S,'Recon of ORS and DV'!B162)</f>
        <v>#VALUE!</v>
      </c>
      <c r="E162" s="276" t="e">
        <f t="shared" si="2"/>
        <v>#VALUE!</v>
      </c>
    </row>
    <row r="163" spans="1:5" hidden="1">
      <c r="A163" s="281" t="s">
        <v>1249</v>
      </c>
      <c r="B163" s="281"/>
      <c r="C163" s="562">
        <f>SUMIFS('Format for Import of DV'!J:J,'Format for Import of DV'!C:C,'Recon of ORS and DV'!A163)</f>
        <v>0.01</v>
      </c>
      <c r="D163" s="562" t="e">
        <f>SUMIFS('Format for Import of DV'!M:M,'Format for Import of DV'!S:S,'Recon of ORS and DV'!B163)</f>
        <v>#VALUE!</v>
      </c>
      <c r="E163" s="276" t="e">
        <f t="shared" si="2"/>
        <v>#VALUE!</v>
      </c>
    </row>
    <row r="164" spans="1:5" hidden="1">
      <c r="A164" s="281" t="s">
        <v>1251</v>
      </c>
      <c r="B164" s="281"/>
      <c r="C164" s="562">
        <f>SUMIFS('Format for Import of DV'!J:J,'Format for Import of DV'!C:C,'Recon of ORS and DV'!A164)</f>
        <v>0</v>
      </c>
      <c r="D164" s="562" t="e">
        <f>SUMIFS('Format for Import of DV'!M:M,'Format for Import of DV'!S:S,'Recon of ORS and DV'!B164)</f>
        <v>#VALUE!</v>
      </c>
      <c r="E164" s="276" t="e">
        <f t="shared" si="2"/>
        <v>#VALUE!</v>
      </c>
    </row>
    <row r="165" spans="1:5" hidden="1">
      <c r="A165" s="281" t="s">
        <v>1253</v>
      </c>
      <c r="B165" s="281"/>
      <c r="C165" s="562">
        <f>SUMIFS('Format for Import of DV'!J:J,'Format for Import of DV'!C:C,'Recon of ORS and DV'!A165)</f>
        <v>0</v>
      </c>
      <c r="D165" s="562" t="e">
        <f>SUMIFS('Format for Import of DV'!M:M,'Format for Import of DV'!S:S,'Recon of ORS and DV'!B165)</f>
        <v>#VALUE!</v>
      </c>
      <c r="E165" s="276" t="e">
        <f t="shared" si="2"/>
        <v>#VALUE!</v>
      </c>
    </row>
    <row r="166" spans="1:5" hidden="1">
      <c r="A166" s="281" t="s">
        <v>1254</v>
      </c>
      <c r="B166" s="281"/>
      <c r="C166" s="562">
        <f>SUMIFS('Format for Import of DV'!J:J,'Format for Import of DV'!C:C,'Recon of ORS and DV'!A166)</f>
        <v>0</v>
      </c>
      <c r="D166" s="562" t="e">
        <f>SUMIFS('Format for Import of DV'!M:M,'Format for Import of DV'!S:S,'Recon of ORS and DV'!B166)</f>
        <v>#VALUE!</v>
      </c>
      <c r="E166" s="276" t="e">
        <f t="shared" si="2"/>
        <v>#VALUE!</v>
      </c>
    </row>
    <row r="167" spans="1:5" hidden="1">
      <c r="A167" s="281" t="s">
        <v>1255</v>
      </c>
      <c r="B167" s="281"/>
      <c r="C167" s="562">
        <f>SUMIFS('Format for Import of DV'!J:J,'Format for Import of DV'!C:C,'Recon of ORS and DV'!A167)</f>
        <v>0</v>
      </c>
      <c r="D167" s="562" t="e">
        <f>SUMIFS('Format for Import of DV'!M:M,'Format for Import of DV'!S:S,'Recon of ORS and DV'!B167)</f>
        <v>#VALUE!</v>
      </c>
      <c r="E167" s="276" t="e">
        <f t="shared" si="2"/>
        <v>#VALUE!</v>
      </c>
    </row>
    <row r="168" spans="1:5" hidden="1">
      <c r="A168" s="281" t="s">
        <v>1259</v>
      </c>
      <c r="B168" s="281"/>
      <c r="C168" s="562">
        <f>SUMIFS('Format for Import of DV'!J:J,'Format for Import of DV'!C:C,'Recon of ORS and DV'!A168)</f>
        <v>0</v>
      </c>
      <c r="D168" s="562" t="e">
        <f>SUMIFS('Format for Import of DV'!M:M,'Format for Import of DV'!S:S,'Recon of ORS and DV'!B168)</f>
        <v>#VALUE!</v>
      </c>
      <c r="E168" s="276" t="e">
        <f t="shared" si="2"/>
        <v>#VALUE!</v>
      </c>
    </row>
    <row r="169" spans="1:5" hidden="1">
      <c r="A169" s="281" t="s">
        <v>1261</v>
      </c>
      <c r="B169" s="281"/>
      <c r="C169" s="562">
        <f>SUMIFS('Format for Import of DV'!J:J,'Format for Import of DV'!C:C,'Recon of ORS and DV'!A169)</f>
        <v>0</v>
      </c>
      <c r="D169" s="562" t="e">
        <f>SUMIFS('Format for Import of DV'!M:M,'Format for Import of DV'!S:S,'Recon of ORS and DV'!B169)</f>
        <v>#VALUE!</v>
      </c>
      <c r="E169" s="276" t="e">
        <f t="shared" si="2"/>
        <v>#VALUE!</v>
      </c>
    </row>
    <row r="170" spans="1:5" hidden="1">
      <c r="A170" s="281" t="s">
        <v>1262</v>
      </c>
      <c r="B170" s="281"/>
      <c r="C170" s="562">
        <f>SUMIFS('Format for Import of DV'!J:J,'Format for Import of DV'!C:C,'Recon of ORS and DV'!A170)</f>
        <v>0</v>
      </c>
      <c r="D170" s="562" t="e">
        <f>SUMIFS('Format for Import of DV'!M:M,'Format for Import of DV'!S:S,'Recon of ORS and DV'!B170)</f>
        <v>#VALUE!</v>
      </c>
      <c r="E170" s="276" t="e">
        <f t="shared" si="2"/>
        <v>#VALUE!</v>
      </c>
    </row>
    <row r="171" spans="1:5" hidden="1">
      <c r="A171" s="281" t="s">
        <v>1268</v>
      </c>
      <c r="B171" s="281" t="s">
        <v>2190</v>
      </c>
      <c r="C171" s="562">
        <f>SUMIFS('Format for Import of DV'!J:J,'Format for Import of DV'!C:C,'Recon of ORS and DV'!A171)</f>
        <v>83842.210000000006</v>
      </c>
      <c r="D171" s="562" t="e">
        <f>SUMIFS('Format for Import of DV'!M:M,'Format for Import of DV'!S:S,'Recon of ORS and DV'!B171)</f>
        <v>#VALUE!</v>
      </c>
      <c r="E171" s="276" t="e">
        <f t="shared" si="2"/>
        <v>#VALUE!</v>
      </c>
    </row>
    <row r="172" spans="1:5" hidden="1">
      <c r="A172" s="281" t="s">
        <v>1269</v>
      </c>
      <c r="B172" s="281" t="s">
        <v>2191</v>
      </c>
      <c r="C172" s="562">
        <f>SUMIFS('Format for Import of DV'!J:J,'Format for Import of DV'!C:C,'Recon of ORS and DV'!A172)</f>
        <v>83842.210000000006</v>
      </c>
      <c r="D172" s="562" t="e">
        <f>SUMIFS('Format for Import of DV'!M:M,'Format for Import of DV'!S:S,'Recon of ORS and DV'!B172)</f>
        <v>#VALUE!</v>
      </c>
      <c r="E172" s="276" t="e">
        <f t="shared" si="2"/>
        <v>#VALUE!</v>
      </c>
    </row>
    <row r="173" spans="1:5" hidden="1">
      <c r="A173" s="281" t="s">
        <v>1270</v>
      </c>
      <c r="B173" s="281" t="s">
        <v>2192</v>
      </c>
      <c r="C173" s="562">
        <f>SUMIFS('Format for Import of DV'!J:J,'Format for Import of DV'!C:C,'Recon of ORS and DV'!A173)</f>
        <v>29300.399999999998</v>
      </c>
      <c r="D173" s="562" t="e">
        <f>SUMIFS('Format for Import of DV'!M:M,'Format for Import of DV'!S:S,'Recon of ORS and DV'!B173)</f>
        <v>#VALUE!</v>
      </c>
      <c r="E173" s="276" t="e">
        <f t="shared" si="2"/>
        <v>#VALUE!</v>
      </c>
    </row>
    <row r="174" spans="1:5" hidden="1">
      <c r="A174" s="281" t="s">
        <v>1271</v>
      </c>
      <c r="B174" s="281" t="s">
        <v>2193</v>
      </c>
      <c r="C174" s="562">
        <f>SUMIFS('Format for Import of DV'!J:J,'Format for Import of DV'!C:C,'Recon of ORS and DV'!A174)</f>
        <v>9170</v>
      </c>
      <c r="D174" s="562" t="e">
        <f>SUMIFS('Format for Import of DV'!M:M,'Format for Import of DV'!S:S,'Recon of ORS and DV'!B174)</f>
        <v>#VALUE!</v>
      </c>
      <c r="E174" s="276" t="e">
        <f t="shared" si="2"/>
        <v>#VALUE!</v>
      </c>
    </row>
    <row r="175" spans="1:5" hidden="1">
      <c r="A175" s="281" t="s">
        <v>1274</v>
      </c>
      <c r="B175" s="281" t="s">
        <v>2194</v>
      </c>
      <c r="C175" s="562">
        <f>SUMIFS('Format for Import of DV'!J:J,'Format for Import of DV'!C:C,'Recon of ORS and DV'!A175)</f>
        <v>1200</v>
      </c>
      <c r="D175" s="562" t="e">
        <f>SUMIFS('Format for Import of DV'!M:M,'Format for Import of DV'!S:S,'Recon of ORS and DV'!B175)</f>
        <v>#VALUE!</v>
      </c>
      <c r="E175" s="276" t="e">
        <f t="shared" si="2"/>
        <v>#VALUE!</v>
      </c>
    </row>
    <row r="176" spans="1:5" hidden="1">
      <c r="A176" s="281" t="s">
        <v>1277</v>
      </c>
      <c r="B176" s="281" t="s">
        <v>2195</v>
      </c>
      <c r="C176" s="562">
        <f>SUMIFS('Format for Import of DV'!J:J,'Format for Import of DV'!C:C,'Recon of ORS and DV'!A176)</f>
        <v>2404.7800000000002</v>
      </c>
      <c r="D176" s="562" t="e">
        <f>SUMIFS('Format for Import of DV'!M:M,'Format for Import of DV'!S:S,'Recon of ORS and DV'!B176)</f>
        <v>#VALUE!</v>
      </c>
      <c r="E176" s="276" t="e">
        <f t="shared" si="2"/>
        <v>#VALUE!</v>
      </c>
    </row>
    <row r="177" spans="1:5" hidden="1">
      <c r="A177" s="281" t="s">
        <v>1278</v>
      </c>
      <c r="B177" s="281" t="s">
        <v>2196</v>
      </c>
      <c r="C177" s="562">
        <f>SUMIFS('Format for Import of DV'!J:J,'Format for Import of DV'!C:C,'Recon of ORS and DV'!A177)</f>
        <v>2800</v>
      </c>
      <c r="D177" s="562" t="e">
        <f>SUMIFS('Format for Import of DV'!M:M,'Format for Import of DV'!S:S,'Recon of ORS and DV'!B177)</f>
        <v>#VALUE!</v>
      </c>
      <c r="E177" s="276" t="e">
        <f t="shared" si="2"/>
        <v>#VALUE!</v>
      </c>
    </row>
    <row r="178" spans="1:5" hidden="1">
      <c r="A178" s="281" t="s">
        <v>1279</v>
      </c>
      <c r="B178" s="281" t="s">
        <v>2197</v>
      </c>
      <c r="C178" s="562">
        <f>SUMIFS('Format for Import of DV'!J:J,'Format for Import of DV'!C:C,'Recon of ORS and DV'!A178)</f>
        <v>29300.399999999998</v>
      </c>
      <c r="D178" s="562" t="e">
        <f>SUMIFS('Format for Import of DV'!M:M,'Format for Import of DV'!S:S,'Recon of ORS and DV'!B178)</f>
        <v>#VALUE!</v>
      </c>
      <c r="E178" s="276" t="e">
        <f t="shared" si="2"/>
        <v>#VALUE!</v>
      </c>
    </row>
    <row r="179" spans="1:5" hidden="1">
      <c r="A179" s="281" t="s">
        <v>1280</v>
      </c>
      <c r="B179" s="281" t="s">
        <v>2198</v>
      </c>
      <c r="C179" s="562">
        <f>SUMIFS('Format for Import of DV'!J:J,'Format for Import of DV'!C:C,'Recon of ORS and DV'!A179)</f>
        <v>29300.399999999998</v>
      </c>
      <c r="D179" s="562" t="e">
        <f>SUMIFS('Format for Import of DV'!M:M,'Format for Import of DV'!S:S,'Recon of ORS and DV'!B179)</f>
        <v>#VALUE!</v>
      </c>
      <c r="E179" s="276" t="e">
        <f t="shared" si="2"/>
        <v>#VALUE!</v>
      </c>
    </row>
    <row r="180" spans="1:5" hidden="1">
      <c r="A180" s="281" t="s">
        <v>1281</v>
      </c>
      <c r="B180" s="281" t="s">
        <v>2199</v>
      </c>
      <c r="C180" s="562">
        <f>SUMIFS('Format for Import of DV'!J:J,'Format for Import of DV'!C:C,'Recon of ORS and DV'!A180)</f>
        <v>11000</v>
      </c>
      <c r="D180" s="562" t="e">
        <f>SUMIFS('Format for Import of DV'!M:M,'Format for Import of DV'!S:S,'Recon of ORS and DV'!B180)</f>
        <v>#VALUE!</v>
      </c>
      <c r="E180" s="276" t="e">
        <f t="shared" si="2"/>
        <v>#VALUE!</v>
      </c>
    </row>
    <row r="181" spans="1:5" hidden="1">
      <c r="A181" s="281" t="s">
        <v>1282</v>
      </c>
      <c r="B181" s="281" t="s">
        <v>2200</v>
      </c>
      <c r="C181" s="562">
        <f>SUMIFS('Format for Import of DV'!J:J,'Format for Import of DV'!C:C,'Recon of ORS and DV'!A181)</f>
        <v>2500</v>
      </c>
      <c r="D181" s="562" t="e">
        <f>SUMIFS('Format for Import of DV'!M:M,'Format for Import of DV'!S:S,'Recon of ORS and DV'!B181)</f>
        <v>#VALUE!</v>
      </c>
      <c r="E181" s="276" t="e">
        <f t="shared" si="2"/>
        <v>#VALUE!</v>
      </c>
    </row>
    <row r="182" spans="1:5" hidden="1">
      <c r="A182" s="281" t="s">
        <v>1284</v>
      </c>
      <c r="B182" s="281" t="s">
        <v>2201</v>
      </c>
      <c r="C182" s="562">
        <f>SUMIFS('Format for Import of DV'!J:J,'Format for Import of DV'!C:C,'Recon of ORS and DV'!A182)</f>
        <v>4223.5</v>
      </c>
      <c r="D182" s="562" t="e">
        <f>SUMIFS('Format for Import of DV'!M:M,'Format for Import of DV'!S:S,'Recon of ORS and DV'!B182)</f>
        <v>#VALUE!</v>
      </c>
      <c r="E182" s="276" t="e">
        <f t="shared" si="2"/>
        <v>#VALUE!</v>
      </c>
    </row>
    <row r="183" spans="1:5" hidden="1">
      <c r="A183" s="281" t="s">
        <v>1286</v>
      </c>
      <c r="B183" s="281" t="s">
        <v>2202</v>
      </c>
      <c r="C183" s="562">
        <f>SUMIFS('Format for Import of DV'!J:J,'Format for Import of DV'!C:C,'Recon of ORS and DV'!A183)</f>
        <v>10000</v>
      </c>
      <c r="D183" s="562" t="e">
        <f>SUMIFS('Format for Import of DV'!M:M,'Format for Import of DV'!S:S,'Recon of ORS and DV'!B183)</f>
        <v>#VALUE!</v>
      </c>
      <c r="E183" s="276" t="e">
        <f t="shared" si="2"/>
        <v>#VALUE!</v>
      </c>
    </row>
    <row r="184" spans="1:5" hidden="1">
      <c r="A184" s="281" t="s">
        <v>1287</v>
      </c>
      <c r="B184" s="281" t="s">
        <v>2203</v>
      </c>
      <c r="C184" s="562">
        <f>SUMIFS('Format for Import of DV'!J:J,'Format for Import of DV'!C:C,'Recon of ORS and DV'!A184)</f>
        <v>27760</v>
      </c>
      <c r="D184" s="562" t="e">
        <f>SUMIFS('Format for Import of DV'!M:M,'Format for Import of DV'!S:S,'Recon of ORS and DV'!B184)</f>
        <v>#VALUE!</v>
      </c>
      <c r="E184" s="276" t="e">
        <f t="shared" si="2"/>
        <v>#VALUE!</v>
      </c>
    </row>
    <row r="185" spans="1:5" hidden="1">
      <c r="A185" s="281" t="s">
        <v>1289</v>
      </c>
      <c r="B185" s="281" t="s">
        <v>2204</v>
      </c>
      <c r="C185" s="562">
        <f>SUMIFS('Format for Import of DV'!J:J,'Format for Import of DV'!C:C,'Recon of ORS and DV'!A185)</f>
        <v>16332.5</v>
      </c>
      <c r="D185" s="562" t="e">
        <f>SUMIFS('Format for Import of DV'!M:M,'Format for Import of DV'!S:S,'Recon of ORS and DV'!B185)</f>
        <v>#VALUE!</v>
      </c>
      <c r="E185" s="276" t="e">
        <f t="shared" si="2"/>
        <v>#VALUE!</v>
      </c>
    </row>
    <row r="186" spans="1:5" hidden="1">
      <c r="A186" s="281" t="s">
        <v>1292</v>
      </c>
      <c r="B186" s="281" t="s">
        <v>2205</v>
      </c>
      <c r="C186" s="562">
        <f>SUMIFS('Format for Import of DV'!J:J,'Format for Import of DV'!C:C,'Recon of ORS and DV'!A186)</f>
        <v>22316</v>
      </c>
      <c r="D186" s="562" t="e">
        <f>SUMIFS('Format for Import of DV'!M:M,'Format for Import of DV'!S:S,'Recon of ORS and DV'!B186)</f>
        <v>#VALUE!</v>
      </c>
      <c r="E186" s="276" t="e">
        <f t="shared" si="2"/>
        <v>#VALUE!</v>
      </c>
    </row>
    <row r="187" spans="1:5" hidden="1">
      <c r="A187" s="281" t="s">
        <v>1293</v>
      </c>
      <c r="B187" s="281" t="s">
        <v>2206</v>
      </c>
      <c r="C187" s="562">
        <f>SUMIFS('Format for Import of DV'!J:J,'Format for Import of DV'!C:C,'Recon of ORS and DV'!A187)</f>
        <v>13034</v>
      </c>
      <c r="D187" s="562" t="e">
        <f>SUMIFS('Format for Import of DV'!M:M,'Format for Import of DV'!S:S,'Recon of ORS and DV'!B187)</f>
        <v>#VALUE!</v>
      </c>
      <c r="E187" s="276" t="e">
        <f t="shared" si="2"/>
        <v>#VALUE!</v>
      </c>
    </row>
    <row r="188" spans="1:5" hidden="1">
      <c r="A188" s="281" t="s">
        <v>1294</v>
      </c>
      <c r="B188" s="281" t="s">
        <v>2207</v>
      </c>
      <c r="C188" s="562">
        <f>SUMIFS('Format for Import of DV'!J:J,'Format for Import of DV'!C:C,'Recon of ORS and DV'!A188)</f>
        <v>150000</v>
      </c>
      <c r="D188" s="562" t="e">
        <f>SUMIFS('Format for Import of DV'!M:M,'Format for Import of DV'!S:S,'Recon of ORS and DV'!B188)</f>
        <v>#VALUE!</v>
      </c>
      <c r="E188" s="276" t="e">
        <f t="shared" si="2"/>
        <v>#VALUE!</v>
      </c>
    </row>
    <row r="189" spans="1:5" hidden="1">
      <c r="A189" s="281" t="s">
        <v>1296</v>
      </c>
      <c r="B189" s="281" t="s">
        <v>2208</v>
      </c>
      <c r="C189" s="562">
        <f>SUMIFS('Format for Import of DV'!J:J,'Format for Import of DV'!C:C,'Recon of ORS and DV'!A189)</f>
        <v>64106</v>
      </c>
      <c r="D189" s="562" t="e">
        <f>SUMIFS('Format for Import of DV'!M:M,'Format for Import of DV'!S:S,'Recon of ORS and DV'!B189)</f>
        <v>#VALUE!</v>
      </c>
      <c r="E189" s="276" t="e">
        <f t="shared" si="2"/>
        <v>#VALUE!</v>
      </c>
    </row>
    <row r="190" spans="1:5" hidden="1">
      <c r="A190" s="281" t="s">
        <v>1299</v>
      </c>
      <c r="B190" s="281" t="s">
        <v>2209</v>
      </c>
      <c r="C190" s="562">
        <f>SUMIFS('Format for Import of DV'!J:J,'Format for Import of DV'!C:C,'Recon of ORS and DV'!A190)</f>
        <v>16332.5</v>
      </c>
      <c r="D190" s="562" t="e">
        <f>SUMIFS('Format for Import of DV'!M:M,'Format for Import of DV'!S:S,'Recon of ORS and DV'!B190)</f>
        <v>#VALUE!</v>
      </c>
      <c r="E190" s="276" t="e">
        <f t="shared" si="2"/>
        <v>#VALUE!</v>
      </c>
    </row>
    <row r="191" spans="1:5" hidden="1">
      <c r="A191" s="281" t="s">
        <v>1302</v>
      </c>
      <c r="B191" s="281" t="s">
        <v>2210</v>
      </c>
      <c r="C191" s="562">
        <f>SUMIFS('Format for Import of DV'!J:J,'Format for Import of DV'!C:C,'Recon of ORS and DV'!A191)</f>
        <v>9900</v>
      </c>
      <c r="D191" s="562" t="e">
        <f>SUMIFS('Format for Import of DV'!M:M,'Format for Import of DV'!S:S,'Recon of ORS and DV'!B191)</f>
        <v>#VALUE!</v>
      </c>
      <c r="E191" s="276" t="e">
        <f t="shared" si="2"/>
        <v>#VALUE!</v>
      </c>
    </row>
    <row r="192" spans="1:5" hidden="1">
      <c r="A192" s="281" t="s">
        <v>1305</v>
      </c>
      <c r="B192" s="281" t="s">
        <v>2211</v>
      </c>
      <c r="C192" s="562">
        <f>SUMIFS('Format for Import of DV'!J:J,'Format for Import of DV'!C:C,'Recon of ORS and DV'!A192)</f>
        <v>6617.76</v>
      </c>
      <c r="D192" s="562" t="e">
        <f>SUMIFS('Format for Import of DV'!M:M,'Format for Import of DV'!S:S,'Recon of ORS and DV'!B192)</f>
        <v>#VALUE!</v>
      </c>
      <c r="E192" s="276" t="e">
        <f t="shared" si="2"/>
        <v>#VALUE!</v>
      </c>
    </row>
    <row r="193" spans="1:5" hidden="1">
      <c r="A193" s="281" t="s">
        <v>1306</v>
      </c>
      <c r="B193" s="281" t="s">
        <v>2212</v>
      </c>
      <c r="C193" s="562">
        <f>SUMIFS('Format for Import of DV'!J:J,'Format for Import of DV'!C:C,'Recon of ORS and DV'!A193)</f>
        <v>2179.06</v>
      </c>
      <c r="D193" s="562" t="e">
        <f>SUMIFS('Format for Import of DV'!M:M,'Format for Import of DV'!S:S,'Recon of ORS and DV'!B193)</f>
        <v>#VALUE!</v>
      </c>
      <c r="E193" s="276" t="e">
        <f t="shared" si="2"/>
        <v>#VALUE!</v>
      </c>
    </row>
    <row r="194" spans="1:5" hidden="1">
      <c r="A194" s="281" t="s">
        <v>1310</v>
      </c>
      <c r="B194" s="281" t="s">
        <v>2213</v>
      </c>
      <c r="C194" s="562">
        <f>SUMIFS('Format for Import of DV'!J:J,'Format for Import of DV'!C:C,'Recon of ORS and DV'!A194)</f>
        <v>3075</v>
      </c>
      <c r="D194" s="562" t="e">
        <f>SUMIFS('Format for Import of DV'!M:M,'Format for Import of DV'!S:S,'Recon of ORS and DV'!B194)</f>
        <v>#VALUE!</v>
      </c>
      <c r="E194" s="276" t="e">
        <f t="shared" si="2"/>
        <v>#VALUE!</v>
      </c>
    </row>
    <row r="195" spans="1:5" hidden="1">
      <c r="A195" s="281" t="s">
        <v>1312</v>
      </c>
      <c r="B195" s="281" t="s">
        <v>2214</v>
      </c>
      <c r="C195" s="562">
        <f>SUMIFS('Format for Import of DV'!J:J,'Format for Import of DV'!C:C,'Recon of ORS and DV'!A195)</f>
        <v>3048</v>
      </c>
      <c r="D195" s="562" t="e">
        <f>SUMIFS('Format for Import of DV'!M:M,'Format for Import of DV'!S:S,'Recon of ORS and DV'!B195)</f>
        <v>#VALUE!</v>
      </c>
      <c r="E195" s="276" t="e">
        <f t="shared" si="2"/>
        <v>#VALUE!</v>
      </c>
    </row>
    <row r="196" spans="1:5" hidden="1">
      <c r="A196" s="281" t="s">
        <v>1314</v>
      </c>
      <c r="B196" s="281"/>
      <c r="C196" s="562">
        <f>SUMIFS('Format for Import of DV'!J:J,'Format for Import of DV'!C:C,'Recon of ORS and DV'!A196)</f>
        <v>0</v>
      </c>
      <c r="D196" s="562" t="e">
        <f>SUMIFS('Format for Import of DV'!M:M,'Format for Import of DV'!S:S,'Recon of ORS and DV'!B196)</f>
        <v>#VALUE!</v>
      </c>
      <c r="E196" s="276" t="e">
        <f t="shared" si="2"/>
        <v>#VALUE!</v>
      </c>
    </row>
    <row r="197" spans="1:5" hidden="1">
      <c r="A197" s="281" t="s">
        <v>1317</v>
      </c>
      <c r="B197" s="281" t="s">
        <v>2215</v>
      </c>
      <c r="C197" s="562">
        <f>SUMIFS('Format for Import of DV'!J:J,'Format for Import of DV'!C:C,'Recon of ORS and DV'!A197)</f>
        <v>1080</v>
      </c>
      <c r="D197" s="562" t="e">
        <f>SUMIFS('Format for Import of DV'!M:M,'Format for Import of DV'!S:S,'Recon of ORS and DV'!B197)</f>
        <v>#VALUE!</v>
      </c>
      <c r="E197" s="276" t="e">
        <f t="shared" ref="E197:E260" si="3">C197-D197</f>
        <v>#VALUE!</v>
      </c>
    </row>
    <row r="198" spans="1:5" hidden="1">
      <c r="A198" s="281" t="s">
        <v>1319</v>
      </c>
      <c r="B198" s="281" t="s">
        <v>2216</v>
      </c>
      <c r="C198" s="562">
        <f>SUMIFS('Format for Import of DV'!J:J,'Format for Import of DV'!C:C,'Recon of ORS and DV'!A198)</f>
        <v>8800</v>
      </c>
      <c r="D198" s="562" t="e">
        <f>SUMIFS('Format for Import of DV'!M:M,'Format for Import of DV'!S:S,'Recon of ORS and DV'!B198)</f>
        <v>#VALUE!</v>
      </c>
      <c r="E198" s="276" t="e">
        <f t="shared" si="3"/>
        <v>#VALUE!</v>
      </c>
    </row>
    <row r="199" spans="1:5" hidden="1">
      <c r="A199" s="281" t="s">
        <v>1321</v>
      </c>
      <c r="B199" s="281" t="s">
        <v>2217</v>
      </c>
      <c r="C199" s="562">
        <f>SUMIFS('Format for Import of DV'!J:J,'Format for Import of DV'!C:C,'Recon of ORS and DV'!A199)</f>
        <v>29318.18</v>
      </c>
      <c r="D199" s="562" t="e">
        <f>SUMIFS('Format for Import of DV'!M:M,'Format for Import of DV'!S:S,'Recon of ORS and DV'!B199)</f>
        <v>#VALUE!</v>
      </c>
      <c r="E199" s="276" t="e">
        <f t="shared" si="3"/>
        <v>#VALUE!</v>
      </c>
    </row>
    <row r="200" spans="1:5" hidden="1">
      <c r="A200" s="281" t="s">
        <v>1322</v>
      </c>
      <c r="B200" s="281" t="s">
        <v>2218</v>
      </c>
      <c r="C200" s="562">
        <f>SUMIFS('Format for Import of DV'!J:J,'Format for Import of DV'!C:C,'Recon of ORS and DV'!A200)</f>
        <v>9565</v>
      </c>
      <c r="D200" s="562" t="e">
        <f>SUMIFS('Format for Import of DV'!M:M,'Format for Import of DV'!S:S,'Recon of ORS and DV'!B200)</f>
        <v>#VALUE!</v>
      </c>
      <c r="E200" s="276" t="e">
        <f t="shared" si="3"/>
        <v>#VALUE!</v>
      </c>
    </row>
    <row r="201" spans="1:5" hidden="1">
      <c r="A201" s="281" t="s">
        <v>1324</v>
      </c>
      <c r="B201" s="281" t="s">
        <v>2219</v>
      </c>
      <c r="C201" s="562">
        <f>SUMIFS('Format for Import of DV'!J:J,'Format for Import of DV'!C:C,'Recon of ORS and DV'!A201)</f>
        <v>1560</v>
      </c>
      <c r="D201" s="562" t="e">
        <f>SUMIFS('Format for Import of DV'!M:M,'Format for Import of DV'!S:S,'Recon of ORS and DV'!B201)</f>
        <v>#VALUE!</v>
      </c>
      <c r="E201" s="276" t="e">
        <f t="shared" si="3"/>
        <v>#VALUE!</v>
      </c>
    </row>
    <row r="202" spans="1:5" hidden="1">
      <c r="A202" s="281" t="s">
        <v>1326</v>
      </c>
      <c r="B202" s="281" t="s">
        <v>2220</v>
      </c>
      <c r="C202" s="562">
        <f>SUMIFS('Format for Import of DV'!J:J,'Format for Import of DV'!C:C,'Recon of ORS and DV'!A202)</f>
        <v>17820</v>
      </c>
      <c r="D202" s="562" t="e">
        <f>SUMIFS('Format for Import of DV'!M:M,'Format for Import of DV'!S:S,'Recon of ORS and DV'!B202)</f>
        <v>#VALUE!</v>
      </c>
      <c r="E202" s="276" t="e">
        <f t="shared" si="3"/>
        <v>#VALUE!</v>
      </c>
    </row>
    <row r="203" spans="1:5" hidden="1">
      <c r="A203" s="281" t="s">
        <v>1328</v>
      </c>
      <c r="B203" s="281" t="s">
        <v>2221</v>
      </c>
      <c r="C203" s="562">
        <f>SUMIFS('Format for Import of DV'!J:J,'Format for Import of DV'!C:C,'Recon of ORS and DV'!A203)</f>
        <v>11547.23</v>
      </c>
      <c r="D203" s="562" t="e">
        <f>SUMIFS('Format for Import of DV'!M:M,'Format for Import of DV'!S:S,'Recon of ORS and DV'!B203)</f>
        <v>#VALUE!</v>
      </c>
      <c r="E203" s="276" t="e">
        <f t="shared" si="3"/>
        <v>#VALUE!</v>
      </c>
    </row>
    <row r="204" spans="1:5" hidden="1">
      <c r="A204" s="281" t="s">
        <v>1331</v>
      </c>
      <c r="B204" s="281" t="s">
        <v>2222</v>
      </c>
      <c r="C204" s="562">
        <f>SUMIFS('Format for Import of DV'!J:J,'Format for Import of DV'!C:C,'Recon of ORS and DV'!A204)</f>
        <v>1840</v>
      </c>
      <c r="D204" s="562" t="e">
        <f>SUMIFS('Format for Import of DV'!M:M,'Format for Import of DV'!S:S,'Recon of ORS and DV'!B204)</f>
        <v>#VALUE!</v>
      </c>
      <c r="E204" s="276" t="e">
        <f t="shared" si="3"/>
        <v>#VALUE!</v>
      </c>
    </row>
    <row r="205" spans="1:5" hidden="1">
      <c r="A205" s="281" t="s">
        <v>1333</v>
      </c>
      <c r="B205" s="281" t="s">
        <v>2223</v>
      </c>
      <c r="C205" s="562">
        <f>SUMIFS('Format for Import of DV'!J:J,'Format for Import of DV'!C:C,'Recon of ORS and DV'!A205)</f>
        <v>17500</v>
      </c>
      <c r="D205" s="562" t="e">
        <f>SUMIFS('Format for Import of DV'!M:M,'Format for Import of DV'!S:S,'Recon of ORS and DV'!B205)</f>
        <v>#VALUE!</v>
      </c>
      <c r="E205" s="276" t="e">
        <f t="shared" si="3"/>
        <v>#VALUE!</v>
      </c>
    </row>
    <row r="206" spans="1:5" hidden="1">
      <c r="A206" s="281" t="s">
        <v>1336</v>
      </c>
      <c r="B206" s="281" t="s">
        <v>2224</v>
      </c>
      <c r="C206" s="562">
        <f>SUMIFS('Format for Import of DV'!J:J,'Format for Import of DV'!C:C,'Recon of ORS and DV'!A206)</f>
        <v>1800</v>
      </c>
      <c r="D206" s="562" t="e">
        <f>SUMIFS('Format for Import of DV'!M:M,'Format for Import of DV'!S:S,'Recon of ORS and DV'!B206)</f>
        <v>#VALUE!</v>
      </c>
      <c r="E206" s="276" t="e">
        <f t="shared" si="3"/>
        <v>#VALUE!</v>
      </c>
    </row>
    <row r="207" spans="1:5" hidden="1">
      <c r="A207" s="281" t="s">
        <v>1338</v>
      </c>
      <c r="B207" s="281" t="s">
        <v>2225</v>
      </c>
      <c r="C207" s="562">
        <f>SUMIFS('Format for Import of DV'!J:J,'Format for Import of DV'!C:C,'Recon of ORS and DV'!A207)</f>
        <v>20626.73</v>
      </c>
      <c r="D207" s="562" t="e">
        <f>SUMIFS('Format for Import of DV'!M:M,'Format for Import of DV'!S:S,'Recon of ORS and DV'!B207)</f>
        <v>#VALUE!</v>
      </c>
      <c r="E207" s="276" t="e">
        <f t="shared" si="3"/>
        <v>#VALUE!</v>
      </c>
    </row>
    <row r="208" spans="1:5" hidden="1">
      <c r="A208" s="281" t="s">
        <v>1341</v>
      </c>
      <c r="B208" s="281" t="s">
        <v>2226</v>
      </c>
      <c r="C208" s="562">
        <f>SUMIFS('Format for Import of DV'!J:J,'Format for Import of DV'!C:C,'Recon of ORS and DV'!A208)</f>
        <v>16308.47</v>
      </c>
      <c r="D208" s="562" t="e">
        <f>SUMIFS('Format for Import of DV'!M:M,'Format for Import of DV'!S:S,'Recon of ORS and DV'!B208)</f>
        <v>#VALUE!</v>
      </c>
      <c r="E208" s="276" t="e">
        <f t="shared" si="3"/>
        <v>#VALUE!</v>
      </c>
    </row>
    <row r="209" spans="1:5" hidden="1">
      <c r="A209" s="281" t="s">
        <v>1343</v>
      </c>
      <c r="B209" s="281" t="s">
        <v>2227</v>
      </c>
      <c r="C209" s="562">
        <f>SUMIFS('Format for Import of DV'!J:J,'Format for Import of DV'!C:C,'Recon of ORS and DV'!A209)</f>
        <v>7200</v>
      </c>
      <c r="D209" s="562" t="e">
        <f>SUMIFS('Format for Import of DV'!M:M,'Format for Import of DV'!S:S,'Recon of ORS and DV'!B209)</f>
        <v>#VALUE!</v>
      </c>
      <c r="E209" s="276" t="e">
        <f t="shared" si="3"/>
        <v>#VALUE!</v>
      </c>
    </row>
    <row r="210" spans="1:5" hidden="1">
      <c r="A210" s="281" t="s">
        <v>1364</v>
      </c>
      <c r="B210" s="281" t="s">
        <v>2228</v>
      </c>
      <c r="C210" s="562">
        <f>SUMIFS('Format for Import of DV'!J:J,'Format for Import of DV'!C:C,'Recon of ORS and DV'!A210)</f>
        <v>12900</v>
      </c>
      <c r="D210" s="562" t="e">
        <f>SUMIFS('Format for Import of DV'!M:M,'Format for Import of DV'!S:S,'Recon of ORS and DV'!B210)</f>
        <v>#VALUE!</v>
      </c>
      <c r="E210" s="276" t="e">
        <f t="shared" si="3"/>
        <v>#VALUE!</v>
      </c>
    </row>
    <row r="211" spans="1:5" hidden="1">
      <c r="A211" s="281" t="s">
        <v>1365</v>
      </c>
      <c r="B211" s="281" t="s">
        <v>2229</v>
      </c>
      <c r="C211" s="562">
        <f>SUMIFS('Format for Import of DV'!J:J,'Format for Import of DV'!C:C,'Recon of ORS and DV'!A211)</f>
        <v>4950</v>
      </c>
      <c r="D211" s="562" t="e">
        <f>SUMIFS('Format for Import of DV'!M:M,'Format for Import of DV'!S:S,'Recon of ORS and DV'!B211)</f>
        <v>#VALUE!</v>
      </c>
      <c r="E211" s="276" t="e">
        <f t="shared" si="3"/>
        <v>#VALUE!</v>
      </c>
    </row>
    <row r="212" spans="1:5" hidden="1">
      <c r="A212" s="281" t="s">
        <v>1367</v>
      </c>
      <c r="B212" s="281" t="s">
        <v>2230</v>
      </c>
      <c r="C212" s="562">
        <f>SUMIFS('Format for Import of DV'!J:J,'Format for Import of DV'!C:C,'Recon of ORS and DV'!A212)</f>
        <v>7830</v>
      </c>
      <c r="D212" s="562" t="e">
        <f>SUMIFS('Format for Import of DV'!M:M,'Format for Import of DV'!S:S,'Recon of ORS and DV'!B212)</f>
        <v>#VALUE!</v>
      </c>
      <c r="E212" s="276" t="e">
        <f t="shared" si="3"/>
        <v>#VALUE!</v>
      </c>
    </row>
    <row r="213" spans="1:5" hidden="1">
      <c r="A213" s="281" t="s">
        <v>1368</v>
      </c>
      <c r="B213" s="281" t="s">
        <v>2231</v>
      </c>
      <c r="C213" s="562">
        <f>SUMIFS('Format for Import of DV'!J:J,'Format for Import of DV'!C:C,'Recon of ORS and DV'!A213)</f>
        <v>27000</v>
      </c>
      <c r="D213" s="562" t="e">
        <f>SUMIFS('Format for Import of DV'!M:M,'Format for Import of DV'!S:S,'Recon of ORS and DV'!B213)</f>
        <v>#VALUE!</v>
      </c>
      <c r="E213" s="276" t="e">
        <f t="shared" si="3"/>
        <v>#VALUE!</v>
      </c>
    </row>
    <row r="214" spans="1:5" hidden="1">
      <c r="A214" s="281" t="s">
        <v>1370</v>
      </c>
      <c r="B214" s="281" t="s">
        <v>2232</v>
      </c>
      <c r="C214" s="562">
        <f>SUMIFS('Format for Import of DV'!J:J,'Format for Import of DV'!C:C,'Recon of ORS and DV'!A214)</f>
        <v>3400</v>
      </c>
      <c r="D214" s="562" t="e">
        <f>SUMIFS('Format for Import of DV'!M:M,'Format for Import of DV'!S:S,'Recon of ORS and DV'!B214)</f>
        <v>#VALUE!</v>
      </c>
      <c r="E214" s="276" t="e">
        <f t="shared" si="3"/>
        <v>#VALUE!</v>
      </c>
    </row>
    <row r="215" spans="1:5" hidden="1">
      <c r="A215" s="281" t="s">
        <v>1371</v>
      </c>
      <c r="B215" s="281" t="s">
        <v>2233</v>
      </c>
      <c r="C215" s="562">
        <f>SUMIFS('Format for Import of DV'!J:J,'Format for Import of DV'!C:C,'Recon of ORS and DV'!A215)</f>
        <v>1800</v>
      </c>
      <c r="D215" s="562" t="e">
        <f>SUMIFS('Format for Import of DV'!M:M,'Format for Import of DV'!S:S,'Recon of ORS and DV'!B215)</f>
        <v>#VALUE!</v>
      </c>
      <c r="E215" s="276" t="e">
        <f t="shared" si="3"/>
        <v>#VALUE!</v>
      </c>
    </row>
    <row r="216" spans="1:5" hidden="1">
      <c r="A216" s="281" t="s">
        <v>1372</v>
      </c>
      <c r="B216" s="281" t="s">
        <v>2234</v>
      </c>
      <c r="C216" s="562">
        <f>SUMIFS('Format for Import of DV'!J:J,'Format for Import of DV'!C:C,'Recon of ORS and DV'!A216)</f>
        <v>39600</v>
      </c>
      <c r="D216" s="562" t="e">
        <f>SUMIFS('Format for Import of DV'!M:M,'Format for Import of DV'!S:S,'Recon of ORS and DV'!B216)</f>
        <v>#VALUE!</v>
      </c>
      <c r="E216" s="276" t="e">
        <f t="shared" si="3"/>
        <v>#VALUE!</v>
      </c>
    </row>
    <row r="217" spans="1:5" hidden="1">
      <c r="A217" s="281" t="s">
        <v>1373</v>
      </c>
      <c r="B217" s="281" t="s">
        <v>2235</v>
      </c>
      <c r="C217" s="562">
        <f>SUMIFS('Format for Import of DV'!J:J,'Format for Import of DV'!C:C,'Recon of ORS and DV'!A217)</f>
        <v>5600</v>
      </c>
      <c r="D217" s="562" t="e">
        <f>SUMIFS('Format for Import of DV'!M:M,'Format for Import of DV'!S:S,'Recon of ORS and DV'!B217)</f>
        <v>#VALUE!</v>
      </c>
      <c r="E217" s="276" t="e">
        <f t="shared" si="3"/>
        <v>#VALUE!</v>
      </c>
    </row>
    <row r="218" spans="1:5" hidden="1">
      <c r="A218" s="281" t="s">
        <v>1374</v>
      </c>
      <c r="B218" s="281" t="s">
        <v>2236</v>
      </c>
      <c r="C218" s="562">
        <f>SUMIFS('Format for Import of DV'!J:J,'Format for Import of DV'!C:C,'Recon of ORS and DV'!A218)</f>
        <v>4032</v>
      </c>
      <c r="D218" s="562" t="e">
        <f>SUMIFS('Format for Import of DV'!M:M,'Format for Import of DV'!S:S,'Recon of ORS and DV'!B218)</f>
        <v>#VALUE!</v>
      </c>
      <c r="E218" s="276" t="e">
        <f t="shared" si="3"/>
        <v>#VALUE!</v>
      </c>
    </row>
    <row r="219" spans="1:5" hidden="1">
      <c r="A219" s="281" t="s">
        <v>1375</v>
      </c>
      <c r="B219" s="281" t="s">
        <v>2237</v>
      </c>
      <c r="C219" s="562">
        <f>SUMIFS('Format for Import of DV'!J:J,'Format for Import of DV'!C:C,'Recon of ORS and DV'!A219)</f>
        <v>22882.230000000003</v>
      </c>
      <c r="D219" s="562" t="e">
        <f>SUMIFS('Format for Import of DV'!M:M,'Format for Import of DV'!S:S,'Recon of ORS and DV'!B219)</f>
        <v>#VALUE!</v>
      </c>
      <c r="E219" s="276" t="e">
        <f t="shared" si="3"/>
        <v>#VALUE!</v>
      </c>
    </row>
    <row r="220" spans="1:5" hidden="1">
      <c r="A220" s="281" t="s">
        <v>1376</v>
      </c>
      <c r="B220" s="281" t="s">
        <v>2238</v>
      </c>
      <c r="C220" s="562">
        <f>SUMIFS('Format for Import of DV'!J:J,'Format for Import of DV'!C:C,'Recon of ORS and DV'!A220)</f>
        <v>2275</v>
      </c>
      <c r="D220" s="562" t="e">
        <f>SUMIFS('Format for Import of DV'!M:M,'Format for Import of DV'!S:S,'Recon of ORS and DV'!B220)</f>
        <v>#VALUE!</v>
      </c>
      <c r="E220" s="276" t="e">
        <f t="shared" si="3"/>
        <v>#VALUE!</v>
      </c>
    </row>
    <row r="221" spans="1:5" hidden="1">
      <c r="A221" s="281" t="s">
        <v>1377</v>
      </c>
      <c r="B221" s="281" t="s">
        <v>2239</v>
      </c>
      <c r="C221" s="562">
        <f>SUMIFS('Format for Import of DV'!J:J,'Format for Import of DV'!C:C,'Recon of ORS and DV'!A221)</f>
        <v>6323</v>
      </c>
      <c r="D221" s="562" t="e">
        <f>SUMIFS('Format for Import of DV'!M:M,'Format for Import of DV'!S:S,'Recon of ORS and DV'!B221)</f>
        <v>#VALUE!</v>
      </c>
      <c r="E221" s="276" t="e">
        <f t="shared" si="3"/>
        <v>#VALUE!</v>
      </c>
    </row>
    <row r="222" spans="1:5" hidden="1">
      <c r="A222" s="281" t="s">
        <v>1378</v>
      </c>
      <c r="B222" s="281" t="s">
        <v>2240</v>
      </c>
      <c r="C222" s="562">
        <f>SUMIFS('Format for Import of DV'!J:J,'Format for Import of DV'!C:C,'Recon of ORS and DV'!A222)</f>
        <v>1242</v>
      </c>
      <c r="D222" s="562" t="e">
        <f>SUMIFS('Format for Import of DV'!M:M,'Format for Import of DV'!S:S,'Recon of ORS and DV'!B222)</f>
        <v>#VALUE!</v>
      </c>
      <c r="E222" s="276" t="e">
        <f t="shared" si="3"/>
        <v>#VALUE!</v>
      </c>
    </row>
    <row r="223" spans="1:5" hidden="1">
      <c r="A223" s="281" t="s">
        <v>1379</v>
      </c>
      <c r="B223" s="281" t="s">
        <v>2241</v>
      </c>
      <c r="C223" s="562">
        <f>SUMIFS('Format for Import of DV'!J:J,'Format for Import of DV'!C:C,'Recon of ORS and DV'!A223)</f>
        <v>170501.47</v>
      </c>
      <c r="D223" s="562" t="e">
        <f>SUMIFS('Format for Import of DV'!M:M,'Format for Import of DV'!S:S,'Recon of ORS and DV'!B223)</f>
        <v>#VALUE!</v>
      </c>
      <c r="E223" s="276" t="e">
        <f t="shared" si="3"/>
        <v>#VALUE!</v>
      </c>
    </row>
    <row r="224" spans="1:5" hidden="1">
      <c r="A224" s="281" t="s">
        <v>1383</v>
      </c>
      <c r="B224" s="281" t="s">
        <v>2242</v>
      </c>
      <c r="C224" s="562">
        <f>SUMIFS('Format for Import of DV'!J:J,'Format for Import of DV'!C:C,'Recon of ORS and DV'!A224)</f>
        <v>7635</v>
      </c>
      <c r="D224" s="562" t="e">
        <f>SUMIFS('Format for Import of DV'!M:M,'Format for Import of DV'!S:S,'Recon of ORS and DV'!B224)</f>
        <v>#VALUE!</v>
      </c>
      <c r="E224" s="276" t="e">
        <f t="shared" si="3"/>
        <v>#VALUE!</v>
      </c>
    </row>
    <row r="225" spans="1:5" hidden="1">
      <c r="A225" s="281" t="s">
        <v>1385</v>
      </c>
      <c r="B225" s="281" t="s">
        <v>2243</v>
      </c>
      <c r="C225" s="562">
        <f>SUMIFS('Format for Import of DV'!J:J,'Format for Import of DV'!C:C,'Recon of ORS and DV'!A225)</f>
        <v>429402.37</v>
      </c>
      <c r="D225" s="562" t="e">
        <f>SUMIFS('Format for Import of DV'!M:M,'Format for Import of DV'!S:S,'Recon of ORS and DV'!B225)</f>
        <v>#VALUE!</v>
      </c>
      <c r="E225" s="276" t="e">
        <f t="shared" si="3"/>
        <v>#VALUE!</v>
      </c>
    </row>
    <row r="226" spans="1:5" hidden="1">
      <c r="A226" s="281" t="s">
        <v>1386</v>
      </c>
      <c r="B226" s="281" t="s">
        <v>2244</v>
      </c>
      <c r="C226" s="562">
        <f>SUMIFS('Format for Import of DV'!J:J,'Format for Import of DV'!C:C,'Recon of ORS and DV'!A226)</f>
        <v>688368.09</v>
      </c>
      <c r="D226" s="562" t="e">
        <f>SUMIFS('Format for Import of DV'!M:M,'Format for Import of DV'!S:S,'Recon of ORS and DV'!B226)</f>
        <v>#VALUE!</v>
      </c>
      <c r="E226" s="276" t="e">
        <f t="shared" si="3"/>
        <v>#VALUE!</v>
      </c>
    </row>
    <row r="227" spans="1:5" hidden="1">
      <c r="A227" s="281" t="s">
        <v>1387</v>
      </c>
      <c r="B227" s="281" t="s">
        <v>2245</v>
      </c>
      <c r="C227" s="562">
        <f>SUMIFS('Format for Import of DV'!J:J,'Format for Import of DV'!C:C,'Recon of ORS and DV'!A227)</f>
        <v>389716.8</v>
      </c>
      <c r="D227" s="562" t="e">
        <f>SUMIFS('Format for Import of DV'!M:M,'Format for Import of DV'!S:S,'Recon of ORS and DV'!B227)</f>
        <v>#VALUE!</v>
      </c>
      <c r="E227" s="276" t="e">
        <f t="shared" si="3"/>
        <v>#VALUE!</v>
      </c>
    </row>
    <row r="228" spans="1:5" hidden="1">
      <c r="A228" s="281" t="s">
        <v>1388</v>
      </c>
      <c r="B228" s="281" t="s">
        <v>2246</v>
      </c>
      <c r="C228" s="562">
        <f>SUMIFS('Format for Import of DV'!J:J,'Format for Import of DV'!C:C,'Recon of ORS and DV'!A228)</f>
        <v>40307.629999999997</v>
      </c>
      <c r="D228" s="562" t="e">
        <f>SUMIFS('Format for Import of DV'!M:M,'Format for Import of DV'!S:S,'Recon of ORS and DV'!B228)</f>
        <v>#VALUE!</v>
      </c>
      <c r="E228" s="276" t="e">
        <f t="shared" si="3"/>
        <v>#VALUE!</v>
      </c>
    </row>
    <row r="229" spans="1:5" hidden="1">
      <c r="A229" s="281" t="s">
        <v>1389</v>
      </c>
      <c r="B229" s="281" t="s">
        <v>2247</v>
      </c>
      <c r="C229" s="562">
        <f>SUMIFS('Format for Import of DV'!J:J,'Format for Import of DV'!C:C,'Recon of ORS and DV'!A229)</f>
        <v>51777.94</v>
      </c>
      <c r="D229" s="562" t="e">
        <f>SUMIFS('Format for Import of DV'!M:M,'Format for Import of DV'!S:S,'Recon of ORS and DV'!B229)</f>
        <v>#VALUE!</v>
      </c>
      <c r="E229" s="276" t="e">
        <f t="shared" si="3"/>
        <v>#VALUE!</v>
      </c>
    </row>
    <row r="230" spans="1:5" hidden="1">
      <c r="A230" s="281" t="s">
        <v>1391</v>
      </c>
      <c r="B230" s="281" t="s">
        <v>2277</v>
      </c>
      <c r="C230" s="562">
        <f>SUMIFS('Format for Import of DV'!J:J,'Format for Import of DV'!C:C,'Recon of ORS and DV'!A230)</f>
        <v>92085.57</v>
      </c>
      <c r="D230" s="562" t="e">
        <f>SUMIFS('Format for Import of DV'!M:M,'Format for Import of DV'!S:S,'Recon of ORS and DV'!B230)</f>
        <v>#VALUE!</v>
      </c>
      <c r="E230" s="276" t="e">
        <f t="shared" si="3"/>
        <v>#VALUE!</v>
      </c>
    </row>
    <row r="231" spans="1:5" hidden="1">
      <c r="A231" s="281" t="s">
        <v>1392</v>
      </c>
      <c r="B231" s="281" t="s">
        <v>2248</v>
      </c>
      <c r="C231" s="562">
        <f>SUMIFS('Format for Import of DV'!J:J,'Format for Import of DV'!C:C,'Recon of ORS and DV'!A231)</f>
        <v>40307.629999999997</v>
      </c>
      <c r="D231" s="562" t="e">
        <f>SUMIFS('Format for Import of DV'!M:M,'Format for Import of DV'!S:S,'Recon of ORS and DV'!B231)</f>
        <v>#VALUE!</v>
      </c>
      <c r="E231" s="276" t="e">
        <f t="shared" si="3"/>
        <v>#VALUE!</v>
      </c>
    </row>
    <row r="232" spans="1:5" hidden="1">
      <c r="A232" s="281" t="s">
        <v>1393</v>
      </c>
      <c r="B232" s="281" t="s">
        <v>2249</v>
      </c>
      <c r="C232" s="562">
        <f>SUMIFS('Format for Import of DV'!J:J,'Format for Import of DV'!C:C,'Recon of ORS and DV'!A232)</f>
        <v>29300.399999999998</v>
      </c>
      <c r="D232" s="562" t="e">
        <f>SUMIFS('Format for Import of DV'!M:M,'Format for Import of DV'!S:S,'Recon of ORS and DV'!B232)</f>
        <v>#VALUE!</v>
      </c>
      <c r="E232" s="276" t="e">
        <f t="shared" si="3"/>
        <v>#VALUE!</v>
      </c>
    </row>
    <row r="233" spans="1:5" hidden="1">
      <c r="A233" s="281" t="s">
        <v>1395</v>
      </c>
      <c r="B233" s="281" t="s">
        <v>2250</v>
      </c>
      <c r="C233" s="562">
        <f>SUMIFS('Format for Import of DV'!J:J,'Format for Import of DV'!C:C,'Recon of ORS and DV'!A233)</f>
        <v>29300.399999999998</v>
      </c>
      <c r="D233" s="562" t="e">
        <f>SUMIFS('Format for Import of DV'!M:M,'Format for Import of DV'!S:S,'Recon of ORS and DV'!B233)</f>
        <v>#VALUE!</v>
      </c>
      <c r="E233" s="276" t="e">
        <f t="shared" si="3"/>
        <v>#VALUE!</v>
      </c>
    </row>
    <row r="234" spans="1:5" hidden="1">
      <c r="A234" s="281" t="s">
        <v>1396</v>
      </c>
      <c r="B234" s="281" t="s">
        <v>2251</v>
      </c>
      <c r="C234" s="562">
        <f>SUMIFS('Format for Import of DV'!J:J,'Format for Import of DV'!C:C,'Recon of ORS and DV'!A234)</f>
        <v>29300.399999999998</v>
      </c>
      <c r="D234" s="562" t="e">
        <f>SUMIFS('Format for Import of DV'!M:M,'Format for Import of DV'!S:S,'Recon of ORS and DV'!B234)</f>
        <v>#VALUE!</v>
      </c>
      <c r="E234" s="276" t="e">
        <f t="shared" si="3"/>
        <v>#VALUE!</v>
      </c>
    </row>
    <row r="235" spans="1:5" hidden="1">
      <c r="A235" s="281" t="s">
        <v>1397</v>
      </c>
      <c r="B235" s="281" t="s">
        <v>2252</v>
      </c>
      <c r="C235" s="562">
        <f>SUMIFS('Format for Import of DV'!J:J,'Format for Import of DV'!C:C,'Recon of ORS and DV'!A235)</f>
        <v>29300.399999999998</v>
      </c>
      <c r="D235" s="562" t="e">
        <f>SUMIFS('Format for Import of DV'!M:M,'Format for Import of DV'!S:S,'Recon of ORS and DV'!B235)</f>
        <v>#VALUE!</v>
      </c>
      <c r="E235" s="276" t="e">
        <f t="shared" si="3"/>
        <v>#VALUE!</v>
      </c>
    </row>
    <row r="236" spans="1:5" hidden="1">
      <c r="A236" s="281" t="s">
        <v>1398</v>
      </c>
      <c r="B236" s="281" t="s">
        <v>2253</v>
      </c>
      <c r="C236" s="562">
        <f>SUMIFS('Format for Import of DV'!J:J,'Format for Import of DV'!C:C,'Recon of ORS and DV'!A236)</f>
        <v>29300.399999999998</v>
      </c>
      <c r="D236" s="562" t="e">
        <f>SUMIFS('Format for Import of DV'!M:M,'Format for Import of DV'!S:S,'Recon of ORS and DV'!B236)</f>
        <v>#VALUE!</v>
      </c>
      <c r="E236" s="276" t="e">
        <f t="shared" si="3"/>
        <v>#VALUE!</v>
      </c>
    </row>
    <row r="237" spans="1:5" hidden="1">
      <c r="A237" s="281" t="s">
        <v>1400</v>
      </c>
      <c r="B237" s="281" t="s">
        <v>2254</v>
      </c>
      <c r="C237" s="562">
        <f>SUMIFS('Format for Import of DV'!J:J,'Format for Import of DV'!C:C,'Recon of ORS and DV'!A237)</f>
        <v>29300.399999999998</v>
      </c>
      <c r="D237" s="562" t="e">
        <f>SUMIFS('Format for Import of DV'!M:M,'Format for Import of DV'!S:S,'Recon of ORS and DV'!B237)</f>
        <v>#VALUE!</v>
      </c>
      <c r="E237" s="276" t="e">
        <f t="shared" si="3"/>
        <v>#VALUE!</v>
      </c>
    </row>
    <row r="238" spans="1:5" hidden="1">
      <c r="A238" s="281" t="s">
        <v>1401</v>
      </c>
      <c r="B238" s="281" t="s">
        <v>2255</v>
      </c>
      <c r="C238" s="562">
        <f>SUMIFS('Format for Import of DV'!J:J,'Format for Import of DV'!C:C,'Recon of ORS and DV'!A238)</f>
        <v>2049964.0999999999</v>
      </c>
      <c r="D238" s="562" t="e">
        <f>SUMIFS('Format for Import of DV'!M:M,'Format for Import of DV'!S:S,'Recon of ORS and DV'!B238)</f>
        <v>#VALUE!</v>
      </c>
      <c r="E238" s="276" t="e">
        <f t="shared" si="3"/>
        <v>#VALUE!</v>
      </c>
    </row>
    <row r="239" spans="1:5" hidden="1">
      <c r="A239" s="281" t="s">
        <v>1402</v>
      </c>
      <c r="B239" s="281" t="s">
        <v>2256</v>
      </c>
      <c r="C239" s="562">
        <f>SUMIFS('Format for Import of DV'!J:J,'Format for Import of DV'!C:C,'Recon of ORS and DV'!A239)</f>
        <v>470812.07</v>
      </c>
      <c r="D239" s="562" t="e">
        <f>SUMIFS('Format for Import of DV'!M:M,'Format for Import of DV'!S:S,'Recon of ORS and DV'!B239)</f>
        <v>#VALUE!</v>
      </c>
      <c r="E239" s="276" t="e">
        <f t="shared" si="3"/>
        <v>#VALUE!</v>
      </c>
    </row>
    <row r="240" spans="1:5" hidden="1">
      <c r="A240" s="281" t="s">
        <v>1403</v>
      </c>
      <c r="B240" s="281" t="s">
        <v>2257</v>
      </c>
      <c r="C240" s="562">
        <f>SUMIFS('Format for Import of DV'!J:J,'Format for Import of DV'!C:C,'Recon of ORS and DV'!A240)</f>
        <v>40307.629999999997</v>
      </c>
      <c r="D240" s="562" t="e">
        <f>SUMIFS('Format for Import of DV'!M:M,'Format for Import of DV'!S:S,'Recon of ORS and DV'!B240)</f>
        <v>#VALUE!</v>
      </c>
      <c r="E240" s="276" t="e">
        <f t="shared" si="3"/>
        <v>#VALUE!</v>
      </c>
    </row>
    <row r="241" spans="1:5" hidden="1">
      <c r="A241" s="281" t="s">
        <v>1405</v>
      </c>
      <c r="B241" s="281" t="s">
        <v>2258</v>
      </c>
      <c r="C241" s="562">
        <f>SUMIFS('Format for Import of DV'!J:J,'Format for Import of DV'!C:C,'Recon of ORS and DV'!A241)</f>
        <v>29300.399999999998</v>
      </c>
      <c r="D241" s="562" t="e">
        <f>SUMIFS('Format for Import of DV'!M:M,'Format for Import of DV'!S:S,'Recon of ORS and DV'!B241)</f>
        <v>#VALUE!</v>
      </c>
      <c r="E241" s="276" t="e">
        <f t="shared" si="3"/>
        <v>#VALUE!</v>
      </c>
    </row>
    <row r="242" spans="1:5" hidden="1">
      <c r="A242" s="281" t="s">
        <v>1407</v>
      </c>
      <c r="B242" s="281" t="s">
        <v>2259</v>
      </c>
      <c r="C242" s="562">
        <f>SUMIFS('Format for Import of DV'!J:J,'Format for Import of DV'!C:C,'Recon of ORS and DV'!A242)</f>
        <v>2016</v>
      </c>
      <c r="D242" s="562" t="e">
        <f>SUMIFS('Format for Import of DV'!M:M,'Format for Import of DV'!S:S,'Recon of ORS and DV'!B242)</f>
        <v>#VALUE!</v>
      </c>
      <c r="E242" s="276" t="e">
        <f t="shared" si="3"/>
        <v>#VALUE!</v>
      </c>
    </row>
    <row r="243" spans="1:5" hidden="1">
      <c r="A243" s="281" t="s">
        <v>1409</v>
      </c>
      <c r="B243" s="281" t="s">
        <v>2260</v>
      </c>
      <c r="C243" s="562">
        <f>SUMIFS('Format for Import of DV'!J:J,'Format for Import of DV'!C:C,'Recon of ORS and DV'!A243)</f>
        <v>1344</v>
      </c>
      <c r="D243" s="562" t="e">
        <f>SUMIFS('Format for Import of DV'!M:M,'Format for Import of DV'!S:S,'Recon of ORS and DV'!B243)</f>
        <v>#VALUE!</v>
      </c>
      <c r="E243" s="276" t="e">
        <f t="shared" si="3"/>
        <v>#VALUE!</v>
      </c>
    </row>
    <row r="244" spans="1:5" hidden="1">
      <c r="A244" s="281" t="s">
        <v>1410</v>
      </c>
      <c r="B244" s="281" t="s">
        <v>2261</v>
      </c>
      <c r="C244" s="562">
        <f>SUMIFS('Format for Import of DV'!J:J,'Format for Import of DV'!C:C,'Recon of ORS and DV'!A244)</f>
        <v>1651.12</v>
      </c>
      <c r="D244" s="562" t="e">
        <f>SUMIFS('Format for Import of DV'!M:M,'Format for Import of DV'!S:S,'Recon of ORS and DV'!B244)</f>
        <v>#VALUE!</v>
      </c>
      <c r="E244" s="276" t="e">
        <f t="shared" si="3"/>
        <v>#VALUE!</v>
      </c>
    </row>
    <row r="245" spans="1:5" hidden="1">
      <c r="A245" s="281" t="s">
        <v>1412</v>
      </c>
      <c r="B245" s="281" t="s">
        <v>2262</v>
      </c>
      <c r="C245" s="562">
        <f>SUMIFS('Format for Import of DV'!J:J,'Format for Import of DV'!C:C,'Recon of ORS and DV'!A245)</f>
        <v>29300.399999999998</v>
      </c>
      <c r="D245" s="562" t="e">
        <f>SUMIFS('Format for Import of DV'!M:M,'Format for Import of DV'!S:S,'Recon of ORS and DV'!B245)</f>
        <v>#VALUE!</v>
      </c>
      <c r="E245" s="276" t="e">
        <f t="shared" si="3"/>
        <v>#VALUE!</v>
      </c>
    </row>
    <row r="246" spans="1:5" hidden="1">
      <c r="A246" s="281" t="s">
        <v>1413</v>
      </c>
      <c r="B246" s="281" t="s">
        <v>2263</v>
      </c>
      <c r="C246" s="562">
        <f>SUMIFS('Format for Import of DV'!J:J,'Format for Import of DV'!C:C,'Recon of ORS and DV'!A246)</f>
        <v>92085.57</v>
      </c>
      <c r="D246" s="562" t="e">
        <f>SUMIFS('Format for Import of DV'!M:M,'Format for Import of DV'!S:S,'Recon of ORS and DV'!B246)</f>
        <v>#VALUE!</v>
      </c>
      <c r="E246" s="276" t="e">
        <f t="shared" si="3"/>
        <v>#VALUE!</v>
      </c>
    </row>
    <row r="247" spans="1:5" hidden="1">
      <c r="A247" s="281" t="s">
        <v>1414</v>
      </c>
      <c r="B247" s="281" t="s">
        <v>2264</v>
      </c>
      <c r="C247" s="562">
        <f>SUMIFS('Format for Import of DV'!J:J,'Format for Import of DV'!C:C,'Recon of ORS and DV'!A247)</f>
        <v>666486.65999999992</v>
      </c>
      <c r="D247" s="562" t="e">
        <f>SUMIFS('Format for Import of DV'!M:M,'Format for Import of DV'!S:S,'Recon of ORS and DV'!B247)</f>
        <v>#VALUE!</v>
      </c>
      <c r="E247" s="276" t="e">
        <f t="shared" si="3"/>
        <v>#VALUE!</v>
      </c>
    </row>
    <row r="248" spans="1:5" hidden="1">
      <c r="A248" s="281" t="s">
        <v>1415</v>
      </c>
      <c r="B248" s="281" t="s">
        <v>2265</v>
      </c>
      <c r="C248" s="562">
        <f>SUMIFS('Format for Import of DV'!J:J,'Format for Import of DV'!C:C,'Recon of ORS and DV'!A248)</f>
        <v>0</v>
      </c>
      <c r="D248" s="562" t="e">
        <f>SUMIFS('Format for Import of DV'!M:M,'Format for Import of DV'!S:S,'Recon of ORS and DV'!B248)</f>
        <v>#VALUE!</v>
      </c>
      <c r="E248" s="276" t="e">
        <f t="shared" si="3"/>
        <v>#VALUE!</v>
      </c>
    </row>
    <row r="249" spans="1:5" hidden="1">
      <c r="A249" s="281" t="s">
        <v>1417</v>
      </c>
      <c r="B249" s="281" t="s">
        <v>2266</v>
      </c>
      <c r="C249" s="562">
        <f>SUMIFS('Format for Import of DV'!J:J,'Format for Import of DV'!C:C,'Recon of ORS and DV'!A249)</f>
        <v>22000</v>
      </c>
      <c r="D249" s="562" t="e">
        <f>SUMIFS('Format for Import of DV'!M:M,'Format for Import of DV'!S:S,'Recon of ORS and DV'!B249)</f>
        <v>#VALUE!</v>
      </c>
      <c r="E249" s="276" t="e">
        <f t="shared" si="3"/>
        <v>#VALUE!</v>
      </c>
    </row>
    <row r="250" spans="1:5" hidden="1">
      <c r="A250" s="281" t="s">
        <v>1420</v>
      </c>
      <c r="B250" s="281" t="s">
        <v>2267</v>
      </c>
      <c r="C250" s="562">
        <f>SUMIFS('Format for Import of DV'!J:J,'Format for Import of DV'!C:C,'Recon of ORS and DV'!A250)</f>
        <v>14000</v>
      </c>
      <c r="D250" s="562" t="e">
        <f>SUMIFS('Format for Import of DV'!M:M,'Format for Import of DV'!S:S,'Recon of ORS and DV'!B250)</f>
        <v>#VALUE!</v>
      </c>
      <c r="E250" s="276" t="e">
        <f t="shared" si="3"/>
        <v>#VALUE!</v>
      </c>
    </row>
    <row r="251" spans="1:5" hidden="1">
      <c r="A251" s="281" t="s">
        <v>1422</v>
      </c>
      <c r="B251" s="281" t="s">
        <v>2268</v>
      </c>
      <c r="C251" s="562">
        <f>SUMIFS('Format for Import of DV'!J:J,'Format for Import of DV'!C:C,'Recon of ORS and DV'!A251)</f>
        <v>7873</v>
      </c>
      <c r="D251" s="562" t="e">
        <f>SUMIFS('Format for Import of DV'!M:M,'Format for Import of DV'!S:S,'Recon of ORS and DV'!B251)</f>
        <v>#VALUE!</v>
      </c>
      <c r="E251" s="276" t="e">
        <f t="shared" si="3"/>
        <v>#VALUE!</v>
      </c>
    </row>
    <row r="252" spans="1:5" hidden="1">
      <c r="A252" s="281" t="s">
        <v>1424</v>
      </c>
      <c r="B252" s="281" t="s">
        <v>2269</v>
      </c>
      <c r="C252" s="562">
        <f>SUMIFS('Format for Import of DV'!J:J,'Format for Import of DV'!C:C,'Recon of ORS and DV'!A252)</f>
        <v>640000</v>
      </c>
      <c r="D252" s="562" t="e">
        <f>SUMIFS('Format for Import of DV'!M:M,'Format for Import of DV'!S:S,'Recon of ORS and DV'!B252)</f>
        <v>#VALUE!</v>
      </c>
      <c r="E252" s="276" t="e">
        <f t="shared" si="3"/>
        <v>#VALUE!</v>
      </c>
    </row>
    <row r="253" spans="1:5" hidden="1">
      <c r="A253" s="281" t="s">
        <v>1425</v>
      </c>
      <c r="B253" s="281" t="s">
        <v>2270</v>
      </c>
      <c r="C253" s="562">
        <f>SUMIFS('Format for Import of DV'!J:J,'Format for Import of DV'!C:C,'Recon of ORS and DV'!A253)</f>
        <v>160000</v>
      </c>
      <c r="D253" s="562" t="e">
        <f>SUMIFS('Format for Import of DV'!M:M,'Format for Import of DV'!S:S,'Recon of ORS and DV'!B253)</f>
        <v>#VALUE!</v>
      </c>
      <c r="E253" s="276" t="e">
        <f t="shared" si="3"/>
        <v>#VALUE!</v>
      </c>
    </row>
    <row r="254" spans="1:5" hidden="1">
      <c r="A254" s="281" t="s">
        <v>1426</v>
      </c>
      <c r="B254" s="281" t="s">
        <v>2271</v>
      </c>
      <c r="C254" s="562">
        <f>SUMIFS('Format for Import of DV'!J:J,'Format for Import of DV'!C:C,'Recon of ORS and DV'!A254)</f>
        <v>119634</v>
      </c>
      <c r="D254" s="562" t="e">
        <f>SUMIFS('Format for Import of DV'!M:M,'Format for Import of DV'!S:S,'Recon of ORS and DV'!B254)</f>
        <v>#VALUE!</v>
      </c>
      <c r="E254" s="276" t="e">
        <f t="shared" si="3"/>
        <v>#VALUE!</v>
      </c>
    </row>
    <row r="255" spans="1:5" hidden="1">
      <c r="A255" s="281" t="s">
        <v>1427</v>
      </c>
      <c r="B255" s="281" t="s">
        <v>2272</v>
      </c>
      <c r="C255" s="562">
        <f>SUMIFS('Format for Import of DV'!J:J,'Format for Import of DV'!C:C,'Recon of ORS and DV'!A255)</f>
        <v>94707.14</v>
      </c>
      <c r="D255" s="562" t="e">
        <f>SUMIFS('Format for Import of DV'!M:M,'Format for Import of DV'!S:S,'Recon of ORS and DV'!B255)</f>
        <v>#VALUE!</v>
      </c>
      <c r="E255" s="276" t="e">
        <f t="shared" si="3"/>
        <v>#VALUE!</v>
      </c>
    </row>
    <row r="256" spans="1:5" hidden="1">
      <c r="A256" s="281" t="s">
        <v>1428</v>
      </c>
      <c r="B256" s="281" t="s">
        <v>2273</v>
      </c>
      <c r="C256" s="562">
        <f>SUMIFS('Format for Import of DV'!J:J,'Format for Import of DV'!C:C,'Recon of ORS and DV'!A256)</f>
        <v>11000</v>
      </c>
      <c r="D256" s="562" t="e">
        <f>SUMIFS('Format for Import of DV'!M:M,'Format for Import of DV'!S:S,'Recon of ORS and DV'!B256)</f>
        <v>#VALUE!</v>
      </c>
      <c r="E256" s="276" t="e">
        <f t="shared" si="3"/>
        <v>#VALUE!</v>
      </c>
    </row>
    <row r="257" spans="1:5" hidden="1">
      <c r="A257" s="281" t="s">
        <v>1430</v>
      </c>
      <c r="B257" s="281" t="s">
        <v>2274</v>
      </c>
      <c r="C257" s="562">
        <f>SUMIFS('Format for Import of DV'!J:J,'Format for Import of DV'!C:C,'Recon of ORS and DV'!A257)</f>
        <v>3760</v>
      </c>
      <c r="D257" s="562" t="e">
        <f>SUMIFS('Format for Import of DV'!M:M,'Format for Import of DV'!S:S,'Recon of ORS and DV'!B257)</f>
        <v>#VALUE!</v>
      </c>
      <c r="E257" s="276" t="e">
        <f t="shared" si="3"/>
        <v>#VALUE!</v>
      </c>
    </row>
    <row r="258" spans="1:5" hidden="1">
      <c r="A258" s="281" t="s">
        <v>1432</v>
      </c>
      <c r="B258" s="281" t="s">
        <v>2275</v>
      </c>
      <c r="C258" s="562">
        <f>SUMIFS('Format for Import of DV'!J:J,'Format for Import of DV'!C:C,'Recon of ORS and DV'!A258)</f>
        <v>800</v>
      </c>
      <c r="D258" s="562" t="e">
        <f>SUMIFS('Format for Import of DV'!M:M,'Format for Import of DV'!S:S,'Recon of ORS and DV'!B258)</f>
        <v>#VALUE!</v>
      </c>
      <c r="E258" s="276" t="e">
        <f t="shared" si="3"/>
        <v>#VALUE!</v>
      </c>
    </row>
    <row r="259" spans="1:5" hidden="1">
      <c r="A259" s="281" t="s">
        <v>1435</v>
      </c>
      <c r="B259" s="281" t="s">
        <v>2276</v>
      </c>
      <c r="C259" s="562">
        <f>SUMIFS('Format for Import of DV'!J:J,'Format for Import of DV'!C:C,'Recon of ORS and DV'!A259)</f>
        <v>30000</v>
      </c>
      <c r="D259" s="562" t="e">
        <f>SUMIFS('Format for Import of DV'!M:M,'Format for Import of DV'!S:S,'Recon of ORS and DV'!B259)</f>
        <v>#VALUE!</v>
      </c>
      <c r="E259" s="276" t="e">
        <f t="shared" si="3"/>
        <v>#VALUE!</v>
      </c>
    </row>
    <row r="260" spans="1:5" hidden="1">
      <c r="A260" s="281" t="s">
        <v>1438</v>
      </c>
      <c r="B260" s="281" t="s">
        <v>2563</v>
      </c>
      <c r="C260" s="562">
        <f>SUMIFS('Format for Import of DV'!J:J,'Format for Import of DV'!C:C,'Recon of ORS and DV'!A260)</f>
        <v>216000</v>
      </c>
      <c r="D260" s="562" t="e">
        <f>SUMIFS('Format for Import of DV'!M:M,'Format for Import of DV'!S:S,'Recon of ORS and DV'!B260)</f>
        <v>#VALUE!</v>
      </c>
      <c r="E260" s="276" t="e">
        <f t="shared" si="3"/>
        <v>#VALUE!</v>
      </c>
    </row>
    <row r="261" spans="1:5" hidden="1">
      <c r="A261" s="281" t="s">
        <v>1440</v>
      </c>
      <c r="B261" s="281" t="s">
        <v>2278</v>
      </c>
      <c r="C261" s="562">
        <f>SUMIFS('Format for Import of DV'!J:J,'Format for Import of DV'!C:C,'Recon of ORS and DV'!A261)</f>
        <v>60000</v>
      </c>
      <c r="D261" s="562" t="e">
        <f>SUMIFS('Format for Import of DV'!M:M,'Format for Import of DV'!S:S,'Recon of ORS and DV'!B261)</f>
        <v>#VALUE!</v>
      </c>
      <c r="E261" s="276" t="e">
        <f t="shared" ref="E261:E324" si="4">C261-D261</f>
        <v>#VALUE!</v>
      </c>
    </row>
    <row r="262" spans="1:5" hidden="1">
      <c r="A262" s="281" t="s">
        <v>1441</v>
      </c>
      <c r="B262" s="281" t="s">
        <v>2279</v>
      </c>
      <c r="C262" s="562">
        <f>SUMIFS('Format for Import of DV'!J:J,'Format for Import of DV'!C:C,'Recon of ORS and DV'!A262)</f>
        <v>60000</v>
      </c>
      <c r="D262" s="562" t="e">
        <f>SUMIFS('Format for Import of DV'!M:M,'Format for Import of DV'!S:S,'Recon of ORS and DV'!B262)</f>
        <v>#VALUE!</v>
      </c>
      <c r="E262" s="276" t="e">
        <f t="shared" si="4"/>
        <v>#VALUE!</v>
      </c>
    </row>
    <row r="263" spans="1:5" hidden="1">
      <c r="A263" s="281" t="s">
        <v>1442</v>
      </c>
      <c r="B263" s="281" t="s">
        <v>2280</v>
      </c>
      <c r="C263" s="562">
        <f>SUMIFS('Format for Import of DV'!J:J,'Format for Import of DV'!C:C,'Recon of ORS and DV'!A263)</f>
        <v>66000</v>
      </c>
      <c r="D263" s="562" t="e">
        <f>SUMIFS('Format for Import of DV'!M:M,'Format for Import of DV'!S:S,'Recon of ORS and DV'!B263)</f>
        <v>#VALUE!</v>
      </c>
      <c r="E263" s="276" t="e">
        <f t="shared" si="4"/>
        <v>#VALUE!</v>
      </c>
    </row>
    <row r="264" spans="1:5" hidden="1">
      <c r="A264" s="281" t="s">
        <v>1443</v>
      </c>
      <c r="B264" s="281" t="s">
        <v>2281</v>
      </c>
      <c r="C264" s="562">
        <f>SUMIFS('Format for Import of DV'!J:J,'Format for Import of DV'!C:C,'Recon of ORS and DV'!A264)</f>
        <v>72000</v>
      </c>
      <c r="D264" s="562" t="e">
        <f>SUMIFS('Format for Import of DV'!M:M,'Format for Import of DV'!S:S,'Recon of ORS and DV'!B264)</f>
        <v>#VALUE!</v>
      </c>
      <c r="E264" s="276" t="e">
        <f t="shared" si="4"/>
        <v>#VALUE!</v>
      </c>
    </row>
    <row r="265" spans="1:5" hidden="1">
      <c r="A265" s="281" t="s">
        <v>1444</v>
      </c>
      <c r="B265" s="281" t="s">
        <v>2282</v>
      </c>
      <c r="C265" s="562">
        <f>SUMIFS('Format for Import of DV'!J:J,'Format for Import of DV'!C:C,'Recon of ORS and DV'!A265)</f>
        <v>48000</v>
      </c>
      <c r="D265" s="562" t="e">
        <f>SUMIFS('Format for Import of DV'!M:M,'Format for Import of DV'!S:S,'Recon of ORS and DV'!B265)</f>
        <v>#VALUE!</v>
      </c>
      <c r="E265" s="276" t="e">
        <f t="shared" si="4"/>
        <v>#VALUE!</v>
      </c>
    </row>
    <row r="266" spans="1:5" hidden="1">
      <c r="A266" s="281" t="s">
        <v>1445</v>
      </c>
      <c r="B266" s="281" t="s">
        <v>2283</v>
      </c>
      <c r="C266" s="562">
        <f>SUMIFS('Format for Import of DV'!J:J,'Format for Import of DV'!C:C,'Recon of ORS and DV'!A266)</f>
        <v>3500</v>
      </c>
      <c r="D266" s="562" t="e">
        <f>SUMIFS('Format for Import of DV'!M:M,'Format for Import of DV'!S:S,'Recon of ORS and DV'!B266)</f>
        <v>#VALUE!</v>
      </c>
      <c r="E266" s="276" t="e">
        <f t="shared" si="4"/>
        <v>#VALUE!</v>
      </c>
    </row>
    <row r="267" spans="1:5" hidden="1">
      <c r="A267" s="281" t="s">
        <v>1448</v>
      </c>
      <c r="B267" s="281" t="s">
        <v>2284</v>
      </c>
      <c r="C267" s="562">
        <f>SUMIFS('Format for Import of DV'!J:J,'Format for Import of DV'!C:C,'Recon of ORS and DV'!A267)</f>
        <v>976560</v>
      </c>
      <c r="D267" s="562" t="e">
        <f>SUMIFS('Format for Import of DV'!M:M,'Format for Import of DV'!S:S,'Recon of ORS and DV'!B267)</f>
        <v>#VALUE!</v>
      </c>
      <c r="E267" s="276" t="e">
        <f t="shared" si="4"/>
        <v>#VALUE!</v>
      </c>
    </row>
    <row r="268" spans="1:5" hidden="1">
      <c r="A268" s="281" t="s">
        <v>1451</v>
      </c>
      <c r="B268" s="281" t="s">
        <v>2285</v>
      </c>
      <c r="C268" s="562">
        <f>SUMIFS('Format for Import of DV'!J:J,'Format for Import of DV'!C:C,'Recon of ORS and DV'!A268)</f>
        <v>2000</v>
      </c>
      <c r="D268" s="562" t="e">
        <f>SUMIFS('Format for Import of DV'!M:M,'Format for Import of DV'!S:S,'Recon of ORS and DV'!B268)</f>
        <v>#VALUE!</v>
      </c>
      <c r="E268" s="276" t="e">
        <f t="shared" si="4"/>
        <v>#VALUE!</v>
      </c>
    </row>
    <row r="269" spans="1:5" hidden="1">
      <c r="A269" s="281" t="s">
        <v>1453</v>
      </c>
      <c r="B269" s="281" t="s">
        <v>2286</v>
      </c>
      <c r="C269" s="562">
        <f>SUMIFS('Format for Import of DV'!J:J,'Format for Import of DV'!C:C,'Recon of ORS and DV'!A269)</f>
        <v>70905.22</v>
      </c>
      <c r="D269" s="562" t="e">
        <f>SUMIFS('Format for Import of DV'!M:M,'Format for Import of DV'!S:S,'Recon of ORS and DV'!B269)</f>
        <v>#VALUE!</v>
      </c>
      <c r="E269" s="276" t="e">
        <f t="shared" si="4"/>
        <v>#VALUE!</v>
      </c>
    </row>
    <row r="270" spans="1:5" hidden="1">
      <c r="A270" s="281" t="s">
        <v>1455</v>
      </c>
      <c r="B270" s="281" t="s">
        <v>2287</v>
      </c>
      <c r="C270" s="562">
        <f>SUMIFS('Format for Import of DV'!J:J,'Format for Import of DV'!C:C,'Recon of ORS and DV'!A270)</f>
        <v>82098.38</v>
      </c>
      <c r="D270" s="562" t="e">
        <f>SUMIFS('Format for Import of DV'!M:M,'Format for Import of DV'!S:S,'Recon of ORS and DV'!B270)</f>
        <v>#VALUE!</v>
      </c>
      <c r="E270" s="276" t="e">
        <f t="shared" si="4"/>
        <v>#VALUE!</v>
      </c>
    </row>
    <row r="271" spans="1:5" hidden="1">
      <c r="A271" s="281" t="s">
        <v>1457</v>
      </c>
      <c r="B271" s="281" t="s">
        <v>2288</v>
      </c>
      <c r="C271" s="562">
        <f>SUMIFS('Format for Import of DV'!J:J,'Format for Import of DV'!C:C,'Recon of ORS and DV'!A271)</f>
        <v>9600</v>
      </c>
      <c r="D271" s="562" t="e">
        <f>SUMIFS('Format for Import of DV'!M:M,'Format for Import of DV'!S:S,'Recon of ORS and DV'!B271)</f>
        <v>#VALUE!</v>
      </c>
      <c r="E271" s="276" t="e">
        <f t="shared" si="4"/>
        <v>#VALUE!</v>
      </c>
    </row>
    <row r="272" spans="1:5" hidden="1">
      <c r="A272" s="281" t="s">
        <v>1459</v>
      </c>
      <c r="B272" s="281" t="s">
        <v>2289</v>
      </c>
      <c r="C272" s="562">
        <f>SUMIFS('Format for Import of DV'!J:J,'Format for Import of DV'!C:C,'Recon of ORS and DV'!A272)</f>
        <v>10000</v>
      </c>
      <c r="D272" s="562" t="e">
        <f>SUMIFS('Format for Import of DV'!M:M,'Format for Import of DV'!S:S,'Recon of ORS and DV'!B272)</f>
        <v>#VALUE!</v>
      </c>
      <c r="E272" s="276" t="e">
        <f t="shared" si="4"/>
        <v>#VALUE!</v>
      </c>
    </row>
    <row r="273" spans="1:5" hidden="1">
      <c r="A273" s="281" t="s">
        <v>1461</v>
      </c>
      <c r="B273" s="281" t="s">
        <v>2290</v>
      </c>
      <c r="C273" s="562">
        <f>SUMIFS('Format for Import of DV'!J:J,'Format for Import of DV'!C:C,'Recon of ORS and DV'!A273)</f>
        <v>10000</v>
      </c>
      <c r="D273" s="562" t="e">
        <f>SUMIFS('Format for Import of DV'!M:M,'Format for Import of DV'!S:S,'Recon of ORS and DV'!B273)</f>
        <v>#VALUE!</v>
      </c>
      <c r="E273" s="276" t="e">
        <f t="shared" si="4"/>
        <v>#VALUE!</v>
      </c>
    </row>
    <row r="274" spans="1:5" hidden="1">
      <c r="A274" s="281" t="s">
        <v>1464</v>
      </c>
      <c r="B274" s="281" t="s">
        <v>2291</v>
      </c>
      <c r="C274" s="562">
        <f>SUMIFS('Format for Import of DV'!J:J,'Format for Import of DV'!C:C,'Recon of ORS and DV'!A274)</f>
        <v>6320</v>
      </c>
      <c r="D274" s="562" t="e">
        <f>SUMIFS('Format for Import of DV'!M:M,'Format for Import of DV'!S:S,'Recon of ORS and DV'!B274)</f>
        <v>#VALUE!</v>
      </c>
      <c r="E274" s="276" t="e">
        <f t="shared" si="4"/>
        <v>#VALUE!</v>
      </c>
    </row>
    <row r="275" spans="1:5" hidden="1">
      <c r="A275" s="281" t="s">
        <v>1466</v>
      </c>
      <c r="B275" s="281" t="s">
        <v>2292</v>
      </c>
      <c r="C275" s="562">
        <f>SUMIFS('Format for Import of DV'!J:J,'Format for Import of DV'!C:C,'Recon of ORS and DV'!A275)</f>
        <v>2800</v>
      </c>
      <c r="D275" s="562" t="e">
        <f>SUMIFS('Format for Import of DV'!M:M,'Format for Import of DV'!S:S,'Recon of ORS and DV'!B275)</f>
        <v>#VALUE!</v>
      </c>
      <c r="E275" s="276" t="e">
        <f t="shared" si="4"/>
        <v>#VALUE!</v>
      </c>
    </row>
    <row r="276" spans="1:5" hidden="1">
      <c r="A276" s="281" t="s">
        <v>1468</v>
      </c>
      <c r="B276" s="281" t="s">
        <v>2293</v>
      </c>
      <c r="C276" s="562">
        <f>SUMIFS('Format for Import of DV'!J:J,'Format for Import of DV'!C:C,'Recon of ORS and DV'!A276)</f>
        <v>5390.81</v>
      </c>
      <c r="D276" s="562" t="e">
        <f>SUMIFS('Format for Import of DV'!M:M,'Format for Import of DV'!S:S,'Recon of ORS and DV'!B276)</f>
        <v>#VALUE!</v>
      </c>
      <c r="E276" s="276" t="e">
        <f t="shared" si="4"/>
        <v>#VALUE!</v>
      </c>
    </row>
    <row r="277" spans="1:5" hidden="1">
      <c r="A277" s="281" t="s">
        <v>1469</v>
      </c>
      <c r="B277" s="281" t="s">
        <v>2294</v>
      </c>
      <c r="C277" s="562">
        <f>SUMIFS('Format for Import of DV'!J:J,'Format for Import of DV'!C:C,'Recon of ORS and DV'!A277)</f>
        <v>13600</v>
      </c>
      <c r="D277" s="562" t="e">
        <f>SUMIFS('Format for Import of DV'!M:M,'Format for Import of DV'!S:S,'Recon of ORS and DV'!B277)</f>
        <v>#VALUE!</v>
      </c>
      <c r="E277" s="276" t="e">
        <f t="shared" si="4"/>
        <v>#VALUE!</v>
      </c>
    </row>
    <row r="278" spans="1:5" hidden="1">
      <c r="A278" s="281" t="s">
        <v>1470</v>
      </c>
      <c r="B278" s="281" t="s">
        <v>2295</v>
      </c>
      <c r="C278" s="562">
        <f>SUMIFS('Format for Import of DV'!J:J,'Format for Import of DV'!C:C,'Recon of ORS and DV'!A278)</f>
        <v>40369.5</v>
      </c>
      <c r="D278" s="562" t="e">
        <f>SUMIFS('Format for Import of DV'!M:M,'Format for Import of DV'!S:S,'Recon of ORS and DV'!B278)</f>
        <v>#VALUE!</v>
      </c>
      <c r="E278" s="276" t="e">
        <f t="shared" si="4"/>
        <v>#VALUE!</v>
      </c>
    </row>
    <row r="279" spans="1:5" hidden="1">
      <c r="A279" s="281" t="s">
        <v>1471</v>
      </c>
      <c r="B279" s="281" t="s">
        <v>2296</v>
      </c>
      <c r="C279" s="562">
        <f>SUMIFS('Format for Import of DV'!J:J,'Format for Import of DV'!C:C,'Recon of ORS and DV'!A279)</f>
        <v>12300</v>
      </c>
      <c r="D279" s="562" t="e">
        <f>SUMIFS('Format for Import of DV'!M:M,'Format for Import of DV'!S:S,'Recon of ORS and DV'!B279)</f>
        <v>#VALUE!</v>
      </c>
      <c r="E279" s="276" t="e">
        <f t="shared" si="4"/>
        <v>#VALUE!</v>
      </c>
    </row>
    <row r="280" spans="1:5" hidden="1">
      <c r="A280" s="281" t="s">
        <v>1472</v>
      </c>
      <c r="B280" s="281" t="s">
        <v>2297</v>
      </c>
      <c r="C280" s="562">
        <f>SUMIFS('Format for Import of DV'!J:J,'Format for Import of DV'!C:C,'Recon of ORS and DV'!A280)</f>
        <v>18421.13</v>
      </c>
      <c r="D280" s="562" t="e">
        <f>SUMIFS('Format for Import of DV'!M:M,'Format for Import of DV'!S:S,'Recon of ORS and DV'!B280)</f>
        <v>#VALUE!</v>
      </c>
      <c r="E280" s="276" t="e">
        <f t="shared" si="4"/>
        <v>#VALUE!</v>
      </c>
    </row>
    <row r="281" spans="1:5" hidden="1">
      <c r="A281" s="281" t="s">
        <v>1473</v>
      </c>
      <c r="B281" s="281" t="s">
        <v>2298</v>
      </c>
      <c r="C281" s="562">
        <f>SUMIFS('Format for Import of DV'!J:J,'Format for Import of DV'!C:C,'Recon of ORS and DV'!A281)</f>
        <v>920</v>
      </c>
      <c r="D281" s="562" t="e">
        <f>SUMIFS('Format for Import of DV'!M:M,'Format for Import of DV'!S:S,'Recon of ORS and DV'!B281)</f>
        <v>#VALUE!</v>
      </c>
      <c r="E281" s="276" t="e">
        <f t="shared" si="4"/>
        <v>#VALUE!</v>
      </c>
    </row>
    <row r="282" spans="1:5" hidden="1">
      <c r="A282" s="281" t="s">
        <v>1479</v>
      </c>
      <c r="B282" s="281" t="s">
        <v>2299</v>
      </c>
      <c r="C282" s="562">
        <f>SUMIFS('Format for Import of DV'!J:J,'Format for Import of DV'!C:C,'Recon of ORS and DV'!A282)</f>
        <v>2486</v>
      </c>
      <c r="D282" s="562" t="e">
        <f>SUMIFS('Format for Import of DV'!M:M,'Format for Import of DV'!S:S,'Recon of ORS and DV'!B282)</f>
        <v>#VALUE!</v>
      </c>
      <c r="E282" s="276" t="e">
        <f t="shared" si="4"/>
        <v>#VALUE!</v>
      </c>
    </row>
    <row r="283" spans="1:5" hidden="1">
      <c r="A283" s="281" t="s">
        <v>1482</v>
      </c>
      <c r="B283" s="281" t="s">
        <v>2300</v>
      </c>
      <c r="C283" s="562">
        <f>SUMIFS('Format for Import of DV'!J:J,'Format for Import of DV'!C:C,'Recon of ORS and DV'!A283)</f>
        <v>1200</v>
      </c>
      <c r="D283" s="562" t="e">
        <f>SUMIFS('Format for Import of DV'!M:M,'Format for Import of DV'!S:S,'Recon of ORS and DV'!B283)</f>
        <v>#VALUE!</v>
      </c>
      <c r="E283" s="276" t="e">
        <f t="shared" si="4"/>
        <v>#VALUE!</v>
      </c>
    </row>
    <row r="284" spans="1:5" hidden="1">
      <c r="A284" s="281" t="s">
        <v>1484</v>
      </c>
      <c r="B284" s="281" t="s">
        <v>2301</v>
      </c>
      <c r="C284" s="562">
        <f>SUMIFS('Format for Import of DV'!J:J,'Format for Import of DV'!C:C,'Recon of ORS and DV'!A284)</f>
        <v>13034</v>
      </c>
      <c r="D284" s="562" t="e">
        <f>SUMIFS('Format for Import of DV'!M:M,'Format for Import of DV'!S:S,'Recon of ORS and DV'!B284)</f>
        <v>#VALUE!</v>
      </c>
      <c r="E284" s="276" t="e">
        <f t="shared" si="4"/>
        <v>#VALUE!</v>
      </c>
    </row>
    <row r="285" spans="1:5" hidden="1">
      <c r="A285" s="281" t="s">
        <v>1485</v>
      </c>
      <c r="B285" s="281" t="s">
        <v>2302</v>
      </c>
      <c r="C285" s="562">
        <f>SUMIFS('Format for Import of DV'!J:J,'Format for Import of DV'!C:C,'Recon of ORS and DV'!A285)</f>
        <v>21301.64</v>
      </c>
      <c r="D285" s="562" t="e">
        <f>SUMIFS('Format for Import of DV'!M:M,'Format for Import of DV'!S:S,'Recon of ORS and DV'!B285)</f>
        <v>#VALUE!</v>
      </c>
      <c r="E285" s="276" t="e">
        <f t="shared" si="4"/>
        <v>#VALUE!</v>
      </c>
    </row>
    <row r="286" spans="1:5" hidden="1">
      <c r="A286" s="281" t="s">
        <v>1486</v>
      </c>
      <c r="B286" s="281" t="s">
        <v>2303</v>
      </c>
      <c r="C286" s="562">
        <f>SUMIFS('Format for Import of DV'!J:J,'Format for Import of DV'!C:C,'Recon of ORS and DV'!A286)</f>
        <v>1200</v>
      </c>
      <c r="D286" s="562" t="e">
        <f>SUMIFS('Format for Import of DV'!M:M,'Format for Import of DV'!S:S,'Recon of ORS and DV'!B286)</f>
        <v>#VALUE!</v>
      </c>
      <c r="E286" s="276" t="e">
        <f t="shared" si="4"/>
        <v>#VALUE!</v>
      </c>
    </row>
    <row r="287" spans="1:5" hidden="1">
      <c r="A287" s="281" t="s">
        <v>1488</v>
      </c>
      <c r="B287" s="281" t="s">
        <v>2304</v>
      </c>
      <c r="C287" s="562">
        <f>SUMIFS('Format for Import of DV'!J:J,'Format for Import of DV'!C:C,'Recon of ORS and DV'!A287)</f>
        <v>1500</v>
      </c>
      <c r="D287" s="562" t="e">
        <f>SUMIFS('Format for Import of DV'!M:M,'Format for Import of DV'!S:S,'Recon of ORS and DV'!B287)</f>
        <v>#VALUE!</v>
      </c>
      <c r="E287" s="276" t="e">
        <f t="shared" si="4"/>
        <v>#VALUE!</v>
      </c>
    </row>
    <row r="288" spans="1:5" hidden="1">
      <c r="A288" s="281" t="s">
        <v>1490</v>
      </c>
      <c r="B288" s="281" t="s">
        <v>2305</v>
      </c>
      <c r="C288" s="562">
        <f>SUMIFS('Format for Import of DV'!J:J,'Format for Import of DV'!C:C,'Recon of ORS and DV'!A288)</f>
        <v>350</v>
      </c>
      <c r="D288" s="562" t="e">
        <f>SUMIFS('Format for Import of DV'!M:M,'Format for Import of DV'!S:S,'Recon of ORS and DV'!B288)</f>
        <v>#VALUE!</v>
      </c>
      <c r="E288" s="276" t="e">
        <f t="shared" si="4"/>
        <v>#VALUE!</v>
      </c>
    </row>
    <row r="289" spans="1:5" hidden="1">
      <c r="A289" s="281" t="s">
        <v>1492</v>
      </c>
      <c r="B289" s="281" t="s">
        <v>2306</v>
      </c>
      <c r="C289" s="562">
        <f>SUMIFS('Format for Import of DV'!J:J,'Format for Import of DV'!C:C,'Recon of ORS and DV'!A289)</f>
        <v>3800</v>
      </c>
      <c r="D289" s="562" t="e">
        <f>SUMIFS('Format for Import of DV'!M:M,'Format for Import of DV'!S:S,'Recon of ORS and DV'!B289)</f>
        <v>#VALUE!</v>
      </c>
      <c r="E289" s="276" t="e">
        <f t="shared" si="4"/>
        <v>#VALUE!</v>
      </c>
    </row>
    <row r="290" spans="1:5" hidden="1">
      <c r="A290" s="281" t="s">
        <v>1494</v>
      </c>
      <c r="B290" s="281" t="s">
        <v>2307</v>
      </c>
      <c r="C290" s="562">
        <f>SUMIFS('Format for Import of DV'!J:J,'Format for Import of DV'!C:C,'Recon of ORS and DV'!A290)</f>
        <v>31800</v>
      </c>
      <c r="D290" s="562" t="e">
        <f>SUMIFS('Format for Import of DV'!M:M,'Format for Import of DV'!S:S,'Recon of ORS and DV'!B290)</f>
        <v>#VALUE!</v>
      </c>
      <c r="E290" s="276" t="e">
        <f t="shared" si="4"/>
        <v>#VALUE!</v>
      </c>
    </row>
    <row r="291" spans="1:5" hidden="1">
      <c r="A291" s="281" t="s">
        <v>1496</v>
      </c>
      <c r="B291" s="281" t="s">
        <v>2308</v>
      </c>
      <c r="C291" s="562">
        <f>SUMIFS('Format for Import of DV'!J:J,'Format for Import of DV'!C:C,'Recon of ORS and DV'!A291)</f>
        <v>480</v>
      </c>
      <c r="D291" s="562" t="e">
        <f>SUMIFS('Format for Import of DV'!M:M,'Format for Import of DV'!S:S,'Recon of ORS and DV'!B291)</f>
        <v>#VALUE!</v>
      </c>
      <c r="E291" s="276" t="e">
        <f t="shared" si="4"/>
        <v>#VALUE!</v>
      </c>
    </row>
    <row r="292" spans="1:5" hidden="1">
      <c r="A292" s="281" t="s">
        <v>1498</v>
      </c>
      <c r="B292" s="281" t="s">
        <v>2309</v>
      </c>
      <c r="C292" s="562">
        <f>SUMIFS('Format for Import of DV'!J:J,'Format for Import of DV'!C:C,'Recon of ORS and DV'!A292)</f>
        <v>48000</v>
      </c>
      <c r="D292" s="562" t="e">
        <f>SUMIFS('Format for Import of DV'!M:M,'Format for Import of DV'!S:S,'Recon of ORS and DV'!B292)</f>
        <v>#VALUE!</v>
      </c>
      <c r="E292" s="276" t="e">
        <f t="shared" si="4"/>
        <v>#VALUE!</v>
      </c>
    </row>
    <row r="293" spans="1:5" hidden="1">
      <c r="A293" s="281" t="s">
        <v>1501</v>
      </c>
      <c r="B293" s="281" t="s">
        <v>2310</v>
      </c>
      <c r="C293" s="562">
        <f>SUMIFS('Format for Import of DV'!J:J,'Format for Import of DV'!C:C,'Recon of ORS and DV'!A293)</f>
        <v>45808.9</v>
      </c>
      <c r="D293" s="562" t="e">
        <f>SUMIFS('Format for Import of DV'!M:M,'Format for Import of DV'!S:S,'Recon of ORS and DV'!B293)</f>
        <v>#VALUE!</v>
      </c>
      <c r="E293" s="276" t="e">
        <f t="shared" si="4"/>
        <v>#VALUE!</v>
      </c>
    </row>
    <row r="294" spans="1:5" hidden="1">
      <c r="A294" s="281" t="s">
        <v>1503</v>
      </c>
      <c r="B294" s="281" t="s">
        <v>2311</v>
      </c>
      <c r="C294" s="562">
        <f>SUMIFS('Format for Import of DV'!J:J,'Format for Import of DV'!C:C,'Recon of ORS and DV'!A294)</f>
        <v>41497.269999999997</v>
      </c>
      <c r="D294" s="562" t="e">
        <f>SUMIFS('Format for Import of DV'!M:M,'Format for Import of DV'!S:S,'Recon of ORS and DV'!B294)</f>
        <v>#VALUE!</v>
      </c>
      <c r="E294" s="276" t="e">
        <f t="shared" si="4"/>
        <v>#VALUE!</v>
      </c>
    </row>
    <row r="295" spans="1:5" hidden="1">
      <c r="A295" s="281" t="s">
        <v>1505</v>
      </c>
      <c r="B295" s="281" t="s">
        <v>2312</v>
      </c>
      <c r="C295" s="562">
        <f>SUMIFS('Format for Import of DV'!J:J,'Format for Import of DV'!C:C,'Recon of ORS and DV'!A295)</f>
        <v>76000</v>
      </c>
      <c r="D295" s="562" t="e">
        <f>SUMIFS('Format for Import of DV'!M:M,'Format for Import of DV'!S:S,'Recon of ORS and DV'!B295)</f>
        <v>#VALUE!</v>
      </c>
      <c r="E295" s="276" t="e">
        <f t="shared" si="4"/>
        <v>#VALUE!</v>
      </c>
    </row>
    <row r="296" spans="1:5" hidden="1">
      <c r="A296" s="281" t="s">
        <v>1508</v>
      </c>
      <c r="B296" s="281" t="s">
        <v>2313</v>
      </c>
      <c r="C296" s="562">
        <f>SUMIFS('Format for Import of DV'!J:J,'Format for Import of DV'!C:C,'Recon of ORS and DV'!A296)</f>
        <v>2130</v>
      </c>
      <c r="D296" s="562" t="e">
        <f>SUMIFS('Format for Import of DV'!M:M,'Format for Import of DV'!S:S,'Recon of ORS and DV'!B296)</f>
        <v>#VALUE!</v>
      </c>
      <c r="E296" s="276" t="e">
        <f t="shared" si="4"/>
        <v>#VALUE!</v>
      </c>
    </row>
    <row r="297" spans="1:5" hidden="1">
      <c r="A297" s="281" t="s">
        <v>1510</v>
      </c>
      <c r="B297" s="281" t="s">
        <v>2314</v>
      </c>
      <c r="C297" s="562">
        <f>SUMIFS('Format for Import of DV'!J:J,'Format for Import of DV'!C:C,'Recon of ORS and DV'!A297)</f>
        <v>5175</v>
      </c>
      <c r="D297" s="562" t="e">
        <f>SUMIFS('Format for Import of DV'!M:M,'Format for Import of DV'!S:S,'Recon of ORS and DV'!B297)</f>
        <v>#VALUE!</v>
      </c>
      <c r="E297" s="276" t="e">
        <f t="shared" si="4"/>
        <v>#VALUE!</v>
      </c>
    </row>
    <row r="298" spans="1:5" hidden="1">
      <c r="A298" s="281" t="s">
        <v>1513</v>
      </c>
      <c r="B298" s="281" t="s">
        <v>2315</v>
      </c>
      <c r="C298" s="562">
        <f>SUMIFS('Format for Import of DV'!J:J,'Format for Import of DV'!C:C,'Recon of ORS and DV'!A298)</f>
        <v>4200</v>
      </c>
      <c r="D298" s="562" t="e">
        <f>SUMIFS('Format for Import of DV'!M:M,'Format for Import of DV'!S:S,'Recon of ORS and DV'!B298)</f>
        <v>#VALUE!</v>
      </c>
      <c r="E298" s="276" t="e">
        <f t="shared" si="4"/>
        <v>#VALUE!</v>
      </c>
    </row>
    <row r="299" spans="1:5" hidden="1">
      <c r="A299" s="281" t="s">
        <v>1516</v>
      </c>
      <c r="B299" s="281" t="s">
        <v>2316</v>
      </c>
      <c r="C299" s="562">
        <f>SUMIFS('Format for Import of DV'!J:J,'Format for Import of DV'!C:C,'Recon of ORS and DV'!A299)</f>
        <v>2688</v>
      </c>
      <c r="D299" s="562" t="e">
        <f>SUMIFS('Format for Import of DV'!M:M,'Format for Import of DV'!S:S,'Recon of ORS and DV'!B299)</f>
        <v>#VALUE!</v>
      </c>
      <c r="E299" s="276" t="e">
        <f t="shared" si="4"/>
        <v>#VALUE!</v>
      </c>
    </row>
    <row r="300" spans="1:5" hidden="1">
      <c r="A300" s="281" t="s">
        <v>1518</v>
      </c>
      <c r="B300" s="281" t="s">
        <v>2317</v>
      </c>
      <c r="C300" s="562">
        <f>SUMIFS('Format for Import of DV'!J:J,'Format for Import of DV'!C:C,'Recon of ORS and DV'!A300)</f>
        <v>2500</v>
      </c>
      <c r="D300" s="562" t="e">
        <f>SUMIFS('Format for Import of DV'!M:M,'Format for Import of DV'!S:S,'Recon of ORS and DV'!B300)</f>
        <v>#VALUE!</v>
      </c>
      <c r="E300" s="276" t="e">
        <f t="shared" si="4"/>
        <v>#VALUE!</v>
      </c>
    </row>
    <row r="301" spans="1:5" hidden="1">
      <c r="A301" s="281" t="s">
        <v>1520</v>
      </c>
      <c r="B301" s="281" t="s">
        <v>2318</v>
      </c>
      <c r="C301" s="562">
        <f>SUMIFS('Format for Import of DV'!J:J,'Format for Import of DV'!C:C,'Recon of ORS and DV'!A301)</f>
        <v>640</v>
      </c>
      <c r="D301" s="562" t="e">
        <f>SUMIFS('Format for Import of DV'!M:M,'Format for Import of DV'!S:S,'Recon of ORS and DV'!B301)</f>
        <v>#VALUE!</v>
      </c>
      <c r="E301" s="276" t="e">
        <f t="shared" si="4"/>
        <v>#VALUE!</v>
      </c>
    </row>
    <row r="302" spans="1:5" hidden="1">
      <c r="A302" s="281" t="s">
        <v>1522</v>
      </c>
      <c r="B302" s="281" t="s">
        <v>2319</v>
      </c>
      <c r="C302" s="562">
        <f>SUMIFS('Format for Import of DV'!J:J,'Format for Import of DV'!C:C,'Recon of ORS and DV'!A302)</f>
        <v>33180</v>
      </c>
      <c r="D302" s="562" t="e">
        <f>SUMIFS('Format for Import of DV'!M:M,'Format for Import of DV'!S:S,'Recon of ORS and DV'!B302)</f>
        <v>#VALUE!</v>
      </c>
      <c r="E302" s="276" t="e">
        <f t="shared" si="4"/>
        <v>#VALUE!</v>
      </c>
    </row>
    <row r="303" spans="1:5" hidden="1">
      <c r="A303" s="281" t="s">
        <v>1525</v>
      </c>
      <c r="B303" s="281" t="s">
        <v>2320</v>
      </c>
      <c r="C303" s="562">
        <f>SUMIFS('Format for Import of DV'!J:J,'Format for Import of DV'!C:C,'Recon of ORS and DV'!A303)</f>
        <v>4355.8500000000004</v>
      </c>
      <c r="D303" s="562" t="e">
        <f>SUMIFS('Format for Import of DV'!M:M,'Format for Import of DV'!S:S,'Recon of ORS and DV'!B303)</f>
        <v>#VALUE!</v>
      </c>
      <c r="E303" s="276" t="e">
        <f t="shared" si="4"/>
        <v>#VALUE!</v>
      </c>
    </row>
    <row r="304" spans="1:5" hidden="1">
      <c r="A304" s="281" t="s">
        <v>1527</v>
      </c>
      <c r="B304" s="281" t="s">
        <v>2321</v>
      </c>
      <c r="C304" s="562">
        <f>SUMIFS('Format for Import of DV'!J:J,'Format for Import of DV'!C:C,'Recon of ORS and DV'!A304)</f>
        <v>792144.86</v>
      </c>
      <c r="D304" s="562" t="e">
        <f>SUMIFS('Format for Import of DV'!M:M,'Format for Import of DV'!S:S,'Recon of ORS and DV'!B304)</f>
        <v>#VALUE!</v>
      </c>
      <c r="E304" s="276" t="e">
        <f t="shared" si="4"/>
        <v>#VALUE!</v>
      </c>
    </row>
    <row r="305" spans="1:5" hidden="1">
      <c r="A305" s="281" t="s">
        <v>1528</v>
      </c>
      <c r="B305" s="281" t="s">
        <v>2322</v>
      </c>
      <c r="C305" s="562">
        <f>SUMIFS('Format for Import of DV'!J:J,'Format for Import of DV'!C:C,'Recon of ORS and DV'!A305)</f>
        <v>361782.69999999995</v>
      </c>
      <c r="D305" s="562" t="e">
        <f>SUMIFS('Format for Import of DV'!M:M,'Format for Import of DV'!S:S,'Recon of ORS and DV'!B305)</f>
        <v>#VALUE!</v>
      </c>
      <c r="E305" s="276" t="e">
        <f t="shared" si="4"/>
        <v>#VALUE!</v>
      </c>
    </row>
    <row r="306" spans="1:5" hidden="1">
      <c r="A306" s="281" t="s">
        <v>1529</v>
      </c>
      <c r="B306" s="281" t="s">
        <v>2640</v>
      </c>
      <c r="C306" s="562">
        <f>SUMIFS('Format for Import of DV'!J:J,'Format for Import of DV'!C:C,'Recon of ORS and DV'!A306)</f>
        <v>505666.32</v>
      </c>
      <c r="D306" s="563">
        <v>505666.32</v>
      </c>
      <c r="E306" s="276">
        <f t="shared" si="4"/>
        <v>0</v>
      </c>
    </row>
    <row r="307" spans="1:5" hidden="1">
      <c r="A307" s="281" t="s">
        <v>1530</v>
      </c>
      <c r="B307" s="281" t="s">
        <v>2323</v>
      </c>
      <c r="C307" s="562">
        <f>SUMIFS('Format for Import of DV'!J:J,'Format for Import of DV'!C:C,'Recon of ORS and DV'!A307)</f>
        <v>532388.56000000006</v>
      </c>
      <c r="D307" s="562" t="e">
        <f>SUMIFS('Format for Import of DV'!M:M,'Format for Import of DV'!S:S,'Recon of ORS and DV'!B307)</f>
        <v>#VALUE!</v>
      </c>
      <c r="E307" s="276" t="e">
        <f t="shared" si="4"/>
        <v>#VALUE!</v>
      </c>
    </row>
    <row r="308" spans="1:5" hidden="1">
      <c r="A308" s="281" t="s">
        <v>1531</v>
      </c>
      <c r="B308" s="281" t="s">
        <v>2324</v>
      </c>
      <c r="C308" s="562">
        <f>SUMIFS('Format for Import of DV'!J:J,'Format for Import of DV'!C:C,'Recon of ORS and DV'!A308)</f>
        <v>345963.3</v>
      </c>
      <c r="D308" s="562" t="e">
        <f>SUMIFS('Format for Import of DV'!M:M,'Format for Import of DV'!S:S,'Recon of ORS and DV'!B308)</f>
        <v>#VALUE!</v>
      </c>
      <c r="E308" s="276" t="e">
        <f t="shared" si="4"/>
        <v>#VALUE!</v>
      </c>
    </row>
    <row r="309" spans="1:5" hidden="1">
      <c r="A309" s="281" t="s">
        <v>1534</v>
      </c>
      <c r="B309" s="281" t="s">
        <v>2325</v>
      </c>
      <c r="C309" s="562">
        <f>SUMIFS('Format for Import of DV'!J:J,'Format for Import of DV'!C:C,'Recon of ORS and DV'!A309)</f>
        <v>900000</v>
      </c>
      <c r="D309" s="562" t="e">
        <f>SUMIFS('Format for Import of DV'!M:M,'Format for Import of DV'!S:S,'Recon of ORS and DV'!B309)</f>
        <v>#VALUE!</v>
      </c>
      <c r="E309" s="276" t="e">
        <f t="shared" si="4"/>
        <v>#VALUE!</v>
      </c>
    </row>
    <row r="310" spans="1:5" hidden="1">
      <c r="A310" s="281" t="s">
        <v>1536</v>
      </c>
      <c r="B310" s="281" t="s">
        <v>2326</v>
      </c>
      <c r="C310" s="562">
        <f>SUMIFS('Format for Import of DV'!J:J,'Format for Import of DV'!C:C,'Recon of ORS and DV'!A310)</f>
        <v>345500</v>
      </c>
      <c r="D310" s="562" t="e">
        <f>SUMIFS('Format for Import of DV'!M:M,'Format for Import of DV'!S:S,'Recon of ORS and DV'!B310)</f>
        <v>#VALUE!</v>
      </c>
      <c r="E310" s="276" t="e">
        <f t="shared" si="4"/>
        <v>#VALUE!</v>
      </c>
    </row>
    <row r="311" spans="1:5" hidden="1">
      <c r="A311" s="281" t="s">
        <v>1541</v>
      </c>
      <c r="B311" s="281" t="s">
        <v>2327</v>
      </c>
      <c r="C311" s="562">
        <f>SUMIFS('Format for Import of DV'!J:J,'Format for Import of DV'!C:C,'Recon of ORS and DV'!A311)</f>
        <v>466200</v>
      </c>
      <c r="D311" s="562" t="e">
        <f>SUMIFS('Format for Import of DV'!M:M,'Format for Import of DV'!S:S,'Recon of ORS and DV'!B311)</f>
        <v>#VALUE!</v>
      </c>
      <c r="E311" s="276" t="e">
        <f t="shared" si="4"/>
        <v>#VALUE!</v>
      </c>
    </row>
    <row r="312" spans="1:5" hidden="1">
      <c r="A312" s="281" t="s">
        <v>1542</v>
      </c>
      <c r="B312" s="281" t="s">
        <v>2328</v>
      </c>
      <c r="C312" s="562">
        <f>SUMIFS('Format for Import of DV'!J:J,'Format for Import of DV'!C:C,'Recon of ORS and DV'!A312)</f>
        <v>205000</v>
      </c>
      <c r="D312" s="562" t="e">
        <f>SUMIFS('Format for Import of DV'!M:M,'Format for Import of DV'!S:S,'Recon of ORS and DV'!B312)</f>
        <v>#VALUE!</v>
      </c>
      <c r="E312" s="276" t="e">
        <f t="shared" si="4"/>
        <v>#VALUE!</v>
      </c>
    </row>
    <row r="313" spans="1:5" hidden="1">
      <c r="A313" s="281" t="s">
        <v>1544</v>
      </c>
      <c r="B313" s="281" t="s">
        <v>2329</v>
      </c>
      <c r="C313" s="562">
        <f>SUMIFS('Format for Import of DV'!J:J,'Format for Import of DV'!C:C,'Recon of ORS and DV'!A313)</f>
        <v>455476.19</v>
      </c>
      <c r="D313" s="562" t="e">
        <f>SUMIFS('Format for Import of DV'!M:M,'Format for Import of DV'!S:S,'Recon of ORS and DV'!B313)</f>
        <v>#VALUE!</v>
      </c>
      <c r="E313" s="276" t="e">
        <f t="shared" si="4"/>
        <v>#VALUE!</v>
      </c>
    </row>
    <row r="314" spans="1:5" hidden="1">
      <c r="A314" s="281" t="s">
        <v>1546</v>
      </c>
      <c r="B314" s="281" t="s">
        <v>2330</v>
      </c>
      <c r="C314" s="562">
        <f>SUMIFS('Format for Import of DV'!J:J,'Format for Import of DV'!C:C,'Recon of ORS and DV'!A314)</f>
        <v>284121.43</v>
      </c>
      <c r="D314" s="562" t="e">
        <f>SUMIFS('Format for Import of DV'!M:M,'Format for Import of DV'!S:S,'Recon of ORS and DV'!B314)</f>
        <v>#VALUE!</v>
      </c>
      <c r="E314" s="276" t="e">
        <f t="shared" si="4"/>
        <v>#VALUE!</v>
      </c>
    </row>
    <row r="315" spans="1:5" hidden="1">
      <c r="A315" s="281" t="s">
        <v>1547</v>
      </c>
      <c r="B315" s="281" t="s">
        <v>2331</v>
      </c>
      <c r="C315" s="562">
        <f>SUMIFS('Format for Import of DV'!J:J,'Format for Import of DV'!C:C,'Recon of ORS and DV'!A315)</f>
        <v>241007.14</v>
      </c>
      <c r="D315" s="562" t="e">
        <f>SUMIFS('Format for Import of DV'!M:M,'Format for Import of DV'!S:S,'Recon of ORS and DV'!B315)</f>
        <v>#VALUE!</v>
      </c>
      <c r="E315" s="276" t="e">
        <f t="shared" si="4"/>
        <v>#VALUE!</v>
      </c>
    </row>
    <row r="316" spans="1:5" hidden="1">
      <c r="A316" s="281" t="s">
        <v>1548</v>
      </c>
      <c r="B316" s="281" t="s">
        <v>2332</v>
      </c>
      <c r="C316" s="562">
        <f>SUMIFS('Format for Import of DV'!J:J,'Format for Import of DV'!C:C,'Recon of ORS and DV'!A316)</f>
        <v>321342.84999999998</v>
      </c>
      <c r="D316" s="562" t="e">
        <f>SUMIFS('Format for Import of DV'!M:M,'Format for Import of DV'!S:S,'Recon of ORS and DV'!B316)</f>
        <v>#VALUE!</v>
      </c>
      <c r="E316" s="276" t="e">
        <f t="shared" si="4"/>
        <v>#VALUE!</v>
      </c>
    </row>
    <row r="317" spans="1:5" hidden="1">
      <c r="A317" s="281" t="s">
        <v>1549</v>
      </c>
      <c r="B317" s="281" t="s">
        <v>2333</v>
      </c>
      <c r="C317" s="562">
        <f>SUMIFS('Format for Import of DV'!J:J,'Format for Import of DV'!C:C,'Recon of ORS and DV'!A317)</f>
        <v>14120</v>
      </c>
      <c r="D317" s="562" t="e">
        <f>SUMIFS('Format for Import of DV'!M:M,'Format for Import of DV'!S:S,'Recon of ORS and DV'!B317)</f>
        <v>#VALUE!</v>
      </c>
      <c r="E317" s="276" t="e">
        <f t="shared" si="4"/>
        <v>#VALUE!</v>
      </c>
    </row>
    <row r="318" spans="1:5" hidden="1">
      <c r="A318" s="281" t="s">
        <v>1550</v>
      </c>
      <c r="B318" s="281" t="s">
        <v>2334</v>
      </c>
      <c r="C318" s="562">
        <f>SUMIFS('Format for Import of DV'!J:J,'Format for Import of DV'!C:C,'Recon of ORS and DV'!A318)</f>
        <v>43786.5</v>
      </c>
      <c r="D318" s="562" t="e">
        <f>SUMIFS('Format for Import of DV'!M:M,'Format for Import of DV'!S:S,'Recon of ORS and DV'!B318)</f>
        <v>#VALUE!</v>
      </c>
      <c r="E318" s="276" t="e">
        <f t="shared" si="4"/>
        <v>#VALUE!</v>
      </c>
    </row>
    <row r="319" spans="1:5" hidden="1">
      <c r="A319" s="281" t="s">
        <v>1552</v>
      </c>
      <c r="B319" s="281" t="s">
        <v>2335</v>
      </c>
      <c r="C319" s="562">
        <f>SUMIFS('Format for Import of DV'!J:J,'Format for Import of DV'!C:C,'Recon of ORS and DV'!A319)</f>
        <v>1200</v>
      </c>
      <c r="D319" s="562" t="e">
        <f>SUMIFS('Format for Import of DV'!M:M,'Format for Import of DV'!S:S,'Recon of ORS and DV'!B319)</f>
        <v>#VALUE!</v>
      </c>
      <c r="E319" s="276" t="e">
        <f t="shared" si="4"/>
        <v>#VALUE!</v>
      </c>
    </row>
    <row r="320" spans="1:5" hidden="1">
      <c r="A320" s="281" t="s">
        <v>1554</v>
      </c>
      <c r="B320" s="281" t="s">
        <v>2336</v>
      </c>
      <c r="C320" s="562">
        <f>SUMIFS('Format for Import of DV'!J:J,'Format for Import of DV'!C:C,'Recon of ORS and DV'!A320)</f>
        <v>550000</v>
      </c>
      <c r="D320" s="562" t="e">
        <f>SUMIFS('Format for Import of DV'!M:M,'Format for Import of DV'!S:S,'Recon of ORS and DV'!B320)</f>
        <v>#VALUE!</v>
      </c>
      <c r="E320" s="276" t="e">
        <f t="shared" si="4"/>
        <v>#VALUE!</v>
      </c>
    </row>
    <row r="321" spans="1:5" hidden="1">
      <c r="A321" s="281" t="s">
        <v>1557</v>
      </c>
      <c r="B321" s="281" t="s">
        <v>2337</v>
      </c>
      <c r="C321" s="562">
        <f>SUMIFS('Format for Import of DV'!J:J,'Format for Import of DV'!C:C,'Recon of ORS and DV'!A321)</f>
        <v>550000</v>
      </c>
      <c r="D321" s="562" t="e">
        <f>SUMIFS('Format for Import of DV'!M:M,'Format for Import of DV'!S:S,'Recon of ORS and DV'!B321)</f>
        <v>#VALUE!</v>
      </c>
      <c r="E321" s="276" t="e">
        <f t="shared" si="4"/>
        <v>#VALUE!</v>
      </c>
    </row>
    <row r="322" spans="1:5" hidden="1">
      <c r="A322" s="281" t="s">
        <v>1558</v>
      </c>
      <c r="B322" s="281" t="s">
        <v>2338</v>
      </c>
      <c r="C322" s="562">
        <f>SUMIFS('Format for Import of DV'!J:J,'Format for Import of DV'!C:C,'Recon of ORS and DV'!A322)</f>
        <v>600000</v>
      </c>
      <c r="D322" s="562" t="e">
        <f>SUMIFS('Format for Import of DV'!M:M,'Format for Import of DV'!S:S,'Recon of ORS and DV'!B322)</f>
        <v>#VALUE!</v>
      </c>
      <c r="E322" s="276" t="e">
        <f t="shared" si="4"/>
        <v>#VALUE!</v>
      </c>
    </row>
    <row r="323" spans="1:5" hidden="1">
      <c r="A323" s="281" t="s">
        <v>1559</v>
      </c>
      <c r="B323" s="281" t="s">
        <v>2339</v>
      </c>
      <c r="C323" s="562">
        <f>SUMIFS('Format for Import of DV'!J:J,'Format for Import of DV'!C:C,'Recon of ORS and DV'!A323)</f>
        <v>550000</v>
      </c>
      <c r="D323" s="562" t="e">
        <f>SUMIFS('Format for Import of DV'!M:M,'Format for Import of DV'!S:S,'Recon of ORS and DV'!B323)</f>
        <v>#VALUE!</v>
      </c>
      <c r="E323" s="276" t="e">
        <f t="shared" si="4"/>
        <v>#VALUE!</v>
      </c>
    </row>
    <row r="324" spans="1:5" hidden="1">
      <c r="A324" s="281" t="s">
        <v>1560</v>
      </c>
      <c r="B324" s="281" t="s">
        <v>2340</v>
      </c>
      <c r="C324" s="562">
        <f>SUMIFS('Format for Import of DV'!J:J,'Format for Import of DV'!C:C,'Recon of ORS and DV'!A324)</f>
        <v>550000</v>
      </c>
      <c r="D324" s="562" t="e">
        <f>SUMIFS('Format for Import of DV'!M:M,'Format for Import of DV'!S:S,'Recon of ORS and DV'!B324)</f>
        <v>#VALUE!</v>
      </c>
      <c r="E324" s="276" t="e">
        <f t="shared" si="4"/>
        <v>#VALUE!</v>
      </c>
    </row>
    <row r="325" spans="1:5" hidden="1">
      <c r="A325" s="281" t="s">
        <v>1561</v>
      </c>
      <c r="B325" s="281" t="s">
        <v>2341</v>
      </c>
      <c r="C325" s="562">
        <f>SUMIFS('Format for Import of DV'!J:J,'Format for Import of DV'!C:C,'Recon of ORS and DV'!A325)</f>
        <v>20000</v>
      </c>
      <c r="D325" s="562" t="e">
        <f>SUMIFS('Format for Import of DV'!M:M,'Format for Import of DV'!S:S,'Recon of ORS and DV'!B325)</f>
        <v>#VALUE!</v>
      </c>
      <c r="E325" s="276" t="e">
        <f t="shared" ref="E325:E358" si="5">C325-D325</f>
        <v>#VALUE!</v>
      </c>
    </row>
    <row r="326" spans="1:5" hidden="1">
      <c r="A326" s="281" t="s">
        <v>1564</v>
      </c>
      <c r="B326" s="281"/>
      <c r="C326" s="562">
        <f>SUMIFS('Format for Import of DV'!J:J,'Format for Import of DV'!C:C,'Recon of ORS and DV'!A326)</f>
        <v>0</v>
      </c>
      <c r="D326" s="562" t="e">
        <f>SUMIFS('Format for Import of DV'!M:M,'Format for Import of DV'!S:S,'Recon of ORS and DV'!B326)</f>
        <v>#VALUE!</v>
      </c>
      <c r="E326" s="276" t="e">
        <f t="shared" si="5"/>
        <v>#VALUE!</v>
      </c>
    </row>
    <row r="327" spans="1:5" hidden="1">
      <c r="A327" s="281" t="s">
        <v>1567</v>
      </c>
      <c r="B327" s="281" t="s">
        <v>2342</v>
      </c>
      <c r="C327" s="562">
        <f>SUMIFS('Format for Import of DV'!J:J,'Format for Import of DV'!C:C,'Recon of ORS and DV'!A327)</f>
        <v>101505.45</v>
      </c>
      <c r="D327" s="562" t="e">
        <f>SUMIFS('Format for Import of DV'!M:M,'Format for Import of DV'!S:S,'Recon of ORS and DV'!B327)</f>
        <v>#VALUE!</v>
      </c>
      <c r="E327" s="276" t="e">
        <f t="shared" si="5"/>
        <v>#VALUE!</v>
      </c>
    </row>
    <row r="328" spans="1:5" hidden="1">
      <c r="A328" s="281" t="s">
        <v>1569</v>
      </c>
      <c r="B328" s="281" t="s">
        <v>2343</v>
      </c>
      <c r="C328" s="562">
        <f>SUMIFS('Format for Import of DV'!J:J,'Format for Import of DV'!C:C,'Recon of ORS and DV'!A328)</f>
        <v>13034</v>
      </c>
      <c r="D328" s="562" t="e">
        <f>SUMIFS('Format for Import of DV'!M:M,'Format for Import of DV'!S:S,'Recon of ORS and DV'!B328)</f>
        <v>#VALUE!</v>
      </c>
      <c r="E328" s="276" t="e">
        <f t="shared" si="5"/>
        <v>#VALUE!</v>
      </c>
    </row>
    <row r="329" spans="1:5" hidden="1">
      <c r="A329" s="281" t="s">
        <v>1571</v>
      </c>
      <c r="B329" s="281" t="s">
        <v>2344</v>
      </c>
      <c r="C329" s="562">
        <f>SUMIFS('Format for Import of DV'!J:J,'Format for Import of DV'!C:C,'Recon of ORS and DV'!A329)</f>
        <v>6850</v>
      </c>
      <c r="D329" s="562" t="e">
        <f>SUMIFS('Format for Import of DV'!M:M,'Format for Import of DV'!S:S,'Recon of ORS and DV'!B329)</f>
        <v>#VALUE!</v>
      </c>
      <c r="E329" s="276" t="e">
        <f t="shared" si="5"/>
        <v>#VALUE!</v>
      </c>
    </row>
    <row r="330" spans="1:5" hidden="1">
      <c r="A330" s="281" t="s">
        <v>1574</v>
      </c>
      <c r="B330" s="281" t="s">
        <v>2345</v>
      </c>
      <c r="C330" s="562">
        <f>SUMIFS('Format for Import of DV'!J:J,'Format for Import of DV'!C:C,'Recon of ORS and DV'!A330)</f>
        <v>2500</v>
      </c>
      <c r="D330" s="562" t="e">
        <f>SUMIFS('Format for Import of DV'!M:M,'Format for Import of DV'!S:S,'Recon of ORS and DV'!B330)</f>
        <v>#VALUE!</v>
      </c>
      <c r="E330" s="276" t="e">
        <f t="shared" si="5"/>
        <v>#VALUE!</v>
      </c>
    </row>
    <row r="331" spans="1:5" hidden="1">
      <c r="A331" s="281" t="s">
        <v>1576</v>
      </c>
      <c r="B331" s="281" t="s">
        <v>2346</v>
      </c>
      <c r="C331" s="562">
        <f>SUMIFS('Format for Import of DV'!J:J,'Format for Import of DV'!C:C,'Recon of ORS and DV'!A331)</f>
        <v>2511.36</v>
      </c>
      <c r="D331" s="562" t="e">
        <f>SUMIFS('Format for Import of DV'!M:M,'Format for Import of DV'!S:S,'Recon of ORS and DV'!B331)</f>
        <v>#VALUE!</v>
      </c>
      <c r="E331" s="276" t="e">
        <f t="shared" si="5"/>
        <v>#VALUE!</v>
      </c>
    </row>
    <row r="332" spans="1:5" hidden="1">
      <c r="A332" s="281" t="s">
        <v>1579</v>
      </c>
      <c r="B332" s="281" t="s">
        <v>2347</v>
      </c>
      <c r="C332" s="562">
        <f>SUMIFS('Format for Import of DV'!J:J,'Format for Import of DV'!C:C,'Recon of ORS and DV'!A332)</f>
        <v>10000</v>
      </c>
      <c r="D332" s="562" t="e">
        <f>SUMIFS('Format for Import of DV'!M:M,'Format for Import of DV'!S:S,'Recon of ORS and DV'!B332)</f>
        <v>#VALUE!</v>
      </c>
      <c r="E332" s="276" t="e">
        <f t="shared" si="5"/>
        <v>#VALUE!</v>
      </c>
    </row>
    <row r="333" spans="1:5" hidden="1">
      <c r="A333" s="281" t="s">
        <v>1580</v>
      </c>
      <c r="B333" s="281" t="s">
        <v>2348</v>
      </c>
      <c r="C333" s="562">
        <f>SUMIFS('Format for Import of DV'!J:J,'Format for Import of DV'!C:C,'Recon of ORS and DV'!A333)</f>
        <v>170501.47</v>
      </c>
      <c r="D333" s="562" t="e">
        <f>SUMIFS('Format for Import of DV'!M:M,'Format for Import of DV'!S:S,'Recon of ORS and DV'!B333)</f>
        <v>#VALUE!</v>
      </c>
      <c r="E333" s="276" t="e">
        <f t="shared" si="5"/>
        <v>#VALUE!</v>
      </c>
    </row>
    <row r="334" spans="1:5" hidden="1">
      <c r="A334" s="281" t="s">
        <v>1582</v>
      </c>
      <c r="B334" s="281" t="s">
        <v>2349</v>
      </c>
      <c r="C334" s="562">
        <f>SUMIFS('Format for Import of DV'!J:J,'Format for Import of DV'!C:C,'Recon of ORS and DV'!A334)</f>
        <v>7712.46</v>
      </c>
      <c r="D334" s="562" t="e">
        <f>SUMIFS('Format for Import of DV'!M:M,'Format for Import of DV'!S:S,'Recon of ORS and DV'!B334)</f>
        <v>#VALUE!</v>
      </c>
      <c r="E334" s="276" t="e">
        <f t="shared" si="5"/>
        <v>#VALUE!</v>
      </c>
    </row>
    <row r="335" spans="1:5" hidden="1">
      <c r="A335" s="281" t="s">
        <v>1584</v>
      </c>
      <c r="B335" s="281" t="s">
        <v>2350</v>
      </c>
      <c r="C335" s="562">
        <f>SUMIFS('Format for Import of DV'!J:J,'Format for Import of DV'!C:C,'Recon of ORS and DV'!A335)</f>
        <v>9559.2900000000009</v>
      </c>
      <c r="D335" s="562" t="e">
        <f>SUMIFS('Format for Import of DV'!M:M,'Format for Import of DV'!S:S,'Recon of ORS and DV'!B335)</f>
        <v>#VALUE!</v>
      </c>
      <c r="E335" s="276" t="e">
        <f t="shared" si="5"/>
        <v>#VALUE!</v>
      </c>
    </row>
    <row r="336" spans="1:5" hidden="1">
      <c r="A336" s="281" t="s">
        <v>1586</v>
      </c>
      <c r="B336" s="281" t="s">
        <v>2351</v>
      </c>
      <c r="C336" s="562">
        <f>SUMIFS('Format for Import of DV'!J:J,'Format for Import of DV'!C:C,'Recon of ORS and DV'!A336)</f>
        <v>51050</v>
      </c>
      <c r="D336" s="562" t="e">
        <f>SUMIFS('Format for Import of DV'!M:M,'Format for Import of DV'!S:S,'Recon of ORS and DV'!B336)</f>
        <v>#VALUE!</v>
      </c>
      <c r="E336" s="276" t="e">
        <f t="shared" si="5"/>
        <v>#VALUE!</v>
      </c>
    </row>
    <row r="337" spans="1:5" hidden="1">
      <c r="A337" s="281" t="s">
        <v>1588</v>
      </c>
      <c r="B337" s="281" t="s">
        <v>2352</v>
      </c>
      <c r="C337" s="562">
        <f>SUMIFS('Format for Import of DV'!J:J,'Format for Import of DV'!C:C,'Recon of ORS and DV'!A337)</f>
        <v>100000</v>
      </c>
      <c r="D337" s="562" t="e">
        <f>SUMIFS('Format for Import of DV'!M:M,'Format for Import of DV'!S:S,'Recon of ORS and DV'!B337)</f>
        <v>#VALUE!</v>
      </c>
      <c r="E337" s="276" t="e">
        <f t="shared" si="5"/>
        <v>#VALUE!</v>
      </c>
    </row>
    <row r="338" spans="1:5" hidden="1">
      <c r="A338" s="281" t="s">
        <v>1589</v>
      </c>
      <c r="B338" s="281" t="s">
        <v>2353</v>
      </c>
      <c r="C338" s="562">
        <f>SUMIFS('Format for Import of DV'!J:J,'Format for Import of DV'!C:C,'Recon of ORS and DV'!A338)</f>
        <v>99030</v>
      </c>
      <c r="D338" s="562" t="e">
        <f>SUMIFS('Format for Import of DV'!M:M,'Format for Import of DV'!S:S,'Recon of ORS and DV'!B338)</f>
        <v>#VALUE!</v>
      </c>
      <c r="E338" s="276" t="e">
        <f t="shared" si="5"/>
        <v>#VALUE!</v>
      </c>
    </row>
    <row r="339" spans="1:5" hidden="1">
      <c r="A339" s="281" t="s">
        <v>1591</v>
      </c>
      <c r="B339" s="281" t="s">
        <v>2354</v>
      </c>
      <c r="C339" s="562">
        <f>SUMIFS('Format for Import of DV'!J:J,'Format for Import of DV'!C:C,'Recon of ORS and DV'!A339)</f>
        <v>10250</v>
      </c>
      <c r="D339" s="562" t="e">
        <f>SUMIFS('Format for Import of DV'!M:M,'Format for Import of DV'!S:S,'Recon of ORS and DV'!B339)</f>
        <v>#VALUE!</v>
      </c>
      <c r="E339" s="276" t="e">
        <f t="shared" si="5"/>
        <v>#VALUE!</v>
      </c>
    </row>
    <row r="340" spans="1:5" hidden="1">
      <c r="A340" s="281" t="s">
        <v>1592</v>
      </c>
      <c r="B340" s="281" t="s">
        <v>2355</v>
      </c>
      <c r="C340" s="562">
        <f>SUMIFS('Format for Import of DV'!J:J,'Format for Import of DV'!C:C,'Recon of ORS and DV'!A340)</f>
        <v>11455.25</v>
      </c>
      <c r="D340" s="562" t="e">
        <f>SUMIFS('Format for Import of DV'!M:M,'Format for Import of DV'!S:S,'Recon of ORS and DV'!B340)</f>
        <v>#VALUE!</v>
      </c>
      <c r="E340" s="276" t="e">
        <f t="shared" si="5"/>
        <v>#VALUE!</v>
      </c>
    </row>
    <row r="341" spans="1:5" hidden="1">
      <c r="A341" s="281" t="s">
        <v>1594</v>
      </c>
      <c r="B341" s="281" t="s">
        <v>2356</v>
      </c>
      <c r="C341" s="562">
        <f>SUMIFS('Format for Import of DV'!J:J,'Format for Import of DV'!C:C,'Recon of ORS and DV'!A341)</f>
        <v>8164.75</v>
      </c>
      <c r="D341" s="562" t="e">
        <f>SUMIFS('Format for Import of DV'!M:M,'Format for Import of DV'!S:S,'Recon of ORS and DV'!B341)</f>
        <v>#VALUE!</v>
      </c>
      <c r="E341" s="276" t="e">
        <f t="shared" si="5"/>
        <v>#VALUE!</v>
      </c>
    </row>
    <row r="342" spans="1:5" hidden="1">
      <c r="A342" s="281" t="s">
        <v>1596</v>
      </c>
      <c r="B342" s="281" t="s">
        <v>2357</v>
      </c>
      <c r="C342" s="562">
        <f>SUMIFS('Format for Import of DV'!J:J,'Format for Import of DV'!C:C,'Recon of ORS and DV'!A342)</f>
        <v>22316</v>
      </c>
      <c r="D342" s="562" t="e">
        <f>SUMIFS('Format for Import of DV'!M:M,'Format for Import of DV'!S:S,'Recon of ORS and DV'!B342)</f>
        <v>#VALUE!</v>
      </c>
      <c r="E342" s="276" t="e">
        <f t="shared" si="5"/>
        <v>#VALUE!</v>
      </c>
    </row>
    <row r="343" spans="1:5" hidden="1">
      <c r="A343" s="281" t="s">
        <v>1598</v>
      </c>
      <c r="B343" s="281" t="s">
        <v>2358</v>
      </c>
      <c r="C343" s="562">
        <f>SUMIFS('Format for Import of DV'!J:J,'Format for Import of DV'!C:C,'Recon of ORS and DV'!A343)</f>
        <v>256101</v>
      </c>
      <c r="D343" s="562" t="e">
        <f>SUMIFS('Format for Import of DV'!M:M,'Format for Import of DV'!S:S,'Recon of ORS and DV'!B343)</f>
        <v>#VALUE!</v>
      </c>
      <c r="E343" s="276" t="e">
        <f t="shared" si="5"/>
        <v>#VALUE!</v>
      </c>
    </row>
    <row r="344" spans="1:5" hidden="1">
      <c r="A344" s="281" t="s">
        <v>1599</v>
      </c>
      <c r="B344" s="281" t="s">
        <v>2359</v>
      </c>
      <c r="C344" s="562">
        <f>SUMIFS('Format for Import of DV'!J:J,'Format for Import of DV'!C:C,'Recon of ORS and DV'!A344)</f>
        <v>184464</v>
      </c>
      <c r="D344" s="562" t="e">
        <f>SUMIFS('Format for Import of DV'!M:M,'Format for Import of DV'!S:S,'Recon of ORS and DV'!B344)</f>
        <v>#VALUE!</v>
      </c>
      <c r="E344" s="276" t="e">
        <f t="shared" si="5"/>
        <v>#VALUE!</v>
      </c>
    </row>
    <row r="345" spans="1:5" hidden="1">
      <c r="A345" s="281" t="s">
        <v>1601</v>
      </c>
      <c r="B345" s="281" t="s">
        <v>2360</v>
      </c>
      <c r="C345" s="562">
        <f>SUMIFS('Format for Import of DV'!J:J,'Format for Import of DV'!C:C,'Recon of ORS and DV'!A345)</f>
        <v>1464950</v>
      </c>
      <c r="D345" s="562" t="e">
        <f>SUMIFS('Format for Import of DV'!M:M,'Format for Import of DV'!S:S,'Recon of ORS and DV'!B345)</f>
        <v>#VALUE!</v>
      </c>
      <c r="E345" s="276" t="e">
        <f t="shared" si="5"/>
        <v>#VALUE!</v>
      </c>
    </row>
    <row r="346" spans="1:5" hidden="1">
      <c r="A346" s="281" t="s">
        <v>1603</v>
      </c>
      <c r="B346" s="281" t="s">
        <v>2361</v>
      </c>
      <c r="C346" s="562">
        <f>SUMIFS('Format for Import of DV'!J:J,'Format for Import of DV'!C:C,'Recon of ORS and DV'!A346)</f>
        <v>1266031.21</v>
      </c>
      <c r="D346" s="562" t="e">
        <f>SUMIFS('Format for Import of DV'!M:M,'Format for Import of DV'!S:S,'Recon of ORS and DV'!B346)</f>
        <v>#VALUE!</v>
      </c>
      <c r="E346" s="276" t="e">
        <f t="shared" si="5"/>
        <v>#VALUE!</v>
      </c>
    </row>
    <row r="347" spans="1:5" hidden="1">
      <c r="A347" s="281" t="s">
        <v>1604</v>
      </c>
      <c r="B347" s="281" t="s">
        <v>2362</v>
      </c>
      <c r="C347" s="562">
        <f>SUMIFS('Format for Import of DV'!J:J,'Format for Import of DV'!C:C,'Recon of ORS and DV'!A347)</f>
        <v>348243.76</v>
      </c>
      <c r="D347" s="562" t="e">
        <f>SUMIFS('Format for Import of DV'!M:M,'Format for Import of DV'!S:S,'Recon of ORS and DV'!B347)</f>
        <v>#VALUE!</v>
      </c>
      <c r="E347" s="276" t="e">
        <f t="shared" si="5"/>
        <v>#VALUE!</v>
      </c>
    </row>
    <row r="348" spans="1:5" hidden="1">
      <c r="A348" s="281" t="s">
        <v>1606</v>
      </c>
      <c r="B348" s="281" t="s">
        <v>2363</v>
      </c>
      <c r="C348" s="562">
        <f>SUMIFS('Format for Import of DV'!J:J,'Format for Import of DV'!C:C,'Recon of ORS and DV'!A348)</f>
        <v>333817.76</v>
      </c>
      <c r="D348" s="562" t="e">
        <f>SUMIFS('Format for Import of DV'!M:M,'Format for Import of DV'!S:S,'Recon of ORS and DV'!B348)</f>
        <v>#VALUE!</v>
      </c>
      <c r="E348" s="276" t="e">
        <f t="shared" si="5"/>
        <v>#VALUE!</v>
      </c>
    </row>
    <row r="349" spans="1:5" hidden="1">
      <c r="A349" s="281" t="s">
        <v>1607</v>
      </c>
      <c r="B349" s="281" t="s">
        <v>2364</v>
      </c>
      <c r="C349" s="562">
        <f>SUMIFS('Format for Import of DV'!J:J,'Format for Import of DV'!C:C,'Recon of ORS and DV'!A349)</f>
        <v>348243.76</v>
      </c>
      <c r="D349" s="562" t="e">
        <f>SUMIFS('Format for Import of DV'!M:M,'Format for Import of DV'!S:S,'Recon of ORS and DV'!B349)</f>
        <v>#VALUE!</v>
      </c>
      <c r="E349" s="276" t="e">
        <f t="shared" si="5"/>
        <v>#VALUE!</v>
      </c>
    </row>
    <row r="350" spans="1:5" hidden="1">
      <c r="A350" s="281" t="s">
        <v>1608</v>
      </c>
      <c r="B350" s="281" t="s">
        <v>2365</v>
      </c>
      <c r="C350" s="562">
        <f>SUMIFS('Format for Import of DV'!J:J,'Format for Import of DV'!C:C,'Recon of ORS and DV'!A350)</f>
        <v>760350</v>
      </c>
      <c r="D350" s="562" t="e">
        <f>SUMIFS('Format for Import of DV'!M:M,'Format for Import of DV'!S:S,'Recon of ORS and DV'!B350)</f>
        <v>#VALUE!</v>
      </c>
      <c r="E350" s="276" t="e">
        <f t="shared" si="5"/>
        <v>#VALUE!</v>
      </c>
    </row>
    <row r="351" spans="1:5" hidden="1">
      <c r="A351" s="281" t="s">
        <v>1609</v>
      </c>
      <c r="B351" s="281" t="s">
        <v>2366</v>
      </c>
      <c r="C351" s="562">
        <f>SUMIFS('Format for Import of DV'!J:J,'Format for Import of DV'!C:C,'Recon of ORS and DV'!A351)</f>
        <v>194400</v>
      </c>
      <c r="D351" s="562" t="e">
        <f>SUMIFS('Format for Import of DV'!M:M,'Format for Import of DV'!S:S,'Recon of ORS and DV'!B351)</f>
        <v>#VALUE!</v>
      </c>
      <c r="E351" s="276" t="e">
        <f t="shared" si="5"/>
        <v>#VALUE!</v>
      </c>
    </row>
    <row r="352" spans="1:5" hidden="1">
      <c r="A352" s="281" t="s">
        <v>1611</v>
      </c>
      <c r="B352" s="281" t="s">
        <v>2367</v>
      </c>
      <c r="C352" s="562">
        <f>SUMIFS('Format for Import of DV'!J:J,'Format for Import of DV'!C:C,'Recon of ORS and DV'!A352)</f>
        <v>194400</v>
      </c>
      <c r="D352" s="562" t="e">
        <f>SUMIFS('Format for Import of DV'!M:M,'Format for Import of DV'!S:S,'Recon of ORS and DV'!B352)</f>
        <v>#VALUE!</v>
      </c>
      <c r="E352" s="276" t="e">
        <f t="shared" si="5"/>
        <v>#VALUE!</v>
      </c>
    </row>
    <row r="353" spans="1:5" hidden="1">
      <c r="A353" s="281" t="s">
        <v>1612</v>
      </c>
      <c r="B353" s="281" t="s">
        <v>2368</v>
      </c>
      <c r="C353" s="562">
        <f>SUMIFS('Format for Import of DV'!J:J,'Format for Import of DV'!C:C,'Recon of ORS and DV'!A353)</f>
        <v>194400</v>
      </c>
      <c r="D353" s="562" t="e">
        <f>SUMIFS('Format for Import of DV'!M:M,'Format for Import of DV'!S:S,'Recon of ORS and DV'!B353)</f>
        <v>#VALUE!</v>
      </c>
      <c r="E353" s="276" t="e">
        <f t="shared" si="5"/>
        <v>#VALUE!</v>
      </c>
    </row>
    <row r="354" spans="1:5" hidden="1">
      <c r="A354" s="281" t="s">
        <v>1614</v>
      </c>
      <c r="B354" s="281" t="s">
        <v>2369</v>
      </c>
      <c r="C354" s="562">
        <f>SUMIFS('Format for Import of DV'!J:J,'Format for Import of DV'!C:C,'Recon of ORS and DV'!A354)</f>
        <v>640000</v>
      </c>
      <c r="D354" s="562" t="e">
        <f>SUMIFS('Format for Import of DV'!M:M,'Format for Import of DV'!S:S,'Recon of ORS and DV'!B354)</f>
        <v>#VALUE!</v>
      </c>
      <c r="E354" s="276" t="e">
        <f t="shared" si="5"/>
        <v>#VALUE!</v>
      </c>
    </row>
    <row r="355" spans="1:5" hidden="1">
      <c r="A355" s="281" t="s">
        <v>1616</v>
      </c>
      <c r="B355" s="281" t="s">
        <v>2370</v>
      </c>
      <c r="C355" s="562">
        <f>SUMIFS('Format for Import of DV'!J:J,'Format for Import of DV'!C:C,'Recon of ORS and DV'!A355)</f>
        <v>287809.53000000003</v>
      </c>
      <c r="D355" s="562" t="e">
        <f>SUMIFS('Format for Import of DV'!M:M,'Format for Import of DV'!S:S,'Recon of ORS and DV'!B355)</f>
        <v>#VALUE!</v>
      </c>
      <c r="E355" s="276" t="e">
        <f t="shared" si="5"/>
        <v>#VALUE!</v>
      </c>
    </row>
    <row r="356" spans="1:5" hidden="1">
      <c r="A356" s="281" t="s">
        <v>1618</v>
      </c>
      <c r="B356" s="281" t="s">
        <v>2371</v>
      </c>
      <c r="C356" s="562">
        <f>SUMIFS('Format for Import of DV'!J:J,'Format for Import of DV'!C:C,'Recon of ORS and DV'!A356)</f>
        <v>3500</v>
      </c>
      <c r="D356" s="562" t="e">
        <f>SUMIFS('Format for Import of DV'!M:M,'Format for Import of DV'!S:S,'Recon of ORS and DV'!B356)</f>
        <v>#VALUE!</v>
      </c>
      <c r="E356" s="276" t="e">
        <f t="shared" si="5"/>
        <v>#VALUE!</v>
      </c>
    </row>
    <row r="357" spans="1:5" hidden="1">
      <c r="A357" s="281" t="s">
        <v>1619</v>
      </c>
      <c r="B357" s="281" t="s">
        <v>2372</v>
      </c>
      <c r="C357" s="562">
        <f>SUMIFS('Format for Import of DV'!J:J,'Format for Import of DV'!C:C,'Recon of ORS and DV'!A357)</f>
        <v>12000</v>
      </c>
      <c r="D357" s="562" t="e">
        <f>SUMIFS('Format for Import of DV'!M:M,'Format for Import of DV'!S:S,'Recon of ORS and DV'!B357)</f>
        <v>#VALUE!</v>
      </c>
      <c r="E357" s="276" t="e">
        <f t="shared" si="5"/>
        <v>#VALUE!</v>
      </c>
    </row>
    <row r="358" spans="1:5" hidden="1">
      <c r="A358" s="281" t="s">
        <v>1622</v>
      </c>
      <c r="B358" s="281" t="s">
        <v>2373</v>
      </c>
      <c r="C358" s="562">
        <f>SUMIFS('Format for Import of DV'!J:J,'Format for Import of DV'!C:C,'Recon of ORS and DV'!A358)</f>
        <v>4800</v>
      </c>
      <c r="D358" s="562" t="e">
        <f>SUMIFS('Format for Import of DV'!M:M,'Format for Import of DV'!S:S,'Recon of ORS and DV'!B358)</f>
        <v>#VALUE!</v>
      </c>
      <c r="E358" s="276" t="e">
        <f t="shared" si="5"/>
        <v>#VALUE!</v>
      </c>
    </row>
  </sheetData>
  <autoFilter ref="A3:E358" xr:uid="{00000000-0009-0000-0000-00000C000000}">
    <filterColumn colId="3">
      <filters>
        <filter val="126,494.55"/>
      </filters>
    </filterColumn>
  </autoFilter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15061-6CBC-47AB-A3B6-E85284415C89}">
  <dimension ref="A2:I607"/>
  <sheetViews>
    <sheetView workbookViewId="0">
      <selection activeCell="F1" sqref="F1:F16384"/>
    </sheetView>
  </sheetViews>
  <sheetFormatPr defaultRowHeight="14.4"/>
  <cols>
    <col min="2" max="2" width="27" bestFit="1" customWidth="1"/>
    <col min="3" max="3" width="90.33203125" customWidth="1"/>
    <col min="4" max="4" width="14.33203125" style="562" bestFit="1" customWidth="1"/>
    <col min="5" max="5" width="14.33203125" bestFit="1" customWidth="1"/>
    <col min="6" max="6" width="13.5546875" customWidth="1"/>
    <col min="7" max="7" width="17.109375" customWidth="1"/>
  </cols>
  <sheetData>
    <row r="2" spans="1:9">
      <c r="D2" s="562" t="e">
        <f>SUM(D4:D607)</f>
        <v>#VALUE!</v>
      </c>
      <c r="E2" s="562" t="e">
        <f>SUM(E4:E607)</f>
        <v>#VALUE!</v>
      </c>
      <c r="F2" s="276"/>
    </row>
    <row r="3" spans="1:9">
      <c r="A3" s="302" t="s">
        <v>2375</v>
      </c>
      <c r="B3" s="302" t="s">
        <v>155</v>
      </c>
      <c r="C3" s="302" t="s">
        <v>156</v>
      </c>
      <c r="D3" s="282" t="s">
        <v>2377</v>
      </c>
      <c r="E3" s="562"/>
      <c r="F3" s="276"/>
      <c r="I3">
        <v>1</v>
      </c>
    </row>
    <row r="4" spans="1:9">
      <c r="A4" t="s">
        <v>2054</v>
      </c>
      <c r="B4" t="str">
        <f>VLOOKUP(A4,'[1]MAIN-101'!$B$13:$M$787,4,FALSE)</f>
        <v>Land Bank of the Philippines</v>
      </c>
      <c r="C4" t="str">
        <f>VLOOKUP(A4,'[1]MAIN-101'!$B$13:$M$787,12,FALSE)</f>
        <v>Payment for RATA for January 2021</v>
      </c>
      <c r="D4" s="562" t="e">
        <f>SUMIFS('[1]MAIN-101'!$Z$1:$Z$3000,'[1]MAIN-101'!$X$1:$X$3000,A4)</f>
        <v>#VALUE!</v>
      </c>
      <c r="E4" s="562" t="e">
        <f>SUMIFS('Recon of ORS and DV'!D:D,'Recon of ORS and DV'!B:B,'DV List'!A4)</f>
        <v>#VALUE!</v>
      </c>
      <c r="F4" s="276" t="e">
        <f>D4-E4</f>
        <v>#VALUE!</v>
      </c>
    </row>
    <row r="5" spans="1:9">
      <c r="A5" t="s">
        <v>2055</v>
      </c>
      <c r="B5" t="str">
        <f>VLOOKUP(A5,'[1]MAIN-101'!$B$13:$M$787,4,FALSE)</f>
        <v>Edwin O. Banquerigo</v>
      </c>
      <c r="C5" t="str">
        <f>VLOOKUP(A5,'[1]MAIN-101'!$B$13:$M$787,12,FALSE)</f>
        <v>Payment for extradordinary expenses</v>
      </c>
      <c r="D5" s="562" t="e">
        <f>SUMIFS('[1]MAIN-101'!$Z$1:$Z$3000,'[1]MAIN-101'!$X$1:$X$3000,A5)</f>
        <v>#VALUE!</v>
      </c>
      <c r="E5" s="562" t="e">
        <f>SUMIFS('Recon of ORS and DV'!D:D,'Recon of ORS and DV'!B:B,'DV List'!A5)</f>
        <v>#VALUE!</v>
      </c>
      <c r="F5" s="276" t="e">
        <f t="shared" ref="F5:F68" si="0">D5-E5</f>
        <v>#VALUE!</v>
      </c>
    </row>
    <row r="6" spans="1:9">
      <c r="A6" t="s">
        <v>2378</v>
      </c>
      <c r="B6" t="str">
        <f>VLOOKUP(A6,'[1]MAIN-101'!$B$13:$M$787,4,FALSE)</f>
        <v>DREAMCO</v>
      </c>
      <c r="C6" t="str">
        <f>VLOOKUP(A6,'[1]MAIN-101'!$B$13:$M$787,12,FALSE)</f>
        <v>Remittance coop deductions from RATA for January 2021</v>
      </c>
      <c r="D6" s="562" t="e">
        <f>SUMIFS('[1]MAIN-101'!$Z$1:$Z$3000,'[1]MAIN-101'!$X$1:$X$3000,A6)</f>
        <v>#VALUE!</v>
      </c>
      <c r="E6" s="562">
        <f>SUMIFS('Recon of ORS and DV'!D:D,'Recon of ORS and DV'!B:B,'DV List'!A6)</f>
        <v>0</v>
      </c>
      <c r="F6" s="276" t="e">
        <f t="shared" si="0"/>
        <v>#VALUE!</v>
      </c>
      <c r="G6" t="s">
        <v>2662</v>
      </c>
    </row>
    <row r="7" spans="1:9">
      <c r="A7" t="s">
        <v>2379</v>
      </c>
      <c r="B7" t="str">
        <f>VLOOKUP(A7,'[1]MAIN-101'!$B$13:$M$787,4,FALSE)</f>
        <v>DREAMCO</v>
      </c>
      <c r="C7" t="str">
        <f>VLOOKUP(A7,'[1]MAIN-101'!$B$13:$M$787,12,FALSE)</f>
        <v>Remittance, JO coop deductions forr the period December 16-31, 2020</v>
      </c>
      <c r="D7" s="562" t="e">
        <f>SUMIFS('[1]MAIN-101'!$Z$1:$Z$3000,'[1]MAIN-101'!$X$1:$X$3000,A7)</f>
        <v>#VALUE!</v>
      </c>
      <c r="E7" s="562">
        <f>SUMIFS('Recon of ORS and DV'!D:D,'Recon of ORS and DV'!B:B,'DV List'!A7)</f>
        <v>0</v>
      </c>
      <c r="F7" s="276" t="e">
        <f t="shared" si="0"/>
        <v>#VALUE!</v>
      </c>
      <c r="G7" t="s">
        <v>2662</v>
      </c>
    </row>
    <row r="8" spans="1:9">
      <c r="A8" t="s">
        <v>2056</v>
      </c>
      <c r="B8" t="str">
        <f>VLOOKUP(A8,'[1]MAIN-101'!$B$13:$M$787,4,FALSE)</f>
        <v>LBP F/O DTI-RO</v>
      </c>
      <c r="C8" t="str">
        <f>VLOOKUP(A8,'[1]MAIN-101'!$B$13:$M$787,12,FALSE)</f>
        <v>Payment for the salaries and allowances of regular employees for the period of January 1-15, 2021</v>
      </c>
      <c r="D8" s="562" t="e">
        <f>SUMIFS('[1]MAIN-101'!$Z$1:$Z$3000,'[1]MAIN-101'!$X$1:$X$3000,A8)</f>
        <v>#VALUE!</v>
      </c>
      <c r="E8" s="562" t="e">
        <f>SUMIFS('Recon of ORS and DV'!D:D,'Recon of ORS and DV'!B:B,'DV List'!A8)</f>
        <v>#VALUE!</v>
      </c>
      <c r="F8" s="276" t="e">
        <f t="shared" si="0"/>
        <v>#VALUE!</v>
      </c>
    </row>
    <row r="9" spans="1:9">
      <c r="A9" t="s">
        <v>2380</v>
      </c>
      <c r="B9" t="str">
        <f>VLOOKUP(A9,'[1]MAIN-101'!$B$13:$M$787,4,FALSE)</f>
        <v>DREAMCO- MPC</v>
      </c>
      <c r="C9" t="str">
        <f>VLOOKUP(A9,'[1]MAIN-101'!$B$13:$M$787,12,FALSE)</f>
        <v>Remittance coop deductions for the month of Januray 2021</v>
      </c>
      <c r="D9" s="562" t="e">
        <f>SUMIFS('[1]MAIN-101'!$Z$1:$Z$3000,'[1]MAIN-101'!$X$1:$X$3000,A9)</f>
        <v>#VALUE!</v>
      </c>
      <c r="E9" s="562">
        <f>SUMIFS('Recon of ORS and DV'!D:D,'Recon of ORS and DV'!B:B,'DV List'!A9)</f>
        <v>0</v>
      </c>
      <c r="F9" s="276" t="e">
        <f t="shared" si="0"/>
        <v>#VALUE!</v>
      </c>
      <c r="G9" t="s">
        <v>2662</v>
      </c>
    </row>
    <row r="10" spans="1:9">
      <c r="A10" t="s">
        <v>2057</v>
      </c>
      <c r="B10" t="str">
        <f>VLOOKUP(A10,'[1]MAIN-101'!$B$13:$M$787,4,FALSE)</f>
        <v>LBP F/O DTI-SDN</v>
      </c>
      <c r="C10" t="str">
        <f>VLOOKUP(A10,'[1]MAIN-101'!$B$13:$M$787,12,FALSE)</f>
        <v>Payment for the salaries and allowances of regular employees for the period of January 1-15, 2021</v>
      </c>
      <c r="D10" s="562" t="e">
        <f>SUMIFS('[1]MAIN-101'!$Z$1:$Z$3000,'[1]MAIN-101'!$X$1:$X$3000,A10)</f>
        <v>#VALUE!</v>
      </c>
      <c r="E10" s="562" t="e">
        <f>SUMIFS('Recon of ORS and DV'!D:D,'Recon of ORS and DV'!B:B,'DV List'!A10)</f>
        <v>#VALUE!</v>
      </c>
      <c r="F10" s="276" t="e">
        <f t="shared" si="0"/>
        <v>#VALUE!</v>
      </c>
    </row>
    <row r="11" spans="1:9">
      <c r="A11" t="s">
        <v>2060</v>
      </c>
      <c r="B11" t="str">
        <f>VLOOKUP(A11,'[1]MAIN-101'!$B$13:$M$787,4,FALSE)</f>
        <v>Arleen P. Pahamtang</v>
      </c>
      <c r="C11" t="str">
        <f>VLOOKUP(A11,'[1]MAIN-101'!$B$13:$M$787,12,FALSE)</f>
        <v>Set up the Petty Cash Fund, 2021</v>
      </c>
      <c r="D11" s="562" t="e">
        <f>SUMIFS('[1]MAIN-101'!$Z$1:$Z$3000,'[1]MAIN-101'!$X$1:$X$3000,A11)</f>
        <v>#VALUE!</v>
      </c>
      <c r="E11" s="562" t="e">
        <f>SUMIFS('Recon of ORS and DV'!D:D,'Recon of ORS and DV'!B:B,'DV List'!A11)</f>
        <v>#VALUE!</v>
      </c>
      <c r="F11" s="276" t="e">
        <f t="shared" si="0"/>
        <v>#VALUE!</v>
      </c>
    </row>
    <row r="12" spans="1:9">
      <c r="A12" t="s">
        <v>2059</v>
      </c>
      <c r="B12" t="str">
        <f>VLOOKUP(A12,'[1]MAIN-101'!$B$13:$M$787,4,FALSE)</f>
        <v>LBP F/O DTI-SDS</v>
      </c>
      <c r="C12" t="str">
        <f>VLOOKUP(A12,'[1]MAIN-101'!$B$13:$M$787,12,FALSE)</f>
        <v>Payment for the salaries and allowances of regular employees for the period of January 1-15, 2021</v>
      </c>
      <c r="D12" s="562" t="e">
        <f>SUMIFS('[1]MAIN-101'!$Z$1:$Z$3000,'[1]MAIN-101'!$X$1:$X$3000,A12)</f>
        <v>#VALUE!</v>
      </c>
      <c r="E12" s="562" t="e">
        <f>SUMIFS('Recon of ORS and DV'!D:D,'Recon of ORS and DV'!B:B,'DV List'!A12)</f>
        <v>#VALUE!</v>
      </c>
      <c r="F12" s="276" t="e">
        <f t="shared" si="0"/>
        <v>#VALUE!</v>
      </c>
    </row>
    <row r="13" spans="1:9">
      <c r="A13" t="s">
        <v>2058</v>
      </c>
      <c r="B13" t="str">
        <f>VLOOKUP(A13,'[1]MAIN-101'!$B$13:$M$787,4,FALSE)</f>
        <v>LBP F/O DTI-PDI</v>
      </c>
      <c r="C13" t="str">
        <f>VLOOKUP(A13,'[1]MAIN-101'!$B$13:$M$787,12,FALSE)</f>
        <v>Payment for the salaries and allowances of regular employees for the period of January 1-15, 2021</v>
      </c>
      <c r="D13" s="562" t="e">
        <f>SUMIFS('[1]MAIN-101'!$Z$1:$Z$3000,'[1]MAIN-101'!$X$1:$X$3000,A13)</f>
        <v>#VALUE!</v>
      </c>
      <c r="E13" s="562" t="e">
        <f>SUMIFS('Recon of ORS and DV'!D:D,'Recon of ORS and DV'!B:B,'DV List'!A13)</f>
        <v>#VALUE!</v>
      </c>
      <c r="F13" s="276" t="e">
        <f t="shared" si="0"/>
        <v>#VALUE!</v>
      </c>
    </row>
    <row r="14" spans="1:9">
      <c r="A14" t="s">
        <v>2381</v>
      </c>
      <c r="B14" t="str">
        <f>VLOOKUP(A14,'[1]MAIN-101'!$B$13:$M$787,4,FALSE)</f>
        <v>DREAMCO</v>
      </c>
      <c r="C14" t="str">
        <f>VLOOKUP(A14,'[1]MAIN-101'!$B$13:$M$787,12,FALSE)</f>
        <v>Remittance of Coop deductions from RATA for the month of October &amp; December 2020</v>
      </c>
      <c r="D14" s="562" t="e">
        <f>SUMIFS('[1]MAIN-101'!$Z$1:$Z$3000,'[1]MAIN-101'!$X$1:$X$3000,A14)</f>
        <v>#VALUE!</v>
      </c>
      <c r="E14" s="562">
        <f>SUMIFS('Recon of ORS and DV'!D:D,'Recon of ORS and DV'!B:B,'DV List'!A14)</f>
        <v>0</v>
      </c>
      <c r="F14" s="276" t="e">
        <f t="shared" si="0"/>
        <v>#VALUE!</v>
      </c>
      <c r="G14" t="s">
        <v>2662</v>
      </c>
    </row>
    <row r="15" spans="1:9">
      <c r="A15" t="s">
        <v>2061</v>
      </c>
      <c r="B15" t="str">
        <f>VLOOKUP(A15,'[1]MAIN-101'!$B$13:$M$787,4,FALSE)</f>
        <v>LBP F/O DTI-PDI</v>
      </c>
      <c r="C15" t="str">
        <f>VLOOKUP(A15,'[1]MAIN-101'!$B$13:$M$787,12,FALSE)</f>
        <v>Payment for the salaries and allowances of regular employees for the period of January 1-15, 2021</v>
      </c>
      <c r="D15" s="562" t="e">
        <f>SUMIFS('[1]MAIN-101'!$Z$1:$Z$3000,'[1]MAIN-101'!$X$1:$X$3000,A15)</f>
        <v>#VALUE!</v>
      </c>
      <c r="E15" s="562" t="e">
        <f>SUMIFS('Recon of ORS and DV'!D:D,'Recon of ORS and DV'!B:B,'DV List'!A15)</f>
        <v>#VALUE!</v>
      </c>
      <c r="F15" s="276" t="e">
        <f t="shared" si="0"/>
        <v>#VALUE!</v>
      </c>
    </row>
    <row r="16" spans="1:9">
      <c r="A16" t="s">
        <v>2382</v>
      </c>
      <c r="B16" t="str">
        <f>VLOOKUP(A16,'[1]MAIN-101'!$B$13:$M$787,4,FALSE)</f>
        <v>Hi-5 Signages Fabricator</v>
      </c>
      <c r="C16" t="str">
        <f>VLOOKUP(A16,'[1]MAIN-101'!$B$13:$M$787,12,FALSE)</f>
        <v>DTI- Caraga Motor Vehicle Marketing and Trapaulin Printing(ISOand Deaf awareness Week Campaign)</v>
      </c>
      <c r="D16" s="562" t="e">
        <f>SUMIFS('[1]MAIN-101'!$Z$1:$Z$3000,'[1]MAIN-101'!$X$1:$X$3000,A16)</f>
        <v>#VALUE!</v>
      </c>
      <c r="E16" s="562">
        <f>SUMIFS('Recon of ORS and DV'!D:D,'Recon of ORS and DV'!B:B,'DV List'!A16)</f>
        <v>0</v>
      </c>
      <c r="F16" s="276" t="e">
        <f t="shared" si="0"/>
        <v>#VALUE!</v>
      </c>
      <c r="G16" t="s">
        <v>392</v>
      </c>
      <c r="H16" t="str">
        <f>VLOOKUP(A16,'[1]MAIN-101'!$B$8:$D$783,2,FALSE)</f>
        <v>12</v>
      </c>
      <c r="I16" t="str">
        <f>VLOOKUP(A16,'[1]MAIN-101'!$B$8:$D$783,3,FALSE)</f>
        <v>1845</v>
      </c>
    </row>
    <row r="17" spans="1:9">
      <c r="A17" t="s">
        <v>2383</v>
      </c>
      <c r="B17" t="str">
        <f>VLOOKUP(A17,'[1]MAIN-101'!$B$13:$M$787,4,FALSE)</f>
        <v>Fil Products Service TV Butuan, Inc</v>
      </c>
      <c r="C17" t="str">
        <f>VLOOKUP(A17,'[1]MAIN-101'!$B$13:$M$787,12,FALSE)</f>
        <v>Payment for subscription expense- cable TV subscription for the period November 28- December 27, 2020</v>
      </c>
      <c r="D17" s="562" t="e">
        <f>SUMIFS('[1]MAIN-101'!$Z$1:$Z$3000,'[1]MAIN-101'!$X$1:$X$3000,A17)</f>
        <v>#VALUE!</v>
      </c>
      <c r="E17" s="562">
        <f>SUMIFS('Recon of ORS and DV'!D:D,'Recon of ORS and DV'!B:B,'DV List'!A17)</f>
        <v>0</v>
      </c>
      <c r="F17" s="276" t="e">
        <f t="shared" si="0"/>
        <v>#VALUE!</v>
      </c>
      <c r="G17" t="s">
        <v>392</v>
      </c>
      <c r="H17" t="str">
        <f>VLOOKUP(A17,'[1]MAIN-101'!$B$8:$D$783,2,FALSE)</f>
        <v>12</v>
      </c>
      <c r="I17" t="str">
        <f>VLOOKUP(A17,'[1]MAIN-101'!$B$8:$D$783,3,FALSE)</f>
        <v>1985</v>
      </c>
    </row>
    <row r="18" spans="1:9">
      <c r="A18" t="s">
        <v>2384</v>
      </c>
      <c r="B18" t="str">
        <f>VLOOKUP(A18,'[1]MAIN-101'!$B$13:$M$787,4,FALSE)</f>
        <v>Lime &amp; Zest Kitchen</v>
      </c>
      <c r="C18" t="str">
        <f>VLOOKUP(A18,'[1]MAIN-101'!$B$13:$M$787,12,FALSE)</f>
        <v>Payment for the provision of snacks and meal for the Salamat Mabuhay Awardee</v>
      </c>
      <c r="D18" s="562" t="e">
        <f>SUMIFS('[1]MAIN-101'!$Z$1:$Z$3000,'[1]MAIN-101'!$X$1:$X$3000,A18)</f>
        <v>#VALUE!</v>
      </c>
      <c r="E18" s="562">
        <f>SUMIFS('Recon of ORS and DV'!D:D,'Recon of ORS and DV'!B:B,'DV List'!A18)</f>
        <v>0</v>
      </c>
      <c r="F18" s="276" t="e">
        <f t="shared" si="0"/>
        <v>#VALUE!</v>
      </c>
      <c r="G18" t="s">
        <v>392</v>
      </c>
      <c r="H18" t="str">
        <f>VLOOKUP(A18,'[1]MAIN-101'!$B$8:$D$783,2,FALSE)</f>
        <v>12</v>
      </c>
      <c r="I18" t="str">
        <f>VLOOKUP(A18,'[1]MAIN-101'!$B$8:$D$783,3,FALSE)</f>
        <v>1921</v>
      </c>
    </row>
    <row r="19" spans="1:9">
      <c r="A19" t="s">
        <v>2385</v>
      </c>
      <c r="B19" t="str">
        <f>VLOOKUP(A19,'[1]MAIN-101'!$B$13:$M$787,4,FALSE)</f>
        <v>Bureau of Treasury</v>
      </c>
      <c r="C19" t="str">
        <f>VLOOKUP(A19,'[1]MAIN-101'!$B$13:$M$787,12,FALSE)</f>
        <v>Reversion of tax withheld on 2020 salaries of RAPID Growth Project Staff</v>
      </c>
      <c r="D19" s="562" t="e">
        <f>SUMIFS('[1]MAIN-101'!$Z$1:$Z$3000,'[1]MAIN-101'!$X$1:$X$3000,A19)</f>
        <v>#VALUE!</v>
      </c>
      <c r="E19" s="562">
        <f>SUMIFS('Recon of ORS and DV'!D:D,'Recon of ORS and DV'!B:B,'DV List'!A19)</f>
        <v>0</v>
      </c>
      <c r="F19" s="276" t="e">
        <f t="shared" si="0"/>
        <v>#VALUE!</v>
      </c>
      <c r="G19" t="s">
        <v>392</v>
      </c>
      <c r="H19" t="str">
        <f>VLOOKUP(A19,'[1]MAIN-101'!$B$8:$D$783,2,FALSE)</f>
        <v>12</v>
      </c>
      <c r="I19">
        <f>VLOOKUP(A19,'[1]MAIN-101'!$B$8:$D$783,3,FALSE)</f>
        <v>0</v>
      </c>
    </row>
    <row r="20" spans="1:9">
      <c r="A20" t="s">
        <v>2386</v>
      </c>
      <c r="B20" t="str">
        <f>VLOOKUP(A20,'[1]MAIN-101'!$B$13:$M$787,4,FALSE)</f>
        <v>Globe Telecom, Inc</v>
      </c>
      <c r="C20" t="str">
        <f>VLOOKUP(A20,'[1]MAIN-101'!$B$13:$M$787,12,FALSE)</f>
        <v>Payment of Globe Postpaid Plan Subscription for the month of December 16-January 15, 2021</v>
      </c>
      <c r="D20" s="562" t="e">
        <f>SUMIFS('[1]MAIN-101'!$Z$1:$Z$3000,'[1]MAIN-101'!$X$1:$X$3000,A20)</f>
        <v>#VALUE!</v>
      </c>
      <c r="E20" s="562">
        <f>SUMIFS('Recon of ORS and DV'!D:D,'Recon of ORS and DV'!B:B,'DV List'!A20)</f>
        <v>0</v>
      </c>
      <c r="F20" s="276" t="e">
        <f t="shared" si="0"/>
        <v>#VALUE!</v>
      </c>
      <c r="G20" t="s">
        <v>392</v>
      </c>
      <c r="H20" t="str">
        <f>VLOOKUP(A20,'[1]MAIN-101'!$B$8:$D$783,2,FALSE)</f>
        <v>12</v>
      </c>
      <c r="I20" t="str">
        <f>VLOOKUP(A20,'[1]MAIN-101'!$B$8:$D$783,3,FALSE)</f>
        <v>1991</v>
      </c>
    </row>
    <row r="21" spans="1:9">
      <c r="A21" t="s">
        <v>2387</v>
      </c>
      <c r="B21" t="str">
        <f>VLOOKUP(A21,'[1]MAIN-101'!$B$13:$M$787,4,FALSE)</f>
        <v>Globe Telecom, Inc</v>
      </c>
      <c r="C21" t="str">
        <f>VLOOKUP(A21,'[1]MAIN-101'!$B$13:$M$787,12,FALSE)</f>
        <v>Payment for postpaid plan subscription with cell no. 09177036798 acct. 49017022 for the period October- November 2020</v>
      </c>
      <c r="D21" s="562" t="e">
        <f>SUMIFS('[1]MAIN-101'!$Z$1:$Z$3000,'[1]MAIN-101'!$X$1:$X$3000,A21)</f>
        <v>#VALUE!</v>
      </c>
      <c r="E21" s="562">
        <f>SUMIFS('Recon of ORS and DV'!D:D,'Recon of ORS and DV'!B:B,'DV List'!A21)</f>
        <v>0</v>
      </c>
      <c r="F21" s="276" t="e">
        <f t="shared" si="0"/>
        <v>#VALUE!</v>
      </c>
      <c r="G21" t="s">
        <v>392</v>
      </c>
      <c r="H21" t="str">
        <f>VLOOKUP(A21,'[1]MAIN-101'!$B$8:$D$783,2,FALSE)</f>
        <v>12</v>
      </c>
      <c r="I21" t="str">
        <f>VLOOKUP(A21,'[1]MAIN-101'!$B$8:$D$783,3,FALSE)</f>
        <v>1976</v>
      </c>
    </row>
    <row r="22" spans="1:9">
      <c r="A22" t="s">
        <v>2388</v>
      </c>
      <c r="B22" t="str">
        <f>VLOOKUP(A22,'[1]MAIN-101'!$B$13:$M$787,4,FALSE)</f>
        <v>Atoy Paint Center</v>
      </c>
      <c r="C22" t="str">
        <f>VLOOKUP(A22,'[1]MAIN-101'!$B$13:$M$787,12,FALSE)</f>
        <v>Payment of paint materials for repainting of IDD office shelves and cabinets.</v>
      </c>
      <c r="D22" s="562" t="e">
        <f>SUMIFS('[1]MAIN-101'!$Z$1:$Z$3000,'[1]MAIN-101'!$X$1:$X$3000,A22)</f>
        <v>#VALUE!</v>
      </c>
      <c r="E22" s="562">
        <f>SUMIFS('Recon of ORS and DV'!D:D,'Recon of ORS and DV'!B:B,'DV List'!A22)</f>
        <v>0</v>
      </c>
      <c r="F22" s="276" t="e">
        <f t="shared" si="0"/>
        <v>#VALUE!</v>
      </c>
      <c r="G22" t="s">
        <v>392</v>
      </c>
      <c r="H22" t="str">
        <f>VLOOKUP(A22,'[1]MAIN-101'!$B$8:$D$783,2,FALSE)</f>
        <v>12</v>
      </c>
      <c r="I22" t="str">
        <f>VLOOKUP(A22,'[1]MAIN-101'!$B$8:$D$783,3,FALSE)</f>
        <v>1984</v>
      </c>
    </row>
    <row r="23" spans="1:9">
      <c r="A23" t="s">
        <v>2389</v>
      </c>
      <c r="B23" t="str">
        <f>VLOOKUP(A23,'[1]MAIN-101'!$B$13:$M$787,4,FALSE)</f>
        <v>Compañero Commercial</v>
      </c>
      <c r="C23" t="str">
        <f>VLOOKUP(A23,'[1]MAIN-101'!$B$13:$M$787,12,FALSE)</f>
        <v>Payment of  IDD office supplies- 4th quarter 2020</v>
      </c>
      <c r="D23" s="562" t="e">
        <f>SUMIFS('[1]MAIN-101'!$Z$1:$Z$3000,'[1]MAIN-101'!$X$1:$X$3000,A23)</f>
        <v>#VALUE!</v>
      </c>
      <c r="E23" s="562">
        <f>SUMIFS('Recon of ORS and DV'!D:D,'Recon of ORS and DV'!B:B,'DV List'!A23)</f>
        <v>0</v>
      </c>
      <c r="F23" s="276" t="e">
        <f t="shared" si="0"/>
        <v>#VALUE!</v>
      </c>
      <c r="G23" t="s">
        <v>392</v>
      </c>
      <c r="H23" t="str">
        <f>VLOOKUP(A23,'[1]MAIN-101'!$B$8:$D$783,2,FALSE)</f>
        <v>12</v>
      </c>
      <c r="I23" t="str">
        <f>VLOOKUP(A23,'[1]MAIN-101'!$B$8:$D$783,3,FALSE)</f>
        <v>1988</v>
      </c>
    </row>
    <row r="24" spans="1:9">
      <c r="A24" t="s">
        <v>2390</v>
      </c>
      <c r="B24" t="str">
        <f>VLOOKUP(A24,'[1]MAIN-101'!$B$13:$M$787,4,FALSE)</f>
        <v>Kimson Commercial</v>
      </c>
      <c r="C24" t="str">
        <f>VLOOKUP(A24,'[1]MAIN-101'!$B$13:$M$787,12,FALSE)</f>
        <v>Payment of  IDD office supplies- 4th quarter 2020</v>
      </c>
      <c r="D24" s="562" t="e">
        <f>SUMIFS('[1]MAIN-101'!$Z$1:$Z$3000,'[1]MAIN-101'!$X$1:$X$3000,A24)</f>
        <v>#VALUE!</v>
      </c>
      <c r="E24" s="562">
        <f>SUMIFS('Recon of ORS and DV'!D:D,'Recon of ORS and DV'!B:B,'DV List'!A24)</f>
        <v>0</v>
      </c>
      <c r="F24" s="276" t="e">
        <f t="shared" si="0"/>
        <v>#VALUE!</v>
      </c>
      <c r="G24" t="s">
        <v>392</v>
      </c>
      <c r="H24" t="str">
        <f>VLOOKUP(A24,'[1]MAIN-101'!$B$8:$D$783,2,FALSE)</f>
        <v>12</v>
      </c>
      <c r="I24" t="str">
        <f>VLOOKUP(A24,'[1]MAIN-101'!$B$8:$D$783,3,FALSE)</f>
        <v>1989</v>
      </c>
    </row>
    <row r="25" spans="1:9">
      <c r="A25" t="s">
        <v>2391</v>
      </c>
      <c r="B25" t="str">
        <f>VLOOKUP(A25,'[1]MAIN-101'!$B$13:$M$787,4,FALSE)</f>
        <v>Lime &amp; Zest Kitchen</v>
      </c>
      <c r="C25" t="str">
        <f>VLOOKUP(A25,'[1]MAIN-101'!$B$13:$M$787,12,FALSE)</f>
        <v>Payment for the meals during the SSF RTWG Deliberation on November 26, 2020</v>
      </c>
      <c r="D25" s="562" t="e">
        <f>SUMIFS('[1]MAIN-101'!$Z$1:$Z$3000,'[1]MAIN-101'!$X$1:$X$3000,A25)</f>
        <v>#VALUE!</v>
      </c>
      <c r="E25" s="562">
        <f>SUMIFS('Recon of ORS and DV'!D:D,'Recon of ORS and DV'!B:B,'DV List'!A25)</f>
        <v>0</v>
      </c>
      <c r="F25" s="276" t="e">
        <f t="shared" si="0"/>
        <v>#VALUE!</v>
      </c>
      <c r="G25" t="s">
        <v>392</v>
      </c>
      <c r="H25" t="str">
        <f>VLOOKUP(A25,'[1]MAIN-101'!$B$8:$D$783,2,FALSE)</f>
        <v>12</v>
      </c>
      <c r="I25" t="str">
        <f>VLOOKUP(A25,'[1]MAIN-101'!$B$8:$D$783,3,FALSE)</f>
        <v>1809</v>
      </c>
    </row>
    <row r="26" spans="1:9">
      <c r="A26" t="s">
        <v>2392</v>
      </c>
      <c r="B26" t="str">
        <f>VLOOKUP(A26,'[1]MAIN-101'!$B$13:$M$787,4,FALSE)</f>
        <v>True Brew Gourmet Coffee Shop</v>
      </c>
      <c r="C26" t="str">
        <f>VLOOKUP(A26,'[1]MAIN-101'!$B$13:$M$787,12,FALSE)</f>
        <v>Payment for the provision of meals during level 1 planning on December 10, 2020</v>
      </c>
      <c r="D26" s="562" t="e">
        <f>SUMIFS('[1]MAIN-101'!$Z$1:$Z$3000,'[1]MAIN-101'!$X$1:$X$3000,A26)</f>
        <v>#VALUE!</v>
      </c>
      <c r="E26" s="562">
        <f>SUMIFS('Recon of ORS and DV'!D:D,'Recon of ORS and DV'!B:B,'DV List'!A26)</f>
        <v>0</v>
      </c>
      <c r="F26" s="276" t="e">
        <f t="shared" si="0"/>
        <v>#VALUE!</v>
      </c>
    </row>
    <row r="27" spans="1:9">
      <c r="A27" t="s">
        <v>2393</v>
      </c>
      <c r="B27" t="str">
        <f>VLOOKUP(A27,'[1]MAIN-101'!$B$13:$M$787,4,FALSE)</f>
        <v>Lime &amp; Zest Kitchen</v>
      </c>
      <c r="C27" t="str">
        <f>VLOOKUP(A27,'[1]MAIN-101'!$B$13:$M$787,12,FALSE)</f>
        <v>Payment for the provision of meals during level 0 planning on December 04, 2020</v>
      </c>
      <c r="D27" s="562" t="e">
        <f>SUMIFS('[1]MAIN-101'!$Z$1:$Z$3000,'[1]MAIN-101'!$X$1:$X$3000,A27)</f>
        <v>#VALUE!</v>
      </c>
      <c r="E27" s="562">
        <f>SUMIFS('Recon of ORS and DV'!D:D,'Recon of ORS and DV'!B:B,'DV List'!A27)</f>
        <v>0</v>
      </c>
      <c r="F27" s="276" t="e">
        <f t="shared" si="0"/>
        <v>#VALUE!</v>
      </c>
      <c r="G27" t="s">
        <v>392</v>
      </c>
      <c r="H27" t="str">
        <f>VLOOKUP(A27,'[1]MAIN-101'!$B$8:$D$783,2,FALSE)</f>
        <v>12</v>
      </c>
      <c r="I27" t="str">
        <f>VLOOKUP(A27,'[1]MAIN-101'!$B$8:$D$783,3,FALSE)</f>
        <v>1939</v>
      </c>
    </row>
    <row r="28" spans="1:9">
      <c r="A28" t="s">
        <v>2394</v>
      </c>
      <c r="B28" t="str">
        <f>VLOOKUP(A28,'[1]MAIN-101'!$B$13:$M$787,4,FALSE)</f>
        <v>LG Supplies and General Merchandise</v>
      </c>
      <c r="C28" t="str">
        <f>VLOOKUP(A28,'[1]MAIN-101'!$B$13:$M$787,12,FALSE)</f>
        <v>Payment for IT Supplies for ORD use.</v>
      </c>
      <c r="D28" s="562" t="e">
        <f>SUMIFS('[1]MAIN-101'!$Z$1:$Z$3000,'[1]MAIN-101'!$X$1:$X$3000,A28)</f>
        <v>#VALUE!</v>
      </c>
      <c r="E28" s="562">
        <f>SUMIFS('Recon of ORS and DV'!D:D,'Recon of ORS and DV'!B:B,'DV List'!A28)</f>
        <v>0</v>
      </c>
      <c r="F28" s="276" t="e">
        <f t="shared" si="0"/>
        <v>#VALUE!</v>
      </c>
      <c r="G28" t="s">
        <v>392</v>
      </c>
      <c r="H28" t="str">
        <f>VLOOKUP(A28,'[1]MAIN-101'!$B$8:$D$783,2,FALSE)</f>
        <v>12</v>
      </c>
      <c r="I28" t="str">
        <f>VLOOKUP(A28,'[1]MAIN-101'!$B$8:$D$783,3,FALSE)</f>
        <v>1964</v>
      </c>
    </row>
    <row r="29" spans="1:9">
      <c r="A29" t="s">
        <v>2064</v>
      </c>
      <c r="B29" t="str">
        <f>VLOOKUP(A29,'[1]MAIN-101'!$B$13:$M$787,4,FALSE)</f>
        <v>Bureau of Treasury</v>
      </c>
      <c r="C29" t="str">
        <f>VLOOKUP(A29,'[1]MAIN-101'!$B$13:$M$787,12,FALSE)</f>
        <v>Bond Premium for the renewal of Application for bond of accountable officers and employees- Marry Ann L. Pascual</v>
      </c>
      <c r="D29" s="562" t="e">
        <f>SUMIFS('[1]MAIN-101'!$Z$1:$Z$3000,'[1]MAIN-101'!$X$1:$X$3000,A29)</f>
        <v>#VALUE!</v>
      </c>
      <c r="E29" s="562" t="e">
        <f>SUMIFS('Recon of ORS and DV'!D:D,'Recon of ORS and DV'!B:B,'DV List'!A29)</f>
        <v>#VALUE!</v>
      </c>
      <c r="F29" s="276" t="e">
        <f t="shared" si="0"/>
        <v>#VALUE!</v>
      </c>
    </row>
    <row r="30" spans="1:9">
      <c r="A30" t="s">
        <v>2065</v>
      </c>
      <c r="B30" t="str">
        <f>VLOOKUP(A30,'[1]MAIN-101'!$B$13:$M$787,4,FALSE)</f>
        <v>LBPF/O DTI-AD N</v>
      </c>
      <c r="C30" t="str">
        <f>VLOOKUP(A30,'[1]MAIN-101'!$B$13:$M$787,12,FALSE)</f>
        <v>Payment for the salaries and allowances of regular employees for the period of January 1-15, 2021</v>
      </c>
      <c r="D30" s="562" t="e">
        <f>SUMIFS('[1]MAIN-101'!$Z$1:$Z$3000,'[1]MAIN-101'!$X$1:$X$3000,A30)</f>
        <v>#VALUE!</v>
      </c>
      <c r="E30" s="562" t="e">
        <f>SUMIFS('Recon of ORS and DV'!D:D,'Recon of ORS and DV'!B:B,'DV List'!A30)</f>
        <v>#VALUE!</v>
      </c>
      <c r="F30" s="276" t="e">
        <f t="shared" si="0"/>
        <v>#VALUE!</v>
      </c>
    </row>
    <row r="31" spans="1:9">
      <c r="A31" t="s">
        <v>2066</v>
      </c>
      <c r="B31" t="str">
        <f>VLOOKUP(A31,'[1]MAIN-101'!$B$13:$M$787,4,FALSE)</f>
        <v>Gay A. Tidalgo</v>
      </c>
      <c r="C31" t="str">
        <f>VLOOKUP(A31,'[1]MAIN-101'!$B$13:$M$787,12,FALSE)</f>
        <v>To reimburse the payment for globe postpaid plan subscription for the month of November 16- December 15, 2020 for the acct # 65087463</v>
      </c>
      <c r="D31" s="562" t="e">
        <f>SUMIFS('[1]MAIN-101'!$Z$1:$Z$3000,'[1]MAIN-101'!$X$1:$X$3000,A31)</f>
        <v>#VALUE!</v>
      </c>
      <c r="E31" s="562" t="e">
        <f>SUMIFS('Recon of ORS and DV'!D:D,'Recon of ORS and DV'!B:B,'DV List'!A31)</f>
        <v>#VALUE!</v>
      </c>
      <c r="F31" s="276" t="e">
        <f t="shared" si="0"/>
        <v>#VALUE!</v>
      </c>
    </row>
    <row r="32" spans="1:9">
      <c r="A32" t="s">
        <v>2067</v>
      </c>
      <c r="B32" t="str">
        <f>VLOOKUP(A32,'[1]MAIN-101'!$B$13:$M$787,4,FALSE)</f>
        <v>Fil Products Service TV Butuan, Inc</v>
      </c>
      <c r="C32" t="str">
        <f>VLOOKUP(A32,'[1]MAIN-101'!$B$13:$M$787,12,FALSE)</f>
        <v>Payment for subscription expense- cable TV subscription for the period December 28- January 27, 2021</v>
      </c>
      <c r="D32" s="562" t="e">
        <f>SUMIFS('[1]MAIN-101'!$Z$1:$Z$3000,'[1]MAIN-101'!$X$1:$X$3000,A32)</f>
        <v>#VALUE!</v>
      </c>
      <c r="E32" s="562" t="e">
        <f>SUMIFS('Recon of ORS and DV'!D:D,'Recon of ORS and DV'!B:B,'DV List'!A32)</f>
        <v>#VALUE!</v>
      </c>
      <c r="F32" s="276" t="e">
        <f t="shared" si="0"/>
        <v>#VALUE!</v>
      </c>
    </row>
    <row r="33" spans="1:9">
      <c r="A33" t="s">
        <v>2395</v>
      </c>
      <c r="B33" t="str">
        <f>VLOOKUP(A33,'[1]MAIN-101'!$B$13:$M$787,4,FALSE)</f>
        <v>Toyota Butuan City</v>
      </c>
      <c r="C33" t="str">
        <f>VLOOKUP(A33,'[1]MAIN-101'!$B$13:$M$787,12,FALSE)</f>
        <v>Labor and materials for the DTI- Caraga Motor Vehicle 50km periodic maintenance- toyota Hilux</v>
      </c>
      <c r="D33" s="562" t="e">
        <f>SUMIFS('[1]MAIN-101'!$Z$1:$Z$3000,'[1]MAIN-101'!$X$1:$X$3000,A33)</f>
        <v>#VALUE!</v>
      </c>
      <c r="E33" s="562">
        <f>SUMIFS('Recon of ORS and DV'!D:D,'Recon of ORS and DV'!B:B,'DV List'!A33)</f>
        <v>0</v>
      </c>
      <c r="F33" s="276" t="e">
        <f t="shared" si="0"/>
        <v>#VALUE!</v>
      </c>
      <c r="G33" t="s">
        <v>392</v>
      </c>
      <c r="H33" t="str">
        <f>VLOOKUP(A33,'[1]MAIN-101'!$B$8:$D$783,2,FALSE)</f>
        <v>12</v>
      </c>
      <c r="I33" t="str">
        <f>VLOOKUP(A33,'[1]MAIN-101'!$B$8:$D$783,3,FALSE)</f>
        <v>1847</v>
      </c>
    </row>
    <row r="34" spans="1:9">
      <c r="A34" t="s">
        <v>2396</v>
      </c>
      <c r="B34" t="str">
        <f>VLOOKUP(A34,'[1]MAIN-101'!$B$13:$M$787,4,FALSE)</f>
        <v>Compañero Commercial</v>
      </c>
      <c r="C34" t="str">
        <f>VLOOKUP(A34,'[1]MAIN-101'!$B$13:$M$787,12,FALSE)</f>
        <v>Payment for the 4th quarter 2020 FAD Office supplies</v>
      </c>
      <c r="D34" s="562" t="e">
        <f>SUMIFS('[1]MAIN-101'!$Z$1:$Z$3000,'[1]MAIN-101'!$X$1:$X$3000,A34)</f>
        <v>#VALUE!</v>
      </c>
      <c r="E34" s="562">
        <f>SUMIFS('Recon of ORS and DV'!D:D,'Recon of ORS and DV'!B:B,'DV List'!A34)</f>
        <v>0</v>
      </c>
      <c r="F34" s="276" t="e">
        <f t="shared" si="0"/>
        <v>#VALUE!</v>
      </c>
      <c r="G34" t="s">
        <v>392</v>
      </c>
      <c r="H34" t="str">
        <f>VLOOKUP(A34,'[1]MAIN-101'!$B$8:$D$783,2,FALSE)</f>
        <v>12</v>
      </c>
      <c r="I34" t="str">
        <f>VLOOKUP(A34,'[1]MAIN-101'!$B$8:$D$783,3,FALSE)</f>
        <v>1981</v>
      </c>
    </row>
    <row r="35" spans="1:9">
      <c r="A35" t="s">
        <v>2397</v>
      </c>
      <c r="B35" t="str">
        <f>VLOOKUP(A35,'[1]MAIN-101'!$B$13:$M$787,4,FALSE)</f>
        <v>Hope Radio Phils DXHR Inc.</v>
      </c>
      <c r="C35" t="str">
        <f>VLOOKUP(A35,'[1]MAIN-101'!$B$13:$M$787,12,FALSE)</f>
        <v>Payment for radio subscription for the month of October to December 2020</v>
      </c>
      <c r="D35" s="562" t="e">
        <f>SUMIFS('[1]MAIN-101'!$Z$1:$Z$3000,'[1]MAIN-101'!$X$1:$X$3000,A35)</f>
        <v>#VALUE!</v>
      </c>
      <c r="E35" s="562">
        <f>SUMIFS('Recon of ORS and DV'!D:D,'Recon of ORS and DV'!B:B,'DV List'!A35)</f>
        <v>0</v>
      </c>
      <c r="F35" s="276" t="e">
        <f t="shared" si="0"/>
        <v>#VALUE!</v>
      </c>
      <c r="G35" t="s">
        <v>392</v>
      </c>
      <c r="H35" t="str">
        <f>VLOOKUP(A35,'[1]MAIN-101'!$B$8:$D$783,2,FALSE)</f>
        <v>12</v>
      </c>
      <c r="I35" t="str">
        <f>VLOOKUP(A35,'[1]MAIN-101'!$B$8:$D$783,3,FALSE)</f>
        <v>1945</v>
      </c>
    </row>
    <row r="36" spans="1:9">
      <c r="A36" t="s">
        <v>2398</v>
      </c>
      <c r="B36" t="str">
        <f>VLOOKUP(A36,'[1]MAIN-101'!$B$13:$M$787,4,FALSE)</f>
        <v>JMN Multimedia Sales and Services</v>
      </c>
      <c r="C36" t="str">
        <f>VLOOKUP(A36,'[1]MAIN-101'!$B$13:$M$787,12,FALSE)</f>
        <v>Payment for IT Supplies for ORD use.</v>
      </c>
      <c r="D36" s="562" t="e">
        <f>SUMIFS('[1]MAIN-101'!$Z$1:$Z$3000,'[1]MAIN-101'!$X$1:$X$3000,A36)</f>
        <v>#VALUE!</v>
      </c>
      <c r="E36" s="562">
        <f>SUMIFS('Recon of ORS and DV'!D:D,'Recon of ORS and DV'!B:B,'DV List'!A36)</f>
        <v>0</v>
      </c>
      <c r="F36" s="276" t="e">
        <f t="shared" si="0"/>
        <v>#VALUE!</v>
      </c>
      <c r="G36" t="s">
        <v>392</v>
      </c>
      <c r="H36" t="str">
        <f>VLOOKUP(A36,'[1]MAIN-101'!$B$8:$D$783,2,FALSE)</f>
        <v>12</v>
      </c>
      <c r="I36" t="str">
        <f>VLOOKUP(A36,'[1]MAIN-101'!$B$8:$D$783,3,FALSE)</f>
        <v>1849</v>
      </c>
    </row>
    <row r="37" spans="1:9">
      <c r="A37" t="s">
        <v>2399</v>
      </c>
      <c r="B37" t="str">
        <f>VLOOKUP(A37,'[1]MAIN-101'!$B$13:$M$787,4,FALSE)</f>
        <v>Ramil J. Leongas</v>
      </c>
      <c r="C37" t="str">
        <f>VLOOKUP(A37,'[1]MAIN-101'!$B$13:$M$787,12,FALSE)</f>
        <v>Full payment of Terminal Leave Benefits of Mr. Ramil J. Leongas</v>
      </c>
      <c r="D37" s="562" t="e">
        <f>SUMIFS('[1]MAIN-101'!$Z$1:$Z$3000,'[1]MAIN-101'!$X$1:$X$3000,A37)</f>
        <v>#VALUE!</v>
      </c>
      <c r="E37" s="562">
        <f>SUMIFS('Recon of ORS and DV'!D:D,'Recon of ORS and DV'!B:B,'DV List'!A37)</f>
        <v>0</v>
      </c>
      <c r="F37" s="276" t="e">
        <f t="shared" si="0"/>
        <v>#VALUE!</v>
      </c>
      <c r="G37" t="s">
        <v>392</v>
      </c>
      <c r="H37" t="str">
        <f>VLOOKUP(A37,'[1]MAIN-101'!$B$8:$D$783,2,FALSE)</f>
        <v>01</v>
      </c>
      <c r="I37">
        <f>VLOOKUP(A37,'[1]MAIN-101'!$B$8:$D$783,3,FALSE)</f>
        <v>0</v>
      </c>
    </row>
    <row r="38" spans="1:9">
      <c r="A38" t="s">
        <v>2400</v>
      </c>
      <c r="B38" t="str">
        <f>VLOOKUP(A38,'[1]MAIN-101'!$B$13:$M$787,4,FALSE)</f>
        <v>Hi-5 Signages Fabricator</v>
      </c>
      <c r="C38" t="str">
        <f>VLOOKUP(A38,'[1]MAIN-101'!$B$13:$M$787,12,FALSE)</f>
        <v>Payment for the tarpaulins during the conduct of Cooperative Month, 18-day campaign to end VAW and International Day of PWD's</v>
      </c>
      <c r="D38" s="562" t="e">
        <f>SUMIFS('[1]MAIN-101'!$Z$1:$Z$3000,'[1]MAIN-101'!$X$1:$X$3000,A38)</f>
        <v>#VALUE!</v>
      </c>
      <c r="E38" s="562">
        <f>SUMIFS('Recon of ORS and DV'!D:D,'Recon of ORS and DV'!B:B,'DV List'!A38)</f>
        <v>0</v>
      </c>
      <c r="F38" s="276" t="e">
        <f t="shared" si="0"/>
        <v>#VALUE!</v>
      </c>
      <c r="G38" t="s">
        <v>392</v>
      </c>
      <c r="H38" t="str">
        <f>VLOOKUP(A38,'[1]MAIN-101'!$B$8:$D$783,2,FALSE)</f>
        <v>12</v>
      </c>
      <c r="I38" t="str">
        <f>VLOOKUP(A38,'[1]MAIN-101'!$B$8:$D$783,3,FALSE)</f>
        <v>1940</v>
      </c>
    </row>
    <row r="39" spans="1:9">
      <c r="A39" t="s">
        <v>2401</v>
      </c>
      <c r="B39" t="str">
        <f>VLOOKUP(A39,'[1]MAIN-101'!$B$13:$M$787,4,FALSE)</f>
        <v>Mahaneh Garments</v>
      </c>
      <c r="C39" t="str">
        <f>VLOOKUP(A39,'[1]MAIN-101'!$B$13:$M$787,12,FALSE)</f>
        <v>Payment for customized poloshirt during KMME Online sesssion batch 2 tokens for graduation</v>
      </c>
      <c r="D39" s="562" t="e">
        <f>SUMIFS('[1]MAIN-101'!$Z$1:$Z$3000,'[1]MAIN-101'!$X$1:$X$3000,A39)</f>
        <v>#VALUE!</v>
      </c>
      <c r="E39" s="562">
        <f>SUMIFS('Recon of ORS and DV'!D:D,'Recon of ORS and DV'!B:B,'DV List'!A39)</f>
        <v>0</v>
      </c>
      <c r="F39" s="276" t="e">
        <f t="shared" si="0"/>
        <v>#VALUE!</v>
      </c>
      <c r="G39" t="s">
        <v>392</v>
      </c>
      <c r="H39" t="str">
        <f>VLOOKUP(A39,'[1]MAIN-101'!$B$8:$D$783,2,FALSE)</f>
        <v>12</v>
      </c>
      <c r="I39" t="str">
        <f>VLOOKUP(A39,'[1]MAIN-101'!$B$8:$D$783,3,FALSE)</f>
        <v>1790</v>
      </c>
    </row>
    <row r="40" spans="1:9">
      <c r="A40" t="s">
        <v>2402</v>
      </c>
      <c r="B40" t="str">
        <f>VLOOKUP(A40,'[1]MAIN-101'!$B$13:$M$787,4,FALSE)</f>
        <v>True Brew Gourmet Coffee Shop</v>
      </c>
      <c r="C40" t="str">
        <f>VLOOKUP(A40,'[1]MAIN-101'!$B$13:$M$787,12,FALSE)</f>
        <v>Payment of meals during LSP-NSB and PPG Year end assessment on December 22, 2020</v>
      </c>
      <c r="D40" s="562" t="e">
        <f>SUMIFS('[1]MAIN-101'!$Z$1:$Z$3000,'[1]MAIN-101'!$X$1:$X$3000,A40)</f>
        <v>#VALUE!</v>
      </c>
      <c r="E40" s="562">
        <f>SUMIFS('Recon of ORS and DV'!D:D,'Recon of ORS and DV'!B:B,'DV List'!A40)</f>
        <v>0</v>
      </c>
      <c r="F40" s="276" t="e">
        <f t="shared" si="0"/>
        <v>#VALUE!</v>
      </c>
      <c r="G40" t="s">
        <v>392</v>
      </c>
      <c r="H40" t="str">
        <f>VLOOKUP(A40,'[1]MAIN-101'!$B$8:$D$783,2,FALSE)</f>
        <v>12</v>
      </c>
      <c r="I40" t="str">
        <f>VLOOKUP(A40,'[1]MAIN-101'!$B$8:$D$783,3,FALSE)</f>
        <v>1980</v>
      </c>
    </row>
    <row r="41" spans="1:9">
      <c r="A41" t="s">
        <v>2403</v>
      </c>
      <c r="B41" t="str">
        <f>VLOOKUP(A41,'[1]MAIN-101'!$B$13:$M$787,4,FALSE)</f>
        <v>True Brew Gourmet Coffee Shop</v>
      </c>
      <c r="C41" t="str">
        <f>VLOOKUP(A41,'[1]MAIN-101'!$B$13:$M$787,12,FALSE)</f>
        <v>Payment of meals during NC Year end Assessment and planning on December 9, 2020</v>
      </c>
      <c r="D41" s="562" t="e">
        <f>SUMIFS('[1]MAIN-101'!$Z$1:$Z$3000,'[1]MAIN-101'!$X$1:$X$3000,A41)</f>
        <v>#VALUE!</v>
      </c>
      <c r="E41" s="562">
        <f>SUMIFS('Recon of ORS and DV'!D:D,'Recon of ORS and DV'!B:B,'DV List'!A41)</f>
        <v>0</v>
      </c>
      <c r="F41" s="276" t="e">
        <f t="shared" si="0"/>
        <v>#VALUE!</v>
      </c>
      <c r="G41" t="s">
        <v>392</v>
      </c>
      <c r="H41" t="str">
        <f>VLOOKUP(A41,'[1]MAIN-101'!$B$8:$D$783,2,FALSE)</f>
        <v>12</v>
      </c>
      <c r="I41" t="str">
        <f>VLOOKUP(A41,'[1]MAIN-101'!$B$8:$D$783,3,FALSE)</f>
        <v>1960</v>
      </c>
    </row>
    <row r="42" spans="1:9">
      <c r="A42" t="s">
        <v>2404</v>
      </c>
      <c r="B42" t="str">
        <f>VLOOKUP(A42,'[1]MAIN-101'!$B$13:$M$787,4,FALSE)</f>
        <v>Efren Sotto</v>
      </c>
      <c r="C42" t="str">
        <f>VLOOKUP(A42,'[1]MAIN-101'!$B$13:$M$787,12,FALSE)</f>
        <v>Payment of Honorariumj of panelist during BIP Presentation on September 21-23, 2020(KMME Online Session Batch 1</v>
      </c>
      <c r="D42" s="562" t="e">
        <f>SUMIFS('[1]MAIN-101'!$Z$1:$Z$3000,'[1]MAIN-101'!$X$1:$X$3000,A42)</f>
        <v>#VALUE!</v>
      </c>
      <c r="E42" s="562">
        <f>SUMIFS('Recon of ORS and DV'!D:D,'Recon of ORS and DV'!B:B,'DV List'!A42)</f>
        <v>0</v>
      </c>
      <c r="F42" s="276" t="e">
        <f t="shared" si="0"/>
        <v>#VALUE!</v>
      </c>
    </row>
    <row r="43" spans="1:9">
      <c r="A43" t="s">
        <v>2405</v>
      </c>
      <c r="B43" t="str">
        <f>VLOOKUP(A43,'[1]MAIN-101'!$B$13:$M$787,4,FALSE)</f>
        <v>Angelito Cagulada</v>
      </c>
      <c r="C43" t="str">
        <f>VLOOKUP(A43,'[1]MAIN-101'!$B$13:$M$787,12,FALSE)</f>
        <v>Payment of Honorarium of panelist during BIP Presentation on September 21-23, 2020(KMME Online Session Batch 1</v>
      </c>
      <c r="D43" s="562" t="e">
        <f>SUMIFS('[1]MAIN-101'!$Z$1:$Z$3000,'[1]MAIN-101'!$X$1:$X$3000,A43)</f>
        <v>#VALUE!</v>
      </c>
      <c r="E43" s="562">
        <f>SUMIFS('Recon of ORS and DV'!D:D,'Recon of ORS and DV'!B:B,'DV List'!A43)</f>
        <v>0</v>
      </c>
      <c r="F43" s="276" t="e">
        <f t="shared" si="0"/>
        <v>#VALUE!</v>
      </c>
    </row>
    <row r="44" spans="1:9">
      <c r="A44" t="s">
        <v>2406</v>
      </c>
      <c r="B44" t="str">
        <f>VLOOKUP(A44,'[1]MAIN-101'!$B$13:$M$787,4,FALSE)</f>
        <v>Maximo R. Yap</v>
      </c>
      <c r="C44" t="str">
        <f>VLOOKUP(A44,'[1]MAIN-101'!$B$13:$M$787,12,FALSE)</f>
        <v>Payment of Honorarium of panelist during BIP Presentation on September 21-23, 2020(KMME Online Session Batch 1</v>
      </c>
      <c r="D44" s="562" t="e">
        <f>SUMIFS('[1]MAIN-101'!$Z$1:$Z$3000,'[1]MAIN-101'!$X$1:$X$3000,A44)</f>
        <v>#VALUE!</v>
      </c>
      <c r="E44" s="562">
        <f>SUMIFS('Recon of ORS and DV'!D:D,'Recon of ORS and DV'!B:B,'DV List'!A44)</f>
        <v>0</v>
      </c>
      <c r="F44" s="276" t="e">
        <f t="shared" si="0"/>
        <v>#VALUE!</v>
      </c>
    </row>
    <row r="45" spans="1:9">
      <c r="A45" t="s">
        <v>2407</v>
      </c>
      <c r="B45" t="str">
        <f>VLOOKUP(A45,'[1]MAIN-101'!$B$13:$M$787,4,FALSE)</f>
        <v>Kamile Angelie  Mabano</v>
      </c>
      <c r="C45" t="str">
        <f>VLOOKUP(A45,'[1]MAIN-101'!$B$13:$M$787,12,FALSE)</f>
        <v>Payment of Honorarium of panelist during BIP Presentation on September 21-23, 2020(KMME Online Session Batch 1</v>
      </c>
      <c r="D45" s="562" t="e">
        <f>SUMIFS('[1]MAIN-101'!$Z$1:$Z$3000,'[1]MAIN-101'!$X$1:$X$3000,A45)</f>
        <v>#VALUE!</v>
      </c>
      <c r="E45" s="562">
        <f>SUMIFS('Recon of ORS and DV'!D:D,'Recon of ORS and DV'!B:B,'DV List'!A45)</f>
        <v>0</v>
      </c>
      <c r="F45" s="276" t="e">
        <f t="shared" si="0"/>
        <v>#VALUE!</v>
      </c>
    </row>
    <row r="46" spans="1:9">
      <c r="A46" t="s">
        <v>2408</v>
      </c>
      <c r="B46" t="str">
        <f>VLOOKUP(A46,'[1]MAIN-101'!$B$13:$M$787,4,FALSE)</f>
        <v>Renato Gatchalian</v>
      </c>
      <c r="C46" t="str">
        <f>VLOOKUP(A46,'[1]MAIN-101'!$B$13:$M$787,12,FALSE)</f>
        <v>Payment of Honorarium of panelist during BIP Presentation on September 21-23, 2020(KMME Online Session Batch 1</v>
      </c>
      <c r="D46" s="562" t="e">
        <f>SUMIFS('[1]MAIN-101'!$Z$1:$Z$3000,'[1]MAIN-101'!$X$1:$X$3000,A46)</f>
        <v>#VALUE!</v>
      </c>
      <c r="E46" s="562">
        <f>SUMIFS('Recon of ORS and DV'!D:D,'Recon of ORS and DV'!B:B,'DV List'!A46)</f>
        <v>0</v>
      </c>
      <c r="F46" s="276" t="e">
        <f t="shared" si="0"/>
        <v>#VALUE!</v>
      </c>
    </row>
    <row r="47" spans="1:9">
      <c r="A47" t="s">
        <v>2409</v>
      </c>
      <c r="B47" t="str">
        <f>VLOOKUP(A47,'[1]MAIN-101'!$B$13:$M$787,4,FALSE)</f>
        <v>Cherille Ann Marie Mulawan</v>
      </c>
      <c r="C47" t="str">
        <f>VLOOKUP(A47,'[1]MAIN-101'!$B$13:$M$787,12,FALSE)</f>
        <v>Payment of Honorarium of panelist during BIP Presentation on September 21-23, 2020(KMME Online Session Batch 1</v>
      </c>
      <c r="D47" s="562" t="e">
        <f>SUMIFS('[1]MAIN-101'!$Z$1:$Z$3000,'[1]MAIN-101'!$X$1:$X$3000,A47)</f>
        <v>#VALUE!</v>
      </c>
      <c r="E47" s="562">
        <f>SUMIFS('Recon of ORS and DV'!D:D,'Recon of ORS and DV'!B:B,'DV List'!A47)</f>
        <v>0</v>
      </c>
      <c r="F47" s="276" t="e">
        <f t="shared" si="0"/>
        <v>#VALUE!</v>
      </c>
      <c r="G47" t="s">
        <v>392</v>
      </c>
      <c r="H47" t="str">
        <f>VLOOKUP(A47,'[1]MAIN-101'!$B$8:$D$783,2,FALSE)</f>
        <v>12</v>
      </c>
      <c r="I47" t="str">
        <f>VLOOKUP(A47,'[1]MAIN-101'!$B$8:$D$783,3,FALSE)</f>
        <v>1900</v>
      </c>
    </row>
    <row r="48" spans="1:9">
      <c r="A48" t="s">
        <v>2410</v>
      </c>
      <c r="B48" t="str">
        <f>VLOOKUP(A48,'[1]MAIN-101'!$B$13:$M$787,4,FALSE)</f>
        <v>Vonne Vincent Gador</v>
      </c>
      <c r="C48" t="str">
        <f>VLOOKUP(A48,'[1]MAIN-101'!$B$13:$M$787,12,FALSE)</f>
        <v>Payment of Honorarium of panelist during BIP Presentation on September 21-23, 2020(KMME Online Session Batch 1</v>
      </c>
      <c r="D48" s="562" t="e">
        <f>SUMIFS('[1]MAIN-101'!$Z$1:$Z$3000,'[1]MAIN-101'!$X$1:$X$3000,A48)</f>
        <v>#VALUE!</v>
      </c>
      <c r="E48" s="562">
        <f>SUMIFS('Recon of ORS and DV'!D:D,'Recon of ORS and DV'!B:B,'DV List'!A48)</f>
        <v>0</v>
      </c>
      <c r="F48" s="276" t="e">
        <f t="shared" si="0"/>
        <v>#VALUE!</v>
      </c>
    </row>
    <row r="49" spans="1:9">
      <c r="A49" t="s">
        <v>2411</v>
      </c>
      <c r="B49" t="str">
        <f>VLOOKUP(A49,'[1]MAIN-101'!$B$13:$M$787,4,FALSE)</f>
        <v>Gesila Laput</v>
      </c>
      <c r="C49" t="str">
        <f>VLOOKUP(A49,'[1]MAIN-101'!$B$13:$M$787,12,FALSE)</f>
        <v>Payment of Honorarium of panelist during BIP Presentation on September 21-23, 2020(KMME Online Session Batch 1</v>
      </c>
      <c r="D49" s="562" t="e">
        <f>SUMIFS('[1]MAIN-101'!$Z$1:$Z$3000,'[1]MAIN-101'!$X$1:$X$3000,A49)</f>
        <v>#VALUE!</v>
      </c>
      <c r="E49" s="562">
        <f>SUMIFS('Recon of ORS and DV'!D:D,'Recon of ORS and DV'!B:B,'DV List'!A49)</f>
        <v>0</v>
      </c>
      <c r="F49" s="276" t="e">
        <f t="shared" si="0"/>
        <v>#VALUE!</v>
      </c>
    </row>
    <row r="50" spans="1:9">
      <c r="A50" t="s">
        <v>2412</v>
      </c>
      <c r="B50" t="str">
        <f>VLOOKUP(A50,'[1]MAIN-101'!$B$13:$M$787,4,FALSE)</f>
        <v>April Dabalos</v>
      </c>
      <c r="C50" t="str">
        <f>VLOOKUP(A50,'[1]MAIN-101'!$B$13:$M$787,12,FALSE)</f>
        <v>Payment of coaching session during KMME Online session batch 2(mentees: Ladlad, Galinato, Ranoa) on November 16-27, 2020</v>
      </c>
      <c r="D50" s="562" t="e">
        <f>SUMIFS('[1]MAIN-101'!$Z$1:$Z$3000,'[1]MAIN-101'!$X$1:$X$3000,A50)</f>
        <v>#VALUE!</v>
      </c>
      <c r="E50" s="562">
        <f>SUMIFS('Recon of ORS and DV'!D:D,'Recon of ORS and DV'!B:B,'DV List'!A50)</f>
        <v>0</v>
      </c>
      <c r="F50" s="276" t="e">
        <f t="shared" si="0"/>
        <v>#VALUE!</v>
      </c>
    </row>
    <row r="51" spans="1:9">
      <c r="A51" t="s">
        <v>2068</v>
      </c>
      <c r="B51" t="str">
        <f>VLOOKUP(A51,'[1]MAIN-101'!$B$13:$M$787,4,FALSE)</f>
        <v>JWL Sourcing Group, Inc</v>
      </c>
      <c r="C51" t="str">
        <f>VLOOKUP(A51,'[1]MAIN-101'!$B$13:$M$787,12,FALSE)</f>
        <v>Fuel comsumption for the period December 1-31, 2020</v>
      </c>
      <c r="D51" s="562" t="e">
        <f>SUMIFS('[1]MAIN-101'!$Z$1:$Z$3000,'[1]MAIN-101'!$X$1:$X$3000,A51)</f>
        <v>#VALUE!</v>
      </c>
      <c r="E51" s="562" t="e">
        <f>SUMIFS('Recon of ORS and DV'!D:D,'Recon of ORS and DV'!B:B,'DV List'!A51)</f>
        <v>#VALUE!</v>
      </c>
      <c r="F51" s="276" t="e">
        <f t="shared" si="0"/>
        <v>#VALUE!</v>
      </c>
    </row>
    <row r="52" spans="1:9">
      <c r="A52" t="s">
        <v>2069</v>
      </c>
      <c r="B52" t="str">
        <f>VLOOKUP(A52,'[1]MAIN-101'!$B$13:$M$787,4,FALSE)</f>
        <v>OIC, DTI-ADS</v>
      </c>
      <c r="C52" t="str">
        <f>VLOOKUP(A52,'[1]MAIN-101'!$B$13:$M$787,12,FALSE)</f>
        <v>Advances for the conduct of FAD Functional Team Meeting on January 25, 2021</v>
      </c>
      <c r="D52" s="562" t="e">
        <f>SUMIFS('[1]MAIN-101'!$Z$1:$Z$3000,'[1]MAIN-101'!$X$1:$X$3000,A52)</f>
        <v>#VALUE!</v>
      </c>
      <c r="E52" s="562" t="e">
        <f>SUMIFS('Recon of ORS and DV'!D:D,'Recon of ORS and DV'!B:B,'DV List'!A52)</f>
        <v>#VALUE!</v>
      </c>
      <c r="F52" s="276" t="e">
        <f t="shared" si="0"/>
        <v>#VALUE!</v>
      </c>
    </row>
    <row r="53" spans="1:9">
      <c r="A53" t="s">
        <v>2070</v>
      </c>
      <c r="B53" t="str">
        <f>VLOOKUP(A53,'[1]MAIN-101'!$B$13:$M$787,4,FALSE)</f>
        <v>OIC, DTI-SDN</v>
      </c>
      <c r="C53" t="str">
        <f>VLOOKUP(A53,'[1]MAIN-101'!$B$13:$M$787,12,FALSE)</f>
        <v>Advances for the conduct of FAD Functional Team Meeting on January 25, 2021</v>
      </c>
      <c r="D53" s="562" t="e">
        <f>SUMIFS('[1]MAIN-101'!$Z$1:$Z$3000,'[1]MAIN-101'!$X$1:$X$3000,A53)</f>
        <v>#VALUE!</v>
      </c>
      <c r="E53" s="562" t="e">
        <f>SUMIFS('Recon of ORS and DV'!D:D,'Recon of ORS and DV'!B:B,'DV List'!A53)</f>
        <v>#VALUE!</v>
      </c>
      <c r="F53" s="276" t="e">
        <f t="shared" si="0"/>
        <v>#VALUE!</v>
      </c>
    </row>
    <row r="54" spans="1:9">
      <c r="A54" t="s">
        <v>2071</v>
      </c>
      <c r="B54" t="str">
        <f>VLOOKUP(A54,'[1]MAIN-101'!$B$13:$M$787,4,FALSE)</f>
        <v>OIC, DTI-SDS</v>
      </c>
      <c r="C54" t="str">
        <f>VLOOKUP(A54,'[1]MAIN-101'!$B$13:$M$787,12,FALSE)</f>
        <v>Advances for the conduct of FAD Functional Team Meeting on January 25, 2021</v>
      </c>
      <c r="D54" s="562" t="e">
        <f>SUMIFS('[1]MAIN-101'!$Z$1:$Z$3000,'[1]MAIN-101'!$X$1:$X$3000,A54)</f>
        <v>#VALUE!</v>
      </c>
      <c r="E54" s="562" t="e">
        <f>SUMIFS('Recon of ORS and DV'!D:D,'Recon of ORS and DV'!B:B,'DV List'!A54)</f>
        <v>#VALUE!</v>
      </c>
      <c r="F54" s="276" t="e">
        <f t="shared" si="0"/>
        <v>#VALUE!</v>
      </c>
    </row>
    <row r="55" spans="1:9">
      <c r="A55" t="s">
        <v>2072</v>
      </c>
      <c r="B55" t="str">
        <f>VLOOKUP(A55,'[1]MAIN-101'!$B$13:$M$787,4,FALSE)</f>
        <v>PD,DTI-PDI</v>
      </c>
      <c r="C55" t="str">
        <f>VLOOKUP(A55,'[1]MAIN-101'!$B$13:$M$787,12,FALSE)</f>
        <v>Advances for the conduct of FAD Functional Team Meeting on January 25, 2021</v>
      </c>
      <c r="D55" s="562" t="e">
        <f>SUMIFS('[1]MAIN-101'!$Z$1:$Z$3000,'[1]MAIN-101'!$X$1:$X$3000,A55)</f>
        <v>#VALUE!</v>
      </c>
      <c r="E55" s="562" t="e">
        <f>SUMIFS('Recon of ORS and DV'!D:D,'Recon of ORS and DV'!B:B,'DV List'!A55)</f>
        <v>#VALUE!</v>
      </c>
      <c r="F55" s="276" t="e">
        <f t="shared" si="0"/>
        <v>#VALUE!</v>
      </c>
    </row>
    <row r="56" spans="1:9">
      <c r="A56" t="s">
        <v>2073</v>
      </c>
      <c r="B56" t="str">
        <f>VLOOKUP(A56,'[1]MAIN-101'!$B$13:$M$787,4,FALSE)</f>
        <v>PD,DTI-AND</v>
      </c>
      <c r="C56" t="str">
        <f>VLOOKUP(A56,'[1]MAIN-101'!$B$13:$M$787,12,FALSE)</f>
        <v>Advances for the conduct of FAD Functional Team Meeting on January 25, 2021</v>
      </c>
      <c r="D56" s="562" t="e">
        <f>SUMIFS('[1]MAIN-101'!$Z$1:$Z$3000,'[1]MAIN-101'!$X$1:$X$3000,A56)</f>
        <v>#VALUE!</v>
      </c>
      <c r="E56" s="562" t="e">
        <f>SUMIFS('Recon of ORS and DV'!D:D,'Recon of ORS and DV'!B:B,'DV List'!A56)</f>
        <v>#VALUE!</v>
      </c>
      <c r="F56" s="276" t="e">
        <f t="shared" si="0"/>
        <v>#VALUE!</v>
      </c>
    </row>
    <row r="57" spans="1:9">
      <c r="A57" t="s">
        <v>2413</v>
      </c>
      <c r="B57" t="str">
        <f>VLOOKUP(A57,'[1]MAIN-101'!$B$13:$M$787,4,FALSE)</f>
        <v>LBP F/O DTI-RO</v>
      </c>
      <c r="C57" t="str">
        <f>VLOOKUP(A57,'[1]MAIN-101'!$B$13:$M$787,12,FALSE)</f>
        <v>Payment for the salaries and allowances of regular employees for the period of January 16-31, 2021</v>
      </c>
      <c r="D57" s="562" t="e">
        <f>SUMIFS('[1]MAIN-101'!$Z$1:$Z$3000,'[1]MAIN-101'!$X$1:$X$3000,A57)</f>
        <v>#VALUE!</v>
      </c>
      <c r="E57" s="562">
        <f>SUMIFS('Recon of ORS and DV'!D:D,'Recon of ORS and DV'!B:B,'DV List'!A57)</f>
        <v>0</v>
      </c>
      <c r="F57" s="276" t="e">
        <f t="shared" si="0"/>
        <v>#VALUE!</v>
      </c>
      <c r="G57" t="s">
        <v>2664</v>
      </c>
    </row>
    <row r="58" spans="1:9">
      <c r="A58" t="s">
        <v>2414</v>
      </c>
      <c r="B58" t="str">
        <f>VLOOKUP(A58,'[1]MAIN-101'!$B$13:$M$787,4,FALSE)</f>
        <v>LBP F/O DTI-ADS</v>
      </c>
      <c r="C58" t="str">
        <f>VLOOKUP(A58,'[1]MAIN-101'!$B$13:$M$787,12,FALSE)</f>
        <v>Payment for the salaries and allowances of regular employees for the period of January 16-31, 2021</v>
      </c>
      <c r="D58" s="562" t="e">
        <f>SUMIFS('[1]MAIN-101'!$Z$1:$Z$3000,'[1]MAIN-101'!$X$1:$X$3000,A58)</f>
        <v>#VALUE!</v>
      </c>
      <c r="E58" s="562">
        <f>SUMIFS('Recon of ORS and DV'!D:D,'Recon of ORS and DV'!B:B,'DV List'!A58)</f>
        <v>0</v>
      </c>
      <c r="F58" s="276" t="e">
        <f t="shared" si="0"/>
        <v>#VALUE!</v>
      </c>
      <c r="G58" t="s">
        <v>2664</v>
      </c>
    </row>
    <row r="59" spans="1:9">
      <c r="A59" t="s">
        <v>2415</v>
      </c>
      <c r="B59" t="str">
        <f>VLOOKUP(A59,'[1]MAIN-101'!$B$13:$M$787,4,FALSE)</f>
        <v>LBP F/O DTI-SDN</v>
      </c>
      <c r="C59" t="str">
        <f>VLOOKUP(A59,'[1]MAIN-101'!$B$13:$M$787,12,FALSE)</f>
        <v>Payment for the salaries and allowances of regular employees for the period of January 16-31, 2021</v>
      </c>
      <c r="D59" s="562" t="e">
        <f>SUMIFS('[1]MAIN-101'!$Z$1:$Z$3000,'[1]MAIN-101'!$X$1:$X$3000,A59)</f>
        <v>#VALUE!</v>
      </c>
      <c r="E59" s="562">
        <f>SUMIFS('Recon of ORS and DV'!D:D,'Recon of ORS and DV'!B:B,'DV List'!A59)</f>
        <v>0</v>
      </c>
      <c r="F59" s="276" t="e">
        <f t="shared" si="0"/>
        <v>#VALUE!</v>
      </c>
      <c r="G59" t="s">
        <v>2664</v>
      </c>
    </row>
    <row r="60" spans="1:9">
      <c r="A60" t="s">
        <v>2416</v>
      </c>
      <c r="B60" t="str">
        <f>VLOOKUP(A60,'[1]MAIN-101'!$B$13:$M$787,4,FALSE)</f>
        <v>LBP F/O DTI-SDS</v>
      </c>
      <c r="C60" t="str">
        <f>VLOOKUP(A60,'[1]MAIN-101'!$B$13:$M$787,12,FALSE)</f>
        <v>Payment for the salaries and allowances of regular employees for the period of January 16-31, 2021</v>
      </c>
      <c r="D60" s="562" t="e">
        <f>SUMIFS('[1]MAIN-101'!$Z$1:$Z$3000,'[1]MAIN-101'!$X$1:$X$3000,A60)</f>
        <v>#VALUE!</v>
      </c>
      <c r="E60" s="562">
        <f>SUMIFS('Recon of ORS and DV'!D:D,'Recon of ORS and DV'!B:B,'DV List'!A60)</f>
        <v>0</v>
      </c>
      <c r="F60" s="276" t="e">
        <f t="shared" si="0"/>
        <v>#VALUE!</v>
      </c>
      <c r="G60" t="s">
        <v>2664</v>
      </c>
    </row>
    <row r="61" spans="1:9">
      <c r="A61" t="s">
        <v>2417</v>
      </c>
      <c r="B61" t="str">
        <f>VLOOKUP(A61,'[1]MAIN-101'!$B$13:$M$787,4,FALSE)</f>
        <v>LBP F/O DTI-PDI</v>
      </c>
      <c r="C61" t="str">
        <f>VLOOKUP(A61,'[1]MAIN-101'!$B$13:$M$787,12,FALSE)</f>
        <v>Payment for the salaries and allowances of regular employees for the period of January 16-31, 2021</v>
      </c>
      <c r="D61" s="562" t="e">
        <f>SUMIFS('[1]MAIN-101'!$Z$1:$Z$3000,'[1]MAIN-101'!$X$1:$X$3000,A61)</f>
        <v>#VALUE!</v>
      </c>
      <c r="E61" s="562">
        <f>SUMIFS('Recon of ORS and DV'!D:D,'Recon of ORS and DV'!B:B,'DV List'!A61)</f>
        <v>0</v>
      </c>
      <c r="F61" s="276" t="e">
        <f t="shared" si="0"/>
        <v>#VALUE!</v>
      </c>
      <c r="G61" t="s">
        <v>2664</v>
      </c>
    </row>
    <row r="62" spans="1:9">
      <c r="A62" t="s">
        <v>2418</v>
      </c>
      <c r="B62" t="str">
        <f>VLOOKUP(A62,'[1]MAIN-101'!$B$13:$M$787,4,FALSE)</f>
        <v>LBP F/O DTI-AD N</v>
      </c>
      <c r="C62" t="str">
        <f>VLOOKUP(A62,'[1]MAIN-101'!$B$13:$M$787,12,FALSE)</f>
        <v>Payment for the salaries and allowances of regular employees for the period of January 16-31, 2021</v>
      </c>
      <c r="D62" s="562" t="e">
        <f>SUMIFS('[1]MAIN-101'!$Z$1:$Z$3000,'[1]MAIN-101'!$X$1:$X$3000,A62)</f>
        <v>#VALUE!</v>
      </c>
      <c r="E62" s="562">
        <f>SUMIFS('Recon of ORS and DV'!D:D,'Recon of ORS and DV'!B:B,'DV List'!A62)</f>
        <v>0</v>
      </c>
      <c r="F62" s="276" t="e">
        <f t="shared" si="0"/>
        <v>#VALUE!</v>
      </c>
      <c r="G62" t="s">
        <v>2664</v>
      </c>
    </row>
    <row r="63" spans="1:9">
      <c r="A63" t="s">
        <v>2419</v>
      </c>
      <c r="B63" t="str">
        <f>VLOOKUP(A63,'[1]MAIN-101'!$B$13:$M$787,4,FALSE)</f>
        <v>Arleen P. Pahamtang</v>
      </c>
      <c r="C63" t="str">
        <f>VLOOKUP(A63,'[1]MAIN-101'!$B$13:$M$787,12,FALSE)</f>
        <v>Petty cash Fund Replenishment (2021-01-001, Jan 18-20, 2021</v>
      </c>
      <c r="D63" s="562" t="e">
        <f>SUMIFS('[1]MAIN-101'!$Z$1:$Z$3000,'[1]MAIN-101'!$X$1:$X$3000,A63)</f>
        <v>#VALUE!</v>
      </c>
      <c r="E63" s="562" t="e">
        <f>SUMIFS('Recon of ORS and DV'!D:D,'Recon of ORS and DV'!B:B,'DV List'!A63)</f>
        <v>#VALUE!</v>
      </c>
      <c r="F63" s="276" t="e">
        <f t="shared" si="0"/>
        <v>#VALUE!</v>
      </c>
      <c r="H63" t="str">
        <f>VLOOKUP(A63,'[1]MAIN-101'!$B$8:$D$783,2,FALSE)</f>
        <v>01</v>
      </c>
      <c r="I63" t="str">
        <f>VLOOKUP(A63,'[1]MAIN-101'!$B$8:$D$783,3,FALSE)</f>
        <v>014</v>
      </c>
    </row>
    <row r="64" spans="1:9">
      <c r="A64" t="s">
        <v>2420</v>
      </c>
      <c r="B64" t="str">
        <f>VLOOKUP(A64,'[1]MAIN-101'!$B$13:$M$787,4,FALSE)</f>
        <v>ANECO, Inc.</v>
      </c>
      <c r="C64" t="str">
        <f>VLOOKUP(A64,'[1]MAIN-101'!$B$13:$M$787,12,FALSE)</f>
        <v>Payment for utilities expense- electricity for the period September 20- October 19, 2020</v>
      </c>
      <c r="D64" s="562" t="e">
        <f>SUMIFS('[1]MAIN-101'!$Z$1:$Z$3000,'[1]MAIN-101'!$X$1:$X$3000,A64)</f>
        <v>#VALUE!</v>
      </c>
      <c r="E64" s="562">
        <f>SUMIFS('Recon of ORS and DV'!D:D,'Recon of ORS and DV'!B:B,'DV List'!A64)</f>
        <v>0</v>
      </c>
      <c r="F64" s="276" t="e">
        <f t="shared" si="0"/>
        <v>#VALUE!</v>
      </c>
      <c r="G64" t="s">
        <v>392</v>
      </c>
      <c r="H64" t="str">
        <f>VLOOKUP(A64,'[1]MAIN-101'!$B$8:$D$783,2,FALSE)</f>
        <v>12</v>
      </c>
      <c r="I64" t="str">
        <f>VLOOKUP(A64,'[1]MAIN-101'!$B$8:$D$783,3,FALSE)</f>
        <v>2052</v>
      </c>
    </row>
    <row r="65" spans="1:9">
      <c r="A65" t="s">
        <v>2421</v>
      </c>
      <c r="B65" t="str">
        <f>VLOOKUP(A65,'[1]MAIN-101'!$B$13:$M$787,4,FALSE)</f>
        <v>True Brew Gourmet Coffee Shop</v>
      </c>
      <c r="C65" t="str">
        <f>VLOOKUP(A65,'[1]MAIN-101'!$B$13:$M$787,12,FALSE)</f>
        <v>Payment for the lunch during the soft launching of OTOP PH Hub at SM City Butuan on November 13, 2020.</v>
      </c>
      <c r="D65" s="562" t="e">
        <f>SUMIFS('[1]MAIN-101'!$Z$1:$Z$3000,'[1]MAIN-101'!$X$1:$X$3000,A65)</f>
        <v>#VALUE!</v>
      </c>
      <c r="E65" s="562">
        <f>SUMIFS('Recon of ORS and DV'!D:D,'Recon of ORS and DV'!B:B,'DV List'!A65)</f>
        <v>0</v>
      </c>
      <c r="F65" s="276" t="e">
        <f t="shared" si="0"/>
        <v>#VALUE!</v>
      </c>
      <c r="G65" t="s">
        <v>392</v>
      </c>
      <c r="H65" t="str">
        <f>VLOOKUP(A65,'[1]MAIN-101'!$B$8:$D$783,2,FALSE)</f>
        <v>12</v>
      </c>
      <c r="I65" t="str">
        <f>VLOOKUP(A65,'[1]MAIN-101'!$B$8:$D$783,3,FALSE)</f>
        <v>1886</v>
      </c>
    </row>
    <row r="66" spans="1:9">
      <c r="A66" t="s">
        <v>2062</v>
      </c>
      <c r="B66" t="str">
        <f>VLOOKUP(A66,'[1]MAIN-101'!$B$13:$M$787,4,FALSE)</f>
        <v>D.O Plaza Holdings Corp.</v>
      </c>
      <c r="C66" t="str">
        <f>VLOOKUP(A66,'[1]MAIN-101'!$B$13:$M$787,12,FALSE)</f>
        <v>Partial payment for office rental for the month of January 2021</v>
      </c>
      <c r="D66" s="562" t="e">
        <f>SUMIFS('[1]MAIN-101'!$Z$1:$Z$3000,'[1]MAIN-101'!$X$1:$X$3000,A66)</f>
        <v>#VALUE!</v>
      </c>
      <c r="E66" s="562" t="e">
        <f>SUMIFS('Recon of ORS and DV'!D:D,'Recon of ORS and DV'!B:B,'DV List'!A66)</f>
        <v>#VALUE!</v>
      </c>
      <c r="F66" s="276" t="e">
        <f t="shared" si="0"/>
        <v>#VALUE!</v>
      </c>
    </row>
    <row r="67" spans="1:9">
      <c r="A67" t="s">
        <v>2063</v>
      </c>
      <c r="B67" t="str">
        <f>VLOOKUP(A67,'[1]MAIN-101'!$B$13:$M$787,4,FALSE)</f>
        <v>D.O Plaza Holdings Corp.</v>
      </c>
      <c r="C67" t="str">
        <f>VLOOKUP(A67,'[1]MAIN-101'!$B$13:$M$787,12,FALSE)</f>
        <v>Full payment for office rental for the month of January 2021</v>
      </c>
      <c r="D67" s="562" t="e">
        <f>SUMIFS('[1]MAIN-101'!$Z$1:$Z$3000,'[1]MAIN-101'!$X$1:$X$3000,A67)</f>
        <v>#VALUE!</v>
      </c>
      <c r="E67" s="562" t="e">
        <f>SUMIFS('Recon of ORS and DV'!D:D,'Recon of ORS and DV'!B:B,'DV List'!A67)</f>
        <v>#VALUE!</v>
      </c>
      <c r="F67" s="276" t="e">
        <f t="shared" si="0"/>
        <v>#VALUE!</v>
      </c>
    </row>
    <row r="68" spans="1:9">
      <c r="A68" t="s">
        <v>2422</v>
      </c>
      <c r="B68" t="str">
        <f>VLOOKUP(A68,'[1]MAIN-101'!$B$13:$M$787,4,FALSE)</f>
        <v>JRS Business Corporation</v>
      </c>
      <c r="C68" t="str">
        <f>VLOOKUP(A68,'[1]MAIN-101'!$B$13:$M$787,12,FALSE)</f>
        <v>Payment for courier services for the month December 2020</v>
      </c>
      <c r="D68" s="562" t="e">
        <f>SUMIFS('[1]MAIN-101'!$Z$1:$Z$3000,'[1]MAIN-101'!$X$1:$X$3000,A68)</f>
        <v>#VALUE!</v>
      </c>
      <c r="E68" s="562">
        <f>SUMIFS('Recon of ORS and DV'!D:D,'Recon of ORS and DV'!B:B,'DV List'!A68)</f>
        <v>0</v>
      </c>
      <c r="F68" s="276" t="e">
        <f t="shared" si="0"/>
        <v>#VALUE!</v>
      </c>
      <c r="G68" t="s">
        <v>392</v>
      </c>
      <c r="H68" t="str">
        <f>VLOOKUP(A68,'[1]MAIN-101'!$B$8:$D$783,2,FALSE)</f>
        <v>12</v>
      </c>
      <c r="I68" t="str">
        <f>VLOOKUP(A68,'[1]MAIN-101'!$B$8:$D$783,3,FALSE)</f>
        <v>2053</v>
      </c>
    </row>
    <row r="69" spans="1:9">
      <c r="A69" t="s">
        <v>2423</v>
      </c>
      <c r="B69" t="str">
        <f>VLOOKUP(A69,'[1]MAIN-101'!$B$13:$M$787,4,FALSE)</f>
        <v>Hi-5 Signages Fabricator</v>
      </c>
      <c r="C69" t="str">
        <f>VLOOKUP(A69,'[1]MAIN-101'!$B$13:$M$787,12,FALSE)</f>
        <v>Payment for the plaque of recognition for Salamat Mabuhay Awardee</v>
      </c>
      <c r="D69" s="562" t="e">
        <f>SUMIFS('[1]MAIN-101'!$Z$1:$Z$3000,'[1]MAIN-101'!$X$1:$X$3000,A69)</f>
        <v>#VALUE!</v>
      </c>
      <c r="E69" s="562">
        <f>SUMIFS('Recon of ORS and DV'!D:D,'Recon of ORS and DV'!B:B,'DV List'!A69)</f>
        <v>0</v>
      </c>
      <c r="F69" s="276" t="e">
        <f t="shared" ref="F69:F132" si="1">D69-E69</f>
        <v>#VALUE!</v>
      </c>
    </row>
    <row r="70" spans="1:9">
      <c r="A70" t="s">
        <v>2424</v>
      </c>
      <c r="B70" t="str">
        <f>VLOOKUP(A70,'[1]MAIN-101'!$B$13:$M$787,4,FALSE)</f>
        <v>Busa Interbiz Center</v>
      </c>
      <c r="C70" t="str">
        <f>VLOOKUP(A70,'[1]MAIN-101'!$B$13:$M$787,12,FALSE)</f>
        <v>Payment for subscription expense- Newspaper for the period December 2020</v>
      </c>
      <c r="D70" s="562" t="e">
        <f>SUMIFS('[1]MAIN-101'!$Z$1:$Z$3000,'[1]MAIN-101'!$X$1:$X$3000,A70)</f>
        <v>#VALUE!</v>
      </c>
      <c r="E70" s="562">
        <f>SUMIFS('Recon of ORS and DV'!D:D,'Recon of ORS and DV'!B:B,'DV List'!A70)</f>
        <v>0</v>
      </c>
      <c r="F70" s="276" t="e">
        <f t="shared" si="1"/>
        <v>#VALUE!</v>
      </c>
      <c r="G70" t="s">
        <v>392</v>
      </c>
      <c r="H70" t="str">
        <f>VLOOKUP(A70,'[1]MAIN-101'!$B$8:$D$783,2,FALSE)</f>
        <v>12</v>
      </c>
      <c r="I70" t="str">
        <f>VLOOKUP(A70,'[1]MAIN-101'!$B$8:$D$783,3,FALSE)</f>
        <v>2049</v>
      </c>
    </row>
    <row r="71" spans="1:9">
      <c r="A71" t="s">
        <v>2425</v>
      </c>
      <c r="B71" t="str">
        <f>VLOOKUP(A71,'[1]MAIN-101'!$B$13:$M$787,4,FALSE)</f>
        <v>LG Supplies and General Merchandise</v>
      </c>
      <c r="C71" t="str">
        <f>VLOOKUP(A71,'[1]MAIN-101'!$B$13:$M$787,12,FALSE)</f>
        <v>Payment of Laptop (JPPA) for IDD office use.</v>
      </c>
      <c r="D71" s="562" t="e">
        <f>SUMIFS('[1]MAIN-101'!$Z$1:$Z$3000,'[1]MAIN-101'!$X$1:$X$3000,A71)</f>
        <v>#VALUE!</v>
      </c>
      <c r="E71" s="562" t="e">
        <f>SUMIFS('Recon of ORS and DV'!D:D,'Recon of ORS and DV'!B:B,'DV List'!A71)</f>
        <v>#VALUE!</v>
      </c>
      <c r="F71" s="276" t="e">
        <f t="shared" si="1"/>
        <v>#VALUE!</v>
      </c>
      <c r="H71" t="str">
        <f>VLOOKUP(A71,'[1]MAIN-101'!$B$8:$D$783,2,FALSE)</f>
        <v>01</v>
      </c>
      <c r="I71" t="str">
        <f>VLOOKUP(A71,'[1]MAIN-101'!$B$8:$D$783,3,FALSE)</f>
        <v>021</v>
      </c>
    </row>
    <row r="72" spans="1:9">
      <c r="A72" t="s">
        <v>2074</v>
      </c>
      <c r="B72" t="str">
        <f>VLOOKUP(A72,'[1]MAIN-101'!$B$13:$M$787,4,FALSE)</f>
        <v>Maribel P. Timogan</v>
      </c>
      <c r="C72" t="str">
        <f>VLOOKUP(A72,'[1]MAIN-101'!$B$13:$M$787,12,FALSE)</f>
        <v>Payment for initial salary as Admin Aide VI of DTI-RO for the period Jan 4-31, 2021</v>
      </c>
      <c r="D72" s="562" t="e">
        <f>SUMIFS('[1]MAIN-101'!$Z$1:$Z$3000,'[1]MAIN-101'!$X$1:$X$3000,A72)</f>
        <v>#VALUE!</v>
      </c>
      <c r="E72" s="562" t="e">
        <f>SUMIFS('Recon of ORS and DV'!D:D,'Recon of ORS and DV'!B:B,'DV List'!A72)</f>
        <v>#VALUE!</v>
      </c>
      <c r="F72" s="276" t="e">
        <f t="shared" si="1"/>
        <v>#VALUE!</v>
      </c>
    </row>
    <row r="73" spans="1:9">
      <c r="A73" t="s">
        <v>2426</v>
      </c>
      <c r="B73" t="str">
        <f>VLOOKUP(A73,'[1]MAIN-101'!$B$13:$M$787,4,FALSE)</f>
        <v>Visual Arts &amp; scenography</v>
      </c>
      <c r="C73" t="str">
        <f>VLOOKUP(A73,'[1]MAIN-101'!$B$13:$M$787,12,FALSE)</f>
        <v>Payment for the tokens during the soft launching of OTOP PH Hub at SM City Butuan on November 13, 2020</v>
      </c>
      <c r="D73" s="562" t="e">
        <f>SUMIFS('[1]MAIN-101'!$Z$1:$Z$3000,'[1]MAIN-101'!$X$1:$X$3000,A73)</f>
        <v>#VALUE!</v>
      </c>
      <c r="E73" s="562">
        <f>SUMIFS('Recon of ORS and DV'!D:D,'Recon of ORS and DV'!B:B,'DV List'!A73)</f>
        <v>0</v>
      </c>
      <c r="F73" s="276" t="e">
        <f t="shared" si="1"/>
        <v>#VALUE!</v>
      </c>
    </row>
    <row r="74" spans="1:9">
      <c r="A74" t="s">
        <v>2427</v>
      </c>
      <c r="B74" t="str">
        <f>VLOOKUP(A74,'[1]MAIN-101'!$B$13:$M$787,4,FALSE)</f>
        <v>Joseph Arnold de Guzman</v>
      </c>
      <c r="C74" t="str">
        <f>VLOOKUP(A74,'[1]MAIN-101'!$B$13:$M$787,12,FALSE)</f>
        <v>Payment of coaching session during KMME Online session batch 2(mentees:Ragas, Magtibay, Nojara) on November 16-27, 2020</v>
      </c>
      <c r="D74" s="562" t="e">
        <f>SUMIFS('[1]MAIN-101'!$Z$1:$Z$3000,'[1]MAIN-101'!$X$1:$X$3000,A74)</f>
        <v>#VALUE!</v>
      </c>
      <c r="E74" s="562">
        <f>SUMIFS('Recon of ORS and DV'!D:D,'Recon of ORS and DV'!B:B,'DV List'!A74)</f>
        <v>0</v>
      </c>
      <c r="F74" s="276" t="e">
        <f t="shared" si="1"/>
        <v>#VALUE!</v>
      </c>
    </row>
    <row r="75" spans="1:9">
      <c r="A75" t="s">
        <v>2428</v>
      </c>
      <c r="B75" t="str">
        <f>VLOOKUP(A75,'[1]MAIN-101'!$B$13:$M$787,4,FALSE)</f>
        <v>Compañero Commercial</v>
      </c>
      <c r="C75" t="str">
        <f>VLOOKUP(A75,'[1]MAIN-101'!$B$13:$M$787,12,FALSE)</f>
        <v>Payment for 4th quarter 2020 office supplies for ORD office use</v>
      </c>
      <c r="D75" s="562" t="e">
        <f>SUMIFS('[1]MAIN-101'!$Z$1:$Z$3000,'[1]MAIN-101'!$X$1:$X$3000,A75)</f>
        <v>#VALUE!</v>
      </c>
      <c r="E75" s="562">
        <f>SUMIFS('Recon of ORS and DV'!D:D,'Recon of ORS and DV'!B:B,'DV List'!A75)</f>
        <v>0</v>
      </c>
      <c r="F75" s="276" t="e">
        <f t="shared" si="1"/>
        <v>#VALUE!</v>
      </c>
      <c r="G75" t="s">
        <v>392</v>
      </c>
      <c r="H75" t="str">
        <f>VLOOKUP(A75,'[1]MAIN-101'!$B$8:$D$783,2,FALSE)</f>
        <v>12</v>
      </c>
      <c r="I75" t="str">
        <f>VLOOKUP(A75,'[1]MAIN-101'!$B$8:$D$783,3,FALSE)</f>
        <v>2047</v>
      </c>
    </row>
    <row r="76" spans="1:9">
      <c r="A76" t="s">
        <v>2429</v>
      </c>
      <c r="B76" t="str">
        <f>VLOOKUP(A76,'[1]MAIN-101'!$B$13:$M$787,4,FALSE)</f>
        <v>Compañero Commercial</v>
      </c>
      <c r="C76" t="str">
        <f>VLOOKUP(A76,'[1]MAIN-101'!$B$13:$M$787,12,FALSE)</f>
        <v>Payment for RAPID office supplies-4th quarter</v>
      </c>
      <c r="D76" s="562" t="e">
        <f>SUMIFS('[1]MAIN-101'!$Z$1:$Z$3000,'[1]MAIN-101'!$X$1:$X$3000,A76)</f>
        <v>#VALUE!</v>
      </c>
      <c r="E76" s="562">
        <f>SUMIFS('Recon of ORS and DV'!D:D,'Recon of ORS and DV'!B:B,'DV List'!A76)</f>
        <v>0</v>
      </c>
      <c r="F76" s="276" t="e">
        <f t="shared" si="1"/>
        <v>#VALUE!</v>
      </c>
      <c r="G76" t="s">
        <v>392</v>
      </c>
      <c r="H76" t="str">
        <f>VLOOKUP(A76,'[1]MAIN-101'!$B$8:$D$783,2,FALSE)</f>
        <v>12</v>
      </c>
      <c r="I76" t="str">
        <f>VLOOKUP(A76,'[1]MAIN-101'!$B$8:$D$783,3,FALSE)</f>
        <v>2014</v>
      </c>
    </row>
    <row r="77" spans="1:9">
      <c r="A77" t="s">
        <v>2430</v>
      </c>
      <c r="B77" t="str">
        <f>VLOOKUP(A77,'[1]MAIN-101'!$B$13:$M$787,4,FALSE)</f>
        <v>Datalan Communications</v>
      </c>
      <c r="C77" t="str">
        <f>VLOOKUP(A77,'[1]MAIN-101'!$B$13:$M$787,12,FALSE)</f>
        <v>Payment for wifi adapter, usb 2.0 for ORD and RAPID Office</v>
      </c>
      <c r="D77" s="562" t="e">
        <f>SUMIFS('[1]MAIN-101'!$Z$1:$Z$3000,'[1]MAIN-101'!$X$1:$X$3000,A77)</f>
        <v>#VALUE!</v>
      </c>
      <c r="E77" s="562">
        <f>SUMIFS('Recon of ORS and DV'!D:D,'Recon of ORS and DV'!B:B,'DV List'!A77)</f>
        <v>0</v>
      </c>
      <c r="F77" s="276" t="e">
        <f t="shared" si="1"/>
        <v>#VALUE!</v>
      </c>
      <c r="G77" t="s">
        <v>392</v>
      </c>
      <c r="H77" t="str">
        <f>VLOOKUP(A77,'[1]MAIN-101'!$B$8:$D$783,2,FALSE)</f>
        <v>12</v>
      </c>
      <c r="I77" t="str">
        <f>VLOOKUP(A77,'[1]MAIN-101'!$B$8:$D$783,3,FALSE)</f>
        <v>2017</v>
      </c>
    </row>
    <row r="78" spans="1:9">
      <c r="A78" t="s">
        <v>2431</v>
      </c>
      <c r="B78" t="str">
        <f>VLOOKUP(A78,'[1]MAIN-101'!$B$13:$M$787,4,FALSE)</f>
        <v>Datalan Communications</v>
      </c>
      <c r="C78" t="str">
        <f>VLOOKUP(A78,'[1]MAIN-101'!$B$13:$M$787,12,FALSE)</f>
        <v>Payment for the purchase of laptop computer for CPD Office use</v>
      </c>
      <c r="D78" s="562" t="e">
        <f>SUMIFS('[1]MAIN-101'!$Z$1:$Z$3000,'[1]MAIN-101'!$X$1:$X$3000,A78)</f>
        <v>#VALUE!</v>
      </c>
      <c r="E78" s="562">
        <f>SUMIFS('Recon of ORS and DV'!D:D,'Recon of ORS and DV'!B:B,'DV List'!A78)</f>
        <v>0</v>
      </c>
      <c r="F78" s="276" t="e">
        <f t="shared" si="1"/>
        <v>#VALUE!</v>
      </c>
      <c r="G78" t="s">
        <v>392</v>
      </c>
      <c r="H78" t="str">
        <f>VLOOKUP(A78,'[1]MAIN-101'!$B$8:$D$783,2,FALSE)</f>
        <v>12</v>
      </c>
      <c r="I78" t="str">
        <f>VLOOKUP(A78,'[1]MAIN-101'!$B$8:$D$783,3,FALSE)</f>
        <v>2006</v>
      </c>
    </row>
    <row r="79" spans="1:9">
      <c r="A79" t="s">
        <v>2432</v>
      </c>
      <c r="B79" t="str">
        <f>VLOOKUP(A79,'[1]MAIN-101'!$B$13:$M$787,4,FALSE)</f>
        <v>Berfabs Arts and Crafts Manufacturing</v>
      </c>
      <c r="C79" t="str">
        <f>VLOOKUP(A79,'[1]MAIN-101'!$B$13:$M$787,12,FALSE)</f>
        <v>Payment of token (customized tumbler) for mentees during the KMME Graduation Batch 2 on December 7, 2020.</v>
      </c>
      <c r="D79" s="562" t="e">
        <f>SUMIFS('[1]MAIN-101'!$Z$1:$Z$3000,'[1]MAIN-101'!$X$1:$X$3000,A79)</f>
        <v>#VALUE!</v>
      </c>
      <c r="E79" s="562">
        <f>SUMIFS('Recon of ORS and DV'!D:D,'Recon of ORS and DV'!B:B,'DV List'!A79)</f>
        <v>0</v>
      </c>
      <c r="F79" s="276" t="e">
        <f t="shared" si="1"/>
        <v>#VALUE!</v>
      </c>
    </row>
    <row r="80" spans="1:9">
      <c r="A80" t="s">
        <v>2433</v>
      </c>
      <c r="B80" t="str">
        <f>VLOOKUP(A80,'[1]MAIN-101'!$B$13:$M$787,4,FALSE)</f>
        <v>Mercado's Sudlanan Atbp</v>
      </c>
      <c r="C80" t="str">
        <f>VLOOKUP(A80,'[1]MAIN-101'!$B$13:$M$787,12,FALSE)</f>
        <v>Payment for the committee tshirts during the grand launching of OTOP PH Hub at SM City Butuan on December 18, 2020</v>
      </c>
      <c r="D80" s="562" t="e">
        <f>SUMIFS('[1]MAIN-101'!$Z$1:$Z$3000,'[1]MAIN-101'!$X$1:$X$3000,A80)</f>
        <v>#VALUE!</v>
      </c>
      <c r="E80" s="562">
        <f>SUMIFS('Recon of ORS and DV'!D:D,'Recon of ORS and DV'!B:B,'DV List'!A80)</f>
        <v>0</v>
      </c>
      <c r="F80" s="276" t="e">
        <f t="shared" si="1"/>
        <v>#VALUE!</v>
      </c>
    </row>
    <row r="81" spans="1:7">
      <c r="A81" t="s">
        <v>2434</v>
      </c>
      <c r="B81" t="str">
        <f>VLOOKUP(A81,'[1]MAIN-101'!$B$13:$M$787,4,FALSE)</f>
        <v>Create Food, Inc</v>
      </c>
      <c r="C81" t="str">
        <f>VLOOKUP(A81,'[1]MAIN-101'!$B$13:$M$787,12,FALSE)</f>
        <v>Payment for the tokens during the conduct of grand launching of OTOP PH Hub at SM City Butuan on December 18, 2020</v>
      </c>
      <c r="D81" s="562" t="e">
        <f>SUMIFS('[1]MAIN-101'!$Z$1:$Z$3000,'[1]MAIN-101'!$X$1:$X$3000,A81)</f>
        <v>#VALUE!</v>
      </c>
      <c r="E81" s="562">
        <f>SUMIFS('Recon of ORS and DV'!D:D,'Recon of ORS and DV'!B:B,'DV List'!A81)</f>
        <v>0</v>
      </c>
      <c r="F81" s="276" t="e">
        <f t="shared" si="1"/>
        <v>#VALUE!</v>
      </c>
    </row>
    <row r="82" spans="1:7">
      <c r="A82" t="s">
        <v>2435</v>
      </c>
      <c r="B82" t="str">
        <f>VLOOKUP(A82,'[1]MAIN-101'!$B$13:$M$787,4,FALSE)</f>
        <v>Sinograpiko Art Services</v>
      </c>
      <c r="C82" t="str">
        <f>VLOOKUP(A82,'[1]MAIN-101'!$B$13:$M$787,12,FALSE)</f>
        <v>Payment for the customized leis during the grand launching of OTOP PH Hub at SM City Butuan on December 18, 2020</v>
      </c>
      <c r="D82" s="562" t="e">
        <f>SUMIFS('[1]MAIN-101'!$Z$1:$Z$3000,'[1]MAIN-101'!$X$1:$X$3000,A82)</f>
        <v>#VALUE!</v>
      </c>
      <c r="E82" s="562">
        <f>SUMIFS('Recon of ORS and DV'!D:D,'Recon of ORS and DV'!B:B,'DV List'!A82)</f>
        <v>0</v>
      </c>
      <c r="F82" s="276" t="e">
        <f t="shared" si="1"/>
        <v>#VALUE!</v>
      </c>
    </row>
    <row r="83" spans="1:7">
      <c r="A83" t="s">
        <v>2436</v>
      </c>
      <c r="B83" t="str">
        <f>VLOOKUP(A83,'[1]MAIN-101'!$B$13:$M$787,4,FALSE)</f>
        <v>Essential Vows Weddings &amp; Events</v>
      </c>
      <c r="C83" t="str">
        <f>VLOOKUP(A83,'[1]MAIN-101'!$B$13:$M$787,12,FALSE)</f>
        <v>Payment for the event organizer during the conduct of Grand Launching of OTOP PH Hub at SM City Butuan on December 18, 2020</v>
      </c>
      <c r="D83" s="562" t="e">
        <f>SUMIFS('[1]MAIN-101'!$Z$1:$Z$3000,'[1]MAIN-101'!$X$1:$X$3000,A83)</f>
        <v>#VALUE!</v>
      </c>
      <c r="E83" s="562">
        <f>SUMIFS('Recon of ORS and DV'!D:D,'Recon of ORS and DV'!B:B,'DV List'!A83)</f>
        <v>0</v>
      </c>
      <c r="F83" s="276" t="e">
        <f t="shared" si="1"/>
        <v>#VALUE!</v>
      </c>
    </row>
    <row r="84" spans="1:7">
      <c r="A84" t="s">
        <v>2437</v>
      </c>
      <c r="B84" t="str">
        <f>VLOOKUP(A84,'[1]MAIN-101'!$B$13:$M$787,4,FALSE)</f>
        <v>New Era Audio and Light Sales &amp; Rental</v>
      </c>
      <c r="C84" t="str">
        <f>VLOOKUP(A84,'[1]MAIN-101'!$B$13:$M$787,12,FALSE)</f>
        <v>Payment for the sounds and lights during the conduct of grand launching of OTOP PH Hub at SM City Butuan on Dec 18, 2020.</v>
      </c>
      <c r="D84" s="562" t="e">
        <f>SUMIFS('[1]MAIN-101'!$Z$1:$Z$3000,'[1]MAIN-101'!$X$1:$X$3000,A84)</f>
        <v>#VALUE!</v>
      </c>
      <c r="E84" s="562">
        <f>SUMIFS('Recon of ORS and DV'!D:D,'Recon of ORS and DV'!B:B,'DV List'!A84)</f>
        <v>0</v>
      </c>
      <c r="F84" s="276" t="e">
        <f t="shared" si="1"/>
        <v>#VALUE!</v>
      </c>
    </row>
    <row r="85" spans="1:7">
      <c r="A85" t="s">
        <v>2438</v>
      </c>
      <c r="B85" t="str">
        <f>VLOOKUP(A85,'[1]MAIN-101'!$B$13:$M$787,4,FALSE)</f>
        <v>JCB Express Solution</v>
      </c>
      <c r="C85" t="str">
        <f>VLOOKUP(A85,'[1]MAIN-101'!$B$13:$M$787,12,FALSE)</f>
        <v>Payment for the tarpaulins during the grand launching of OTOP PH Hub at SM City Butuan Cityon December 18, 2020</v>
      </c>
      <c r="D85" s="562" t="e">
        <f>SUMIFS('[1]MAIN-101'!$Z$1:$Z$3000,'[1]MAIN-101'!$X$1:$X$3000,A85)</f>
        <v>#VALUE!</v>
      </c>
      <c r="E85" s="562">
        <f>SUMIFS('Recon of ORS and DV'!D:D,'Recon of ORS and DV'!B:B,'DV List'!A85)</f>
        <v>0</v>
      </c>
      <c r="F85" s="276" t="e">
        <f t="shared" si="1"/>
        <v>#VALUE!</v>
      </c>
    </row>
    <row r="86" spans="1:7">
      <c r="A86" t="s">
        <v>2439</v>
      </c>
      <c r="B86" t="str">
        <f>VLOOKUP(A86,'[1]MAIN-101'!$B$13:$M$787,4,FALSE)</f>
        <v>JCB Express Solution</v>
      </c>
      <c r="C86" t="str">
        <f>VLOOKUP(A86,'[1]MAIN-101'!$B$13:$M$787,12,FALSE)</f>
        <v>Payment for customized invitations for the OTOP PH Hub Launching last December 18, 2020</v>
      </c>
      <c r="D86" s="562" t="e">
        <f>SUMIFS('[1]MAIN-101'!$Z$1:$Z$3000,'[1]MAIN-101'!$X$1:$X$3000,A86)</f>
        <v>#VALUE!</v>
      </c>
      <c r="E86" s="562">
        <f>SUMIFS('Recon of ORS and DV'!D:D,'Recon of ORS and DV'!B:B,'DV List'!A86)</f>
        <v>0</v>
      </c>
      <c r="F86" s="276" t="e">
        <f t="shared" si="1"/>
        <v>#VALUE!</v>
      </c>
    </row>
    <row r="87" spans="1:7">
      <c r="A87" t="s">
        <v>2440</v>
      </c>
      <c r="B87" t="str">
        <f>VLOOKUP(A87,'[1]MAIN-101'!$B$13:$M$787,4,FALSE)</f>
        <v>Ralph O. Gorgonio</v>
      </c>
      <c r="C87" t="str">
        <f>VLOOKUP(A87,'[1]MAIN-101'!$B$13:$M$787,12,FALSE)</f>
        <v>Reimbursement  portable wifi modem for office of the RD</v>
      </c>
      <c r="D87" s="562" t="e">
        <f>SUMIFS('[1]MAIN-101'!$Z$1:$Z$3000,'[1]MAIN-101'!$X$1:$X$3000,A87)</f>
        <v>#VALUE!</v>
      </c>
      <c r="E87" s="562">
        <f>SUMIFS('Recon of ORS and DV'!D:D,'Recon of ORS and DV'!B:B,'DV List'!A87)</f>
        <v>0</v>
      </c>
      <c r="F87" s="276" t="e">
        <f t="shared" si="1"/>
        <v>#VALUE!</v>
      </c>
    </row>
    <row r="88" spans="1:7">
      <c r="A88" t="s">
        <v>2080</v>
      </c>
      <c r="B88" t="str">
        <f>VLOOKUP(A88,'[1]MAIN-101'!$B$13:$M$787,4,FALSE)</f>
        <v>LBP, F/O DTI- JO</v>
      </c>
      <c r="C88" t="str">
        <f>VLOOKUP(A88,'[1]MAIN-101'!$B$13:$M$787,12,FALSE)</f>
        <v>Payment of Jor orders for the period January 5-15, 2021</v>
      </c>
      <c r="D88" s="562" t="e">
        <f>SUMIFS('[1]MAIN-101'!$Z$1:$Z$3000,'[1]MAIN-101'!$X$1:$X$3000,A88)</f>
        <v>#VALUE!</v>
      </c>
      <c r="E88" s="562" t="e">
        <f>SUMIFS('Recon of ORS and DV'!D:D,'Recon of ORS and DV'!B:B,'DV List'!A88)</f>
        <v>#VALUE!</v>
      </c>
      <c r="F88" s="276" t="e">
        <f t="shared" si="1"/>
        <v>#VALUE!</v>
      </c>
    </row>
    <row r="89" spans="1:7">
      <c r="A89" t="s">
        <v>2081</v>
      </c>
      <c r="B89" t="str">
        <f>VLOOKUP(A89,'[1]MAIN-101'!$B$13:$M$787,4,FALSE)</f>
        <v>LBP, F/O DTI- JO</v>
      </c>
      <c r="C89" t="str">
        <f>VLOOKUP(A89,'[1]MAIN-101'!$B$13:$M$787,12,FALSE)</f>
        <v>Payment of Jor orders for the period January 5-15, 2021</v>
      </c>
      <c r="D89" s="562" t="e">
        <f>SUMIFS('[1]MAIN-101'!$Z$1:$Z$3000,'[1]MAIN-101'!$X$1:$X$3000,A89)</f>
        <v>#VALUE!</v>
      </c>
      <c r="E89" s="562" t="e">
        <f>SUMIFS('Recon of ORS and DV'!D:D,'Recon of ORS and DV'!B:B,'DV List'!A89)</f>
        <v>#VALUE!</v>
      </c>
      <c r="F89" s="276" t="e">
        <f t="shared" si="1"/>
        <v>#VALUE!</v>
      </c>
    </row>
    <row r="90" spans="1:7">
      <c r="A90" t="s">
        <v>2077</v>
      </c>
      <c r="B90" t="str">
        <f>VLOOKUP(A90,'[1]MAIN-101'!$B$13:$M$787,4,FALSE)</f>
        <v>LBP, F/O DTI- JO</v>
      </c>
      <c r="C90" t="str">
        <f>VLOOKUP(A90,'[1]MAIN-101'!$B$13:$M$787,12,FALSE)</f>
        <v>Payment of Jor orders for the period January 5-15, 2021</v>
      </c>
      <c r="D90" s="562" t="e">
        <f>SUMIFS('[1]MAIN-101'!$Z$1:$Z$3000,'[1]MAIN-101'!$X$1:$X$3000,A90)</f>
        <v>#VALUE!</v>
      </c>
      <c r="E90" s="562" t="e">
        <f>SUMIFS('Recon of ORS and DV'!D:D,'Recon of ORS and DV'!B:B,'DV List'!A90)</f>
        <v>#VALUE!</v>
      </c>
      <c r="F90" s="276" t="e">
        <f t="shared" si="1"/>
        <v>#VALUE!</v>
      </c>
    </row>
    <row r="91" spans="1:7">
      <c r="A91" t="s">
        <v>2441</v>
      </c>
      <c r="B91" t="str">
        <f>VLOOKUP(A91,'[1]MAIN-101'!$B$13:$M$787,4,FALSE)</f>
        <v>PHIC-Butuan City</v>
      </c>
      <c r="C91" t="str">
        <f>VLOOKUP(A91,'[1]MAIN-101'!$B$13:$M$787,12,FALSE)</f>
        <v>Remittance of PHIC premiums (EE &amp; ER) for the month of January 2021</v>
      </c>
      <c r="D91" s="562" t="e">
        <f>SUMIFS('[1]MAIN-101'!$Z$1:$Z$3000,'[1]MAIN-101'!$X$1:$X$3000,A91)</f>
        <v>#VALUE!</v>
      </c>
      <c r="E91" s="562">
        <f>SUMIFS('Recon of ORS and DV'!D:D,'Recon of ORS and DV'!B:B,'DV List'!A91)</f>
        <v>0</v>
      </c>
      <c r="F91" s="276" t="e">
        <f t="shared" si="1"/>
        <v>#VALUE!</v>
      </c>
      <c r="G91" t="s">
        <v>2662</v>
      </c>
    </row>
    <row r="92" spans="1:7">
      <c r="A92" t="s">
        <v>2079</v>
      </c>
      <c r="B92" t="str">
        <f>VLOOKUP(A92,'[1]MAIN-101'!$B$13:$M$787,4,FALSE)</f>
        <v>Joselyn  Ang</v>
      </c>
      <c r="C92" t="str">
        <f>VLOOKUP(A92,'[1]MAIN-101'!$B$13:$M$787,12,FALSE)</f>
        <v>Space rental DTI Storage area</v>
      </c>
      <c r="D92" s="562" t="e">
        <f>SUMIFS('[1]MAIN-101'!$Z$1:$Z$3000,'[1]MAIN-101'!$X$1:$X$3000,A92)</f>
        <v>#VALUE!</v>
      </c>
      <c r="E92" s="562" t="e">
        <f>SUMIFS('Recon of ORS and DV'!D:D,'Recon of ORS and DV'!B:B,'DV List'!A92)</f>
        <v>#VALUE!</v>
      </c>
      <c r="F92" s="276" t="e">
        <f t="shared" si="1"/>
        <v>#VALUE!</v>
      </c>
    </row>
    <row r="93" spans="1:7">
      <c r="A93" t="s">
        <v>2076</v>
      </c>
      <c r="B93" t="str">
        <f>VLOOKUP(A93,'[1]MAIN-101'!$B$13:$M$787,4,FALSE)</f>
        <v>Butuan City Water District</v>
      </c>
      <c r="C93" t="str">
        <f>VLOOKUP(A93,'[1]MAIN-101'!$B$13:$M$787,12,FALSE)</f>
        <v>Payment for utilities expense- water for the period December ,2020- January 2021</v>
      </c>
      <c r="D93" s="562" t="e">
        <f>SUMIFS('[1]MAIN-101'!$Z$1:$Z$3000,'[1]MAIN-101'!$X$1:$X$3000,A93)</f>
        <v>#VALUE!</v>
      </c>
      <c r="E93" s="562" t="e">
        <f>SUMIFS('Recon of ORS and DV'!D:D,'Recon of ORS and DV'!B:B,'DV List'!A93)</f>
        <v>#VALUE!</v>
      </c>
      <c r="F93" s="276" t="e">
        <f t="shared" si="1"/>
        <v>#VALUE!</v>
      </c>
    </row>
    <row r="94" spans="1:7">
      <c r="A94" t="s">
        <v>2075</v>
      </c>
      <c r="B94" t="str">
        <f>VLOOKUP(A94,'[1]MAIN-101'!$B$13:$M$787,4,FALSE)</f>
        <v>A &amp; C Yelo Submarine Corporation</v>
      </c>
      <c r="C94" t="str">
        <f>VLOOKUP(A94,'[1]MAIN-101'!$B$13:$M$787,12,FALSE)</f>
        <v>Payment of drinking water for the period November to December 2020</v>
      </c>
      <c r="D94" s="562" t="e">
        <f>SUMIFS('[1]MAIN-101'!$Z$1:$Z$3000,'[1]MAIN-101'!$X$1:$X$3000,A94)</f>
        <v>#VALUE!</v>
      </c>
      <c r="E94" s="562" t="e">
        <f>SUMIFS('Recon of ORS and DV'!D:D,'Recon of ORS and DV'!B:B,'DV List'!A94)</f>
        <v>#VALUE!</v>
      </c>
      <c r="F94" s="276" t="e">
        <f t="shared" si="1"/>
        <v>#VALUE!</v>
      </c>
    </row>
    <row r="95" spans="1:7">
      <c r="A95" t="s">
        <v>2078</v>
      </c>
      <c r="B95" t="str">
        <f>VLOOKUP(A95,'[1]MAIN-101'!$B$13:$M$787,4,FALSE)</f>
        <v>Marry Ann L. Pascual</v>
      </c>
      <c r="C95" t="str">
        <f>VLOOKUP(A95,'[1]MAIN-101'!$B$13:$M$787,12,FALSE)</f>
        <v>Reimbursement  for the decorations and supplies during the oath taking ceremony cum orientation for newly hired and promoted employees on Januray 11, 2021</v>
      </c>
      <c r="D95" s="562" t="e">
        <f>SUMIFS('[1]MAIN-101'!$Z$1:$Z$3000,'[1]MAIN-101'!$X$1:$X$3000,A95)</f>
        <v>#VALUE!</v>
      </c>
      <c r="E95" s="562" t="e">
        <f>SUMIFS('Recon of ORS and DV'!D:D,'Recon of ORS and DV'!B:B,'DV List'!A95)</f>
        <v>#VALUE!</v>
      </c>
      <c r="F95" s="276" t="e">
        <f t="shared" si="1"/>
        <v>#VALUE!</v>
      </c>
    </row>
    <row r="96" spans="1:7">
      <c r="A96" t="s">
        <v>2442</v>
      </c>
      <c r="B96" t="str">
        <f>VLOOKUP(A96,'[1]MAIN-101'!$B$13:$M$787,4,FALSE)</f>
        <v>Bureau of Treasury</v>
      </c>
      <c r="C96" t="str">
        <f>VLOOKUP(A96,'[1]MAIN-101'!$B$13:$M$787,12,FALSE)</f>
        <v>Remittance of refund on disallowance of Mr. JonathanLagang for the month of January 2021</v>
      </c>
      <c r="D96" s="562" t="e">
        <f>SUMIFS('[1]MAIN-101'!$Z$1:$Z$3000,'[1]MAIN-101'!$X$1:$X$3000,A96)</f>
        <v>#VALUE!</v>
      </c>
      <c r="E96" s="562">
        <f>SUMIFS('Recon of ORS and DV'!D:D,'Recon of ORS and DV'!B:B,'DV List'!A96)</f>
        <v>0</v>
      </c>
      <c r="F96" s="276" t="e">
        <f t="shared" si="1"/>
        <v>#VALUE!</v>
      </c>
      <c r="G96" t="s">
        <v>2662</v>
      </c>
    </row>
    <row r="97" spans="1:7">
      <c r="A97" t="s">
        <v>2443</v>
      </c>
      <c r="B97" t="str">
        <f>VLOOKUP(A97,'[1]MAIN-101'!$B$13:$M$787,4,FALSE)</f>
        <v>Bureau of Treasury</v>
      </c>
      <c r="C97" t="str">
        <f>VLOOKUP(A97,'[1]MAIN-101'!$B$13:$M$787,12,FALSE)</f>
        <v>Remittance of payment of refund on wtx on compensation for the year 2020 deducted from the full payment of Terminal Leave Benefits of Ramil Leongas</v>
      </c>
      <c r="D97" s="562" t="e">
        <f>SUMIFS('[1]MAIN-101'!$Z$1:$Z$3000,'[1]MAIN-101'!$X$1:$X$3000,A97)</f>
        <v>#VALUE!</v>
      </c>
      <c r="E97" s="562">
        <f>SUMIFS('Recon of ORS and DV'!D:D,'Recon of ORS and DV'!B:B,'DV List'!A97)</f>
        <v>0</v>
      </c>
      <c r="F97" s="276" t="e">
        <f t="shared" si="1"/>
        <v>#VALUE!</v>
      </c>
      <c r="G97" t="s">
        <v>2662</v>
      </c>
    </row>
    <row r="98" spans="1:7">
      <c r="A98" t="s">
        <v>2444</v>
      </c>
      <c r="B98" t="str">
        <f>VLOOKUP(A98,'[1]MAIN-101'!$B$13:$M$787,4,FALSE)</f>
        <v>DTI-Employees Union</v>
      </c>
      <c r="C98" t="str">
        <f>VLOOKUP(A98,'[1]MAIN-101'!$B$13:$M$787,12,FALSE)</f>
        <v>Remittance of HMO premium for principal &amp; dependents for the month of January 2021</v>
      </c>
      <c r="D98" s="562" t="e">
        <f>SUMIFS('[1]MAIN-101'!$Z$1:$Z$3000,'[1]MAIN-101'!$X$1:$X$3000,A98)</f>
        <v>#VALUE!</v>
      </c>
      <c r="E98" s="562">
        <f>SUMIFS('Recon of ORS and DV'!D:D,'Recon of ORS and DV'!B:B,'DV List'!A98)</f>
        <v>0</v>
      </c>
      <c r="F98" s="276" t="e">
        <f t="shared" si="1"/>
        <v>#VALUE!</v>
      </c>
      <c r="G98" t="s">
        <v>2662</v>
      </c>
    </row>
    <row r="99" spans="1:7">
      <c r="A99" t="s">
        <v>2445</v>
      </c>
      <c r="B99" t="str">
        <f>VLOOKUP(A99,'[1]MAIN-101'!$B$13:$M$787,4,FALSE)</f>
        <v>DTI-Provident Fund</v>
      </c>
      <c r="C99" t="str">
        <f>VLOOKUP(A99,'[1]MAIN-101'!$B$13:$M$787,12,FALSE)</f>
        <v>Remittance of Provident premium &amp; loan payment for the month of January 2021</v>
      </c>
      <c r="D99" s="562" t="e">
        <f>SUMIFS('[1]MAIN-101'!$Z$1:$Z$3000,'[1]MAIN-101'!$X$1:$X$3000,A99)</f>
        <v>#VALUE!</v>
      </c>
      <c r="E99" s="562">
        <f>SUMIFS('Recon of ORS and DV'!D:D,'Recon of ORS and DV'!B:B,'DV List'!A99)</f>
        <v>0</v>
      </c>
      <c r="F99" s="276" t="e">
        <f t="shared" si="1"/>
        <v>#VALUE!</v>
      </c>
      <c r="G99" t="s">
        <v>2662</v>
      </c>
    </row>
    <row r="100" spans="1:7">
      <c r="A100" t="s">
        <v>2446</v>
      </c>
      <c r="B100" t="str">
        <f>VLOOKUP(A100,'[1]MAIN-101'!$B$13:$M$787,4,FALSE)</f>
        <v>DTI-MDBF</v>
      </c>
      <c r="C100" t="str">
        <f>VLOOKUP(A100,'[1]MAIN-101'!$B$13:$M$787,12,FALSE)</f>
        <v>Remittance of MDBF premium for the month of January 2021</v>
      </c>
      <c r="D100" s="562" t="e">
        <f>SUMIFS('[1]MAIN-101'!$Z$1:$Z$3000,'[1]MAIN-101'!$X$1:$X$3000,A100)</f>
        <v>#VALUE!</v>
      </c>
      <c r="E100" s="562">
        <f>SUMIFS('Recon of ORS and DV'!D:D,'Recon of ORS and DV'!B:B,'DV List'!A100)</f>
        <v>0</v>
      </c>
      <c r="F100" s="276" t="e">
        <f t="shared" si="1"/>
        <v>#VALUE!</v>
      </c>
      <c r="G100" t="s">
        <v>2662</v>
      </c>
    </row>
    <row r="101" spans="1:7">
      <c r="A101" t="s">
        <v>2447</v>
      </c>
      <c r="B101" t="str">
        <f>VLOOKUP(A101,'[1]MAIN-101'!$B$13:$M$787,4,FALSE)</f>
        <v>Sunlife of Canada Phils. Inc</v>
      </c>
      <c r="C101" t="str">
        <f>VLOOKUP(A101,'[1]MAIN-101'!$B$13:$M$787,12,FALSE)</f>
        <v>Remittance of insurance premium for the month of January 2021</v>
      </c>
      <c r="D101" s="562" t="e">
        <f>SUMIFS('[1]MAIN-101'!$Z$1:$Z$3000,'[1]MAIN-101'!$X$1:$X$3000,A101)</f>
        <v>#VALUE!</v>
      </c>
      <c r="E101" s="562">
        <f>SUMIFS('Recon of ORS and DV'!D:D,'Recon of ORS and DV'!B:B,'DV List'!A101)</f>
        <v>0</v>
      </c>
      <c r="F101" s="276" t="e">
        <f t="shared" si="1"/>
        <v>#VALUE!</v>
      </c>
      <c r="G101" t="s">
        <v>2662</v>
      </c>
    </row>
    <row r="102" spans="1:7">
      <c r="A102" t="s">
        <v>2448</v>
      </c>
      <c r="B102" t="str">
        <f>VLOOKUP(A102,'[1]MAIN-101'!$B$13:$M$787,4,FALSE)</f>
        <v>HDMF- Butuan City</v>
      </c>
      <c r="C102" t="str">
        <f>VLOOKUP(A102,'[1]MAIN-101'!$B$13:$M$787,12,FALSE)</f>
        <v>Remittance of HDMF premiums and loans payment of regular employees for the month of Januray 2021</v>
      </c>
      <c r="D102" s="562" t="e">
        <f>SUMIFS('[1]MAIN-101'!$Z$1:$Z$3000,'[1]MAIN-101'!$X$1:$X$3000,A102)</f>
        <v>#VALUE!</v>
      </c>
      <c r="E102" s="562">
        <f>SUMIFS('Recon of ORS and DV'!D:D,'Recon of ORS and DV'!B:B,'DV List'!A102)</f>
        <v>0</v>
      </c>
      <c r="F102" s="276" t="e">
        <f t="shared" si="1"/>
        <v>#VALUE!</v>
      </c>
      <c r="G102" t="s">
        <v>2662</v>
      </c>
    </row>
    <row r="103" spans="1:7">
      <c r="A103" t="s">
        <v>2449</v>
      </c>
      <c r="B103" t="str">
        <f>VLOOKUP(A103,'[1]MAIN-101'!$B$13:$M$787,4,FALSE)</f>
        <v>Sure Dev't Cooperative</v>
      </c>
      <c r="C103" t="str">
        <f>VLOOKUP(A103,'[1]MAIN-101'!$B$13:$M$787,12,FALSE)</f>
        <v>Remittance of Regular employees coop deductions for the month of January 2021</v>
      </c>
      <c r="D103" s="562" t="e">
        <f>SUMIFS('[1]MAIN-101'!$Z$1:$Z$3000,'[1]MAIN-101'!$X$1:$X$3000,A103)</f>
        <v>#VALUE!</v>
      </c>
      <c r="E103" s="562">
        <f>SUMIFS('Recon of ORS and DV'!D:D,'Recon of ORS and DV'!B:B,'DV List'!A103)</f>
        <v>0</v>
      </c>
      <c r="F103" s="276" t="e">
        <f t="shared" si="1"/>
        <v>#VALUE!</v>
      </c>
      <c r="G103" t="s">
        <v>2662</v>
      </c>
    </row>
    <row r="104" spans="1:7">
      <c r="A104" t="s">
        <v>2450</v>
      </c>
      <c r="B104" t="str">
        <f>VLOOKUP(A104,'[1]MAIN-101'!$B$13:$M$787,4,FALSE)</f>
        <v>GLAD MPC</v>
      </c>
      <c r="C104" t="str">
        <f>VLOOKUP(A104,'[1]MAIN-101'!$B$13:$M$787,12,FALSE)</f>
        <v>Remittance of Regular employees coop deductions for the month of January 2021</v>
      </c>
      <c r="D104" s="562" t="e">
        <f>SUMIFS('[1]MAIN-101'!$Z$1:$Z$3000,'[1]MAIN-101'!$X$1:$X$3000,A104)</f>
        <v>#VALUE!</v>
      </c>
      <c r="E104" s="562">
        <f>SUMIFS('Recon of ORS and DV'!D:D,'Recon of ORS and DV'!B:B,'DV List'!A104)</f>
        <v>0</v>
      </c>
      <c r="F104" s="276" t="e">
        <f t="shared" si="1"/>
        <v>#VALUE!</v>
      </c>
      <c r="G104" t="s">
        <v>2662</v>
      </c>
    </row>
    <row r="105" spans="1:7">
      <c r="A105" t="s">
        <v>2451</v>
      </c>
      <c r="B105" t="str">
        <f>VLOOKUP(A105,'[1]MAIN-101'!$B$13:$M$787,4,FALSE)</f>
        <v>DREAMCO MPC</v>
      </c>
      <c r="C105" t="str">
        <f>VLOOKUP(A105,'[1]MAIN-101'!$B$13:$M$787,12,FALSE)</f>
        <v>Remittance of Regular employees coop deductions for the month of January 2021</v>
      </c>
      <c r="D105" s="562" t="e">
        <f>SUMIFS('[1]MAIN-101'!$Z$1:$Z$3000,'[1]MAIN-101'!$X$1:$X$3000,A105)</f>
        <v>#VALUE!</v>
      </c>
      <c r="E105" s="562">
        <f>SUMIFS('Recon of ORS and DV'!D:D,'Recon of ORS and DV'!B:B,'DV List'!A105)</f>
        <v>0</v>
      </c>
      <c r="F105" s="276" t="e">
        <f t="shared" si="1"/>
        <v>#VALUE!</v>
      </c>
      <c r="G105" t="s">
        <v>2662</v>
      </c>
    </row>
    <row r="106" spans="1:7">
      <c r="A106" t="s">
        <v>2452</v>
      </c>
      <c r="B106" t="str">
        <f>VLOOKUP(A106,'[1]MAIN-101'!$B$13:$M$787,4,FALSE)</f>
        <v>Rhosallee V. Espinoza</v>
      </c>
      <c r="C106" t="str">
        <f>VLOOKUP(A106,'[1]MAIN-101'!$B$13:$M$787,12,FALSE)</f>
        <v>Refund of HDMF Multi[purpose loan deducted from January payrol</v>
      </c>
      <c r="D106" s="562" t="e">
        <f>SUMIFS('[1]MAIN-101'!$Z$1:$Z$3000,'[1]MAIN-101'!$X$1:$X$3000,A106)</f>
        <v>#VALUE!</v>
      </c>
      <c r="E106" s="562">
        <f>SUMIFS('Recon of ORS and DV'!D:D,'Recon of ORS and DV'!B:B,'DV List'!A106)</f>
        <v>0</v>
      </c>
      <c r="F106" s="276" t="e">
        <f t="shared" si="1"/>
        <v>#VALUE!</v>
      </c>
      <c r="G106" t="s">
        <v>2663</v>
      </c>
    </row>
    <row r="107" spans="1:7">
      <c r="A107" t="s">
        <v>2082</v>
      </c>
      <c r="B107" t="str">
        <f>VLOOKUP(A107,'[1]MAIN-101'!$B$13:$M$787,4,FALSE)</f>
        <v>Joselito B.Paler</v>
      </c>
      <c r="C107" t="str">
        <f>VLOOKUP(A107,'[1]MAIN-101'!$B$13:$M$787,12,FALSE)</f>
        <v>Payment of CARP staff salaries &amp; allowances for the month of January 2021</v>
      </c>
      <c r="D107" s="562" t="e">
        <f>SUMIFS('[1]MAIN-101'!$Z$1:$Z$3000,'[1]MAIN-101'!$X$1:$X$3000,A107)</f>
        <v>#VALUE!</v>
      </c>
      <c r="E107" s="562" t="e">
        <f>SUMIFS('Recon of ORS and DV'!D:D,'Recon of ORS and DV'!B:B,'DV List'!A107)</f>
        <v>#VALUE!</v>
      </c>
      <c r="F107" s="276" t="e">
        <f t="shared" si="1"/>
        <v>#VALUE!</v>
      </c>
    </row>
    <row r="108" spans="1:7">
      <c r="A108" t="s">
        <v>2083</v>
      </c>
      <c r="B108" t="str">
        <f>VLOOKUP(A108,'[1]MAIN-101'!$B$13:$M$787,4,FALSE)</f>
        <v>LBP F/O DTI AND</v>
      </c>
      <c r="C108" t="str">
        <f>VLOOKUP(A108,'[1]MAIN-101'!$B$13:$M$787,12,FALSE)</f>
        <v>Payment of CARP staff salaries &amp; allowances for the month of January 2021</v>
      </c>
      <c r="D108" s="562" t="e">
        <f>SUMIFS('[1]MAIN-101'!$Z$1:$Z$3000,'[1]MAIN-101'!$X$1:$X$3000,A108)</f>
        <v>#VALUE!</v>
      </c>
      <c r="E108" s="562" t="e">
        <f>SUMIFS('Recon of ORS and DV'!D:D,'Recon of ORS and DV'!B:B,'DV List'!A108)</f>
        <v>#VALUE!</v>
      </c>
      <c r="F108" s="276" t="e">
        <f t="shared" si="1"/>
        <v>#VALUE!</v>
      </c>
    </row>
    <row r="109" spans="1:7">
      <c r="A109" t="s">
        <v>2084</v>
      </c>
      <c r="B109" t="str">
        <f>VLOOKUP(A109,'[1]MAIN-101'!$B$13:$M$787,4,FALSE)</f>
        <v>Lemuel D. Roboca</v>
      </c>
      <c r="C109" t="str">
        <f>VLOOKUP(A109,'[1]MAIN-101'!$B$13:$M$787,12,FALSE)</f>
        <v>Payment of CARP staff salaries &amp; allowances for the month of January 2021</v>
      </c>
      <c r="D109" s="562" t="e">
        <f>SUMIFS('[1]MAIN-101'!$Z$1:$Z$3000,'[1]MAIN-101'!$X$1:$X$3000,A109)</f>
        <v>#VALUE!</v>
      </c>
      <c r="E109" s="562" t="e">
        <f>SUMIFS('Recon of ORS and DV'!D:D,'Recon of ORS and DV'!B:B,'DV List'!A109)</f>
        <v>#VALUE!</v>
      </c>
      <c r="F109" s="276" t="e">
        <f t="shared" si="1"/>
        <v>#VALUE!</v>
      </c>
    </row>
    <row r="110" spans="1:7">
      <c r="A110" t="s">
        <v>2085</v>
      </c>
      <c r="B110" t="str">
        <f>VLOOKUP(A110,'[1]MAIN-101'!$B$13:$M$787,4,FALSE)</f>
        <v>Ma. Malen B. Catamora</v>
      </c>
      <c r="C110" t="str">
        <f>VLOOKUP(A110,'[1]MAIN-101'!$B$13:$M$787,12,FALSE)</f>
        <v>Payment of CARP staff salaries &amp; allowances for the month of January 2021</v>
      </c>
      <c r="D110" s="562" t="e">
        <f>SUMIFS('[1]MAIN-101'!$Z$1:$Z$3000,'[1]MAIN-101'!$X$1:$X$3000,A110)</f>
        <v>#VALUE!</v>
      </c>
      <c r="E110" s="562" t="e">
        <f>SUMIFS('Recon of ORS and DV'!D:D,'Recon of ORS and DV'!B:B,'DV List'!A110)</f>
        <v>#VALUE!</v>
      </c>
      <c r="F110" s="276" t="e">
        <f t="shared" si="1"/>
        <v>#VALUE!</v>
      </c>
    </row>
    <row r="111" spans="1:7">
      <c r="A111" t="s">
        <v>2086</v>
      </c>
      <c r="B111" t="str">
        <f>VLOOKUP(A111,'[1]MAIN-101'!$B$13:$M$787,4,FALSE)</f>
        <v>LBP F/O DTI SDS</v>
      </c>
      <c r="C111" t="str">
        <f>VLOOKUP(A111,'[1]MAIN-101'!$B$13:$M$787,12,FALSE)</f>
        <v>Payment of CARP staff salaries &amp; allowances for the month of January 2021</v>
      </c>
      <c r="D111" s="562" t="e">
        <f>SUMIFS('[1]MAIN-101'!$Z$1:$Z$3000,'[1]MAIN-101'!$X$1:$X$3000,A111)</f>
        <v>#VALUE!</v>
      </c>
      <c r="E111" s="562" t="e">
        <f>SUMIFS('Recon of ORS and DV'!D:D,'Recon of ORS and DV'!B:B,'DV List'!A111)</f>
        <v>#VALUE!</v>
      </c>
      <c r="F111" s="276" t="e">
        <f t="shared" si="1"/>
        <v>#VALUE!</v>
      </c>
      <c r="G111" t="s">
        <v>2664</v>
      </c>
    </row>
    <row r="112" spans="1:7">
      <c r="A112" t="s">
        <v>2087</v>
      </c>
      <c r="B112" t="str">
        <f>VLOOKUP(A112,'[1]MAIN-101'!$B$13:$M$787,4,FALSE)</f>
        <v>Jumar H. Llorente</v>
      </c>
      <c r="C112" t="str">
        <f>VLOOKUP(A112,'[1]MAIN-101'!$B$13:$M$787,12,FALSE)</f>
        <v>Payment of CARP staff salaries &amp; allowances for the month of January 2021</v>
      </c>
      <c r="D112" s="562" t="e">
        <f>SUMIFS('[1]MAIN-101'!$Z$1:$Z$3000,'[1]MAIN-101'!$X$1:$X$3000,A112)</f>
        <v>#VALUE!</v>
      </c>
      <c r="E112" s="562" t="e">
        <f>SUMIFS('Recon of ORS and DV'!D:D,'Recon of ORS and DV'!B:B,'DV List'!A112)</f>
        <v>#VALUE!</v>
      </c>
      <c r="F112" s="276" t="e">
        <f t="shared" si="1"/>
        <v>#VALUE!</v>
      </c>
    </row>
    <row r="113" spans="1:9">
      <c r="A113" t="s">
        <v>2453</v>
      </c>
      <c r="B113" t="str">
        <f>VLOOKUP(A113,'[1]MAIN-101'!$B$13:$M$787,4,FALSE)</f>
        <v>Innove Communications, Inc</v>
      </c>
      <c r="C113" t="str">
        <f>VLOOKUP(A113,'[1]MAIN-101'!$B$13:$M$787,12,FALSE)</f>
        <v>Payment of zoom application for the month of July- Oct 2020</v>
      </c>
      <c r="D113" s="562" t="e">
        <f>SUMIFS('[1]MAIN-101'!$Z$1:$Z$3000,'[1]MAIN-101'!$X$1:$X$3000,A113)</f>
        <v>#VALUE!</v>
      </c>
      <c r="E113" s="562">
        <f>SUMIFS('Recon of ORS and DV'!D:D,'Recon of ORS and DV'!B:B,'DV List'!A113)</f>
        <v>0</v>
      </c>
      <c r="F113" s="276" t="e">
        <f t="shared" si="1"/>
        <v>#VALUE!</v>
      </c>
    </row>
    <row r="114" spans="1:9">
      <c r="A114" t="s">
        <v>2454</v>
      </c>
      <c r="B114" t="str">
        <f>VLOOKUP(A114,'[1]MAIN-101'!$B$13:$M$787,4,FALSE)</f>
        <v>LBP F/O Honoraria of the KMME Panelist</v>
      </c>
      <c r="C114" t="str">
        <f>VLOOKUP(A114,'[1]MAIN-101'!$B$13:$M$787,12,FALSE)</f>
        <v>Honoraria of panelist during KMME Online class session batch 1 BIP presentation on September 21-23, 2020 thru zoom app</v>
      </c>
      <c r="D114" s="562" t="e">
        <f>SUMIFS('[1]MAIN-101'!$Z$1:$Z$3000,'[1]MAIN-101'!$X$1:$X$3000,A114)</f>
        <v>#VALUE!</v>
      </c>
      <c r="E114" s="562">
        <f>SUMIFS('Recon of ORS and DV'!D:D,'Recon of ORS and DV'!B:B,'DV List'!A114)</f>
        <v>0</v>
      </c>
      <c r="F114" s="276" t="e">
        <f t="shared" si="1"/>
        <v>#VALUE!</v>
      </c>
    </row>
    <row r="115" spans="1:9">
      <c r="A115" t="s">
        <v>2455</v>
      </c>
      <c r="B115" t="str">
        <f>VLOOKUP(A115,'[1]MAIN-101'!$B$13:$M$787,4,FALSE)</f>
        <v>GSIS</v>
      </c>
      <c r="C115" t="str">
        <f>VLOOKUP(A115,'[1]MAIN-101'!$B$13:$M$787,12,FALSE)</f>
        <v>Remittance of GSIS Premiums (EE &amp; ER Share) and loans payment for the month of January 2021.</v>
      </c>
      <c r="D115" s="562" t="e">
        <f>SUMIFS('[1]MAIN-101'!$Z$1:$Z$3000,'[1]MAIN-101'!$X$1:$X$3000,A115)</f>
        <v>#VALUE!</v>
      </c>
      <c r="E115" s="562">
        <f>SUMIFS('Recon of ORS and DV'!D:D,'Recon of ORS and DV'!B:B,'DV List'!A115)</f>
        <v>0</v>
      </c>
      <c r="F115" s="276" t="e">
        <f t="shared" si="1"/>
        <v>#VALUE!</v>
      </c>
      <c r="G115" t="s">
        <v>2662</v>
      </c>
    </row>
    <row r="116" spans="1:9">
      <c r="A116" t="s">
        <v>2456</v>
      </c>
      <c r="B116" t="str">
        <f>VLOOKUP(A116,'[1]MAIN-101'!$B$13:$M$787,4,FALSE)</f>
        <v>Lyza D. Trapal</v>
      </c>
      <c r="C116" t="str">
        <f>VLOOKUP(A116,'[1]MAIN-101'!$B$13:$M$787,12,FALSE)</f>
        <v>Reimb of tokens/prizes during LSP-NSB and PPG Year end asessment on December 22, 2020</v>
      </c>
      <c r="D116" s="562" t="e">
        <f>SUMIFS('[1]MAIN-101'!$Z$1:$Z$3000,'[1]MAIN-101'!$X$1:$X$3000,A116)</f>
        <v>#VALUE!</v>
      </c>
      <c r="E116" s="562">
        <f>SUMIFS('Recon of ORS and DV'!D:D,'Recon of ORS and DV'!B:B,'DV List'!A116)</f>
        <v>0</v>
      </c>
      <c r="F116" s="276" t="e">
        <f t="shared" si="1"/>
        <v>#VALUE!</v>
      </c>
      <c r="G116" t="s">
        <v>392</v>
      </c>
      <c r="H116" t="str">
        <f>VLOOKUP(A116,'[1]MAIN-101'!$B$8:$D$783,2,FALSE)</f>
        <v>12</v>
      </c>
      <c r="I116" t="str">
        <f>VLOOKUP(A116,'[1]MAIN-101'!$B$8:$D$783,3,FALSE)</f>
        <v>1971</v>
      </c>
    </row>
    <row r="117" spans="1:9">
      <c r="A117" t="s">
        <v>2457</v>
      </c>
      <c r="B117" t="str">
        <f>VLOOKUP(A117,'[1]MAIN-101'!$B$13:$M$787,4,FALSE)</f>
        <v>Joselyn  Ang</v>
      </c>
      <c r="C117" t="str">
        <f>VLOOKUP(A117,'[1]MAIN-101'!$B$13:$M$787,12,FALSE)</f>
        <v>Space rental DTI Storage area</v>
      </c>
      <c r="D117" s="562" t="e">
        <f>SUMIFS('[1]MAIN-101'!$Z$1:$Z$3000,'[1]MAIN-101'!$X$1:$X$3000,A117)</f>
        <v>#VALUE!</v>
      </c>
      <c r="E117" s="562" t="e">
        <f>SUMIFS('Recon of ORS and DV'!D:D,'Recon of ORS and DV'!B:B,'DV List'!A117)</f>
        <v>#VALUE!</v>
      </c>
      <c r="F117" s="276" t="e">
        <f t="shared" si="1"/>
        <v>#VALUE!</v>
      </c>
      <c r="H117" t="str">
        <f>VLOOKUP(A117,'[1]MAIN-101'!$B$8:$D$783,2,FALSE)</f>
        <v>01</v>
      </c>
      <c r="I117" t="str">
        <f>VLOOKUP(A117,'[1]MAIN-101'!$B$8:$D$783,3,FALSE)</f>
        <v>041A</v>
      </c>
    </row>
    <row r="118" spans="1:9">
      <c r="A118" t="s">
        <v>2458</v>
      </c>
      <c r="B118" t="str">
        <f>VLOOKUP(A118,'[1]MAIN-101'!$B$13:$M$787,4,FALSE)</f>
        <v>Efren Sotto</v>
      </c>
      <c r="C118" t="str">
        <f>VLOOKUP(A118,'[1]MAIN-101'!$B$13:$M$787,12,FALSE)</f>
        <v>Payment of Honorariumj of panelist during BIP Presentation on September 21-23, 2020(KMME Online Session Batch 1</v>
      </c>
      <c r="D118" s="562" t="e">
        <f>SUMIFS('[1]MAIN-101'!$Z$1:$Z$3000,'[1]MAIN-101'!$X$1:$X$3000,A118)</f>
        <v>#VALUE!</v>
      </c>
      <c r="E118" s="562">
        <f>SUMIFS('Recon of ORS and DV'!D:D,'Recon of ORS and DV'!B:B,'DV List'!A118)</f>
        <v>0</v>
      </c>
      <c r="F118" s="276" t="e">
        <f t="shared" si="1"/>
        <v>#VALUE!</v>
      </c>
      <c r="G118" t="s">
        <v>392</v>
      </c>
      <c r="H118" t="str">
        <f>VLOOKUP(A118,'[1]MAIN-101'!$B$8:$D$783,2,FALSE)</f>
        <v>12</v>
      </c>
      <c r="I118" t="str">
        <f>VLOOKUP(A118,'[1]MAIN-101'!$B$8:$D$783,3,FALSE)</f>
        <v>1894</v>
      </c>
    </row>
    <row r="119" spans="1:9">
      <c r="A119" t="s">
        <v>2459</v>
      </c>
      <c r="B119" t="str">
        <f>VLOOKUP(A119,'[1]MAIN-101'!$B$13:$M$787,4,FALSE)</f>
        <v>Angelito Cagulada</v>
      </c>
      <c r="C119" t="str">
        <f>VLOOKUP(A119,'[1]MAIN-101'!$B$13:$M$787,12,FALSE)</f>
        <v>Payment of Honorarium of panelist during BIP Presentation on September 21-23, 2020(KMME Online Session Batch 1</v>
      </c>
      <c r="D119" s="562" t="e">
        <f>SUMIFS('[1]MAIN-101'!$Z$1:$Z$3000,'[1]MAIN-101'!$X$1:$X$3000,A119)</f>
        <v>#VALUE!</v>
      </c>
      <c r="E119" s="562">
        <f>SUMIFS('Recon of ORS and DV'!D:D,'Recon of ORS and DV'!B:B,'DV List'!A119)</f>
        <v>0</v>
      </c>
      <c r="F119" s="276" t="e">
        <f t="shared" si="1"/>
        <v>#VALUE!</v>
      </c>
      <c r="G119" t="s">
        <v>392</v>
      </c>
      <c r="H119" t="str">
        <f>VLOOKUP(A119,'[1]MAIN-101'!$B$8:$D$783,2,FALSE)</f>
        <v>12</v>
      </c>
      <c r="I119" t="str">
        <f>VLOOKUP(A119,'[1]MAIN-101'!$B$8:$D$783,3,FALSE)</f>
        <v>1896</v>
      </c>
    </row>
    <row r="120" spans="1:9">
      <c r="A120" t="s">
        <v>2460</v>
      </c>
      <c r="B120" t="str">
        <f>VLOOKUP(A120,'[1]MAIN-101'!$B$13:$M$787,4,FALSE)</f>
        <v>Maximo R. Yap</v>
      </c>
      <c r="C120" t="str">
        <f>VLOOKUP(A120,'[1]MAIN-101'!$B$13:$M$787,12,FALSE)</f>
        <v>Payment of Honorarium of panelist during BIP Presentation on September 21-23, 2020(KMME Online Session Batch 1</v>
      </c>
      <c r="D120" s="562" t="e">
        <f>SUMIFS('[1]MAIN-101'!$Z$1:$Z$3000,'[1]MAIN-101'!$X$1:$X$3000,A120)</f>
        <v>#VALUE!</v>
      </c>
      <c r="E120" s="562">
        <f>SUMIFS('Recon of ORS and DV'!D:D,'Recon of ORS and DV'!B:B,'DV List'!A120)</f>
        <v>0</v>
      </c>
      <c r="F120" s="276" t="e">
        <f t="shared" si="1"/>
        <v>#VALUE!</v>
      </c>
      <c r="G120" t="s">
        <v>392</v>
      </c>
      <c r="H120" t="str">
        <f>VLOOKUP(A120,'[1]MAIN-101'!$B$8:$D$783,2,FALSE)</f>
        <v>12</v>
      </c>
      <c r="I120" t="str">
        <f>VLOOKUP(A120,'[1]MAIN-101'!$B$8:$D$783,3,FALSE)</f>
        <v>1897</v>
      </c>
    </row>
    <row r="121" spans="1:9">
      <c r="A121" t="s">
        <v>2461</v>
      </c>
      <c r="B121" t="str">
        <f>VLOOKUP(A121,'[1]MAIN-101'!$B$13:$M$787,4,FALSE)</f>
        <v>Kamile Angelie  Mabano</v>
      </c>
      <c r="C121" t="str">
        <f>VLOOKUP(A121,'[1]MAIN-101'!$B$13:$M$787,12,FALSE)</f>
        <v>Payment of Honorarium of panelist during BIP Presentation on September 21-23, 2020(KMME Online Session Batch 1</v>
      </c>
      <c r="D121" s="562" t="e">
        <f>SUMIFS('[1]MAIN-101'!$Z$1:$Z$3000,'[1]MAIN-101'!$X$1:$X$3000,A121)</f>
        <v>#VALUE!</v>
      </c>
      <c r="E121" s="562">
        <f>SUMIFS('Recon of ORS and DV'!D:D,'Recon of ORS and DV'!B:B,'DV List'!A121)</f>
        <v>0</v>
      </c>
      <c r="F121" s="276" t="e">
        <f t="shared" si="1"/>
        <v>#VALUE!</v>
      </c>
      <c r="G121" t="s">
        <v>392</v>
      </c>
      <c r="H121" t="str">
        <f>VLOOKUP(A121,'[1]MAIN-101'!$B$8:$D$783,2,FALSE)</f>
        <v>12</v>
      </c>
      <c r="I121" t="str">
        <f>VLOOKUP(A121,'[1]MAIN-101'!$B$8:$D$783,3,FALSE)</f>
        <v>1898</v>
      </c>
    </row>
    <row r="122" spans="1:9">
      <c r="A122" t="s">
        <v>2462</v>
      </c>
      <c r="B122" t="str">
        <f>VLOOKUP(A122,'[1]MAIN-101'!$B$13:$M$787,4,FALSE)</f>
        <v>Vonne Vincent Gador</v>
      </c>
      <c r="C122" t="str">
        <f>VLOOKUP(A122,'[1]MAIN-101'!$B$13:$M$787,12,FALSE)</f>
        <v>Payment of Honorarium of panelist during BIP Presentation on September 21-23, 2020(KMME Online Session Batch 1</v>
      </c>
      <c r="D122" s="562" t="e">
        <f>SUMIFS('[1]MAIN-101'!$Z$1:$Z$3000,'[1]MAIN-101'!$X$1:$X$3000,A122)</f>
        <v>#VALUE!</v>
      </c>
      <c r="E122" s="562">
        <f>SUMIFS('Recon of ORS and DV'!D:D,'Recon of ORS and DV'!B:B,'DV List'!A122)</f>
        <v>0</v>
      </c>
      <c r="F122" s="276" t="e">
        <f t="shared" si="1"/>
        <v>#VALUE!</v>
      </c>
      <c r="G122" t="s">
        <v>392</v>
      </c>
      <c r="H122" t="str">
        <f>VLOOKUP(A122,'[1]MAIN-101'!$B$8:$D$783,2,FALSE)</f>
        <v>12</v>
      </c>
      <c r="I122" t="str">
        <f>VLOOKUP(A122,'[1]MAIN-101'!$B$8:$D$783,3,FALSE)</f>
        <v>1899</v>
      </c>
    </row>
    <row r="123" spans="1:9">
      <c r="A123" t="s">
        <v>2463</v>
      </c>
      <c r="B123" t="str">
        <f>VLOOKUP(A123,'[1]MAIN-101'!$B$13:$M$787,4,FALSE)</f>
        <v>Gesila Laput</v>
      </c>
      <c r="C123" t="str">
        <f>VLOOKUP(A123,'[1]MAIN-101'!$B$13:$M$787,12,FALSE)</f>
        <v>Payment of Honorarium of panelist during BIP Presentation on September 21-23, 2020(KMME Online Session Batch 1</v>
      </c>
      <c r="D123" s="562" t="e">
        <f>SUMIFS('[1]MAIN-101'!$Z$1:$Z$3000,'[1]MAIN-101'!$X$1:$X$3000,A123)</f>
        <v>#VALUE!</v>
      </c>
      <c r="E123" s="562">
        <f>SUMIFS('Recon of ORS and DV'!D:D,'Recon of ORS and DV'!B:B,'DV List'!A123)</f>
        <v>0</v>
      </c>
      <c r="F123" s="276" t="e">
        <f t="shared" si="1"/>
        <v>#VALUE!</v>
      </c>
      <c r="G123" t="s">
        <v>392</v>
      </c>
      <c r="H123" t="str">
        <f>VLOOKUP(A123,'[1]MAIN-101'!$B$8:$D$783,2,FALSE)</f>
        <v>12</v>
      </c>
      <c r="I123" t="str">
        <f>VLOOKUP(A123,'[1]MAIN-101'!$B$8:$D$783,3,FALSE)</f>
        <v>1907</v>
      </c>
    </row>
    <row r="124" spans="1:9">
      <c r="A124" t="s">
        <v>2464</v>
      </c>
      <c r="B124" t="str">
        <f>VLOOKUP(A124,'[1]MAIN-101'!$B$13:$M$787,4,FALSE)</f>
        <v>Essential Vows Weddings &amp; Events</v>
      </c>
      <c r="C124" t="str">
        <f>VLOOKUP(A124,'[1]MAIN-101'!$B$13:$M$787,12,FALSE)</f>
        <v>Payment for the event organizer during the conduct of Grand Launching of OTOP PH Hub at SM City Butuan on December 18, 2020</v>
      </c>
      <c r="D124" s="562" t="e">
        <f>SUMIFS('[1]MAIN-101'!$Z$1:$Z$3000,'[1]MAIN-101'!$X$1:$X$3000,A124)</f>
        <v>#VALUE!</v>
      </c>
      <c r="E124" s="562">
        <f>SUMIFS('Recon of ORS and DV'!D:D,'Recon of ORS and DV'!B:B,'DV List'!A124)</f>
        <v>0</v>
      </c>
      <c r="F124" s="276" t="e">
        <f t="shared" si="1"/>
        <v>#VALUE!</v>
      </c>
      <c r="G124" t="s">
        <v>392</v>
      </c>
      <c r="H124" t="str">
        <f>VLOOKUP(A124,'[1]MAIN-101'!$B$8:$D$783,2,FALSE)</f>
        <v>12</v>
      </c>
      <c r="I124" t="str">
        <f>VLOOKUP(A124,'[1]MAIN-101'!$B$8:$D$783,3,FALSE)</f>
        <v>1982</v>
      </c>
    </row>
    <row r="125" spans="1:9">
      <c r="A125" t="s">
        <v>2465</v>
      </c>
      <c r="B125" t="str">
        <f>VLOOKUP(A125,'[1]MAIN-101'!$B$13:$M$787,4,FALSE)</f>
        <v>Mercado's Sudlanan Atbp</v>
      </c>
      <c r="C125" t="str">
        <f>VLOOKUP(A125,'[1]MAIN-101'!$B$13:$M$787,12,FALSE)</f>
        <v>Payment for the committee tshirts during the grand launching of OTOP PH Hub at SM City Butuan on December 18, 2020</v>
      </c>
      <c r="D125" s="562" t="e">
        <f>SUMIFS('[1]MAIN-101'!$Z$1:$Z$3000,'[1]MAIN-101'!$X$1:$X$3000,A125)</f>
        <v>#VALUE!</v>
      </c>
      <c r="E125" s="562">
        <f>SUMIFS('Recon of ORS and DV'!D:D,'Recon of ORS and DV'!B:B,'DV List'!A125)</f>
        <v>0</v>
      </c>
      <c r="F125" s="276" t="e">
        <f t="shared" si="1"/>
        <v>#VALUE!</v>
      </c>
      <c r="G125" t="s">
        <v>392</v>
      </c>
      <c r="H125" t="str">
        <f>VLOOKUP(A125,'[1]MAIN-101'!$B$8:$D$783,2,FALSE)</f>
        <v>12</v>
      </c>
      <c r="I125" t="str">
        <f>VLOOKUP(A125,'[1]MAIN-101'!$B$8:$D$783,3,FALSE)</f>
        <v>1999</v>
      </c>
    </row>
    <row r="126" spans="1:9">
      <c r="A126" t="s">
        <v>2466</v>
      </c>
      <c r="B126" t="str">
        <f>VLOOKUP(A126,'[1]MAIN-101'!$B$13:$M$787,4,FALSE)</f>
        <v>New Era Audio and Light Sales &amp; Rental</v>
      </c>
      <c r="C126" t="str">
        <f>VLOOKUP(A126,'[1]MAIN-101'!$B$13:$M$787,12,FALSE)</f>
        <v>Payment for the sounds and lights during the conduct of grand launching of OTOP PH Hub at SM City Butuan on Dec 18, 2020.</v>
      </c>
      <c r="D126" s="562" t="e">
        <f>SUMIFS('[1]MAIN-101'!$Z$1:$Z$3000,'[1]MAIN-101'!$X$1:$X$3000,A126)</f>
        <v>#VALUE!</v>
      </c>
      <c r="E126" s="562">
        <f>SUMIFS('Recon of ORS and DV'!D:D,'Recon of ORS and DV'!B:B,'DV List'!A126)</f>
        <v>0</v>
      </c>
      <c r="F126" s="276" t="e">
        <f t="shared" si="1"/>
        <v>#VALUE!</v>
      </c>
      <c r="G126" t="s">
        <v>392</v>
      </c>
      <c r="H126" t="str">
        <f>VLOOKUP(A126,'[1]MAIN-101'!$B$8:$D$783,2,FALSE)</f>
        <v>12</v>
      </c>
      <c r="I126" t="str">
        <f>VLOOKUP(A126,'[1]MAIN-101'!$B$8:$D$783,3,FALSE)</f>
        <v>1983</v>
      </c>
    </row>
    <row r="127" spans="1:9">
      <c r="A127" t="s">
        <v>2467</v>
      </c>
      <c r="B127" t="str">
        <f>VLOOKUP(A127,'[1]MAIN-101'!$B$13:$M$787,4,FALSE)</f>
        <v>JCB Express Solution</v>
      </c>
      <c r="C127" t="str">
        <f>VLOOKUP(A127,'[1]MAIN-101'!$B$13:$M$787,12,FALSE)</f>
        <v>Payment for the tarpaulins during the grand launching of OTOP PH Hub at SM City Butuan Cityon December 18, 2020</v>
      </c>
      <c r="D127" s="562" t="e">
        <f>SUMIFS('[1]MAIN-101'!$Z$1:$Z$3000,'[1]MAIN-101'!$X$1:$X$3000,A127)</f>
        <v>#VALUE!</v>
      </c>
      <c r="E127" s="562">
        <f>SUMIFS('Recon of ORS and DV'!D:D,'Recon of ORS and DV'!B:B,'DV List'!A127)</f>
        <v>0</v>
      </c>
      <c r="F127" s="276" t="e">
        <f t="shared" si="1"/>
        <v>#VALUE!</v>
      </c>
      <c r="G127" t="s">
        <v>392</v>
      </c>
      <c r="H127" t="str">
        <f>VLOOKUP(A127,'[1]MAIN-101'!$B$8:$D$783,2,FALSE)</f>
        <v>12</v>
      </c>
      <c r="I127" t="str">
        <f>VLOOKUP(A127,'[1]MAIN-101'!$B$8:$D$783,3,FALSE)</f>
        <v>2001</v>
      </c>
    </row>
    <row r="128" spans="1:9">
      <c r="A128" t="s">
        <v>2468</v>
      </c>
      <c r="B128" t="str">
        <f>VLOOKUP(A128,'[1]MAIN-101'!$B$13:$M$787,4,FALSE)</f>
        <v>Dreamco MPC</v>
      </c>
      <c r="C128" t="str">
        <f>VLOOKUP(A128,'[1]MAIN-101'!$B$13:$M$787,12,FALSE)</f>
        <v>Remittance of coop deductions from PDI( additional remittance) for the month of January 2021</v>
      </c>
      <c r="D128" s="562" t="e">
        <f>SUMIFS('[1]MAIN-101'!$Z$1:$Z$3000,'[1]MAIN-101'!$X$1:$X$3000,A128)</f>
        <v>#VALUE!</v>
      </c>
      <c r="E128" s="562">
        <f>SUMIFS('Recon of ORS and DV'!D:D,'Recon of ORS and DV'!B:B,'DV List'!A128)</f>
        <v>0</v>
      </c>
      <c r="F128" s="276" t="e">
        <f t="shared" si="1"/>
        <v>#VALUE!</v>
      </c>
      <c r="G128" t="s">
        <v>2662</v>
      </c>
    </row>
    <row r="129" spans="1:9">
      <c r="A129" t="s">
        <v>2469</v>
      </c>
      <c r="B129" t="str">
        <f>VLOOKUP(A129,'[1]MAIN-101'!$B$13:$M$787,4,FALSE)</f>
        <v>PHIC- Butuan City</v>
      </c>
      <c r="C129" t="str">
        <f>VLOOKUP(A129,'[1]MAIN-101'!$B$13:$M$787,12,FALSE)</f>
        <v>Remittance of PHIC premiums ( EE &amp; ER share) of newly hired employee, Ms. Maribel P. Timogan for the month of January 2021</v>
      </c>
      <c r="D129" s="562" t="e">
        <f>SUMIFS('[1]MAIN-101'!$Z$1:$Z$3000,'[1]MAIN-101'!$X$1:$X$3000,A129)</f>
        <v>#VALUE!</v>
      </c>
      <c r="E129" s="562">
        <f>SUMIFS('Recon of ORS and DV'!D:D,'Recon of ORS and DV'!B:B,'DV List'!A129)</f>
        <v>0</v>
      </c>
      <c r="F129" s="276" t="e">
        <f t="shared" si="1"/>
        <v>#VALUE!</v>
      </c>
      <c r="G129" t="s">
        <v>2662</v>
      </c>
    </row>
    <row r="130" spans="1:9">
      <c r="A130" t="s">
        <v>2470</v>
      </c>
      <c r="B130" t="str">
        <f>VLOOKUP(A130,'[1]MAIN-101'!$B$13:$M$787,4,FALSE)</f>
        <v>HDMF-Butuan City</v>
      </c>
      <c r="C130" t="str">
        <f>VLOOKUP(A130,'[1]MAIN-101'!$B$13:$M$787,12,FALSE)</f>
        <v>Remittance of HDMF premiums ( EE &amp; ER share) of newly hired employee, Ms. Maribel P. Timogan for the month of January 2021</v>
      </c>
      <c r="D130" s="562" t="e">
        <f>SUMIFS('[1]MAIN-101'!$Z$1:$Z$3000,'[1]MAIN-101'!$X$1:$X$3000,A130)</f>
        <v>#VALUE!</v>
      </c>
      <c r="E130" s="562">
        <f>SUMIFS('Recon of ORS and DV'!D:D,'Recon of ORS and DV'!B:B,'DV List'!A130)</f>
        <v>0</v>
      </c>
      <c r="F130" s="276" t="e">
        <f t="shared" si="1"/>
        <v>#VALUE!</v>
      </c>
      <c r="G130" t="s">
        <v>2662</v>
      </c>
    </row>
    <row r="131" spans="1:9">
      <c r="A131" t="s">
        <v>2471</v>
      </c>
      <c r="B131" t="str">
        <f>VLOOKUP(A131,'[1]MAIN-101'!$B$13:$M$787,4,FALSE)</f>
        <v>Land Bank of the Philippines</v>
      </c>
      <c r="C131" t="str">
        <f>VLOOKUP(A131,'[1]MAIN-101'!$B$13:$M$787,12,FALSE)</f>
        <v>Gratuity Pay for RAPID Staff</v>
      </c>
      <c r="D131" s="562" t="e">
        <f>SUMIFS('[1]MAIN-101'!$Z$1:$Z$3000,'[1]MAIN-101'!$X$1:$X$3000,A131)</f>
        <v>#VALUE!</v>
      </c>
      <c r="E131" s="562">
        <f>SUMIFS('Recon of ORS and DV'!D:D,'Recon of ORS and DV'!B:B,'DV List'!A131)</f>
        <v>0</v>
      </c>
      <c r="F131" s="276" t="e">
        <f t="shared" si="1"/>
        <v>#VALUE!</v>
      </c>
      <c r="G131" t="s">
        <v>392</v>
      </c>
      <c r="H131" t="str">
        <f>VLOOKUP(A131,'[1]MAIN-101'!$B$8:$D$783,2,FALSE)</f>
        <v>12</v>
      </c>
      <c r="I131" t="str">
        <f>VLOOKUP(A131,'[1]MAIN-101'!$B$8:$D$783,3,FALSE)</f>
        <v>2010</v>
      </c>
    </row>
    <row r="132" spans="1:9">
      <c r="A132" t="s">
        <v>2472</v>
      </c>
      <c r="B132" t="str">
        <f>VLOOKUP(A132,'[1]MAIN-101'!$B$13:$M$787,4,FALSE)</f>
        <v>GSIS</v>
      </c>
      <c r="C132" t="str">
        <f>VLOOKUP(A132,'[1]MAIN-101'!$B$13:$M$787,12,FALSE)</f>
        <v>Remittance of HDMF premiums ( EE &amp; ER share) of newly hired employee, Ms. Maribel P. Timogan for the month of January 2021</v>
      </c>
      <c r="D132" s="562" t="e">
        <f>SUMIFS('[1]MAIN-101'!$Z$1:$Z$3000,'[1]MAIN-101'!$X$1:$X$3000,A132)</f>
        <v>#VALUE!</v>
      </c>
      <c r="E132" s="562">
        <f>SUMIFS('Recon of ORS and DV'!D:D,'Recon of ORS and DV'!B:B,'DV List'!A132)</f>
        <v>0</v>
      </c>
      <c r="F132" s="276" t="e">
        <f t="shared" si="1"/>
        <v>#VALUE!</v>
      </c>
      <c r="G132" t="s">
        <v>2662</v>
      </c>
    </row>
    <row r="133" spans="1:9">
      <c r="A133" t="s">
        <v>2473</v>
      </c>
      <c r="B133" t="str">
        <f>VLOOKUP(A133,'[1]MAIN-101'!$B$13:$M$787,4,FALSE)</f>
        <v>DTI-Employees Union</v>
      </c>
      <c r="C133" t="str">
        <f>VLOOKUP(A133,'[1]MAIN-101'!$B$13:$M$787,12,FALSE)</f>
        <v>Remittance of DTI EU membership and EU dues premium of newly hired employee, Ms. Maribel P. Timogan for the month of January 2021</v>
      </c>
      <c r="D133" s="562" t="e">
        <f>SUMIFS('[1]MAIN-101'!$Z$1:$Z$3000,'[1]MAIN-101'!$X$1:$X$3000,A133)</f>
        <v>#VALUE!</v>
      </c>
      <c r="E133" s="562">
        <f>SUMIFS('Recon of ORS and DV'!D:D,'Recon of ORS and DV'!B:B,'DV List'!A133)</f>
        <v>0</v>
      </c>
      <c r="F133" s="276" t="e">
        <f t="shared" ref="F133:F196" si="2">D133-E133</f>
        <v>#VALUE!</v>
      </c>
      <c r="G133" t="s">
        <v>2662</v>
      </c>
    </row>
    <row r="134" spans="1:9">
      <c r="A134" t="s">
        <v>2474</v>
      </c>
      <c r="B134" t="str">
        <f>VLOOKUP(A134,'[1]MAIN-101'!$B$13:$M$787,4,FALSE)</f>
        <v>DTI-Provident Fund</v>
      </c>
      <c r="C134" t="str">
        <f>VLOOKUP(A134,'[1]MAIN-101'!$B$13:$M$787,12,FALSE)</f>
        <v>Remittance of provident fund premium and membership fee of newly hired employee, Ms. Maribel P. Timogan for the month of January 2021</v>
      </c>
      <c r="D134" s="562" t="e">
        <f>SUMIFS('[1]MAIN-101'!$Z$1:$Z$3000,'[1]MAIN-101'!$X$1:$X$3000,A134)</f>
        <v>#VALUE!</v>
      </c>
      <c r="E134" s="562">
        <f>SUMIFS('Recon of ORS and DV'!D:D,'Recon of ORS and DV'!B:B,'DV List'!A134)</f>
        <v>0</v>
      </c>
      <c r="F134" s="276" t="e">
        <f t="shared" si="2"/>
        <v>#VALUE!</v>
      </c>
      <c r="G134" t="s">
        <v>2662</v>
      </c>
    </row>
    <row r="135" spans="1:9">
      <c r="A135" t="s">
        <v>2475</v>
      </c>
      <c r="B135" t="str">
        <f>VLOOKUP(A135,'[1]MAIN-101'!$B$13:$M$787,4,FALSE)</f>
        <v>DTI-MDBF</v>
      </c>
      <c r="C135" t="str">
        <f>VLOOKUP(A135,'[1]MAIN-101'!$B$13:$M$787,12,FALSE)</f>
        <v>Remittance of MDBF premium of newly hired employee, Ms. Maribel P. Timogan for the month of January 2021</v>
      </c>
      <c r="D135" s="562" t="e">
        <f>SUMIFS('[1]MAIN-101'!$Z$1:$Z$3000,'[1]MAIN-101'!$X$1:$X$3000,A135)</f>
        <v>#VALUE!</v>
      </c>
      <c r="E135" s="562">
        <f>SUMIFS('Recon of ORS and DV'!D:D,'Recon of ORS and DV'!B:B,'DV List'!A135)</f>
        <v>0</v>
      </c>
      <c r="F135" s="276" t="e">
        <f t="shared" si="2"/>
        <v>#VALUE!</v>
      </c>
      <c r="G135" t="s">
        <v>2662</v>
      </c>
    </row>
    <row r="136" spans="1:9">
      <c r="A136" t="s">
        <v>2476</v>
      </c>
      <c r="B136" t="str">
        <f>VLOOKUP(A136,'[1]MAIN-101'!$B$13:$M$787,4,FALSE)</f>
        <v>Almont Hotel Inc.</v>
      </c>
      <c r="C136" t="str">
        <f>VLOOKUP(A136,'[1]MAIN-101'!$B$13:$M$787,12,FALSE)</f>
        <v>Payment for packed lunched re: OTOP Ph Hub (Food) launching last December 18, 2020</v>
      </c>
      <c r="D136" s="562" t="e">
        <f>SUMIFS('[1]MAIN-101'!$Z$1:$Z$3000,'[1]MAIN-101'!$X$1:$X$3000,A136)</f>
        <v>#VALUE!</v>
      </c>
      <c r="E136" s="562">
        <f>SUMIFS('Recon of ORS and DV'!D:D,'Recon of ORS and DV'!B:B,'DV List'!A136)</f>
        <v>0</v>
      </c>
      <c r="F136" s="276" t="e">
        <f t="shared" si="2"/>
        <v>#VALUE!</v>
      </c>
      <c r="G136" t="s">
        <v>392</v>
      </c>
      <c r="H136" t="str">
        <f>VLOOKUP(A136,'[1]MAIN-101'!$B$8:$D$783,2,FALSE)</f>
        <v>12</v>
      </c>
      <c r="I136" t="str">
        <f>VLOOKUP(A136,'[1]MAIN-101'!$B$8:$D$783,3,FALSE)</f>
        <v>2025</v>
      </c>
    </row>
    <row r="137" spans="1:9">
      <c r="A137" t="s">
        <v>2477</v>
      </c>
      <c r="B137" t="str">
        <f>VLOOKUP(A137,'[1]MAIN-101'!$B$13:$M$787,4,FALSE)</f>
        <v>PHIC- Butuan City</v>
      </c>
      <c r="C137" t="str">
        <f>VLOOKUP(A137,'[1]MAIN-101'!$B$13:$M$787,12,FALSE)</f>
        <v>Remittance of premiums (EE &amp; ER share) and loans payment for the month of January 2021</v>
      </c>
      <c r="D137" s="562" t="e">
        <f>SUMIFS('[1]MAIN-101'!$Z$1:$Z$3000,'[1]MAIN-101'!$X$1:$X$3000,A137)</f>
        <v>#VALUE!</v>
      </c>
      <c r="E137" s="562">
        <f>SUMIFS('Recon of ORS and DV'!D:D,'Recon of ORS and DV'!B:B,'DV List'!A137)</f>
        <v>0</v>
      </c>
      <c r="F137" s="276" t="e">
        <f t="shared" si="2"/>
        <v>#VALUE!</v>
      </c>
      <c r="G137" t="s">
        <v>2662</v>
      </c>
    </row>
    <row r="138" spans="1:9">
      <c r="A138" t="s">
        <v>2478</v>
      </c>
      <c r="B138" t="str">
        <f>VLOOKUP(A138,'[1]MAIN-101'!$B$13:$M$787,4,FALSE)</f>
        <v>GSIS</v>
      </c>
      <c r="C138" t="str">
        <f>VLOOKUP(A138,'[1]MAIN-101'!$B$13:$M$787,12,FALSE)</f>
        <v>Remittance of premiums (EE &amp; ER share) and loans payment for the month of January 2021</v>
      </c>
      <c r="D138" s="562" t="e">
        <f>SUMIFS('[1]MAIN-101'!$Z$1:$Z$3000,'[1]MAIN-101'!$X$1:$X$3000,A138)</f>
        <v>#VALUE!</v>
      </c>
      <c r="E138" s="562">
        <f>SUMIFS('Recon of ORS and DV'!D:D,'Recon of ORS and DV'!B:B,'DV List'!A138)</f>
        <v>0</v>
      </c>
      <c r="F138" s="276" t="e">
        <f t="shared" si="2"/>
        <v>#VALUE!</v>
      </c>
      <c r="G138" t="s">
        <v>2662</v>
      </c>
    </row>
    <row r="139" spans="1:9">
      <c r="A139" t="s">
        <v>2479</v>
      </c>
      <c r="B139" t="str">
        <f>VLOOKUP(A139,'[1]MAIN-101'!$B$13:$M$787,4,FALSE)</f>
        <v>HDMF-Butuan City</v>
      </c>
      <c r="C139" t="str">
        <f>VLOOKUP(A139,'[1]MAIN-101'!$B$13:$M$787,12,FALSE)</f>
        <v>Remittance of premiums and loans payment for the month of January 2021</v>
      </c>
      <c r="D139" s="562" t="e">
        <f>SUMIFS('[1]MAIN-101'!$Z$1:$Z$3000,'[1]MAIN-101'!$X$1:$X$3000,A139)</f>
        <v>#VALUE!</v>
      </c>
      <c r="E139" s="562">
        <f>SUMIFS('Recon of ORS and DV'!D:D,'Recon of ORS and DV'!B:B,'DV List'!A139)</f>
        <v>0</v>
      </c>
      <c r="F139" s="276" t="e">
        <f t="shared" si="2"/>
        <v>#VALUE!</v>
      </c>
      <c r="G139" t="s">
        <v>2662</v>
      </c>
    </row>
    <row r="140" spans="1:9">
      <c r="A140" t="s">
        <v>2480</v>
      </c>
      <c r="B140" t="str">
        <f>VLOOKUP(A140,'[1]MAIN-101'!$B$13:$M$787,4,FALSE)</f>
        <v>DTI-Employees Union</v>
      </c>
      <c r="C140" t="str">
        <f>VLOOKUP(A140,'[1]MAIN-101'!$B$13:$M$787,12,FALSE)</f>
        <v>Remittance of DTI-EU dues of CARP employees for the month of January 2021</v>
      </c>
      <c r="D140" s="562" t="e">
        <f>SUMIFS('[1]MAIN-101'!$Z$1:$Z$3000,'[1]MAIN-101'!$X$1:$X$3000,A140)</f>
        <v>#VALUE!</v>
      </c>
      <c r="E140" s="562">
        <f>SUMIFS('Recon of ORS and DV'!D:D,'Recon of ORS and DV'!B:B,'DV List'!A140)</f>
        <v>0</v>
      </c>
      <c r="F140" s="276" t="e">
        <f t="shared" si="2"/>
        <v>#VALUE!</v>
      </c>
      <c r="G140" t="s">
        <v>2662</v>
      </c>
    </row>
    <row r="141" spans="1:9">
      <c r="A141" t="s">
        <v>2481</v>
      </c>
      <c r="B141" t="str">
        <f>VLOOKUP(A141,'[1]MAIN-101'!$B$13:$M$787,4,FALSE)</f>
        <v>DTI-MDBF</v>
      </c>
      <c r="C141" t="str">
        <f>VLOOKUP(A141,'[1]MAIN-101'!$B$13:$M$787,12,FALSE)</f>
        <v>Remittance of MDBF of CARP employees for the month of January 2021</v>
      </c>
      <c r="D141" s="562" t="e">
        <f>SUMIFS('[1]MAIN-101'!$Z$1:$Z$3000,'[1]MAIN-101'!$X$1:$X$3000,A141)</f>
        <v>#VALUE!</v>
      </c>
      <c r="E141" s="562">
        <f>SUMIFS('Recon of ORS and DV'!D:D,'Recon of ORS and DV'!B:B,'DV List'!A141)</f>
        <v>0</v>
      </c>
      <c r="F141" s="276" t="e">
        <f t="shared" si="2"/>
        <v>#VALUE!</v>
      </c>
      <c r="G141" t="s">
        <v>2662</v>
      </c>
    </row>
    <row r="142" spans="1:9">
      <c r="A142" t="s">
        <v>2482</v>
      </c>
      <c r="B142" t="str">
        <f>VLOOKUP(A142,'[1]MAIN-101'!$B$13:$M$787,4,FALSE)</f>
        <v>Dreamco MPC</v>
      </c>
      <c r="C142" t="str">
        <f>VLOOKUP(A142,'[1]MAIN-101'!$B$13:$M$787,12,FALSE)</f>
        <v>Remittance of coop deductions ( additional remittance) for the month of January 2021</v>
      </c>
      <c r="D142" s="562" t="e">
        <f>SUMIFS('[1]MAIN-101'!$Z$1:$Z$3000,'[1]MAIN-101'!$X$1:$X$3000,A142)</f>
        <v>#VALUE!</v>
      </c>
      <c r="E142" s="562">
        <f>SUMIFS('Recon of ORS and DV'!D:D,'Recon of ORS and DV'!B:B,'DV List'!A142)</f>
        <v>0</v>
      </c>
      <c r="F142" s="276" t="e">
        <f t="shared" si="2"/>
        <v>#VALUE!</v>
      </c>
      <c r="G142" t="s">
        <v>2662</v>
      </c>
    </row>
    <row r="143" spans="1:9">
      <c r="A143" t="s">
        <v>2088</v>
      </c>
      <c r="B143" t="str">
        <f>VLOOKUP(A143,'[1]MAIN-101'!$B$13:$M$787,4,FALSE)</f>
        <v>Land Bank of the Philippines</v>
      </c>
      <c r="C143" t="str">
        <f>VLOOKUP(A143,'[1]MAIN-101'!$B$13:$M$787,12,FALSE)</f>
        <v>Payment for RATA for February 2021</v>
      </c>
      <c r="D143" s="562" t="e">
        <f>SUMIFS('[1]MAIN-101'!$Z$1:$Z$3000,'[1]MAIN-101'!$X$1:$X$3000,A143)</f>
        <v>#VALUE!</v>
      </c>
      <c r="E143" s="562" t="e">
        <f>SUMIFS('Recon of ORS and DV'!D:D,'Recon of ORS and DV'!B:B,'DV List'!A143)</f>
        <v>#VALUE!</v>
      </c>
      <c r="F143" s="276" t="e">
        <f t="shared" si="2"/>
        <v>#VALUE!</v>
      </c>
    </row>
    <row r="144" spans="1:9">
      <c r="A144" t="s">
        <v>2483</v>
      </c>
      <c r="B144" t="str">
        <f>VLOOKUP(A144,'[1]MAIN-101'!$B$13:$M$787,4,FALSE)</f>
        <v>DREAMCO</v>
      </c>
      <c r="C144" t="str">
        <f>VLOOKUP(A144,'[1]MAIN-101'!$B$13:$M$787,12,FALSE)</f>
        <v>Remittance coop deductions from RATA for February 2021</v>
      </c>
      <c r="D144" s="562" t="e">
        <f>SUMIFS('[1]MAIN-101'!$Z$1:$Z$3000,'[1]MAIN-101'!$X$1:$X$3000,A144)</f>
        <v>#VALUE!</v>
      </c>
      <c r="E144" s="562">
        <f>SUMIFS('Recon of ORS and DV'!D:D,'Recon of ORS and DV'!B:B,'DV List'!A144)</f>
        <v>0</v>
      </c>
      <c r="F144" s="276" t="e">
        <f t="shared" si="2"/>
        <v>#VALUE!</v>
      </c>
      <c r="G144" t="s">
        <v>2662</v>
      </c>
    </row>
    <row r="145" spans="1:6">
      <c r="A145" t="s">
        <v>2093</v>
      </c>
      <c r="B145" t="str">
        <f>VLOOKUP(A145,'[1]MAIN-101'!$B$13:$M$787,4,FALSE)</f>
        <v>PD, DTI-AD N</v>
      </c>
      <c r="C145" t="str">
        <f>VLOOKUP(A145,'[1]MAIN-101'!$B$13:$M$787,12,FALSE)</f>
        <v>Advances to the SSF MOOE 2021 for the cosultancy/ repair of defective SSF Equipments</v>
      </c>
      <c r="D145" s="562" t="e">
        <f>SUMIFS('[1]MAIN-101'!$Z$1:$Z$3000,'[1]MAIN-101'!$X$1:$X$3000,A145)</f>
        <v>#VALUE!</v>
      </c>
      <c r="E145" s="562" t="e">
        <f>SUMIFS('Recon of ORS and DV'!D:D,'Recon of ORS and DV'!B:B,'DV List'!A145)</f>
        <v>#VALUE!</v>
      </c>
      <c r="F145" s="276" t="e">
        <f t="shared" si="2"/>
        <v>#VALUE!</v>
      </c>
    </row>
    <row r="146" spans="1:6">
      <c r="A146" t="s">
        <v>2097</v>
      </c>
      <c r="B146" t="str">
        <f>VLOOKUP(A146,'[1]MAIN-101'!$B$13:$M$787,4,FALSE)</f>
        <v>PD, DTI-AD N</v>
      </c>
      <c r="C146" t="str">
        <f>VLOOKUP(A146,'[1]MAIN-101'!$B$13:$M$787,12,FALSE)</f>
        <v>Advances to the IDD Regular MOOE OO2 2021-1st quarter 2021</v>
      </c>
      <c r="D146" s="562" t="e">
        <f>SUMIFS('[1]MAIN-101'!$Z$1:$Z$3000,'[1]MAIN-101'!$X$1:$X$3000,A146)</f>
        <v>#VALUE!</v>
      </c>
      <c r="E146" s="562" t="e">
        <f>SUMIFS('Recon of ORS and DV'!D:D,'Recon of ORS and DV'!B:B,'DV List'!A146)</f>
        <v>#VALUE!</v>
      </c>
      <c r="F146" s="276" t="e">
        <f t="shared" si="2"/>
        <v>#VALUE!</v>
      </c>
    </row>
    <row r="147" spans="1:6">
      <c r="A147" t="s">
        <v>2098</v>
      </c>
      <c r="B147" t="str">
        <f>VLOOKUP(A147,'[1]MAIN-101'!$B$13:$M$787,4,FALSE)</f>
        <v>OIC, DTI-ADS</v>
      </c>
      <c r="C147" t="str">
        <f>VLOOKUP(A147,'[1]MAIN-101'!$B$13:$M$787,12,FALSE)</f>
        <v>Advances to the IDD Regular MOOE OO2 2021-1st quarter 2021</v>
      </c>
      <c r="D147" s="562" t="e">
        <f>SUMIFS('[1]MAIN-101'!$Z$1:$Z$3000,'[1]MAIN-101'!$X$1:$X$3000,A147)</f>
        <v>#VALUE!</v>
      </c>
      <c r="E147" s="562" t="e">
        <f>SUMIFS('Recon of ORS and DV'!D:D,'Recon of ORS and DV'!B:B,'DV List'!A147)</f>
        <v>#VALUE!</v>
      </c>
      <c r="F147" s="276" t="e">
        <f t="shared" si="2"/>
        <v>#VALUE!</v>
      </c>
    </row>
    <row r="148" spans="1:6">
      <c r="A148" t="s">
        <v>2099</v>
      </c>
      <c r="B148" t="str">
        <f>VLOOKUP(A148,'[1]MAIN-101'!$B$13:$M$787,4,FALSE)</f>
        <v>PD, DTI-SDN</v>
      </c>
      <c r="C148" t="str">
        <f>VLOOKUP(A148,'[1]MAIN-101'!$B$13:$M$787,12,FALSE)</f>
        <v>Advances to the IDD Regular MOOE OO2 2021-1st quarter 2021</v>
      </c>
      <c r="D148" s="562" t="e">
        <f>SUMIFS('[1]MAIN-101'!$Z$1:$Z$3000,'[1]MAIN-101'!$X$1:$X$3000,A148)</f>
        <v>#VALUE!</v>
      </c>
      <c r="E148" s="562" t="e">
        <f>SUMIFS('Recon of ORS and DV'!D:D,'Recon of ORS and DV'!B:B,'DV List'!A148)</f>
        <v>#VALUE!</v>
      </c>
      <c r="F148" s="276" t="e">
        <f t="shared" si="2"/>
        <v>#VALUE!</v>
      </c>
    </row>
    <row r="149" spans="1:6">
      <c r="A149" t="s">
        <v>2100</v>
      </c>
      <c r="B149" t="str">
        <f>VLOOKUP(A149,'[1]MAIN-101'!$B$13:$M$787,4,FALSE)</f>
        <v>PD, DTI-SDS</v>
      </c>
      <c r="C149" t="str">
        <f>VLOOKUP(A149,'[1]MAIN-101'!$B$13:$M$787,12,FALSE)</f>
        <v>Advances to the IDD Regular MOOE OO2 2021-1st quarter 2021</v>
      </c>
      <c r="D149" s="562" t="e">
        <f>SUMIFS('[1]MAIN-101'!$Z$1:$Z$3000,'[1]MAIN-101'!$X$1:$X$3000,A149)</f>
        <v>#VALUE!</v>
      </c>
      <c r="E149" s="562" t="e">
        <f>SUMIFS('Recon of ORS and DV'!D:D,'Recon of ORS and DV'!B:B,'DV List'!A149)</f>
        <v>#VALUE!</v>
      </c>
      <c r="F149" s="276" t="e">
        <f t="shared" si="2"/>
        <v>#VALUE!</v>
      </c>
    </row>
    <row r="150" spans="1:6">
      <c r="A150" t="s">
        <v>2101</v>
      </c>
      <c r="B150" t="str">
        <f>VLOOKUP(A150,'[1]MAIN-101'!$B$13:$M$787,4,FALSE)</f>
        <v>PD, DTI-PDI</v>
      </c>
      <c r="C150" t="str">
        <f>VLOOKUP(A150,'[1]MAIN-101'!$B$13:$M$787,12,FALSE)</f>
        <v>Advances to the IDD Regular MOOE OO2 2021-1st quarter 2021</v>
      </c>
      <c r="D150" s="562" t="e">
        <f>SUMIFS('[1]MAIN-101'!$Z$1:$Z$3000,'[1]MAIN-101'!$X$1:$X$3000,A150)</f>
        <v>#VALUE!</v>
      </c>
      <c r="E150" s="562" t="e">
        <f>SUMIFS('Recon of ORS and DV'!D:D,'Recon of ORS and DV'!B:B,'DV List'!A150)</f>
        <v>#VALUE!</v>
      </c>
      <c r="F150" s="276" t="e">
        <f t="shared" si="2"/>
        <v>#VALUE!</v>
      </c>
    </row>
    <row r="151" spans="1:6">
      <c r="A151" t="s">
        <v>2102</v>
      </c>
      <c r="B151" t="str">
        <f>VLOOKUP(A151,'[1]MAIN-101'!$B$13:$M$787,4,FALSE)</f>
        <v>PD, DTI-AD N</v>
      </c>
      <c r="C151" t="str">
        <f>VLOOKUP(A151,'[1]MAIN-101'!$B$13:$M$787,12,FALSE)</f>
        <v>Advances to the IDD Regular MOOE OO1 2021-1st quarter 2021</v>
      </c>
      <c r="D151" s="562" t="e">
        <f>SUMIFS('[1]MAIN-101'!$Z$1:$Z$3000,'[1]MAIN-101'!$X$1:$X$3000,A151)</f>
        <v>#VALUE!</v>
      </c>
      <c r="E151" s="562" t="e">
        <f>SUMIFS('Recon of ORS and DV'!D:D,'Recon of ORS and DV'!B:B,'DV List'!A151)</f>
        <v>#VALUE!</v>
      </c>
      <c r="F151" s="276" t="e">
        <f t="shared" si="2"/>
        <v>#VALUE!</v>
      </c>
    </row>
    <row r="152" spans="1:6">
      <c r="A152" t="s">
        <v>2103</v>
      </c>
      <c r="B152" t="str">
        <f>VLOOKUP(A152,'[1]MAIN-101'!$B$13:$M$787,4,FALSE)</f>
        <v>OIC, DTI-ADS</v>
      </c>
      <c r="C152" t="str">
        <f>VLOOKUP(A152,'[1]MAIN-101'!$B$13:$M$787,12,FALSE)</f>
        <v>Advances to the IDD Regular MOOE OO1 2021-1st quarter 2021</v>
      </c>
      <c r="D152" s="562" t="e">
        <f>SUMIFS('[1]MAIN-101'!$Z$1:$Z$3000,'[1]MAIN-101'!$X$1:$X$3000,A152)</f>
        <v>#VALUE!</v>
      </c>
      <c r="E152" s="562" t="e">
        <f>SUMIFS('Recon of ORS and DV'!D:D,'Recon of ORS and DV'!B:B,'DV List'!A152)</f>
        <v>#VALUE!</v>
      </c>
      <c r="F152" s="276" t="e">
        <f t="shared" si="2"/>
        <v>#VALUE!</v>
      </c>
    </row>
    <row r="153" spans="1:6">
      <c r="A153" t="s">
        <v>2104</v>
      </c>
      <c r="B153" t="str">
        <f>VLOOKUP(A153,'[1]MAIN-101'!$B$13:$M$787,4,FALSE)</f>
        <v>PD, DTI-SDN</v>
      </c>
      <c r="C153" t="str">
        <f>VLOOKUP(A153,'[1]MAIN-101'!$B$13:$M$787,12,FALSE)</f>
        <v>Advances to the IDD Regular MOOE OO1 2021-1st quarter 2021</v>
      </c>
      <c r="D153" s="562" t="e">
        <f>SUMIFS('[1]MAIN-101'!$Z$1:$Z$3000,'[1]MAIN-101'!$X$1:$X$3000,A153)</f>
        <v>#VALUE!</v>
      </c>
      <c r="E153" s="562" t="e">
        <f>SUMIFS('Recon of ORS and DV'!D:D,'Recon of ORS and DV'!B:B,'DV List'!A153)</f>
        <v>#VALUE!</v>
      </c>
      <c r="F153" s="276" t="e">
        <f t="shared" si="2"/>
        <v>#VALUE!</v>
      </c>
    </row>
    <row r="154" spans="1:6">
      <c r="A154" t="s">
        <v>2105</v>
      </c>
      <c r="B154" t="str">
        <f>VLOOKUP(A154,'[1]MAIN-101'!$B$13:$M$787,4,FALSE)</f>
        <v>PD, DTI-SDS</v>
      </c>
      <c r="C154" t="str">
        <f>VLOOKUP(A154,'[1]MAIN-101'!$B$13:$M$787,12,FALSE)</f>
        <v>Advances to the IDD Regular MOOE OO1 2021-1st quarter 2021</v>
      </c>
      <c r="D154" s="562" t="e">
        <f>SUMIFS('[1]MAIN-101'!$Z$1:$Z$3000,'[1]MAIN-101'!$X$1:$X$3000,A154)</f>
        <v>#VALUE!</v>
      </c>
      <c r="E154" s="562" t="e">
        <f>SUMIFS('Recon of ORS and DV'!D:D,'Recon of ORS and DV'!B:B,'DV List'!A154)</f>
        <v>#VALUE!</v>
      </c>
      <c r="F154" s="276" t="e">
        <f t="shared" si="2"/>
        <v>#VALUE!</v>
      </c>
    </row>
    <row r="155" spans="1:6">
      <c r="A155" t="s">
        <v>2106</v>
      </c>
      <c r="B155" t="str">
        <f>VLOOKUP(A155,'[1]MAIN-101'!$B$13:$M$787,4,FALSE)</f>
        <v>PD, DTI-PDI</v>
      </c>
      <c r="C155" t="str">
        <f>VLOOKUP(A155,'[1]MAIN-101'!$B$13:$M$787,12,FALSE)</f>
        <v>Advances to the IDD Regular MOOE OO1 2021-1st quarter 2021</v>
      </c>
      <c r="D155" s="562" t="e">
        <f>SUMIFS('[1]MAIN-101'!$Z$1:$Z$3000,'[1]MAIN-101'!$X$1:$X$3000,A155)</f>
        <v>#VALUE!</v>
      </c>
      <c r="E155" s="562" t="e">
        <f>SUMIFS('Recon of ORS and DV'!D:D,'Recon of ORS and DV'!B:B,'DV List'!A155)</f>
        <v>#VALUE!</v>
      </c>
      <c r="F155" s="276" t="e">
        <f t="shared" si="2"/>
        <v>#VALUE!</v>
      </c>
    </row>
    <row r="156" spans="1:6">
      <c r="A156" t="s">
        <v>2109</v>
      </c>
      <c r="B156" t="str">
        <f>VLOOKUP(A156,'[1]MAIN-101'!$B$13:$M$787,4,FALSE)</f>
        <v>PD, DTI-AD N</v>
      </c>
      <c r="C156" t="str">
        <f>VLOOKUP(A156,'[1]MAIN-101'!$B$13:$M$787,12,FALSE)</f>
        <v>Advances, regular MOOE for January and February 2021</v>
      </c>
      <c r="D156" s="562" t="e">
        <f>SUMIFS('[1]MAIN-101'!$Z$1:$Z$3000,'[1]MAIN-101'!$X$1:$X$3000,A156)</f>
        <v>#VALUE!</v>
      </c>
      <c r="E156" s="562" t="e">
        <f>SUMIFS('Recon of ORS and DV'!D:D,'Recon of ORS and DV'!B:B,'DV List'!A156)</f>
        <v>#VALUE!</v>
      </c>
      <c r="F156" s="276" t="e">
        <f t="shared" si="2"/>
        <v>#VALUE!</v>
      </c>
    </row>
    <row r="157" spans="1:6">
      <c r="A157" t="s">
        <v>2110</v>
      </c>
      <c r="B157" t="str">
        <f>VLOOKUP(A157,'[1]MAIN-101'!$B$13:$M$787,4,FALSE)</f>
        <v>OIC, DTI-ADS</v>
      </c>
      <c r="C157" t="str">
        <f>VLOOKUP(A157,'[1]MAIN-101'!$B$13:$M$787,12,FALSE)</f>
        <v>Advances, regular MOOE for January and February 2021</v>
      </c>
      <c r="D157" s="562" t="e">
        <f>SUMIFS('[1]MAIN-101'!$Z$1:$Z$3000,'[1]MAIN-101'!$X$1:$X$3000,A157)</f>
        <v>#VALUE!</v>
      </c>
      <c r="E157" s="562" t="e">
        <f>SUMIFS('Recon of ORS and DV'!D:D,'Recon of ORS and DV'!B:B,'DV List'!A157)</f>
        <v>#VALUE!</v>
      </c>
      <c r="F157" s="276" t="e">
        <f t="shared" si="2"/>
        <v>#VALUE!</v>
      </c>
    </row>
    <row r="158" spans="1:6">
      <c r="A158" t="s">
        <v>2111</v>
      </c>
      <c r="B158" t="str">
        <f>VLOOKUP(A158,'[1]MAIN-101'!$B$13:$M$787,4,FALSE)</f>
        <v>OIC, DTI-SDN</v>
      </c>
      <c r="C158" t="str">
        <f>VLOOKUP(A158,'[1]MAIN-101'!$B$13:$M$787,12,FALSE)</f>
        <v>Advances, regular MOOE for January and February 2021</v>
      </c>
      <c r="D158" s="562" t="e">
        <f>SUMIFS('[1]MAIN-101'!$Z$1:$Z$3000,'[1]MAIN-101'!$X$1:$X$3000,A158)</f>
        <v>#VALUE!</v>
      </c>
      <c r="E158" s="562" t="e">
        <f>SUMIFS('Recon of ORS and DV'!D:D,'Recon of ORS and DV'!B:B,'DV List'!A158)</f>
        <v>#VALUE!</v>
      </c>
      <c r="F158" s="276" t="e">
        <f t="shared" si="2"/>
        <v>#VALUE!</v>
      </c>
    </row>
    <row r="159" spans="1:6">
      <c r="A159" t="s">
        <v>2112</v>
      </c>
      <c r="B159" t="str">
        <f>VLOOKUP(A159,'[1]MAIN-101'!$B$13:$M$787,4,FALSE)</f>
        <v>PD, DTI-SDS</v>
      </c>
      <c r="C159" t="str">
        <f>VLOOKUP(A159,'[1]MAIN-101'!$B$13:$M$787,12,FALSE)</f>
        <v>Advances, regular MOOE for January and February 2021</v>
      </c>
      <c r="D159" s="562" t="e">
        <f>SUMIFS('[1]MAIN-101'!$Z$1:$Z$3000,'[1]MAIN-101'!$X$1:$X$3000,A159)</f>
        <v>#VALUE!</v>
      </c>
      <c r="E159" s="562" t="e">
        <f>SUMIFS('Recon of ORS and DV'!D:D,'Recon of ORS and DV'!B:B,'DV List'!A159)</f>
        <v>#VALUE!</v>
      </c>
      <c r="F159" s="276" t="e">
        <f t="shared" si="2"/>
        <v>#VALUE!</v>
      </c>
    </row>
    <row r="160" spans="1:6">
      <c r="A160" t="s">
        <v>2113</v>
      </c>
      <c r="B160" t="str">
        <f>VLOOKUP(A160,'[1]MAIN-101'!$B$13:$M$787,4,FALSE)</f>
        <v>PD, DTI-PDI</v>
      </c>
      <c r="C160" t="str">
        <f>VLOOKUP(A160,'[1]MAIN-101'!$B$13:$M$787,12,FALSE)</f>
        <v>Advances, regular MOOE for January and February 2021</v>
      </c>
      <c r="D160" s="562" t="e">
        <f>SUMIFS('[1]MAIN-101'!$Z$1:$Z$3000,'[1]MAIN-101'!$X$1:$X$3000,A160)</f>
        <v>#VALUE!</v>
      </c>
      <c r="E160" s="562" t="e">
        <f>SUMIFS('Recon of ORS and DV'!D:D,'Recon of ORS and DV'!B:B,'DV List'!A160)</f>
        <v>#VALUE!</v>
      </c>
      <c r="F160" s="276" t="e">
        <f t="shared" si="2"/>
        <v>#VALUE!</v>
      </c>
    </row>
    <row r="161" spans="1:9">
      <c r="A161" t="s">
        <v>2114</v>
      </c>
      <c r="B161" t="str">
        <f>VLOOKUP(A161,'[1]MAIN-101'!$B$13:$M$787,4,FALSE)</f>
        <v>LBP F/O DTI-JO</v>
      </c>
      <c r="C161" t="str">
        <f>VLOOKUP(A161,'[1]MAIN-101'!$B$13:$M$787,12,FALSE)</f>
        <v>Payment for JO for the period January 16-31, 2021</v>
      </c>
      <c r="D161" s="562" t="e">
        <f>SUMIFS('[1]MAIN-101'!$Z$1:$Z$3000,'[1]MAIN-101'!$X$1:$X$3000,A161)</f>
        <v>#VALUE!</v>
      </c>
      <c r="E161" s="562" t="e">
        <f>SUMIFS('Recon of ORS and DV'!D:D,'Recon of ORS and DV'!B:B,'DV List'!A161)</f>
        <v>#VALUE!</v>
      </c>
      <c r="F161" s="276" t="e">
        <f t="shared" si="2"/>
        <v>#VALUE!</v>
      </c>
    </row>
    <row r="162" spans="1:9">
      <c r="A162" t="s">
        <v>2115</v>
      </c>
      <c r="B162" t="str">
        <f>VLOOKUP(A162,'[1]MAIN-101'!$B$13:$M$787,4,FALSE)</f>
        <v>LBP F/O DTI-JO</v>
      </c>
      <c r="C162" t="str">
        <f>VLOOKUP(A162,'[1]MAIN-101'!$B$13:$M$787,12,FALSE)</f>
        <v>Payment for JO for the period January 16-31, 2021</v>
      </c>
      <c r="D162" s="562" t="e">
        <f>SUMIFS('[1]MAIN-101'!$Z$1:$Z$3000,'[1]MAIN-101'!$X$1:$X$3000,A162)</f>
        <v>#VALUE!</v>
      </c>
      <c r="E162" s="562" t="e">
        <f>SUMIFS('Recon of ORS and DV'!D:D,'Recon of ORS and DV'!B:B,'DV List'!A162)</f>
        <v>#VALUE!</v>
      </c>
      <c r="F162" s="276" t="e">
        <f t="shared" si="2"/>
        <v>#VALUE!</v>
      </c>
    </row>
    <row r="163" spans="1:9">
      <c r="A163" t="s">
        <v>2484</v>
      </c>
      <c r="B163" t="str">
        <f>VLOOKUP(A163,'[1]MAIN-101'!$B$13:$M$787,4,FALSE)</f>
        <v>LBP F/O Honoraria of the KMME Panelist</v>
      </c>
      <c r="C163" t="str">
        <f>VLOOKUP(A163,'[1]MAIN-101'!$B$13:$M$787,12,FALSE)</f>
        <v>Honoraria of panelist during KMME Online class session batch 1 BIP presentation on September 21-23, 2020 thru zoom app</v>
      </c>
      <c r="D163" s="562" t="e">
        <f>SUMIFS('[1]MAIN-101'!$Z$1:$Z$3000,'[1]MAIN-101'!$X$1:$X$3000,A163)</f>
        <v>#VALUE!</v>
      </c>
      <c r="E163" s="562">
        <f>SUMIFS('Recon of ORS and DV'!D:D,'Recon of ORS and DV'!B:B,'DV List'!A163)</f>
        <v>0</v>
      </c>
      <c r="F163" s="276" t="e">
        <f t="shared" si="2"/>
        <v>#VALUE!</v>
      </c>
      <c r="G163" t="s">
        <v>392</v>
      </c>
      <c r="H163" t="str">
        <f>VLOOKUP(A163,'[1]MAIN-101'!$B$8:$D$783,2,FALSE)</f>
        <v>12</v>
      </c>
      <c r="I163" t="str">
        <f>VLOOKUP(A163,'[1]MAIN-101'!$B$8:$D$783,3,FALSE)</f>
        <v>1906</v>
      </c>
    </row>
    <row r="164" spans="1:9">
      <c r="A164" t="s">
        <v>2485</v>
      </c>
      <c r="B164" t="str">
        <f>VLOOKUP(A164,'[1]MAIN-101'!$B$13:$M$787,4,FALSE)</f>
        <v>Berfabs Arts and Crafts Manufacturing</v>
      </c>
      <c r="C164" t="str">
        <f>VLOOKUP(A164,'[1]MAIN-101'!$B$13:$M$787,12,FALSE)</f>
        <v>Payment of token (customized tumbler) for mentees during the KMME Graduation Batch 2 on December 7, 2020.</v>
      </c>
      <c r="D164" s="562" t="e">
        <f>SUMIFS('[1]MAIN-101'!$Z$1:$Z$3000,'[1]MAIN-101'!$X$1:$X$3000,A164)</f>
        <v>#VALUE!</v>
      </c>
      <c r="E164" s="562">
        <f>SUMIFS('Recon of ORS and DV'!D:D,'Recon of ORS and DV'!B:B,'DV List'!A164)</f>
        <v>0</v>
      </c>
      <c r="F164" s="276" t="e">
        <f t="shared" si="2"/>
        <v>#VALUE!</v>
      </c>
      <c r="G164" t="s">
        <v>392</v>
      </c>
      <c r="H164" t="str">
        <f>VLOOKUP(A164,'[1]MAIN-101'!$B$8:$D$783,2,FALSE)</f>
        <v>12</v>
      </c>
      <c r="I164" t="str">
        <f>VLOOKUP(A164,'[1]MAIN-101'!$B$8:$D$783,3,FALSE)</f>
        <v>2022</v>
      </c>
    </row>
    <row r="165" spans="1:9">
      <c r="A165" t="s">
        <v>2486</v>
      </c>
      <c r="B165" t="str">
        <f>VLOOKUP(A165,'[1]MAIN-101'!$B$13:$M$787,4,FALSE)</f>
        <v>Create Food, Inc</v>
      </c>
      <c r="C165" t="str">
        <f>VLOOKUP(A165,'[1]MAIN-101'!$B$13:$M$787,12,FALSE)</f>
        <v>Payment for the tokens during the conduct of grand launching of OTOP PH Hub at SM City Butuan on December 18, 2020</v>
      </c>
      <c r="D165" s="562" t="e">
        <f>SUMIFS('[1]MAIN-101'!$Z$1:$Z$3000,'[1]MAIN-101'!$X$1:$X$3000,A165)</f>
        <v>#VALUE!</v>
      </c>
      <c r="E165" s="562">
        <f>SUMIFS('Recon of ORS and DV'!D:D,'Recon of ORS and DV'!B:B,'DV List'!A165)</f>
        <v>0</v>
      </c>
      <c r="F165" s="276" t="e">
        <f t="shared" si="2"/>
        <v>#VALUE!</v>
      </c>
      <c r="G165" t="s">
        <v>392</v>
      </c>
      <c r="H165" t="str">
        <f>VLOOKUP(A165,'[1]MAIN-101'!$B$8:$D$783,2,FALSE)</f>
        <v>12</v>
      </c>
      <c r="I165" t="str">
        <f>VLOOKUP(A165,'[1]MAIN-101'!$B$8:$D$783,3,FALSE)</f>
        <v>2005</v>
      </c>
    </row>
    <row r="166" spans="1:9">
      <c r="A166" t="s">
        <v>2487</v>
      </c>
      <c r="B166" t="str">
        <f>VLOOKUP(A166,'[1]MAIN-101'!$B$13:$M$787,4,FALSE)</f>
        <v>Renato S. Corvera Jr.</v>
      </c>
      <c r="C166" t="str">
        <f>VLOOKUP(A166,'[1]MAIN-101'!$B$13:$M$787,12,FALSE)</f>
        <v>Refund of GSIS-Emergency Loan deduction for the month of January 2021</v>
      </c>
      <c r="D166" s="562" t="e">
        <f>SUMIFS('[1]MAIN-101'!$Z$1:$Z$3000,'[1]MAIN-101'!$X$1:$X$3000,A166)</f>
        <v>#VALUE!</v>
      </c>
      <c r="E166" s="562">
        <f>SUMIFS('Recon of ORS and DV'!D:D,'Recon of ORS and DV'!B:B,'DV List'!A166)</f>
        <v>0</v>
      </c>
      <c r="F166" s="276" t="e">
        <f t="shared" si="2"/>
        <v>#VALUE!</v>
      </c>
      <c r="G166" t="s">
        <v>2663</v>
      </c>
    </row>
    <row r="167" spans="1:9">
      <c r="A167" t="s">
        <v>2089</v>
      </c>
      <c r="B167" t="str">
        <f>VLOOKUP(A167,'[1]MAIN-101'!$B$13:$M$787,4,FALSE)</f>
        <v>Edwin O. Banquerigo</v>
      </c>
      <c r="C167" t="str">
        <f>VLOOKUP(A167,'[1]MAIN-101'!$B$13:$M$787,12,FALSE)</f>
        <v>Payment for the  extraordinary expenses</v>
      </c>
      <c r="D167" s="562" t="e">
        <f>SUMIFS('[1]MAIN-101'!$Z$1:$Z$3000,'[1]MAIN-101'!$X$1:$X$3000,A167)</f>
        <v>#VALUE!</v>
      </c>
      <c r="E167" s="562" t="e">
        <f>SUMIFS('Recon of ORS and DV'!D:D,'Recon of ORS and DV'!B:B,'DV List'!A167)</f>
        <v>#VALUE!</v>
      </c>
      <c r="F167" s="276" t="e">
        <f t="shared" si="2"/>
        <v>#VALUE!</v>
      </c>
    </row>
    <row r="168" spans="1:9">
      <c r="A168" t="s">
        <v>2090</v>
      </c>
      <c r="B168" t="str">
        <f>VLOOKUP(A168,'[1]MAIN-101'!$B$13:$M$787,4,FALSE)</f>
        <v>Land Bank of the Philippines</v>
      </c>
      <c r="C168" t="str">
        <f>VLOOKUP(A168,'[1]MAIN-101'!$B$13:$M$787,12,FALSE)</f>
        <v>Reimbursement of RATA for January 2021</v>
      </c>
      <c r="D168" s="562" t="e">
        <f>SUMIFS('[1]MAIN-101'!$Z$1:$Z$3000,'[1]MAIN-101'!$X$1:$X$3000,A168)</f>
        <v>#VALUE!</v>
      </c>
      <c r="E168" s="562" t="e">
        <f>SUMIFS('Recon of ORS and DV'!D:D,'Recon of ORS and DV'!B:B,'DV List'!A168)</f>
        <v>#VALUE!</v>
      </c>
      <c r="F168" s="276" t="e">
        <f t="shared" si="2"/>
        <v>#VALUE!</v>
      </c>
    </row>
    <row r="169" spans="1:9">
      <c r="A169" t="s">
        <v>2488</v>
      </c>
      <c r="B169" t="str">
        <f>VLOOKUP(A169,'[1]MAIN-101'!$B$13:$M$787,4,FALSE)</f>
        <v>Papelemento Visual Arts &amp; scenography</v>
      </c>
      <c r="C169" t="str">
        <f>VLOOKUP(A169,'[1]MAIN-101'!$B$13:$M$787,12,FALSE)</f>
        <v>Payment for the tokens during the soft launching of OTOP PH Hub at SM City Butuan on November 13, 2020</v>
      </c>
      <c r="D169" s="562" t="e">
        <f>SUMIFS('[1]MAIN-101'!$Z$1:$Z$3000,'[1]MAIN-101'!$X$1:$X$3000,A169)</f>
        <v>#VALUE!</v>
      </c>
      <c r="E169" s="562">
        <f>SUMIFS('Recon of ORS and DV'!D:D,'Recon of ORS and DV'!B:B,'DV List'!A169)</f>
        <v>0</v>
      </c>
      <c r="F169" s="276" t="e">
        <f t="shared" si="2"/>
        <v>#VALUE!</v>
      </c>
      <c r="G169" t="s">
        <v>392</v>
      </c>
      <c r="H169" t="str">
        <f>VLOOKUP(A169,'[1]MAIN-101'!$B$8:$D$783,2,FALSE)</f>
        <v>12</v>
      </c>
      <c r="I169" t="str">
        <f>VLOOKUP(A169,'[1]MAIN-101'!$B$8:$D$783,3,FALSE)</f>
        <v>1885</v>
      </c>
    </row>
    <row r="170" spans="1:9">
      <c r="A170" t="s">
        <v>2107</v>
      </c>
      <c r="B170" t="str">
        <f>VLOOKUP(A170,'[1]MAIN-101'!$B$13:$M$787,4,FALSE)</f>
        <v>Arleen P. Pahamtang</v>
      </c>
      <c r="C170" t="str">
        <f>VLOOKUP(A170,'[1]MAIN-101'!$B$13:$M$787,12,FALSE)</f>
        <v>Petty cash fund replenishment 2021-02-002 Jan 21- Feb 3, 2021</v>
      </c>
      <c r="D170" s="562" t="e">
        <f>SUMIFS('[1]MAIN-101'!$Z$1:$Z$3000,'[1]MAIN-101'!$X$1:$X$3000,A170)</f>
        <v>#VALUE!</v>
      </c>
      <c r="E170" s="562" t="e">
        <f>SUMIFS('Recon of ORS and DV'!D:D,'Recon of ORS and DV'!B:B,'DV List'!A170)</f>
        <v>#VALUE!</v>
      </c>
      <c r="F170" s="276" t="e">
        <f t="shared" si="2"/>
        <v>#VALUE!</v>
      </c>
    </row>
    <row r="171" spans="1:9">
      <c r="A171" t="s">
        <v>2108</v>
      </c>
      <c r="B171" t="str">
        <f>VLOOKUP(A171,'[1]MAIN-101'!$B$13:$M$787,4,FALSE)</f>
        <v>Busa Interbiz Center</v>
      </c>
      <c r="C171" t="str">
        <f>VLOOKUP(A171,'[1]MAIN-101'!$B$13:$M$787,12,FALSE)</f>
        <v>Payment for subscription expense- newspaper for the period January 2021</v>
      </c>
      <c r="D171" s="562" t="e">
        <f>SUMIFS('[1]MAIN-101'!$Z$1:$Z$3000,'[1]MAIN-101'!$X$1:$X$3000,A171)</f>
        <v>#VALUE!</v>
      </c>
      <c r="E171" s="562" t="e">
        <f>SUMIFS('Recon of ORS and DV'!D:D,'Recon of ORS and DV'!B:B,'DV List'!A171)</f>
        <v>#VALUE!</v>
      </c>
      <c r="F171" s="276" t="e">
        <f t="shared" si="2"/>
        <v>#VALUE!</v>
      </c>
    </row>
    <row r="172" spans="1:9">
      <c r="A172" t="s">
        <v>2094</v>
      </c>
      <c r="B172" t="str">
        <f>VLOOKUP(A172,'[1]MAIN-101'!$B$13:$M$787,4,FALSE)</f>
        <v>Freedcarmariam D. Gonzaga</v>
      </c>
      <c r="C172" t="str">
        <f>VLOOKUP(A172,'[1]MAIN-101'!$B$13:$M$787,12,FALSE)</f>
        <v>Travel expenses incurred during the SSF Monitoring and validation visit in VARARBEMCO and ASSAT last January 20, 2021</v>
      </c>
      <c r="D172" s="562" t="e">
        <f>SUMIFS('[1]MAIN-101'!$Z$1:$Z$3000,'[1]MAIN-101'!$X$1:$X$3000,A172)</f>
        <v>#VALUE!</v>
      </c>
      <c r="E172" s="562" t="e">
        <f>SUMIFS('Recon of ORS and DV'!D:D,'Recon of ORS and DV'!B:B,'DV List'!A172)</f>
        <v>#VALUE!</v>
      </c>
      <c r="F172" s="276" t="e">
        <f t="shared" si="2"/>
        <v>#VALUE!</v>
      </c>
    </row>
    <row r="173" spans="1:9">
      <c r="A173" t="s">
        <v>2095</v>
      </c>
      <c r="B173" t="str">
        <f>VLOOKUP(A173,'[1]MAIN-101'!$B$13:$M$787,4,FALSE)</f>
        <v>Ira S. Mantilla</v>
      </c>
      <c r="C173" t="str">
        <f>VLOOKUP(A173,'[1]MAIN-101'!$B$13:$M$787,12,FALSE)</f>
        <v>Travel expenses incurred during the SSF Monitoring and validation visit in VARARBEMCO and ASSAT last January 20, 2021</v>
      </c>
      <c r="D173" s="562" t="e">
        <f>SUMIFS('[1]MAIN-101'!$Z$1:$Z$3000,'[1]MAIN-101'!$X$1:$X$3000,A173)</f>
        <v>#VALUE!</v>
      </c>
      <c r="E173" s="562" t="e">
        <f>SUMIFS('Recon of ORS and DV'!D:D,'Recon of ORS and DV'!B:B,'DV List'!A173)</f>
        <v>#VALUE!</v>
      </c>
      <c r="F173" s="276" t="e">
        <f t="shared" si="2"/>
        <v>#VALUE!</v>
      </c>
    </row>
    <row r="174" spans="1:9">
      <c r="A174" t="s">
        <v>2096</v>
      </c>
      <c r="B174" t="str">
        <f>VLOOKUP(A174,'[1]MAIN-101'!$B$13:$M$787,4,FALSE)</f>
        <v>Rey B. Acabo</v>
      </c>
      <c r="C174" t="str">
        <f>VLOOKUP(A174,'[1]MAIN-101'!$B$13:$M$787,12,FALSE)</f>
        <v>Travel expenses incurred during the SSF Monitoring and validation visit in VARARBEMCO and ASSAT last January 20, 2021</v>
      </c>
      <c r="D174" s="562" t="e">
        <f>SUMIFS('[1]MAIN-101'!$Z$1:$Z$3000,'[1]MAIN-101'!$X$1:$X$3000,A174)</f>
        <v>#VALUE!</v>
      </c>
      <c r="E174" s="562" t="e">
        <f>SUMIFS('Recon of ORS and DV'!D:D,'Recon of ORS and DV'!B:B,'DV List'!A174)</f>
        <v>#VALUE!</v>
      </c>
      <c r="F174" s="276" t="e">
        <f t="shared" si="2"/>
        <v>#VALUE!</v>
      </c>
    </row>
    <row r="175" spans="1:9">
      <c r="A175" t="s">
        <v>2489</v>
      </c>
      <c r="B175" t="str">
        <f>VLOOKUP(A175,'[1]MAIN-101'!$B$13:$M$787,4,FALSE)</f>
        <v>JCB Express Solution</v>
      </c>
      <c r="C175" t="str">
        <f>VLOOKUP(A175,'[1]MAIN-101'!$B$13:$M$787,12,FALSE)</f>
        <v>Payment for customized invitations for the OTOP PH Hub Launching last December 18, 2020</v>
      </c>
      <c r="D175" s="562" t="e">
        <f>SUMIFS('[1]MAIN-101'!$Z$1:$Z$3000,'[1]MAIN-101'!$X$1:$X$3000,A175)</f>
        <v>#VALUE!</v>
      </c>
      <c r="E175" s="562">
        <f>SUMIFS('Recon of ORS and DV'!D:D,'Recon of ORS and DV'!B:B,'DV List'!A175)</f>
        <v>0</v>
      </c>
      <c r="F175" s="276" t="e">
        <f t="shared" si="2"/>
        <v>#VALUE!</v>
      </c>
      <c r="G175" t="s">
        <v>392</v>
      </c>
      <c r="H175" t="str">
        <f>VLOOKUP(A175,'[1]MAIN-101'!$B$8:$D$783,2,FALSE)</f>
        <v>12</v>
      </c>
      <c r="I175" t="str">
        <f>VLOOKUP(A175,'[1]MAIN-101'!$B$8:$D$783,3,FALSE)</f>
        <v>2000</v>
      </c>
    </row>
    <row r="176" spans="1:9">
      <c r="A176" t="s">
        <v>2490</v>
      </c>
      <c r="B176" t="str">
        <f>VLOOKUP(A176,'[1]MAIN-101'!$B$13:$M$787,4,FALSE)</f>
        <v>Ralph O. Gorgonio</v>
      </c>
      <c r="C176" t="str">
        <f>VLOOKUP(A176,'[1]MAIN-101'!$B$13:$M$787,12,FALSE)</f>
        <v>Reimbursement  portable wifi modem for office of the RD</v>
      </c>
      <c r="D176" s="562" t="e">
        <f>SUMIFS('[1]MAIN-101'!$Z$1:$Z$3000,'[1]MAIN-101'!$X$1:$X$3000,A176)</f>
        <v>#VALUE!</v>
      </c>
      <c r="E176" s="562">
        <f>SUMIFS('Recon of ORS and DV'!D:D,'Recon of ORS and DV'!B:B,'DV List'!A176)</f>
        <v>0</v>
      </c>
      <c r="F176" s="276" t="e">
        <f t="shared" si="2"/>
        <v>#VALUE!</v>
      </c>
      <c r="G176" t="s">
        <v>392</v>
      </c>
      <c r="H176" t="str">
        <f>VLOOKUP(A176,'[1]MAIN-101'!$B$8:$D$783,2,FALSE)</f>
        <v>12</v>
      </c>
      <c r="I176" t="str">
        <f>VLOOKUP(A176,'[1]MAIN-101'!$B$8:$D$783,3,FALSE)</f>
        <v>2008</v>
      </c>
    </row>
    <row r="177" spans="1:9">
      <c r="A177" t="s">
        <v>2491</v>
      </c>
      <c r="B177" t="str">
        <f>VLOOKUP(A177,'[1]MAIN-101'!$B$13:$M$787,4,FALSE)</f>
        <v>Need Ink Sales and Services</v>
      </c>
      <c r="C177" t="str">
        <f>VLOOKUP(A177,'[1]MAIN-101'!$B$13:$M$787,12,FALSE)</f>
        <v>Payment for printer toners for ORD use</v>
      </c>
      <c r="D177" s="562" t="e">
        <f>SUMIFS('[1]MAIN-101'!$Z$1:$Z$3000,'[1]MAIN-101'!$X$1:$X$3000,A177)</f>
        <v>#VALUE!</v>
      </c>
      <c r="E177" s="562">
        <f>SUMIFS('Recon of ORS and DV'!D:D,'Recon of ORS and DV'!B:B,'DV List'!A177)</f>
        <v>0</v>
      </c>
      <c r="F177" s="276" t="e">
        <f t="shared" si="2"/>
        <v>#VALUE!</v>
      </c>
      <c r="G177" t="s">
        <v>392</v>
      </c>
      <c r="H177" t="str">
        <f>VLOOKUP(A177,'[1]MAIN-101'!$B$8:$D$783,2,FALSE)</f>
        <v>12</v>
      </c>
      <c r="I177" t="str">
        <f>VLOOKUP(A177,'[1]MAIN-101'!$B$8:$D$783,3,FALSE)</f>
        <v>2007</v>
      </c>
    </row>
    <row r="178" spans="1:9">
      <c r="A178" t="s">
        <v>2492</v>
      </c>
      <c r="B178" t="str">
        <f>VLOOKUP(A178,'[1]MAIN-101'!$B$13:$M$787,4,FALSE)</f>
        <v>ZJ Trading and Services</v>
      </c>
      <c r="C178" t="str">
        <f>VLOOKUP(A178,'[1]MAIN-101'!$B$13:$M$787,12,FALSE)</f>
        <v>Payment of Combinations Blinds for IDD Office use</v>
      </c>
      <c r="D178" s="562" t="e">
        <f>SUMIFS('[1]MAIN-101'!$Z$1:$Z$3000,'[1]MAIN-101'!$X$1:$X$3000,A178)</f>
        <v>#VALUE!</v>
      </c>
      <c r="E178" s="562">
        <f>SUMIFS('Recon of ORS and DV'!D:D,'Recon of ORS and DV'!B:B,'DV List'!A178)</f>
        <v>0</v>
      </c>
      <c r="F178" s="276" t="e">
        <f t="shared" si="2"/>
        <v>#VALUE!</v>
      </c>
      <c r="G178" t="s">
        <v>392</v>
      </c>
      <c r="H178" t="str">
        <f>VLOOKUP(A178,'[1]MAIN-101'!$B$8:$D$783,2,FALSE)</f>
        <v>12</v>
      </c>
      <c r="I178" t="str">
        <f>VLOOKUP(A178,'[1]MAIN-101'!$B$8:$D$783,3,FALSE)</f>
        <v>2019</v>
      </c>
    </row>
    <row r="179" spans="1:9">
      <c r="A179" t="s">
        <v>2493</v>
      </c>
      <c r="B179" t="str">
        <f>VLOOKUP(A179,'[1]MAIN-101'!$B$13:$M$787,4,FALSE)</f>
        <v>Tammy Emporium</v>
      </c>
      <c r="C179" t="str">
        <f>VLOOKUP(A179,'[1]MAIN-101'!$B$13:$M$787,12,FALSE)</f>
        <v>Payment for the 4th quarter office supplies for RAPID office use.</v>
      </c>
      <c r="D179" s="562" t="e">
        <f>SUMIFS('[1]MAIN-101'!$Z$1:$Z$3000,'[1]MAIN-101'!$X$1:$X$3000,A179)</f>
        <v>#VALUE!</v>
      </c>
      <c r="E179" s="562">
        <f>SUMIFS('Recon of ORS and DV'!D:D,'Recon of ORS and DV'!B:B,'DV List'!A179)</f>
        <v>0</v>
      </c>
      <c r="F179" s="276" t="e">
        <f t="shared" si="2"/>
        <v>#VALUE!</v>
      </c>
      <c r="G179" t="s">
        <v>392</v>
      </c>
      <c r="H179" t="str">
        <f>VLOOKUP(A179,'[1]MAIN-101'!$B$8:$D$783,2,FALSE)</f>
        <v>12</v>
      </c>
      <c r="I179" t="str">
        <f>VLOOKUP(A179,'[1]MAIN-101'!$B$8:$D$783,3,FALSE)</f>
        <v>2016</v>
      </c>
    </row>
    <row r="180" spans="1:9">
      <c r="A180" t="s">
        <v>2091</v>
      </c>
      <c r="B180" t="str">
        <f>VLOOKUP(A180,'[1]MAIN-101'!$B$13:$M$787,4,FALSE)</f>
        <v>Procurement Service</v>
      </c>
      <c r="C180" t="str">
        <f>VLOOKUP(A180,'[1]MAIN-101'!$B$13:$M$787,12,FALSE)</f>
        <v>Payment for IDD Office supplies for 1st quarter 2021, for IDD office use</v>
      </c>
      <c r="D180" s="562" t="e">
        <f>SUMIFS('[1]MAIN-101'!$Z$1:$Z$3000,'[1]MAIN-101'!$X$1:$X$3000,A180)</f>
        <v>#VALUE!</v>
      </c>
      <c r="E180" s="562" t="e">
        <f>SUMIFS('Recon of ORS and DV'!D:D,'Recon of ORS and DV'!B:B,'DV List'!A180)</f>
        <v>#VALUE!</v>
      </c>
      <c r="F180" s="276" t="e">
        <f t="shared" si="2"/>
        <v>#VALUE!</v>
      </c>
    </row>
    <row r="181" spans="1:9">
      <c r="A181" t="s">
        <v>2092</v>
      </c>
      <c r="B181" t="str">
        <f>VLOOKUP(A181,'[1]MAIN-101'!$B$13:$M$787,4,FALSE)</f>
        <v>Royelen B. Taala</v>
      </c>
      <c r="C181" t="str">
        <f>VLOOKUP(A181,'[1]MAIN-101'!$B$13:$M$787,12,FALSE)</f>
        <v>Reimbursement for the payment of the Planner 2021 for IDD office use.</v>
      </c>
      <c r="D181" s="562" t="e">
        <f>SUMIFS('[1]MAIN-101'!$Z$1:$Z$3000,'[1]MAIN-101'!$X$1:$X$3000,A181)</f>
        <v>#VALUE!</v>
      </c>
      <c r="E181" s="562" t="e">
        <f>SUMIFS('Recon of ORS and DV'!D:D,'Recon of ORS and DV'!B:B,'DV List'!A181)</f>
        <v>#VALUE!</v>
      </c>
      <c r="F181" s="276" t="e">
        <f t="shared" si="2"/>
        <v>#VALUE!</v>
      </c>
    </row>
    <row r="182" spans="1:9">
      <c r="A182" t="s">
        <v>2116</v>
      </c>
      <c r="B182" t="str">
        <f>VLOOKUP(A182,'[1]MAIN-101'!$B$13:$M$787,4,FALSE)</f>
        <v>Gay A. Tidalgo</v>
      </c>
      <c r="C182" t="str">
        <f>VLOOKUP(A182,'[1]MAIN-101'!$B$13:$M$787,12,FALSE)</f>
        <v>Payment for salary differential due to CES salary adjustment for the period Dec. 3, 2020 to Jan 31, 2021.</v>
      </c>
      <c r="D182" s="562" t="e">
        <f>SUMIFS('[1]MAIN-101'!$Z$1:$Z$3000,'[1]MAIN-101'!$X$1:$X$3000,A182)</f>
        <v>#VALUE!</v>
      </c>
      <c r="E182" s="562" t="e">
        <f>SUMIFS('Recon of ORS and DV'!D:D,'Recon of ORS and DV'!B:B,'DV List'!A182)</f>
        <v>#VALUE!</v>
      </c>
      <c r="F182" s="276" t="e">
        <f t="shared" si="2"/>
        <v>#VALUE!</v>
      </c>
    </row>
    <row r="183" spans="1:9">
      <c r="A183" t="s">
        <v>2494</v>
      </c>
      <c r="B183" t="str">
        <f>VLOOKUP(A183,'[1]MAIN-101'!$B$13:$M$787,4,FALSE)</f>
        <v>GSIS</v>
      </c>
      <c r="C183" t="str">
        <f>VLOOKUP(A183,'[1]MAIN-101'!$B$13:$M$787,12,FALSE)</f>
        <v>Remittance of GSIS Premiums (SIC &amp; RLIP) deducted from the salary of ARD Gay A. Tidalgom for the month of Jan 2021</v>
      </c>
      <c r="D183" s="562" t="e">
        <f>SUMIFS('[1]MAIN-101'!$Z$1:$Z$3000,'[1]MAIN-101'!$X$1:$X$3000,A183)</f>
        <v>#VALUE!</v>
      </c>
      <c r="E183" s="562">
        <f>SUMIFS('Recon of ORS and DV'!D:D,'Recon of ORS and DV'!B:B,'DV List'!A183)</f>
        <v>0</v>
      </c>
      <c r="F183" s="276" t="e">
        <f t="shared" si="2"/>
        <v>#VALUE!</v>
      </c>
      <c r="G183" t="s">
        <v>2662</v>
      </c>
    </row>
    <row r="184" spans="1:9">
      <c r="A184" t="s">
        <v>2495</v>
      </c>
      <c r="B184" t="str">
        <f>VLOOKUP(A184,'[1]MAIN-101'!$B$13:$M$787,4,FALSE)</f>
        <v>GSIS</v>
      </c>
      <c r="C184" t="str">
        <f>VLOOKUP(A184,'[1]MAIN-101'!$B$13:$M$787,12,FALSE)</f>
        <v>Remittance of GSIS Premiums (SIC) deducted from the salary of ARD Gay A. Tidalgom for the month of Jan 2021</v>
      </c>
      <c r="D184" s="562" t="e">
        <f>SUMIFS('[1]MAIN-101'!$Z$1:$Z$3000,'[1]MAIN-101'!$X$1:$X$3000,A184)</f>
        <v>#VALUE!</v>
      </c>
      <c r="E184" s="562">
        <f>SUMIFS('Recon of ORS and DV'!D:D,'Recon of ORS and DV'!B:B,'DV List'!A184)</f>
        <v>0</v>
      </c>
      <c r="F184" s="276" t="e">
        <f t="shared" si="2"/>
        <v>#VALUE!</v>
      </c>
      <c r="G184" t="s">
        <v>2662</v>
      </c>
    </row>
    <row r="185" spans="1:9">
      <c r="A185" t="s">
        <v>2496</v>
      </c>
      <c r="B185" t="str">
        <f>VLOOKUP(A185,'[1]MAIN-101'!$B$13:$M$787,4,FALSE)</f>
        <v>DREAMCO MPC</v>
      </c>
      <c r="C185" t="str">
        <f>VLOOKUP(A185,'[1]MAIN-101'!$B$13:$M$787,12,FALSE)</f>
        <v>Remittance Job orders coop deductions for the period January 5-31, 2020</v>
      </c>
      <c r="D185" s="562" t="e">
        <f>SUMIFS('[1]MAIN-101'!$Z$1:$Z$3000,'[1]MAIN-101'!$X$1:$X$3000,A185)</f>
        <v>#VALUE!</v>
      </c>
      <c r="E185" s="562">
        <f>SUMIFS('Recon of ORS and DV'!D:D,'Recon of ORS and DV'!B:B,'DV List'!A185)</f>
        <v>0</v>
      </c>
      <c r="F185" s="276" t="e">
        <f t="shared" si="2"/>
        <v>#VALUE!</v>
      </c>
      <c r="G185" t="s">
        <v>2662</v>
      </c>
    </row>
    <row r="186" spans="1:9">
      <c r="A186" t="s">
        <v>2117</v>
      </c>
      <c r="B186" t="str">
        <f>VLOOKUP(A186,'[1]MAIN-101'!$B$13:$M$787,4,FALSE)</f>
        <v>LBP, F/O DTI-JO</v>
      </c>
      <c r="C186" t="str">
        <f>VLOOKUP(A186,'[1]MAIN-101'!$B$13:$M$787,12,FALSE)</f>
        <v>Payment of Job orders for the period January 16-31, 2021</v>
      </c>
      <c r="D186" s="562" t="e">
        <f>SUMIFS('[1]MAIN-101'!$Z$1:$Z$3000,'[1]MAIN-101'!$X$1:$X$3000,A186)</f>
        <v>#VALUE!</v>
      </c>
      <c r="E186" s="562" t="e">
        <f>SUMIFS('Recon of ORS and DV'!D:D,'Recon of ORS and DV'!B:B,'DV List'!A186)</f>
        <v>#VALUE!</v>
      </c>
      <c r="F186" s="276" t="e">
        <f t="shared" si="2"/>
        <v>#VALUE!</v>
      </c>
    </row>
    <row r="187" spans="1:9">
      <c r="A187" t="s">
        <v>2118</v>
      </c>
      <c r="B187" t="str">
        <f>VLOOKUP(A187,'[1]MAIN-101'!$B$13:$M$787,4,FALSE)</f>
        <v>PD, DTI-AD N</v>
      </c>
      <c r="C187" t="str">
        <f>VLOOKUP(A187,'[1]MAIN-101'!$B$13:$M$787,12,FALSE)</f>
        <v>FT transfer for NC implementation- January 2021</v>
      </c>
      <c r="D187" s="562" t="e">
        <f>SUMIFS('[1]MAIN-101'!$Z$1:$Z$3000,'[1]MAIN-101'!$X$1:$X$3000,A187)</f>
        <v>#VALUE!</v>
      </c>
      <c r="E187" s="562" t="e">
        <f>SUMIFS('Recon of ORS and DV'!D:D,'Recon of ORS and DV'!B:B,'DV List'!A187)</f>
        <v>#VALUE!</v>
      </c>
      <c r="F187" s="276" t="e">
        <f t="shared" si="2"/>
        <v>#VALUE!</v>
      </c>
    </row>
    <row r="188" spans="1:9">
      <c r="A188" t="s">
        <v>2119</v>
      </c>
      <c r="B188" t="str">
        <f>VLOOKUP(A188,'[1]MAIN-101'!$B$13:$M$787,4,FALSE)</f>
        <v>OIC, DTI-ADS</v>
      </c>
      <c r="C188" t="str">
        <f>VLOOKUP(A188,'[1]MAIN-101'!$B$13:$M$787,12,FALSE)</f>
        <v>FT transfer for NC implementation- January 2021</v>
      </c>
      <c r="D188" s="562" t="e">
        <f>SUMIFS('[1]MAIN-101'!$Z$1:$Z$3000,'[1]MAIN-101'!$X$1:$X$3000,A188)</f>
        <v>#VALUE!</v>
      </c>
      <c r="E188" s="562" t="e">
        <f>SUMIFS('Recon of ORS and DV'!D:D,'Recon of ORS and DV'!B:B,'DV List'!A188)</f>
        <v>#VALUE!</v>
      </c>
      <c r="F188" s="276" t="e">
        <f t="shared" si="2"/>
        <v>#VALUE!</v>
      </c>
    </row>
    <row r="189" spans="1:9">
      <c r="A189" t="s">
        <v>2120</v>
      </c>
      <c r="B189" t="str">
        <f>VLOOKUP(A189,'[1]MAIN-101'!$B$13:$M$787,4,FALSE)</f>
        <v>OIC, DTI-SDN</v>
      </c>
      <c r="C189" t="str">
        <f>VLOOKUP(A189,'[1]MAIN-101'!$B$13:$M$787,12,FALSE)</f>
        <v>FT transfer for NC implementation- January 2021</v>
      </c>
      <c r="D189" s="562" t="e">
        <f>SUMIFS('[1]MAIN-101'!$Z$1:$Z$3000,'[1]MAIN-101'!$X$1:$X$3000,A189)</f>
        <v>#VALUE!</v>
      </c>
      <c r="E189" s="562" t="e">
        <f>SUMIFS('Recon of ORS and DV'!D:D,'Recon of ORS and DV'!B:B,'DV List'!A189)</f>
        <v>#VALUE!</v>
      </c>
      <c r="F189" s="276" t="e">
        <f t="shared" si="2"/>
        <v>#VALUE!</v>
      </c>
    </row>
    <row r="190" spans="1:9">
      <c r="A190" t="s">
        <v>2121</v>
      </c>
      <c r="B190" t="str">
        <f>VLOOKUP(A190,'[1]MAIN-101'!$B$13:$M$787,4,FALSE)</f>
        <v>PD, DTI-SDS</v>
      </c>
      <c r="C190" t="str">
        <f>VLOOKUP(A190,'[1]MAIN-101'!$B$13:$M$787,12,FALSE)</f>
        <v>FT transfer for NC implementation- January 2021</v>
      </c>
      <c r="D190" s="562" t="e">
        <f>SUMIFS('[1]MAIN-101'!$Z$1:$Z$3000,'[1]MAIN-101'!$X$1:$X$3000,A190)</f>
        <v>#VALUE!</v>
      </c>
      <c r="E190" s="562" t="e">
        <f>SUMIFS('Recon of ORS and DV'!D:D,'Recon of ORS and DV'!B:B,'DV List'!A190)</f>
        <v>#VALUE!</v>
      </c>
      <c r="F190" s="276" t="e">
        <f t="shared" si="2"/>
        <v>#VALUE!</v>
      </c>
    </row>
    <row r="191" spans="1:9">
      <c r="A191" t="s">
        <v>2122</v>
      </c>
      <c r="B191" t="str">
        <f>VLOOKUP(A191,'[1]MAIN-101'!$B$13:$M$787,4,FALSE)</f>
        <v>PD, DTI-PDI</v>
      </c>
      <c r="C191" t="str">
        <f>VLOOKUP(A191,'[1]MAIN-101'!$B$13:$M$787,12,FALSE)</f>
        <v>FT transfer for NC implementation- January 2021</v>
      </c>
      <c r="D191" s="562" t="e">
        <f>SUMIFS('[1]MAIN-101'!$Z$1:$Z$3000,'[1]MAIN-101'!$X$1:$X$3000,A191)</f>
        <v>#VALUE!</v>
      </c>
      <c r="E191" s="562" t="e">
        <f>SUMIFS('Recon of ORS and DV'!D:D,'Recon of ORS and DV'!B:B,'DV List'!A191)</f>
        <v>#VALUE!</v>
      </c>
      <c r="F191" s="276" t="e">
        <f t="shared" si="2"/>
        <v>#VALUE!</v>
      </c>
    </row>
    <row r="192" spans="1:9">
      <c r="A192" t="s">
        <v>2497</v>
      </c>
      <c r="B192" t="str">
        <f>VLOOKUP(A192,'[1]MAIN-101'!$B$13:$M$787,4,FALSE)</f>
        <v>Sinograpiko Art Services</v>
      </c>
      <c r="C192" t="str">
        <f>VLOOKUP(A192,'[1]MAIN-101'!$B$13:$M$787,12,FALSE)</f>
        <v>Payment for the customized leis during the grand launching of OTOP PH Hub at SM City Butuan on December 18, 2020</v>
      </c>
      <c r="D192" s="562" t="e">
        <f>SUMIFS('[1]MAIN-101'!$Z$1:$Z$3000,'[1]MAIN-101'!$X$1:$X$3000,A192)</f>
        <v>#VALUE!</v>
      </c>
      <c r="E192" s="562">
        <f>SUMIFS('Recon of ORS and DV'!D:D,'Recon of ORS and DV'!B:B,'DV List'!A192)</f>
        <v>0</v>
      </c>
      <c r="F192" s="276" t="e">
        <f t="shared" si="2"/>
        <v>#VALUE!</v>
      </c>
      <c r="G192" t="s">
        <v>392</v>
      </c>
      <c r="H192" t="str">
        <f>VLOOKUP(A192,'[1]MAIN-101'!$B$8:$D$783,2,FALSE)</f>
        <v>12</v>
      </c>
      <c r="I192" t="str">
        <f>VLOOKUP(A192,'[1]MAIN-101'!$B$8:$D$783,3,FALSE)</f>
        <v>2003</v>
      </c>
    </row>
    <row r="193" spans="1:9">
      <c r="A193" t="s">
        <v>2498</v>
      </c>
      <c r="B193" t="str">
        <f>VLOOKUP(A193,'[1]MAIN-101'!$B$13:$M$787,4,FALSE)</f>
        <v>Jasmin B. Faelnar</v>
      </c>
      <c r="C193" t="str">
        <f>VLOOKUP(A193,'[1]MAIN-101'!$B$13:$M$787,12,FALSE)</f>
        <v>Reimbursement for the prizes for teambuilding activities during the 2020 Negosyo Center Year end and Planning.</v>
      </c>
      <c r="D193" s="562" t="e">
        <f>SUMIFS('[1]MAIN-101'!$Z$1:$Z$3000,'[1]MAIN-101'!$X$1:$X$3000,A193)</f>
        <v>#VALUE!</v>
      </c>
      <c r="E193" s="562">
        <f>SUMIFS('Recon of ORS and DV'!D:D,'Recon of ORS and DV'!B:B,'DV List'!A193)</f>
        <v>0</v>
      </c>
      <c r="F193" s="276" t="e">
        <f t="shared" si="2"/>
        <v>#VALUE!</v>
      </c>
      <c r="G193" t="s">
        <v>392</v>
      </c>
      <c r="H193" t="str">
        <f>VLOOKUP(A193,'[1]MAIN-101'!$B$8:$D$783,2,FALSE)</f>
        <v>12</v>
      </c>
      <c r="I193" t="str">
        <f>VLOOKUP(A193,'[1]MAIN-101'!$B$8:$D$783,3,FALSE)</f>
        <v>2021</v>
      </c>
    </row>
    <row r="194" spans="1:9">
      <c r="A194" t="s">
        <v>2499</v>
      </c>
      <c r="B194" t="str">
        <f>VLOOKUP(A194,'[1]MAIN-101'!$B$13:$M$787,4,FALSE)</f>
        <v>Hi-5 Signages Fabricator</v>
      </c>
      <c r="C194" t="str">
        <f>VLOOKUP(A194,'[1]MAIN-101'!$B$13:$M$787,12,FALSE)</f>
        <v>Payment for the plaque of recognition for Salamat Mabuhay Awardee</v>
      </c>
      <c r="D194" s="562" t="e">
        <f>SUMIFS('[1]MAIN-101'!$Z$1:$Z$3000,'[1]MAIN-101'!$X$1:$X$3000,A194)</f>
        <v>#VALUE!</v>
      </c>
      <c r="E194" s="562">
        <f>SUMIFS('Recon of ORS and DV'!D:D,'Recon of ORS and DV'!B:B,'DV List'!A194)</f>
        <v>0</v>
      </c>
      <c r="F194" s="276" t="e">
        <f t="shared" si="2"/>
        <v>#VALUE!</v>
      </c>
      <c r="G194" t="s">
        <v>392</v>
      </c>
      <c r="H194" t="str">
        <f>VLOOKUP(A194,'[1]MAIN-101'!$B$8:$D$783,2,FALSE)</f>
        <v>12</v>
      </c>
      <c r="I194" t="str">
        <f>VLOOKUP(A194,'[1]MAIN-101'!$B$8:$D$783,3,FALSE)</f>
        <v>2050</v>
      </c>
    </row>
    <row r="195" spans="1:9">
      <c r="A195" t="s">
        <v>2123</v>
      </c>
      <c r="B195" t="str">
        <f>VLOOKUP(A195,'[1]MAIN-101'!$B$13:$M$787,4,FALSE)</f>
        <v>LBP F/O DTI-RO</v>
      </c>
      <c r="C195" t="str">
        <f>VLOOKUP(A195,'[1]MAIN-101'!$B$13:$M$787,12,FALSE)</f>
        <v>Payment for salary differential due to SSL 5 for the month of January 2021</v>
      </c>
      <c r="D195" s="562" t="e">
        <f>SUMIFS('[1]MAIN-101'!$Z$1:$Z$3000,'[1]MAIN-101'!$X$1:$X$3000,A195)</f>
        <v>#VALUE!</v>
      </c>
      <c r="E195" s="562" t="e">
        <f>SUMIFS('Recon of ORS and DV'!D:D,'Recon of ORS and DV'!B:B,'DV List'!A195)</f>
        <v>#VALUE!</v>
      </c>
      <c r="F195" s="276" t="e">
        <f t="shared" si="2"/>
        <v>#VALUE!</v>
      </c>
    </row>
    <row r="196" spans="1:9">
      <c r="A196" t="s">
        <v>2124</v>
      </c>
      <c r="B196" t="str">
        <f>VLOOKUP(A196,'[1]MAIN-101'!$B$13:$M$787,4,FALSE)</f>
        <v>LBP F/O DTI-AND</v>
      </c>
      <c r="C196" t="str">
        <f>VLOOKUP(A196,'[1]MAIN-101'!$B$13:$M$787,12,FALSE)</f>
        <v>Payment for salary differential due to SSL 5 for the month of January 2021</v>
      </c>
      <c r="D196" s="562" t="e">
        <f>SUMIFS('[1]MAIN-101'!$Z$1:$Z$3000,'[1]MAIN-101'!$X$1:$X$3000,A196)</f>
        <v>#VALUE!</v>
      </c>
      <c r="E196" s="562" t="e">
        <f>SUMIFS('Recon of ORS and DV'!D:D,'Recon of ORS and DV'!B:B,'DV List'!A196)</f>
        <v>#VALUE!</v>
      </c>
      <c r="F196" s="276" t="e">
        <f t="shared" si="2"/>
        <v>#VALUE!</v>
      </c>
    </row>
    <row r="197" spans="1:9">
      <c r="A197" t="s">
        <v>2125</v>
      </c>
      <c r="B197" t="str">
        <f>VLOOKUP(A197,'[1]MAIN-101'!$B$13:$M$787,4,FALSE)</f>
        <v>LBP F/O DTI-ADS</v>
      </c>
      <c r="C197" t="str">
        <f>VLOOKUP(A197,'[1]MAIN-101'!$B$13:$M$787,12,FALSE)</f>
        <v>Payment for salary differential due to SSL 5 for the month of January 2021</v>
      </c>
      <c r="D197" s="562" t="e">
        <f>SUMIFS('[1]MAIN-101'!$Z$1:$Z$3000,'[1]MAIN-101'!$X$1:$X$3000,A197)</f>
        <v>#VALUE!</v>
      </c>
      <c r="E197" s="562" t="e">
        <f>SUMIFS('Recon of ORS and DV'!D:D,'Recon of ORS and DV'!B:B,'DV List'!A197)</f>
        <v>#VALUE!</v>
      </c>
      <c r="F197" s="276" t="e">
        <f t="shared" ref="F197:F260" si="3">D197-E197</f>
        <v>#VALUE!</v>
      </c>
    </row>
    <row r="198" spans="1:9">
      <c r="A198" t="s">
        <v>2126</v>
      </c>
      <c r="B198" t="str">
        <f>VLOOKUP(A198,'[1]MAIN-101'!$B$13:$M$787,4,FALSE)</f>
        <v>LBP F/O DTI-SDN</v>
      </c>
      <c r="C198" t="str">
        <f>VLOOKUP(A198,'[1]MAIN-101'!$B$13:$M$787,12,FALSE)</f>
        <v>Payment for salary differential due to SSL 5 for the month of January 2021</v>
      </c>
      <c r="D198" s="562" t="e">
        <f>SUMIFS('[1]MAIN-101'!$Z$1:$Z$3000,'[1]MAIN-101'!$X$1:$X$3000,A198)</f>
        <v>#VALUE!</v>
      </c>
      <c r="E198" s="562" t="e">
        <f>SUMIFS('Recon of ORS and DV'!D:D,'Recon of ORS and DV'!B:B,'DV List'!A198)</f>
        <v>#VALUE!</v>
      </c>
      <c r="F198" s="276" t="e">
        <f t="shared" si="3"/>
        <v>#VALUE!</v>
      </c>
    </row>
    <row r="199" spans="1:9">
      <c r="A199" t="s">
        <v>2127</v>
      </c>
      <c r="B199" t="str">
        <f>VLOOKUP(A199,'[1]MAIN-101'!$B$13:$M$787,4,FALSE)</f>
        <v>LBP F/O DTI-SDS</v>
      </c>
      <c r="C199" t="str">
        <f>VLOOKUP(A199,'[1]MAIN-101'!$B$13:$M$787,12,FALSE)</f>
        <v>Payment for salary differential due to SSL 5 for the month of January 2021</v>
      </c>
      <c r="D199" s="562" t="e">
        <f>SUMIFS('[1]MAIN-101'!$Z$1:$Z$3000,'[1]MAIN-101'!$X$1:$X$3000,A199)</f>
        <v>#VALUE!</v>
      </c>
      <c r="E199" s="562" t="e">
        <f>SUMIFS('Recon of ORS and DV'!D:D,'Recon of ORS and DV'!B:B,'DV List'!A199)</f>
        <v>#VALUE!</v>
      </c>
      <c r="F199" s="276" t="e">
        <f t="shared" si="3"/>
        <v>#VALUE!</v>
      </c>
    </row>
    <row r="200" spans="1:9">
      <c r="A200" t="s">
        <v>2128</v>
      </c>
      <c r="B200" t="str">
        <f>VLOOKUP(A200,'[1]MAIN-101'!$B$13:$M$787,4,FALSE)</f>
        <v>LBP F/O DTI-PDI</v>
      </c>
      <c r="C200" t="str">
        <f>VLOOKUP(A200,'[1]MAIN-101'!$B$13:$M$787,12,FALSE)</f>
        <v>Payment for salary differential due to SSL 5 for the month of January 2021</v>
      </c>
      <c r="D200" s="562" t="e">
        <f>SUMIFS('[1]MAIN-101'!$Z$1:$Z$3000,'[1]MAIN-101'!$X$1:$X$3000,A200)</f>
        <v>#VALUE!</v>
      </c>
      <c r="E200" s="562" t="e">
        <f>SUMIFS('Recon of ORS and DV'!D:D,'Recon of ORS and DV'!B:B,'DV List'!A200)</f>
        <v>#VALUE!</v>
      </c>
      <c r="F200" s="276" t="e">
        <f t="shared" si="3"/>
        <v>#VALUE!</v>
      </c>
    </row>
    <row r="201" spans="1:9">
      <c r="A201" t="s">
        <v>2129</v>
      </c>
      <c r="B201" t="str">
        <f>VLOOKUP(A201,'[1]MAIN-101'!$B$13:$M$787,4,FALSE)</f>
        <v>Globe Telecom, Inc.</v>
      </c>
      <c r="C201" t="str">
        <f>VLOOKUP(A201,'[1]MAIN-101'!$B$13:$M$787,12,FALSE)</f>
        <v>Payment for postpaid plan with cell no. 091770367098 acct no. 49017022</v>
      </c>
      <c r="D201" s="562" t="e">
        <f>SUMIFS('[1]MAIN-101'!$Z$1:$Z$3000,'[1]MAIN-101'!$X$1:$X$3000,A201)</f>
        <v>#VALUE!</v>
      </c>
      <c r="E201" s="562" t="e">
        <f>SUMIFS('Recon of ORS and DV'!D:D,'Recon of ORS and DV'!B:B,'DV List'!A201)</f>
        <v>#VALUE!</v>
      </c>
      <c r="F201" s="276" t="e">
        <f t="shared" si="3"/>
        <v>#VALUE!</v>
      </c>
    </row>
    <row r="202" spans="1:9">
      <c r="A202" t="s">
        <v>2130</v>
      </c>
      <c r="B202" t="str">
        <f>VLOOKUP(A202,'[1]MAIN-101'!$B$13:$M$787,4,FALSE)</f>
        <v>GSIS</v>
      </c>
      <c r="C202" t="str">
        <f>VLOOKUP(A202,'[1]MAIN-101'!$B$13:$M$787,12,FALSE)</f>
        <v>Vehicle insurance for Toyota Hilux for the period March 1, 2021-March 1, 2022</v>
      </c>
      <c r="D202" s="562" t="e">
        <f>SUMIFS('[1]MAIN-101'!$Z$1:$Z$3000,'[1]MAIN-101'!$X$1:$X$3000,A202)</f>
        <v>#VALUE!</v>
      </c>
      <c r="E202" s="562" t="e">
        <f>SUMIFS('Recon of ORS and DV'!D:D,'Recon of ORS and DV'!B:B,'DV List'!A202)</f>
        <v>#VALUE!</v>
      </c>
      <c r="F202" s="276" t="e">
        <f t="shared" si="3"/>
        <v>#VALUE!</v>
      </c>
    </row>
    <row r="203" spans="1:9">
      <c r="A203" t="s">
        <v>2132</v>
      </c>
      <c r="B203" t="str">
        <f>VLOOKUP(A203,'[1]MAIN-101'!$B$13:$M$787,4,FALSE)</f>
        <v>Globe Telecom, Inc.</v>
      </c>
      <c r="C203" t="str">
        <f>VLOOKUP(A203,'[1]MAIN-101'!$B$13:$M$787,12,FALSE)</f>
        <v>Payment for postpaid plan with cell no. 09178656567-acct no.1094019348</v>
      </c>
      <c r="D203" s="562" t="e">
        <f>SUMIFS('[1]MAIN-101'!$Z$1:$Z$3000,'[1]MAIN-101'!$X$1:$X$3000,A203)</f>
        <v>#VALUE!</v>
      </c>
      <c r="E203" s="562" t="e">
        <f>SUMIFS('Recon of ORS and DV'!D:D,'Recon of ORS and DV'!B:B,'DV List'!A203)</f>
        <v>#VALUE!</v>
      </c>
      <c r="F203" s="276" t="e">
        <f t="shared" si="3"/>
        <v>#VALUE!</v>
      </c>
    </row>
    <row r="204" spans="1:9">
      <c r="A204" t="s">
        <v>2131</v>
      </c>
      <c r="B204" t="str">
        <f>VLOOKUP(A204,'[1]MAIN-101'!$B$13:$M$787,4,FALSE)</f>
        <v>True Brew Gourmet Coffee Shop</v>
      </c>
      <c r="C204" t="str">
        <f>VLOOKUP(A204,'[1]MAIN-101'!$B$13:$M$787,12,FALSE)</f>
        <v>Payment of meals during the SDD Functional Team Meeting on January 19, 2021</v>
      </c>
      <c r="D204" s="562" t="e">
        <f>SUMIFS('[1]MAIN-101'!$Z$1:$Z$3000,'[1]MAIN-101'!$X$1:$X$3000,A204)</f>
        <v>#VALUE!</v>
      </c>
      <c r="E204" s="562" t="e">
        <f>SUMIFS('Recon of ORS and DV'!D:D,'Recon of ORS and DV'!B:B,'DV List'!A204)</f>
        <v>#VALUE!</v>
      </c>
      <c r="F204" s="276" t="e">
        <f t="shared" si="3"/>
        <v>#VALUE!</v>
      </c>
    </row>
    <row r="205" spans="1:9">
      <c r="A205" t="s">
        <v>2133</v>
      </c>
      <c r="B205" t="str">
        <f>VLOOKUP(A205,'[1]MAIN-101'!$B$13:$M$787,4,FALSE)</f>
        <v>LBP F/O DTI-RO</v>
      </c>
      <c r="C205" t="str">
        <f>VLOOKUP(A205,'[1]MAIN-101'!$B$13:$M$787,12,FALSE)</f>
        <v>Payment for salaries and allowances for Regular employees for the month of February 2021</v>
      </c>
      <c r="D205" s="562" t="e">
        <f>SUMIFS('[1]MAIN-101'!$Z$1:$Z$3000,'[1]MAIN-101'!$X$1:$X$3000,A205)</f>
        <v>#VALUE!</v>
      </c>
      <c r="E205" s="562" t="e">
        <f>SUMIFS('Recon of ORS and DV'!D:D,'Recon of ORS and DV'!B:B,'DV List'!A205)</f>
        <v>#VALUE!</v>
      </c>
      <c r="F205" s="276" t="e">
        <f t="shared" si="3"/>
        <v>#VALUE!</v>
      </c>
    </row>
    <row r="206" spans="1:9">
      <c r="A206" t="s">
        <v>2134</v>
      </c>
      <c r="B206" t="str">
        <f>VLOOKUP(A206,'[1]MAIN-101'!$B$13:$M$787,4,FALSE)</f>
        <v>LBP F/O DTI-ADS</v>
      </c>
      <c r="C206" t="str">
        <f>VLOOKUP(A206,'[1]MAIN-101'!$B$13:$M$787,12,FALSE)</f>
        <v>Payment for salaries and allowances for Regular employees for the month of February 2021</v>
      </c>
      <c r="D206" s="562" t="e">
        <f>SUMIFS('[1]MAIN-101'!$Z$1:$Z$3000,'[1]MAIN-101'!$X$1:$X$3000,A206)</f>
        <v>#VALUE!</v>
      </c>
      <c r="E206" s="562" t="e">
        <f>SUMIFS('Recon of ORS and DV'!D:D,'Recon of ORS and DV'!B:B,'DV List'!A206)</f>
        <v>#VALUE!</v>
      </c>
      <c r="F206" s="276" t="e">
        <f t="shared" si="3"/>
        <v>#VALUE!</v>
      </c>
    </row>
    <row r="207" spans="1:9">
      <c r="A207" t="s">
        <v>2135</v>
      </c>
      <c r="B207" t="str">
        <f>VLOOKUP(A207,'[1]MAIN-101'!$B$13:$M$787,4,FALSE)</f>
        <v>LBP F/O DTI-PDI</v>
      </c>
      <c r="C207" t="str">
        <f>VLOOKUP(A207,'[1]MAIN-101'!$B$13:$M$787,12,FALSE)</f>
        <v>Payment for salaries and allowances for Regular employees for the month of February 2021</v>
      </c>
      <c r="D207" s="562" t="e">
        <f>SUMIFS('[1]MAIN-101'!$Z$1:$Z$3000,'[1]MAIN-101'!$X$1:$X$3000,A207)</f>
        <v>#VALUE!</v>
      </c>
      <c r="E207" s="562" t="e">
        <f>SUMIFS('Recon of ORS and DV'!D:D,'Recon of ORS and DV'!B:B,'DV List'!A207)</f>
        <v>#VALUE!</v>
      </c>
      <c r="F207" s="276" t="e">
        <f t="shared" si="3"/>
        <v>#VALUE!</v>
      </c>
    </row>
    <row r="208" spans="1:9">
      <c r="A208" t="s">
        <v>2136</v>
      </c>
      <c r="B208" t="str">
        <f>VLOOKUP(A208,'[1]MAIN-101'!$B$13:$M$787,4,FALSE)</f>
        <v>Marry Ann L. Pascual</v>
      </c>
      <c r="C208" t="str">
        <f>VLOOKUP(A208,'[1]MAIN-101'!$B$13:$M$787,12,FALSE)</f>
        <v>Payment for salary differential due to step increment from Jan 4-31, 2021</v>
      </c>
      <c r="D208" s="562" t="e">
        <f>SUMIFS('[1]MAIN-101'!$Z$1:$Z$3000,'[1]MAIN-101'!$X$1:$X$3000,A208)</f>
        <v>#VALUE!</v>
      </c>
      <c r="E208" s="562" t="e">
        <f>SUMIFS('Recon of ORS and DV'!D:D,'Recon of ORS and DV'!B:B,'DV List'!A208)</f>
        <v>#VALUE!</v>
      </c>
      <c r="F208" s="276" t="e">
        <f t="shared" si="3"/>
        <v>#VALUE!</v>
      </c>
    </row>
    <row r="209" spans="1:9">
      <c r="A209" t="s">
        <v>2137</v>
      </c>
      <c r="B209" t="str">
        <f>VLOOKUP(A209,'[1]MAIN-101'!$B$13:$M$787,4,FALSE)</f>
        <v>Marian Corazon R. Togonon</v>
      </c>
      <c r="C209" t="str">
        <f>VLOOKUP(A209,'[1]MAIN-101'!$B$13:$M$787,12,FALSE)</f>
        <v>Payment for salary differential due to step increment from Jan 4-31, 2021</v>
      </c>
      <c r="D209" s="562" t="e">
        <f>SUMIFS('[1]MAIN-101'!$Z$1:$Z$3000,'[1]MAIN-101'!$X$1:$X$3000,A209)</f>
        <v>#VALUE!</v>
      </c>
      <c r="E209" s="562" t="e">
        <f>SUMIFS('Recon of ORS and DV'!D:D,'Recon of ORS and DV'!B:B,'DV List'!A209)</f>
        <v>#VALUE!</v>
      </c>
      <c r="F209" s="276" t="e">
        <f t="shared" si="3"/>
        <v>#VALUE!</v>
      </c>
    </row>
    <row r="210" spans="1:9">
      <c r="A210" t="s">
        <v>2138</v>
      </c>
      <c r="B210" t="str">
        <f>VLOOKUP(A210,'[1]MAIN-101'!$B$13:$M$787,4,FALSE)</f>
        <v>Maribel P. Timogan</v>
      </c>
      <c r="C210" t="str">
        <f>VLOOKUP(A210,'[1]MAIN-101'!$B$13:$M$787,12,FALSE)</f>
        <v>Payment for salary differential due to step increment from Jan 4-31, 2021</v>
      </c>
      <c r="D210" s="562" t="e">
        <f>SUMIFS('[1]MAIN-101'!$Z$1:$Z$3000,'[1]MAIN-101'!$X$1:$X$3000,A210)</f>
        <v>#VALUE!</v>
      </c>
      <c r="E210" s="562" t="e">
        <f>SUMIFS('Recon of ORS and DV'!D:D,'Recon of ORS and DV'!B:B,'DV List'!A210)</f>
        <v>#VALUE!</v>
      </c>
      <c r="F210" s="276" t="e">
        <f t="shared" si="3"/>
        <v>#VALUE!</v>
      </c>
    </row>
    <row r="211" spans="1:9">
      <c r="A211" t="s">
        <v>2139</v>
      </c>
      <c r="B211" t="str">
        <f>VLOOKUP(A211,'[1]MAIN-101'!$B$13:$M$787,4,FALSE)</f>
        <v>Land Bank of the Philippines</v>
      </c>
      <c r="C211" t="str">
        <f>VLOOKUP(A211,'[1]MAIN-101'!$B$13:$M$787,12,FALSE)</f>
        <v>Payment for salary differential due to promotion from Jan 4-31, 2021</v>
      </c>
      <c r="D211" s="562" t="e">
        <f>SUMIFS('[1]MAIN-101'!$Z$1:$Z$3000,'[1]MAIN-101'!$X$1:$X$3000,A211)</f>
        <v>#VALUE!</v>
      </c>
      <c r="E211" s="562" t="e">
        <f>SUMIFS('Recon of ORS and DV'!D:D,'Recon of ORS and DV'!B:B,'DV List'!A211)</f>
        <v>#VALUE!</v>
      </c>
      <c r="F211" s="276" t="e">
        <f t="shared" si="3"/>
        <v>#VALUE!</v>
      </c>
    </row>
    <row r="212" spans="1:9">
      <c r="A212" t="s">
        <v>2140</v>
      </c>
      <c r="B212" t="str">
        <f>VLOOKUP(A212,'[1]MAIN-101'!$B$13:$M$787,4,FALSE)</f>
        <v>Jumar H. Llorente</v>
      </c>
      <c r="C212" t="str">
        <f>VLOOKUP(A212,'[1]MAIN-101'!$B$13:$M$787,12,FALSE)</f>
        <v>Payment for salaries and allowances for Regular employees for the month of February 2021</v>
      </c>
      <c r="D212" s="562" t="e">
        <f>SUMIFS('[1]MAIN-101'!$Z$1:$Z$3000,'[1]MAIN-101'!$X$1:$X$3000,A212)</f>
        <v>#VALUE!</v>
      </c>
      <c r="E212" s="562" t="e">
        <f>SUMIFS('Recon of ORS and DV'!D:D,'Recon of ORS and DV'!B:B,'DV List'!A212)</f>
        <v>#VALUE!</v>
      </c>
      <c r="F212" s="276" t="e">
        <f t="shared" si="3"/>
        <v>#VALUE!</v>
      </c>
    </row>
    <row r="213" spans="1:9">
      <c r="A213" t="s">
        <v>2141</v>
      </c>
      <c r="B213" t="str">
        <f>VLOOKUP(A213,'[1]MAIN-101'!$B$13:$M$787,4,FALSE)</f>
        <v>Joselito B. Paler</v>
      </c>
      <c r="C213" t="str">
        <f>VLOOKUP(A213,'[1]MAIN-101'!$B$13:$M$787,12,FALSE)</f>
        <v>Payment for salaries and allowances for Regular employees for the month of February 2021</v>
      </c>
      <c r="D213" s="562" t="e">
        <f>SUMIFS('[1]MAIN-101'!$Z$1:$Z$3000,'[1]MAIN-101'!$X$1:$X$3000,A213)</f>
        <v>#VALUE!</v>
      </c>
      <c r="E213" s="562" t="e">
        <f>SUMIFS('Recon of ORS and DV'!D:D,'Recon of ORS and DV'!B:B,'DV List'!A213)</f>
        <v>#VALUE!</v>
      </c>
      <c r="F213" s="276" t="e">
        <f t="shared" si="3"/>
        <v>#VALUE!</v>
      </c>
    </row>
    <row r="214" spans="1:9">
      <c r="A214" t="s">
        <v>2158</v>
      </c>
      <c r="B214" t="str">
        <f>VLOOKUP(A214,'[1]MAIN-101'!$B$13:$M$787,4,FALSE)</f>
        <v>LBP F/O DTI-SDN</v>
      </c>
      <c r="C214" t="str">
        <f>VLOOKUP(A214,'[1]MAIN-101'!$B$13:$M$787,12,FALSE)</f>
        <v>Payment for salaries and allowances for Regular employees for the month of February 2021</v>
      </c>
      <c r="D214" s="562" t="e">
        <f>SUMIFS('[1]MAIN-101'!$Z$1:$Z$3000,'[1]MAIN-101'!$X$1:$X$3000,A214)</f>
        <v>#VALUE!</v>
      </c>
      <c r="E214" s="562" t="e">
        <f>SUMIFS('Recon of ORS and DV'!D:D,'Recon of ORS and DV'!B:B,'DV List'!A214)</f>
        <v>#VALUE!</v>
      </c>
      <c r="F214" s="276" t="e">
        <f t="shared" si="3"/>
        <v>#VALUE!</v>
      </c>
    </row>
    <row r="215" spans="1:9">
      <c r="A215" t="s">
        <v>2157</v>
      </c>
      <c r="B215" t="str">
        <f>VLOOKUP(A215,'[1]MAIN-101'!$B$13:$M$787,4,FALSE)</f>
        <v>Lemuel D. Roboca</v>
      </c>
      <c r="C215" t="str">
        <f>VLOOKUP(A215,'[1]MAIN-101'!$B$13:$M$787,12,FALSE)</f>
        <v>Payment for salaries and allowances for Regular employees for the month of February 2021</v>
      </c>
      <c r="D215" s="562" t="e">
        <f>SUMIFS('[1]MAIN-101'!$Z$1:$Z$3000,'[1]MAIN-101'!$X$1:$X$3000,A215)</f>
        <v>#VALUE!</v>
      </c>
      <c r="E215" s="562" t="e">
        <f>SUMIFS('Recon of ORS and DV'!D:D,'Recon of ORS and DV'!B:B,'DV List'!A215)</f>
        <v>#VALUE!</v>
      </c>
      <c r="F215" s="276" t="e">
        <f t="shared" si="3"/>
        <v>#VALUE!</v>
      </c>
    </row>
    <row r="216" spans="1:9">
      <c r="A216" t="s">
        <v>2156</v>
      </c>
      <c r="B216" t="str">
        <f>VLOOKUP(A216,'[1]MAIN-101'!$B$13:$M$787,4,FALSE)</f>
        <v>LBP F/O DTI-SDS</v>
      </c>
      <c r="C216" t="str">
        <f>VLOOKUP(A216,'[1]MAIN-101'!$B$13:$M$787,12,FALSE)</f>
        <v>Payment for salaries and allowances for Regular employees for the month of February 2021</v>
      </c>
      <c r="D216" s="562" t="e">
        <f>SUMIFS('[1]MAIN-101'!$Z$1:$Z$3000,'[1]MAIN-101'!$X$1:$X$3000,A216)</f>
        <v>#VALUE!</v>
      </c>
      <c r="E216" s="562" t="e">
        <f>SUMIFS('Recon of ORS and DV'!D:D,'Recon of ORS and DV'!B:B,'DV List'!A216)</f>
        <v>#VALUE!</v>
      </c>
      <c r="F216" s="276" t="e">
        <f t="shared" si="3"/>
        <v>#VALUE!</v>
      </c>
    </row>
    <row r="217" spans="1:9">
      <c r="A217" t="s">
        <v>2155</v>
      </c>
      <c r="B217" t="str">
        <f>VLOOKUP(A217,'[1]MAIN-101'!$B$13:$M$787,4,FALSE)</f>
        <v>LBP F/O DTI-SDS</v>
      </c>
      <c r="C217" t="str">
        <f>VLOOKUP(A217,'[1]MAIN-101'!$B$13:$M$787,12,FALSE)</f>
        <v>Payment for salaries and allowances for Regular employees for the month of February 2021</v>
      </c>
      <c r="D217" s="562" t="e">
        <f>SUMIFS('[1]MAIN-101'!$Z$1:$Z$3000,'[1]MAIN-101'!$X$1:$X$3000,A217)</f>
        <v>#VALUE!</v>
      </c>
      <c r="E217" s="562" t="e">
        <f>SUMIFS('Recon of ORS and DV'!D:D,'Recon of ORS and DV'!B:B,'DV List'!A217)</f>
        <v>#VALUE!</v>
      </c>
      <c r="F217" s="276" t="e">
        <f t="shared" si="3"/>
        <v>#VALUE!</v>
      </c>
    </row>
    <row r="218" spans="1:9">
      <c r="A218" t="s">
        <v>2153</v>
      </c>
      <c r="B218" t="str">
        <f>VLOOKUP(A218,'[1]MAIN-101'!$B$13:$M$787,4,FALSE)</f>
        <v>LBP F/O DTI-AND</v>
      </c>
      <c r="C218" t="str">
        <f>VLOOKUP(A218,'[1]MAIN-101'!$B$13:$M$787,12,FALSE)</f>
        <v>Payment for salaries and allowances for Regular employees for the month of February 2021</v>
      </c>
      <c r="D218" s="562" t="e">
        <f>SUMIFS('[1]MAIN-101'!$Z$1:$Z$3000,'[1]MAIN-101'!$X$1:$X$3000,A218)</f>
        <v>#VALUE!</v>
      </c>
      <c r="E218" s="562" t="e">
        <f>SUMIFS('Recon of ORS and DV'!D:D,'Recon of ORS and DV'!B:B,'DV List'!A218)</f>
        <v>#VALUE!</v>
      </c>
      <c r="F218" s="276" t="e">
        <f t="shared" si="3"/>
        <v>#VALUE!</v>
      </c>
    </row>
    <row r="219" spans="1:9">
      <c r="A219" t="s">
        <v>2154</v>
      </c>
      <c r="B219" t="str">
        <f>VLOOKUP(A219,'[1]MAIN-101'!$B$13:$M$787,4,FALSE)</f>
        <v>LBP F/O DTI-AND</v>
      </c>
      <c r="C219" t="str">
        <f>VLOOKUP(A219,'[1]MAIN-101'!$B$13:$M$787,12,FALSE)</f>
        <v>Payment for salaries and allowances for Regular employees for the month of February 2021</v>
      </c>
      <c r="D219" s="562" t="e">
        <f>SUMIFS('[1]MAIN-101'!$Z$1:$Z$3000,'[1]MAIN-101'!$X$1:$X$3000,A219)</f>
        <v>#VALUE!</v>
      </c>
      <c r="E219" s="562" t="e">
        <f>SUMIFS('Recon of ORS and DV'!D:D,'Recon of ORS and DV'!B:B,'DV List'!A219)</f>
        <v>#VALUE!</v>
      </c>
      <c r="F219" s="276" t="e">
        <f t="shared" si="3"/>
        <v>#VALUE!</v>
      </c>
    </row>
    <row r="220" spans="1:9">
      <c r="A220" t="s">
        <v>2159</v>
      </c>
      <c r="B220" t="str">
        <f>VLOOKUP(A220,'[1]MAIN-101'!$B$13:$M$787,4,FALSE)</f>
        <v>Ma. Malen B. Catamora</v>
      </c>
      <c r="C220" t="str">
        <f>VLOOKUP(A220,'[1]MAIN-101'!$B$13:$M$787,12,FALSE)</f>
        <v>Payment for salaries and allowances for Regular employees for the month of February 2021</v>
      </c>
      <c r="D220" s="562" t="e">
        <f>SUMIFS('[1]MAIN-101'!$Z$1:$Z$3000,'[1]MAIN-101'!$X$1:$X$3000,A220)</f>
        <v>#VALUE!</v>
      </c>
      <c r="E220" s="562" t="e">
        <f>SUMIFS('Recon of ORS and DV'!D:D,'Recon of ORS and DV'!B:B,'DV List'!A220)</f>
        <v>#VALUE!</v>
      </c>
      <c r="F220" s="276" t="e">
        <f t="shared" si="3"/>
        <v>#VALUE!</v>
      </c>
    </row>
    <row r="221" spans="1:9">
      <c r="A221" t="s">
        <v>2500</v>
      </c>
      <c r="B221" t="str">
        <f>VLOOKUP(A221,'[1]MAIN-101'!$B$13:$M$787,4,FALSE)</f>
        <v>Renato Gatchalian</v>
      </c>
      <c r="C221" t="str">
        <f>VLOOKUP(A221,'[1]MAIN-101'!$B$13:$M$787,12,FALSE)</f>
        <v>Payment of Honorarium of panelist during BIP Presentation on September 21-23, 2020(KMME Online Session Batch 1</v>
      </c>
      <c r="D221" s="562" t="e">
        <f>SUMIFS('[1]MAIN-101'!$Z$1:$Z$3000,'[1]MAIN-101'!$X$1:$X$3000,A221)</f>
        <v>#VALUE!</v>
      </c>
      <c r="E221" s="562">
        <f>SUMIFS('Recon of ORS and DV'!D:D,'Recon of ORS and DV'!B:B,'DV List'!A221)</f>
        <v>0</v>
      </c>
      <c r="F221" s="276" t="e">
        <f t="shared" si="3"/>
        <v>#VALUE!</v>
      </c>
      <c r="G221" t="s">
        <v>392</v>
      </c>
      <c r="H221" t="str">
        <f>VLOOKUP(A221,'[1]MAIN-101'!$B$8:$D$783,2,FALSE)</f>
        <v>12</v>
      </c>
      <c r="I221" t="str">
        <f>VLOOKUP(A221,'[1]MAIN-101'!$B$8:$D$783,3,FALSE)</f>
        <v>1901</v>
      </c>
    </row>
    <row r="222" spans="1:9">
      <c r="A222" t="s">
        <v>2160</v>
      </c>
      <c r="B222" t="str">
        <f>VLOOKUP(A222,'[1]MAIN-101'!$B$13:$M$787,4,FALSE)</f>
        <v>Loida C. Gumahin</v>
      </c>
      <c r="C222" t="str">
        <f>VLOOKUP(A222,'[1]MAIN-101'!$B$13:$M$787,12,FALSE)</f>
        <v>Payment for initial salary as Contractual Staff under NC PROGRAM for January 18-31, 2021</v>
      </c>
      <c r="D222" s="562" t="e">
        <f>SUMIFS('[1]MAIN-101'!$Z$1:$Z$3000,'[1]MAIN-101'!$X$1:$X$3000,A222)</f>
        <v>#VALUE!</v>
      </c>
      <c r="E222" s="562" t="e">
        <f>SUMIFS('Recon of ORS and DV'!D:D,'Recon of ORS and DV'!B:B,'DV List'!A222)</f>
        <v>#VALUE!</v>
      </c>
      <c r="F222" s="276" t="e">
        <f t="shared" si="3"/>
        <v>#VALUE!</v>
      </c>
    </row>
    <row r="223" spans="1:9">
      <c r="A223" t="s">
        <v>2161</v>
      </c>
      <c r="B223" t="str">
        <f>VLOOKUP(A223,'[1]MAIN-101'!$B$13:$M$787,4,FALSE)</f>
        <v>Rezel May C. Goloran</v>
      </c>
      <c r="C223" t="str">
        <f>VLOOKUP(A223,'[1]MAIN-101'!$B$13:$M$787,12,FALSE)</f>
        <v>Payment for initial salary as Contractual Staff under NC PROGRAM for January 18-31, 2021</v>
      </c>
      <c r="D223" s="562" t="e">
        <f>SUMIFS('[1]MAIN-101'!$Z$1:$Z$3000,'[1]MAIN-101'!$X$1:$X$3000,A223)</f>
        <v>#VALUE!</v>
      </c>
      <c r="E223" s="562" t="e">
        <f>SUMIFS('Recon of ORS and DV'!D:D,'Recon of ORS and DV'!B:B,'DV List'!A223)</f>
        <v>#VALUE!</v>
      </c>
      <c r="F223" s="276" t="e">
        <f t="shared" si="3"/>
        <v>#VALUE!</v>
      </c>
    </row>
    <row r="224" spans="1:9">
      <c r="A224" t="s">
        <v>2162</v>
      </c>
      <c r="B224" t="str">
        <f>VLOOKUP(A224,'[1]MAIN-101'!$B$13:$M$787,4,FALSE)</f>
        <v>Elyn Rose A. Ranario</v>
      </c>
      <c r="C224" t="str">
        <f>VLOOKUP(A224,'[1]MAIN-101'!$B$13:$M$787,12,FALSE)</f>
        <v>Payment for initial salary as Contractual Staff under NC PROGRAM for January 18-31, 2021</v>
      </c>
      <c r="D224" s="562" t="e">
        <f>SUMIFS('[1]MAIN-101'!$Z$1:$Z$3000,'[1]MAIN-101'!$X$1:$X$3000,A224)</f>
        <v>#VALUE!</v>
      </c>
      <c r="E224" s="562" t="e">
        <f>SUMIFS('Recon of ORS and DV'!D:D,'Recon of ORS and DV'!B:B,'DV List'!A224)</f>
        <v>#VALUE!</v>
      </c>
      <c r="F224" s="276" t="e">
        <f t="shared" si="3"/>
        <v>#VALUE!</v>
      </c>
    </row>
    <row r="225" spans="1:7">
      <c r="A225" t="s">
        <v>2163</v>
      </c>
      <c r="B225" t="str">
        <f>VLOOKUP(A225,'[1]MAIN-101'!$B$13:$M$787,4,FALSE)</f>
        <v>Carl Mars P. Ravelo</v>
      </c>
      <c r="C225" t="str">
        <f>VLOOKUP(A225,'[1]MAIN-101'!$B$13:$M$787,12,FALSE)</f>
        <v>Payment for initial salary as Contractual Staff under NC PROGRAM for January 18-31, 2021</v>
      </c>
      <c r="D225" s="562" t="e">
        <f>SUMIFS('[1]MAIN-101'!$Z$1:$Z$3000,'[1]MAIN-101'!$X$1:$X$3000,A225)</f>
        <v>#VALUE!</v>
      </c>
      <c r="E225" s="562" t="e">
        <f>SUMIFS('Recon of ORS and DV'!D:D,'Recon of ORS and DV'!B:B,'DV List'!A225)</f>
        <v>#VALUE!</v>
      </c>
      <c r="F225" s="276" t="e">
        <f t="shared" si="3"/>
        <v>#VALUE!</v>
      </c>
    </row>
    <row r="226" spans="1:7">
      <c r="A226" t="s">
        <v>2164</v>
      </c>
      <c r="B226" t="str">
        <f>VLOOKUP(A226,'[1]MAIN-101'!$B$13:$M$787,4,FALSE)</f>
        <v>Olimar O. Sulapas</v>
      </c>
      <c r="C226" t="str">
        <f>VLOOKUP(A226,'[1]MAIN-101'!$B$13:$M$787,12,FALSE)</f>
        <v>Payment for initial salary as Contractual Staff under NC PROGRAM for January 18-31, 2021</v>
      </c>
      <c r="D226" s="562" t="e">
        <f>SUMIFS('[1]MAIN-101'!$Z$1:$Z$3000,'[1]MAIN-101'!$X$1:$X$3000,A226)</f>
        <v>#VALUE!</v>
      </c>
      <c r="E226" s="562" t="e">
        <f>SUMIFS('Recon of ORS and DV'!D:D,'Recon of ORS and DV'!B:B,'DV List'!A226)</f>
        <v>#VALUE!</v>
      </c>
      <c r="F226" s="276" t="e">
        <f t="shared" si="3"/>
        <v>#VALUE!</v>
      </c>
    </row>
    <row r="227" spans="1:7">
      <c r="A227" t="s">
        <v>2165</v>
      </c>
      <c r="B227" t="str">
        <f>VLOOKUP(A227,'[1]MAIN-101'!$B$13:$M$787,4,FALSE)</f>
        <v>Loida C. Gumahin</v>
      </c>
      <c r="C227" t="str">
        <f>VLOOKUP(A227,'[1]MAIN-101'!$B$13:$M$787,12,FALSE)</f>
        <v>Payment for salary of NC staff for the month of February 2021</v>
      </c>
      <c r="D227" s="562" t="e">
        <f>SUMIFS('[1]MAIN-101'!$Z$1:$Z$3000,'[1]MAIN-101'!$X$1:$X$3000,A227)</f>
        <v>#VALUE!</v>
      </c>
      <c r="E227" s="562" t="e">
        <f>SUMIFS('Recon of ORS and DV'!D:D,'Recon of ORS and DV'!B:B,'DV List'!A227)</f>
        <v>#VALUE!</v>
      </c>
      <c r="F227" s="276" t="e">
        <f t="shared" si="3"/>
        <v>#VALUE!</v>
      </c>
    </row>
    <row r="228" spans="1:7">
      <c r="A228" t="s">
        <v>2501</v>
      </c>
      <c r="B228" t="str">
        <f>VLOOKUP(A228,'[1]MAIN-101'!$B$13:$M$787,4,FALSE)</f>
        <v>Dreamco MPC</v>
      </c>
      <c r="C228" t="str">
        <f>VLOOKUP(A228,'[1]MAIN-101'!$B$13:$M$787,12,FALSE)</f>
        <v>Remittance of COOP deductions for the month of February 2021</v>
      </c>
      <c r="D228" s="562" t="e">
        <f>SUMIFS('[1]MAIN-101'!$Z$1:$Z$3000,'[1]MAIN-101'!$X$1:$X$3000,A228)</f>
        <v>#VALUE!</v>
      </c>
      <c r="E228" s="562">
        <f>SUMIFS('Recon of ORS and DV'!D:D,'Recon of ORS and DV'!B:B,'DV List'!A228)</f>
        <v>0</v>
      </c>
      <c r="F228" s="276" t="e">
        <f t="shared" si="3"/>
        <v>#VALUE!</v>
      </c>
      <c r="G228" t="s">
        <v>2662</v>
      </c>
    </row>
    <row r="229" spans="1:7">
      <c r="A229" t="s">
        <v>2145</v>
      </c>
      <c r="B229" t="str">
        <f>VLOOKUP(A229,'[1]MAIN-101'!$B$13:$M$787,4,FALSE)</f>
        <v>PD, DTI-AND</v>
      </c>
      <c r="C229" t="str">
        <f>VLOOKUP(A229,'[1]MAIN-101'!$B$13:$M$787,12,FALSE)</f>
        <v>Advances for LSP-NSB Implementation for 1st qtr 2021</v>
      </c>
      <c r="D229" s="562" t="e">
        <f>SUMIFS('[1]MAIN-101'!$Z$1:$Z$3000,'[1]MAIN-101'!$X$1:$X$3000,A229)</f>
        <v>#VALUE!</v>
      </c>
      <c r="E229" s="562" t="e">
        <f>SUMIFS('Recon of ORS and DV'!D:D,'Recon of ORS and DV'!B:B,'DV List'!A229)</f>
        <v>#VALUE!</v>
      </c>
      <c r="F229" s="276" t="e">
        <f t="shared" si="3"/>
        <v>#VALUE!</v>
      </c>
    </row>
    <row r="230" spans="1:7">
      <c r="A230" t="s">
        <v>2146</v>
      </c>
      <c r="B230" t="str">
        <f>VLOOKUP(A230,'[1]MAIN-101'!$B$13:$M$787,4,FALSE)</f>
        <v>OIC, DTI-ADS</v>
      </c>
      <c r="C230" t="str">
        <f>VLOOKUP(A230,'[1]MAIN-101'!$B$13:$M$787,12,FALSE)</f>
        <v>Advances for LSP-NSB Implementation for 1st qtr 2021</v>
      </c>
      <c r="D230" s="562" t="e">
        <f>SUMIFS('[1]MAIN-101'!$Z$1:$Z$3000,'[1]MAIN-101'!$X$1:$X$3000,A230)</f>
        <v>#VALUE!</v>
      </c>
      <c r="E230" s="562" t="e">
        <f>SUMIFS('Recon of ORS and DV'!D:D,'Recon of ORS and DV'!B:B,'DV List'!A230)</f>
        <v>#VALUE!</v>
      </c>
      <c r="F230" s="276" t="e">
        <f t="shared" si="3"/>
        <v>#VALUE!</v>
      </c>
    </row>
    <row r="231" spans="1:7">
      <c r="A231" t="s">
        <v>2147</v>
      </c>
      <c r="B231" t="str">
        <f>VLOOKUP(A231,'[1]MAIN-101'!$B$13:$M$787,4,FALSE)</f>
        <v>OIC, DTI-SDN</v>
      </c>
      <c r="C231" t="str">
        <f>VLOOKUP(A231,'[1]MAIN-101'!$B$13:$M$787,12,FALSE)</f>
        <v>Advances for LSP-NSB Implementation for 1st qtr 2021</v>
      </c>
      <c r="D231" s="562" t="e">
        <f>SUMIFS('[1]MAIN-101'!$Z$1:$Z$3000,'[1]MAIN-101'!$X$1:$X$3000,A231)</f>
        <v>#VALUE!</v>
      </c>
      <c r="E231" s="562" t="e">
        <f>SUMIFS('Recon of ORS and DV'!D:D,'Recon of ORS and DV'!B:B,'DV List'!A231)</f>
        <v>#VALUE!</v>
      </c>
      <c r="F231" s="276" t="e">
        <f t="shared" si="3"/>
        <v>#VALUE!</v>
      </c>
    </row>
    <row r="232" spans="1:7">
      <c r="A232" t="s">
        <v>2148</v>
      </c>
      <c r="B232" t="str">
        <f>VLOOKUP(A232,'[1]MAIN-101'!$B$13:$M$787,4,FALSE)</f>
        <v>PD, DTI-SDS</v>
      </c>
      <c r="C232" t="str">
        <f>VLOOKUP(A232,'[1]MAIN-101'!$B$13:$M$787,12,FALSE)</f>
        <v>Advances for LSP-NSB Implementation for 1st qtr 2021</v>
      </c>
      <c r="D232" s="562" t="e">
        <f>SUMIFS('[1]MAIN-101'!$Z$1:$Z$3000,'[1]MAIN-101'!$X$1:$X$3000,A232)</f>
        <v>#VALUE!</v>
      </c>
      <c r="E232" s="562" t="e">
        <f>SUMIFS('Recon of ORS and DV'!D:D,'Recon of ORS and DV'!B:B,'DV List'!A232)</f>
        <v>#VALUE!</v>
      </c>
      <c r="F232" s="276" t="e">
        <f t="shared" si="3"/>
        <v>#VALUE!</v>
      </c>
    </row>
    <row r="233" spans="1:7">
      <c r="A233" t="s">
        <v>2149</v>
      </c>
      <c r="B233" t="str">
        <f>VLOOKUP(A233,'[1]MAIN-101'!$B$13:$M$787,4,FALSE)</f>
        <v>PD, DTI-PDI</v>
      </c>
      <c r="C233" t="str">
        <f>VLOOKUP(A233,'[1]MAIN-101'!$B$13:$M$787,12,FALSE)</f>
        <v>Advances for LSP-NSB Implementation for 1st qtr 2021</v>
      </c>
      <c r="D233" s="562" t="e">
        <f>SUMIFS('[1]MAIN-101'!$Z$1:$Z$3000,'[1]MAIN-101'!$X$1:$X$3000,A233)</f>
        <v>#VALUE!</v>
      </c>
      <c r="E233" s="562" t="e">
        <f>SUMIFS('Recon of ORS and DV'!D:D,'Recon of ORS and DV'!B:B,'DV List'!A233)</f>
        <v>#VALUE!</v>
      </c>
      <c r="F233" s="276" t="e">
        <f t="shared" si="3"/>
        <v>#VALUE!</v>
      </c>
    </row>
    <row r="234" spans="1:7">
      <c r="A234" t="s">
        <v>2178</v>
      </c>
      <c r="B234" t="str">
        <f>VLOOKUP(A234,'[1]MAIN-101'!$B$13:$M$787,4,FALSE)</f>
        <v>Land Bank of the Philippines</v>
      </c>
      <c r="C234" t="str">
        <f>VLOOKUP(A234,'[1]MAIN-101'!$B$13:$M$787,12,FALSE)</f>
        <v>Salaries paid RAPID RCU Staff- January 1-31, 2021</v>
      </c>
      <c r="D234" s="562" t="e">
        <f>SUMIFS('[1]MAIN-101'!$Z$1:$Z$3000,'[1]MAIN-101'!$X$1:$X$3000,A234)</f>
        <v>#VALUE!</v>
      </c>
      <c r="E234" s="562" t="e">
        <f>SUMIFS('Recon of ORS and DV'!D:D,'Recon of ORS and DV'!B:B,'DV List'!A234)</f>
        <v>#VALUE!</v>
      </c>
      <c r="F234" s="276" t="e">
        <f t="shared" si="3"/>
        <v>#VALUE!</v>
      </c>
    </row>
    <row r="235" spans="1:7">
      <c r="A235" t="s">
        <v>2144</v>
      </c>
      <c r="B235" t="str">
        <f>VLOOKUP(A235,'[1]MAIN-101'!$B$13:$M$787,4,FALSE)</f>
        <v>D.O Plaza Holdings Corp.</v>
      </c>
      <c r="C235" t="str">
        <f>VLOOKUP(A235,'[1]MAIN-101'!$B$13:$M$787,12,FALSE)</f>
        <v>Payment for office rental for the month of February 2021</v>
      </c>
      <c r="D235" s="562" t="e">
        <f>SUMIFS('[1]MAIN-101'!$Z$1:$Z$3000,'[1]MAIN-101'!$X$1:$X$3000,A235)</f>
        <v>#VALUE!</v>
      </c>
      <c r="E235" s="562" t="e">
        <f>SUMIFS('Recon of ORS and DV'!D:D,'Recon of ORS and DV'!B:B,'DV List'!A235)</f>
        <v>#VALUE!</v>
      </c>
      <c r="F235" s="276" t="e">
        <f t="shared" si="3"/>
        <v>#VALUE!</v>
      </c>
    </row>
    <row r="236" spans="1:7">
      <c r="A236" t="s">
        <v>2152</v>
      </c>
      <c r="B236" t="str">
        <f>VLOOKUP(A236,'[1]MAIN-101'!$B$13:$M$787,4,FALSE)</f>
        <v>Neilab'z Express</v>
      </c>
      <c r="C236" t="str">
        <f>VLOOKUP(A236,'[1]MAIN-101'!$B$13:$M$787,12,FALSE)</f>
        <v>Payment for van rental during the conduct of OTOP PH Hub briefing in Tandag City on Januray 21, 2021 and Surigao City on January 29, 2021.</v>
      </c>
      <c r="D236" s="562" t="e">
        <f>SUMIFS('[1]MAIN-101'!$Z$1:$Z$3000,'[1]MAIN-101'!$X$1:$X$3000,A236)</f>
        <v>#VALUE!</v>
      </c>
      <c r="E236" s="562" t="e">
        <f>SUMIFS('Recon of ORS and DV'!D:D,'Recon of ORS and DV'!B:B,'DV List'!A236)</f>
        <v>#VALUE!</v>
      </c>
      <c r="F236" s="276" t="e">
        <f t="shared" si="3"/>
        <v>#VALUE!</v>
      </c>
    </row>
    <row r="237" spans="1:7">
      <c r="A237" t="s">
        <v>2166</v>
      </c>
      <c r="B237" t="str">
        <f>VLOOKUP(A237,'[1]MAIN-101'!$B$13:$M$787,4,FALSE)</f>
        <v>PLDT Inc.</v>
      </c>
      <c r="C237" t="str">
        <f>VLOOKUP(A237,'[1]MAIN-101'!$B$13:$M$787,12,FALSE)</f>
        <v>Payment for landline subsciprion acct no. 0606033214(815-1271)</v>
      </c>
      <c r="D237" s="562" t="e">
        <f>SUMIFS('[1]MAIN-101'!$Z$1:$Z$3000,'[1]MAIN-101'!$X$1:$X$3000,A237)</f>
        <v>#VALUE!</v>
      </c>
      <c r="E237" s="562" t="e">
        <f>SUMIFS('Recon of ORS and DV'!D:D,'Recon of ORS and DV'!B:B,'DV List'!A237)</f>
        <v>#VALUE!</v>
      </c>
      <c r="F237" s="276" t="e">
        <f t="shared" si="3"/>
        <v>#VALUE!</v>
      </c>
    </row>
    <row r="238" spans="1:7">
      <c r="A238" t="s">
        <v>2167</v>
      </c>
      <c r="B238" t="str">
        <f>VLOOKUP(A238,'[1]MAIN-101'!$B$13:$M$787,4,FALSE)</f>
        <v>PLDT Inc.</v>
      </c>
      <c r="C238" t="str">
        <f>VLOOKUP(A238,'[1]MAIN-101'!$B$13:$M$787,12,FALSE)</f>
        <v>Payment for landline subsciprion acct no. 0216371283(816-3136)</v>
      </c>
      <c r="D238" s="562" t="e">
        <f>SUMIFS('[1]MAIN-101'!$Z$1:$Z$3000,'[1]MAIN-101'!$X$1:$X$3000,A238)</f>
        <v>#VALUE!</v>
      </c>
      <c r="E238" s="562" t="e">
        <f>SUMIFS('Recon of ORS and DV'!D:D,'Recon of ORS and DV'!B:B,'DV List'!A238)</f>
        <v>#VALUE!</v>
      </c>
      <c r="F238" s="276" t="e">
        <f t="shared" si="3"/>
        <v>#VALUE!</v>
      </c>
    </row>
    <row r="239" spans="1:7">
      <c r="A239" t="s">
        <v>2168</v>
      </c>
      <c r="B239" t="str">
        <f>VLOOKUP(A239,'[1]MAIN-101'!$B$13:$M$787,4,FALSE)</f>
        <v>PLDT Inc.</v>
      </c>
      <c r="C239" t="str">
        <f>VLOOKUP(A239,'[1]MAIN-101'!$B$13:$M$787,12,FALSE)</f>
        <v>Payment for landline subsciprion acct no. 0606028075(816-0079)</v>
      </c>
      <c r="D239" s="562" t="e">
        <f>SUMIFS('[1]MAIN-101'!$Z$1:$Z$3000,'[1]MAIN-101'!$X$1:$X$3000,A239)</f>
        <v>#VALUE!</v>
      </c>
      <c r="E239" s="562" t="e">
        <f>SUMIFS('Recon of ORS and DV'!D:D,'Recon of ORS and DV'!B:B,'DV List'!A239)</f>
        <v>#VALUE!</v>
      </c>
      <c r="F239" s="276" t="e">
        <f t="shared" si="3"/>
        <v>#VALUE!</v>
      </c>
    </row>
    <row r="240" spans="1:7">
      <c r="A240" t="s">
        <v>2169</v>
      </c>
      <c r="B240" t="str">
        <f>VLOOKUP(A240,'[1]MAIN-101'!$B$13:$M$787,4,FALSE)</f>
        <v>PLDT Inc.</v>
      </c>
      <c r="C240" t="str">
        <f>VLOOKUP(A240,'[1]MAIN-101'!$B$13:$M$787,12,FALSE)</f>
        <v>Payment for landline subsciprion acct no. 0197015144(225-5955)</v>
      </c>
      <c r="D240" s="562" t="e">
        <f>SUMIFS('[1]MAIN-101'!$Z$1:$Z$3000,'[1]MAIN-101'!$X$1:$X$3000,A240)</f>
        <v>#VALUE!</v>
      </c>
      <c r="E240" s="562" t="e">
        <f>SUMIFS('Recon of ORS and DV'!D:D,'Recon of ORS and DV'!B:B,'DV List'!A240)</f>
        <v>#VALUE!</v>
      </c>
      <c r="F240" s="276" t="e">
        <f t="shared" si="3"/>
        <v>#VALUE!</v>
      </c>
    </row>
    <row r="241" spans="1:9">
      <c r="A241" t="s">
        <v>2170</v>
      </c>
      <c r="B241" t="str">
        <f>VLOOKUP(A241,'[1]MAIN-101'!$B$13:$M$787,4,FALSE)</f>
        <v>Janikka's Catering Services</v>
      </c>
      <c r="C241" t="str">
        <f>VLOOKUP(A241,'[1]MAIN-101'!$B$13:$M$787,12,FALSE)</f>
        <v>Payment for meals during the oath taking ceremony cum orientation for newly hired and prmoted employees on January 11, 2021</v>
      </c>
      <c r="D241" s="562" t="e">
        <f>SUMIFS('[1]MAIN-101'!$Z$1:$Z$3000,'[1]MAIN-101'!$X$1:$X$3000,A241)</f>
        <v>#VALUE!</v>
      </c>
      <c r="E241" s="562" t="e">
        <f>SUMIFS('Recon of ORS and DV'!D:D,'Recon of ORS and DV'!B:B,'DV List'!A241)</f>
        <v>#VALUE!</v>
      </c>
      <c r="F241" s="276" t="e">
        <f t="shared" si="3"/>
        <v>#VALUE!</v>
      </c>
    </row>
    <row r="242" spans="1:9">
      <c r="A242" t="s">
        <v>2171</v>
      </c>
      <c r="B242" t="str">
        <f>VLOOKUP(A242,'[1]MAIN-101'!$B$13:$M$787,4,FALSE)</f>
        <v>Manila Auto Care</v>
      </c>
      <c r="C242" t="str">
        <f>VLOOKUP(A242,'[1]MAIN-101'!$B$13:$M$787,12,FALSE)</f>
        <v>Payment for labor and Materials for DTI Caraga Motor Vehicle Periodic Maintenance of Toyota Innova(SKT-513)</v>
      </c>
      <c r="D242" s="562" t="e">
        <f>SUMIFS('[1]MAIN-101'!$Z$1:$Z$3000,'[1]MAIN-101'!$X$1:$X$3000,A242)</f>
        <v>#VALUE!</v>
      </c>
      <c r="E242" s="562" t="e">
        <f>SUMIFS('Recon of ORS and DV'!D:D,'Recon of ORS and DV'!B:B,'DV List'!A242)</f>
        <v>#VALUE!</v>
      </c>
      <c r="F242" s="276" t="e">
        <f t="shared" si="3"/>
        <v>#VALUE!</v>
      </c>
    </row>
    <row r="243" spans="1:9">
      <c r="A243" t="s">
        <v>2172</v>
      </c>
      <c r="B243" t="str">
        <f>VLOOKUP(A243,'[1]MAIN-101'!$B$13:$M$787,4,FALSE)</f>
        <v>Rey B. Acabo</v>
      </c>
      <c r="C243" t="str">
        <f>VLOOKUP(A243,'[1]MAIN-101'!$B$13:$M$787,12,FALSE)</f>
        <v>Reimbursement , TE RE: To fetch PD from Surigao to Butuan and paricipation to typhoon Vicky Rehab Activities</v>
      </c>
      <c r="D243" s="562" t="e">
        <f>SUMIFS('[1]MAIN-101'!$Z$1:$Z$3000,'[1]MAIN-101'!$X$1:$X$3000,A243)</f>
        <v>#VALUE!</v>
      </c>
      <c r="E243" s="562" t="e">
        <f>SUMIFS('Recon of ORS and DV'!D:D,'Recon of ORS and DV'!B:B,'DV List'!A243)</f>
        <v>#VALUE!</v>
      </c>
      <c r="F243" s="276" t="e">
        <f t="shared" si="3"/>
        <v>#VALUE!</v>
      </c>
    </row>
    <row r="244" spans="1:9">
      <c r="A244" t="s">
        <v>2173</v>
      </c>
      <c r="B244" t="str">
        <f>VLOOKUP(A244,'[1]MAIN-101'!$B$13:$M$787,4,FALSE)</f>
        <v>Rey B. Acabo</v>
      </c>
      <c r="C244" t="str">
        <f>VLOOKUP(A244,'[1]MAIN-101'!$B$13:$M$787,12,FALSE)</f>
        <v>Reimb. Motor vehicle fuel (diesel for toyota hilux) ferry staff during the site visit SSF</v>
      </c>
      <c r="D244" s="562" t="e">
        <f>SUMIFS('[1]MAIN-101'!$Z$1:$Z$3000,'[1]MAIN-101'!$X$1:$X$3000,A244)</f>
        <v>#VALUE!</v>
      </c>
      <c r="E244" s="562" t="e">
        <f>SUMIFS('Recon of ORS and DV'!D:D,'Recon of ORS and DV'!B:B,'DV List'!A244)</f>
        <v>#VALUE!</v>
      </c>
      <c r="F244" s="276" t="e">
        <f t="shared" si="3"/>
        <v>#VALUE!</v>
      </c>
    </row>
    <row r="245" spans="1:9">
      <c r="A245" t="s">
        <v>2177</v>
      </c>
      <c r="B245" t="str">
        <f>VLOOKUP(A245,'[1]MAIN-101'!$B$13:$M$787,4,FALSE)</f>
        <v>Need Ink Sales and Services</v>
      </c>
      <c r="C245" t="str">
        <f>VLOOKUP(A245,'[1]MAIN-101'!$B$13:$M$787,12,FALSE)</f>
        <v>Payment for toner cartridge for IDD 1st quarter 2021 office supplies</v>
      </c>
      <c r="D245" s="562" t="e">
        <f>SUMIFS('[1]MAIN-101'!$Z$1:$Z$3000,'[1]MAIN-101'!$X$1:$X$3000,A245)</f>
        <v>#VALUE!</v>
      </c>
      <c r="E245" s="562" t="e">
        <f>SUMIFS('Recon of ORS and DV'!D:D,'Recon of ORS and DV'!B:B,'DV List'!A245)</f>
        <v>#VALUE!</v>
      </c>
      <c r="F245" s="276" t="e">
        <f t="shared" si="3"/>
        <v>#VALUE!</v>
      </c>
    </row>
    <row r="246" spans="1:9">
      <c r="A246" t="s">
        <v>2502</v>
      </c>
      <c r="B246" t="str">
        <f>VLOOKUP(A246,'[1]MAIN-101'!$B$13:$M$787,4,FALSE)</f>
        <v>Innove Communications, Inc</v>
      </c>
      <c r="C246" t="str">
        <f>VLOOKUP(A246,'[1]MAIN-101'!$B$13:$M$787,12,FALSE)</f>
        <v>Payment for ZOOM application for the month of Julty to Oct 2020</v>
      </c>
      <c r="D246" s="562" t="e">
        <f>SUMIFS('[1]MAIN-101'!$Z$1:$Z$3000,'[1]MAIN-101'!$X$1:$X$3000,A246)</f>
        <v>#VALUE!</v>
      </c>
      <c r="E246" s="562">
        <f>SUMIFS('Recon of ORS and DV'!D:D,'Recon of ORS and DV'!B:B,'DV List'!A246)</f>
        <v>0</v>
      </c>
      <c r="F246" s="276" t="e">
        <f t="shared" si="3"/>
        <v>#VALUE!</v>
      </c>
      <c r="G246" t="s">
        <v>392</v>
      </c>
      <c r="H246" t="str">
        <f>VLOOKUP(A246,'[1]MAIN-101'!$B$8:$D$783,2,FALSE)</f>
        <v>12</v>
      </c>
      <c r="I246" t="str">
        <f>VLOOKUP(A246,'[1]MAIN-101'!$B$8:$D$783,3,FALSE)</f>
        <v>1884</v>
      </c>
    </row>
    <row r="247" spans="1:9">
      <c r="A247" t="s">
        <v>2503</v>
      </c>
      <c r="B247" t="str">
        <f>VLOOKUP(A247,'[1]MAIN-101'!$B$13:$M$787,4,FALSE)</f>
        <v>True Brew Gourmet Coffee Shop</v>
      </c>
      <c r="C247" t="str">
        <f>VLOOKUP(A247,'[1]MAIN-101'!$B$13:$M$787,12,FALSE)</f>
        <v>Payment for the provision of meals during level 1 planning on December 10, 2020</v>
      </c>
      <c r="D247" s="562" t="e">
        <f>SUMIFS('[1]MAIN-101'!$Z$1:$Z$3000,'[1]MAIN-101'!$X$1:$X$3000,A247)</f>
        <v>#VALUE!</v>
      </c>
      <c r="E247" s="562">
        <f>SUMIFS('Recon of ORS and DV'!D:D,'Recon of ORS and DV'!B:B,'DV List'!A247)</f>
        <v>0</v>
      </c>
      <c r="F247" s="276" t="e">
        <f t="shared" si="3"/>
        <v>#VALUE!</v>
      </c>
      <c r="G247" t="s">
        <v>392</v>
      </c>
      <c r="H247" t="str">
        <f>VLOOKUP(A247,'[1]MAIN-101'!$B$8:$D$783,2,FALSE)</f>
        <v>12</v>
      </c>
      <c r="I247" t="str">
        <f>VLOOKUP(A247,'[1]MAIN-101'!$B$8:$D$783,3,FALSE)</f>
        <v>1986</v>
      </c>
    </row>
    <row r="248" spans="1:9">
      <c r="A248" t="s">
        <v>2504</v>
      </c>
      <c r="B248" t="str">
        <f>VLOOKUP(A248,'[1]MAIN-101'!$B$13:$M$787,4,FALSE)</f>
        <v>Roland A. Ignacio</v>
      </c>
      <c r="C248" t="str">
        <f>VLOOKUP(A248,'[1]MAIN-101'!$B$13:$M$787,12,FALSE)</f>
        <v>Reimbursement for tokens re: Project Steering Meeting last December 15, 2020</v>
      </c>
      <c r="D248" s="562" t="e">
        <f>SUMIFS('[1]MAIN-101'!$Z$1:$Z$3000,'[1]MAIN-101'!$X$1:$X$3000,A248)</f>
        <v>#VALUE!</v>
      </c>
      <c r="E248" s="562">
        <f>SUMIFS('Recon of ORS and DV'!D:D,'Recon of ORS and DV'!B:B,'DV List'!A248)</f>
        <v>0</v>
      </c>
      <c r="F248" s="276" t="e">
        <f t="shared" si="3"/>
        <v>#VALUE!</v>
      </c>
      <c r="G248" t="s">
        <v>392</v>
      </c>
      <c r="H248" t="str">
        <f>VLOOKUP(A248,'[1]MAIN-101'!$B$8:$D$783,2,FALSE)</f>
        <v>12</v>
      </c>
      <c r="I248" t="str">
        <f>VLOOKUP(A248,'[1]MAIN-101'!$B$8:$D$783,3,FALSE)</f>
        <v>1998</v>
      </c>
    </row>
    <row r="249" spans="1:9">
      <c r="A249" t="s">
        <v>2142</v>
      </c>
      <c r="B249" t="str">
        <f>VLOOKUP(A249,'[1]MAIN-101'!$B$13:$M$787,4,FALSE)</f>
        <v>Ferbencom Technologies</v>
      </c>
      <c r="C249" t="str">
        <f>VLOOKUP(A249,'[1]MAIN-101'!$B$13:$M$787,12,FALSE)</f>
        <v>Payment for subscription expense- internet(FT20200175) for the month of January 2021</v>
      </c>
      <c r="D249" s="562" t="e">
        <f>SUMIFS('[1]MAIN-101'!$Z$1:$Z$3000,'[1]MAIN-101'!$X$1:$X$3000,A249)</f>
        <v>#VALUE!</v>
      </c>
      <c r="E249" s="562" t="e">
        <f>SUMIFS('Recon of ORS and DV'!D:D,'Recon of ORS and DV'!B:B,'DV List'!A249)</f>
        <v>#VALUE!</v>
      </c>
      <c r="F249" s="276" t="e">
        <f t="shared" si="3"/>
        <v>#VALUE!</v>
      </c>
    </row>
    <row r="250" spans="1:9">
      <c r="A250" t="s">
        <v>2143</v>
      </c>
      <c r="B250" t="str">
        <f>VLOOKUP(A250,'[1]MAIN-101'!$B$13:$M$787,4,FALSE)</f>
        <v>A&amp;C Yelo Submarine Corporation</v>
      </c>
      <c r="C250" t="str">
        <f>VLOOKUP(A250,'[1]MAIN-101'!$B$13:$M$787,12,FALSE)</f>
        <v>Payment for drinking water for the month of January 2021</v>
      </c>
      <c r="D250" s="562" t="e">
        <f>SUMIFS('[1]MAIN-101'!$Z$1:$Z$3000,'[1]MAIN-101'!$X$1:$X$3000,A250)</f>
        <v>#VALUE!</v>
      </c>
      <c r="E250" s="562" t="e">
        <f>SUMIFS('Recon of ORS and DV'!D:D,'Recon of ORS and DV'!B:B,'DV List'!A250)</f>
        <v>#VALUE!</v>
      </c>
      <c r="F250" s="276" t="e">
        <f t="shared" si="3"/>
        <v>#VALUE!</v>
      </c>
    </row>
    <row r="251" spans="1:9">
      <c r="A251" t="s">
        <v>2505</v>
      </c>
      <c r="B251" t="str">
        <f>VLOOKUP(A251,'[1]MAIN-101'!$B$13:$M$787,4,FALSE)</f>
        <v>Tri- Tech Aircon Services</v>
      </c>
      <c r="C251" t="str">
        <f>VLOOKUP(A251,'[1]MAIN-101'!$B$13:$M$787,12,FALSE)</f>
        <v>Office aircon maintenance for the 2nd semester</v>
      </c>
      <c r="D251" s="562" t="e">
        <f>SUMIFS('[1]MAIN-101'!$Z$1:$Z$3000,'[1]MAIN-101'!$X$1:$X$3000,A251)</f>
        <v>#VALUE!</v>
      </c>
      <c r="E251" s="562">
        <f>SUMIFS('Recon of ORS and DV'!D:D,'Recon of ORS and DV'!B:B,'DV List'!A251)</f>
        <v>0</v>
      </c>
      <c r="F251" s="276" t="e">
        <f t="shared" si="3"/>
        <v>#VALUE!</v>
      </c>
      <c r="G251" t="s">
        <v>392</v>
      </c>
      <c r="H251" t="str">
        <f>VLOOKUP(A251,'[1]MAIN-101'!$B$8:$D$783,2,FALSE)</f>
        <v>12</v>
      </c>
      <c r="I251" t="str">
        <f>VLOOKUP(A251,'[1]MAIN-101'!$B$8:$D$783,3,FALSE)</f>
        <v>1992</v>
      </c>
    </row>
    <row r="252" spans="1:9">
      <c r="A252" t="s">
        <v>2179</v>
      </c>
      <c r="B252" t="str">
        <f>VLOOKUP(A252,'[1]MAIN-101'!$B$13:$M$787,4,FALSE)</f>
        <v>Land Bank of the Philippines</v>
      </c>
      <c r="C252" t="str">
        <f>VLOOKUP(A252,'[1]MAIN-101'!$B$13:$M$787,12,FALSE)</f>
        <v>Salaries paid RAPID RCU Staff- January 1-31, 2021</v>
      </c>
      <c r="D252" s="562" t="e">
        <f>SUMIFS('[1]MAIN-101'!$Z$1:$Z$3000,'[1]MAIN-101'!$X$1:$X$3000,A252)</f>
        <v>#VALUE!</v>
      </c>
      <c r="E252" s="562" t="e">
        <f>SUMIFS('Recon of ORS and DV'!D:D,'Recon of ORS and DV'!B:B,'DV List'!A252)</f>
        <v>#VALUE!</v>
      </c>
      <c r="F252" s="276" t="e">
        <f t="shared" si="3"/>
        <v>#VALUE!</v>
      </c>
    </row>
    <row r="253" spans="1:9">
      <c r="A253" t="s">
        <v>2180</v>
      </c>
      <c r="B253" t="str">
        <f>VLOOKUP(A253,'[1]MAIN-101'!$B$13:$M$787,4,FALSE)</f>
        <v>Land Bank of the Philippines</v>
      </c>
      <c r="C253" t="str">
        <f>VLOOKUP(A253,'[1]MAIN-101'!$B$13:$M$787,12,FALSE)</f>
        <v>Salaries paid RAPID RCU Staff- January 1-31, 2021</v>
      </c>
      <c r="D253" s="562" t="e">
        <f>SUMIFS('[1]MAIN-101'!$Z$1:$Z$3000,'[1]MAIN-101'!$X$1:$X$3000,A253)</f>
        <v>#VALUE!</v>
      </c>
      <c r="E253" s="562" t="e">
        <f>SUMIFS('Recon of ORS and DV'!D:D,'Recon of ORS and DV'!B:B,'DV List'!A253)</f>
        <v>#VALUE!</v>
      </c>
      <c r="F253" s="276" t="e">
        <f t="shared" si="3"/>
        <v>#VALUE!</v>
      </c>
    </row>
    <row r="254" spans="1:9">
      <c r="A254" t="s">
        <v>2181</v>
      </c>
      <c r="B254" t="str">
        <f>VLOOKUP(A254,'[1]MAIN-101'!$B$13:$M$787,4,FALSE)</f>
        <v>Land Bank of the Philippines</v>
      </c>
      <c r="C254" t="str">
        <f>VLOOKUP(A254,'[1]MAIN-101'!$B$13:$M$787,12,FALSE)</f>
        <v>Salaries paid RAPID RCU Staff- January 1-31, 2021</v>
      </c>
      <c r="D254" s="562" t="e">
        <f>SUMIFS('[1]MAIN-101'!$Z$1:$Z$3000,'[1]MAIN-101'!$X$1:$X$3000,A254)</f>
        <v>#VALUE!</v>
      </c>
      <c r="E254" s="562" t="e">
        <f>SUMIFS('Recon of ORS and DV'!D:D,'Recon of ORS and DV'!B:B,'DV List'!A254)</f>
        <v>#VALUE!</v>
      </c>
      <c r="F254" s="276" t="e">
        <f t="shared" si="3"/>
        <v>#VALUE!</v>
      </c>
    </row>
    <row r="255" spans="1:9">
      <c r="A255" t="s">
        <v>2175</v>
      </c>
      <c r="B255" t="str">
        <f>VLOOKUP(A255,'[1]MAIN-101'!$B$13:$M$787,4,FALSE)</f>
        <v>OIC, DTI-ADS</v>
      </c>
      <c r="C255" t="str">
        <f>VLOOKUP(A255,'[1]MAIN-101'!$B$13:$M$787,12,FALSE)</f>
        <v>Transfer of funds to cover implementation of CPD activities for 1st quarter budget 2021.</v>
      </c>
      <c r="D255" s="562" t="e">
        <f>SUMIFS('[1]MAIN-101'!$Z$1:$Z$3000,'[1]MAIN-101'!$X$1:$X$3000,A255)</f>
        <v>#VALUE!</v>
      </c>
      <c r="E255" s="562" t="e">
        <f>SUMIFS('Recon of ORS and DV'!D:D,'Recon of ORS and DV'!B:B,'DV List'!A255)</f>
        <v>#VALUE!</v>
      </c>
      <c r="F255" s="276" t="e">
        <f t="shared" si="3"/>
        <v>#VALUE!</v>
      </c>
    </row>
    <row r="256" spans="1:9">
      <c r="A256" t="s">
        <v>2150</v>
      </c>
      <c r="B256" t="str">
        <f>VLOOKUP(A256,'[1]MAIN-101'!$B$13:$M$787,4,FALSE)</f>
        <v>OIC, DTI-sdn</v>
      </c>
      <c r="C256" t="str">
        <f>VLOOKUP(A256,'[1]MAIN-101'!$B$13:$M$787,12,FALSE)</f>
        <v>Advances to the SSF MOOE- 1ST QUARTER 2021</v>
      </c>
      <c r="D256" s="562" t="e">
        <f>SUMIFS('[1]MAIN-101'!$Z$1:$Z$3000,'[1]MAIN-101'!$X$1:$X$3000,A256)</f>
        <v>#VALUE!</v>
      </c>
      <c r="E256" s="562" t="e">
        <f>SUMIFS('Recon of ORS and DV'!D:D,'Recon of ORS and DV'!B:B,'DV List'!A256)</f>
        <v>#VALUE!</v>
      </c>
      <c r="F256" s="276" t="e">
        <f t="shared" si="3"/>
        <v>#VALUE!</v>
      </c>
    </row>
    <row r="257" spans="1:7">
      <c r="A257" t="s">
        <v>2151</v>
      </c>
      <c r="B257" t="str">
        <f>VLOOKUP(A257,'[1]MAIN-101'!$B$13:$M$787,4,FALSE)</f>
        <v>OIC, DTI-ADS</v>
      </c>
      <c r="C257" t="str">
        <f>VLOOKUP(A257,'[1]MAIN-101'!$B$13:$M$787,12,FALSE)</f>
        <v>FT for DTI-CARP implementation for Q1 2021</v>
      </c>
      <c r="D257" s="562" t="e">
        <f>SUMIFS('[1]MAIN-101'!$Z$1:$Z$3000,'[1]MAIN-101'!$X$1:$X$3000,A257)</f>
        <v>#VALUE!</v>
      </c>
      <c r="E257" s="562" t="e">
        <f>SUMIFS('Recon of ORS and DV'!D:D,'Recon of ORS and DV'!B:B,'DV List'!A257)</f>
        <v>#VALUE!</v>
      </c>
      <c r="F257" s="276" t="e">
        <f t="shared" si="3"/>
        <v>#VALUE!</v>
      </c>
    </row>
    <row r="258" spans="1:7">
      <c r="A258" t="s">
        <v>2174</v>
      </c>
      <c r="B258" t="str">
        <f>VLOOKUP(A258,'[1]MAIN-101'!$B$13:$M$787,4,FALSE)</f>
        <v>OIC, DTI-PDI</v>
      </c>
      <c r="C258" t="str">
        <f>VLOOKUP(A258,'[1]MAIN-101'!$B$13:$M$787,12,FALSE)</f>
        <v>Transfer of funds to cover implementation of CPD activities for 1st quarter budget 2021.</v>
      </c>
      <c r="D258" s="562" t="e">
        <f>SUMIFS('[1]MAIN-101'!$Z$1:$Z$3000,'[1]MAIN-101'!$X$1:$X$3000,A258)</f>
        <v>#VALUE!</v>
      </c>
      <c r="E258" s="562" t="e">
        <f>SUMIFS('Recon of ORS and DV'!D:D,'Recon of ORS and DV'!B:B,'DV List'!A258)</f>
        <v>#VALUE!</v>
      </c>
      <c r="F258" s="276" t="e">
        <f t="shared" si="3"/>
        <v>#VALUE!</v>
      </c>
    </row>
    <row r="259" spans="1:7">
      <c r="A259" t="s">
        <v>2506</v>
      </c>
      <c r="B259" t="str">
        <f>VLOOKUP(A259,'[1]MAIN-101'!$B$13:$M$787,4,FALSE)</f>
        <v>LBP F/O DTI-RO</v>
      </c>
      <c r="C259" t="str">
        <f>VLOOKUP(A259,'[1]MAIN-101'!$B$13:$M$787,12,FALSE)</f>
        <v>Payment for salaries and allowances for Regular employees for the period of February 16-28, 2021</v>
      </c>
      <c r="D259" s="562" t="e">
        <f>SUMIFS('[1]MAIN-101'!$Z$1:$Z$3000,'[1]MAIN-101'!$X$1:$X$3000,A259)</f>
        <v>#VALUE!</v>
      </c>
      <c r="E259" s="562">
        <f>SUMIFS('Recon of ORS and DV'!D:D,'Recon of ORS and DV'!B:B,'DV List'!A259)</f>
        <v>0</v>
      </c>
      <c r="F259" s="276" t="e">
        <f t="shared" si="3"/>
        <v>#VALUE!</v>
      </c>
      <c r="G259" t="s">
        <v>2664</v>
      </c>
    </row>
    <row r="260" spans="1:7">
      <c r="A260" t="s">
        <v>2507</v>
      </c>
      <c r="B260" t="str">
        <f>VLOOKUP(A260,'[1]MAIN-101'!$B$13:$M$787,4,FALSE)</f>
        <v>LBP F/O DTI-RO</v>
      </c>
      <c r="C260" t="str">
        <f>VLOOKUP(A260,'[1]MAIN-101'!$B$13:$M$787,12,FALSE)</f>
        <v>Refund of  overdeduction oF GSIS-ECIP from February payroll</v>
      </c>
      <c r="D260" s="562" t="e">
        <f>SUMIFS('[1]MAIN-101'!$Z$1:$Z$3000,'[1]MAIN-101'!$X$1:$X$3000,A260)</f>
        <v>#VALUE!</v>
      </c>
      <c r="E260" s="562">
        <f>SUMIFS('Recon of ORS and DV'!D:D,'Recon of ORS and DV'!B:B,'DV List'!A260)</f>
        <v>0</v>
      </c>
      <c r="F260" s="276" t="e">
        <f t="shared" si="3"/>
        <v>#VALUE!</v>
      </c>
      <c r="G260" t="s">
        <v>2663</v>
      </c>
    </row>
    <row r="261" spans="1:7">
      <c r="A261" t="s">
        <v>2508</v>
      </c>
      <c r="B261" t="str">
        <f>VLOOKUP(A261,'[1]MAIN-101'!$B$13:$M$787,4,FALSE)</f>
        <v>LBP F/O DTI-AND</v>
      </c>
      <c r="C261" t="str">
        <f>VLOOKUP(A261,'[1]MAIN-101'!$B$13:$M$787,12,FALSE)</f>
        <v>Payment for salaries and allowances for Regular employees for the period of February 16-28, 2021</v>
      </c>
      <c r="D261" s="562" t="e">
        <f>SUMIFS('[1]MAIN-101'!$Z$1:$Z$3000,'[1]MAIN-101'!$X$1:$X$3000,A261)</f>
        <v>#VALUE!</v>
      </c>
      <c r="E261" s="562">
        <f>SUMIFS('Recon of ORS and DV'!D:D,'Recon of ORS and DV'!B:B,'DV List'!A261)</f>
        <v>0</v>
      </c>
      <c r="F261" s="276" t="e">
        <f t="shared" ref="F261:F324" si="4">D261-E261</f>
        <v>#VALUE!</v>
      </c>
      <c r="G261" t="s">
        <v>2664</v>
      </c>
    </row>
    <row r="262" spans="1:7">
      <c r="A262" t="s">
        <v>2509</v>
      </c>
      <c r="B262" t="str">
        <f>VLOOKUP(A262,'[1]MAIN-101'!$B$13:$M$787,4,FALSE)</f>
        <v>LBP F/O DTI-ADS</v>
      </c>
      <c r="C262" t="str">
        <f>VLOOKUP(A262,'[1]MAIN-101'!$B$13:$M$787,12,FALSE)</f>
        <v>Payment for salaries and allowances for Regular employees for the period of February 16-28, 2021</v>
      </c>
      <c r="D262" s="562" t="e">
        <f>SUMIFS('[1]MAIN-101'!$Z$1:$Z$3000,'[1]MAIN-101'!$X$1:$X$3000,A262)</f>
        <v>#VALUE!</v>
      </c>
      <c r="E262" s="562">
        <f>SUMIFS('Recon of ORS and DV'!D:D,'Recon of ORS and DV'!B:B,'DV List'!A262)</f>
        <v>0</v>
      </c>
      <c r="F262" s="276" t="e">
        <f t="shared" si="4"/>
        <v>#VALUE!</v>
      </c>
      <c r="G262" t="s">
        <v>2664</v>
      </c>
    </row>
    <row r="263" spans="1:7">
      <c r="A263" t="s">
        <v>2510</v>
      </c>
      <c r="B263" t="str">
        <f>VLOOKUP(A263,'[1]MAIN-101'!$B$13:$M$787,4,FALSE)</f>
        <v>LBP F/O DTI-SDN</v>
      </c>
      <c r="C263" t="str">
        <f>VLOOKUP(A263,'[1]MAIN-101'!$B$13:$M$787,12,FALSE)</f>
        <v>Payment for salaries and allowances for Regular employees for the period of February 16-28, 2021</v>
      </c>
      <c r="D263" s="562" t="e">
        <f>SUMIFS('[1]MAIN-101'!$Z$1:$Z$3000,'[1]MAIN-101'!$X$1:$X$3000,A263)</f>
        <v>#VALUE!</v>
      </c>
      <c r="E263" s="562">
        <f>SUMIFS('Recon of ORS and DV'!D:D,'Recon of ORS and DV'!B:B,'DV List'!A263)</f>
        <v>0</v>
      </c>
      <c r="F263" s="276" t="e">
        <f t="shared" si="4"/>
        <v>#VALUE!</v>
      </c>
      <c r="G263" t="s">
        <v>2664</v>
      </c>
    </row>
    <row r="264" spans="1:7">
      <c r="A264" t="s">
        <v>2511</v>
      </c>
      <c r="B264" t="str">
        <f>VLOOKUP(A264,'[1]MAIN-101'!$B$13:$M$787,4,FALSE)</f>
        <v>LBP F/O DTI-SDS</v>
      </c>
      <c r="C264" t="str">
        <f>VLOOKUP(A264,'[1]MAIN-101'!$B$13:$M$787,12,FALSE)</f>
        <v>Payment for salaries and allowances for Regular employees for the period of February 16-28, 2021</v>
      </c>
      <c r="D264" s="562" t="e">
        <f>SUMIFS('[1]MAIN-101'!$Z$1:$Z$3000,'[1]MAIN-101'!$X$1:$X$3000,A264)</f>
        <v>#VALUE!</v>
      </c>
      <c r="E264" s="562">
        <f>SUMIFS('Recon of ORS and DV'!D:D,'Recon of ORS and DV'!B:B,'DV List'!A264)</f>
        <v>0</v>
      </c>
      <c r="F264" s="276" t="e">
        <f t="shared" si="4"/>
        <v>#VALUE!</v>
      </c>
      <c r="G264" t="s">
        <v>2664</v>
      </c>
    </row>
    <row r="265" spans="1:7">
      <c r="A265" t="s">
        <v>2512</v>
      </c>
      <c r="B265" t="str">
        <f>VLOOKUP(A265,'[1]MAIN-101'!$B$13:$M$787,4,FALSE)</f>
        <v>LBP F/O DTI-PDI</v>
      </c>
      <c r="C265" t="str">
        <f>VLOOKUP(A265,'[1]MAIN-101'!$B$13:$M$787,12,FALSE)</f>
        <v>Payment for salaries and allowances for Regular employees for the period of February 16-28, 2021</v>
      </c>
      <c r="D265" s="562" t="e">
        <f>SUMIFS('[1]MAIN-101'!$Z$1:$Z$3000,'[1]MAIN-101'!$X$1:$X$3000,A265)</f>
        <v>#VALUE!</v>
      </c>
      <c r="E265" s="562">
        <f>SUMIFS('Recon of ORS and DV'!D:D,'Recon of ORS and DV'!B:B,'DV List'!A265)</f>
        <v>0</v>
      </c>
      <c r="F265" s="276" t="e">
        <f t="shared" si="4"/>
        <v>#VALUE!</v>
      </c>
      <c r="G265" t="s">
        <v>2664</v>
      </c>
    </row>
    <row r="266" spans="1:7">
      <c r="A266" t="s">
        <v>2513</v>
      </c>
      <c r="B266" t="str">
        <f>VLOOKUP(A266,'[1]MAIN-101'!$B$13:$M$787,4,FALSE)</f>
        <v>Joselito B. Paler</v>
      </c>
      <c r="C266" t="str">
        <f>VLOOKUP(A266,'[1]MAIN-101'!$B$13:$M$787,12,FALSE)</f>
        <v>Payment for salaries and allowances for CARP employees for the period of February 16-28, 2021</v>
      </c>
      <c r="D266" s="562" t="e">
        <f>SUMIFS('[1]MAIN-101'!$Z$1:$Z$3000,'[1]MAIN-101'!$X$1:$X$3000,A266)</f>
        <v>#VALUE!</v>
      </c>
      <c r="E266" s="562">
        <f>SUMIFS('Recon of ORS and DV'!D:D,'Recon of ORS and DV'!B:B,'DV List'!A266)</f>
        <v>0</v>
      </c>
      <c r="F266" s="276" t="e">
        <f t="shared" si="4"/>
        <v>#VALUE!</v>
      </c>
      <c r="G266" t="s">
        <v>2664</v>
      </c>
    </row>
    <row r="267" spans="1:7">
      <c r="A267" t="s">
        <v>2514</v>
      </c>
      <c r="B267" t="str">
        <f>VLOOKUP(A267,'[1]MAIN-101'!$B$13:$M$787,4,FALSE)</f>
        <v>LBP F/O DTI-AD N</v>
      </c>
      <c r="C267" t="str">
        <f>VLOOKUP(A267,'[1]MAIN-101'!$B$13:$M$787,12,FALSE)</f>
        <v>Payment for salaries and allowances for CARP employees for the period of February 16-28, 2021</v>
      </c>
      <c r="D267" s="562" t="e">
        <f>SUMIFS('[1]MAIN-101'!$Z$1:$Z$3000,'[1]MAIN-101'!$X$1:$X$3000,A267)</f>
        <v>#VALUE!</v>
      </c>
      <c r="E267" s="562">
        <f>SUMIFS('Recon of ORS and DV'!D:D,'Recon of ORS and DV'!B:B,'DV List'!A267)</f>
        <v>0</v>
      </c>
      <c r="F267" s="276" t="e">
        <f t="shared" si="4"/>
        <v>#VALUE!</v>
      </c>
      <c r="G267" t="s">
        <v>2664</v>
      </c>
    </row>
    <row r="268" spans="1:7">
      <c r="A268" t="s">
        <v>2515</v>
      </c>
      <c r="B268" t="str">
        <f>VLOOKUP(A268,'[1]MAIN-101'!$B$13:$M$787,4,FALSE)</f>
        <v>Lemuel D. Roboca</v>
      </c>
      <c r="C268" t="str">
        <f>VLOOKUP(A268,'[1]MAIN-101'!$B$13:$M$787,12,FALSE)</f>
        <v>Payment for salaries and allowances for CARP employees for the period of February 16-28, 2021</v>
      </c>
      <c r="D268" s="562" t="e">
        <f>SUMIFS('[1]MAIN-101'!$Z$1:$Z$3000,'[1]MAIN-101'!$X$1:$X$3000,A268)</f>
        <v>#VALUE!</v>
      </c>
      <c r="E268" s="562">
        <f>SUMIFS('Recon of ORS and DV'!D:D,'Recon of ORS and DV'!B:B,'DV List'!A268)</f>
        <v>0</v>
      </c>
      <c r="F268" s="276" t="e">
        <f t="shared" si="4"/>
        <v>#VALUE!</v>
      </c>
      <c r="G268" t="s">
        <v>2664</v>
      </c>
    </row>
    <row r="269" spans="1:7">
      <c r="A269" t="s">
        <v>2516</v>
      </c>
      <c r="B269" t="str">
        <f>VLOOKUP(A269,'[1]MAIN-101'!$B$13:$M$787,4,FALSE)</f>
        <v>Ma. Malen B. Catamora</v>
      </c>
      <c r="C269" t="str">
        <f>VLOOKUP(A269,'[1]MAIN-101'!$B$13:$M$787,12,FALSE)</f>
        <v>Payment for salaries and allowances for CARP employees for the period of February 16-28, 2021</v>
      </c>
      <c r="D269" s="562" t="e">
        <f>SUMIFS('[1]MAIN-101'!$Z$1:$Z$3000,'[1]MAIN-101'!$X$1:$X$3000,A269)</f>
        <v>#VALUE!</v>
      </c>
      <c r="E269" s="562">
        <f>SUMIFS('Recon of ORS and DV'!D:D,'Recon of ORS and DV'!B:B,'DV List'!A269)</f>
        <v>0</v>
      </c>
      <c r="F269" s="276" t="e">
        <f t="shared" si="4"/>
        <v>#VALUE!</v>
      </c>
      <c r="G269" t="s">
        <v>2664</v>
      </c>
    </row>
    <row r="270" spans="1:7">
      <c r="A270" t="s">
        <v>2517</v>
      </c>
      <c r="B270" t="str">
        <f>VLOOKUP(A270,'[1]MAIN-101'!$B$13:$M$787,4,FALSE)</f>
        <v>LBP F/O DTI-SDS</v>
      </c>
      <c r="C270" t="str">
        <f>VLOOKUP(A270,'[1]MAIN-101'!$B$13:$M$787,12,FALSE)</f>
        <v>Payment for salaries and allowances for CARP employees for the period of February 16-28, 2021</v>
      </c>
      <c r="D270" s="562" t="e">
        <f>SUMIFS('[1]MAIN-101'!$Z$1:$Z$3000,'[1]MAIN-101'!$X$1:$X$3000,A270)</f>
        <v>#VALUE!</v>
      </c>
      <c r="E270" s="562">
        <f>SUMIFS('Recon of ORS and DV'!D:D,'Recon of ORS and DV'!B:B,'DV List'!A270)</f>
        <v>0</v>
      </c>
      <c r="F270" s="276" t="e">
        <f t="shared" si="4"/>
        <v>#VALUE!</v>
      </c>
      <c r="G270" t="s">
        <v>2664</v>
      </c>
    </row>
    <row r="271" spans="1:7">
      <c r="A271" t="s">
        <v>2518</v>
      </c>
      <c r="B271" t="str">
        <f>VLOOKUP(A271,'[1]MAIN-101'!$B$13:$M$787,4,FALSE)</f>
        <v>Jumar H. Llorente</v>
      </c>
      <c r="C271" t="str">
        <f>VLOOKUP(A271,'[1]MAIN-101'!$B$13:$M$787,12,FALSE)</f>
        <v>Payment for salaries and allowances for CARP employees for the period of February 16-28, 2021</v>
      </c>
      <c r="D271" s="562" t="e">
        <f>SUMIFS('[1]MAIN-101'!$Z$1:$Z$3000,'[1]MAIN-101'!$X$1:$X$3000,A271)</f>
        <v>#VALUE!</v>
      </c>
      <c r="E271" s="562">
        <f>SUMIFS('Recon of ORS and DV'!D:D,'Recon of ORS and DV'!B:B,'DV List'!A271)</f>
        <v>0</v>
      </c>
      <c r="F271" s="276" t="e">
        <f t="shared" si="4"/>
        <v>#VALUE!</v>
      </c>
      <c r="G271" t="s">
        <v>2664</v>
      </c>
    </row>
    <row r="272" spans="1:7">
      <c r="A272" t="s">
        <v>2519</v>
      </c>
      <c r="B272" t="str">
        <f>VLOOKUP(A272,'[1]MAIN-101'!$B$13:$M$787,4,FALSE)</f>
        <v>Joselito B. Paler</v>
      </c>
      <c r="C272" t="str">
        <f>VLOOKUP(A272,'[1]MAIN-101'!$B$13:$M$787,12,FALSE)</f>
        <v>Refund of HDMF-MPL and Provident MPL for the month of February 2021</v>
      </c>
      <c r="D272" s="562" t="e">
        <f>SUMIFS('[1]MAIN-101'!$Z$1:$Z$3000,'[1]MAIN-101'!$X$1:$X$3000,A272)</f>
        <v>#VALUE!</v>
      </c>
      <c r="E272" s="562">
        <f>SUMIFS('Recon of ORS and DV'!D:D,'Recon of ORS and DV'!B:B,'DV List'!A272)</f>
        <v>0</v>
      </c>
      <c r="F272" s="276" t="e">
        <f t="shared" si="4"/>
        <v>#VALUE!</v>
      </c>
      <c r="G272" t="s">
        <v>2663</v>
      </c>
    </row>
    <row r="273" spans="1:7">
      <c r="A273" t="s">
        <v>2520</v>
      </c>
      <c r="B273" t="str">
        <f>VLOOKUP(A273,'[1]MAIN-101'!$B$13:$M$787,4,FALSE)</f>
        <v>GSIS</v>
      </c>
      <c r="C273" t="str">
        <f>VLOOKUP(A273,'[1]MAIN-101'!$B$13:$M$787,12,FALSE)</f>
        <v>Remittance of GSIS premiums (RLIP &amp;SIC) for employees with salary differential due to to step increment (Pascual &amp; Togonon) and SSL 5 (Timogan) for the period January 4-31,2021</v>
      </c>
      <c r="D273" s="562" t="e">
        <f>SUMIFS('[1]MAIN-101'!$Z$1:$Z$3000,'[1]MAIN-101'!$X$1:$X$3000,A273)</f>
        <v>#VALUE!</v>
      </c>
      <c r="E273" s="562">
        <f>SUMIFS('Recon of ORS and DV'!D:D,'Recon of ORS and DV'!B:B,'DV List'!A273)</f>
        <v>0</v>
      </c>
      <c r="F273" s="276" t="e">
        <f t="shared" si="4"/>
        <v>#VALUE!</v>
      </c>
    </row>
    <row r="274" spans="1:7">
      <c r="A274" t="s">
        <v>2521</v>
      </c>
      <c r="B274" t="str">
        <f>VLOOKUP(A274,'[1]MAIN-101'!$B$13:$M$787,4,FALSE)</f>
        <v>GSIS</v>
      </c>
      <c r="C274" t="str">
        <f>VLOOKUP(A274,'[1]MAIN-101'!$B$13:$M$787,12,FALSE)</f>
        <v>Remittance of GSIS premiums and loan payment of CARP employees for the month of February 2021</v>
      </c>
      <c r="D274" s="562" t="e">
        <f>SUMIFS('[1]MAIN-101'!$Z$1:$Z$3000,'[1]MAIN-101'!$X$1:$X$3000,A274)</f>
        <v>#VALUE!</v>
      </c>
      <c r="E274" s="562">
        <f>SUMIFS('Recon of ORS and DV'!D:D,'Recon of ORS and DV'!B:B,'DV List'!A274)</f>
        <v>0</v>
      </c>
      <c r="F274" s="276" t="e">
        <f t="shared" si="4"/>
        <v>#VALUE!</v>
      </c>
      <c r="G274" t="s">
        <v>2662</v>
      </c>
    </row>
    <row r="275" spans="1:7">
      <c r="A275" t="s">
        <v>2522</v>
      </c>
      <c r="B275" t="str">
        <f>VLOOKUP(A275,'[1]MAIN-101'!$B$13:$M$787,4,FALSE)</f>
        <v>HDMF-Butuan City</v>
      </c>
      <c r="C275" t="str">
        <f>VLOOKUP(A275,'[1]MAIN-101'!$B$13:$M$787,12,FALSE)</f>
        <v>Remittance of HDMF premiums and loan payment of CARP employees for the month of February 2021</v>
      </c>
      <c r="D275" s="562" t="e">
        <f>SUMIFS('[1]MAIN-101'!$Z$1:$Z$3000,'[1]MAIN-101'!$X$1:$X$3000,A275)</f>
        <v>#VALUE!</v>
      </c>
      <c r="E275" s="562">
        <f>SUMIFS('Recon of ORS and DV'!D:D,'Recon of ORS and DV'!B:B,'DV List'!A275)</f>
        <v>0</v>
      </c>
      <c r="F275" s="276" t="e">
        <f t="shared" si="4"/>
        <v>#VALUE!</v>
      </c>
      <c r="G275" t="s">
        <v>2662</v>
      </c>
    </row>
    <row r="276" spans="1:7">
      <c r="A276" t="s">
        <v>2523</v>
      </c>
      <c r="B276" t="str">
        <f>VLOOKUP(A276,'[1]MAIN-101'!$B$13:$M$787,4,FALSE)</f>
        <v>PHIC</v>
      </c>
      <c r="C276" t="str">
        <f>VLOOKUP(A276,'[1]MAIN-101'!$B$13:$M$787,12,FALSE)</f>
        <v>Remittance of coop deductions from PDI( additional remittance) for the month of January 2021</v>
      </c>
      <c r="D276" s="562" t="e">
        <f>SUMIFS('[1]MAIN-101'!$Z$1:$Z$3000,'[1]MAIN-101'!$X$1:$X$3000,A276)</f>
        <v>#VALUE!</v>
      </c>
      <c r="E276" s="562">
        <f>SUMIFS('Recon of ORS and DV'!D:D,'Recon of ORS and DV'!B:B,'DV List'!A276)</f>
        <v>0</v>
      </c>
      <c r="F276" s="276" t="e">
        <f t="shared" si="4"/>
        <v>#VALUE!</v>
      </c>
      <c r="G276" t="s">
        <v>2662</v>
      </c>
    </row>
    <row r="277" spans="1:7">
      <c r="A277" t="s">
        <v>2524</v>
      </c>
      <c r="B277" t="str">
        <f>VLOOKUP(A277,'[1]MAIN-101'!$B$13:$M$787,4,FALSE)</f>
        <v>DTI-Provident Fund</v>
      </c>
      <c r="C277" t="str">
        <f>VLOOKUP(A277,'[1]MAIN-101'!$B$13:$M$787,12,FALSE)</f>
        <v>Remittance of provident premium of CARP employees for the month of January 2021</v>
      </c>
      <c r="D277" s="562" t="e">
        <f>SUMIFS('[1]MAIN-101'!$Z$1:$Z$3000,'[1]MAIN-101'!$X$1:$X$3000,A277)</f>
        <v>#VALUE!</v>
      </c>
      <c r="E277" s="562">
        <f>SUMIFS('Recon of ORS and DV'!D:D,'Recon of ORS and DV'!B:B,'DV List'!A277)</f>
        <v>0</v>
      </c>
      <c r="F277" s="276" t="e">
        <f t="shared" si="4"/>
        <v>#VALUE!</v>
      </c>
      <c r="G277" t="s">
        <v>2662</v>
      </c>
    </row>
    <row r="278" spans="1:7">
      <c r="A278" t="s">
        <v>2525</v>
      </c>
      <c r="B278" t="str">
        <f>VLOOKUP(A278,'[1]MAIN-101'!$B$13:$M$787,4,FALSE)</f>
        <v>DTI-Mutual Death Benefit Fund</v>
      </c>
      <c r="C278" t="str">
        <f>VLOOKUP(A278,'[1]MAIN-101'!$B$13:$M$787,12,FALSE)</f>
        <v>Remittance of MDBF Premium of CARP employee for the period January- December 2021</v>
      </c>
      <c r="D278" s="562" t="e">
        <f>SUMIFS('[1]MAIN-101'!$Z$1:$Z$3000,'[1]MAIN-101'!$X$1:$X$3000,A278)</f>
        <v>#VALUE!</v>
      </c>
      <c r="E278" s="562">
        <f>SUMIFS('Recon of ORS and DV'!D:D,'Recon of ORS and DV'!B:B,'DV List'!A278)</f>
        <v>0</v>
      </c>
      <c r="F278" s="276" t="e">
        <f t="shared" si="4"/>
        <v>#VALUE!</v>
      </c>
      <c r="G278" t="s">
        <v>2662</v>
      </c>
    </row>
    <row r="279" spans="1:7">
      <c r="A279" t="s">
        <v>2526</v>
      </c>
      <c r="B279" t="str">
        <f>VLOOKUP(A279,'[1]MAIN-101'!$B$13:$M$787,4,FALSE)</f>
        <v>DREAMCO MPC</v>
      </c>
      <c r="C279" t="str">
        <f>VLOOKUP(A279,'[1]MAIN-101'!$B$13:$M$787,12,FALSE)</f>
        <v>Remittance of coop deductions from PDI( additional remittance) for the month of January 2021</v>
      </c>
      <c r="D279" s="562" t="e">
        <f>SUMIFS('[1]MAIN-101'!$Z$1:$Z$3000,'[1]MAIN-101'!$X$1:$X$3000,A279)</f>
        <v>#VALUE!</v>
      </c>
      <c r="E279" s="562">
        <f>SUMIFS('Recon of ORS and DV'!D:D,'Recon of ORS and DV'!B:B,'DV List'!A279)</f>
        <v>0</v>
      </c>
      <c r="F279" s="276" t="e">
        <f t="shared" si="4"/>
        <v>#VALUE!</v>
      </c>
      <c r="G279" t="s">
        <v>2662</v>
      </c>
    </row>
    <row r="280" spans="1:7">
      <c r="A280" t="s">
        <v>2527</v>
      </c>
      <c r="B280" t="str">
        <f>VLOOKUP(A280,'[1]MAIN-101'!$B$13:$M$787,4,FALSE)</f>
        <v>GLAD MPC</v>
      </c>
      <c r="C280" t="str">
        <f>VLOOKUP(A280,'[1]MAIN-101'!$B$13:$M$787,12,FALSE)</f>
        <v>Remitance of CARP employees coop deductions for the month of Feb 2021</v>
      </c>
      <c r="D280" s="562" t="e">
        <f>SUMIFS('[1]MAIN-101'!$Z$1:$Z$3000,'[1]MAIN-101'!$X$1:$X$3000,A280)</f>
        <v>#VALUE!</v>
      </c>
      <c r="E280" s="562">
        <f>SUMIFS('Recon of ORS and DV'!D:D,'Recon of ORS and DV'!B:B,'DV List'!A280)</f>
        <v>0</v>
      </c>
      <c r="F280" s="276" t="e">
        <f t="shared" si="4"/>
        <v>#VALUE!</v>
      </c>
      <c r="G280" t="s">
        <v>2662</v>
      </c>
    </row>
    <row r="281" spans="1:7">
      <c r="A281" t="s">
        <v>2528</v>
      </c>
      <c r="B281" t="str">
        <f>VLOOKUP(A281,'[1]MAIN-101'!$B$13:$M$787,4,FALSE)</f>
        <v>SURE DEV'T COOPERATIVE</v>
      </c>
      <c r="C281" t="str">
        <f>VLOOKUP(A281,'[1]MAIN-101'!$B$13:$M$787,12,FALSE)</f>
        <v>Remittance of coop deduction of CARP staff for the month of February 2021</v>
      </c>
      <c r="D281" s="562" t="e">
        <f>SUMIFS('[1]MAIN-101'!$Z$1:$Z$3000,'[1]MAIN-101'!$X$1:$X$3000,A281)</f>
        <v>#VALUE!</v>
      </c>
      <c r="E281" s="562">
        <f>SUMIFS('Recon of ORS and DV'!D:D,'Recon of ORS and DV'!B:B,'DV List'!A281)</f>
        <v>0</v>
      </c>
      <c r="F281" s="276" t="e">
        <f t="shared" si="4"/>
        <v>#VALUE!</v>
      </c>
      <c r="G281" t="s">
        <v>2662</v>
      </c>
    </row>
    <row r="282" spans="1:7">
      <c r="A282" t="s">
        <v>2529</v>
      </c>
      <c r="B282" t="str">
        <f>VLOOKUP(A282,'[1]MAIN-101'!$B$13:$M$787,4,FALSE)</f>
        <v>Jumar H. Llorente</v>
      </c>
      <c r="C282" t="str">
        <f>VLOOKUP(A282,'[1]MAIN-101'!$B$13:$M$787,12,FALSE)</f>
        <v>Refund of DTI-EU dues deduction for the month of February 2021.</v>
      </c>
      <c r="D282" s="562" t="e">
        <f>SUMIFS('[1]MAIN-101'!$Z$1:$Z$3000,'[1]MAIN-101'!$X$1:$X$3000,A282)</f>
        <v>#VALUE!</v>
      </c>
      <c r="E282" s="562">
        <f>SUMIFS('Recon of ORS and DV'!D:D,'Recon of ORS and DV'!B:B,'DV List'!A282)</f>
        <v>0</v>
      </c>
      <c r="F282" s="276" t="e">
        <f t="shared" si="4"/>
        <v>#VALUE!</v>
      </c>
      <c r="G282" t="s">
        <v>2663</v>
      </c>
    </row>
    <row r="283" spans="1:7">
      <c r="A283" t="s">
        <v>2176</v>
      </c>
      <c r="B283" t="str">
        <f>VLOOKUP(A283,'[1]MAIN-101'!$B$13:$M$787,4,FALSE)</f>
        <v>Procurement Service</v>
      </c>
      <c r="C283" t="str">
        <f>VLOOKUP(A283,'[1]MAIN-101'!$B$13:$M$787,12,FALSE)</f>
        <v>FAD Office use for the 1st quarter 2021.</v>
      </c>
      <c r="D283" s="562" t="e">
        <f>SUMIFS('[1]MAIN-101'!$Z$1:$Z$3000,'[1]MAIN-101'!$X$1:$X$3000,A283)</f>
        <v>#VALUE!</v>
      </c>
      <c r="E283" s="562" t="e">
        <f>SUMIFS('Recon of ORS and DV'!D:D,'Recon of ORS and DV'!B:B,'DV List'!A283)</f>
        <v>#VALUE!</v>
      </c>
      <c r="F283" s="276" t="e">
        <f t="shared" si="4"/>
        <v>#VALUE!</v>
      </c>
    </row>
    <row r="284" spans="1:7">
      <c r="A284" t="s">
        <v>2184</v>
      </c>
      <c r="B284" t="str">
        <f>VLOOKUP(A284,'[1]MAIN-101'!$B$13:$M$787,4,FALSE)</f>
        <v>Fevi V. Silvosa</v>
      </c>
      <c r="C284" t="str">
        <f>VLOOKUP(A284,'[1]MAIN-101'!$B$13:$M$787,12,FALSE)</f>
        <v>Payment for job orders for the period  February 1-15,2021</v>
      </c>
      <c r="D284" s="562" t="e">
        <f>SUMIFS('[1]MAIN-101'!$Z$1:$Z$3000,'[1]MAIN-101'!$X$1:$X$3000,A284)</f>
        <v>#VALUE!</v>
      </c>
      <c r="E284" s="562" t="e">
        <f>SUMIFS('Recon of ORS and DV'!D:D,'Recon of ORS and DV'!B:B,'DV List'!A284)</f>
        <v>#VALUE!</v>
      </c>
      <c r="F284" s="276" t="e">
        <f t="shared" si="4"/>
        <v>#VALUE!</v>
      </c>
    </row>
    <row r="285" spans="1:7">
      <c r="A285" t="s">
        <v>2185</v>
      </c>
      <c r="B285" t="str">
        <f>VLOOKUP(A285,'[1]MAIN-101'!$B$13:$M$787,4,FALSE)</f>
        <v>LBP F/O DTI-JO</v>
      </c>
      <c r="C285" t="str">
        <f>VLOOKUP(A285,'[1]MAIN-101'!$B$13:$M$787,12,FALSE)</f>
        <v>Payment for job orders for the period  February 1-15,2021</v>
      </c>
      <c r="D285" s="562" t="e">
        <f>SUMIFS('[1]MAIN-101'!$Z$1:$Z$3000,'[1]MAIN-101'!$X$1:$X$3000,A285)</f>
        <v>#VALUE!</v>
      </c>
      <c r="E285" s="562" t="e">
        <f>SUMIFS('Recon of ORS and DV'!D:D,'Recon of ORS and DV'!B:B,'DV List'!A285)</f>
        <v>#VALUE!</v>
      </c>
      <c r="F285" s="276" t="e">
        <f t="shared" si="4"/>
        <v>#VALUE!</v>
      </c>
    </row>
    <row r="286" spans="1:7">
      <c r="A286" t="s">
        <v>2186</v>
      </c>
      <c r="B286" t="str">
        <f>VLOOKUP(A286,'[1]MAIN-101'!$B$13:$M$787,4,FALSE)</f>
        <v>LBP F/O DTI-JO</v>
      </c>
      <c r="C286" t="str">
        <f>VLOOKUP(A286,'[1]MAIN-101'!$B$13:$M$787,12,FALSE)</f>
        <v>Payment for job orders for the period  February 1-15,2021</v>
      </c>
      <c r="D286" s="562" t="e">
        <f>SUMIFS('[1]MAIN-101'!$Z$1:$Z$3000,'[1]MAIN-101'!$X$1:$X$3000,A286)</f>
        <v>#VALUE!</v>
      </c>
      <c r="E286" s="562" t="e">
        <f>SUMIFS('Recon of ORS and DV'!D:D,'Recon of ORS and DV'!B:B,'DV List'!A286)</f>
        <v>#VALUE!</v>
      </c>
      <c r="F286" s="276" t="e">
        <f t="shared" si="4"/>
        <v>#VALUE!</v>
      </c>
    </row>
    <row r="287" spans="1:7">
      <c r="A287" t="s">
        <v>2187</v>
      </c>
      <c r="B287" t="str">
        <f>VLOOKUP(A287,'[1]MAIN-101'!$B$13:$M$787,4,FALSE)</f>
        <v>LBP F/O DTI-JO</v>
      </c>
      <c r="C287" t="str">
        <f>VLOOKUP(A287,'[1]MAIN-101'!$B$13:$M$787,12,FALSE)</f>
        <v>Payment for job orders for the period  February 1-15,2021</v>
      </c>
      <c r="D287" s="562" t="e">
        <f>SUMIFS('[1]MAIN-101'!$Z$1:$Z$3000,'[1]MAIN-101'!$X$1:$X$3000,A287)</f>
        <v>#VALUE!</v>
      </c>
      <c r="E287" s="562" t="e">
        <f>SUMIFS('Recon of ORS and DV'!D:D,'Recon of ORS and DV'!B:B,'DV List'!A287)</f>
        <v>#VALUE!</v>
      </c>
      <c r="F287" s="276" t="e">
        <f t="shared" si="4"/>
        <v>#VALUE!</v>
      </c>
    </row>
    <row r="288" spans="1:7">
      <c r="A288" t="s">
        <v>2188</v>
      </c>
      <c r="B288" t="str">
        <f>VLOOKUP(A288,'[1]MAIN-101'!$B$13:$M$787,4,FALSE)</f>
        <v>LBP F/O DTI-JO</v>
      </c>
      <c r="C288" t="str">
        <f>VLOOKUP(A288,'[1]MAIN-101'!$B$13:$M$787,12,FALSE)</f>
        <v>Payment for job orders for the period  February 1-15,2021</v>
      </c>
      <c r="D288" s="562" t="e">
        <f>SUMIFS('[1]MAIN-101'!$Z$1:$Z$3000,'[1]MAIN-101'!$X$1:$X$3000,A288)</f>
        <v>#VALUE!</v>
      </c>
      <c r="E288" s="562" t="e">
        <f>SUMIFS('Recon of ORS and DV'!D:D,'Recon of ORS and DV'!B:B,'DV List'!A288)</f>
        <v>#VALUE!</v>
      </c>
      <c r="F288" s="276" t="e">
        <f t="shared" si="4"/>
        <v>#VALUE!</v>
      </c>
    </row>
    <row r="289" spans="1:7">
      <c r="A289" t="s">
        <v>2189</v>
      </c>
      <c r="B289" t="str">
        <f>VLOOKUP(A289,'[1]MAIN-101'!$B$13:$M$787,4,FALSE)</f>
        <v>Reynold C. Gulde</v>
      </c>
      <c r="C289" t="str">
        <f>VLOOKUP(A289,'[1]MAIN-101'!$B$13:$M$787,12,FALSE)</f>
        <v>Payment of overtime services for December and January 2021.</v>
      </c>
      <c r="D289" s="562" t="e">
        <f>SUMIFS('[1]MAIN-101'!$Z$1:$Z$3000,'[1]MAIN-101'!$X$1:$X$3000,A289)</f>
        <v>#VALUE!</v>
      </c>
      <c r="E289" s="562" t="e">
        <f>SUMIFS('Recon of ORS and DV'!D:D,'Recon of ORS and DV'!B:B,'DV List'!A289)</f>
        <v>#VALUE!</v>
      </c>
      <c r="F289" s="276" t="e">
        <f t="shared" si="4"/>
        <v>#VALUE!</v>
      </c>
    </row>
    <row r="290" spans="1:7">
      <c r="A290" t="s">
        <v>2530</v>
      </c>
      <c r="B290" t="str">
        <f>VLOOKUP(A290,'[1]MAIN-101'!$B$13:$M$787,4,FALSE)</f>
        <v>Dreamco MPC</v>
      </c>
      <c r="C290" t="str">
        <f>VLOOKUP(A290,'[1]MAIN-101'!$B$13:$M$787,12,FALSE)</f>
        <v>Remittance job orders coop deductions for the period February 1-15, 2021</v>
      </c>
      <c r="D290" s="562" t="e">
        <f>SUMIFS('[1]MAIN-101'!$Z$1:$Z$3000,'[1]MAIN-101'!$X$1:$X$3000,A290)</f>
        <v>#VALUE!</v>
      </c>
      <c r="E290" s="562">
        <f>SUMIFS('Recon of ORS and DV'!D:D,'Recon of ORS and DV'!B:B,'DV List'!A290)</f>
        <v>0</v>
      </c>
      <c r="F290" s="276" t="e">
        <f t="shared" si="4"/>
        <v>#VALUE!</v>
      </c>
    </row>
    <row r="291" spans="1:7">
      <c r="A291" t="s">
        <v>2182</v>
      </c>
      <c r="B291" t="str">
        <f>VLOOKUP(A291,'[1]MAIN-101'!$B$13:$M$787,4,FALSE)</f>
        <v>Lime and Zest Kitchen</v>
      </c>
      <c r="C291" t="str">
        <f>VLOOKUP(A291,'[1]MAIN-101'!$B$13:$M$787,12,FALSE)</f>
        <v>Payment of meals during the IDD Functional Team Meeting on January 26, 2021</v>
      </c>
      <c r="D291" s="562" t="e">
        <f>SUMIFS('[1]MAIN-101'!$Z$1:$Z$3000,'[1]MAIN-101'!$X$1:$X$3000,A291)</f>
        <v>#VALUE!</v>
      </c>
      <c r="E291" s="562" t="e">
        <f>SUMIFS('Recon of ORS and DV'!D:D,'Recon of ORS and DV'!B:B,'DV List'!A291)</f>
        <v>#VALUE!</v>
      </c>
      <c r="F291" s="276" t="e">
        <f t="shared" si="4"/>
        <v>#VALUE!</v>
      </c>
    </row>
    <row r="292" spans="1:7">
      <c r="A292" t="s">
        <v>2183</v>
      </c>
      <c r="B292" t="str">
        <f>VLOOKUP(A292,'[1]MAIN-101'!$B$13:$M$787,4,FALSE)</f>
        <v>Globe Telecom, Inc.</v>
      </c>
      <c r="C292" t="str">
        <f>VLOOKUP(A292,'[1]MAIN-101'!$B$13:$M$787,12,FALSE)</f>
        <v>Payment of Globe postpaid plan subscription for the month of January 16-February 15, 2021 for acct 65087463</v>
      </c>
      <c r="D292" s="562" t="e">
        <f>SUMIFS('[1]MAIN-101'!$Z$1:$Z$3000,'[1]MAIN-101'!$X$1:$X$3000,A292)</f>
        <v>#VALUE!</v>
      </c>
      <c r="E292" s="562" t="e">
        <f>SUMIFS('Recon of ORS and DV'!D:D,'Recon of ORS and DV'!B:B,'DV List'!A292)</f>
        <v>#VALUE!</v>
      </c>
      <c r="F292" s="276" t="e">
        <f t="shared" si="4"/>
        <v>#VALUE!</v>
      </c>
    </row>
    <row r="293" spans="1:7">
      <c r="A293" t="s">
        <v>2531</v>
      </c>
      <c r="B293" t="str">
        <f>VLOOKUP(A293,'[1]MAIN-101'!$B$13:$M$787,4,FALSE)</f>
        <v>Sunlife of Canada Phils. Inc</v>
      </c>
      <c r="C293" t="str">
        <f>VLOOKUP(A293,'[1]MAIN-101'!$B$13:$M$787,12,FALSE)</f>
        <v>Remittance of insurance premiums for the month of February 2021</v>
      </c>
      <c r="D293" s="562" t="e">
        <f>SUMIFS('[1]MAIN-101'!$Z$1:$Z$3000,'[1]MAIN-101'!$X$1:$X$3000,A293)</f>
        <v>#VALUE!</v>
      </c>
      <c r="E293" s="562">
        <f>SUMIFS('Recon of ORS and DV'!D:D,'Recon of ORS and DV'!B:B,'DV List'!A293)</f>
        <v>0</v>
      </c>
      <c r="F293" s="276" t="e">
        <f t="shared" si="4"/>
        <v>#VALUE!</v>
      </c>
    </row>
    <row r="294" spans="1:7">
      <c r="A294" t="s">
        <v>2532</v>
      </c>
      <c r="B294" t="str">
        <f>VLOOKUP(A294,'[1]MAIN-101'!$B$13:$M$787,4,FALSE)</f>
        <v>GLAD MPC</v>
      </c>
      <c r="C294" t="str">
        <f>VLOOKUP(A294,'[1]MAIN-101'!$B$13:$M$787,12,FALSE)</f>
        <v>Remittance of COOP deductions for the month of February 2021</v>
      </c>
      <c r="D294" s="562" t="e">
        <f>SUMIFS('[1]MAIN-101'!$Z$1:$Z$3000,'[1]MAIN-101'!$X$1:$X$3000,A294)</f>
        <v>#VALUE!</v>
      </c>
      <c r="E294" s="562">
        <f>SUMIFS('Recon of ORS and DV'!D:D,'Recon of ORS and DV'!B:B,'DV List'!A294)</f>
        <v>0</v>
      </c>
      <c r="F294" s="276" t="e">
        <f t="shared" si="4"/>
        <v>#VALUE!</v>
      </c>
    </row>
    <row r="295" spans="1:7">
      <c r="A295" t="s">
        <v>2533</v>
      </c>
      <c r="B295" t="str">
        <f>VLOOKUP(A295,'[1]MAIN-101'!$B$13:$M$787,4,FALSE)</f>
        <v>DTI- Provident Fund</v>
      </c>
      <c r="C295" t="str">
        <f>VLOOKUP(A295,'[1]MAIN-101'!$B$13:$M$787,12,FALSE)</f>
        <v>Remittance of Provident premiums and loans of regular employees for the month of February 2021</v>
      </c>
      <c r="D295" s="562" t="e">
        <f>SUMIFS('[1]MAIN-101'!$Z$1:$Z$3000,'[1]MAIN-101'!$X$1:$X$3000,A295)</f>
        <v>#VALUE!</v>
      </c>
      <c r="E295" s="562">
        <f>SUMIFS('Recon of ORS and DV'!D:D,'Recon of ORS and DV'!B:B,'DV List'!A295)</f>
        <v>0</v>
      </c>
      <c r="F295" s="276" t="e">
        <f t="shared" si="4"/>
        <v>#VALUE!</v>
      </c>
      <c r="G295" t="s">
        <v>2662</v>
      </c>
    </row>
    <row r="296" spans="1:7">
      <c r="A296" t="s">
        <v>2534</v>
      </c>
      <c r="B296" t="str">
        <f>VLOOKUP(A296,'[1]MAIN-101'!$B$13:$M$787,4,FALSE)</f>
        <v>Mutual Death Benefit Fund</v>
      </c>
      <c r="C296" t="str">
        <f>VLOOKUP(A296,'[1]MAIN-101'!$B$13:$M$787,12,FALSE)</f>
        <v>Remittance of MDBF premiums and loans of regular employees for the month of February 2021</v>
      </c>
      <c r="D296" s="562" t="e">
        <f>SUMIFS('[1]MAIN-101'!$Z$1:$Z$3000,'[1]MAIN-101'!$X$1:$X$3000,A296)</f>
        <v>#VALUE!</v>
      </c>
      <c r="E296" s="562">
        <f>SUMIFS('Recon of ORS and DV'!D:D,'Recon of ORS and DV'!B:B,'DV List'!A296)</f>
        <v>0</v>
      </c>
      <c r="F296" s="276" t="e">
        <f t="shared" si="4"/>
        <v>#VALUE!</v>
      </c>
      <c r="G296" t="s">
        <v>2662</v>
      </c>
    </row>
    <row r="297" spans="1:7">
      <c r="A297" t="s">
        <v>2535</v>
      </c>
      <c r="B297" t="str">
        <f>VLOOKUP(A297,'[1]MAIN-101'!$B$13:$M$787,4,FALSE)</f>
        <v>PHIC Butuan City</v>
      </c>
      <c r="C297" t="str">
        <f>VLOOKUP(A297,'[1]MAIN-101'!$B$13:$M$787,12,FALSE)</f>
        <v>Remittance, PHIC premiums (EE and ER share) for Jan 2021.</v>
      </c>
      <c r="D297" s="562" t="e">
        <f>SUMIFS('[1]MAIN-101'!$Z$1:$Z$3000,'[1]MAIN-101'!$X$1:$X$3000,A297)</f>
        <v>#VALUE!</v>
      </c>
      <c r="E297" s="562">
        <f>SUMIFS('Recon of ORS and DV'!D:D,'Recon of ORS and DV'!B:B,'DV List'!A297)</f>
        <v>0</v>
      </c>
      <c r="F297" s="276" t="e">
        <f t="shared" si="4"/>
        <v>#VALUE!</v>
      </c>
      <c r="G297" t="s">
        <v>2662</v>
      </c>
    </row>
    <row r="298" spans="1:7">
      <c r="A298" t="s">
        <v>2536</v>
      </c>
      <c r="B298" t="str">
        <f>VLOOKUP(A298,'[1]MAIN-101'!$B$13:$M$787,4,FALSE)</f>
        <v>GSIS</v>
      </c>
      <c r="C298" t="str">
        <f>VLOOKUP(A298,'[1]MAIN-101'!$B$13:$M$787,12,FALSE)</f>
        <v>Remittance of  GSIS Premiums(RLIP &amp; SIC) for employees with salary differential due to step increment (Pascual &amp; Togonon) and SSL5 Timogan for the period January 4-31, 2021</v>
      </c>
      <c r="D298" s="562" t="e">
        <f>SUMIFS('[1]MAIN-101'!$Z$1:$Z$3000,'[1]MAIN-101'!$X$1:$X$3000,A298)</f>
        <v>#VALUE!</v>
      </c>
      <c r="E298" s="562">
        <f>SUMIFS('Recon of ORS and DV'!D:D,'Recon of ORS and DV'!B:B,'DV List'!A298)</f>
        <v>0</v>
      </c>
      <c r="F298" s="276" t="e">
        <f t="shared" si="4"/>
        <v>#VALUE!</v>
      </c>
      <c r="G298" t="s">
        <v>2662</v>
      </c>
    </row>
    <row r="299" spans="1:7">
      <c r="A299" t="s">
        <v>2537</v>
      </c>
      <c r="B299" t="str">
        <f>VLOOKUP(A299,'[1]MAIN-101'!$B$13:$M$787,4,FALSE)</f>
        <v>PHIC Butuan City</v>
      </c>
      <c r="C299" t="str">
        <f>VLOOKUP(A299,'[1]MAIN-101'!$B$13:$M$787,12,FALSE)</f>
        <v>Remittance of PHIC premiums of regular employees for the month of February 2021</v>
      </c>
      <c r="D299" s="562" t="e">
        <f>SUMIFS('[1]MAIN-101'!$Z$1:$Z$3000,'[1]MAIN-101'!$X$1:$X$3000,A299)</f>
        <v>#VALUE!</v>
      </c>
      <c r="E299" s="562">
        <f>SUMIFS('Recon of ORS and DV'!D:D,'Recon of ORS and DV'!B:B,'DV List'!A299)</f>
        <v>0</v>
      </c>
      <c r="F299" s="276" t="e">
        <f t="shared" si="4"/>
        <v>#VALUE!</v>
      </c>
      <c r="G299" t="s">
        <v>2662</v>
      </c>
    </row>
    <row r="300" spans="1:7">
      <c r="A300" t="s">
        <v>2538</v>
      </c>
      <c r="B300" t="str">
        <f>VLOOKUP(A300,'[1]MAIN-101'!$B$13:$M$787,4,FALSE)</f>
        <v>Bureau of Treasury</v>
      </c>
      <c r="C300" t="str">
        <f>VLOOKUP(A300,'[1]MAIN-101'!$B$13:$M$787,12,FALSE)</f>
        <v>Remittance on refund of disallowance on salaries and allowances of Jonathan Lagang and disallowance of other employees withheld for the month of February 2021</v>
      </c>
      <c r="D300" s="562" t="e">
        <f>SUMIFS('[1]MAIN-101'!$Z$1:$Z$3000,'[1]MAIN-101'!$X$1:$X$3000,A300)</f>
        <v>#VALUE!</v>
      </c>
      <c r="E300" s="562">
        <f>SUMIFS('Recon of ORS and DV'!D:D,'Recon of ORS and DV'!B:B,'DV List'!A300)</f>
        <v>0</v>
      </c>
      <c r="F300" s="276" t="e">
        <f t="shared" si="4"/>
        <v>#VALUE!</v>
      </c>
      <c r="G300" t="s">
        <v>2662</v>
      </c>
    </row>
    <row r="301" spans="1:7">
      <c r="A301" t="s">
        <v>2539</v>
      </c>
      <c r="B301" t="str">
        <f>VLOOKUP(A301,'[1]MAIN-101'!$B$13:$M$787,4,FALSE)</f>
        <v>Rezel May C. Goloran</v>
      </c>
      <c r="C301" t="str">
        <f>VLOOKUP(A301,'[1]MAIN-101'!$B$13:$M$787,12,FALSE)</f>
        <v>Payment for salaries and allowances of DTI-ADS NC staff for the period February 16-28, 2021</v>
      </c>
      <c r="D301" s="562" t="e">
        <f>SUMIFS('[1]MAIN-101'!$Z$1:$Z$3000,'[1]MAIN-101'!$X$1:$X$3000,A301)</f>
        <v>#VALUE!</v>
      </c>
      <c r="E301" s="562">
        <f>SUMIFS('Recon of ORS and DV'!D:D,'Recon of ORS and DV'!B:B,'DV List'!A301)</f>
        <v>0</v>
      </c>
      <c r="F301" s="276" t="e">
        <f t="shared" si="4"/>
        <v>#VALUE!</v>
      </c>
      <c r="G301" t="s">
        <v>2664</v>
      </c>
    </row>
    <row r="302" spans="1:7">
      <c r="A302" t="s">
        <v>2540</v>
      </c>
      <c r="B302" t="str">
        <f>VLOOKUP(A302,'[1]MAIN-101'!$B$13:$M$787,4,FALSE)</f>
        <v>Loida C. Gumahin</v>
      </c>
      <c r="C302" t="str">
        <f>VLOOKUP(A302,'[1]MAIN-101'!$B$13:$M$787,12,FALSE)</f>
        <v>Payment for salaries and allowances of DTI-RO NC staff for the period February 16-28, 2021</v>
      </c>
      <c r="D302" s="562" t="e">
        <f>SUMIFS('[1]MAIN-101'!$Z$1:$Z$3000,'[1]MAIN-101'!$X$1:$X$3000,A302)</f>
        <v>#VALUE!</v>
      </c>
      <c r="E302" s="562">
        <f>SUMIFS('Recon of ORS and DV'!D:D,'Recon of ORS and DV'!B:B,'DV List'!A302)</f>
        <v>0</v>
      </c>
      <c r="F302" s="276" t="e">
        <f t="shared" si="4"/>
        <v>#VALUE!</v>
      </c>
      <c r="G302" t="s">
        <v>2664</v>
      </c>
    </row>
    <row r="303" spans="1:7">
      <c r="A303" t="s">
        <v>2236</v>
      </c>
      <c r="B303" t="str">
        <f>VLOOKUP(A303,'[1]MAIN-101'!$B$13:$M$787,4,FALSE)</f>
        <v>JMN Multimedia Sales and Services</v>
      </c>
      <c r="C303" t="str">
        <f>VLOOKUP(A303,'[1]MAIN-101'!$B$13:$M$787,12,FALSE)</f>
        <v>Payment for prepaid load cards for FAD Load allowance for 1st quarter of 2021</v>
      </c>
      <c r="D303" s="562" t="e">
        <f>SUMIFS('[1]MAIN-101'!$Z$1:$Z$3000,'[1]MAIN-101'!$X$1:$X$3000,A303)</f>
        <v>#VALUE!</v>
      </c>
      <c r="E303" s="562" t="e">
        <f>SUMIFS('Recon of ORS and DV'!D:D,'Recon of ORS and DV'!B:B,'DV List'!A303)</f>
        <v>#VALUE!</v>
      </c>
      <c r="F303" s="276" t="e">
        <f t="shared" si="4"/>
        <v>#VALUE!</v>
      </c>
    </row>
    <row r="304" spans="1:7">
      <c r="A304" t="s">
        <v>2541</v>
      </c>
      <c r="B304" t="str">
        <f>VLOOKUP(A304,'[1]MAIN-101'!$B$13:$M$787,4,FALSE)</f>
        <v>Jardynne R. Narvasa</v>
      </c>
      <c r="C304" t="str">
        <f>VLOOKUP(A304,'[1]MAIN-101'!$B$13:$M$787,12,FALSE)</f>
        <v>Refund of GSIS-Conso Loan deduction for the month of February 2021</v>
      </c>
      <c r="D304" s="562" t="e">
        <f>SUMIFS('[1]MAIN-101'!$Z$1:$Z$3000,'[1]MAIN-101'!$X$1:$X$3000,A304)</f>
        <v>#VALUE!</v>
      </c>
      <c r="E304" s="562">
        <f>SUMIFS('Recon of ORS and DV'!D:D,'Recon of ORS and DV'!B:B,'DV List'!A304)</f>
        <v>0</v>
      </c>
      <c r="F304" s="276" t="e">
        <f t="shared" si="4"/>
        <v>#VALUE!</v>
      </c>
      <c r="G304" t="s">
        <v>2663</v>
      </c>
    </row>
    <row r="305" spans="1:7">
      <c r="A305" t="s">
        <v>2542</v>
      </c>
      <c r="B305" t="str">
        <f>VLOOKUP(A305,'[1]MAIN-101'!$B$13:$M$787,4,FALSE)</f>
        <v>GSIS- Butuan City</v>
      </c>
      <c r="C305" t="str">
        <f>VLOOKUP(A305,'[1]MAIN-101'!$B$13:$M$787,12,FALSE)</f>
        <v>Remittance of GSIS premiums and loans of regular employees for the month of February 2021</v>
      </c>
      <c r="D305" s="562" t="e">
        <f>SUMIFS('[1]MAIN-101'!$Z$1:$Z$3000,'[1]MAIN-101'!$X$1:$X$3000,A305)</f>
        <v>#VALUE!</v>
      </c>
      <c r="E305" s="562">
        <f>SUMIFS('Recon of ORS and DV'!D:D,'Recon of ORS and DV'!B:B,'DV List'!A305)</f>
        <v>0</v>
      </c>
      <c r="F305" s="276" t="e">
        <f t="shared" si="4"/>
        <v>#VALUE!</v>
      </c>
      <c r="G305" t="s">
        <v>2662</v>
      </c>
    </row>
    <row r="306" spans="1:7">
      <c r="A306" t="s">
        <v>2543</v>
      </c>
      <c r="B306" t="str">
        <f>VLOOKUP(A306,'[1]MAIN-101'!$B$13:$M$787,4,FALSE)</f>
        <v>DTI-EU</v>
      </c>
      <c r="C306" t="str">
        <f>VLOOKUP(A306,'[1]MAIN-101'!$B$13:$M$787,12,FALSE)</f>
        <v>Remittance of EU Dues and participation of regular employees for the month of February 2021</v>
      </c>
      <c r="D306" s="562" t="e">
        <f>SUMIFS('[1]MAIN-101'!$Z$1:$Z$3000,'[1]MAIN-101'!$X$1:$X$3000,A306)</f>
        <v>#VALUE!</v>
      </c>
      <c r="E306" s="562">
        <f>SUMIFS('Recon of ORS and DV'!D:D,'Recon of ORS and DV'!B:B,'DV List'!A306)</f>
        <v>0</v>
      </c>
      <c r="F306" s="276" t="e">
        <f t="shared" si="4"/>
        <v>#VALUE!</v>
      </c>
      <c r="G306" t="s">
        <v>2662</v>
      </c>
    </row>
    <row r="307" spans="1:7">
      <c r="A307" t="s">
        <v>2544</v>
      </c>
      <c r="B307" t="str">
        <f>VLOOKUP(A307,'[1]MAIN-101'!$B$13:$M$787,4,FALSE)</f>
        <v>DTI-EU</v>
      </c>
      <c r="C307" t="str">
        <f>VLOOKUP(A307,'[1]MAIN-101'!$B$13:$M$787,12,FALSE)</f>
        <v>Remittance of HMO premiums on principal of regular employees for the month of February 2021</v>
      </c>
      <c r="D307" s="562" t="e">
        <f>SUMIFS('[1]MAIN-101'!$Z$1:$Z$3000,'[1]MAIN-101'!$X$1:$X$3000,A307)</f>
        <v>#VALUE!</v>
      </c>
      <c r="E307" s="562">
        <f>SUMIFS('Recon of ORS and DV'!D:D,'Recon of ORS and DV'!B:B,'DV List'!A307)</f>
        <v>0</v>
      </c>
      <c r="F307" s="276" t="e">
        <f t="shared" si="4"/>
        <v>#VALUE!</v>
      </c>
      <c r="G307" t="s">
        <v>2662</v>
      </c>
    </row>
    <row r="308" spans="1:7">
      <c r="A308" t="s">
        <v>2545</v>
      </c>
      <c r="B308" t="str">
        <f>VLOOKUP(A308,'[1]MAIN-101'!$B$13:$M$787,4,FALSE)</f>
        <v>PHIC Butuan City</v>
      </c>
      <c r="C308" t="str">
        <f>VLOOKUP(A308,'[1]MAIN-101'!$B$13:$M$787,12,FALSE)</f>
        <v>Remittance of PHIC premiums for employees with salary differential due to promotion for the period January 4-31, 2021</v>
      </c>
      <c r="D308" s="562" t="e">
        <f>SUMIFS('[1]MAIN-101'!$Z$1:$Z$3000,'[1]MAIN-101'!$X$1:$X$3000,A308)</f>
        <v>#VALUE!</v>
      </c>
      <c r="E308" s="562">
        <f>SUMIFS('Recon of ORS and DV'!D:D,'Recon of ORS and DV'!B:B,'DV List'!A308)</f>
        <v>0</v>
      </c>
      <c r="F308" s="276" t="e">
        <f t="shared" si="4"/>
        <v>#VALUE!</v>
      </c>
      <c r="G308" t="s">
        <v>2662</v>
      </c>
    </row>
    <row r="309" spans="1:7">
      <c r="A309" t="s">
        <v>2546</v>
      </c>
      <c r="B309" t="str">
        <f>VLOOKUP(A309,'[1]MAIN-101'!$B$13:$M$787,4,FALSE)</f>
        <v>GSIS</v>
      </c>
      <c r="C309" t="str">
        <f>VLOOKUP(A309,'[1]MAIN-101'!$B$13:$M$787,12,FALSE)</f>
        <v>Remittance of GSIS premiums from employees with salary diff due to promotion for the period January 4-31, 2021</v>
      </c>
      <c r="D309" s="562" t="e">
        <f>SUMIFS('[1]MAIN-101'!$Z$1:$Z$3000,'[1]MAIN-101'!$X$1:$X$3000,A309)</f>
        <v>#VALUE!</v>
      </c>
      <c r="E309" s="562">
        <f>SUMIFS('Recon of ORS and DV'!D:D,'Recon of ORS and DV'!B:B,'DV List'!A309)</f>
        <v>0</v>
      </c>
      <c r="F309" s="276" t="e">
        <f t="shared" si="4"/>
        <v>#VALUE!</v>
      </c>
      <c r="G309" t="s">
        <v>2662</v>
      </c>
    </row>
    <row r="310" spans="1:7">
      <c r="A310" t="s">
        <v>2547</v>
      </c>
      <c r="B310" t="str">
        <f>VLOOKUP(A310,'[1]MAIN-101'!$B$13:$M$787,4,FALSE)</f>
        <v>GLAD MPC</v>
      </c>
      <c r="C310" t="str">
        <f>VLOOKUP(A310,'[1]MAIN-101'!$B$13:$M$787,12,FALSE)</f>
        <v>Remittance of COOP deductions for the month of February 2021</v>
      </c>
      <c r="D310" s="562" t="e">
        <f>SUMIFS('[1]MAIN-101'!$Z$1:$Z$3000,'[1]MAIN-101'!$X$1:$X$3000,A310)</f>
        <v>#VALUE!</v>
      </c>
      <c r="E310" s="562">
        <f>SUMIFS('Recon of ORS and DV'!D:D,'Recon of ORS and DV'!B:B,'DV List'!A310)</f>
        <v>0</v>
      </c>
      <c r="F310" s="276" t="e">
        <f t="shared" si="4"/>
        <v>#VALUE!</v>
      </c>
      <c r="G310" t="s">
        <v>2662</v>
      </c>
    </row>
    <row r="311" spans="1:7">
      <c r="A311" t="s">
        <v>2548</v>
      </c>
      <c r="B311" t="str">
        <f>VLOOKUP(A311,'[1]MAIN-101'!$B$13:$M$787,4,FALSE)</f>
        <v>Sunlife of Canada Phils. Inc</v>
      </c>
      <c r="C311" t="str">
        <f>VLOOKUP(A311,'[1]MAIN-101'!$B$13:$M$787,12,FALSE)</f>
        <v>Remittance of insurance premiums for the month of February 2021</v>
      </c>
      <c r="D311" s="562" t="e">
        <f>SUMIFS('[1]MAIN-101'!$Z$1:$Z$3000,'[1]MAIN-101'!$X$1:$X$3000,A311)</f>
        <v>#VALUE!</v>
      </c>
      <c r="E311" s="562">
        <f>SUMIFS('Recon of ORS and DV'!D:D,'Recon of ORS and DV'!B:B,'DV List'!A311)</f>
        <v>0</v>
      </c>
      <c r="F311" s="276" t="e">
        <f t="shared" si="4"/>
        <v>#VALUE!</v>
      </c>
      <c r="G311" t="s">
        <v>2662</v>
      </c>
    </row>
    <row r="312" spans="1:7">
      <c r="A312" t="s">
        <v>2549</v>
      </c>
      <c r="B312" t="str">
        <f>VLOOKUP(A312,'[1]MAIN-101'!$B$13:$M$787,4,FALSE)</f>
        <v>HDMF-Butuan City</v>
      </c>
      <c r="C312" t="str">
        <f>VLOOKUP(A312,'[1]MAIN-101'!$B$13:$M$787,12,FALSE)</f>
        <v>Remittance of HDMF premium of NC staff for the month of January, 2021</v>
      </c>
      <c r="D312" s="562" t="e">
        <f>SUMIFS('[1]MAIN-101'!$Z$1:$Z$3000,'[1]MAIN-101'!$X$1:$X$3000,A312)</f>
        <v>#VALUE!</v>
      </c>
      <c r="E312" s="562">
        <f>SUMIFS('Recon of ORS and DV'!D:D,'Recon of ORS and DV'!B:B,'DV List'!A312)</f>
        <v>0</v>
      </c>
      <c r="F312" s="276" t="e">
        <f t="shared" si="4"/>
        <v>#VALUE!</v>
      </c>
      <c r="G312" t="s">
        <v>2662</v>
      </c>
    </row>
    <row r="313" spans="1:7">
      <c r="A313" t="s">
        <v>2550</v>
      </c>
      <c r="B313" t="str">
        <f>VLOOKUP(A313,'[1]MAIN-101'!$B$13:$M$787,4,FALSE)</f>
        <v>PHIC Butuan City</v>
      </c>
      <c r="C313" t="str">
        <f>VLOOKUP(A313,'[1]MAIN-101'!$B$13:$M$787,12,FALSE)</f>
        <v>Remittance of PHIC premium of NC staff for the month of January, 2021</v>
      </c>
      <c r="D313" s="562" t="e">
        <f>SUMIFS('[1]MAIN-101'!$Z$1:$Z$3000,'[1]MAIN-101'!$X$1:$X$3000,A313)</f>
        <v>#VALUE!</v>
      </c>
      <c r="E313" s="562">
        <f>SUMIFS('Recon of ORS and DV'!D:D,'Recon of ORS and DV'!B:B,'DV List'!A313)</f>
        <v>0</v>
      </c>
      <c r="F313" s="276" t="e">
        <f t="shared" si="4"/>
        <v>#VALUE!</v>
      </c>
      <c r="G313" t="s">
        <v>2662</v>
      </c>
    </row>
    <row r="314" spans="1:7">
      <c r="A314" t="s">
        <v>2551</v>
      </c>
      <c r="B314" t="str">
        <f>VLOOKUP(A314,'[1]MAIN-101'!$B$13:$M$787,4,FALSE)</f>
        <v>GSIS</v>
      </c>
      <c r="C314" t="str">
        <f>VLOOKUP(A314,'[1]MAIN-101'!$B$13:$M$787,12,FALSE)</f>
        <v>Remittance of GSIS premium of NC staff for the month of Jnauary, 2021</v>
      </c>
      <c r="D314" s="562" t="e">
        <f>SUMIFS('[1]MAIN-101'!$Z$1:$Z$3000,'[1]MAIN-101'!$X$1:$X$3000,A314)</f>
        <v>#VALUE!</v>
      </c>
      <c r="E314" s="562">
        <f>SUMIFS('Recon of ORS and DV'!D:D,'Recon of ORS and DV'!B:B,'DV List'!A314)</f>
        <v>0</v>
      </c>
      <c r="F314" s="276" t="e">
        <f t="shared" si="4"/>
        <v>#VALUE!</v>
      </c>
      <c r="G314" t="s">
        <v>2662</v>
      </c>
    </row>
    <row r="315" spans="1:7">
      <c r="A315" t="s">
        <v>2552</v>
      </c>
      <c r="B315" t="str">
        <f>VLOOKUP(A315,'[1]MAIN-101'!$B$13:$M$787,4,FALSE)</f>
        <v>DTI-Employees Union</v>
      </c>
      <c r="C315" t="str">
        <f>VLOOKUP(A315,'[1]MAIN-101'!$B$13:$M$787,12,FALSE)</f>
        <v>Remittance of NC staff EU dues and membership fee for the month of January, 2021</v>
      </c>
      <c r="D315" s="562" t="e">
        <f>SUMIFS('[1]MAIN-101'!$Z$1:$Z$3000,'[1]MAIN-101'!$X$1:$X$3000,A315)</f>
        <v>#VALUE!</v>
      </c>
      <c r="E315" s="562">
        <f>SUMIFS('Recon of ORS and DV'!D:D,'Recon of ORS and DV'!B:B,'DV List'!A315)</f>
        <v>0</v>
      </c>
      <c r="F315" s="276" t="e">
        <f t="shared" si="4"/>
        <v>#VALUE!</v>
      </c>
      <c r="G315" t="s">
        <v>2662</v>
      </c>
    </row>
    <row r="316" spans="1:7">
      <c r="A316" t="s">
        <v>2553</v>
      </c>
      <c r="B316" t="str">
        <f>VLOOKUP(A316,'[1]MAIN-101'!$B$13:$M$787,4,FALSE)</f>
        <v>DTI MDBF</v>
      </c>
      <c r="C316" t="str">
        <f>VLOOKUP(A316,'[1]MAIN-101'!$B$13:$M$787,12,FALSE)</f>
        <v>Remittance of NC staff MDBF for the month of January, 2021</v>
      </c>
      <c r="D316" s="562" t="e">
        <f>SUMIFS('[1]MAIN-101'!$Z$1:$Z$3000,'[1]MAIN-101'!$X$1:$X$3000,A316)</f>
        <v>#VALUE!</v>
      </c>
      <c r="E316" s="562">
        <f>SUMIFS('Recon of ORS and DV'!D:D,'Recon of ORS and DV'!B:B,'DV List'!A316)</f>
        <v>0</v>
      </c>
      <c r="F316" s="276" t="e">
        <f t="shared" si="4"/>
        <v>#VALUE!</v>
      </c>
      <c r="G316" t="s">
        <v>2662</v>
      </c>
    </row>
    <row r="317" spans="1:7">
      <c r="A317" t="s">
        <v>2554</v>
      </c>
      <c r="B317" t="str">
        <f>VLOOKUP(A317,'[1]MAIN-101'!$B$13:$M$787,4,FALSE)</f>
        <v>DTI-PF</v>
      </c>
      <c r="C317" t="str">
        <f>VLOOKUP(A317,'[1]MAIN-101'!$B$13:$M$787,12,FALSE)</f>
        <v>Remittance of NC staff PF Premiums for the month of January, 2021</v>
      </c>
      <c r="D317" s="562" t="e">
        <f>SUMIFS('[1]MAIN-101'!$Z$1:$Z$3000,'[1]MAIN-101'!$X$1:$X$3000,A317)</f>
        <v>#VALUE!</v>
      </c>
      <c r="E317" s="562">
        <f>SUMIFS('Recon of ORS and DV'!D:D,'Recon of ORS and DV'!B:B,'DV List'!A317)</f>
        <v>0</v>
      </c>
      <c r="F317" s="276" t="e">
        <f t="shared" si="4"/>
        <v>#VALUE!</v>
      </c>
      <c r="G317" t="s">
        <v>2662</v>
      </c>
    </row>
    <row r="318" spans="1:7">
      <c r="A318" t="s">
        <v>2555</v>
      </c>
      <c r="B318" t="str">
        <f>VLOOKUP(A318,'[1]MAIN-101'!$B$13:$M$787,4,FALSE)</f>
        <v>HDMF-Butuan City</v>
      </c>
      <c r="C318" t="str">
        <f>VLOOKUP(A318,'[1]MAIN-101'!$B$13:$M$787,12,FALSE)</f>
        <v>Remittance of HDMF premium of Reg. for the month of Feb., 2021</v>
      </c>
      <c r="D318" s="562" t="e">
        <f>SUMIFS('[1]MAIN-101'!$Z$1:$Z$3000,'[1]MAIN-101'!$X$1:$X$3000,A318)</f>
        <v>#VALUE!</v>
      </c>
      <c r="E318" s="562">
        <f>SUMIFS('Recon of ORS and DV'!D:D,'Recon of ORS and DV'!B:B,'DV List'!A318)</f>
        <v>0</v>
      </c>
      <c r="F318" s="276" t="e">
        <f t="shared" si="4"/>
        <v>#VALUE!</v>
      </c>
      <c r="G318" t="s">
        <v>2662</v>
      </c>
    </row>
    <row r="319" spans="1:7">
      <c r="A319" t="s">
        <v>2197</v>
      </c>
      <c r="B319" t="str">
        <f>VLOOKUP(A319,'[1]MAIN-101'!$B$13:$M$787,4,FALSE)</f>
        <v>Elyn Rose A. Ranario</v>
      </c>
      <c r="C319" t="str">
        <f>VLOOKUP(A319,'[1]MAIN-101'!$B$13:$M$787,12,FALSE)</f>
        <v>Payment for Salaries and allowances of NC staff for the month of February, 2021</v>
      </c>
      <c r="D319" s="562" t="e">
        <f>SUMIFS('[1]MAIN-101'!$Z$1:$Z$3000,'[1]MAIN-101'!$X$1:$X$3000,A319)</f>
        <v>#VALUE!</v>
      </c>
      <c r="E319" s="562" t="e">
        <f>SUMIFS('Recon of ORS and DV'!D:D,'Recon of ORS and DV'!B:B,'DV List'!A319)</f>
        <v>#VALUE!</v>
      </c>
      <c r="F319" s="276" t="e">
        <f t="shared" si="4"/>
        <v>#VALUE!</v>
      </c>
    </row>
    <row r="320" spans="1:7">
      <c r="A320" t="s">
        <v>2198</v>
      </c>
      <c r="B320" t="str">
        <f>VLOOKUP(A320,'[1]MAIN-101'!$B$13:$M$787,4,FALSE)</f>
        <v>Carl Mars P. Ravelo</v>
      </c>
      <c r="C320" t="str">
        <f>VLOOKUP(A320,'[1]MAIN-101'!$B$13:$M$787,12,FALSE)</f>
        <v>Payment for Salaries and allowances of NC staff for the month of February, 2021</v>
      </c>
      <c r="D320" s="562" t="e">
        <f>SUMIFS('[1]MAIN-101'!$Z$1:$Z$3000,'[1]MAIN-101'!$X$1:$X$3000,A320)</f>
        <v>#VALUE!</v>
      </c>
      <c r="E320" s="562" t="e">
        <f>SUMIFS('Recon of ORS and DV'!D:D,'Recon of ORS and DV'!B:B,'DV List'!A320)</f>
        <v>#VALUE!</v>
      </c>
      <c r="F320" s="276" t="e">
        <f t="shared" si="4"/>
        <v>#VALUE!</v>
      </c>
    </row>
    <row r="321" spans="1:7">
      <c r="A321" t="s">
        <v>2193</v>
      </c>
      <c r="B321" t="str">
        <f>VLOOKUP(A321,'[1]MAIN-101'!$B$13:$M$787,4,FALSE)</f>
        <v>LBP, F/O DTI-Job Orders</v>
      </c>
      <c r="C321" t="str">
        <f>VLOOKUP(A321,'[1]MAIN-101'!$B$13:$M$787,12,FALSE)</f>
        <v>Payment of Job Orders for the period February 16-28, 2021</v>
      </c>
      <c r="D321" s="562" t="e">
        <f>SUMIFS('[1]MAIN-101'!$Z$1:$Z$3000,'[1]MAIN-101'!$X$1:$X$3000,A321)</f>
        <v>#VALUE!</v>
      </c>
      <c r="E321" s="562" t="e">
        <f>SUMIFS('Recon of ORS and DV'!D:D,'Recon of ORS and DV'!B:B,'DV List'!A321)</f>
        <v>#VALUE!</v>
      </c>
      <c r="F321" s="276" t="e">
        <f t="shared" si="4"/>
        <v>#VALUE!</v>
      </c>
    </row>
    <row r="322" spans="1:7">
      <c r="A322" t="s">
        <v>2192</v>
      </c>
      <c r="B322" t="str">
        <f>VLOOKUP(A322,'[1]MAIN-101'!$B$13:$M$787,4,FALSE)</f>
        <v>Olimar O. Sulapas</v>
      </c>
      <c r="C322" t="str">
        <f>VLOOKUP(A322,'[1]MAIN-101'!$B$13:$M$787,12,FALSE)</f>
        <v>Payment for Salaries and allowances of NC staff for the month of February, 2021</v>
      </c>
      <c r="D322" s="562" t="e">
        <f>SUMIFS('[1]MAIN-101'!$Z$1:$Z$3000,'[1]MAIN-101'!$X$1:$X$3000,A322)</f>
        <v>#VALUE!</v>
      </c>
      <c r="E322" s="562" t="e">
        <f>SUMIFS('Recon of ORS and DV'!D:D,'Recon of ORS and DV'!B:B,'DV List'!A322)</f>
        <v>#VALUE!</v>
      </c>
      <c r="F322" s="276" t="e">
        <f t="shared" si="4"/>
        <v>#VALUE!</v>
      </c>
    </row>
    <row r="323" spans="1:7">
      <c r="A323" t="s">
        <v>2191</v>
      </c>
      <c r="B323" t="str">
        <f>VLOOKUP(A323,'[1]MAIN-101'!$B$13:$M$787,4,FALSE)</f>
        <v>Landbank of the Philippines</v>
      </c>
      <c r="C323" t="str">
        <f>VLOOKUP(A323,'[1]MAIN-101'!$B$13:$M$787,12,FALSE)</f>
        <v>Salaries for RAPID RCU Staff - February 16-28, 2021</v>
      </c>
      <c r="D323" s="562" t="e">
        <f>SUMIFS('[1]MAIN-101'!$Z$1:$Z$3000,'[1]MAIN-101'!$X$1:$X$3000,A323)</f>
        <v>#VALUE!</v>
      </c>
      <c r="E323" s="562" t="e">
        <f>SUMIFS('Recon of ORS and DV'!D:D,'Recon of ORS and DV'!B:B,'DV List'!A323)</f>
        <v>#VALUE!</v>
      </c>
      <c r="F323" s="276" t="e">
        <f t="shared" si="4"/>
        <v>#VALUE!</v>
      </c>
    </row>
    <row r="324" spans="1:7">
      <c r="A324" t="s">
        <v>2190</v>
      </c>
      <c r="B324" t="str">
        <f>VLOOKUP(A324,'[1]MAIN-101'!$B$13:$M$787,4,FALSE)</f>
        <v>Landbank of the Philippines</v>
      </c>
      <c r="C324" t="str">
        <f>VLOOKUP(A324,'[1]MAIN-101'!$B$13:$M$787,12,FALSE)</f>
        <v>Salaries for RAPID RCU Staff - February 1-15, 2021</v>
      </c>
      <c r="D324" s="562" t="e">
        <f>SUMIFS('[1]MAIN-101'!$Z$1:$Z$3000,'[1]MAIN-101'!$X$1:$X$3000,A324)</f>
        <v>#VALUE!</v>
      </c>
      <c r="E324" s="562" t="e">
        <f>SUMIFS('Recon of ORS and DV'!D:D,'Recon of ORS and DV'!B:B,'DV List'!A324)</f>
        <v>#VALUE!</v>
      </c>
      <c r="F324" s="276" t="e">
        <f t="shared" si="4"/>
        <v>#VALUE!</v>
      </c>
    </row>
    <row r="325" spans="1:7">
      <c r="A325" t="s">
        <v>2194</v>
      </c>
      <c r="B325" t="str">
        <f>VLOOKUP(A325,'[1]MAIN-101'!$B$13:$M$787,4,FALSE)</f>
        <v>Hazel O. Galve</v>
      </c>
      <c r="C325" t="str">
        <f>VLOOKUP(A325,'[1]MAIN-101'!$B$13:$M$787,12,FALSE)</f>
        <v>Reimbursement, TEV during the conudct of orientation on OTOP PH Hub and e-commerce platform of DTI-Caraga in ADS on January 15, 2021 &amp; in Surigao City on January 29, 2021</v>
      </c>
      <c r="D325" s="562" t="e">
        <f>SUMIFS('[1]MAIN-101'!$Z$1:$Z$3000,'[1]MAIN-101'!$X$1:$X$3000,A325)</f>
        <v>#VALUE!</v>
      </c>
      <c r="E325" s="562" t="e">
        <f>SUMIFS('Recon of ORS and DV'!D:D,'Recon of ORS and DV'!B:B,'DV List'!A325)</f>
        <v>#VALUE!</v>
      </c>
      <c r="F325" s="276" t="e">
        <f t="shared" ref="F325:F388" si="5">D325-E325</f>
        <v>#VALUE!</v>
      </c>
    </row>
    <row r="326" spans="1:7">
      <c r="A326" t="s">
        <v>2195</v>
      </c>
      <c r="B326" t="str">
        <f>VLOOKUP(A326,'[1]MAIN-101'!$B$13:$M$787,4,FALSE)</f>
        <v>Procurement Service</v>
      </c>
      <c r="C326" t="str">
        <f>VLOOKUP(A326,'[1]MAIN-101'!$B$13:$M$787,12,FALSE)</f>
        <v>FAD Office use for the 1st quarter 2021</v>
      </c>
      <c r="D326" s="562" t="e">
        <f>SUMIFS('[1]MAIN-101'!$Z$1:$Z$3000,'[1]MAIN-101'!$X$1:$X$3000,A326)</f>
        <v>#VALUE!</v>
      </c>
      <c r="E326" s="562" t="e">
        <f>SUMIFS('Recon of ORS and DV'!D:D,'Recon of ORS and DV'!B:B,'DV List'!A326)</f>
        <v>#VALUE!</v>
      </c>
      <c r="F326" s="276" t="e">
        <f t="shared" si="5"/>
        <v>#VALUE!</v>
      </c>
    </row>
    <row r="327" spans="1:7">
      <c r="A327" t="s">
        <v>2199</v>
      </c>
      <c r="B327" t="str">
        <f>VLOOKUP(A327,'[1]MAIN-101'!$B$13:$M$787,4,FALSE)</f>
        <v>Lime and Zest Kitchen</v>
      </c>
      <c r="C327" t="str">
        <f>VLOOKUP(A327,'[1]MAIN-101'!$B$13:$M$787,12,FALSE)</f>
        <v>Payment of meals during the IDD Functional Team Meeting on January 26, 2021</v>
      </c>
      <c r="D327" s="562" t="e">
        <f>SUMIFS('[1]MAIN-101'!$Z$1:$Z$3000,'[1]MAIN-101'!$X$1:$X$3000,A327)</f>
        <v>#VALUE!</v>
      </c>
      <c r="E327" s="562" t="e">
        <f>SUMIFS('Recon of ORS and DV'!D:D,'Recon of ORS and DV'!B:B,'DV List'!A327)</f>
        <v>#VALUE!</v>
      </c>
      <c r="F327" s="276" t="e">
        <f t="shared" si="5"/>
        <v>#VALUE!</v>
      </c>
    </row>
    <row r="328" spans="1:7">
      <c r="A328" t="s">
        <v>2200</v>
      </c>
      <c r="B328" t="str">
        <f>VLOOKUP(A328,'[1]MAIN-101'!$B$13:$M$787,4,FALSE)</f>
        <v>Globe Telecom, Inc.</v>
      </c>
      <c r="C328" t="str">
        <f>VLOOKUP(A328,'[1]MAIN-101'!$B$13:$M$787,12,FALSE)</f>
        <v>Payment of Globe postpaid plan subscription for the month of January 16-February 15, 2021 for acct 65087463</v>
      </c>
      <c r="D328" s="562" t="e">
        <f>SUMIFS('[1]MAIN-101'!$Z$1:$Z$3000,'[1]MAIN-101'!$X$1:$X$3000,A328)</f>
        <v>#VALUE!</v>
      </c>
      <c r="E328" s="562" t="e">
        <f>SUMIFS('Recon of ORS and DV'!D:D,'Recon of ORS and DV'!B:B,'DV List'!A328)</f>
        <v>#VALUE!</v>
      </c>
      <c r="F328" s="276" t="e">
        <f t="shared" si="5"/>
        <v>#VALUE!</v>
      </c>
    </row>
    <row r="329" spans="1:7">
      <c r="A329" t="s">
        <v>2201</v>
      </c>
      <c r="B329" t="str">
        <f>VLOOKUP(A329,'[1]MAIN-101'!$B$13:$M$787,4,FALSE)</f>
        <v>Arleen P. Pahamtang</v>
      </c>
      <c r="C329" t="str">
        <f>VLOOKUP(A329,'[1]MAIN-101'!$B$13:$M$787,12,FALSE)</f>
        <v>Petty cash fund replenishment 2021-02-003 Feb 9-24,2021</v>
      </c>
      <c r="D329" s="562" t="e">
        <f>SUMIFS('[1]MAIN-101'!$Z$1:$Z$3000,'[1]MAIN-101'!$X$1:$X$3000,A329)</f>
        <v>#VALUE!</v>
      </c>
      <c r="E329" s="562" t="e">
        <f>SUMIFS('Recon of ORS and DV'!D:D,'Recon of ORS and DV'!B:B,'DV List'!A329)</f>
        <v>#VALUE!</v>
      </c>
      <c r="F329" s="276" t="e">
        <f t="shared" si="5"/>
        <v>#VALUE!</v>
      </c>
    </row>
    <row r="330" spans="1:7">
      <c r="A330" t="s">
        <v>2556</v>
      </c>
      <c r="B330" t="str">
        <f>VLOOKUP(A330,'[1]MAIN-101'!$B$13:$M$787,4,FALSE)</f>
        <v>Jamaica Arenal</v>
      </c>
      <c r="C330" t="str">
        <f>VLOOKUP(A330,'[1]MAIN-101'!$B$13:$M$787,12,FALSE)</f>
        <v>Refund of HDMF-MPL deducted from February 2021</v>
      </c>
      <c r="D330" s="562" t="e">
        <f>SUMIFS('[1]MAIN-101'!$Z$1:$Z$3000,'[1]MAIN-101'!$X$1:$X$3000,A330)</f>
        <v>#VALUE!</v>
      </c>
      <c r="E330" s="562">
        <f>SUMIFS('Recon of ORS and DV'!D:D,'Recon of ORS and DV'!B:B,'DV List'!A330)</f>
        <v>0</v>
      </c>
      <c r="F330" s="276" t="e">
        <f t="shared" si="5"/>
        <v>#VALUE!</v>
      </c>
      <c r="G330" t="s">
        <v>2663</v>
      </c>
    </row>
    <row r="331" spans="1:7">
      <c r="A331" t="s">
        <v>2557</v>
      </c>
      <c r="B331" t="str">
        <f>VLOOKUP(A331,'[1]MAIN-101'!$B$13:$M$787,4,FALSE)</f>
        <v>Chona Marie L. Grado</v>
      </c>
      <c r="C331" t="str">
        <f>VLOOKUP(A331,'[1]MAIN-101'!$B$13:$M$787,12,FALSE)</f>
        <v>Refund of HDMF-MPL deducted from February 2021</v>
      </c>
      <c r="D331" s="562" t="e">
        <f>SUMIFS('[1]MAIN-101'!$Z$1:$Z$3000,'[1]MAIN-101'!$X$1:$X$3000,A331)</f>
        <v>#VALUE!</v>
      </c>
      <c r="E331" s="562">
        <f>SUMIFS('Recon of ORS and DV'!D:D,'Recon of ORS and DV'!B:B,'DV List'!A331)</f>
        <v>0</v>
      </c>
      <c r="F331" s="276" t="e">
        <f t="shared" si="5"/>
        <v>#VALUE!</v>
      </c>
      <c r="G331" t="s">
        <v>2663</v>
      </c>
    </row>
    <row r="332" spans="1:7">
      <c r="A332" t="s">
        <v>2558</v>
      </c>
      <c r="B332" t="str">
        <f>VLOOKUP(A332,'[1]MAIN-101'!$B$13:$M$787,4,FALSE)</f>
        <v>DREAMCO MPC</v>
      </c>
      <c r="C332" t="str">
        <f>VLOOKUP(A332,'[1]MAIN-101'!$B$13:$M$787,12,FALSE)</f>
        <v>Remittance, coop deductions from RATA for March 2021.</v>
      </c>
      <c r="D332" s="562" t="e">
        <f>SUMIFS('[1]MAIN-101'!$Z$1:$Z$3000,'[1]MAIN-101'!$X$1:$X$3000,A332)</f>
        <v>#VALUE!</v>
      </c>
      <c r="E332" s="562">
        <f>SUMIFS('Recon of ORS and DV'!D:D,'Recon of ORS and DV'!B:B,'DV List'!A332)</f>
        <v>0</v>
      </c>
      <c r="F332" s="276" t="e">
        <f t="shared" si="5"/>
        <v>#VALUE!</v>
      </c>
      <c r="G332" t="s">
        <v>2662</v>
      </c>
    </row>
    <row r="333" spans="1:7">
      <c r="A333" t="s">
        <v>2559</v>
      </c>
      <c r="B333" t="str">
        <f>VLOOKUP(A333,'[1]MAIN-101'!$B$13:$M$787,4,FALSE)</f>
        <v>DREAMCO MPC</v>
      </c>
      <c r="C333" t="str">
        <f>VLOOKUP(A333,'[1]MAIN-101'!$B$13:$M$787,12,FALSE)</f>
        <v>Remittance, Job Orders coop deductions for the period February 1-28, 2021</v>
      </c>
      <c r="D333" s="562" t="e">
        <f>SUMIFS('[1]MAIN-101'!$Z$1:$Z$3000,'[1]MAIN-101'!$X$1:$X$3000,A333)</f>
        <v>#VALUE!</v>
      </c>
      <c r="E333" s="562">
        <f>SUMIFS('Recon of ORS and DV'!D:D,'Recon of ORS and DV'!B:B,'DV List'!A333)</f>
        <v>0</v>
      </c>
      <c r="F333" s="276" t="e">
        <f t="shared" si="5"/>
        <v>#VALUE!</v>
      </c>
      <c r="G333" t="s">
        <v>2662</v>
      </c>
    </row>
    <row r="334" spans="1:7">
      <c r="A334" t="s">
        <v>2208</v>
      </c>
      <c r="B334" t="str">
        <f>VLOOKUP(A334,'[1]MAIN-101'!$B$13:$M$787,4,FALSE)</f>
        <v>Norman Jhon G. Butalon</v>
      </c>
      <c r="C334" t="str">
        <f>VLOOKUP(A334,'[1]MAIN-101'!$B$13:$M$787,12,FALSE)</f>
        <v>Payment of Job Orders for the period January and February, 2021</v>
      </c>
      <c r="D334" s="562" t="e">
        <f>SUMIFS('[1]MAIN-101'!$Z$1:$Z$3000,'[1]MAIN-101'!$X$1:$X$3000,A334)</f>
        <v>#VALUE!</v>
      </c>
      <c r="E334" s="562" t="e">
        <f>SUMIFS('Recon of ORS and DV'!D:D,'Recon of ORS and DV'!B:B,'DV List'!A334)</f>
        <v>#VALUE!</v>
      </c>
      <c r="F334" s="276" t="e">
        <f t="shared" si="5"/>
        <v>#VALUE!</v>
      </c>
    </row>
    <row r="335" spans="1:7">
      <c r="A335" t="s">
        <v>2560</v>
      </c>
      <c r="B335" t="str">
        <f>VLOOKUP(A335,'[1]MAIN-101'!$B$13:$M$787,4,FALSE)</f>
        <v>Arnold D. Faelnar</v>
      </c>
      <c r="C335" t="str">
        <f>VLOOKUP(A335,'[1]MAIN-101'!$B$13:$M$787,12,FALSE)</f>
        <v>Refund of HDMF-MPL deducted from February 2021</v>
      </c>
      <c r="D335" s="562" t="e">
        <f>SUMIFS('[1]MAIN-101'!$Z$1:$Z$3000,'[1]MAIN-101'!$X$1:$X$3000,A335)</f>
        <v>#VALUE!</v>
      </c>
      <c r="E335" s="562">
        <f>SUMIFS('Recon of ORS and DV'!D:D,'Recon of ORS and DV'!B:B,'DV List'!A335)</f>
        <v>0</v>
      </c>
      <c r="F335" s="276" t="e">
        <f t="shared" si="5"/>
        <v>#VALUE!</v>
      </c>
      <c r="G335" t="s">
        <v>2663</v>
      </c>
    </row>
    <row r="336" spans="1:7">
      <c r="A336" t="s">
        <v>2202</v>
      </c>
      <c r="B336" t="str">
        <f>VLOOKUP(A336,'[1]MAIN-101'!$B$13:$M$787,4,FALSE)</f>
        <v>Fevi V. Silvosa</v>
      </c>
      <c r="C336" t="str">
        <f>VLOOKUP(A336,'[1]MAIN-101'!$B$13:$M$787,12,FALSE)</f>
        <v>Payment of JO for the period February 16-28, 2021</v>
      </c>
      <c r="D336" s="562" t="e">
        <f>SUMIFS('[1]MAIN-101'!$Z$1:$Z$3000,'[1]MAIN-101'!$X$1:$X$3000,A336)</f>
        <v>#VALUE!</v>
      </c>
      <c r="E336" s="562" t="e">
        <f>SUMIFS('Recon of ORS and DV'!D:D,'Recon of ORS and DV'!B:B,'DV List'!A336)</f>
        <v>#VALUE!</v>
      </c>
      <c r="F336" s="276" t="e">
        <f t="shared" si="5"/>
        <v>#VALUE!</v>
      </c>
    </row>
    <row r="337" spans="1:6">
      <c r="A337" t="s">
        <v>2203</v>
      </c>
      <c r="B337" t="str">
        <f>VLOOKUP(A337,'[1]MAIN-101'!$B$13:$M$787,4,FALSE)</f>
        <v>LBP, F/O DTI-Job Orders</v>
      </c>
      <c r="C337" t="str">
        <f>VLOOKUP(A337,'[1]MAIN-101'!$B$13:$M$787,12,FALSE)</f>
        <v>Payment for JO for February 16-28, 2021</v>
      </c>
      <c r="D337" s="562" t="e">
        <f>SUMIFS('[1]MAIN-101'!$Z$1:$Z$3000,'[1]MAIN-101'!$X$1:$X$3000,A337)</f>
        <v>#VALUE!</v>
      </c>
      <c r="E337" s="562" t="e">
        <f>SUMIFS('Recon of ORS and DV'!D:D,'Recon of ORS and DV'!B:B,'DV List'!A337)</f>
        <v>#VALUE!</v>
      </c>
      <c r="F337" s="276" t="e">
        <f t="shared" si="5"/>
        <v>#VALUE!</v>
      </c>
    </row>
    <row r="338" spans="1:6">
      <c r="A338" t="s">
        <v>2204</v>
      </c>
      <c r="B338" t="str">
        <f>VLOOKUP(A338,'[1]MAIN-101'!$B$13:$M$787,4,FALSE)</f>
        <v>Armando G. Tabid</v>
      </c>
      <c r="C338" t="str">
        <f>VLOOKUP(A338,'[1]MAIN-101'!$B$13:$M$787,12,FALSE)</f>
        <v>Salaries for RAPID PCU ADS staff (driver)- February 1-28, 2021</v>
      </c>
      <c r="D338" s="562" t="e">
        <f>SUMIFS('[1]MAIN-101'!$Z$1:$Z$3000,'[1]MAIN-101'!$X$1:$X$3000,A338)</f>
        <v>#VALUE!</v>
      </c>
      <c r="E338" s="562" t="e">
        <f>SUMIFS('Recon of ORS and DV'!D:D,'Recon of ORS and DV'!B:B,'DV List'!A338)</f>
        <v>#VALUE!</v>
      </c>
      <c r="F338" s="276" t="e">
        <f t="shared" si="5"/>
        <v>#VALUE!</v>
      </c>
    </row>
    <row r="339" spans="1:6">
      <c r="A339" t="s">
        <v>2205</v>
      </c>
      <c r="B339" t="str">
        <f>VLOOKUP(A339,'[1]MAIN-101'!$B$13:$M$787,4,FALSE)</f>
        <v>LBP, F/O DTI-Job Orders</v>
      </c>
      <c r="C339" t="str">
        <f>VLOOKUP(A339,'[1]MAIN-101'!$B$13:$M$787,12,FALSE)</f>
        <v>Payment for JO for February 16-28, 2021</v>
      </c>
      <c r="D339" s="562" t="e">
        <f>SUMIFS('[1]MAIN-101'!$Z$1:$Z$3000,'[1]MAIN-101'!$X$1:$X$3000,A339)</f>
        <v>#VALUE!</v>
      </c>
      <c r="E339" s="562" t="e">
        <f>SUMIFS('Recon of ORS and DV'!D:D,'Recon of ORS and DV'!B:B,'DV List'!A339)</f>
        <v>#VALUE!</v>
      </c>
      <c r="F339" s="276" t="e">
        <f t="shared" si="5"/>
        <v>#VALUE!</v>
      </c>
    </row>
    <row r="340" spans="1:6">
      <c r="A340" t="s">
        <v>2206</v>
      </c>
      <c r="B340" t="str">
        <f>VLOOKUP(A340,'[1]MAIN-101'!$B$13:$M$787,4,FALSE)</f>
        <v>LBP, F/O DTI-Job Orders</v>
      </c>
      <c r="C340" t="str">
        <f>VLOOKUP(A340,'[1]MAIN-101'!$B$13:$M$787,12,FALSE)</f>
        <v>Payment for JO for February 16-28, 2021</v>
      </c>
      <c r="D340" s="562" t="e">
        <f>SUMIFS('[1]MAIN-101'!$Z$1:$Z$3000,'[1]MAIN-101'!$X$1:$X$3000,A340)</f>
        <v>#VALUE!</v>
      </c>
      <c r="E340" s="562" t="e">
        <f>SUMIFS('Recon of ORS and DV'!D:D,'Recon of ORS and DV'!B:B,'DV List'!A340)</f>
        <v>#VALUE!</v>
      </c>
      <c r="F340" s="276" t="e">
        <f t="shared" si="5"/>
        <v>#VALUE!</v>
      </c>
    </row>
    <row r="341" spans="1:6">
      <c r="A341" t="s">
        <v>2207</v>
      </c>
      <c r="B341" t="str">
        <f>VLOOKUP(A341,'[1]MAIN-101'!$B$13:$M$787,4,FALSE)</f>
        <v>Landbank of the Philippines</v>
      </c>
      <c r="C341" t="str">
        <f>VLOOKUP(A341,'[1]MAIN-101'!$B$13:$M$787,12,FALSE)</f>
        <v>Payment for RATA for March 2021</v>
      </c>
      <c r="D341" s="562" t="e">
        <f>SUMIFS('[1]MAIN-101'!$Z$1:$Z$3000,'[1]MAIN-101'!$X$1:$X$3000,A341)</f>
        <v>#VALUE!</v>
      </c>
      <c r="E341" s="562" t="e">
        <f>SUMIFS('Recon of ORS and DV'!D:D,'Recon of ORS and DV'!B:B,'DV List'!A341)</f>
        <v>#VALUE!</v>
      </c>
      <c r="F341" s="276" t="e">
        <f t="shared" si="5"/>
        <v>#VALUE!</v>
      </c>
    </row>
    <row r="342" spans="1:6">
      <c r="A342" t="s">
        <v>2209</v>
      </c>
      <c r="B342" t="str">
        <f>VLOOKUP(A342,'[1]MAIN-101'!$B$13:$M$787,4,FALSE)</f>
        <v>Bernie P. Curato</v>
      </c>
      <c r="C342" t="str">
        <f>VLOOKUP(A342,'[1]MAIN-101'!$B$13:$M$787,12,FALSE)</f>
        <v>Salaries for RAPID PCU ADN staff (driver)- February 1-28, 2021</v>
      </c>
      <c r="D342" s="562" t="e">
        <f>SUMIFS('[1]MAIN-101'!$Z$1:$Z$3000,'[1]MAIN-101'!$X$1:$X$3000,A342)</f>
        <v>#VALUE!</v>
      </c>
      <c r="E342" s="562" t="e">
        <f>SUMIFS('Recon of ORS and DV'!D:D,'Recon of ORS and DV'!B:B,'DV List'!A342)</f>
        <v>#VALUE!</v>
      </c>
      <c r="F342" s="276" t="e">
        <f t="shared" si="5"/>
        <v>#VALUE!</v>
      </c>
    </row>
    <row r="343" spans="1:6">
      <c r="A343" t="s">
        <v>2211</v>
      </c>
      <c r="B343" t="str">
        <f>VLOOKUP(A343,'[1]MAIN-101'!$B$13:$M$787,4,FALSE)</f>
        <v>GSIS</v>
      </c>
      <c r="C343" t="str">
        <f>VLOOKUP(A343,'[1]MAIN-101'!$B$13:$M$787,12,FALSE)</f>
        <v>Payment for motor vehicle insurance  renewal  Toyota Innova</v>
      </c>
      <c r="D343" s="562" t="e">
        <f>SUMIFS('[1]MAIN-101'!$Z$1:$Z$3000,'[1]MAIN-101'!$X$1:$X$3000,A343)</f>
        <v>#VALUE!</v>
      </c>
      <c r="E343" s="562" t="e">
        <f>SUMIFS('Recon of ORS and DV'!D:D,'Recon of ORS and DV'!B:B,'DV List'!A343)</f>
        <v>#VALUE!</v>
      </c>
      <c r="F343" s="276" t="e">
        <f t="shared" si="5"/>
        <v>#VALUE!</v>
      </c>
    </row>
    <row r="344" spans="1:6">
      <c r="A344" t="s">
        <v>2212</v>
      </c>
      <c r="B344" t="str">
        <f>VLOOKUP(A344,'[1]MAIN-101'!$B$13:$M$787,4,FALSE)</f>
        <v>Land Transportation Office</v>
      </c>
      <c r="C344" t="str">
        <f>VLOOKUP(A344,'[1]MAIN-101'!$B$13:$M$787,12,FALSE)</f>
        <v>DTI Caraga Motor vehicle Registration- Toyota Innova</v>
      </c>
      <c r="D344" s="562" t="e">
        <f>SUMIFS('[1]MAIN-101'!$Z$1:$Z$3000,'[1]MAIN-101'!$X$1:$X$3000,A344)</f>
        <v>#VALUE!</v>
      </c>
      <c r="E344" s="562" t="e">
        <f>SUMIFS('Recon of ORS and DV'!D:D,'Recon of ORS and DV'!B:B,'DV List'!A344)</f>
        <v>#VALUE!</v>
      </c>
      <c r="F344" s="276" t="e">
        <f t="shared" si="5"/>
        <v>#VALUE!</v>
      </c>
    </row>
    <row r="345" spans="1:6">
      <c r="A345" t="s">
        <v>2213</v>
      </c>
      <c r="B345" t="str">
        <f>VLOOKUP(A345,'[1]MAIN-101'!$B$13:$M$787,4,FALSE)</f>
        <v>Royelen B.Taala</v>
      </c>
      <c r="C345" t="str">
        <f>VLOOKUP(A345,'[1]MAIN-101'!$B$13:$M$787,12,FALSE)</f>
        <v>Reimbursement for the payment of the planner 2021 for IDD office use</v>
      </c>
      <c r="D345" s="562" t="e">
        <f>SUMIFS('[1]MAIN-101'!$Z$1:$Z$3000,'[1]MAIN-101'!$X$1:$X$3000,A345)</f>
        <v>#VALUE!</v>
      </c>
      <c r="E345" s="562" t="e">
        <f>SUMIFS('Recon of ORS and DV'!D:D,'Recon of ORS and DV'!B:B,'DV List'!A345)</f>
        <v>#VALUE!</v>
      </c>
      <c r="F345" s="276" t="e">
        <f t="shared" si="5"/>
        <v>#VALUE!</v>
      </c>
    </row>
    <row r="346" spans="1:6">
      <c r="A346" t="s">
        <v>2214</v>
      </c>
      <c r="B346" t="str">
        <f>VLOOKUP(A346,'[1]MAIN-101'!$B$13:$M$787,4,FALSE)</f>
        <v>JMN Multimedia Sales and Services</v>
      </c>
      <c r="C346" t="str">
        <f>VLOOKUP(A346,'[1]MAIN-101'!$B$13:$M$787,12,FALSE)</f>
        <v>Payment for the prepaid loadcards- IDD load allowance for the 1st quarter 2021</v>
      </c>
      <c r="D346" s="562" t="e">
        <f>SUMIFS('[1]MAIN-101'!$Z$1:$Z$3000,'[1]MAIN-101'!$X$1:$X$3000,A346)</f>
        <v>#VALUE!</v>
      </c>
      <c r="E346" s="562" t="e">
        <f>SUMIFS('Recon of ORS and DV'!D:D,'Recon of ORS and DV'!B:B,'DV List'!A346)</f>
        <v>#VALUE!</v>
      </c>
      <c r="F346" s="276" t="e">
        <f t="shared" si="5"/>
        <v>#VALUE!</v>
      </c>
    </row>
    <row r="347" spans="1:6">
      <c r="A347" t="s">
        <v>2215</v>
      </c>
      <c r="B347" t="str">
        <f>VLOOKUP(A347,'[1]MAIN-101'!$B$13:$M$787,4,FALSE)</f>
        <v>Fil Products Service TV Butuan, Inc.</v>
      </c>
      <c r="C347" t="str">
        <f>VLOOKUP(A347,'[1]MAIN-101'!$B$13:$M$787,12,FALSE)</f>
        <v>Payment for cable TV subscription for Jan 28-March 27, 2021</v>
      </c>
      <c r="D347" s="562" t="e">
        <f>SUMIFS('[1]MAIN-101'!$Z$1:$Z$3000,'[1]MAIN-101'!$X$1:$X$3000,A347)</f>
        <v>#VALUE!</v>
      </c>
      <c r="E347" s="562" t="e">
        <f>SUMIFS('Recon of ORS and DV'!D:D,'Recon of ORS and DV'!B:B,'DV List'!A347)</f>
        <v>#VALUE!</v>
      </c>
      <c r="F347" s="276" t="e">
        <f t="shared" si="5"/>
        <v>#VALUE!</v>
      </c>
    </row>
    <row r="348" spans="1:6">
      <c r="A348" t="s">
        <v>2216</v>
      </c>
      <c r="B348" t="str">
        <f>VLOOKUP(A348,'[1]MAIN-101'!$B$13:$M$787,4,FALSE)</f>
        <v>Jocelyn Ang</v>
      </c>
      <c r="C348" t="str">
        <f>VLOOKUP(A348,'[1]MAIN-101'!$B$13:$M$787,12,FALSE)</f>
        <v>Payment for records room rental for March 2021</v>
      </c>
      <c r="D348" s="562" t="e">
        <f>SUMIFS('[1]MAIN-101'!$Z$1:$Z$3000,'[1]MAIN-101'!$X$1:$X$3000,A348)</f>
        <v>#VALUE!</v>
      </c>
      <c r="E348" s="562" t="e">
        <f>SUMIFS('Recon of ORS and DV'!D:D,'Recon of ORS and DV'!B:B,'DV List'!A348)</f>
        <v>#VALUE!</v>
      </c>
      <c r="F348" s="276" t="e">
        <f t="shared" si="5"/>
        <v>#VALUE!</v>
      </c>
    </row>
    <row r="349" spans="1:6">
      <c r="A349" t="s">
        <v>2217</v>
      </c>
      <c r="B349" t="str">
        <f>VLOOKUP(A349,'[1]MAIN-101'!$B$13:$M$787,4,FALSE)</f>
        <v>Land Bank of the Philippines</v>
      </c>
      <c r="C349" t="str">
        <f>VLOOKUP(A349,'[1]MAIN-101'!$B$13:$M$787,12,FALSE)</f>
        <v>Reimbursement, RATA for Feb 2021</v>
      </c>
      <c r="D349" s="562" t="e">
        <f>SUMIFS('[1]MAIN-101'!$Z$1:$Z$3000,'[1]MAIN-101'!$X$1:$X$3000,A349)</f>
        <v>#VALUE!</v>
      </c>
      <c r="E349" s="562" t="e">
        <f>SUMIFS('Recon of ORS and DV'!D:D,'Recon of ORS and DV'!B:B,'DV List'!A349)</f>
        <v>#VALUE!</v>
      </c>
      <c r="F349" s="276" t="e">
        <f t="shared" si="5"/>
        <v>#VALUE!</v>
      </c>
    </row>
    <row r="350" spans="1:6">
      <c r="A350" t="s">
        <v>2218</v>
      </c>
      <c r="B350" t="str">
        <f>VLOOKUP(A350,'[1]MAIN-101'!$B$13:$M$787,4,FALSE)</f>
        <v>Kimson Commercial</v>
      </c>
      <c r="C350" t="str">
        <f>VLOOKUP(A350,'[1]MAIN-101'!$B$13:$M$787,12,FALSE)</f>
        <v>Payment for FAD 1st quarter 2021 office supplies</v>
      </c>
      <c r="D350" s="562" t="e">
        <f>SUMIFS('[1]MAIN-101'!$Z$1:$Z$3000,'[1]MAIN-101'!$X$1:$X$3000,A350)</f>
        <v>#VALUE!</v>
      </c>
      <c r="E350" s="562" t="e">
        <f>SUMIFS('Recon of ORS and DV'!D:D,'Recon of ORS and DV'!B:B,'DV List'!A350)</f>
        <v>#VALUE!</v>
      </c>
      <c r="F350" s="276" t="e">
        <f t="shared" si="5"/>
        <v>#VALUE!</v>
      </c>
    </row>
    <row r="351" spans="1:6">
      <c r="A351" t="s">
        <v>2219</v>
      </c>
      <c r="B351" t="str">
        <f>VLOOKUP(A351,'[1]MAIN-101'!$B$13:$M$787,4,FALSE)</f>
        <v>Compañero Commercial</v>
      </c>
      <c r="C351" t="str">
        <f>VLOOKUP(A351,'[1]MAIN-101'!$B$13:$M$787,12,FALSE)</f>
        <v>Payment for FAD 1st quarter 2021 office supplies</v>
      </c>
      <c r="D351" s="562" t="e">
        <f>SUMIFS('[1]MAIN-101'!$Z$1:$Z$3000,'[1]MAIN-101'!$X$1:$X$3000,A351)</f>
        <v>#VALUE!</v>
      </c>
      <c r="E351" s="562" t="e">
        <f>SUMIFS('Recon of ORS and DV'!D:D,'Recon of ORS and DV'!B:B,'DV List'!A351)</f>
        <v>#VALUE!</v>
      </c>
      <c r="F351" s="276" t="e">
        <f t="shared" si="5"/>
        <v>#VALUE!</v>
      </c>
    </row>
    <row r="352" spans="1:6">
      <c r="A352" t="s">
        <v>2220</v>
      </c>
      <c r="B352" t="str">
        <f>VLOOKUP(A352,'[1]MAIN-101'!$B$13:$M$787,4,FALSE)</f>
        <v>Tammy Emporium</v>
      </c>
      <c r="C352" t="str">
        <f>VLOOKUP(A352,'[1]MAIN-101'!$B$13:$M$787,12,FALSE)</f>
        <v>Payment for FAD 1st quarter 2021 office supplies</v>
      </c>
      <c r="D352" s="562" t="e">
        <f>SUMIFS('[1]MAIN-101'!$Z$1:$Z$3000,'[1]MAIN-101'!$X$1:$X$3000,A352)</f>
        <v>#VALUE!</v>
      </c>
      <c r="E352" s="562" t="e">
        <f>SUMIFS('Recon of ORS and DV'!D:D,'Recon of ORS and DV'!B:B,'DV List'!A352)</f>
        <v>#VALUE!</v>
      </c>
      <c r="F352" s="276" t="e">
        <f t="shared" si="5"/>
        <v>#VALUE!</v>
      </c>
    </row>
    <row r="353" spans="1:7">
      <c r="A353" t="s">
        <v>2221</v>
      </c>
      <c r="B353" t="str">
        <f>VLOOKUP(A353,'[1]MAIN-101'!$B$13:$M$787,4,FALSE)</f>
        <v>Innove Communiations, Inc</v>
      </c>
      <c r="C353" t="str">
        <f>VLOOKUP(A353,'[1]MAIN-101'!$B$13:$M$787,12,FALSE)</f>
        <v>Payment of Zoom Application for the month of November 2020- January 2021</v>
      </c>
      <c r="D353" s="562" t="e">
        <f>SUMIFS('[1]MAIN-101'!$Z$1:$Z$3000,'[1]MAIN-101'!$X$1:$X$3000,A353)</f>
        <v>#VALUE!</v>
      </c>
      <c r="E353" s="562" t="e">
        <f>SUMIFS('Recon of ORS and DV'!D:D,'Recon of ORS and DV'!B:B,'DV List'!A353)</f>
        <v>#VALUE!</v>
      </c>
      <c r="F353" s="276" t="e">
        <f t="shared" si="5"/>
        <v>#VALUE!</v>
      </c>
    </row>
    <row r="354" spans="1:7">
      <c r="A354" t="s">
        <v>2210</v>
      </c>
      <c r="B354" t="str">
        <f>VLOOKUP(A354,'[1]MAIN-101'!$B$13:$M$787,4,FALSE)</f>
        <v>Mercado's Sudlanan ATBP</v>
      </c>
      <c r="C354" t="str">
        <f>VLOOKUP(A354,'[1]MAIN-101'!$B$13:$M$787,12,FALSE)</f>
        <v>Payment for the journal/planners during the conduct of the 2021 CPD Functional Meeting Team meeting on February 2-3, 2021</v>
      </c>
      <c r="D354" s="562" t="e">
        <f>SUMIFS('[1]MAIN-101'!$Z$1:$Z$3000,'[1]MAIN-101'!$X$1:$X$3000,A354)</f>
        <v>#VALUE!</v>
      </c>
      <c r="E354" s="562" t="e">
        <f>SUMIFS('Recon of ORS and DV'!D:D,'Recon of ORS and DV'!B:B,'DV List'!A354)</f>
        <v>#VALUE!</v>
      </c>
      <c r="F354" s="276" t="e">
        <f t="shared" si="5"/>
        <v>#VALUE!</v>
      </c>
    </row>
    <row r="355" spans="1:7">
      <c r="A355" t="s">
        <v>2222</v>
      </c>
      <c r="B355" t="str">
        <f>VLOOKUP(A355,'[1]MAIN-101'!$B$13:$M$787,4,FALSE)</f>
        <v>Ralph O. Gorgonio</v>
      </c>
      <c r="C355" t="str">
        <f>VLOOKUP(A355,'[1]MAIN-101'!$B$13:$M$787,12,FALSE)</f>
        <v>Reimbursement , alcohol for the for the DTI Caraga implementation of workplace safety and healthy amid COVID19 Pandemic</v>
      </c>
      <c r="D355" s="562" t="e">
        <f>SUMIFS('[1]MAIN-101'!$Z$1:$Z$3000,'[1]MAIN-101'!$X$1:$X$3000,A355)</f>
        <v>#VALUE!</v>
      </c>
      <c r="E355" s="562" t="e">
        <f>SUMIFS('Recon of ORS and DV'!D:D,'Recon of ORS and DV'!B:B,'DV List'!A355)</f>
        <v>#VALUE!</v>
      </c>
      <c r="F355" s="276" t="e">
        <f t="shared" si="5"/>
        <v>#VALUE!</v>
      </c>
    </row>
    <row r="356" spans="1:7">
      <c r="A356" t="s">
        <v>2223</v>
      </c>
      <c r="B356" t="str">
        <f>VLOOKUP(A356,'[1]MAIN-101'!$B$13:$M$787,4,FALSE)</f>
        <v>Road Way Auto Supply and Car Accessories</v>
      </c>
      <c r="C356" t="str">
        <f>VLOOKUP(A356,'[1]MAIN-101'!$B$13:$M$787,12,FALSE)</f>
        <v>Payment for Vehicle rear bumper of Toyota Hilux for DTI Caraga Motor Vehicle</v>
      </c>
      <c r="D356" s="562" t="e">
        <f>SUMIFS('[1]MAIN-101'!$Z$1:$Z$3000,'[1]MAIN-101'!$X$1:$X$3000,A356)</f>
        <v>#VALUE!</v>
      </c>
      <c r="E356" s="562" t="e">
        <f>SUMIFS('Recon of ORS and DV'!D:D,'Recon of ORS and DV'!B:B,'DV List'!A356)</f>
        <v>#VALUE!</v>
      </c>
      <c r="F356" s="276" t="e">
        <f t="shared" si="5"/>
        <v>#VALUE!</v>
      </c>
    </row>
    <row r="357" spans="1:7">
      <c r="A357" t="s">
        <v>2224</v>
      </c>
      <c r="B357" t="str">
        <f>VLOOKUP(A357,'[1]MAIN-101'!$B$13:$M$787,4,FALSE)</f>
        <v>Eden D. Burnea</v>
      </c>
      <c r="C357" t="str">
        <f>VLOOKUP(A357,'[1]MAIN-101'!$B$13:$M$787,12,FALSE)</f>
        <v>TEV during the conduct of Orientation PH Hub and e-commerce platform of DTI-Caraga in ADS on Jan 15, 2021, Tandag City on Jan 21, 2021 and Surigao City on January 29, 2021</v>
      </c>
      <c r="D357" s="562" t="e">
        <f>SUMIFS('[1]MAIN-101'!$Z$1:$Z$3000,'[1]MAIN-101'!$X$1:$X$3000,A357)</f>
        <v>#VALUE!</v>
      </c>
      <c r="E357" s="562" t="e">
        <f>SUMIFS('Recon of ORS and DV'!D:D,'Recon of ORS and DV'!B:B,'DV List'!A357)</f>
        <v>#VALUE!</v>
      </c>
      <c r="F357" s="276" t="e">
        <f t="shared" si="5"/>
        <v>#VALUE!</v>
      </c>
    </row>
    <row r="358" spans="1:7">
      <c r="A358" t="s">
        <v>2225</v>
      </c>
      <c r="B358" t="str">
        <f>VLOOKUP(A358,'[1]MAIN-101'!$B$13:$M$787,4,FALSE)</f>
        <v>Efren J. Tubaon</v>
      </c>
      <c r="C358" t="str">
        <f>VLOOKUP(A358,'[1]MAIN-101'!$B$13:$M$787,12,FALSE)</f>
        <v>Payment for JO for January and February 2021</v>
      </c>
      <c r="D358" s="562" t="e">
        <f>SUMIFS('[1]MAIN-101'!$Z$1:$Z$3000,'[1]MAIN-101'!$X$1:$X$3000,A358)</f>
        <v>#VALUE!</v>
      </c>
      <c r="E358" s="562" t="e">
        <f>SUMIFS('Recon of ORS and DV'!D:D,'Recon of ORS and DV'!B:B,'DV List'!A358)</f>
        <v>#VALUE!</v>
      </c>
      <c r="F358" s="276" t="e">
        <f t="shared" si="5"/>
        <v>#VALUE!</v>
      </c>
    </row>
    <row r="359" spans="1:7">
      <c r="A359" t="s">
        <v>2226</v>
      </c>
      <c r="B359" t="str">
        <f>VLOOKUP(A359,'[1]MAIN-101'!$B$13:$M$787,4,FALSE)</f>
        <v>Al A. Oliverio</v>
      </c>
      <c r="C359" t="str">
        <f>VLOOKUP(A359,'[1]MAIN-101'!$B$13:$M$787,12,FALSE)</f>
        <v>Payment for salaries for RAPID PCU AND Staff driver for Feb 1-28, 2021</v>
      </c>
      <c r="D359" s="562" t="e">
        <f>SUMIFS('[1]MAIN-101'!$Z$1:$Z$3000,'[1]MAIN-101'!$X$1:$X$3000,A359)</f>
        <v>#VALUE!</v>
      </c>
      <c r="E359" s="562" t="e">
        <f>SUMIFS('Recon of ORS and DV'!D:D,'Recon of ORS and DV'!B:B,'DV List'!A359)</f>
        <v>#VALUE!</v>
      </c>
      <c r="F359" s="276" t="e">
        <f t="shared" si="5"/>
        <v>#VALUE!</v>
      </c>
    </row>
    <row r="360" spans="1:7">
      <c r="A360" t="s">
        <v>2227</v>
      </c>
      <c r="B360" t="str">
        <f>VLOOKUP(A360,'[1]MAIN-101'!$B$13:$M$787,4,FALSE)</f>
        <v>CSC Training Fund</v>
      </c>
      <c r="C360" t="str">
        <f>VLOOKUP(A360,'[1]MAIN-101'!$B$13:$M$787,12,FALSE)</f>
        <v>Payment for the Registration Fee for online course on coaching and mentoring on April 20, 27 and 30, 2021</v>
      </c>
      <c r="D360" s="562" t="e">
        <f>SUMIFS('[1]MAIN-101'!$Z$1:$Z$3000,'[1]MAIN-101'!$X$1:$X$3000,A360)</f>
        <v>#VALUE!</v>
      </c>
      <c r="E360" s="562" t="e">
        <f>SUMIFS('Recon of ORS and DV'!D:D,'Recon of ORS and DV'!B:B,'DV List'!A360)</f>
        <v>#VALUE!</v>
      </c>
      <c r="F360" s="276" t="e">
        <f t="shared" si="5"/>
        <v>#VALUE!</v>
      </c>
    </row>
    <row r="361" spans="1:7">
      <c r="A361" t="s">
        <v>2228</v>
      </c>
      <c r="B361" t="str">
        <f>VLOOKUP(A361,'[1]MAIN-101'!$B$13:$M$787,4,FALSE)</f>
        <v>True Brew Gourmet Coffee Shop</v>
      </c>
      <c r="C361" t="str">
        <f>VLOOKUP(A361,'[1]MAIN-101'!$B$13:$M$787,12,FALSE)</f>
        <v>Payment for meals re: 2021 CPD Functional Team Meeting on February 2-3, 2021</v>
      </c>
      <c r="D361" s="562" t="e">
        <f>SUMIFS('[1]MAIN-101'!$Z$1:$Z$3000,'[1]MAIN-101'!$X$1:$X$3000,A361)</f>
        <v>#VALUE!</v>
      </c>
      <c r="E361" s="562" t="e">
        <f>SUMIFS('Recon of ORS and DV'!D:D,'Recon of ORS and DV'!B:B,'DV List'!A361)</f>
        <v>#VALUE!</v>
      </c>
      <c r="F361" s="276" t="e">
        <f t="shared" si="5"/>
        <v>#VALUE!</v>
      </c>
    </row>
    <row r="362" spans="1:7">
      <c r="A362" t="s">
        <v>2229</v>
      </c>
      <c r="B362" t="str">
        <f>VLOOKUP(A362,'[1]MAIN-101'!$B$13:$M$787,4,FALSE)</f>
        <v>True Brew Gourmet Coffee Shop</v>
      </c>
      <c r="C362" t="str">
        <f>VLOOKUP(A362,'[1]MAIN-101'!$B$13:$M$787,12,FALSE)</f>
        <v>Payment of meals during the gender WEE Subcommittee Meeting on February 5, 2021</v>
      </c>
      <c r="D362" s="562" t="e">
        <f>SUMIFS('[1]MAIN-101'!$Z$1:$Z$3000,'[1]MAIN-101'!$X$1:$X$3000,A362)</f>
        <v>#VALUE!</v>
      </c>
      <c r="E362" s="562" t="e">
        <f>SUMIFS('Recon of ORS and DV'!D:D,'Recon of ORS and DV'!B:B,'DV List'!A362)</f>
        <v>#VALUE!</v>
      </c>
      <c r="F362" s="276" t="e">
        <f t="shared" si="5"/>
        <v>#VALUE!</v>
      </c>
    </row>
    <row r="363" spans="1:7">
      <c r="A363" t="s">
        <v>2230</v>
      </c>
      <c r="B363" t="str">
        <f>VLOOKUP(A363,'[1]MAIN-101'!$B$13:$M$787,4,FALSE)</f>
        <v>Tammy Emporium</v>
      </c>
      <c r="C363" t="str">
        <f>VLOOKUP(A363,'[1]MAIN-101'!$B$13:$M$787,12,FALSE)</f>
        <v>Payment for  the office supplies of IDD office use- 1st quarter 2021</v>
      </c>
      <c r="D363" s="562" t="e">
        <f>SUMIFS('[1]MAIN-101'!$Z$1:$Z$3000,'[1]MAIN-101'!$X$1:$X$3000,A363)</f>
        <v>#VALUE!</v>
      </c>
      <c r="E363" s="562" t="e">
        <f>SUMIFS('Recon of ORS and DV'!D:D,'Recon of ORS and DV'!B:B,'DV List'!A363)</f>
        <v>#VALUE!</v>
      </c>
      <c r="F363" s="276" t="e">
        <f t="shared" si="5"/>
        <v>#VALUE!</v>
      </c>
    </row>
    <row r="364" spans="1:7">
      <c r="A364" t="s">
        <v>2231</v>
      </c>
      <c r="B364" t="str">
        <f>VLOOKUP(A364,'[1]MAIN-101'!$B$13:$M$787,4,FALSE)</f>
        <v>Need Ink Sales &amp; Services</v>
      </c>
      <c r="C364" t="str">
        <f>VLOOKUP(A364,'[1]MAIN-101'!$B$13:$M$787,12,FALSE)</f>
        <v>Payment for toner cartridge for FAD 1st quarter 2021 office supplies.</v>
      </c>
      <c r="D364" s="562" t="e">
        <f>SUMIFS('[1]MAIN-101'!$Z$1:$Z$3000,'[1]MAIN-101'!$X$1:$X$3000,A364)</f>
        <v>#VALUE!</v>
      </c>
      <c r="E364" s="562" t="e">
        <f>SUMIFS('Recon of ORS and DV'!D:D,'Recon of ORS and DV'!B:B,'DV List'!A364)</f>
        <v>#VALUE!</v>
      </c>
      <c r="F364" s="276" t="e">
        <f t="shared" si="5"/>
        <v>#VALUE!</v>
      </c>
    </row>
    <row r="365" spans="1:7">
      <c r="A365" t="s">
        <v>2561</v>
      </c>
      <c r="B365" t="str">
        <f>VLOOKUP(A365,'[1]MAIN-101'!$B$13:$M$787,4,FALSE)</f>
        <v>DREAMCO MPC</v>
      </c>
      <c r="C365" t="str">
        <f>VLOOKUP(A365,'[1]MAIN-101'!$B$13:$M$787,12,FALSE)</f>
        <v>Remittance of coop deductions for the month of March 2021</v>
      </c>
      <c r="D365" s="562" t="e">
        <f>SUMIFS('[1]MAIN-101'!$Z$1:$Z$3000,'[1]MAIN-101'!$X$1:$X$3000,A365)</f>
        <v>#VALUE!</v>
      </c>
      <c r="E365" s="562">
        <f>SUMIFS('Recon of ORS and DV'!D:D,'Recon of ORS and DV'!B:B,'DV List'!A365)</f>
        <v>0</v>
      </c>
      <c r="F365" s="276" t="e">
        <f t="shared" si="5"/>
        <v>#VALUE!</v>
      </c>
      <c r="G365" t="s">
        <v>2662</v>
      </c>
    </row>
    <row r="366" spans="1:7">
      <c r="A366" t="s">
        <v>2232</v>
      </c>
      <c r="B366" t="str">
        <f>VLOOKUP(A366,'[1]MAIN-101'!$B$13:$M$787,4,FALSE)</f>
        <v>Butuan Glass Supply, Inc.</v>
      </c>
      <c r="C366" t="str">
        <f>VLOOKUP(A366,'[1]MAIN-101'!$B$13:$M$787,12,FALSE)</f>
        <v>Payment for frosted sticker for IDD Office</v>
      </c>
      <c r="D366" s="562" t="e">
        <f>SUMIFS('[1]MAIN-101'!$Z$1:$Z$3000,'[1]MAIN-101'!$X$1:$X$3000,A366)</f>
        <v>#VALUE!</v>
      </c>
      <c r="E366" s="562" t="e">
        <f>SUMIFS('Recon of ORS and DV'!D:D,'Recon of ORS and DV'!B:B,'DV List'!A366)</f>
        <v>#VALUE!</v>
      </c>
      <c r="F366" s="276" t="e">
        <f t="shared" si="5"/>
        <v>#VALUE!</v>
      </c>
    </row>
    <row r="367" spans="1:7">
      <c r="A367" t="s">
        <v>2562</v>
      </c>
      <c r="B367" t="str">
        <f>VLOOKUP(A367,'[1]MAIN-101'!$B$13:$M$787,4,FALSE)</f>
        <v>Joselito B. Paler</v>
      </c>
      <c r="C367" t="str">
        <f>VLOOKUP(A367,'[1]MAIN-101'!$B$13:$M$787,12,FALSE)</f>
        <v>Refund of over deduction of EU dues &amp; GSIS- ECIP for the month of February 2021</v>
      </c>
      <c r="D367" s="562" t="e">
        <f>SUMIFS('[1]MAIN-101'!$Z$1:$Z$3000,'[1]MAIN-101'!$X$1:$X$3000,A367)</f>
        <v>#VALUE!</v>
      </c>
      <c r="E367" s="562">
        <f>SUMIFS('Recon of ORS and DV'!D:D,'Recon of ORS and DV'!B:B,'DV List'!A367)</f>
        <v>0</v>
      </c>
      <c r="F367" s="276" t="e">
        <f t="shared" si="5"/>
        <v>#VALUE!</v>
      </c>
      <c r="G367" t="s">
        <v>2663</v>
      </c>
    </row>
    <row r="368" spans="1:7">
      <c r="A368" t="s">
        <v>2235</v>
      </c>
      <c r="B368" t="str">
        <f>VLOOKUP(A368,'[1]MAIN-101'!$B$13:$M$787,4,FALSE)</f>
        <v>New Aristocrat Enterprises,Inc.</v>
      </c>
      <c r="C368" t="str">
        <f>VLOOKUP(A368,'[1]MAIN-101'!$B$13:$M$787,12,FALSE)</f>
        <v>Payment for flush locks and reinstallation of glass board for DTI Caraga Office use.</v>
      </c>
      <c r="D368" s="562" t="e">
        <f>SUMIFS('[1]MAIN-101'!$Z$1:$Z$3000,'[1]MAIN-101'!$X$1:$X$3000,A368)</f>
        <v>#VALUE!</v>
      </c>
      <c r="E368" s="562" t="e">
        <f>SUMIFS('Recon of ORS and DV'!D:D,'Recon of ORS and DV'!B:B,'DV List'!A368)</f>
        <v>#VALUE!</v>
      </c>
      <c r="F368" s="276" t="e">
        <f t="shared" si="5"/>
        <v>#VALUE!</v>
      </c>
    </row>
    <row r="369" spans="1:6">
      <c r="A369" t="s">
        <v>2237</v>
      </c>
      <c r="B369" t="str">
        <f>VLOOKUP(A369,'[1]MAIN-101'!$B$13:$M$787,4,FALSE)</f>
        <v>JWL Sourcing Group, Inc</v>
      </c>
      <c r="C369" t="str">
        <f>VLOOKUP(A369,'[1]MAIN-101'!$B$13:$M$787,12,FALSE)</f>
        <v>Payment for fuel consumption for Jan 1-31, 2021</v>
      </c>
      <c r="D369" s="562" t="e">
        <f>SUMIFS('[1]MAIN-101'!$Z$1:$Z$3000,'[1]MAIN-101'!$X$1:$X$3000,A369)</f>
        <v>#VALUE!</v>
      </c>
      <c r="E369" s="562" t="e">
        <f>SUMIFS('Recon of ORS and DV'!D:D,'Recon of ORS and DV'!B:B,'DV List'!A369)</f>
        <v>#VALUE!</v>
      </c>
      <c r="F369" s="276" t="e">
        <f t="shared" si="5"/>
        <v>#VALUE!</v>
      </c>
    </row>
    <row r="370" spans="1:6">
      <c r="A370" t="s">
        <v>2238</v>
      </c>
      <c r="B370" t="str">
        <f>VLOOKUP(A370,'[1]MAIN-101'!$B$13:$M$787,4,FALSE)</f>
        <v>A&amp;C Yelo Submarine Corp.</v>
      </c>
      <c r="C370" t="str">
        <f>VLOOKUP(A370,'[1]MAIN-101'!$B$13:$M$787,12,FALSE)</f>
        <v>Payment for drinking water for Feb 2021</v>
      </c>
      <c r="D370" s="562" t="e">
        <f>SUMIFS('[1]MAIN-101'!$Z$1:$Z$3000,'[1]MAIN-101'!$X$1:$X$3000,A370)</f>
        <v>#VALUE!</v>
      </c>
      <c r="E370" s="562" t="e">
        <f>SUMIFS('Recon of ORS and DV'!D:D,'Recon of ORS and DV'!B:B,'DV List'!A370)</f>
        <v>#VALUE!</v>
      </c>
      <c r="F370" s="276" t="e">
        <f t="shared" si="5"/>
        <v>#VALUE!</v>
      </c>
    </row>
    <row r="371" spans="1:6">
      <c r="A371" t="s">
        <v>2239</v>
      </c>
      <c r="B371" t="str">
        <f>VLOOKUP(A371,'[1]MAIN-101'!$B$13:$M$787,4,FALSE)</f>
        <v>JRS Business Corporation</v>
      </c>
      <c r="C371" t="str">
        <f>VLOOKUP(A371,'[1]MAIN-101'!$B$13:$M$787,12,FALSE)</f>
        <v>Payment for courier services for the month of January 2021</v>
      </c>
      <c r="D371" s="562" t="e">
        <f>SUMIFS('[1]MAIN-101'!$Z$1:$Z$3000,'[1]MAIN-101'!$X$1:$X$3000,A371)</f>
        <v>#VALUE!</v>
      </c>
      <c r="E371" s="562" t="e">
        <f>SUMIFS('Recon of ORS and DV'!D:D,'Recon of ORS and DV'!B:B,'DV List'!A371)</f>
        <v>#VALUE!</v>
      </c>
      <c r="F371" s="276" t="e">
        <f t="shared" si="5"/>
        <v>#VALUE!</v>
      </c>
    </row>
    <row r="372" spans="1:6">
      <c r="A372" t="s">
        <v>2240</v>
      </c>
      <c r="B372" t="str">
        <f>VLOOKUP(A372,'[1]MAIN-101'!$B$13:$M$787,4,FALSE)</f>
        <v>Busa Interbiz Center</v>
      </c>
      <c r="C372" t="str">
        <f>VLOOKUP(A372,'[1]MAIN-101'!$B$13:$M$787,12,FALSE)</f>
        <v>Payment for subscription expense- newspaper for the period February 2021</v>
      </c>
      <c r="D372" s="562" t="e">
        <f>SUMIFS('[1]MAIN-101'!$Z$1:$Z$3000,'[1]MAIN-101'!$X$1:$X$3000,A372)</f>
        <v>#VALUE!</v>
      </c>
      <c r="E372" s="562" t="e">
        <f>SUMIFS('Recon of ORS and DV'!D:D,'Recon of ORS and DV'!B:B,'DV List'!A372)</f>
        <v>#VALUE!</v>
      </c>
      <c r="F372" s="276" t="e">
        <f t="shared" si="5"/>
        <v>#VALUE!</v>
      </c>
    </row>
    <row r="373" spans="1:6">
      <c r="A373" t="s">
        <v>2241</v>
      </c>
      <c r="B373" t="str">
        <f>VLOOKUP(A373,'[1]MAIN-101'!$B$13:$M$787,4,FALSE)</f>
        <v>D.O Plaza Holdings Corp.</v>
      </c>
      <c r="C373" t="str">
        <f>VLOOKUP(A373,'[1]MAIN-101'!$B$13:$M$787,12,FALSE)</f>
        <v>Payment for office rental for the month of March 2021.</v>
      </c>
      <c r="D373" s="562" t="e">
        <f>SUMIFS('[1]MAIN-101'!$Z$1:$Z$3000,'[1]MAIN-101'!$X$1:$X$3000,A373)</f>
        <v>#VALUE!</v>
      </c>
      <c r="E373" s="562" t="e">
        <f>SUMIFS('Recon of ORS and DV'!D:D,'Recon of ORS and DV'!B:B,'DV List'!A373)</f>
        <v>#VALUE!</v>
      </c>
      <c r="F373" s="276" t="e">
        <f t="shared" si="5"/>
        <v>#VALUE!</v>
      </c>
    </row>
    <row r="374" spans="1:6">
      <c r="A374" t="s">
        <v>2255</v>
      </c>
      <c r="B374" t="str">
        <f>VLOOKUP(A374,'[1]MAIN-101'!$B$13:$M$787,4,FALSE)</f>
        <v>LBP, F/O DTI-RO</v>
      </c>
      <c r="C374" t="str">
        <f>VLOOKUP(A374,'[1]MAIN-101'!$B$13:$M$787,12,FALSE)</f>
        <v>Payment for salaries and allowances for regular employees for the month of March 2021</v>
      </c>
      <c r="D374" s="562" t="e">
        <f>SUMIFS('[1]MAIN-101'!$Z$1:$Z$3000,'[1]MAIN-101'!$X$1:$X$3000,A374)</f>
        <v>#VALUE!</v>
      </c>
      <c r="E374" s="562" t="e">
        <f>SUMIFS('Recon of ORS and DV'!D:D,'Recon of ORS and DV'!B:B,'DV List'!A374)</f>
        <v>#VALUE!</v>
      </c>
      <c r="F374" s="276" t="e">
        <f t="shared" si="5"/>
        <v>#VALUE!</v>
      </c>
    </row>
    <row r="375" spans="1:6">
      <c r="A375" t="s">
        <v>2243</v>
      </c>
      <c r="B375" t="str">
        <f>VLOOKUP(A375,'[1]MAIN-101'!$B$13:$M$787,4,FALSE)</f>
        <v>LBP, F/O DTI-ADS</v>
      </c>
      <c r="C375" t="str">
        <f>VLOOKUP(A375,'[1]MAIN-101'!$B$13:$M$787,12,FALSE)</f>
        <v>Payment for salaries and allowances for regular employees for the month of March 2021</v>
      </c>
      <c r="D375" s="562" t="e">
        <f>SUMIFS('[1]MAIN-101'!$Z$1:$Z$3000,'[1]MAIN-101'!$X$1:$X$3000,A375)</f>
        <v>#VALUE!</v>
      </c>
      <c r="E375" s="562" t="e">
        <f>SUMIFS('Recon of ORS and DV'!D:D,'Recon of ORS and DV'!B:B,'DV List'!A375)</f>
        <v>#VALUE!</v>
      </c>
      <c r="F375" s="276" t="e">
        <f t="shared" si="5"/>
        <v>#VALUE!</v>
      </c>
    </row>
    <row r="376" spans="1:6">
      <c r="A376" t="s">
        <v>2244</v>
      </c>
      <c r="B376" t="str">
        <f>VLOOKUP(A376,'[1]MAIN-101'!$B$13:$M$787,4,FALSE)</f>
        <v>LBP, F/O DTI-SDS</v>
      </c>
      <c r="C376" t="str">
        <f>VLOOKUP(A376,'[1]MAIN-101'!$B$13:$M$787,12,FALSE)</f>
        <v>Payment for salaries and allowances for regular employees for the month of March 2021</v>
      </c>
      <c r="D376" s="562" t="e">
        <f>SUMIFS('[1]MAIN-101'!$Z$1:$Z$3000,'[1]MAIN-101'!$X$1:$X$3000,A376)</f>
        <v>#VALUE!</v>
      </c>
      <c r="E376" s="562" t="e">
        <f>SUMIFS('Recon of ORS and DV'!D:D,'Recon of ORS and DV'!B:B,'DV List'!A376)</f>
        <v>#VALUE!</v>
      </c>
      <c r="F376" s="276" t="e">
        <f t="shared" si="5"/>
        <v>#VALUE!</v>
      </c>
    </row>
    <row r="377" spans="1:6">
      <c r="A377" t="s">
        <v>2245</v>
      </c>
      <c r="B377" t="str">
        <f>VLOOKUP(A377,'[1]MAIN-101'!$B$13:$M$787,4,FALSE)</f>
        <v>LBP, F/O DTI-PDI</v>
      </c>
      <c r="C377" t="str">
        <f>VLOOKUP(A377,'[1]MAIN-101'!$B$13:$M$787,12,FALSE)</f>
        <v>Payment for salaries and allowances for regular employees for the month of March 2021</v>
      </c>
      <c r="D377" s="562" t="e">
        <f>SUMIFS('[1]MAIN-101'!$Z$1:$Z$3000,'[1]MAIN-101'!$X$1:$X$3000,A377)</f>
        <v>#VALUE!</v>
      </c>
      <c r="E377" s="562" t="e">
        <f>SUMIFS('Recon of ORS and DV'!D:D,'Recon of ORS and DV'!B:B,'DV List'!A377)</f>
        <v>#VALUE!</v>
      </c>
      <c r="F377" s="276" t="e">
        <f t="shared" si="5"/>
        <v>#VALUE!</v>
      </c>
    </row>
    <row r="378" spans="1:6">
      <c r="A378" t="s">
        <v>2246</v>
      </c>
      <c r="B378" t="str">
        <f>VLOOKUP(A378,'[1]MAIN-101'!$B$13:$M$787,4,FALSE)</f>
        <v>Jumar H. Llorente</v>
      </c>
      <c r="C378" t="str">
        <f>VLOOKUP(A378,'[1]MAIN-101'!$B$13:$M$787,12,FALSE)</f>
        <v>Payment for salaries and allowances for CARP employees for the month of March 2021</v>
      </c>
      <c r="D378" s="562" t="e">
        <f>SUMIFS('[1]MAIN-101'!$Z$1:$Z$3000,'[1]MAIN-101'!$X$1:$X$3000,A378)</f>
        <v>#VALUE!</v>
      </c>
      <c r="E378" s="562" t="e">
        <f>SUMIFS('Recon of ORS and DV'!D:D,'Recon of ORS and DV'!B:B,'DV List'!A378)</f>
        <v>#VALUE!</v>
      </c>
      <c r="F378" s="276" t="e">
        <f t="shared" si="5"/>
        <v>#VALUE!</v>
      </c>
    </row>
    <row r="379" spans="1:6">
      <c r="A379" t="s">
        <v>2247</v>
      </c>
      <c r="B379" t="str">
        <f>VLOOKUP(A379,'[1]MAIN-101'!$B$13:$M$787,4,FALSE)</f>
        <v>Joselito B. Paler</v>
      </c>
      <c r="C379" t="str">
        <f>VLOOKUP(A379,'[1]MAIN-101'!$B$13:$M$787,12,FALSE)</f>
        <v>Payment for salaries and allowances for CARP employees for the month of March 2021</v>
      </c>
      <c r="D379" s="562" t="e">
        <f>SUMIFS('[1]MAIN-101'!$Z$1:$Z$3000,'[1]MAIN-101'!$X$1:$X$3000,A379)</f>
        <v>#VALUE!</v>
      </c>
      <c r="E379" s="562" t="e">
        <f>SUMIFS('Recon of ORS and DV'!D:D,'Recon of ORS and DV'!B:B,'DV List'!A379)</f>
        <v>#VALUE!</v>
      </c>
      <c r="F379" s="276" t="e">
        <f t="shared" si="5"/>
        <v>#VALUE!</v>
      </c>
    </row>
    <row r="380" spans="1:6">
      <c r="A380" t="s">
        <v>2277</v>
      </c>
      <c r="B380" t="str">
        <f>VLOOKUP(A380,'[1]MAIN-101'!$B$13:$M$787,4,FALSE)</f>
        <v>LBP, FO DTI-SDS</v>
      </c>
      <c r="C380" t="str">
        <f>VLOOKUP(A380,'[1]MAIN-101'!$B$13:$M$787,12,FALSE)</f>
        <v>Payment for salaries and allowances for CARP employees for the month of March 2021</v>
      </c>
      <c r="D380" s="562" t="e">
        <f>SUMIFS('[1]MAIN-101'!$Z$1:$Z$3000,'[1]MAIN-101'!$X$1:$X$3000,A380)</f>
        <v>#VALUE!</v>
      </c>
      <c r="E380" s="562" t="e">
        <f>SUMIFS('Recon of ORS and DV'!D:D,'Recon of ORS and DV'!B:B,'DV List'!A380)</f>
        <v>#VALUE!</v>
      </c>
      <c r="F380" s="276" t="e">
        <f t="shared" si="5"/>
        <v>#VALUE!</v>
      </c>
    </row>
    <row r="381" spans="1:6">
      <c r="A381" t="s">
        <v>2248</v>
      </c>
      <c r="B381" t="str">
        <f>VLOOKUP(A381,'[1]MAIN-101'!$B$13:$M$787,4,FALSE)</f>
        <v>Lemuel D. Roboca</v>
      </c>
      <c r="C381" t="str">
        <f>VLOOKUP(A381,'[1]MAIN-101'!$B$13:$M$787,12,FALSE)</f>
        <v>Payment for salaries and allowances for CARP employees for the month of March 2021</v>
      </c>
      <c r="D381" s="562" t="e">
        <f>SUMIFS('[1]MAIN-101'!$Z$1:$Z$3000,'[1]MAIN-101'!$X$1:$X$3000,A381)</f>
        <v>#VALUE!</v>
      </c>
      <c r="E381" s="562" t="e">
        <f>SUMIFS('Recon of ORS and DV'!D:D,'Recon of ORS and DV'!B:B,'DV List'!A381)</f>
        <v>#VALUE!</v>
      </c>
      <c r="F381" s="276" t="e">
        <f t="shared" si="5"/>
        <v>#VALUE!</v>
      </c>
    </row>
    <row r="382" spans="1:6">
      <c r="A382" t="s">
        <v>2249</v>
      </c>
      <c r="B382" t="str">
        <f>VLOOKUP(A382,'[1]MAIN-101'!$B$13:$M$787,4,FALSE)</f>
        <v>Loida C. Gumahin</v>
      </c>
      <c r="C382" t="str">
        <f>VLOOKUP(A382,'[1]MAIN-101'!$B$13:$M$787,12,FALSE)</f>
        <v>Payment for salaries and allowances for NC Staff for the month of March 2021</v>
      </c>
      <c r="D382" s="562" t="e">
        <f>SUMIFS('[1]MAIN-101'!$Z$1:$Z$3000,'[1]MAIN-101'!$X$1:$X$3000,A382)</f>
        <v>#VALUE!</v>
      </c>
      <c r="E382" s="562" t="e">
        <f>SUMIFS('Recon of ORS and DV'!D:D,'Recon of ORS and DV'!B:B,'DV List'!A382)</f>
        <v>#VALUE!</v>
      </c>
      <c r="F382" s="276" t="e">
        <f t="shared" si="5"/>
        <v>#VALUE!</v>
      </c>
    </row>
    <row r="383" spans="1:6">
      <c r="A383" t="s">
        <v>2250</v>
      </c>
      <c r="B383" t="str">
        <f>VLOOKUP(A383,'[1]MAIN-101'!$B$13:$M$787,4,FALSE)</f>
        <v>Rezel May C. Goloran</v>
      </c>
      <c r="C383" t="str">
        <f>VLOOKUP(A383,'[1]MAIN-101'!$B$13:$M$787,12,FALSE)</f>
        <v>Payment for salaries and allowances for NC Staff for the month of March 2021</v>
      </c>
      <c r="D383" s="562" t="e">
        <f>SUMIFS('[1]MAIN-101'!$Z$1:$Z$3000,'[1]MAIN-101'!$X$1:$X$3000,A383)</f>
        <v>#VALUE!</v>
      </c>
      <c r="E383" s="562" t="e">
        <f>SUMIFS('Recon of ORS and DV'!D:D,'Recon of ORS and DV'!B:B,'DV List'!A383)</f>
        <v>#VALUE!</v>
      </c>
      <c r="F383" s="276" t="e">
        <f t="shared" si="5"/>
        <v>#VALUE!</v>
      </c>
    </row>
    <row r="384" spans="1:6">
      <c r="A384" t="s">
        <v>2252</v>
      </c>
      <c r="B384" t="str">
        <f>VLOOKUP(A384,'[1]MAIN-101'!$B$13:$M$787,4,FALSE)</f>
        <v>Olimar O. Sulapas</v>
      </c>
      <c r="C384" t="str">
        <f>VLOOKUP(A384,'[1]MAIN-101'!$B$13:$M$787,12,FALSE)</f>
        <v>Payment for salaries and allowances for NC Staff for the month of March 2021</v>
      </c>
      <c r="D384" s="562" t="e">
        <f>SUMIFS('[1]MAIN-101'!$Z$1:$Z$3000,'[1]MAIN-101'!$X$1:$X$3000,A384)</f>
        <v>#VALUE!</v>
      </c>
      <c r="E384" s="562" t="e">
        <f>SUMIFS('Recon of ORS and DV'!D:D,'Recon of ORS and DV'!B:B,'DV List'!A384)</f>
        <v>#VALUE!</v>
      </c>
      <c r="F384" s="276" t="e">
        <f t="shared" si="5"/>
        <v>#VALUE!</v>
      </c>
    </row>
    <row r="385" spans="1:6">
      <c r="A385" t="s">
        <v>2253</v>
      </c>
      <c r="B385" t="str">
        <f>VLOOKUP(A385,'[1]MAIN-101'!$B$13:$M$787,4,FALSE)</f>
        <v>Cresal Grace C. Malabanan</v>
      </c>
      <c r="C385" t="str">
        <f>VLOOKUP(A385,'[1]MAIN-101'!$B$13:$M$787,12,FALSE)</f>
        <v>Payment for salaries and allowances for NC Staff for the month of Feb2021</v>
      </c>
      <c r="D385" s="562" t="e">
        <f>SUMIFS('[1]MAIN-101'!$Z$1:$Z$3000,'[1]MAIN-101'!$X$1:$X$3000,A385)</f>
        <v>#VALUE!</v>
      </c>
      <c r="E385" s="562" t="e">
        <f>SUMIFS('Recon of ORS and DV'!D:D,'Recon of ORS and DV'!B:B,'DV List'!A385)</f>
        <v>#VALUE!</v>
      </c>
      <c r="F385" s="276" t="e">
        <f t="shared" si="5"/>
        <v>#VALUE!</v>
      </c>
    </row>
    <row r="386" spans="1:6">
      <c r="A386" t="s">
        <v>2251</v>
      </c>
      <c r="B386" t="str">
        <f>VLOOKUP(A386,'[1]MAIN-101'!$B$13:$M$787,4,FALSE)</f>
        <v>Carl Mars P. Ravelo</v>
      </c>
      <c r="C386" t="str">
        <f>VLOOKUP(A386,'[1]MAIN-101'!$B$13:$M$787,12,FALSE)</f>
        <v>Payment for salaries and allowances for NC Staff for the month of March 2021</v>
      </c>
      <c r="D386" s="562" t="e">
        <f>SUMIFS('[1]MAIN-101'!$Z$1:$Z$3000,'[1]MAIN-101'!$X$1:$X$3000,A386)</f>
        <v>#VALUE!</v>
      </c>
      <c r="E386" s="562" t="e">
        <f>SUMIFS('Recon of ORS and DV'!D:D,'Recon of ORS and DV'!B:B,'DV List'!A386)</f>
        <v>#VALUE!</v>
      </c>
      <c r="F386" s="276" t="e">
        <f t="shared" si="5"/>
        <v>#VALUE!</v>
      </c>
    </row>
    <row r="387" spans="1:6">
      <c r="A387" t="s">
        <v>2254</v>
      </c>
      <c r="B387" t="str">
        <f>VLOOKUP(A387,'[1]MAIN-101'!$B$13:$M$787,4,FALSE)</f>
        <v>Cresal Grace C. Malabanan</v>
      </c>
      <c r="C387" t="str">
        <f>VLOOKUP(A387,'[1]MAIN-101'!$B$13:$M$787,12,FALSE)</f>
        <v>Payment for salaries and allowances for NC Staff for the month of March 2021</v>
      </c>
      <c r="D387" s="562" t="e">
        <f>SUMIFS('[1]MAIN-101'!$Z$1:$Z$3000,'[1]MAIN-101'!$X$1:$X$3000,A387)</f>
        <v>#VALUE!</v>
      </c>
      <c r="E387" s="562" t="e">
        <f>SUMIFS('Recon of ORS and DV'!D:D,'Recon of ORS and DV'!B:B,'DV List'!A387)</f>
        <v>#VALUE!</v>
      </c>
      <c r="F387" s="276" t="e">
        <f t="shared" si="5"/>
        <v>#VALUE!</v>
      </c>
    </row>
    <row r="388" spans="1:6">
      <c r="A388" t="s">
        <v>2256</v>
      </c>
      <c r="B388" t="str">
        <f>VLOOKUP(A388,'[1]MAIN-101'!$B$13:$M$787,4,FALSE)</f>
        <v>LBP, FO DTI-SDN</v>
      </c>
      <c r="C388" t="str">
        <f>VLOOKUP(A388,'[1]MAIN-101'!$B$13:$M$787,12,FALSE)</f>
        <v>Payment for salaries and allowances for regular employees for the month of March 2021</v>
      </c>
      <c r="D388" s="562" t="e">
        <f>SUMIFS('[1]MAIN-101'!$Z$1:$Z$3000,'[1]MAIN-101'!$X$1:$X$3000,A388)</f>
        <v>#VALUE!</v>
      </c>
      <c r="E388" s="562" t="e">
        <f>SUMIFS('Recon of ORS and DV'!D:D,'Recon of ORS and DV'!B:B,'DV List'!A388)</f>
        <v>#VALUE!</v>
      </c>
      <c r="F388" s="276" t="e">
        <f t="shared" si="5"/>
        <v>#VALUE!</v>
      </c>
    </row>
    <row r="389" spans="1:6">
      <c r="A389" t="s">
        <v>2257</v>
      </c>
      <c r="B389" t="str">
        <f>VLOOKUP(A389,'[1]MAIN-101'!$B$13:$M$787,4,FALSE)</f>
        <v>Ma. Malen B. Catamora</v>
      </c>
      <c r="C389" t="str">
        <f>VLOOKUP(A389,'[1]MAIN-101'!$B$13:$M$787,12,FALSE)</f>
        <v>Payment for salaries and allowances for CARP employees for the month of March 2021</v>
      </c>
      <c r="D389" s="562" t="e">
        <f>SUMIFS('[1]MAIN-101'!$Z$1:$Z$3000,'[1]MAIN-101'!$X$1:$X$3000,A389)</f>
        <v>#VALUE!</v>
      </c>
      <c r="E389" s="562" t="e">
        <f>SUMIFS('Recon of ORS and DV'!D:D,'Recon of ORS and DV'!B:B,'DV List'!A389)</f>
        <v>#VALUE!</v>
      </c>
      <c r="F389" s="276" t="e">
        <f t="shared" ref="F389:F452" si="6">D389-E389</f>
        <v>#VALUE!</v>
      </c>
    </row>
    <row r="390" spans="1:6">
      <c r="A390" t="s">
        <v>2234</v>
      </c>
      <c r="B390" t="str">
        <f>VLOOKUP(A390,'[1]MAIN-101'!$B$13:$M$787,4,FALSE)</f>
        <v>Mercado's Sudlanan ATBP</v>
      </c>
      <c r="C390" t="str">
        <f>VLOOKUP(A390,'[1]MAIN-101'!$B$13:$M$787,12,FALSE)</f>
        <v>Payment for the customized 2021 planner</v>
      </c>
      <c r="D390" s="562" t="e">
        <f>SUMIFS('[1]MAIN-101'!$Z$1:$Z$3000,'[1]MAIN-101'!$X$1:$X$3000,A390)</f>
        <v>#VALUE!</v>
      </c>
      <c r="E390" s="562" t="e">
        <f>SUMIFS('Recon of ORS and DV'!D:D,'Recon of ORS and DV'!B:B,'DV List'!A390)</f>
        <v>#VALUE!</v>
      </c>
      <c r="F390" s="276" t="e">
        <f t="shared" si="6"/>
        <v>#VALUE!</v>
      </c>
    </row>
    <row r="391" spans="1:6">
      <c r="A391" t="s">
        <v>2233</v>
      </c>
      <c r="B391" t="str">
        <f>VLOOKUP(A391,'[1]MAIN-101'!$B$13:$M$787,4,FALSE)</f>
        <v>Royelen B.Taala</v>
      </c>
      <c r="C391" t="str">
        <f>VLOOKUP(A391,'[1]MAIN-101'!$B$13:$M$787,12,FALSE)</f>
        <v>Reimbursement for the payment of tokens (prepaid loadcards) for the IDD Functional Team 1st quarter meeting on January 26, 2021</v>
      </c>
      <c r="D391" s="562" t="e">
        <f>SUMIFS('[1]MAIN-101'!$Z$1:$Z$3000,'[1]MAIN-101'!$X$1:$X$3000,A391)</f>
        <v>#VALUE!</v>
      </c>
      <c r="E391" s="562" t="e">
        <f>SUMIFS('Recon of ORS and DV'!D:D,'Recon of ORS and DV'!B:B,'DV List'!A391)</f>
        <v>#VALUE!</v>
      </c>
      <c r="F391" s="276" t="e">
        <f t="shared" si="6"/>
        <v>#VALUE!</v>
      </c>
    </row>
    <row r="392" spans="1:6">
      <c r="A392" t="s">
        <v>2242</v>
      </c>
      <c r="B392" t="str">
        <f>VLOOKUP(A392,'[1]MAIN-101'!$B$13:$M$787,4,FALSE)</f>
        <v>Mike Ariel P. Plaza</v>
      </c>
      <c r="C392" t="str">
        <f>VLOOKUP(A392,'[1]MAIN-101'!$B$13:$M$787,12,FALSE)</f>
        <v>Payment for the food and non food products featured in the 2020 DTI Pasalove Youtube Project</v>
      </c>
      <c r="D392" s="562" t="e">
        <f>SUMIFS('[1]MAIN-101'!$Z$1:$Z$3000,'[1]MAIN-101'!$X$1:$X$3000,A392)</f>
        <v>#VALUE!</v>
      </c>
      <c r="E392" s="562" t="e">
        <f>SUMIFS('Recon of ORS and DV'!D:D,'Recon of ORS and DV'!B:B,'DV List'!A392)</f>
        <v>#VALUE!</v>
      </c>
      <c r="F392" s="276" t="e">
        <f t="shared" si="6"/>
        <v>#VALUE!</v>
      </c>
    </row>
    <row r="393" spans="1:6">
      <c r="A393" t="s">
        <v>2258</v>
      </c>
      <c r="B393" t="str">
        <f>VLOOKUP(A393,'[1]MAIN-101'!$B$13:$M$787,4,FALSE)</f>
        <v>Rezel May C. Goloran</v>
      </c>
      <c r="C393" t="str">
        <f>VLOOKUP(A393,'[1]MAIN-101'!$B$13:$M$787,12,FALSE)</f>
        <v>Payment for salaries and allowances for NC Staff for the month of February 2021</v>
      </c>
      <c r="D393" s="562" t="e">
        <f>SUMIFS('[1]MAIN-101'!$Z$1:$Z$3000,'[1]MAIN-101'!$X$1:$X$3000,A393)</f>
        <v>#VALUE!</v>
      </c>
      <c r="E393" s="562" t="e">
        <f>SUMIFS('Recon of ORS and DV'!D:D,'Recon of ORS and DV'!B:B,'DV List'!A393)</f>
        <v>#VALUE!</v>
      </c>
      <c r="F393" s="276" t="e">
        <f t="shared" si="6"/>
        <v>#VALUE!</v>
      </c>
    </row>
    <row r="394" spans="1:6">
      <c r="A394" t="s">
        <v>2262</v>
      </c>
      <c r="B394" t="str">
        <f>VLOOKUP(A394,'[1]MAIN-101'!$B$13:$M$787,4,FALSE)</f>
        <v>Elyn Rose A. Ranario</v>
      </c>
      <c r="C394" t="str">
        <f>VLOOKUP(A394,'[1]MAIN-101'!$B$13:$M$787,12,FALSE)</f>
        <v>Payment for salaries and allowances for NC Staff for the month of March 2021</v>
      </c>
      <c r="D394" s="562" t="e">
        <f>SUMIFS('[1]MAIN-101'!$Z$1:$Z$3000,'[1]MAIN-101'!$X$1:$X$3000,A394)</f>
        <v>#VALUE!</v>
      </c>
      <c r="E394" s="562" t="e">
        <f>SUMIFS('Recon of ORS and DV'!D:D,'Recon of ORS and DV'!B:B,'DV List'!A394)</f>
        <v>#VALUE!</v>
      </c>
      <c r="F394" s="276" t="e">
        <f t="shared" si="6"/>
        <v>#VALUE!</v>
      </c>
    </row>
    <row r="395" spans="1:6">
      <c r="A395" t="s">
        <v>2263</v>
      </c>
      <c r="B395" t="str">
        <f>VLOOKUP(A395,'[1]MAIN-101'!$B$13:$M$787,4,FALSE)</f>
        <v>LBP F/O DTI-AND</v>
      </c>
      <c r="C395" t="str">
        <f>VLOOKUP(A395,'[1]MAIN-101'!$B$13:$M$787,12,FALSE)</f>
        <v>Payment for salaries and allowances for CARP employees for the month of March 2021</v>
      </c>
      <c r="D395" s="562" t="e">
        <f>SUMIFS('[1]MAIN-101'!$Z$1:$Z$3000,'[1]MAIN-101'!$X$1:$X$3000,A395)</f>
        <v>#VALUE!</v>
      </c>
      <c r="E395" s="562" t="e">
        <f>SUMIFS('Recon of ORS and DV'!D:D,'Recon of ORS and DV'!B:B,'DV List'!A395)</f>
        <v>#VALUE!</v>
      </c>
      <c r="F395" s="276" t="e">
        <f t="shared" si="6"/>
        <v>#VALUE!</v>
      </c>
    </row>
    <row r="396" spans="1:6">
      <c r="A396" t="s">
        <v>2264</v>
      </c>
      <c r="B396" t="str">
        <f>VLOOKUP(A396,'[1]MAIN-101'!$B$13:$M$787,4,FALSE)</f>
        <v>LBP F/O DTI-AND</v>
      </c>
      <c r="C396" t="str">
        <f>VLOOKUP(A396,'[1]MAIN-101'!$B$13:$M$787,12,FALSE)</f>
        <v>Payment for salaries and allowances for regular employees for the month of March 2021</v>
      </c>
      <c r="D396" s="562" t="e">
        <f>SUMIFS('[1]MAIN-101'!$Z$1:$Z$3000,'[1]MAIN-101'!$X$1:$X$3000,A396)</f>
        <v>#VALUE!</v>
      </c>
      <c r="E396" s="562" t="e">
        <f>SUMIFS('Recon of ORS and DV'!D:D,'Recon of ORS and DV'!B:B,'DV List'!A396)</f>
        <v>#VALUE!</v>
      </c>
      <c r="F396" s="276" t="e">
        <f t="shared" si="6"/>
        <v>#VALUE!</v>
      </c>
    </row>
    <row r="397" spans="1:6">
      <c r="A397" t="s">
        <v>2259</v>
      </c>
      <c r="B397" t="str">
        <f>VLOOKUP(A397,'[1]MAIN-101'!$B$13:$M$787,4,FALSE)</f>
        <v>JMN Multimedia Sales and Services</v>
      </c>
      <c r="C397" t="str">
        <f>VLOOKUP(A397,'[1]MAIN-101'!$B$13:$M$787,12,FALSE)</f>
        <v>Payment for load allowance for CPD use- 1st quarter 2021</v>
      </c>
      <c r="D397" s="562" t="e">
        <f>SUMIFS('[1]MAIN-101'!$Z$1:$Z$3000,'[1]MAIN-101'!$X$1:$X$3000,A397)</f>
        <v>#VALUE!</v>
      </c>
      <c r="E397" s="562" t="e">
        <f>SUMIFS('Recon of ORS and DV'!D:D,'Recon of ORS and DV'!B:B,'DV List'!A397)</f>
        <v>#VALUE!</v>
      </c>
      <c r="F397" s="276" t="e">
        <f t="shared" si="6"/>
        <v>#VALUE!</v>
      </c>
    </row>
    <row r="398" spans="1:6">
      <c r="A398" t="s">
        <v>2260</v>
      </c>
      <c r="B398" t="str">
        <f>VLOOKUP(A398,'[1]MAIN-101'!$B$13:$M$787,4,FALSE)</f>
        <v>JMN Multimedia Sales and Services</v>
      </c>
      <c r="C398" t="str">
        <f>VLOOKUP(A398,'[1]MAIN-101'!$B$13:$M$787,12,FALSE)</f>
        <v>Payment for prepaid load cards for ORD Load allowance for Director use.</v>
      </c>
      <c r="D398" s="562" t="e">
        <f>SUMIFS('[1]MAIN-101'!$Z$1:$Z$3000,'[1]MAIN-101'!$X$1:$X$3000,A398)</f>
        <v>#VALUE!</v>
      </c>
      <c r="E398" s="562" t="e">
        <f>SUMIFS('Recon of ORS and DV'!D:D,'Recon of ORS and DV'!B:B,'DV List'!A398)</f>
        <v>#VALUE!</v>
      </c>
      <c r="F398" s="276" t="e">
        <f t="shared" si="6"/>
        <v>#VALUE!</v>
      </c>
    </row>
    <row r="399" spans="1:6">
      <c r="A399" t="s">
        <v>2261</v>
      </c>
      <c r="B399" t="str">
        <f>VLOOKUP(A399,'[1]MAIN-101'!$B$13:$M$787,4,FALSE)</f>
        <v>Procurement Service</v>
      </c>
      <c r="C399" t="str">
        <f>VLOOKUP(A399,'[1]MAIN-101'!$B$13:$M$787,12,FALSE)</f>
        <v>Payment for CPD 1st quarter 2021 office supplies</v>
      </c>
      <c r="D399" s="562" t="e">
        <f>SUMIFS('[1]MAIN-101'!$Z$1:$Z$3000,'[1]MAIN-101'!$X$1:$X$3000,A399)</f>
        <v>#VALUE!</v>
      </c>
      <c r="E399" s="562" t="e">
        <f>SUMIFS('Recon of ORS and DV'!D:D,'Recon of ORS and DV'!B:B,'DV List'!A399)</f>
        <v>#VALUE!</v>
      </c>
      <c r="F399" s="276" t="e">
        <f t="shared" si="6"/>
        <v>#VALUE!</v>
      </c>
    </row>
    <row r="400" spans="1:6">
      <c r="A400" t="s">
        <v>2266</v>
      </c>
      <c r="B400" t="str">
        <f>VLOOKUP(A400,'[1]MAIN-101'!$B$13:$M$787,4,FALSE)</f>
        <v>Ermak Trading</v>
      </c>
      <c r="C400" t="str">
        <f>VLOOKUP(A400,'[1]MAIN-101'!$B$13:$M$787,12,FALSE)</f>
        <v>Payment for vehicle tires for DTI Caraga MV Maiintenance</v>
      </c>
      <c r="D400" s="562" t="e">
        <f>SUMIFS('[1]MAIN-101'!$Z$1:$Z$3000,'[1]MAIN-101'!$X$1:$X$3000,A400)</f>
        <v>#VALUE!</v>
      </c>
      <c r="E400" s="562" t="e">
        <f>SUMIFS('Recon of ORS and DV'!D:D,'Recon of ORS and DV'!B:B,'DV List'!A400)</f>
        <v>#VALUE!</v>
      </c>
      <c r="F400" s="276" t="e">
        <f t="shared" si="6"/>
        <v>#VALUE!</v>
      </c>
    </row>
    <row r="401" spans="1:9">
      <c r="A401" t="s">
        <v>2272</v>
      </c>
      <c r="B401" t="str">
        <f>VLOOKUP(A401,'[1]MAIN-101'!$B$13:$M$787,4,FALSE)</f>
        <v>OIC, DTI-ADS</v>
      </c>
      <c r="C401" t="str">
        <f>VLOOKUP(A401,'[1]MAIN-101'!$B$13:$M$787,12,FALSE)</f>
        <v>Advances to the SSF MOOE - 1st Quarter 2021</v>
      </c>
      <c r="D401" s="562" t="e">
        <f>SUMIFS('[1]MAIN-101'!$Z$1:$Z$3000,'[1]MAIN-101'!$X$1:$X$3000,A401)</f>
        <v>#VALUE!</v>
      </c>
      <c r="E401" s="562" t="e">
        <f>SUMIFS('Recon of ORS and DV'!D:D,'Recon of ORS and DV'!B:B,'DV List'!A401)</f>
        <v>#VALUE!</v>
      </c>
      <c r="F401" s="276" t="e">
        <f t="shared" si="6"/>
        <v>#VALUE!</v>
      </c>
    </row>
    <row r="402" spans="1:9">
      <c r="A402" t="s">
        <v>2269</v>
      </c>
      <c r="B402" t="str">
        <f>VLOOKUP(A402,'[1]MAIN-101'!$B$13:$M$787,4,FALSE)</f>
        <v>PD, DTI-PDI</v>
      </c>
      <c r="C402" t="str">
        <f>VLOOKUP(A402,'[1]MAIN-101'!$B$13:$M$787,12,FALSE)</f>
        <v>Fund Transfer for LSP-NSB Implementation for the 1st quarter 2021</v>
      </c>
      <c r="D402" s="562" t="e">
        <f>SUMIFS('[1]MAIN-101'!$Z$1:$Z$3000,'[1]MAIN-101'!$X$1:$X$3000,A402)</f>
        <v>#VALUE!</v>
      </c>
      <c r="E402" s="562" t="e">
        <f>SUMIFS('Recon of ORS and DV'!D:D,'Recon of ORS and DV'!B:B,'DV List'!A402)</f>
        <v>#VALUE!</v>
      </c>
      <c r="F402" s="276" t="e">
        <f t="shared" si="6"/>
        <v>#VALUE!</v>
      </c>
    </row>
    <row r="403" spans="1:9">
      <c r="A403" t="s">
        <v>2270</v>
      </c>
      <c r="B403" t="str">
        <f>VLOOKUP(A403,'[1]MAIN-101'!$B$13:$M$787,4,FALSE)</f>
        <v>PD, DTI-ADN</v>
      </c>
      <c r="C403" t="str">
        <f>VLOOKUP(A403,'[1]MAIN-101'!$B$13:$M$787,12,FALSE)</f>
        <v>Transfer of funds to cover implementation of CPD activities for 1st Quarter Budget 2021</v>
      </c>
      <c r="D403" s="562" t="e">
        <f>SUMIFS('[1]MAIN-101'!$Z$1:$Z$3000,'[1]MAIN-101'!$X$1:$X$3000,A403)</f>
        <v>#VALUE!</v>
      </c>
      <c r="E403" s="562" t="e">
        <f>SUMIFS('Recon of ORS and DV'!D:D,'Recon of ORS and DV'!B:B,'DV List'!A403)</f>
        <v>#VALUE!</v>
      </c>
      <c r="F403" s="276" t="e">
        <f t="shared" si="6"/>
        <v>#VALUE!</v>
      </c>
    </row>
    <row r="404" spans="1:9">
      <c r="A404" t="s">
        <v>2271</v>
      </c>
      <c r="B404" t="str">
        <f>VLOOKUP(A404,'[1]MAIN-101'!$B$13:$M$787,4,FALSE)</f>
        <v>PD, DTI-ADN</v>
      </c>
      <c r="C404" t="str">
        <f>VLOOKUP(A404,'[1]MAIN-101'!$B$13:$M$787,12,FALSE)</f>
        <v>Fund Transfer for DTI-CARP implementation for Q1 2021</v>
      </c>
      <c r="D404" s="562" t="e">
        <f>SUMIFS('[1]MAIN-101'!$Z$1:$Z$3000,'[1]MAIN-101'!$X$1:$X$3000,A404)</f>
        <v>#VALUE!</v>
      </c>
      <c r="E404" s="562" t="e">
        <f>SUMIFS('Recon of ORS and DV'!D:D,'Recon of ORS and DV'!B:B,'DV List'!A404)</f>
        <v>#VALUE!</v>
      </c>
      <c r="F404" s="276" t="e">
        <f t="shared" si="6"/>
        <v>#VALUE!</v>
      </c>
    </row>
    <row r="405" spans="1:9">
      <c r="A405" t="s">
        <v>2278</v>
      </c>
      <c r="B405" t="str">
        <f>VLOOKUP(A405,'[1]MAIN-101'!$B$13:$M$787,4,FALSE)</f>
        <v>LBP F/O DTI-ADN</v>
      </c>
      <c r="C405" t="str">
        <f>VLOOKUP(A405,'[1]MAIN-101'!$B$13:$M$787,12,FALSE)</f>
        <v>Payment for regular employees' clothing allowance for CY2021</v>
      </c>
      <c r="D405" s="562" t="e">
        <f>SUMIFS('[1]MAIN-101'!$Z$1:$Z$3000,'[1]MAIN-101'!$X$1:$X$3000,A405)</f>
        <v>#VALUE!</v>
      </c>
      <c r="E405" s="562" t="e">
        <f>SUMIFS('Recon of ORS and DV'!D:D,'Recon of ORS and DV'!B:B,'DV List'!A405)</f>
        <v>#VALUE!</v>
      </c>
      <c r="F405" s="276" t="e">
        <f t="shared" si="6"/>
        <v>#VALUE!</v>
      </c>
    </row>
    <row r="406" spans="1:9">
      <c r="A406" t="s">
        <v>2279</v>
      </c>
      <c r="B406" t="str">
        <f>VLOOKUP(A406,'[1]MAIN-101'!$B$13:$M$787,4,FALSE)</f>
        <v>LBP F/O DTI-ADS</v>
      </c>
      <c r="C406" t="str">
        <f>VLOOKUP(A406,'[1]MAIN-101'!$B$13:$M$787,12,FALSE)</f>
        <v>Payment for regular employees' clothing allowance for CY2021</v>
      </c>
      <c r="D406" s="562" t="e">
        <f>SUMIFS('[1]MAIN-101'!$Z$1:$Z$3000,'[1]MAIN-101'!$X$1:$X$3000,A406)</f>
        <v>#VALUE!</v>
      </c>
      <c r="E406" s="562" t="e">
        <f>SUMIFS('Recon of ORS and DV'!D:D,'Recon of ORS and DV'!B:B,'DV List'!A406)</f>
        <v>#VALUE!</v>
      </c>
      <c r="F406" s="276" t="e">
        <f t="shared" si="6"/>
        <v>#VALUE!</v>
      </c>
    </row>
    <row r="407" spans="1:9">
      <c r="A407" t="s">
        <v>2280</v>
      </c>
      <c r="B407" t="str">
        <f>VLOOKUP(A407,'[1]MAIN-101'!$B$13:$M$787,4,FALSE)</f>
        <v>LBP F/O DTI-SDN</v>
      </c>
      <c r="C407" t="str">
        <f>VLOOKUP(A407,'[1]MAIN-101'!$B$13:$M$787,12,FALSE)</f>
        <v>Payment for regular employees' clothing allowance for CY2021</v>
      </c>
      <c r="D407" s="562" t="e">
        <f>SUMIFS('[1]MAIN-101'!$Z$1:$Z$3000,'[1]MAIN-101'!$X$1:$X$3000,A407)</f>
        <v>#VALUE!</v>
      </c>
      <c r="E407" s="562" t="e">
        <f>SUMIFS('Recon of ORS and DV'!D:D,'Recon of ORS and DV'!B:B,'DV List'!A407)</f>
        <v>#VALUE!</v>
      </c>
      <c r="F407" s="276" t="e">
        <f t="shared" si="6"/>
        <v>#VALUE!</v>
      </c>
    </row>
    <row r="408" spans="1:9">
      <c r="A408" t="s">
        <v>2281</v>
      </c>
      <c r="B408" t="str">
        <f>VLOOKUP(A408,'[1]MAIN-101'!$B$13:$M$787,4,FALSE)</f>
        <v>LBP F/O DTI-SDS</v>
      </c>
      <c r="C408" t="str">
        <f>VLOOKUP(A408,'[1]MAIN-101'!$B$13:$M$787,12,FALSE)</f>
        <v>Payment for regular employees' clothing allowance for CY2021</v>
      </c>
      <c r="D408" s="562" t="e">
        <f>SUMIFS('[1]MAIN-101'!$Z$1:$Z$3000,'[1]MAIN-101'!$X$1:$X$3000,A408)</f>
        <v>#VALUE!</v>
      </c>
      <c r="E408" s="562" t="e">
        <f>SUMIFS('Recon of ORS and DV'!D:D,'Recon of ORS and DV'!B:B,'DV List'!A408)</f>
        <v>#VALUE!</v>
      </c>
      <c r="F408" s="276" t="e">
        <f t="shared" si="6"/>
        <v>#VALUE!</v>
      </c>
    </row>
    <row r="409" spans="1:9">
      <c r="A409" t="s">
        <v>2282</v>
      </c>
      <c r="B409" t="str">
        <f>VLOOKUP(A409,'[1]MAIN-101'!$B$13:$M$787,4,FALSE)</f>
        <v>LBP F/O DTI-PDI</v>
      </c>
      <c r="C409" t="str">
        <f>VLOOKUP(A409,'[1]MAIN-101'!$B$13:$M$787,12,FALSE)</f>
        <v>Payment for regular employees' clothing allowance for CY2021</v>
      </c>
      <c r="D409" s="562" t="e">
        <f>SUMIFS('[1]MAIN-101'!$Z$1:$Z$3000,'[1]MAIN-101'!$X$1:$X$3000,A409)</f>
        <v>#VALUE!</v>
      </c>
      <c r="E409" s="562" t="e">
        <f>SUMIFS('Recon of ORS and DV'!D:D,'Recon of ORS and DV'!B:B,'DV List'!A409)</f>
        <v>#VALUE!</v>
      </c>
      <c r="F409" s="276" t="e">
        <f t="shared" si="6"/>
        <v>#VALUE!</v>
      </c>
    </row>
    <row r="410" spans="1:9">
      <c r="A410" t="s">
        <v>2267</v>
      </c>
      <c r="B410" t="str">
        <f>VLOOKUP(A410,'[1]MAIN-101'!$B$13:$M$787,4,FALSE)</f>
        <v>CSC TRAINING FUND</v>
      </c>
      <c r="C410" t="str">
        <f>VLOOKUP(A410,'[1]MAIN-101'!$B$13:$M$787,12,FALSE)</f>
        <v>Payment of Registration Fee for the "Public Service Values in Times of Adversities" on June 8, 10, 15, 17, 22 and 24, 2021</v>
      </c>
      <c r="D410" s="562" t="e">
        <f>SUMIFS('[1]MAIN-101'!$Z$1:$Z$3000,'[1]MAIN-101'!$X$1:$X$3000,A410)</f>
        <v>#VALUE!</v>
      </c>
      <c r="E410" s="562" t="e">
        <f>SUMIFS('Recon of ORS and DV'!D:D,'Recon of ORS and DV'!B:B,'DV List'!A410)</f>
        <v>#VALUE!</v>
      </c>
      <c r="F410" s="276" t="e">
        <f t="shared" si="6"/>
        <v>#VALUE!</v>
      </c>
    </row>
    <row r="411" spans="1:9">
      <c r="A411" t="s">
        <v>2563</v>
      </c>
      <c r="B411" t="str">
        <f>VLOOKUP(A411,'[1]MAIN-101'!$B$13:$M$787,4,FALSE)</f>
        <v>LBP F/O DTI-RO</v>
      </c>
      <c r="C411" t="str">
        <f>VLOOKUP(A411,'[1]MAIN-101'!$B$13:$M$787,12,FALSE)</f>
        <v>Payment for regular employees' clothing allowance for CY2021</v>
      </c>
      <c r="D411" s="562" t="e">
        <f>SUMIFS('[1]MAIN-101'!$Z$1:$Z$3000,'[1]MAIN-101'!$X$1:$X$3000,A411)</f>
        <v>#VALUE!</v>
      </c>
      <c r="E411" s="562" t="e">
        <f>SUMIFS('Recon of ORS and DV'!D:D,'Recon of ORS and DV'!B:B,'DV List'!A411)</f>
        <v>#VALUE!</v>
      </c>
      <c r="F411" s="276" t="e">
        <f t="shared" si="6"/>
        <v>#VALUE!</v>
      </c>
      <c r="H411" t="str">
        <f>VLOOKUP(A411,'[1]MAIN-101'!$B$8:$D$783,2,FALSE)</f>
        <v>03</v>
      </c>
      <c r="I411" t="str">
        <f>VLOOKUP(A411,'[1]MAIN-101'!$B$8:$D$783,3,FALSE)</f>
        <v>255</v>
      </c>
    </row>
    <row r="412" spans="1:9">
      <c r="A412" t="s">
        <v>2564</v>
      </c>
      <c r="B412" t="str">
        <f>VLOOKUP(A412,'[1]MAIN-101'!$B$13:$M$787,4,FALSE)</f>
        <v>Gideon B. Ursos</v>
      </c>
      <c r="C412" t="str">
        <f>VLOOKUP(A412,'[1]MAIN-101'!$B$13:$M$787,12,FALSE)</f>
        <v>Refund, GSIS-conso loan from Marc 2021 payrol</v>
      </c>
      <c r="D412" s="562" t="e">
        <f>SUMIFS('[1]MAIN-101'!$Z$1:$Z$3000,'[1]MAIN-101'!$X$1:$X$3000,A412)</f>
        <v>#VALUE!</v>
      </c>
      <c r="E412" s="562">
        <f>SUMIFS('Recon of ORS and DV'!D:D,'Recon of ORS and DV'!B:B,'DV List'!A412)</f>
        <v>0</v>
      </c>
      <c r="F412" s="276" t="e">
        <f t="shared" si="6"/>
        <v>#VALUE!</v>
      </c>
      <c r="G412" t="s">
        <v>2663</v>
      </c>
    </row>
    <row r="413" spans="1:9">
      <c r="A413" t="s">
        <v>2565</v>
      </c>
      <c r="B413" t="str">
        <f>VLOOKUP(A413,'[1]MAIN-101'!$B$13:$M$787,4,FALSE)</f>
        <v>HDMF-Butuan City</v>
      </c>
      <c r="C413" t="str">
        <f>VLOOKUP(A413,'[1]MAIN-101'!$B$13:$M$787,12,FALSE)</f>
        <v>Remittance for HDMF premiums and loans payment of regular employees for the month of March 2021</v>
      </c>
      <c r="D413" s="562" t="e">
        <f>SUMIFS('[1]MAIN-101'!$Z$1:$Z$3000,'[1]MAIN-101'!$X$1:$X$3000,A413)</f>
        <v>#VALUE!</v>
      </c>
      <c r="E413" s="562">
        <f>SUMIFS('Recon of ORS and DV'!D:D,'Recon of ORS and DV'!B:B,'DV List'!A413)</f>
        <v>0</v>
      </c>
      <c r="F413" s="276" t="e">
        <f t="shared" si="6"/>
        <v>#VALUE!</v>
      </c>
      <c r="G413" t="s">
        <v>2662</v>
      </c>
    </row>
    <row r="414" spans="1:9">
      <c r="A414" t="s">
        <v>2566</v>
      </c>
      <c r="B414" t="str">
        <f>VLOOKUP(A414,'[1]MAIN-101'!$B$13:$M$787,4,FALSE)</f>
        <v>PHIC-Butuan City</v>
      </c>
      <c r="C414" t="str">
        <f>VLOOKUP(A414,'[1]MAIN-101'!$B$13:$M$787,12,FALSE)</f>
        <v>Remittance for PHIC premiums and loans payment of regular employees for the month of March 2021</v>
      </c>
      <c r="D414" s="562" t="e">
        <f>SUMIFS('[1]MAIN-101'!$Z$1:$Z$3000,'[1]MAIN-101'!$X$1:$X$3000,A414)</f>
        <v>#VALUE!</v>
      </c>
      <c r="E414" s="562">
        <f>SUMIFS('Recon of ORS and DV'!D:D,'Recon of ORS and DV'!B:B,'DV List'!A414)</f>
        <v>0</v>
      </c>
      <c r="F414" s="276" t="e">
        <f t="shared" si="6"/>
        <v>#VALUE!</v>
      </c>
      <c r="G414" t="s">
        <v>2662</v>
      </c>
    </row>
    <row r="415" spans="1:9">
      <c r="A415" t="s">
        <v>2567</v>
      </c>
      <c r="B415" t="str">
        <f>VLOOKUP(A415,'[1]MAIN-101'!$B$13:$M$787,4,FALSE)</f>
        <v>DTI-Provident Fund</v>
      </c>
      <c r="C415" t="str">
        <f>VLOOKUP(A415,'[1]MAIN-101'!$B$13:$M$787,12,FALSE)</f>
        <v>Remittance for PF premiums and loans payment of regular employees for the month of March 2021</v>
      </c>
      <c r="D415" s="562" t="e">
        <f>SUMIFS('[1]MAIN-101'!$Z$1:$Z$3000,'[1]MAIN-101'!$X$1:$X$3000,A415)</f>
        <v>#VALUE!</v>
      </c>
      <c r="E415" s="562">
        <f>SUMIFS('Recon of ORS and DV'!D:D,'Recon of ORS and DV'!B:B,'DV List'!A415)</f>
        <v>0</v>
      </c>
      <c r="F415" s="276" t="e">
        <f t="shared" si="6"/>
        <v>#VALUE!</v>
      </c>
      <c r="G415" t="s">
        <v>2662</v>
      </c>
    </row>
    <row r="416" spans="1:9">
      <c r="A416" t="s">
        <v>2568</v>
      </c>
      <c r="B416" t="str">
        <f>VLOOKUP(A416,'[1]MAIN-101'!$B$13:$M$787,4,FALSE)</f>
        <v>DTI-MDBF</v>
      </c>
      <c r="C416" t="str">
        <f>VLOOKUP(A416,'[1]MAIN-101'!$B$13:$M$787,12,FALSE)</f>
        <v>Remittance for MDBF  premiums payment of regular employees for the month of March 2021</v>
      </c>
      <c r="D416" s="562" t="e">
        <f>SUMIFS('[1]MAIN-101'!$Z$1:$Z$3000,'[1]MAIN-101'!$X$1:$X$3000,A416)</f>
        <v>#VALUE!</v>
      </c>
      <c r="E416" s="562">
        <f>SUMIFS('Recon of ORS and DV'!D:D,'Recon of ORS and DV'!B:B,'DV List'!A416)</f>
        <v>0</v>
      </c>
      <c r="F416" s="276" t="e">
        <f t="shared" si="6"/>
        <v>#VALUE!</v>
      </c>
      <c r="G416" t="s">
        <v>2662</v>
      </c>
    </row>
    <row r="417" spans="1:7">
      <c r="A417" t="s">
        <v>2569</v>
      </c>
      <c r="B417" t="str">
        <f>VLOOKUP(A417,'[1]MAIN-101'!$B$13:$M$787,4,FALSE)</f>
        <v>DTI-Employees Union</v>
      </c>
      <c r="C417" t="str">
        <f>VLOOKUP(A417,'[1]MAIN-101'!$B$13:$M$787,12,FALSE)</f>
        <v>Remittance for HMO  premiums payment of regular employees for the month of March 2021</v>
      </c>
      <c r="D417" s="562" t="e">
        <f>SUMIFS('[1]MAIN-101'!$Z$1:$Z$3000,'[1]MAIN-101'!$X$1:$X$3000,A417)</f>
        <v>#VALUE!</v>
      </c>
      <c r="E417" s="562">
        <f>SUMIFS('Recon of ORS and DV'!D:D,'Recon of ORS and DV'!B:B,'DV List'!A417)</f>
        <v>0</v>
      </c>
      <c r="F417" s="276" t="e">
        <f t="shared" si="6"/>
        <v>#VALUE!</v>
      </c>
      <c r="G417" t="s">
        <v>2662</v>
      </c>
    </row>
    <row r="418" spans="1:7">
      <c r="A418" t="s">
        <v>2570</v>
      </c>
      <c r="B418" t="str">
        <f>VLOOKUP(A418,'[1]MAIN-101'!$B$13:$M$787,4,FALSE)</f>
        <v>DREAMCO</v>
      </c>
      <c r="C418" t="str">
        <f>VLOOKUP(A418,'[1]MAIN-101'!$B$13:$M$787,12,FALSE)</f>
        <v>Remittance for Coop deductions from PO's for the month of March, 2021</v>
      </c>
      <c r="D418" s="562" t="e">
        <f>SUMIFS('[1]MAIN-101'!$Z$1:$Z$3000,'[1]MAIN-101'!$X$1:$X$3000,A418)</f>
        <v>#VALUE!</v>
      </c>
      <c r="E418" s="562">
        <f>SUMIFS('Recon of ORS and DV'!D:D,'Recon of ORS and DV'!B:B,'DV List'!A418)</f>
        <v>0</v>
      </c>
      <c r="F418" s="276" t="e">
        <f t="shared" si="6"/>
        <v>#VALUE!</v>
      </c>
      <c r="G418" t="s">
        <v>2662</v>
      </c>
    </row>
    <row r="419" spans="1:7">
      <c r="A419" t="s">
        <v>2571</v>
      </c>
      <c r="B419" t="str">
        <f>VLOOKUP(A419,'[1]MAIN-101'!$B$13:$M$787,4,FALSE)</f>
        <v>GLAD MPC</v>
      </c>
      <c r="C419" t="str">
        <f>VLOOKUP(A419,'[1]MAIN-101'!$B$13:$M$787,12,FALSE)</f>
        <v>Remittance for Coop deductions from PO's for the month of March, 2021</v>
      </c>
      <c r="D419" s="562" t="e">
        <f>SUMIFS('[1]MAIN-101'!$Z$1:$Z$3000,'[1]MAIN-101'!$X$1:$X$3000,A419)</f>
        <v>#VALUE!</v>
      </c>
      <c r="E419" s="562">
        <f>SUMIFS('Recon of ORS and DV'!D:D,'Recon of ORS and DV'!B:B,'DV List'!A419)</f>
        <v>0</v>
      </c>
      <c r="F419" s="276" t="e">
        <f t="shared" si="6"/>
        <v>#VALUE!</v>
      </c>
      <c r="G419" t="s">
        <v>2662</v>
      </c>
    </row>
    <row r="420" spans="1:7">
      <c r="A420" t="s">
        <v>2572</v>
      </c>
      <c r="B420" t="str">
        <f>VLOOKUP(A420,'[1]MAIN-101'!$B$13:$M$787,4,FALSE)</f>
        <v>SURE DEV'T COOPERATIVE</v>
      </c>
      <c r="C420" t="str">
        <f>VLOOKUP(A420,'[1]MAIN-101'!$B$13:$M$787,12,FALSE)</f>
        <v>Remittance for Coop deductions from PO's for the month of March, 2021</v>
      </c>
      <c r="D420" s="562" t="e">
        <f>SUMIFS('[1]MAIN-101'!$Z$1:$Z$3000,'[1]MAIN-101'!$X$1:$X$3000,A420)</f>
        <v>#VALUE!</v>
      </c>
      <c r="E420" s="562">
        <f>SUMIFS('Recon of ORS and DV'!D:D,'Recon of ORS and DV'!B:B,'DV List'!A420)</f>
        <v>0</v>
      </c>
      <c r="F420" s="276" t="e">
        <f t="shared" si="6"/>
        <v>#VALUE!</v>
      </c>
      <c r="G420" t="s">
        <v>2662</v>
      </c>
    </row>
    <row r="421" spans="1:7">
      <c r="A421" t="s">
        <v>2573</v>
      </c>
      <c r="B421" t="str">
        <f>VLOOKUP(A421,'[1]MAIN-101'!$B$13:$M$787,4,FALSE)</f>
        <v>Sunlife of Canada Phils. Inc</v>
      </c>
      <c r="C421" t="str">
        <f>VLOOKUP(A421,'[1]MAIN-101'!$B$13:$M$787,12,FALSE)</f>
        <v>Remittance for insurance premium of Regular employees for the month of March, 2021</v>
      </c>
      <c r="D421" s="562" t="e">
        <f>SUMIFS('[1]MAIN-101'!$Z$1:$Z$3000,'[1]MAIN-101'!$X$1:$X$3000,A421)</f>
        <v>#VALUE!</v>
      </c>
      <c r="E421" s="562">
        <f>SUMIFS('Recon of ORS and DV'!D:D,'Recon of ORS and DV'!B:B,'DV List'!A421)</f>
        <v>0</v>
      </c>
      <c r="F421" s="276" t="e">
        <f t="shared" si="6"/>
        <v>#VALUE!</v>
      </c>
      <c r="G421" t="s">
        <v>2662</v>
      </c>
    </row>
    <row r="422" spans="1:7">
      <c r="A422" t="s">
        <v>2574</v>
      </c>
      <c r="B422" t="str">
        <f>VLOOKUP(A422,'[1]MAIN-101'!$B$13:$M$787,4,FALSE)</f>
        <v>Bureau of Treasury</v>
      </c>
      <c r="C422" t="str">
        <f>VLOOKUP(A422,'[1]MAIN-101'!$B$13:$M$787,12,FALSE)</f>
        <v>Remittance for disallowances from regular employees for the month of March 2021</v>
      </c>
      <c r="D422" s="562" t="e">
        <f>SUMIFS('[1]MAIN-101'!$Z$1:$Z$3000,'[1]MAIN-101'!$X$1:$X$3000,A422)</f>
        <v>#VALUE!</v>
      </c>
      <c r="E422" s="562">
        <f>SUMIFS('Recon of ORS and DV'!D:D,'Recon of ORS and DV'!B:B,'DV List'!A422)</f>
        <v>0</v>
      </c>
      <c r="F422" s="276" t="e">
        <f t="shared" si="6"/>
        <v>#VALUE!</v>
      </c>
      <c r="G422" t="s">
        <v>2662</v>
      </c>
    </row>
    <row r="423" spans="1:7">
      <c r="A423" t="s">
        <v>2575</v>
      </c>
      <c r="B423" t="str">
        <f>VLOOKUP(A423,'[1]MAIN-101'!$B$13:$M$787,4,FALSE)</f>
        <v>Maribel P. Timogan</v>
      </c>
      <c r="C423" t="str">
        <f>VLOOKUP(A423,'[1]MAIN-101'!$B$13:$M$787,12,FALSE)</f>
        <v>Refund of over deduction of PHIC premium from initial salary Jan 2021</v>
      </c>
      <c r="D423" s="562" t="e">
        <f>SUMIFS('[1]MAIN-101'!$Z$1:$Z$3000,'[1]MAIN-101'!$X$1:$X$3000,A423)</f>
        <v>#VALUE!</v>
      </c>
      <c r="E423" s="562">
        <f>SUMIFS('Recon of ORS and DV'!D:D,'Recon of ORS and DV'!B:B,'DV List'!A423)</f>
        <v>0</v>
      </c>
      <c r="F423" s="276" t="e">
        <f t="shared" si="6"/>
        <v>#VALUE!</v>
      </c>
      <c r="G423" t="s">
        <v>2663</v>
      </c>
    </row>
    <row r="424" spans="1:7">
      <c r="A424" t="s">
        <v>2576</v>
      </c>
      <c r="B424" t="str">
        <f>VLOOKUP(A424,'[1]MAIN-101'!$B$13:$M$787,4,FALSE)</f>
        <v>DREAMCO MPC</v>
      </c>
      <c r="C424" t="str">
        <f>VLOOKUP(A424,'[1]MAIN-101'!$B$13:$M$787,12,FALSE)</f>
        <v>Remittance for coop deductions from PO's for the month of Februar, 2021</v>
      </c>
      <c r="D424" s="562" t="e">
        <f>SUMIFS('[1]MAIN-101'!$Z$1:$Z$3000,'[1]MAIN-101'!$X$1:$X$3000,A424)</f>
        <v>#VALUE!</v>
      </c>
      <c r="E424" s="562">
        <f>SUMIFS('Recon of ORS and DV'!D:D,'Recon of ORS and DV'!B:B,'DV List'!A424)</f>
        <v>0</v>
      </c>
      <c r="F424" s="276" t="e">
        <f t="shared" si="6"/>
        <v>#VALUE!</v>
      </c>
      <c r="G424" t="s">
        <v>2662</v>
      </c>
    </row>
    <row r="425" spans="1:7">
      <c r="A425" t="s">
        <v>2577</v>
      </c>
      <c r="B425" t="str">
        <f>VLOOKUP(A425,'[1]MAIN-101'!$B$13:$M$787,4,FALSE)</f>
        <v>GSIS</v>
      </c>
      <c r="C425" t="str">
        <f>VLOOKUP(A425,'[1]MAIN-101'!$B$13:$M$787,12,FALSE)</f>
        <v>Remittance for GSIS premiums of regular employees for the month of March 2021</v>
      </c>
      <c r="D425" s="562" t="e">
        <f>SUMIFS('[1]MAIN-101'!$Z$1:$Z$3000,'[1]MAIN-101'!$X$1:$X$3000,A425)</f>
        <v>#VALUE!</v>
      </c>
      <c r="E425" s="562">
        <f>SUMIFS('Recon of ORS and DV'!D:D,'Recon of ORS and DV'!B:B,'DV List'!A425)</f>
        <v>0</v>
      </c>
      <c r="F425" s="276" t="e">
        <f t="shared" si="6"/>
        <v>#VALUE!</v>
      </c>
      <c r="G425" t="s">
        <v>2662</v>
      </c>
    </row>
    <row r="426" spans="1:7">
      <c r="A426" t="s">
        <v>2289</v>
      </c>
      <c r="B426" t="str">
        <f>VLOOKUP(A426,'[1]MAIN-101'!$B$13:$M$787,4,FALSE)</f>
        <v>Edwin O. Banquerigo</v>
      </c>
      <c r="C426" t="str">
        <f>VLOOKUP(A426,'[1]MAIN-101'!$B$13:$M$787,12,FALSE)</f>
        <v>Payment for extraordinary expenses for March 2021</v>
      </c>
      <c r="D426" s="562" t="e">
        <f>SUMIFS('[1]MAIN-101'!$Z$1:$Z$3000,'[1]MAIN-101'!$X$1:$X$3000,A426)</f>
        <v>#VALUE!</v>
      </c>
      <c r="E426" s="562" t="e">
        <f>SUMIFS('Recon of ORS and DV'!D:D,'Recon of ORS and DV'!B:B,'DV List'!A426)</f>
        <v>#VALUE!</v>
      </c>
      <c r="F426" s="276" t="e">
        <f t="shared" si="6"/>
        <v>#VALUE!</v>
      </c>
    </row>
    <row r="427" spans="1:7">
      <c r="A427" t="s">
        <v>2287</v>
      </c>
      <c r="B427" t="str">
        <f>VLOOKUP(A427,'[1]MAIN-101'!$B$13:$M$787,4,FALSE)</f>
        <v>Land Bank of the Philippines</v>
      </c>
      <c r="C427" t="str">
        <f>VLOOKUP(A427,'[1]MAIN-101'!$B$13:$M$787,12,FALSE)</f>
        <v>Payment for salaries for RAPID PCU AND Staff driver for March 1-15, 2021</v>
      </c>
      <c r="D427" s="562" t="e">
        <f>SUMIFS('[1]MAIN-101'!$Z$1:$Z$3000,'[1]MAIN-101'!$X$1:$X$3000,A427)</f>
        <v>#VALUE!</v>
      </c>
      <c r="E427" s="562" t="e">
        <f>SUMIFS('Recon of ORS and DV'!D:D,'Recon of ORS and DV'!B:B,'DV List'!A427)</f>
        <v>#VALUE!</v>
      </c>
      <c r="F427" s="276" t="e">
        <f t="shared" si="6"/>
        <v>#VALUE!</v>
      </c>
    </row>
    <row r="428" spans="1:7">
      <c r="A428" t="s">
        <v>2286</v>
      </c>
      <c r="B428" t="str">
        <f>VLOOKUP(A428,'[1]MAIN-101'!$B$13:$M$787,4,FALSE)</f>
        <v>Land Bank of the Philippines</v>
      </c>
      <c r="C428" t="str">
        <f>VLOOKUP(A428,'[1]MAIN-101'!$B$13:$M$787,12,FALSE)</f>
        <v>Payment for salaries for RAPID PCU AND Staff driver for March 1-15, 2021</v>
      </c>
      <c r="D428" s="562" t="e">
        <f>SUMIFS('[1]MAIN-101'!$Z$1:$Z$3000,'[1]MAIN-101'!$X$1:$X$3000,A428)</f>
        <v>#VALUE!</v>
      </c>
      <c r="E428" s="562" t="e">
        <f>SUMIFS('Recon of ORS and DV'!D:D,'Recon of ORS and DV'!B:B,'DV List'!A428)</f>
        <v>#VALUE!</v>
      </c>
      <c r="F428" s="276" t="e">
        <f t="shared" si="6"/>
        <v>#VALUE!</v>
      </c>
    </row>
    <row r="429" spans="1:7">
      <c r="A429" t="s">
        <v>2290</v>
      </c>
      <c r="B429" t="str">
        <f>VLOOKUP(A429,'[1]MAIN-101'!$B$13:$M$787,4,FALSE)</f>
        <v>Fevi V. Silvosa</v>
      </c>
      <c r="C429" t="str">
        <f>VLOOKUP(A429,'[1]MAIN-101'!$B$13:$M$787,12,FALSE)</f>
        <v>Payment for JO for the period March 1-15, 2021</v>
      </c>
      <c r="D429" s="562" t="e">
        <f>SUMIFS('[1]MAIN-101'!$Z$1:$Z$3000,'[1]MAIN-101'!$X$1:$X$3000,A429)</f>
        <v>#VALUE!</v>
      </c>
      <c r="E429" s="562" t="e">
        <f>SUMIFS('Recon of ORS and DV'!D:D,'Recon of ORS and DV'!B:B,'DV List'!A429)</f>
        <v>#VALUE!</v>
      </c>
      <c r="F429" s="276" t="e">
        <f t="shared" si="6"/>
        <v>#VALUE!</v>
      </c>
    </row>
    <row r="430" spans="1:7">
      <c r="A430" t="s">
        <v>2578</v>
      </c>
      <c r="B430" t="str">
        <f>VLOOKUP(A430,'[1]MAIN-101'!$B$13:$M$787,4,FALSE)</f>
        <v>GSIS</v>
      </c>
      <c r="C430" t="str">
        <f>VLOOKUP(A430,'[1]MAIN-101'!$B$13:$M$787,12,FALSE)</f>
        <v>Remittance of GSIS premiums of CARP employees for the month of March 2021</v>
      </c>
      <c r="D430" s="562" t="e">
        <f>SUMIFS('[1]MAIN-101'!$Z$1:$Z$3000,'[1]MAIN-101'!$X$1:$X$3000,A430)</f>
        <v>#VALUE!</v>
      </c>
      <c r="E430" s="562">
        <f>SUMIFS('Recon of ORS and DV'!D:D,'Recon of ORS and DV'!B:B,'DV List'!A430)</f>
        <v>0</v>
      </c>
      <c r="F430" s="276" t="e">
        <f t="shared" si="6"/>
        <v>#VALUE!</v>
      </c>
      <c r="G430" t="s">
        <v>2662</v>
      </c>
    </row>
    <row r="431" spans="1:7">
      <c r="A431" t="s">
        <v>2579</v>
      </c>
      <c r="B431" t="str">
        <f>VLOOKUP(A431,'[1]MAIN-101'!$B$13:$M$787,4,FALSE)</f>
        <v>HDMF-Butuan City</v>
      </c>
      <c r="C431" t="str">
        <f>VLOOKUP(A431,'[1]MAIN-101'!$B$13:$M$787,12,FALSE)</f>
        <v>Remittance of HDMF premiums of CARP employees for the month of March 2021</v>
      </c>
      <c r="D431" s="562" t="e">
        <f>SUMIFS('[1]MAIN-101'!$Z$1:$Z$3000,'[1]MAIN-101'!$X$1:$X$3000,A431)</f>
        <v>#VALUE!</v>
      </c>
      <c r="E431" s="562">
        <f>SUMIFS('Recon of ORS and DV'!D:D,'Recon of ORS and DV'!B:B,'DV List'!A431)</f>
        <v>0</v>
      </c>
      <c r="F431" s="276" t="e">
        <f t="shared" si="6"/>
        <v>#VALUE!</v>
      </c>
      <c r="G431" t="s">
        <v>2662</v>
      </c>
    </row>
    <row r="432" spans="1:7">
      <c r="A432" t="s">
        <v>2580</v>
      </c>
      <c r="B432" t="str">
        <f>VLOOKUP(A432,'[1]MAIN-101'!$B$13:$M$787,4,FALSE)</f>
        <v>PHIC- Butuan City</v>
      </c>
      <c r="C432" t="str">
        <f>VLOOKUP(A432,'[1]MAIN-101'!$B$13:$M$787,12,FALSE)</f>
        <v>Remittance of CARP employees PHIC premium for the month of March 2021</v>
      </c>
      <c r="D432" s="562" t="e">
        <f>SUMIFS('[1]MAIN-101'!$Z$1:$Z$3000,'[1]MAIN-101'!$X$1:$X$3000,A432)</f>
        <v>#VALUE!</v>
      </c>
      <c r="E432" s="562">
        <f>SUMIFS('Recon of ORS and DV'!D:D,'Recon of ORS and DV'!B:B,'DV List'!A432)</f>
        <v>0</v>
      </c>
      <c r="F432" s="276" t="e">
        <f t="shared" si="6"/>
        <v>#VALUE!</v>
      </c>
      <c r="G432" t="s">
        <v>2662</v>
      </c>
    </row>
    <row r="433" spans="1:7">
      <c r="A433" t="s">
        <v>2581</v>
      </c>
      <c r="B433" t="str">
        <f>VLOOKUP(A433,'[1]MAIN-101'!$B$13:$M$787,4,FALSE)</f>
        <v>DTI-Provident Fund</v>
      </c>
      <c r="C433" t="str">
        <f>VLOOKUP(A433,'[1]MAIN-101'!$B$13:$M$787,12,FALSE)</f>
        <v>Remittance of PF premiums of CARP employees for the month of March 2021</v>
      </c>
      <c r="D433" s="562" t="e">
        <f>SUMIFS('[1]MAIN-101'!$Z$1:$Z$3000,'[1]MAIN-101'!$X$1:$X$3000,A433)</f>
        <v>#VALUE!</v>
      </c>
      <c r="E433" s="562">
        <f>SUMIFS('Recon of ORS and DV'!D:D,'Recon of ORS and DV'!B:B,'DV List'!A433)</f>
        <v>0</v>
      </c>
      <c r="F433" s="276" t="e">
        <f t="shared" si="6"/>
        <v>#VALUE!</v>
      </c>
      <c r="G433" t="s">
        <v>2662</v>
      </c>
    </row>
    <row r="434" spans="1:7">
      <c r="A434" t="s">
        <v>2582</v>
      </c>
      <c r="B434" t="str">
        <f>VLOOKUP(A434,'[1]MAIN-101'!$B$13:$M$787,4,FALSE)</f>
        <v>DTI-MDBF</v>
      </c>
      <c r="C434" t="str">
        <f>VLOOKUP(A434,'[1]MAIN-101'!$B$13:$M$787,12,FALSE)</f>
        <v>Remittance of MDBF premiums of CARP employees for the month of March 2021</v>
      </c>
      <c r="D434" s="562" t="e">
        <f>SUMIFS('[1]MAIN-101'!$Z$1:$Z$3000,'[1]MAIN-101'!$X$1:$X$3000,A434)</f>
        <v>#VALUE!</v>
      </c>
      <c r="E434" s="562">
        <f>SUMIFS('Recon of ORS and DV'!D:D,'Recon of ORS and DV'!B:B,'DV List'!A434)</f>
        <v>0</v>
      </c>
      <c r="F434" s="276" t="e">
        <f t="shared" si="6"/>
        <v>#VALUE!</v>
      </c>
      <c r="G434" t="s">
        <v>2662</v>
      </c>
    </row>
    <row r="435" spans="1:7">
      <c r="A435" t="s">
        <v>2583</v>
      </c>
      <c r="B435" t="str">
        <f>VLOOKUP(A435,'[1]MAIN-101'!$B$13:$M$787,4,FALSE)</f>
        <v>DTI-EU</v>
      </c>
      <c r="C435" t="str">
        <f>VLOOKUP(A435,'[1]MAIN-101'!$B$13:$M$787,12,FALSE)</f>
        <v>Remittance of DTI-EU dues of Mr. Roboca for the month of March 2021</v>
      </c>
      <c r="D435" s="562" t="e">
        <f>SUMIFS('[1]MAIN-101'!$Z$1:$Z$3000,'[1]MAIN-101'!$X$1:$X$3000,A435)</f>
        <v>#VALUE!</v>
      </c>
      <c r="E435" s="562">
        <f>SUMIFS('Recon of ORS and DV'!D:D,'Recon of ORS and DV'!B:B,'DV List'!A435)</f>
        <v>0</v>
      </c>
      <c r="F435" s="276" t="e">
        <f t="shared" si="6"/>
        <v>#VALUE!</v>
      </c>
      <c r="G435" t="s">
        <v>2662</v>
      </c>
    </row>
    <row r="436" spans="1:7">
      <c r="A436" t="s">
        <v>2584</v>
      </c>
      <c r="B436" t="str">
        <f>VLOOKUP(A436,'[1]MAIN-101'!$B$13:$M$787,4,FALSE)</f>
        <v>Dreamco</v>
      </c>
      <c r="C436" t="str">
        <f>VLOOKUP(A436,'[1]MAIN-101'!$B$13:$M$787,12,FALSE)</f>
        <v>Remittance of coop deduction of CARP employees for the month of March 2021</v>
      </c>
      <c r="D436" s="562" t="e">
        <f>SUMIFS('[1]MAIN-101'!$Z$1:$Z$3000,'[1]MAIN-101'!$X$1:$X$3000,A436)</f>
        <v>#VALUE!</v>
      </c>
      <c r="E436" s="562">
        <f>SUMIFS('Recon of ORS and DV'!D:D,'Recon of ORS and DV'!B:B,'DV List'!A436)</f>
        <v>0</v>
      </c>
      <c r="F436" s="276" t="e">
        <f t="shared" si="6"/>
        <v>#VALUE!</v>
      </c>
      <c r="G436" t="s">
        <v>2662</v>
      </c>
    </row>
    <row r="437" spans="1:7">
      <c r="A437" t="s">
        <v>2585</v>
      </c>
      <c r="B437" t="str">
        <f>VLOOKUP(A437,'[1]MAIN-101'!$B$13:$M$787,4,FALSE)</f>
        <v>GLAD MPC</v>
      </c>
      <c r="C437" t="str">
        <f>VLOOKUP(A437,'[1]MAIN-101'!$B$13:$M$787,12,FALSE)</f>
        <v>Remittance of coop deduction of CARP employees for the month of March 2021</v>
      </c>
      <c r="D437" s="562" t="e">
        <f>SUMIFS('[1]MAIN-101'!$Z$1:$Z$3000,'[1]MAIN-101'!$X$1:$X$3000,A437)</f>
        <v>#VALUE!</v>
      </c>
      <c r="E437" s="562">
        <f>SUMIFS('Recon of ORS and DV'!D:D,'Recon of ORS and DV'!B:B,'DV List'!A437)</f>
        <v>0</v>
      </c>
      <c r="F437" s="276" t="e">
        <f t="shared" si="6"/>
        <v>#VALUE!</v>
      </c>
      <c r="G437" t="s">
        <v>2662</v>
      </c>
    </row>
    <row r="438" spans="1:7">
      <c r="A438" t="s">
        <v>2586</v>
      </c>
      <c r="B438" t="str">
        <f>VLOOKUP(A438,'[1]MAIN-101'!$B$13:$M$787,4,FALSE)</f>
        <v>SURE DEV'T COOPERATIVE</v>
      </c>
      <c r="C438" t="str">
        <f>VLOOKUP(A438,'[1]MAIN-101'!$B$13:$M$787,12,FALSE)</f>
        <v>Remittance of CARP employees for the month of March 2021</v>
      </c>
      <c r="D438" s="562" t="e">
        <f>SUMIFS('[1]MAIN-101'!$Z$1:$Z$3000,'[1]MAIN-101'!$X$1:$X$3000,A438)</f>
        <v>#VALUE!</v>
      </c>
      <c r="E438" s="562">
        <f>SUMIFS('Recon of ORS and DV'!D:D,'Recon of ORS and DV'!B:B,'DV List'!A438)</f>
        <v>0</v>
      </c>
      <c r="F438" s="276" t="e">
        <f t="shared" si="6"/>
        <v>#VALUE!</v>
      </c>
      <c r="G438" t="s">
        <v>2662</v>
      </c>
    </row>
    <row r="439" spans="1:7">
      <c r="A439" t="s">
        <v>2587</v>
      </c>
      <c r="B439" t="str">
        <f>VLOOKUP(A439,'[1]MAIN-101'!$B$13:$M$787,4,FALSE)</f>
        <v>DTI-EU</v>
      </c>
      <c r="C439" t="str">
        <f>VLOOKUP(A439,'[1]MAIN-101'!$B$13:$M$787,12,FALSE)</f>
        <v>Remittance of EU dues and Membership fee premium of NC staff for the month of February 2021.</v>
      </c>
      <c r="D439" s="562" t="e">
        <f>SUMIFS('[1]MAIN-101'!$Z$1:$Z$3000,'[1]MAIN-101'!$X$1:$X$3000,A439)</f>
        <v>#VALUE!</v>
      </c>
      <c r="E439" s="562">
        <f>SUMIFS('Recon of ORS and DV'!D:D,'Recon of ORS and DV'!B:B,'DV List'!A439)</f>
        <v>0</v>
      </c>
      <c r="F439" s="276" t="e">
        <f t="shared" si="6"/>
        <v>#VALUE!</v>
      </c>
      <c r="G439" t="s">
        <v>2662</v>
      </c>
    </row>
    <row r="440" spans="1:7">
      <c r="A440" t="s">
        <v>2588</v>
      </c>
      <c r="B440" t="str">
        <f>VLOOKUP(A440,'[1]MAIN-101'!$B$13:$M$787,4,FALSE)</f>
        <v>DTI-MDBF</v>
      </c>
      <c r="C440" t="str">
        <f>VLOOKUP(A440,'[1]MAIN-101'!$B$13:$M$787,12,FALSE)</f>
        <v>Remittance of MDBF premium of NC Staff for the month of February, 2021</v>
      </c>
      <c r="D440" s="562" t="e">
        <f>SUMIFS('[1]MAIN-101'!$Z$1:$Z$3000,'[1]MAIN-101'!$X$1:$X$3000,A440)</f>
        <v>#VALUE!</v>
      </c>
      <c r="E440" s="562">
        <f>SUMIFS('Recon of ORS and DV'!D:D,'Recon of ORS and DV'!B:B,'DV List'!A440)</f>
        <v>0</v>
      </c>
      <c r="F440" s="276" t="e">
        <f t="shared" si="6"/>
        <v>#VALUE!</v>
      </c>
      <c r="G440" t="s">
        <v>2662</v>
      </c>
    </row>
    <row r="441" spans="1:7">
      <c r="A441" t="s">
        <v>2589</v>
      </c>
      <c r="B441" t="str">
        <f>VLOOKUP(A441,'[1]MAIN-101'!$B$13:$M$787,4,FALSE)</f>
        <v>DTI-Provident Fund</v>
      </c>
      <c r="C441" t="str">
        <f>VLOOKUP(A441,'[1]MAIN-101'!$B$13:$M$787,12,FALSE)</f>
        <v>Remittance of Provident premium of NC Staff for the month of February, 2021</v>
      </c>
      <c r="D441" s="562" t="e">
        <f>SUMIFS('[1]MAIN-101'!$Z$1:$Z$3000,'[1]MAIN-101'!$X$1:$X$3000,A441)</f>
        <v>#VALUE!</v>
      </c>
      <c r="E441" s="562">
        <f>SUMIFS('Recon of ORS and DV'!D:D,'Recon of ORS and DV'!B:B,'DV List'!A441)</f>
        <v>0</v>
      </c>
      <c r="F441" s="276" t="e">
        <f t="shared" si="6"/>
        <v>#VALUE!</v>
      </c>
      <c r="G441" t="s">
        <v>2662</v>
      </c>
    </row>
    <row r="442" spans="1:7">
      <c r="A442" t="s">
        <v>2590</v>
      </c>
      <c r="B442" t="str">
        <f>VLOOKUP(A442,'[1]MAIN-101'!$B$13:$M$787,4,FALSE)</f>
        <v>PHIC Butuan City</v>
      </c>
      <c r="C442" t="str">
        <f>VLOOKUP(A442,'[1]MAIN-101'!$B$13:$M$787,12,FALSE)</f>
        <v>Remittance of PHIC PREMIUMS OF NC staff for the month of Feb 2021</v>
      </c>
      <c r="D442" s="562" t="e">
        <f>SUMIFS('[1]MAIN-101'!$Z$1:$Z$3000,'[1]MAIN-101'!$X$1:$X$3000,A442)</f>
        <v>#VALUE!</v>
      </c>
      <c r="E442" s="562">
        <f>SUMIFS('Recon of ORS and DV'!D:D,'Recon of ORS and DV'!B:B,'DV List'!A442)</f>
        <v>0</v>
      </c>
      <c r="F442" s="276" t="e">
        <f t="shared" si="6"/>
        <v>#VALUE!</v>
      </c>
      <c r="G442" t="s">
        <v>2662</v>
      </c>
    </row>
    <row r="443" spans="1:7">
      <c r="A443" t="s">
        <v>2591</v>
      </c>
      <c r="B443" t="str">
        <f>VLOOKUP(A443,'[1]MAIN-101'!$B$13:$M$787,4,FALSE)</f>
        <v>HDMF-Butuan City</v>
      </c>
      <c r="C443" t="str">
        <f>VLOOKUP(A443,'[1]MAIN-101'!$B$13:$M$787,12,FALSE)</f>
        <v>Remittance of HDMF PREMIUMS OF NC staff for the month of Feb 2021</v>
      </c>
      <c r="D443" s="562" t="e">
        <f>SUMIFS('[1]MAIN-101'!$Z$1:$Z$3000,'[1]MAIN-101'!$X$1:$X$3000,A443)</f>
        <v>#VALUE!</v>
      </c>
      <c r="E443" s="562">
        <f>SUMIFS('Recon of ORS and DV'!D:D,'Recon of ORS and DV'!B:B,'DV List'!A443)</f>
        <v>0</v>
      </c>
      <c r="F443" s="276" t="e">
        <f t="shared" si="6"/>
        <v>#VALUE!</v>
      </c>
      <c r="G443" t="s">
        <v>2662</v>
      </c>
    </row>
    <row r="444" spans="1:7">
      <c r="A444" t="s">
        <v>2592</v>
      </c>
      <c r="B444" t="str">
        <f>VLOOKUP(A444,'[1]MAIN-101'!$B$13:$M$787,4,FALSE)</f>
        <v>GSIS</v>
      </c>
      <c r="C444" t="str">
        <f>VLOOKUP(A444,'[1]MAIN-101'!$B$13:$M$787,12,FALSE)</f>
        <v>Remittance of GSIS premium of NC staff for the month of February, 2021</v>
      </c>
      <c r="D444" s="562" t="e">
        <f>SUMIFS('[1]MAIN-101'!$Z$1:$Z$3000,'[1]MAIN-101'!$X$1:$X$3000,A444)</f>
        <v>#VALUE!</v>
      </c>
      <c r="E444" s="562">
        <f>SUMIFS('Recon of ORS and DV'!D:D,'Recon of ORS and DV'!B:B,'DV List'!A444)</f>
        <v>0</v>
      </c>
      <c r="F444" s="276" t="e">
        <f t="shared" si="6"/>
        <v>#VALUE!</v>
      </c>
      <c r="G444" t="s">
        <v>2662</v>
      </c>
    </row>
    <row r="445" spans="1:7">
      <c r="A445" t="s">
        <v>2593</v>
      </c>
      <c r="B445" t="str">
        <f>VLOOKUP(A445,'[1]MAIN-101'!$B$13:$M$787,4,FALSE)</f>
        <v>DREAMCO</v>
      </c>
      <c r="C445" t="str">
        <f>VLOOKUP(A445,'[1]MAIN-101'!$B$13:$M$787,12,FALSE)</f>
        <v>Remittance of COOP deduction of NC staff for the month of February, 2021</v>
      </c>
      <c r="D445" s="562" t="e">
        <f>SUMIFS('[1]MAIN-101'!$Z$1:$Z$3000,'[1]MAIN-101'!$X$1:$X$3000,A445)</f>
        <v>#VALUE!</v>
      </c>
      <c r="E445" s="562">
        <f>SUMIFS('Recon of ORS and DV'!D:D,'Recon of ORS and DV'!B:B,'DV List'!A445)</f>
        <v>0</v>
      </c>
      <c r="F445" s="276" t="e">
        <f t="shared" si="6"/>
        <v>#VALUE!</v>
      </c>
      <c r="G445" t="s">
        <v>2662</v>
      </c>
    </row>
    <row r="446" spans="1:7">
      <c r="A446" t="s">
        <v>2594</v>
      </c>
      <c r="B446" t="str">
        <f>VLOOKUP(A446,'[1]MAIN-101'!$B$13:$M$787,4,FALSE)</f>
        <v>DTI-Mutual Death Benefit Fund</v>
      </c>
      <c r="C446" t="str">
        <f>VLOOKUP(A446,'[1]MAIN-101'!$B$13:$M$787,12,FALSE)</f>
        <v>Remittance of MDBF premium of NC staff for the month of March, 2021</v>
      </c>
      <c r="D446" s="562" t="e">
        <f>SUMIFS('[1]MAIN-101'!$Z$1:$Z$3000,'[1]MAIN-101'!$X$1:$X$3000,A446)</f>
        <v>#VALUE!</v>
      </c>
      <c r="E446" s="562">
        <f>SUMIFS('Recon of ORS and DV'!D:D,'Recon of ORS and DV'!B:B,'DV List'!A446)</f>
        <v>0</v>
      </c>
      <c r="F446" s="276" t="e">
        <f t="shared" si="6"/>
        <v>#VALUE!</v>
      </c>
      <c r="G446" t="s">
        <v>2662</v>
      </c>
    </row>
    <row r="447" spans="1:7">
      <c r="A447" t="s">
        <v>2595</v>
      </c>
      <c r="B447" t="str">
        <f>VLOOKUP(A447,'[1]MAIN-101'!$B$13:$M$787,4,FALSE)</f>
        <v>DTI-Provident Fund</v>
      </c>
      <c r="C447" t="str">
        <f>VLOOKUP(A447,'[1]MAIN-101'!$B$13:$M$787,12,FALSE)</f>
        <v>Remittance of PF premium of NC staff for the month of March, 2021</v>
      </c>
      <c r="D447" s="562" t="e">
        <f>SUMIFS('[1]MAIN-101'!$Z$1:$Z$3000,'[1]MAIN-101'!$X$1:$X$3000,A447)</f>
        <v>#VALUE!</v>
      </c>
      <c r="E447" s="562">
        <f>SUMIFS('Recon of ORS and DV'!D:D,'Recon of ORS and DV'!B:B,'DV List'!A447)</f>
        <v>0</v>
      </c>
      <c r="F447" s="276" t="e">
        <f t="shared" si="6"/>
        <v>#VALUE!</v>
      </c>
      <c r="G447" t="s">
        <v>2662</v>
      </c>
    </row>
    <row r="448" spans="1:7">
      <c r="A448" t="s">
        <v>2596</v>
      </c>
      <c r="B448" t="str">
        <f>VLOOKUP(A448,'[1]MAIN-101'!$B$13:$M$787,4,FALSE)</f>
        <v>PHIC-Butuan City</v>
      </c>
      <c r="C448" t="str">
        <f>VLOOKUP(A448,'[1]MAIN-101'!$B$13:$M$787,12,FALSE)</f>
        <v>Remittance of PHIC premium of NC staff for the month of March, 2021</v>
      </c>
      <c r="D448" s="562" t="e">
        <f>SUMIFS('[1]MAIN-101'!$Z$1:$Z$3000,'[1]MAIN-101'!$X$1:$X$3000,A448)</f>
        <v>#VALUE!</v>
      </c>
      <c r="E448" s="562">
        <f>SUMIFS('Recon of ORS and DV'!D:D,'Recon of ORS and DV'!B:B,'DV List'!A448)</f>
        <v>0</v>
      </c>
      <c r="F448" s="276" t="e">
        <f t="shared" si="6"/>
        <v>#VALUE!</v>
      </c>
      <c r="G448" t="s">
        <v>2662</v>
      </c>
    </row>
    <row r="449" spans="1:9">
      <c r="A449" t="s">
        <v>2597</v>
      </c>
      <c r="B449" t="str">
        <f>VLOOKUP(A449,'[1]MAIN-101'!$B$13:$M$787,4,FALSE)</f>
        <v>HDMF-Butuan City</v>
      </c>
      <c r="C449" t="str">
        <f>VLOOKUP(A449,'[1]MAIN-101'!$B$13:$M$787,12,FALSE)</f>
        <v>Remittance of HDMF premium of NC staff for the month of March, 2021</v>
      </c>
      <c r="D449" s="562" t="e">
        <f>SUMIFS('[1]MAIN-101'!$Z$1:$Z$3000,'[1]MAIN-101'!$X$1:$X$3000,A449)</f>
        <v>#VALUE!</v>
      </c>
      <c r="E449" s="562">
        <f>SUMIFS('Recon of ORS and DV'!D:D,'Recon of ORS and DV'!B:B,'DV List'!A449)</f>
        <v>0</v>
      </c>
      <c r="F449" s="276" t="e">
        <f t="shared" si="6"/>
        <v>#VALUE!</v>
      </c>
      <c r="G449" t="s">
        <v>2662</v>
      </c>
    </row>
    <row r="450" spans="1:9">
      <c r="A450" t="s">
        <v>2598</v>
      </c>
      <c r="B450" t="str">
        <f>VLOOKUP(A450,'[1]MAIN-101'!$B$13:$M$787,4,FALSE)</f>
        <v>GSIS</v>
      </c>
      <c r="C450" t="str">
        <f>VLOOKUP(A450,'[1]MAIN-101'!$B$13:$M$787,12,FALSE)</f>
        <v>Remittance of GSIS premium of NC staff for the month of March, 2021</v>
      </c>
      <c r="D450" s="562" t="e">
        <f>SUMIFS('[1]MAIN-101'!$Z$1:$Z$3000,'[1]MAIN-101'!$X$1:$X$3000,A450)</f>
        <v>#VALUE!</v>
      </c>
      <c r="E450" s="562">
        <f>SUMIFS('Recon of ORS and DV'!D:D,'Recon of ORS and DV'!B:B,'DV List'!A450)</f>
        <v>0</v>
      </c>
      <c r="F450" s="276" t="e">
        <f t="shared" si="6"/>
        <v>#VALUE!</v>
      </c>
      <c r="G450" t="s">
        <v>2662</v>
      </c>
    </row>
    <row r="451" spans="1:9">
      <c r="A451" t="s">
        <v>2599</v>
      </c>
      <c r="B451" t="str">
        <f>VLOOKUP(A451,'[1]MAIN-101'!$B$13:$M$787,4,FALSE)</f>
        <v>Caraga Realty Corporation</v>
      </c>
      <c r="C451" t="str">
        <f>VLOOKUP(A451,'[1]MAIN-101'!$B$13:$M$787,12,FALSE)</f>
        <v>Payment for office rental for the month of December 2020.</v>
      </c>
      <c r="D451" s="562" t="e">
        <f>SUMIFS('[1]MAIN-101'!$Z$1:$Z$3000,'[1]MAIN-101'!$X$1:$X$3000,A451)</f>
        <v>#VALUE!</v>
      </c>
      <c r="E451" s="562">
        <f>SUMIFS('Recon of ORS and DV'!D:D,'Recon of ORS and DV'!B:B,'DV List'!A451)</f>
        <v>0</v>
      </c>
      <c r="F451" s="276" t="e">
        <f t="shared" si="6"/>
        <v>#VALUE!</v>
      </c>
      <c r="G451" t="s">
        <v>392</v>
      </c>
      <c r="H451" t="str">
        <f>VLOOKUP(A451,'[1]MAIN-101'!$B$8:$D$783,2,FALSE)</f>
        <v>12</v>
      </c>
      <c r="I451" t="str">
        <f>VLOOKUP(A451,'[1]MAIN-101'!$B$8:$D$783,3,FALSE)</f>
        <v>2051A</v>
      </c>
    </row>
    <row r="452" spans="1:9">
      <c r="A452" t="s">
        <v>2600</v>
      </c>
      <c r="B452" t="str">
        <f>VLOOKUP(A452,'[1]MAIN-101'!$B$13:$M$787,4,FALSE)</f>
        <v>CMIJ Green Scenery Garden and Accessories</v>
      </c>
      <c r="C452" t="str">
        <f>VLOOKUP(A452,'[1]MAIN-101'!$B$13:$M$787,12,FALSE)</f>
        <v>Payment for interior plants rental for DTI AND Office use for ecember 2020.</v>
      </c>
      <c r="D452" s="562" t="e">
        <f>SUMIFS('[1]MAIN-101'!$Z$1:$Z$3000,'[1]MAIN-101'!$X$1:$X$3000,A452)</f>
        <v>#VALUE!</v>
      </c>
      <c r="E452" s="562">
        <f>SUMIFS('Recon of ORS and DV'!D:D,'Recon of ORS and DV'!B:B,'DV List'!A452)</f>
        <v>0</v>
      </c>
      <c r="F452" s="276" t="e">
        <f t="shared" si="6"/>
        <v>#VALUE!</v>
      </c>
      <c r="G452" t="s">
        <v>392</v>
      </c>
      <c r="H452" t="str">
        <f>VLOOKUP(A452,'[1]MAIN-101'!$B$8:$D$783,2,FALSE)</f>
        <v>12</v>
      </c>
      <c r="I452" t="str">
        <f>VLOOKUP(A452,'[1]MAIN-101'!$B$8:$D$783,3,FALSE)</f>
        <v>2051b</v>
      </c>
    </row>
    <row r="453" spans="1:9">
      <c r="A453" t="s">
        <v>2601</v>
      </c>
      <c r="B453" t="str">
        <f>VLOOKUP(A453,'[1]MAIN-101'!$B$13:$M$787,4,FALSE)</f>
        <v>Alba's Copy Center and Office  Supplies</v>
      </c>
      <c r="C453" t="str">
        <f>VLOOKUP(A453,'[1]MAIN-101'!$B$13:$M$787,12,FALSE)</f>
        <v>Payment for printing services for DTI-AND Office use for Dec. 7-28, 2020</v>
      </c>
      <c r="D453" s="562" t="e">
        <f>SUMIFS('[1]MAIN-101'!$Z$1:$Z$3000,'[1]MAIN-101'!$X$1:$X$3000,A453)</f>
        <v>#VALUE!</v>
      </c>
      <c r="E453" s="562">
        <f>SUMIFS('Recon of ORS and DV'!D:D,'Recon of ORS and DV'!B:B,'DV List'!A453)</f>
        <v>0</v>
      </c>
      <c r="F453" s="276" t="e">
        <f t="shared" ref="F453:F516" si="7">D453-E453</f>
        <v>#VALUE!</v>
      </c>
      <c r="G453" t="s">
        <v>392</v>
      </c>
      <c r="H453" t="str">
        <f>VLOOKUP(A453,'[1]MAIN-101'!$B$8:$D$783,2,FALSE)</f>
        <v>12</v>
      </c>
      <c r="I453" t="str">
        <f>VLOOKUP(A453,'[1]MAIN-101'!$B$8:$D$783,3,FALSE)</f>
        <v>2051c</v>
      </c>
    </row>
    <row r="454" spans="1:9">
      <c r="A454" t="s">
        <v>2602</v>
      </c>
      <c r="B454" t="str">
        <f>VLOOKUP(A454,'[1]MAIN-101'!$B$13:$M$787,4,FALSE)</f>
        <v>Rosie R. Vellesco</v>
      </c>
      <c r="C454" t="str">
        <f>VLOOKUP(A454,'[1]MAIN-101'!$B$13:$M$787,12,FALSE)</f>
        <v>Reimbursement, petty fare expenses for DTI- AD.N messengerial for October 29- November 11, 2020</v>
      </c>
      <c r="D454" s="562" t="e">
        <f>SUMIFS('[1]MAIN-101'!$Z$1:$Z$3000,'[1]MAIN-101'!$X$1:$X$3000,A454)</f>
        <v>#VALUE!</v>
      </c>
      <c r="E454" s="562">
        <f>SUMIFS('Recon of ORS and DV'!D:D,'Recon of ORS and DV'!B:B,'DV List'!A454)</f>
        <v>0</v>
      </c>
      <c r="F454" s="276" t="e">
        <f t="shared" si="7"/>
        <v>#VALUE!</v>
      </c>
      <c r="G454" t="s">
        <v>392</v>
      </c>
      <c r="H454" t="str">
        <f>VLOOKUP(A454,'[1]MAIN-101'!$B$8:$D$783,2,FALSE)</f>
        <v>12</v>
      </c>
      <c r="I454" t="str">
        <f>VLOOKUP(A454,'[1]MAIN-101'!$B$8:$D$783,3,FALSE)</f>
        <v>2051d</v>
      </c>
    </row>
    <row r="455" spans="1:9">
      <c r="A455" t="s">
        <v>2603</v>
      </c>
      <c r="B455" t="str">
        <f>VLOOKUP(A455,'[1]MAIN-101'!$B$13:$M$787,4,FALSE)</f>
        <v>News Multi-Purpose Cooperative</v>
      </c>
      <c r="C455" t="str">
        <f>VLOOKUP(A455,'[1]MAIN-101'!$B$13:$M$787,12,FALSE)</f>
        <v>Payment for meals re: DTI-PDI 2020 Level 2 planning cum GAD forum, PRAISE Awards for meritorious employees last Dec.14-15, 2020</v>
      </c>
      <c r="D455" s="562" t="e">
        <f>SUMIFS('[1]MAIN-101'!$Z$1:$Z$3000,'[1]MAIN-101'!$X$1:$X$3000,A455)</f>
        <v>#VALUE!</v>
      </c>
      <c r="E455" s="562">
        <f>SUMIFS('Recon of ORS and DV'!D:D,'Recon of ORS and DV'!B:B,'DV List'!A455)</f>
        <v>0</v>
      </c>
      <c r="F455" s="276" t="e">
        <f t="shared" si="7"/>
        <v>#VALUE!</v>
      </c>
      <c r="G455" t="s">
        <v>392</v>
      </c>
      <c r="H455" t="str">
        <f>VLOOKUP(A455,'[1]MAIN-101'!$B$8:$D$783,2,FALSE)</f>
        <v>12</v>
      </c>
      <c r="I455" t="str">
        <f>VLOOKUP(A455,'[1]MAIN-101'!$B$8:$D$783,3,FALSE)</f>
        <v>1843A</v>
      </c>
    </row>
    <row r="456" spans="1:9">
      <c r="A456" t="s">
        <v>2604</v>
      </c>
      <c r="B456" t="str">
        <f>VLOOKUP(A456,'[1]MAIN-101'!$B$13:$M$787,4,FALSE)</f>
        <v>Mahayahay Multi-Purpose Cooperative</v>
      </c>
      <c r="C456" t="str">
        <f>VLOOKUP(A456,'[1]MAIN-101'!$B$13:$M$787,12,FALSE)</f>
        <v>Payment for computer accessories for DTI-PDI webinars and meeting use</v>
      </c>
      <c r="D456" s="562" t="e">
        <f>SUMIFS('[1]MAIN-101'!$Z$1:$Z$3000,'[1]MAIN-101'!$X$1:$X$3000,A456)</f>
        <v>#VALUE!</v>
      </c>
      <c r="E456" s="562">
        <f>SUMIFS('Recon of ORS and DV'!D:D,'Recon of ORS and DV'!B:B,'DV List'!A456)</f>
        <v>0</v>
      </c>
      <c r="F456" s="276" t="e">
        <f t="shared" si="7"/>
        <v>#VALUE!</v>
      </c>
    </row>
    <row r="457" spans="1:9">
      <c r="A457" t="s">
        <v>2605</v>
      </c>
      <c r="B457" t="str">
        <f>VLOOKUP(A457,'[1]MAIN-101'!$B$13:$M$787,4,FALSE)</f>
        <v>Globe Telecom, Inc.</v>
      </c>
      <c r="C457" t="str">
        <f>VLOOKUP(A457,'[1]MAIN-101'!$B$13:$M$787,12,FALSE)</f>
        <v>Payment for post-paid plan subscription, 09178177806 , for the period Jan 27- February 26, 2020 for DTI- PDI Office use</v>
      </c>
      <c r="D457" s="562" t="e">
        <f>SUMIFS('[1]MAIN-101'!$Z$1:$Z$3000,'[1]MAIN-101'!$X$1:$X$3000,A457)</f>
        <v>#VALUE!</v>
      </c>
      <c r="E457" s="562">
        <f>SUMIFS('Recon of ORS and DV'!D:D,'Recon of ORS and DV'!B:B,'DV List'!A457)</f>
        <v>0</v>
      </c>
      <c r="F457" s="276" t="e">
        <f t="shared" si="7"/>
        <v>#VALUE!</v>
      </c>
      <c r="G457" t="s">
        <v>392</v>
      </c>
      <c r="H457" t="str">
        <f>VLOOKUP(A457,'[1]MAIN-101'!$B$8:$D$783,2,FALSE)</f>
        <v>12</v>
      </c>
      <c r="I457" t="str">
        <f>VLOOKUP(A457,'[1]MAIN-101'!$B$8:$D$783,3,FALSE)</f>
        <v>1843E</v>
      </c>
    </row>
    <row r="458" spans="1:9">
      <c r="A458" t="s">
        <v>2606</v>
      </c>
      <c r="B458" t="str">
        <f>VLOOKUP(A458,'[1]MAIN-101'!$B$13:$M$787,4,FALSE)</f>
        <v>Isports Enterprise</v>
      </c>
      <c r="C458" t="str">
        <f>VLOOKUP(A458,'[1]MAIN-101'!$B$13:$M$787,12,FALSE)</f>
        <v>Payment for treadmill for DTI-PDI office use</v>
      </c>
      <c r="D458" s="562" t="e">
        <f>SUMIFS('[1]MAIN-101'!$Z$1:$Z$3000,'[1]MAIN-101'!$X$1:$X$3000,A458)</f>
        <v>#VALUE!</v>
      </c>
      <c r="E458" s="562">
        <f>SUMIFS('Recon of ORS and DV'!D:D,'Recon of ORS and DV'!B:B,'DV List'!A458)</f>
        <v>0</v>
      </c>
      <c r="F458" s="276" t="e">
        <f t="shared" si="7"/>
        <v>#VALUE!</v>
      </c>
    </row>
    <row r="459" spans="1:9">
      <c r="A459" t="s">
        <v>2607</v>
      </c>
      <c r="B459" t="str">
        <f>VLOOKUP(A459,'[1]MAIN-101'!$B$13:$M$787,4,FALSE)</f>
        <v>Fast Tech Computers</v>
      </c>
      <c r="C459" t="str">
        <f>VLOOKUP(A459,'[1]MAIN-101'!$B$13:$M$787,12,FALSE)</f>
        <v>Payment for desktop computer for DTI-PDI Office use</v>
      </c>
      <c r="D459" s="562" t="e">
        <f>SUMIFS('[1]MAIN-101'!$Z$1:$Z$3000,'[1]MAIN-101'!$X$1:$X$3000,A459)</f>
        <v>#VALUE!</v>
      </c>
      <c r="E459" s="562">
        <f>SUMIFS('Recon of ORS and DV'!D:D,'Recon of ORS and DV'!B:B,'DV List'!A459)</f>
        <v>0</v>
      </c>
      <c r="F459" s="276" t="e">
        <f t="shared" si="7"/>
        <v>#VALUE!</v>
      </c>
    </row>
    <row r="460" spans="1:9">
      <c r="A460" t="s">
        <v>2275</v>
      </c>
      <c r="B460" t="str">
        <f>VLOOKUP(A460,'[1]MAIN-101'!$B$13:$M$787,4,FALSE)</f>
        <v>Hi-5 Signages Fabricator</v>
      </c>
      <c r="C460" t="str">
        <f>VLOOKUP(A460,'[1]MAIN-101'!$B$13:$M$787,12,FALSE)</f>
        <v>Payment for tarpaulin printing services re: 2021 media and CSO briefing last Feb 3, 2021</v>
      </c>
      <c r="D460" s="562" t="e">
        <f>SUMIFS('[1]MAIN-101'!$Z$1:$Z$3000,'[1]MAIN-101'!$X$1:$X$3000,A460)</f>
        <v>#VALUE!</v>
      </c>
      <c r="E460" s="562" t="e">
        <f>SUMIFS('Recon of ORS and DV'!D:D,'Recon of ORS and DV'!B:B,'DV List'!A460)</f>
        <v>#VALUE!</v>
      </c>
      <c r="F460" s="276" t="e">
        <f t="shared" si="7"/>
        <v>#VALUE!</v>
      </c>
    </row>
    <row r="461" spans="1:9">
      <c r="A461" t="s">
        <v>2608</v>
      </c>
      <c r="B461" t="str">
        <f>VLOOKUP(A461,'[1]MAIN-101'!$B$13:$M$787,4,FALSE)</f>
        <v>Mahayahay Multi-Purpose Cooperative</v>
      </c>
      <c r="C461" t="str">
        <f>VLOOKUP(A461,'[1]MAIN-101'!$B$13:$M$787,12,FALSE)</f>
        <v>Payment for 5 units CISS Printer for DTI-PDI Office use</v>
      </c>
      <c r="D461" s="562" t="e">
        <f>SUMIFS('[1]MAIN-101'!$Z$1:$Z$3000,'[1]MAIN-101'!$X$1:$X$3000,A461)</f>
        <v>#VALUE!</v>
      </c>
      <c r="E461" s="562">
        <f>SUMIFS('Recon of ORS and DV'!D:D,'Recon of ORS and DV'!B:B,'DV List'!A461)</f>
        <v>0</v>
      </c>
      <c r="F461" s="276" t="e">
        <f t="shared" si="7"/>
        <v>#VALUE!</v>
      </c>
    </row>
    <row r="462" spans="1:9">
      <c r="A462" t="s">
        <v>2609</v>
      </c>
      <c r="B462" t="str">
        <f>VLOOKUP(A462,'[1]MAIN-101'!$B$13:$M$787,4,FALSE)</f>
        <v>Robinsons Appliances Corporation</v>
      </c>
      <c r="C462" t="str">
        <f>VLOOKUP(A462,'[1]MAIN-101'!$B$13:$M$787,12,FALSE)</f>
        <v>Payment for 1 unit laptop for DTI-PDI SSF use</v>
      </c>
      <c r="D462" s="562" t="e">
        <f>SUMIFS('[1]MAIN-101'!$Z$1:$Z$3000,'[1]MAIN-101'!$X$1:$X$3000,A462)</f>
        <v>#VALUE!</v>
      </c>
      <c r="E462" s="562">
        <f>SUMIFS('Recon of ORS and DV'!D:D,'Recon of ORS and DV'!B:B,'DV List'!A462)</f>
        <v>0</v>
      </c>
      <c r="F462" s="276" t="e">
        <f t="shared" si="7"/>
        <v>#VALUE!</v>
      </c>
      <c r="G462" t="s">
        <v>392</v>
      </c>
      <c r="H462" t="str">
        <f>VLOOKUP(A462,'[1]MAIN-101'!$B$8:$D$783,2,FALSE)</f>
        <v>12</v>
      </c>
      <c r="I462" t="str">
        <f>VLOOKUP(A462,'[1]MAIN-101'!$B$8:$D$783,3,FALSE)</f>
        <v>1843I</v>
      </c>
    </row>
    <row r="463" spans="1:9">
      <c r="A463" t="s">
        <v>2610</v>
      </c>
      <c r="B463" t="str">
        <f>VLOOKUP(A463,'[1]MAIN-101'!$B$13:$M$787,4,FALSE)</f>
        <v>Integrated Services for development of Aquaculture and Fisheries Inc.</v>
      </c>
      <c r="C463" t="str">
        <f>VLOOKUP(A463,'[1]MAIN-101'!$B$13:$M$787,12,FALSE)</f>
        <v>Payment for PF as technical support to DTI-PDI and the cooperator of the SSF on crab Hatchery and Grow out Facility</v>
      </c>
      <c r="D463" s="562" t="e">
        <f>SUMIFS('[1]MAIN-101'!$Z$1:$Z$3000,'[1]MAIN-101'!$X$1:$X$3000,A463)</f>
        <v>#VALUE!</v>
      </c>
      <c r="E463" s="562">
        <f>SUMIFS('Recon of ORS and DV'!D:D,'Recon of ORS and DV'!B:B,'DV List'!A463)</f>
        <v>0</v>
      </c>
      <c r="F463" s="276" t="e">
        <f t="shared" si="7"/>
        <v>#VALUE!</v>
      </c>
    </row>
    <row r="464" spans="1:9">
      <c r="A464" t="s">
        <v>2611</v>
      </c>
      <c r="B464" t="str">
        <f>VLOOKUP(A464,'[1]MAIN-101'!$B$13:$M$787,4,FALSE)</f>
        <v>Joseph Arnold de Guzman</v>
      </c>
      <c r="C464" t="str">
        <f>VLOOKUP(A464,'[1]MAIN-101'!$B$13:$M$787,12,FALSE)</f>
        <v>Payment of coaching session during KMME Online session batch 2(mentees:Ragas, Magtibay, Nojara) on November 16-27, 2020</v>
      </c>
      <c r="D464" s="562" t="e">
        <f>SUMIFS('[1]MAIN-101'!$Z$1:$Z$3000,'[1]MAIN-101'!$X$1:$X$3000,A464)</f>
        <v>#VALUE!</v>
      </c>
      <c r="E464" s="562">
        <f>SUMIFS('Recon of ORS and DV'!D:D,'Recon of ORS and DV'!B:B,'DV List'!A464)</f>
        <v>0</v>
      </c>
      <c r="F464" s="276" t="e">
        <f t="shared" si="7"/>
        <v>#VALUE!</v>
      </c>
      <c r="G464" t="s">
        <v>392</v>
      </c>
      <c r="H464" t="str">
        <f>VLOOKUP(A464,'[1]MAIN-101'!$B$8:$D$783,2,FALSE)</f>
        <v>12</v>
      </c>
      <c r="I464" t="str">
        <f>VLOOKUP(A464,'[1]MAIN-101'!$B$8:$D$783,3,FALSE)</f>
        <v>1990</v>
      </c>
    </row>
    <row r="465" spans="1:9">
      <c r="A465" t="s">
        <v>2274</v>
      </c>
      <c r="B465" t="str">
        <f>VLOOKUP(A465,'[1]MAIN-101'!$B$13:$M$787,4,FALSE)</f>
        <v>Compañero Commercial</v>
      </c>
      <c r="C465" t="str">
        <f>VLOOKUP(A465,'[1]MAIN-101'!$B$13:$M$787,12,FALSE)</f>
        <v>Payment for the 2020 Media AND CSO briefing training kits</v>
      </c>
      <c r="D465" s="562" t="e">
        <f>SUMIFS('[1]MAIN-101'!$Z$1:$Z$3000,'[1]MAIN-101'!$X$1:$X$3000,A465)</f>
        <v>#VALUE!</v>
      </c>
      <c r="E465" s="562" t="e">
        <f>SUMIFS('Recon of ORS and DV'!D:D,'Recon of ORS and DV'!B:B,'DV List'!A465)</f>
        <v>#VALUE!</v>
      </c>
      <c r="F465" s="276" t="e">
        <f t="shared" si="7"/>
        <v>#VALUE!</v>
      </c>
    </row>
    <row r="466" spans="1:9">
      <c r="A466" t="s">
        <v>2276</v>
      </c>
      <c r="B466" t="str">
        <f>VLOOKUP(A466,'[1]MAIN-101'!$B$13:$M$787,4,FALSE)</f>
        <v>Almont Inland Resort</v>
      </c>
      <c r="C466" t="str">
        <f>VLOOKUP(A466,'[1]MAIN-101'!$B$13:$M$787,12,FALSE)</f>
        <v>Payment for the provision of meals and venue during the 2020 media and cso briefing on Feb 3, 2021</v>
      </c>
      <c r="D466" s="562" t="e">
        <f>SUMIFS('[1]MAIN-101'!$Z$1:$Z$3000,'[1]MAIN-101'!$X$1:$X$3000,A466)</f>
        <v>#VALUE!</v>
      </c>
      <c r="E466" s="562" t="e">
        <f>SUMIFS('Recon of ORS and DV'!D:D,'Recon of ORS and DV'!B:B,'DV List'!A466)</f>
        <v>#VALUE!</v>
      </c>
      <c r="F466" s="276" t="e">
        <f t="shared" si="7"/>
        <v>#VALUE!</v>
      </c>
    </row>
    <row r="467" spans="1:9">
      <c r="A467" t="s">
        <v>2612</v>
      </c>
      <c r="B467" t="str">
        <f>VLOOKUP(A467,'[1]MAIN-101'!$B$13:$M$787,4,FALSE)</f>
        <v>G-Hoven Solutions</v>
      </c>
      <c r="C467" t="str">
        <f>VLOOKUP(A467,'[1]MAIN-101'!$B$13:$M$787,12,FALSE)</f>
        <v>Payment for online video conference and subscription of RPSB activities for 2020 Oct-Dec</v>
      </c>
      <c r="D467" s="562" t="e">
        <f>SUMIFS('[1]MAIN-101'!$Z$1:$Z$3000,'[1]MAIN-101'!$X$1:$X$3000,A467)</f>
        <v>#VALUE!</v>
      </c>
      <c r="E467" s="562">
        <f>SUMIFS('Recon of ORS and DV'!D:D,'Recon of ORS and DV'!B:B,'DV List'!A467)</f>
        <v>0</v>
      </c>
      <c r="F467" s="276" t="e">
        <f t="shared" si="7"/>
        <v>#VALUE!</v>
      </c>
      <c r="G467" t="s">
        <v>392</v>
      </c>
      <c r="H467" t="str">
        <f>VLOOKUP(A467,'[1]MAIN-101'!$B$8:$D$783,2,FALSE)</f>
        <v>12</v>
      </c>
      <c r="I467" t="str">
        <f>VLOOKUP(A467,'[1]MAIN-101'!$B$8:$D$783,3,FALSE)</f>
        <v>2023A</v>
      </c>
    </row>
    <row r="468" spans="1:9">
      <c r="A468" t="s">
        <v>2196</v>
      </c>
      <c r="B468" t="str">
        <f>VLOOKUP(A468,'[1]MAIN-101'!$B$13:$M$787,4,FALSE)</f>
        <v>Julieta B. Ogoy</v>
      </c>
      <c r="C468" t="str">
        <f>VLOOKUP(A468,'[1]MAIN-101'!$B$13:$M$787,12,FALSE)</f>
        <v>Reimbursement, Registration fee for Public Service Values in times of adversities for the month of Feb 2021.</v>
      </c>
      <c r="D468" s="562" t="e">
        <f>SUMIFS('[1]MAIN-101'!$Z$1:$Z$3000,'[1]MAIN-101'!$X$1:$X$3000,A468)</f>
        <v>#VALUE!</v>
      </c>
      <c r="E468" s="562" t="e">
        <f>SUMIFS('Recon of ORS and DV'!D:D,'Recon of ORS and DV'!B:B,'DV List'!A468)</f>
        <v>#VALUE!</v>
      </c>
      <c r="F468" s="276" t="e">
        <f t="shared" si="7"/>
        <v>#VALUE!</v>
      </c>
    </row>
    <row r="469" spans="1:9">
      <c r="A469" t="s">
        <v>2285</v>
      </c>
      <c r="B469" t="str">
        <f>VLOOKUP(A469,'[1]MAIN-101'!$B$13:$M$787,4,FALSE)</f>
        <v>Ralph O. Gorgonio</v>
      </c>
      <c r="C469" t="str">
        <f>VLOOKUP(A469,'[1]MAIN-101'!$B$13:$M$787,12,FALSE)</f>
        <v>Reimbursment, fuel consumption re: pick up DTI-CARAGA MV (Rapid) in CDO</v>
      </c>
      <c r="D469" s="562" t="e">
        <f>SUMIFS('[1]MAIN-101'!$Z$1:$Z$3000,'[1]MAIN-101'!$X$1:$X$3000,A469)</f>
        <v>#VALUE!</v>
      </c>
      <c r="E469" s="562" t="e">
        <f>SUMIFS('Recon of ORS and DV'!D:D,'Recon of ORS and DV'!B:B,'DV List'!A469)</f>
        <v>#VALUE!</v>
      </c>
      <c r="F469" s="276" t="e">
        <f t="shared" si="7"/>
        <v>#VALUE!</v>
      </c>
    </row>
    <row r="470" spans="1:9">
      <c r="A470" t="s">
        <v>2288</v>
      </c>
      <c r="B470" t="str">
        <f>VLOOKUP(A470,'[1]MAIN-101'!$B$13:$M$787,4,FALSE)</f>
        <v>CSC TRAINING FUND</v>
      </c>
      <c r="C470" t="str">
        <f>VLOOKUP(A470,'[1]MAIN-101'!$B$13:$M$787,12,FALSE)</f>
        <v>Payment of registration fee for the "Online Course on Basic Customer Service Skills(BCSS) on May 4, 7, and 11, 2021</v>
      </c>
      <c r="D470" s="562" t="e">
        <f>SUMIFS('[1]MAIN-101'!$Z$1:$Z$3000,'[1]MAIN-101'!$X$1:$X$3000,A470)</f>
        <v>#VALUE!</v>
      </c>
      <c r="E470" s="562" t="e">
        <f>SUMIFS('Recon of ORS and DV'!D:D,'Recon of ORS and DV'!B:B,'DV List'!A470)</f>
        <v>#VALUE!</v>
      </c>
      <c r="F470" s="276" t="e">
        <f t="shared" si="7"/>
        <v>#VALUE!</v>
      </c>
    </row>
    <row r="471" spans="1:9">
      <c r="A471" t="s">
        <v>2283</v>
      </c>
      <c r="B471" t="str">
        <f>VLOOKUP(A471,'[1]MAIN-101'!$B$13:$M$787,4,FALSE)</f>
        <v>Globe Telecpm, Inc.</v>
      </c>
      <c r="C471" t="str">
        <f>VLOOKUP(A471,'[1]MAIN-101'!$B$13:$M$787,12,FALSE)</f>
        <v>Payment for post paid plan subscription, DTIU95050-091770054687, for the month of Jan 13- Feb 12, 2021</v>
      </c>
      <c r="D471" s="562" t="e">
        <f>SUMIFS('[1]MAIN-101'!$Z$1:$Z$3000,'[1]MAIN-101'!$X$1:$X$3000,A471)</f>
        <v>#VALUE!</v>
      </c>
      <c r="E471" s="562" t="e">
        <f>SUMIFS('Recon of ORS and DV'!D:D,'Recon of ORS and DV'!B:B,'DV List'!A471)</f>
        <v>#VALUE!</v>
      </c>
      <c r="F471" s="276" t="e">
        <f t="shared" si="7"/>
        <v>#VALUE!</v>
      </c>
    </row>
    <row r="472" spans="1:9">
      <c r="A472" t="s">
        <v>2265</v>
      </c>
      <c r="B472" t="str">
        <f>VLOOKUP(A472,'[1]MAIN-101'!$B$13:$M$787,4,FALSE)</f>
        <v>PD, DTI-SDS</v>
      </c>
      <c r="C472" t="str">
        <f>VLOOKUP(A472,'[1]MAIN-101'!$B$13:$M$787,12,FALSE)</f>
        <v>Advances , in support to areas affected by TS Auring</v>
      </c>
      <c r="D472" s="562" t="e">
        <f>SUMIFS('[1]MAIN-101'!$Z$1:$Z$3000,'[1]MAIN-101'!$X$1:$X$3000,A472)</f>
        <v>#VALUE!</v>
      </c>
      <c r="E472" s="562" t="e">
        <f>SUMIFS('Recon of ORS and DV'!D:D,'Recon of ORS and DV'!B:B,'DV List'!A472)</f>
        <v>#VALUE!</v>
      </c>
      <c r="F472" s="276" t="e">
        <f t="shared" si="7"/>
        <v>#VALUE!</v>
      </c>
    </row>
    <row r="473" spans="1:9">
      <c r="A473" t="s">
        <v>2268</v>
      </c>
      <c r="B473" t="str">
        <f>VLOOKUP(A473,'[1]MAIN-101'!$B$13:$M$787,4,FALSE)</f>
        <v>JRS Business Corporation</v>
      </c>
      <c r="C473" t="str">
        <f>VLOOKUP(A473,'[1]MAIN-101'!$B$13:$M$787,12,FALSE)</f>
        <v>Payment for courier services for the month of February 2021</v>
      </c>
      <c r="D473" s="562" t="e">
        <f>SUMIFS('[1]MAIN-101'!$Z$1:$Z$3000,'[1]MAIN-101'!$X$1:$X$3000,A473)</f>
        <v>#VALUE!</v>
      </c>
      <c r="E473" s="562" t="e">
        <f>SUMIFS('Recon of ORS and DV'!D:D,'Recon of ORS and DV'!B:B,'DV List'!A473)</f>
        <v>#VALUE!</v>
      </c>
      <c r="F473" s="276" t="e">
        <f t="shared" si="7"/>
        <v>#VALUE!</v>
      </c>
    </row>
    <row r="474" spans="1:9">
      <c r="A474" t="s">
        <v>2273</v>
      </c>
      <c r="B474" t="str">
        <f>VLOOKUP(A474,'[1]MAIN-101'!$B$13:$M$787,4,FALSE)</f>
        <v>Janikka's Catering Services</v>
      </c>
      <c r="C474" t="str">
        <f>VLOOKUP(A474,'[1]MAIN-101'!$B$13:$M$787,12,FALSE)</f>
        <v>Payment for meals re: FAD Functional Team meetinglast January 25, 2021</v>
      </c>
      <c r="D474" s="562" t="e">
        <f>SUMIFS('[1]MAIN-101'!$Z$1:$Z$3000,'[1]MAIN-101'!$X$1:$X$3000,A474)</f>
        <v>#VALUE!</v>
      </c>
      <c r="E474" s="562" t="e">
        <f>SUMIFS('Recon of ORS and DV'!D:D,'Recon of ORS and DV'!B:B,'DV List'!A474)</f>
        <v>#VALUE!</v>
      </c>
      <c r="F474" s="276" t="e">
        <f t="shared" si="7"/>
        <v>#VALUE!</v>
      </c>
    </row>
    <row r="475" spans="1:9">
      <c r="A475" t="s">
        <v>2613</v>
      </c>
      <c r="B475" t="str">
        <f>VLOOKUP(A475,'[1]MAIN-101'!$B$13:$M$787,4,FALSE)</f>
        <v>JMN Multimedia Sales and Services</v>
      </c>
      <c r="C475" t="str">
        <f>VLOOKUP(A475,'[1]MAIN-101'!$B$13:$M$787,12,FALSE)</f>
        <v>Payment for prepaid loadcards for OTOP Ph Hub launching last December 18,2020</v>
      </c>
      <c r="D475" s="562" t="e">
        <f>SUMIFS('[1]MAIN-101'!$Z$1:$Z$3000,'[1]MAIN-101'!$X$1:$X$3000,A475)</f>
        <v>#VALUE!</v>
      </c>
      <c r="E475" s="562">
        <f>SUMIFS('Recon of ORS and DV'!D:D,'Recon of ORS and DV'!B:B,'DV List'!A475)</f>
        <v>0</v>
      </c>
      <c r="F475" s="276" t="e">
        <f t="shared" si="7"/>
        <v>#VALUE!</v>
      </c>
      <c r="G475" t="s">
        <v>392</v>
      </c>
      <c r="H475" t="str">
        <f>VLOOKUP(A475,'[1]MAIN-101'!$B$8:$D$783,2,FALSE)</f>
        <v>12</v>
      </c>
      <c r="I475" t="str">
        <f>VLOOKUP(A475,'[1]MAIN-101'!$B$8:$D$783,3,FALSE)</f>
        <v>2018</v>
      </c>
    </row>
    <row r="476" spans="1:9">
      <c r="A476" t="s">
        <v>2614</v>
      </c>
      <c r="B476" t="str">
        <f>VLOOKUP(A476,'[1]MAIN-101'!$B$13:$M$787,4,FALSE)</f>
        <v>G-Hoven Solutions</v>
      </c>
      <c r="C476" t="str">
        <f>VLOOKUP(A476,'[1]MAIN-101'!$B$13:$M$787,12,FALSE)</f>
        <v>Payment for the online video conference and subscription of RPSB Activities for 2020 June to August</v>
      </c>
      <c r="D476" s="562" t="e">
        <f>SUMIFS('[1]MAIN-101'!$Z$1:$Z$3000,'[1]MAIN-101'!$X$1:$X$3000,A476)</f>
        <v>#VALUE!</v>
      </c>
      <c r="E476" s="562">
        <f>SUMIFS('Recon of ORS and DV'!D:D,'Recon of ORS and DV'!B:B,'DV List'!A476)</f>
        <v>0</v>
      </c>
      <c r="F476" s="276" t="e">
        <f t="shared" si="7"/>
        <v>#VALUE!</v>
      </c>
      <c r="G476" t="s">
        <v>392</v>
      </c>
      <c r="H476" t="str">
        <f>VLOOKUP(A476,'[1]MAIN-101'!$B$8:$D$783,2,FALSE)</f>
        <v>12</v>
      </c>
      <c r="I476" t="str">
        <f>VLOOKUP(A476,'[1]MAIN-101'!$B$8:$D$783,3,FALSE)</f>
        <v>2023</v>
      </c>
    </row>
    <row r="477" spans="1:9">
      <c r="A477" t="s">
        <v>2615</v>
      </c>
      <c r="B477" t="str">
        <f>VLOOKUP(A477,'[1]MAIN-101'!$B$13:$M$787,4,FALSE)</f>
        <v>Mahaneh Garments</v>
      </c>
      <c r="C477" t="str">
        <f>VLOOKUP(A477,'[1]MAIN-101'!$B$13:$M$787,12,FALSE)</f>
        <v>Payment for poloshirts for rapid use</v>
      </c>
      <c r="D477" s="562" t="e">
        <f>SUMIFS('[1]MAIN-101'!$Z$1:$Z$3000,'[1]MAIN-101'!$X$1:$X$3000,A477)</f>
        <v>#VALUE!</v>
      </c>
      <c r="E477" s="562">
        <f>SUMIFS('Recon of ORS and DV'!D:D,'Recon of ORS and DV'!B:B,'DV List'!A477)</f>
        <v>0</v>
      </c>
      <c r="F477" s="276" t="e">
        <f t="shared" si="7"/>
        <v>#VALUE!</v>
      </c>
      <c r="G477" t="s">
        <v>392</v>
      </c>
      <c r="H477" t="str">
        <f>VLOOKUP(A477,'[1]MAIN-101'!$B$8:$D$783,2,FALSE)</f>
        <v>12</v>
      </c>
      <c r="I477" t="str">
        <f>VLOOKUP(A477,'[1]MAIN-101'!$B$8:$D$783,3,FALSE)</f>
        <v>2015</v>
      </c>
    </row>
    <row r="478" spans="1:9">
      <c r="A478" t="s">
        <v>2284</v>
      </c>
      <c r="B478" t="str">
        <f>VLOOKUP(A478,'[1]MAIN-101'!$B$13:$M$787,4,FALSE)</f>
        <v>Prince Warehouse Club, Inc.</v>
      </c>
      <c r="C478" t="str">
        <f>VLOOKUP(A478,'[1]MAIN-101'!$B$13:$M$787,12,FALSE)</f>
        <v>Livelihood kits for TS Auring affected MSME's in Tandag, Surigao del Sur</v>
      </c>
      <c r="D478" s="562" t="e">
        <f>SUMIFS('[1]MAIN-101'!$Z$1:$Z$3000,'[1]MAIN-101'!$X$1:$X$3000,A478)</f>
        <v>#VALUE!</v>
      </c>
      <c r="E478" s="562" t="e">
        <f>SUMIFS('Recon of ORS and DV'!D:D,'Recon of ORS and DV'!B:B,'DV List'!A478)</f>
        <v>#VALUE!</v>
      </c>
      <c r="F478" s="276" t="e">
        <f t="shared" si="7"/>
        <v>#VALUE!</v>
      </c>
    </row>
    <row r="479" spans="1:9">
      <c r="A479" t="s">
        <v>2616</v>
      </c>
      <c r="B479" t="str">
        <f>VLOOKUP(A479,'[1]MAIN-101'!$B$13:$M$787,4,FALSE)</f>
        <v>RK Internet Café and Prints</v>
      </c>
      <c r="C479" t="str">
        <f>VLOOKUP(A479,'[1]MAIN-101'!$B$13:$M$787,12,FALSE)</f>
        <v>Payment for Sintra Board with sticker for OTOP Ph Hub- Caraga</v>
      </c>
      <c r="D479" s="562" t="e">
        <f>SUMIFS('[1]MAIN-101'!$Z$1:$Z$3000,'[1]MAIN-101'!$X$1:$X$3000,A479)</f>
        <v>#VALUE!</v>
      </c>
      <c r="E479" s="562">
        <f>SUMIFS('Recon of ORS and DV'!D:D,'Recon of ORS and DV'!B:B,'DV List'!A479)</f>
        <v>0</v>
      </c>
      <c r="F479" s="276" t="e">
        <f t="shared" si="7"/>
        <v>#VALUE!</v>
      </c>
      <c r="G479" t="s">
        <v>392</v>
      </c>
      <c r="H479" t="str">
        <f>VLOOKUP(A479,'[1]MAIN-101'!$B$8:$D$783,2,FALSE)</f>
        <v>12</v>
      </c>
      <c r="I479" t="str">
        <f>VLOOKUP(A479,'[1]MAIN-101'!$B$8:$D$783,3,FALSE)</f>
        <v>2004</v>
      </c>
    </row>
    <row r="480" spans="1:9">
      <c r="A480" t="s">
        <v>2617</v>
      </c>
      <c r="B480" t="str">
        <f>VLOOKUP(A480,'[1]MAIN-101'!$B$13:$M$787,4,FALSE)</f>
        <v>Wyn A. Palma</v>
      </c>
      <c r="C480" t="str">
        <f>VLOOKUP(A480,'[1]MAIN-101'!$B$13:$M$787,12,FALSE)</f>
        <v>Full payment of terminal leave benefits of Mr. Wyn A. Palma</v>
      </c>
      <c r="D480" s="562" t="e">
        <f>SUMIFS('[1]MAIN-101'!$Z$1:$Z$3000,'[1]MAIN-101'!$X$1:$X$3000,A480)</f>
        <v>#VALUE!</v>
      </c>
      <c r="E480" s="562">
        <f>SUMIFS('Recon of ORS and DV'!D:D,'Recon of ORS and DV'!B:B,'DV List'!A480)</f>
        <v>0</v>
      </c>
      <c r="F480" s="276" t="e">
        <f t="shared" si="7"/>
        <v>#VALUE!</v>
      </c>
      <c r="G480" t="s">
        <v>392</v>
      </c>
      <c r="H480" t="str">
        <f>VLOOKUP(A480,'[1]MAIN-101'!$B$8:$D$783,2,FALSE)</f>
        <v>03</v>
      </c>
      <c r="I480">
        <f>VLOOKUP(A480,'[1]MAIN-101'!$B$8:$D$783,3,FALSE)</f>
        <v>0</v>
      </c>
    </row>
    <row r="481" spans="1:9">
      <c r="A481" t="s">
        <v>2291</v>
      </c>
      <c r="B481" t="str">
        <f>VLOOKUP(A481,'[1]MAIN-101'!$B$13:$M$787,4,FALSE)</f>
        <v>JMN Multimedia Sales and Services</v>
      </c>
      <c r="C481" t="str">
        <f>VLOOKUP(A481,'[1]MAIN-101'!$B$13:$M$787,12,FALSE)</f>
        <v>Payment for the IT supplies for IDD office use</v>
      </c>
      <c r="D481" s="562" t="e">
        <f>SUMIFS('[1]MAIN-101'!$Z$1:$Z$3000,'[1]MAIN-101'!$X$1:$X$3000,A481)</f>
        <v>#VALUE!</v>
      </c>
      <c r="E481" s="562" t="e">
        <f>SUMIFS('Recon of ORS and DV'!D:D,'Recon of ORS and DV'!B:B,'DV List'!A481)</f>
        <v>#VALUE!</v>
      </c>
      <c r="F481" s="276" t="e">
        <f t="shared" si="7"/>
        <v>#VALUE!</v>
      </c>
    </row>
    <row r="482" spans="1:9">
      <c r="A482" t="s">
        <v>2292</v>
      </c>
      <c r="B482" t="str">
        <f>VLOOKUP(A482,'[1]MAIN-101'!$B$13:$M$787,4,FALSE)</f>
        <v>Mid- Town Computers and Services</v>
      </c>
      <c r="C482" t="str">
        <f>VLOOKUP(A482,'[1]MAIN-101'!$B$13:$M$787,12,FALSE)</f>
        <v>Payment for computer accessories for IDD use</v>
      </c>
      <c r="D482" s="562" t="e">
        <f>SUMIFS('[1]MAIN-101'!$Z$1:$Z$3000,'[1]MAIN-101'!$X$1:$X$3000,A482)</f>
        <v>#VALUE!</v>
      </c>
      <c r="E482" s="562" t="e">
        <f>SUMIFS('Recon of ORS and DV'!D:D,'Recon of ORS and DV'!B:B,'DV List'!A482)</f>
        <v>#VALUE!</v>
      </c>
      <c r="F482" s="276" t="e">
        <f t="shared" si="7"/>
        <v>#VALUE!</v>
      </c>
    </row>
    <row r="483" spans="1:9">
      <c r="A483" t="s">
        <v>2299</v>
      </c>
      <c r="B483" t="str">
        <f>VLOOKUP(A483,'[1]MAIN-101'!$B$13:$M$787,4,FALSE)</f>
        <v>Create Food, Inc</v>
      </c>
      <c r="C483" t="str">
        <f>VLOOKUP(A483,'[1]MAIN-101'!$B$13:$M$787,12,FALSE)</f>
        <v>Payment for tokens re: Women Honorees/entrepreneurs</v>
      </c>
      <c r="D483" s="562" t="e">
        <f>SUMIFS('[1]MAIN-101'!$Z$1:$Z$3000,'[1]MAIN-101'!$X$1:$X$3000,A483)</f>
        <v>#VALUE!</v>
      </c>
      <c r="E483" s="562" t="e">
        <f>SUMIFS('Recon of ORS and DV'!D:D,'Recon of ORS and DV'!B:B,'DV List'!A483)</f>
        <v>#VALUE!</v>
      </c>
      <c r="F483" s="276" t="e">
        <f t="shared" si="7"/>
        <v>#VALUE!</v>
      </c>
    </row>
    <row r="484" spans="1:9">
      <c r="A484" t="s">
        <v>2300</v>
      </c>
      <c r="B484" t="str">
        <f>VLOOKUP(A484,'[1]MAIN-101'!$B$13:$M$787,4,FALSE)</f>
        <v>Globe Telecom, Inc</v>
      </c>
      <c r="C484" t="str">
        <f>VLOOKUP(A484,'[1]MAIN-101'!$B$13:$M$787,12,FALSE)</f>
        <v>Payment for post paid plan subscription, 09178656567, for SDD use for Feb 2021.</v>
      </c>
      <c r="D484" s="562" t="e">
        <f>SUMIFS('[1]MAIN-101'!$Z$1:$Z$3000,'[1]MAIN-101'!$X$1:$X$3000,A484)</f>
        <v>#VALUE!</v>
      </c>
      <c r="E484" s="562" t="e">
        <f>SUMIFS('Recon of ORS and DV'!D:D,'Recon of ORS and DV'!B:B,'DV List'!A484)</f>
        <v>#VALUE!</v>
      </c>
      <c r="F484" s="276" t="e">
        <f t="shared" si="7"/>
        <v>#VALUE!</v>
      </c>
    </row>
    <row r="485" spans="1:9">
      <c r="A485" t="s">
        <v>2301</v>
      </c>
      <c r="B485" t="str">
        <f>VLOOKUP(A485,'[1]MAIN-101'!$B$13:$M$787,4,FALSE)</f>
        <v>LBP F/O DTI-JO</v>
      </c>
      <c r="C485" t="str">
        <f>VLOOKUP(A485,'[1]MAIN-101'!$B$13:$M$787,12,FALSE)</f>
        <v>Payment of job orders for the period March 1- 15, 2021</v>
      </c>
      <c r="D485" s="562" t="e">
        <f>SUMIFS('[1]MAIN-101'!$Z$1:$Z$3000,'[1]MAIN-101'!$X$1:$X$3000,A485)</f>
        <v>#VALUE!</v>
      </c>
      <c r="E485" s="562" t="e">
        <f>SUMIFS('Recon of ORS and DV'!D:D,'Recon of ORS and DV'!B:B,'DV List'!A485)</f>
        <v>#VALUE!</v>
      </c>
      <c r="F485" s="276" t="e">
        <f t="shared" si="7"/>
        <v>#VALUE!</v>
      </c>
    </row>
    <row r="486" spans="1:9">
      <c r="A486" t="s">
        <v>2302</v>
      </c>
      <c r="B486" t="str">
        <f>VLOOKUP(A486,'[1]MAIN-101'!$B$13:$M$787,4,FALSE)</f>
        <v>LBP F/O DTI-JO</v>
      </c>
      <c r="C486" t="str">
        <f>VLOOKUP(A486,'[1]MAIN-101'!$B$13:$M$787,12,FALSE)</f>
        <v>Payment of job orders for the period March 1- 15, 2021</v>
      </c>
      <c r="D486" s="562" t="e">
        <f>SUMIFS('[1]MAIN-101'!$Z$1:$Z$3000,'[1]MAIN-101'!$X$1:$X$3000,A486)</f>
        <v>#VALUE!</v>
      </c>
      <c r="E486" s="562" t="e">
        <f>SUMIFS('Recon of ORS and DV'!D:D,'Recon of ORS and DV'!B:B,'DV List'!A486)</f>
        <v>#VALUE!</v>
      </c>
      <c r="F486" s="276" t="e">
        <f t="shared" si="7"/>
        <v>#VALUE!</v>
      </c>
    </row>
    <row r="487" spans="1:9">
      <c r="A487" t="s">
        <v>2303</v>
      </c>
      <c r="B487" t="str">
        <f>VLOOKUP(A487,'[1]MAIN-101'!$B$13:$M$787,4,FALSE)</f>
        <v>Globe Telecom, Inc</v>
      </c>
      <c r="C487" t="str">
        <f>VLOOKUP(A487,'[1]MAIN-101'!$B$13:$M$787,12,FALSE)</f>
        <v>Payment for post paid plan subscription, 09177036798, for CPD use for Feb 2021.</v>
      </c>
      <c r="D487" s="562" t="e">
        <f>SUMIFS('[1]MAIN-101'!$Z$1:$Z$3000,'[1]MAIN-101'!$X$1:$X$3000,A487)</f>
        <v>#VALUE!</v>
      </c>
      <c r="E487" s="562" t="e">
        <f>SUMIFS('Recon of ORS and DV'!D:D,'Recon of ORS and DV'!B:B,'DV List'!A487)</f>
        <v>#VALUE!</v>
      </c>
      <c r="F487" s="276" t="e">
        <f t="shared" si="7"/>
        <v>#VALUE!</v>
      </c>
    </row>
    <row r="488" spans="1:9">
      <c r="A488" t="s">
        <v>2297</v>
      </c>
      <c r="B488" t="str">
        <f>VLOOKUP(A488,'[1]MAIN-101'!$B$13:$M$787,4,FALSE)</f>
        <v>JWL Sourcing Group, Inc</v>
      </c>
      <c r="C488" t="str">
        <f>VLOOKUP(A488,'[1]MAIN-101'!$B$13:$M$787,12,FALSE)</f>
        <v>Payment for DTI Caraga Motor Vehicle Fuel for the period Feb 1-28,2021</v>
      </c>
      <c r="D488" s="562" t="e">
        <f>SUMIFS('[1]MAIN-101'!$Z$1:$Z$3000,'[1]MAIN-101'!$X$1:$X$3000,A488)</f>
        <v>#VALUE!</v>
      </c>
      <c r="E488" s="562" t="e">
        <f>SUMIFS('Recon of ORS and DV'!D:D,'Recon of ORS and DV'!B:B,'DV List'!A488)</f>
        <v>#VALUE!</v>
      </c>
      <c r="F488" s="276" t="e">
        <f t="shared" si="7"/>
        <v>#VALUE!</v>
      </c>
    </row>
    <row r="489" spans="1:9">
      <c r="A489" t="s">
        <v>2296</v>
      </c>
      <c r="B489" t="str">
        <f>VLOOKUP(A489,'[1]MAIN-101'!$B$13:$M$787,4,FALSE)</f>
        <v>LBP F/O DTI-JO</v>
      </c>
      <c r="C489" t="str">
        <f>VLOOKUP(A489,'[1]MAIN-101'!$B$13:$M$787,12,FALSE)</f>
        <v>Payment of job orders for the period March 1- 15, 2021</v>
      </c>
      <c r="D489" s="562" t="e">
        <f>SUMIFS('[1]MAIN-101'!$Z$1:$Z$3000,'[1]MAIN-101'!$X$1:$X$3000,A489)</f>
        <v>#VALUE!</v>
      </c>
      <c r="E489" s="562" t="e">
        <f>SUMIFS('Recon of ORS and DV'!D:D,'Recon of ORS and DV'!B:B,'DV List'!A489)</f>
        <v>#VALUE!</v>
      </c>
      <c r="F489" s="276" t="e">
        <f t="shared" si="7"/>
        <v>#VALUE!</v>
      </c>
    </row>
    <row r="490" spans="1:9">
      <c r="A490" t="s">
        <v>2295</v>
      </c>
      <c r="B490" t="str">
        <f>VLOOKUP(A490,'[1]MAIN-101'!$B$13:$M$787,4,FALSE)</f>
        <v>LBP F/O DTI-JO</v>
      </c>
      <c r="C490" t="str">
        <f>VLOOKUP(A490,'[1]MAIN-101'!$B$13:$M$787,12,FALSE)</f>
        <v>Payment for JO for March 1-15, 2021</v>
      </c>
      <c r="D490" s="562" t="e">
        <f>SUMIFS('[1]MAIN-101'!$Z$1:$Z$3000,'[1]MAIN-101'!$X$1:$X$3000,A490)</f>
        <v>#VALUE!</v>
      </c>
      <c r="E490" s="562" t="e">
        <f>SUMIFS('Recon of ORS and DV'!D:D,'Recon of ORS and DV'!B:B,'DV List'!A490)</f>
        <v>#VALUE!</v>
      </c>
      <c r="F490" s="276" t="e">
        <f t="shared" si="7"/>
        <v>#VALUE!</v>
      </c>
    </row>
    <row r="491" spans="1:9">
      <c r="A491" t="s">
        <v>2293</v>
      </c>
      <c r="B491" t="str">
        <f>VLOOKUP(A491,'[1]MAIN-101'!$B$13:$M$787,4,FALSE)</f>
        <v>Globe Telecom, Inc</v>
      </c>
      <c r="C491" t="str">
        <f>VLOOKUP(A491,'[1]MAIN-101'!$B$13:$M$787,12,FALSE)</f>
        <v>Payment for globe post paid plan bills for 2mos. Of RD Banquerigo with cp 09177054627</v>
      </c>
      <c r="D491" s="562" t="e">
        <f>SUMIFS('[1]MAIN-101'!$Z$1:$Z$3000,'[1]MAIN-101'!$X$1:$X$3000,A491)</f>
        <v>#VALUE!</v>
      </c>
      <c r="E491" s="562" t="e">
        <f>SUMIFS('Recon of ORS and DV'!D:D,'Recon of ORS and DV'!B:B,'DV List'!A491)</f>
        <v>#VALUE!</v>
      </c>
      <c r="F491" s="276" t="e">
        <f t="shared" si="7"/>
        <v>#VALUE!</v>
      </c>
    </row>
    <row r="492" spans="1:9">
      <c r="A492" t="s">
        <v>2298</v>
      </c>
      <c r="B492" t="str">
        <f>VLOOKUP(A492,'[1]MAIN-101'!$B$13:$M$787,4,FALSE)</f>
        <v>Hi-5 Signages Fabricator</v>
      </c>
      <c r="C492" t="str">
        <f>VLOOKUP(A492,'[1]MAIN-101'!$B$13:$M$787,12,FALSE)</f>
        <v>Payment for tarpaulin printing services in observance to DSWD's awareness on Legal Adoption Activities</v>
      </c>
      <c r="D492" s="562" t="e">
        <f>SUMIFS('[1]MAIN-101'!$Z$1:$Z$3000,'[1]MAIN-101'!$X$1:$X$3000,A492)</f>
        <v>#VALUE!</v>
      </c>
      <c r="E492" s="562" t="e">
        <f>SUMIFS('Recon of ORS and DV'!D:D,'Recon of ORS and DV'!B:B,'DV List'!A492)</f>
        <v>#VALUE!</v>
      </c>
      <c r="F492" s="276" t="e">
        <f t="shared" si="7"/>
        <v>#VALUE!</v>
      </c>
    </row>
    <row r="493" spans="1:9">
      <c r="A493" t="s">
        <v>2618</v>
      </c>
      <c r="B493" t="str">
        <f>VLOOKUP(A493,'[1]MAIN-101'!$B$13:$M$787,4,FALSE)</f>
        <v>Jon Harley Famador</v>
      </c>
      <c r="C493" t="str">
        <f>VLOOKUP(A493,'[1]MAIN-101'!$B$13:$M$787,12,FALSE)</f>
        <v>Honorarium of panelist on KMME online BIP Presentation- batch 2 Dec 1-3, 2021.</v>
      </c>
      <c r="D493" s="562" t="e">
        <f>SUMIFS('[1]MAIN-101'!$Z$1:$Z$3000,'[1]MAIN-101'!$X$1:$X$3000,A493)</f>
        <v>#VALUE!</v>
      </c>
      <c r="E493" s="562">
        <f>SUMIFS('Recon of ORS and DV'!D:D,'Recon of ORS and DV'!B:B,'DV List'!A493)</f>
        <v>0</v>
      </c>
      <c r="F493" s="276" t="e">
        <f t="shared" si="7"/>
        <v>#VALUE!</v>
      </c>
      <c r="G493" t="s">
        <v>392</v>
      </c>
      <c r="H493" t="str">
        <f>VLOOKUP(A493,'[1]MAIN-101'!$B$8:$D$783,2,FALSE)</f>
        <v>12</v>
      </c>
      <c r="I493" t="str">
        <f>VLOOKUP(A493,'[1]MAIN-101'!$B$8:$D$783,3,FALSE)</f>
        <v>1906c</v>
      </c>
    </row>
    <row r="494" spans="1:9">
      <c r="A494" t="s">
        <v>2619</v>
      </c>
      <c r="B494" t="str">
        <f>VLOOKUP(A494,'[1]MAIN-101'!$B$13:$M$787,4,FALSE)</f>
        <v>Rene P. Villagantol</v>
      </c>
      <c r="C494" t="str">
        <f>VLOOKUP(A494,'[1]MAIN-101'!$B$13:$M$787,12,FALSE)</f>
        <v>Honorarium of panelist on KMME online BIP Presentation- batch 2 Dec 1-3, 2021.</v>
      </c>
      <c r="D494" s="562" t="e">
        <f>SUMIFS('[1]MAIN-101'!$Z$1:$Z$3000,'[1]MAIN-101'!$X$1:$X$3000,A494)</f>
        <v>#VALUE!</v>
      </c>
      <c r="E494" s="562">
        <f>SUMIFS('Recon of ORS and DV'!D:D,'Recon of ORS and DV'!B:B,'DV List'!A494)</f>
        <v>0</v>
      </c>
      <c r="F494" s="276" t="e">
        <f t="shared" si="7"/>
        <v>#VALUE!</v>
      </c>
      <c r="G494" t="s">
        <v>392</v>
      </c>
      <c r="H494" t="str">
        <f>VLOOKUP(A494,'[1]MAIN-101'!$B$8:$D$783,2,FALSE)</f>
        <v>12</v>
      </c>
      <c r="I494" t="str">
        <f>VLOOKUP(A494,'[1]MAIN-101'!$B$8:$D$783,3,FALSE)</f>
        <v>1906a</v>
      </c>
    </row>
    <row r="495" spans="1:9">
      <c r="A495" t="s">
        <v>2620</v>
      </c>
      <c r="B495" t="str">
        <f>VLOOKUP(A495,'[1]MAIN-101'!$B$13:$M$787,4,FALSE)</f>
        <v>April Dabalos</v>
      </c>
      <c r="C495" t="str">
        <f>VLOOKUP(A495,'[1]MAIN-101'!$B$13:$M$787,12,FALSE)</f>
        <v>Honorarium of panelist on KMME online BIP Presentation- batch 2 Dec 1-3, 2021.</v>
      </c>
      <c r="D495" s="562" t="e">
        <f>SUMIFS('[1]MAIN-101'!$Z$1:$Z$3000,'[1]MAIN-101'!$X$1:$X$3000,A495)</f>
        <v>#VALUE!</v>
      </c>
      <c r="E495" s="562">
        <f>SUMIFS('Recon of ORS and DV'!D:D,'Recon of ORS and DV'!B:B,'DV List'!A495)</f>
        <v>0</v>
      </c>
      <c r="F495" s="276" t="e">
        <f t="shared" si="7"/>
        <v>#VALUE!</v>
      </c>
      <c r="G495" t="s">
        <v>392</v>
      </c>
      <c r="H495" t="str">
        <f>VLOOKUP(A495,'[1]MAIN-101'!$B$8:$D$783,2,FALSE)</f>
        <v>12</v>
      </c>
      <c r="I495" t="str">
        <f>VLOOKUP(A495,'[1]MAIN-101'!$B$8:$D$783,3,FALSE)</f>
        <v>1987</v>
      </c>
    </row>
    <row r="496" spans="1:9">
      <c r="A496" t="s">
        <v>2621</v>
      </c>
      <c r="B496" t="str">
        <f>VLOOKUP(A496,'[1]MAIN-101'!$B$13:$M$787,4,FALSE)</f>
        <v>Kamille Angelie N. Mabano</v>
      </c>
      <c r="C496" t="str">
        <f>VLOOKUP(A496,'[1]MAIN-101'!$B$13:$M$787,12,FALSE)</f>
        <v>Honorarium of panelist on KMME online BIP Presentation- batch 2 Dec 1-3, 2021.</v>
      </c>
      <c r="D496" s="562" t="e">
        <f>SUMIFS('[1]MAIN-101'!$Z$1:$Z$3000,'[1]MAIN-101'!$X$1:$X$3000,A496)</f>
        <v>#VALUE!</v>
      </c>
      <c r="E496" s="562">
        <f>SUMIFS('Recon of ORS and DV'!D:D,'Recon of ORS and DV'!B:B,'DV List'!A496)</f>
        <v>0</v>
      </c>
      <c r="F496" s="276" t="e">
        <f t="shared" si="7"/>
        <v>#VALUE!</v>
      </c>
      <c r="G496" t="s">
        <v>392</v>
      </c>
      <c r="H496" t="str">
        <f>VLOOKUP(A496,'[1]MAIN-101'!$B$8:$D$783,2,FALSE)</f>
        <v>12</v>
      </c>
      <c r="I496" t="str">
        <f>VLOOKUP(A496,'[1]MAIN-101'!$B$8:$D$783,3,FALSE)</f>
        <v>1906b</v>
      </c>
    </row>
    <row r="497" spans="1:7">
      <c r="A497" t="s">
        <v>2294</v>
      </c>
      <c r="B497" t="str">
        <f>VLOOKUP(A497,'[1]MAIN-101'!$B$13:$M$787,4,FALSE)</f>
        <v>Compañero Commercial</v>
      </c>
      <c r="C497" t="str">
        <f>VLOOKUP(A497,'[1]MAIN-101'!$B$13:$M$787,12,FALSE)</f>
        <v>Payment for the office supplies of IDD office use -1st quarter 2021</v>
      </c>
      <c r="D497" s="562" t="e">
        <f>SUMIFS('[1]MAIN-101'!$Z$1:$Z$3000,'[1]MAIN-101'!$X$1:$X$3000,A497)</f>
        <v>#VALUE!</v>
      </c>
      <c r="E497" s="562" t="e">
        <f>SUMIFS('Recon of ORS and DV'!D:D,'Recon of ORS and DV'!B:B,'DV List'!A497)</f>
        <v>#VALUE!</v>
      </c>
      <c r="F497" s="276" t="e">
        <f t="shared" si="7"/>
        <v>#VALUE!</v>
      </c>
    </row>
    <row r="498" spans="1:7">
      <c r="A498" t="s">
        <v>2304</v>
      </c>
      <c r="B498" t="str">
        <f>VLOOKUP(A498,'[1]MAIN-101'!$B$13:$M$787,4,FALSE)</f>
        <v>Marson Jan S. Dolendo</v>
      </c>
      <c r="C498" t="str">
        <f>VLOOKUP(A498,'[1]MAIN-101'!$B$13:$M$787,12,FALSE)</f>
        <v>Reimbursement of the payment for the cash gift og Rev. Fr. Nercipino C. Orbus during the blessing of the new DTI Vehicle</v>
      </c>
      <c r="D498" s="562" t="e">
        <f>SUMIFS('[1]MAIN-101'!$Z$1:$Z$3000,'[1]MAIN-101'!$X$1:$X$3000,A498)</f>
        <v>#VALUE!</v>
      </c>
      <c r="E498" s="562" t="e">
        <f>SUMIFS('Recon of ORS and DV'!D:D,'Recon of ORS and DV'!B:B,'DV List'!A498)</f>
        <v>#VALUE!</v>
      </c>
      <c r="F498" s="276" t="e">
        <f t="shared" si="7"/>
        <v>#VALUE!</v>
      </c>
    </row>
    <row r="499" spans="1:7">
      <c r="A499" t="s">
        <v>2305</v>
      </c>
      <c r="B499" t="str">
        <f>VLOOKUP(A499,'[1]MAIN-101'!$B$13:$M$787,4,FALSE)</f>
        <v>Jasmin B. Faelnar</v>
      </c>
      <c r="C499" t="str">
        <f>VLOOKUP(A499,'[1]MAIN-101'!$B$13:$M$787,12,FALSE)</f>
        <v>Reimb. For the purchase of bouquet of flowers for the successful woman entrepreneur of DTI-AD N</v>
      </c>
      <c r="D499" s="562" t="e">
        <f>SUMIFS('[1]MAIN-101'!$Z$1:$Z$3000,'[1]MAIN-101'!$X$1:$X$3000,A499)</f>
        <v>#VALUE!</v>
      </c>
      <c r="E499" s="562" t="e">
        <f>SUMIFS('Recon of ORS and DV'!D:D,'Recon of ORS and DV'!B:B,'DV List'!A499)</f>
        <v>#VALUE!</v>
      </c>
      <c r="F499" s="276" t="e">
        <f t="shared" si="7"/>
        <v>#VALUE!</v>
      </c>
    </row>
    <row r="500" spans="1:7">
      <c r="A500" t="s">
        <v>2307</v>
      </c>
      <c r="B500" t="str">
        <f>VLOOKUP(A500,'[1]MAIN-101'!$B$13:$M$787,4,FALSE)</f>
        <v>True Brew Gourmet Coffee Shop</v>
      </c>
      <c r="C500" t="str">
        <f>VLOOKUP(A500,'[1]MAIN-101'!$B$13:$M$787,12,FALSE)</f>
        <v>Payment for the meals and snacks during the 2021 Women's Summit</v>
      </c>
      <c r="D500" s="562" t="e">
        <f>SUMIFS('[1]MAIN-101'!$Z$1:$Z$3000,'[1]MAIN-101'!$X$1:$X$3000,A500)</f>
        <v>#VALUE!</v>
      </c>
      <c r="E500" s="562" t="e">
        <f>SUMIFS('Recon of ORS and DV'!D:D,'Recon of ORS and DV'!B:B,'DV List'!A500)</f>
        <v>#VALUE!</v>
      </c>
      <c r="F500" s="276" t="e">
        <f t="shared" si="7"/>
        <v>#VALUE!</v>
      </c>
    </row>
    <row r="501" spans="1:7">
      <c r="A501" t="s">
        <v>2308</v>
      </c>
      <c r="B501" t="str">
        <f>VLOOKUP(A501,'[1]MAIN-101'!$B$13:$M$787,4,FALSE)</f>
        <v>Hi-5 Signages Fabricator</v>
      </c>
      <c r="C501" t="str">
        <f>VLOOKUP(A501,'[1]MAIN-101'!$B$13:$M$787,12,FALSE)</f>
        <v>Payment for printing services re: National Women's Month Celebration</v>
      </c>
      <c r="D501" s="562" t="e">
        <f>SUMIFS('[1]MAIN-101'!$Z$1:$Z$3000,'[1]MAIN-101'!$X$1:$X$3000,A501)</f>
        <v>#VALUE!</v>
      </c>
      <c r="E501" s="562" t="e">
        <f>SUMIFS('Recon of ORS and DV'!D:D,'Recon of ORS and DV'!B:B,'DV List'!A501)</f>
        <v>#VALUE!</v>
      </c>
      <c r="F501" s="276" t="e">
        <f t="shared" si="7"/>
        <v>#VALUE!</v>
      </c>
    </row>
    <row r="502" spans="1:7">
      <c r="A502" t="s">
        <v>2309</v>
      </c>
      <c r="B502" t="str">
        <f>VLOOKUP(A502,'[1]MAIN-101'!$B$13:$M$787,4,FALSE)</f>
        <v>LBP F/O-CARP employee</v>
      </c>
      <c r="C502" t="str">
        <f>VLOOKUP(A502,'[1]MAIN-101'!$B$13:$M$787,12,FALSE)</f>
        <v>Payment for CARP employees cothing allowance for CY 2021</v>
      </c>
      <c r="D502" s="562" t="e">
        <f>SUMIFS('[1]MAIN-101'!$Z$1:$Z$3000,'[1]MAIN-101'!$X$1:$X$3000,A502)</f>
        <v>#VALUE!</v>
      </c>
      <c r="E502" s="562" t="e">
        <f>SUMIFS('Recon of ORS and DV'!D:D,'Recon of ORS and DV'!B:B,'DV List'!A502)</f>
        <v>#VALUE!</v>
      </c>
      <c r="F502" s="276" t="e">
        <f t="shared" si="7"/>
        <v>#VALUE!</v>
      </c>
    </row>
    <row r="503" spans="1:7">
      <c r="A503" t="s">
        <v>2622</v>
      </c>
      <c r="B503" t="str">
        <f>VLOOKUP(A503,'[1]MAIN-101'!$B$13:$M$787,4,FALSE)</f>
        <v>LBP F/O DTI-RO</v>
      </c>
      <c r="C503" t="str">
        <f>VLOOKUP(A503,'[1]MAIN-101'!$B$13:$M$787,12,FALSE)</f>
        <v>Payment for salaries and allowances for regular employees for the month of March 16-31, 2021.</v>
      </c>
      <c r="D503" s="562" t="e">
        <f>SUMIFS('[1]MAIN-101'!$Z$1:$Z$3000,'[1]MAIN-101'!$X$1:$X$3000,A503)</f>
        <v>#VALUE!</v>
      </c>
      <c r="E503" s="562">
        <f>SUMIFS('Recon of ORS and DV'!D:D,'Recon of ORS and DV'!B:B,'DV List'!A503)</f>
        <v>0</v>
      </c>
      <c r="F503" s="276" t="e">
        <f t="shared" si="7"/>
        <v>#VALUE!</v>
      </c>
      <c r="G503" t="s">
        <v>2664</v>
      </c>
    </row>
    <row r="504" spans="1:7">
      <c r="A504" t="s">
        <v>2623</v>
      </c>
      <c r="B504" t="str">
        <f>VLOOKUP(A504,'[1]MAIN-101'!$B$13:$M$787,4,FALSE)</f>
        <v>LBP F/O DTI-ads</v>
      </c>
      <c r="C504" t="str">
        <f>VLOOKUP(A504,'[1]MAIN-101'!$B$13:$M$787,12,FALSE)</f>
        <v>Payment for salaries and allowances for regular employees for the month of March 16-31, 2021.</v>
      </c>
      <c r="D504" s="562" t="e">
        <f>SUMIFS('[1]MAIN-101'!$Z$1:$Z$3000,'[1]MAIN-101'!$X$1:$X$3000,A504)</f>
        <v>#VALUE!</v>
      </c>
      <c r="E504" s="562">
        <f>SUMIFS('Recon of ORS and DV'!D:D,'Recon of ORS and DV'!B:B,'DV List'!A504)</f>
        <v>0</v>
      </c>
      <c r="F504" s="276" t="e">
        <f t="shared" si="7"/>
        <v>#VALUE!</v>
      </c>
      <c r="G504" t="s">
        <v>2664</v>
      </c>
    </row>
    <row r="505" spans="1:7">
      <c r="A505" t="s">
        <v>2624</v>
      </c>
      <c r="B505" t="str">
        <f>VLOOKUP(A505,'[1]MAIN-101'!$B$13:$M$787,4,FALSE)</f>
        <v>LBP F/O DTI-SDN</v>
      </c>
      <c r="C505" t="str">
        <f>VLOOKUP(A505,'[1]MAIN-101'!$B$13:$M$787,12,FALSE)</f>
        <v>Payment for salaries and allowances for regular employees for the month of March 16-31, 2021.</v>
      </c>
      <c r="D505" s="562" t="e">
        <f>SUMIFS('[1]MAIN-101'!$Z$1:$Z$3000,'[1]MAIN-101'!$X$1:$X$3000,A505)</f>
        <v>#VALUE!</v>
      </c>
      <c r="E505" s="562">
        <f>SUMIFS('Recon of ORS and DV'!D:D,'Recon of ORS and DV'!B:B,'DV List'!A505)</f>
        <v>0</v>
      </c>
      <c r="F505" s="276" t="e">
        <f t="shared" si="7"/>
        <v>#VALUE!</v>
      </c>
      <c r="G505" t="s">
        <v>2664</v>
      </c>
    </row>
    <row r="506" spans="1:7">
      <c r="A506" t="s">
        <v>2625</v>
      </c>
      <c r="B506" t="str">
        <f>VLOOKUP(A506,'[1]MAIN-101'!$B$13:$M$787,4,FALSE)</f>
        <v>LBP F/O DTI-SDS</v>
      </c>
      <c r="C506" t="str">
        <f>VLOOKUP(A506,'[1]MAIN-101'!$B$13:$M$787,12,FALSE)</f>
        <v>Payment for salaries and allowances for regular employees for the month of March 16-31, 2021.</v>
      </c>
      <c r="D506" s="562" t="e">
        <f>SUMIFS('[1]MAIN-101'!$Z$1:$Z$3000,'[1]MAIN-101'!$X$1:$X$3000,A506)</f>
        <v>#VALUE!</v>
      </c>
      <c r="E506" s="562">
        <f>SUMIFS('Recon of ORS and DV'!D:D,'Recon of ORS and DV'!B:B,'DV List'!A506)</f>
        <v>0</v>
      </c>
      <c r="F506" s="276" t="e">
        <f t="shared" si="7"/>
        <v>#VALUE!</v>
      </c>
      <c r="G506" t="s">
        <v>2664</v>
      </c>
    </row>
    <row r="507" spans="1:7">
      <c r="A507" t="s">
        <v>2626</v>
      </c>
      <c r="B507" t="str">
        <f>VLOOKUP(A507,'[1]MAIN-101'!$B$13:$M$787,4,FALSE)</f>
        <v>LBP F/O DTI-PDI</v>
      </c>
      <c r="C507" t="str">
        <f>VLOOKUP(A507,'[1]MAIN-101'!$B$13:$M$787,12,FALSE)</f>
        <v>Payment for salaries and allowances for regular employees for the month of March 16-31, 2021.</v>
      </c>
      <c r="D507" s="562" t="e">
        <f>SUMIFS('[1]MAIN-101'!$Z$1:$Z$3000,'[1]MAIN-101'!$X$1:$X$3000,A507)</f>
        <v>#VALUE!</v>
      </c>
      <c r="E507" s="562">
        <f>SUMIFS('Recon of ORS and DV'!D:D,'Recon of ORS and DV'!B:B,'DV List'!A507)</f>
        <v>0</v>
      </c>
      <c r="F507" s="276" t="e">
        <f t="shared" si="7"/>
        <v>#VALUE!</v>
      </c>
      <c r="G507" t="s">
        <v>2664</v>
      </c>
    </row>
    <row r="508" spans="1:7">
      <c r="A508" t="s">
        <v>2627</v>
      </c>
      <c r="B508" t="str">
        <f>VLOOKUP(A508,'[1]MAIN-101'!$B$13:$M$787,4,FALSE)</f>
        <v>LBP F/O DTI-ADN</v>
      </c>
      <c r="C508" t="str">
        <f>VLOOKUP(A508,'[1]MAIN-101'!$B$13:$M$787,12,FALSE)</f>
        <v>Payment for salaries and allowances for regular employees for the month of March 16-31, 2021.</v>
      </c>
      <c r="D508" s="562" t="e">
        <f>SUMIFS('[1]MAIN-101'!$Z$1:$Z$3000,'[1]MAIN-101'!$X$1:$X$3000,A508)</f>
        <v>#VALUE!</v>
      </c>
      <c r="E508" s="562">
        <f>SUMIFS('Recon of ORS and DV'!D:D,'Recon of ORS and DV'!B:B,'DV List'!A508)</f>
        <v>0</v>
      </c>
      <c r="F508" s="276" t="e">
        <f t="shared" si="7"/>
        <v>#VALUE!</v>
      </c>
      <c r="G508" t="s">
        <v>2664</v>
      </c>
    </row>
    <row r="509" spans="1:7">
      <c r="A509" t="s">
        <v>2628</v>
      </c>
      <c r="B509" t="str">
        <f>VLOOKUP(A509,'[1]MAIN-101'!$B$13:$M$787,4,FALSE)</f>
        <v>LBP F/O DTI-SDS</v>
      </c>
      <c r="C509" t="str">
        <f>VLOOKUP(A509,'[1]MAIN-101'!$B$13:$M$787,12,FALSE)</f>
        <v>Payment for salaries and allowances for CARP employees for the month of March 16-31, 2021.</v>
      </c>
      <c r="D509" s="562" t="e">
        <f>SUMIFS('[1]MAIN-101'!$Z$1:$Z$3000,'[1]MAIN-101'!$X$1:$X$3000,A509)</f>
        <v>#VALUE!</v>
      </c>
      <c r="E509" s="562">
        <f>SUMIFS('Recon of ORS and DV'!D:D,'Recon of ORS and DV'!B:B,'DV List'!A509)</f>
        <v>0</v>
      </c>
      <c r="F509" s="276" t="e">
        <f t="shared" si="7"/>
        <v>#VALUE!</v>
      </c>
      <c r="G509" t="s">
        <v>2664</v>
      </c>
    </row>
    <row r="510" spans="1:7">
      <c r="A510" t="s">
        <v>2311</v>
      </c>
      <c r="B510" t="str">
        <f>VLOOKUP(A510,'[1]MAIN-101'!$B$13:$M$787,4,FALSE)</f>
        <v>Land Bank of the Philippines</v>
      </c>
      <c r="C510" t="str">
        <f>VLOOKUP(A510,'[1]MAIN-101'!$B$13:$M$787,12,FALSE)</f>
        <v>Payment for RAPID PCU SDS staff for March 1-15, 2021</v>
      </c>
      <c r="D510" s="562" t="e">
        <f>SUMIFS('[1]MAIN-101'!$Z$1:$Z$3000,'[1]MAIN-101'!$X$1:$X$3000,A510)</f>
        <v>#VALUE!</v>
      </c>
      <c r="E510" s="562" t="e">
        <f>SUMIFS('Recon of ORS and DV'!D:D,'Recon of ORS and DV'!B:B,'DV List'!A510)</f>
        <v>#VALUE!</v>
      </c>
      <c r="F510" s="276" t="e">
        <f t="shared" si="7"/>
        <v>#VALUE!</v>
      </c>
    </row>
    <row r="511" spans="1:7">
      <c r="A511" t="s">
        <v>2310</v>
      </c>
      <c r="B511" t="str">
        <f>VLOOKUP(A511,'[1]MAIN-101'!$B$13:$M$787,4,FALSE)</f>
        <v>Land Bank of the Philippines</v>
      </c>
      <c r="C511" t="str">
        <f>VLOOKUP(A511,'[1]MAIN-101'!$B$13:$M$787,12,FALSE)</f>
        <v>Payment for RAPID PCU ADS staff for March 1-15, 2021</v>
      </c>
      <c r="D511" s="562" t="e">
        <f>SUMIFS('[1]MAIN-101'!$Z$1:$Z$3000,'[1]MAIN-101'!$X$1:$X$3000,A511)</f>
        <v>#VALUE!</v>
      </c>
      <c r="E511" s="562" t="e">
        <f>SUMIFS('Recon of ORS and DV'!D:D,'Recon of ORS and DV'!B:B,'DV List'!A511)</f>
        <v>#VALUE!</v>
      </c>
      <c r="F511" s="276" t="e">
        <f t="shared" si="7"/>
        <v>#VALUE!</v>
      </c>
    </row>
    <row r="512" spans="1:7">
      <c r="A512" t="s">
        <v>2629</v>
      </c>
      <c r="B512" t="str">
        <f>VLOOKUP(A512,'[1]MAIN-101'!$B$13:$M$787,4,FALSE)</f>
        <v>Joselito B. Paler</v>
      </c>
      <c r="C512" t="str">
        <f>VLOOKUP(A512,'[1]MAIN-101'!$B$13:$M$787,12,FALSE)</f>
        <v>Payment for salaries and allowances for CARP employees for the month of March 16-31, 2021.</v>
      </c>
      <c r="D512" s="562" t="e">
        <f>SUMIFS('[1]MAIN-101'!$Z$1:$Z$3000,'[1]MAIN-101'!$X$1:$X$3000,A512)</f>
        <v>#VALUE!</v>
      </c>
      <c r="E512" s="562">
        <f>SUMIFS('Recon of ORS and DV'!D:D,'Recon of ORS and DV'!B:B,'DV List'!A512)</f>
        <v>0</v>
      </c>
      <c r="F512" s="276" t="e">
        <f t="shared" si="7"/>
        <v>#VALUE!</v>
      </c>
      <c r="G512" t="s">
        <v>2664</v>
      </c>
    </row>
    <row r="513" spans="1:9">
      <c r="A513" t="s">
        <v>2630</v>
      </c>
      <c r="B513" t="str">
        <f>VLOOKUP(A513,'[1]MAIN-101'!$B$13:$M$787,4,FALSE)</f>
        <v>LBP F/O DTI-ADN</v>
      </c>
      <c r="C513" t="str">
        <f>VLOOKUP(A513,'[1]MAIN-101'!$B$13:$M$787,12,FALSE)</f>
        <v>Payment for salaries and allowances for CARP employees for the month of March 16-31, 2021.</v>
      </c>
      <c r="D513" s="562" t="e">
        <f>SUMIFS('[1]MAIN-101'!$Z$1:$Z$3000,'[1]MAIN-101'!$X$1:$X$3000,A513)</f>
        <v>#VALUE!</v>
      </c>
      <c r="E513" s="562">
        <f>SUMIFS('Recon of ORS and DV'!D:D,'Recon of ORS and DV'!B:B,'DV List'!A513)</f>
        <v>0</v>
      </c>
      <c r="F513" s="276" t="e">
        <f t="shared" si="7"/>
        <v>#VALUE!</v>
      </c>
      <c r="G513" t="s">
        <v>2664</v>
      </c>
    </row>
    <row r="514" spans="1:9">
      <c r="A514" t="s">
        <v>2631</v>
      </c>
      <c r="B514" t="str">
        <f>VLOOKUP(A514,'[1]MAIN-101'!$B$13:$M$787,4,FALSE)</f>
        <v>Lemuel D. Roboca</v>
      </c>
      <c r="C514" t="str">
        <f>VLOOKUP(A514,'[1]MAIN-101'!$B$13:$M$787,12,FALSE)</f>
        <v>Payment for salaries and allowances for CARP employees for the month of March 16-31, 2021.</v>
      </c>
      <c r="D514" s="562" t="e">
        <f>SUMIFS('[1]MAIN-101'!$Z$1:$Z$3000,'[1]MAIN-101'!$X$1:$X$3000,A514)</f>
        <v>#VALUE!</v>
      </c>
      <c r="E514" s="562">
        <f>SUMIFS('Recon of ORS and DV'!D:D,'Recon of ORS and DV'!B:B,'DV List'!A514)</f>
        <v>0</v>
      </c>
      <c r="F514" s="276" t="e">
        <f t="shared" si="7"/>
        <v>#VALUE!</v>
      </c>
      <c r="G514" t="s">
        <v>2664</v>
      </c>
    </row>
    <row r="515" spans="1:9">
      <c r="A515" t="s">
        <v>2632</v>
      </c>
      <c r="B515" t="str">
        <f>VLOOKUP(A515,'[1]MAIN-101'!$B$13:$M$787,4,FALSE)</f>
        <v>Ma. Malen B. Catamora</v>
      </c>
      <c r="C515" t="str">
        <f>VLOOKUP(A515,'[1]MAIN-101'!$B$13:$M$787,12,FALSE)</f>
        <v>Payment for salaries and allowances for CARP employees for the month of March 16-31, 2021.</v>
      </c>
      <c r="D515" s="562" t="e">
        <f>SUMIFS('[1]MAIN-101'!$Z$1:$Z$3000,'[1]MAIN-101'!$X$1:$X$3000,A515)</f>
        <v>#VALUE!</v>
      </c>
      <c r="E515" s="562">
        <f>SUMIFS('Recon of ORS and DV'!D:D,'Recon of ORS and DV'!B:B,'DV List'!A515)</f>
        <v>0</v>
      </c>
      <c r="F515" s="276" t="e">
        <f t="shared" si="7"/>
        <v>#VALUE!</v>
      </c>
      <c r="G515" t="s">
        <v>2664</v>
      </c>
    </row>
    <row r="516" spans="1:9">
      <c r="A516" t="s">
        <v>2633</v>
      </c>
      <c r="B516" t="str">
        <f>VLOOKUP(A516,'[1]MAIN-101'!$B$13:$M$787,4,FALSE)</f>
        <v>Jumar H. Llorente</v>
      </c>
      <c r="C516" t="str">
        <f>VLOOKUP(A516,'[1]MAIN-101'!$B$13:$M$787,12,FALSE)</f>
        <v>Payment for salaries and allowances for CARP employees for the month of March 16-31, 2021.</v>
      </c>
      <c r="D516" s="562" t="e">
        <f>SUMIFS('[1]MAIN-101'!$Z$1:$Z$3000,'[1]MAIN-101'!$X$1:$X$3000,A516)</f>
        <v>#VALUE!</v>
      </c>
      <c r="E516" s="562">
        <f>SUMIFS('Recon of ORS and DV'!D:D,'Recon of ORS and DV'!B:B,'DV List'!A516)</f>
        <v>0</v>
      </c>
      <c r="F516" s="276" t="e">
        <f t="shared" si="7"/>
        <v>#VALUE!</v>
      </c>
      <c r="G516" t="s">
        <v>2664</v>
      </c>
    </row>
    <row r="517" spans="1:9">
      <c r="A517" t="s">
        <v>2634</v>
      </c>
      <c r="B517" t="str">
        <f>VLOOKUP(A517,'[1]MAIN-101'!$B$13:$M$787,4,FALSE)</f>
        <v>Carl Mars P. Ravelo</v>
      </c>
      <c r="C517" t="str">
        <f>VLOOKUP(A517,'[1]MAIN-101'!$B$13:$M$787,12,FALSE)</f>
        <v>Payment for salaries and allowances for NC employees for the month of March 16-31, 2021.</v>
      </c>
      <c r="D517" s="562" t="e">
        <f>SUMIFS('[1]MAIN-101'!$Z$1:$Z$3000,'[1]MAIN-101'!$X$1:$X$3000,A517)</f>
        <v>#VALUE!</v>
      </c>
      <c r="E517" s="562">
        <f>SUMIFS('Recon of ORS and DV'!D:D,'Recon of ORS and DV'!B:B,'DV List'!A517)</f>
        <v>0</v>
      </c>
      <c r="F517" s="276" t="e">
        <f t="shared" ref="F517:F580" si="8">D517-E517</f>
        <v>#VALUE!</v>
      </c>
      <c r="G517" t="s">
        <v>2664</v>
      </c>
    </row>
    <row r="518" spans="1:9">
      <c r="A518" t="s">
        <v>2635</v>
      </c>
      <c r="B518" t="str">
        <f>VLOOKUP(A518,'[1]MAIN-101'!$B$13:$M$787,4,FALSE)</f>
        <v>Cresal Grace C. Malabanan</v>
      </c>
      <c r="C518" t="str">
        <f>VLOOKUP(A518,'[1]MAIN-101'!$B$13:$M$787,12,FALSE)</f>
        <v>Payment for salaries and allowances for NC employees for the month of March 16-31, 2021.</v>
      </c>
      <c r="D518" s="562" t="e">
        <f>SUMIFS('[1]MAIN-101'!$Z$1:$Z$3000,'[1]MAIN-101'!$X$1:$X$3000,A518)</f>
        <v>#VALUE!</v>
      </c>
      <c r="E518" s="562">
        <f>SUMIFS('Recon of ORS and DV'!D:D,'Recon of ORS and DV'!B:B,'DV List'!A518)</f>
        <v>0</v>
      </c>
      <c r="F518" s="276" t="e">
        <f t="shared" si="8"/>
        <v>#VALUE!</v>
      </c>
      <c r="G518" t="s">
        <v>2664</v>
      </c>
    </row>
    <row r="519" spans="1:9">
      <c r="A519" t="s">
        <v>2636</v>
      </c>
      <c r="B519" t="str">
        <f>VLOOKUP(A519,'[1]MAIN-101'!$B$13:$M$787,4,FALSE)</f>
        <v>Olimar O. Sulapas</v>
      </c>
      <c r="C519" t="str">
        <f>VLOOKUP(A519,'[1]MAIN-101'!$B$13:$M$787,12,FALSE)</f>
        <v>Payment for salaries and allowances for NC employees for the month of March 16-31, 2021.</v>
      </c>
      <c r="D519" s="562" t="e">
        <f>SUMIFS('[1]MAIN-101'!$Z$1:$Z$3000,'[1]MAIN-101'!$X$1:$X$3000,A519)</f>
        <v>#VALUE!</v>
      </c>
      <c r="E519" s="562">
        <f>SUMIFS('Recon of ORS and DV'!D:D,'Recon of ORS and DV'!B:B,'DV List'!A519)</f>
        <v>0</v>
      </c>
      <c r="F519" s="276" t="e">
        <f t="shared" si="8"/>
        <v>#VALUE!</v>
      </c>
      <c r="G519" t="s">
        <v>2664</v>
      </c>
    </row>
    <row r="520" spans="1:9">
      <c r="A520" t="s">
        <v>2637</v>
      </c>
      <c r="B520" t="str">
        <f>VLOOKUP(A520,'[1]MAIN-101'!$B$13:$M$787,4,FALSE)</f>
        <v>Rezel May C. Goloran</v>
      </c>
      <c r="C520" t="str">
        <f>VLOOKUP(A520,'[1]MAIN-101'!$B$13:$M$787,12,FALSE)</f>
        <v>Payment for salaries and allowances for NC employees for the month of March 16-31, 2021.</v>
      </c>
      <c r="D520" s="562" t="e">
        <f>SUMIFS('[1]MAIN-101'!$Z$1:$Z$3000,'[1]MAIN-101'!$X$1:$X$3000,A520)</f>
        <v>#VALUE!</v>
      </c>
      <c r="E520" s="562">
        <f>SUMIFS('Recon of ORS and DV'!D:D,'Recon of ORS and DV'!B:B,'DV List'!A520)</f>
        <v>0</v>
      </c>
      <c r="F520" s="276" t="e">
        <f t="shared" si="8"/>
        <v>#VALUE!</v>
      </c>
      <c r="G520" t="s">
        <v>2664</v>
      </c>
    </row>
    <row r="521" spans="1:9">
      <c r="A521" t="s">
        <v>2638</v>
      </c>
      <c r="B521" t="str">
        <f>VLOOKUP(A521,'[1]MAIN-101'!$B$13:$M$787,4,FALSE)</f>
        <v>Elyn Rose A. Ranario</v>
      </c>
      <c r="C521" t="str">
        <f>VLOOKUP(A521,'[1]MAIN-101'!$B$13:$M$787,12,FALSE)</f>
        <v>Payment for salaries and allowances for NC employees for the month of March 16-31, 2021.</v>
      </c>
      <c r="D521" s="562" t="e">
        <f>SUMIFS('[1]MAIN-101'!$Z$1:$Z$3000,'[1]MAIN-101'!$X$1:$X$3000,A521)</f>
        <v>#VALUE!</v>
      </c>
      <c r="E521" s="562">
        <f>SUMIFS('Recon of ORS and DV'!D:D,'Recon of ORS and DV'!B:B,'DV List'!A521)</f>
        <v>0</v>
      </c>
      <c r="F521" s="276" t="e">
        <f t="shared" si="8"/>
        <v>#VALUE!</v>
      </c>
      <c r="G521" t="s">
        <v>2664</v>
      </c>
    </row>
    <row r="522" spans="1:9">
      <c r="A522" t="s">
        <v>2639</v>
      </c>
      <c r="B522" t="str">
        <f>VLOOKUP(A522,'[1]MAIN-101'!$B$13:$M$787,4,FALSE)</f>
        <v>Loida C. Gumahin</v>
      </c>
      <c r="C522" t="str">
        <f>VLOOKUP(A522,'[1]MAIN-101'!$B$13:$M$787,12,FALSE)</f>
        <v>Payment for salaries and allowances for NC employees for the month of March 16-31, 2021.</v>
      </c>
      <c r="D522" s="562" t="e">
        <f>SUMIFS('[1]MAIN-101'!$Z$1:$Z$3000,'[1]MAIN-101'!$X$1:$X$3000,A522)</f>
        <v>#VALUE!</v>
      </c>
      <c r="E522" s="562">
        <f>SUMIFS('Recon of ORS and DV'!D:D,'Recon of ORS and DV'!B:B,'DV List'!A522)</f>
        <v>0</v>
      </c>
      <c r="F522" s="276" t="e">
        <f t="shared" si="8"/>
        <v>#VALUE!</v>
      </c>
      <c r="G522" t="s">
        <v>2664</v>
      </c>
    </row>
    <row r="523" spans="1:9">
      <c r="A523" t="s">
        <v>2321</v>
      </c>
      <c r="B523" t="str">
        <f>VLOOKUP(A523,'[1]MAIN-101'!$B$13:$M$787,4,FALSE)</f>
        <v>PD, DTI-AD N</v>
      </c>
      <c r="C523" t="str">
        <f>VLOOKUP(A523,'[1]MAIN-101'!$B$13:$M$787,12,FALSE)</f>
        <v>FT for regular transfer MOOE for the month of March- May2021</v>
      </c>
      <c r="D523" s="562" t="e">
        <f>SUMIFS('[1]MAIN-101'!$Z$1:$Z$3000,'[1]MAIN-101'!$X$1:$X$3000,A523)</f>
        <v>#VALUE!</v>
      </c>
      <c r="E523" s="562" t="e">
        <f>SUMIFS('Recon of ORS and DV'!D:D,'Recon of ORS and DV'!B:B,'DV List'!A523)</f>
        <v>#VALUE!</v>
      </c>
      <c r="F523" s="276" t="e">
        <f t="shared" si="8"/>
        <v>#VALUE!</v>
      </c>
    </row>
    <row r="524" spans="1:9">
      <c r="A524" t="s">
        <v>2322</v>
      </c>
      <c r="B524" t="str">
        <f>VLOOKUP(A524,'[1]MAIN-101'!$B$13:$M$787,4,FALSE)</f>
        <v>OIC, DTI-ADS</v>
      </c>
      <c r="C524" t="str">
        <f>VLOOKUP(A524,'[1]MAIN-101'!$B$13:$M$787,12,FALSE)</f>
        <v>FT for regular transfer MOOE for the month of March- May2021</v>
      </c>
      <c r="D524" s="562" t="e">
        <f>SUMIFS('[1]MAIN-101'!$Z$1:$Z$3000,'[1]MAIN-101'!$X$1:$X$3000,A524)</f>
        <v>#VALUE!</v>
      </c>
      <c r="E524" s="562" t="e">
        <f>SUMIFS('Recon of ORS and DV'!D:D,'Recon of ORS and DV'!B:B,'DV List'!A524)</f>
        <v>#VALUE!</v>
      </c>
      <c r="F524" s="276" t="e">
        <f t="shared" si="8"/>
        <v>#VALUE!</v>
      </c>
    </row>
    <row r="525" spans="1:9">
      <c r="A525" t="s">
        <v>2640</v>
      </c>
      <c r="B525" t="str">
        <f>VLOOKUP(A525,'[1]MAIN-101'!$B$13:$M$787,4,FALSE)</f>
        <v>PD, DTI-SDN</v>
      </c>
      <c r="C525" t="str">
        <f>VLOOKUP(A525,'[1]MAIN-101'!$B$13:$M$787,12,FALSE)</f>
        <v>FT for regular transfer MOOE for the month of March- May2021</v>
      </c>
      <c r="D525" s="562" t="e">
        <f>SUMIFS('[1]MAIN-101'!$Z$1:$Z$3000,'[1]MAIN-101'!$X$1:$X$3000,A525)</f>
        <v>#VALUE!</v>
      </c>
      <c r="E525" s="562">
        <f>SUMIFS('Recon of ORS and DV'!D:D,'Recon of ORS and DV'!B:B,'DV List'!A525)</f>
        <v>505666.32</v>
      </c>
      <c r="F525" s="276" t="e">
        <f t="shared" si="8"/>
        <v>#VALUE!</v>
      </c>
      <c r="H525" t="str">
        <f>VLOOKUP(A525,'[1]MAIN-101'!$B$8:$D$783,2,FALSE)</f>
        <v>03</v>
      </c>
      <c r="I525" t="str">
        <f>VLOOKUP(A525,'[1]MAIN-101'!$B$8:$D$783,3,FALSE)</f>
        <v>0301</v>
      </c>
    </row>
    <row r="526" spans="1:9">
      <c r="A526" t="s">
        <v>2323</v>
      </c>
      <c r="B526" t="str">
        <f>VLOOKUP(A526,'[1]MAIN-101'!$B$13:$M$787,4,FALSE)</f>
        <v>PD, DTI-SDS</v>
      </c>
      <c r="C526" t="str">
        <f>VLOOKUP(A526,'[1]MAIN-101'!$B$13:$M$787,12,FALSE)</f>
        <v>FT for regular transfer MOOE for the month of March- May2021</v>
      </c>
      <c r="D526" s="562" t="e">
        <f>SUMIFS('[1]MAIN-101'!$Z$1:$Z$3000,'[1]MAIN-101'!$X$1:$X$3000,A526)</f>
        <v>#VALUE!</v>
      </c>
      <c r="E526" s="562" t="e">
        <f>SUMIFS('Recon of ORS and DV'!D:D,'Recon of ORS and DV'!B:B,'DV List'!A526)</f>
        <v>#VALUE!</v>
      </c>
      <c r="F526" s="276" t="e">
        <f t="shared" si="8"/>
        <v>#VALUE!</v>
      </c>
    </row>
    <row r="527" spans="1:9">
      <c r="A527" t="s">
        <v>2324</v>
      </c>
      <c r="B527" t="str">
        <f>VLOOKUP(A527,'[1]MAIN-101'!$B$13:$M$787,4,FALSE)</f>
        <v>OIC, DTI-PDI</v>
      </c>
      <c r="C527" t="str">
        <f>VLOOKUP(A527,'[1]MAIN-101'!$B$13:$M$787,12,FALSE)</f>
        <v>FT for regular transfer MOOE for the month of March- May2021</v>
      </c>
      <c r="D527" s="562" t="e">
        <f>SUMIFS('[1]MAIN-101'!$Z$1:$Z$3000,'[1]MAIN-101'!$X$1:$X$3000,A527)</f>
        <v>#VALUE!</v>
      </c>
      <c r="E527" s="562" t="e">
        <f>SUMIFS('Recon of ORS and DV'!D:D,'Recon of ORS and DV'!B:B,'DV List'!A527)</f>
        <v>#VALUE!</v>
      </c>
      <c r="F527" s="276" t="e">
        <f t="shared" si="8"/>
        <v>#VALUE!</v>
      </c>
    </row>
    <row r="528" spans="1:9">
      <c r="A528" t="s">
        <v>2325</v>
      </c>
      <c r="B528" t="str">
        <f>VLOOKUP(A528,'[1]MAIN-101'!$B$13:$M$787,4,FALSE)</f>
        <v>PD,DTI-SDN</v>
      </c>
      <c r="C528" t="str">
        <f>VLOOKUP(A528,'[1]MAIN-101'!$B$13:$M$787,12,FALSE)</f>
        <v>FT for LSP-NSB implementation for Jan- Spet, 2021.</v>
      </c>
      <c r="D528" s="562" t="e">
        <f>SUMIFS('[1]MAIN-101'!$Z$1:$Z$3000,'[1]MAIN-101'!$X$1:$X$3000,A528)</f>
        <v>#VALUE!</v>
      </c>
      <c r="E528" s="562" t="e">
        <f>SUMIFS('Recon of ORS and DV'!D:D,'Recon of ORS and DV'!B:B,'DV List'!A528)</f>
        <v>#VALUE!</v>
      </c>
      <c r="F528" s="276" t="e">
        <f t="shared" si="8"/>
        <v>#VALUE!</v>
      </c>
    </row>
    <row r="529" spans="1:9">
      <c r="A529" t="s">
        <v>2641</v>
      </c>
      <c r="B529" t="str">
        <f>VLOOKUP(A529,'[1]MAIN-101'!$B$13:$M$787,4,FALSE)</f>
        <v>Globe Telecom, Inc</v>
      </c>
      <c r="C529" t="str">
        <f>VLOOKUP(A529,'[1]MAIN-101'!$B$13:$M$787,12,FALSE)</f>
        <v>Payment for post paid plan subscription 09178177806 for the period May 27- June 26, 2020</v>
      </c>
      <c r="D529" s="562" t="e">
        <f>SUMIFS('[1]MAIN-101'!$Z$1:$Z$3000,'[1]MAIN-101'!$X$1:$X$3000,A529)</f>
        <v>#VALUE!</v>
      </c>
      <c r="E529" s="562">
        <f>SUMIFS('Recon of ORS and DV'!D:D,'Recon of ORS and DV'!B:B,'DV List'!A529)</f>
        <v>0</v>
      </c>
      <c r="F529" s="276" t="e">
        <f t="shared" si="8"/>
        <v>#VALUE!</v>
      </c>
      <c r="G529" t="s">
        <v>392</v>
      </c>
      <c r="H529" t="str">
        <f>VLOOKUP(A529,'[1]MAIN-101'!$B$8:$D$783,2,FALSE)</f>
        <v>12</v>
      </c>
      <c r="I529" t="str">
        <f>VLOOKUP(A529,'[1]MAIN-101'!$B$8:$D$783,3,FALSE)</f>
        <v>1843F</v>
      </c>
    </row>
    <row r="530" spans="1:9">
      <c r="A530" t="s">
        <v>2642</v>
      </c>
      <c r="B530" t="str">
        <f>VLOOKUP(A530,'[1]MAIN-101'!$B$13:$M$787,4,FALSE)</f>
        <v>Globe Telecom, Inc</v>
      </c>
      <c r="C530" t="str">
        <f>VLOOKUP(A530,'[1]MAIN-101'!$B$13:$M$787,12,FALSE)</f>
        <v>Payment for post paid plan subscription 09178177806 for the period June 27- H=July 26, 2020 for DTI-PDI Office</v>
      </c>
      <c r="D530" s="562" t="e">
        <f>SUMIFS('[1]MAIN-101'!$Z$1:$Z$3000,'[1]MAIN-101'!$X$1:$X$3000,A530)</f>
        <v>#VALUE!</v>
      </c>
      <c r="E530" s="562">
        <f>SUMIFS('Recon of ORS and DV'!D:D,'Recon of ORS and DV'!B:B,'DV List'!A530)</f>
        <v>0</v>
      </c>
      <c r="F530" s="276" t="e">
        <f t="shared" si="8"/>
        <v>#VALUE!</v>
      </c>
      <c r="G530" t="s">
        <v>392</v>
      </c>
      <c r="H530" t="str">
        <f>VLOOKUP(A530,'[1]MAIN-101'!$B$8:$D$783,2,FALSE)</f>
        <v>12</v>
      </c>
      <c r="I530" t="str">
        <f>VLOOKUP(A530,'[1]MAIN-101'!$B$8:$D$783,3,FALSE)</f>
        <v>1843G</v>
      </c>
    </row>
    <row r="531" spans="1:9">
      <c r="A531" t="s">
        <v>2320</v>
      </c>
      <c r="B531" t="str">
        <f>VLOOKUP(A531,'[1]MAIN-101'!$B$13:$M$787,4,FALSE)</f>
        <v>Arleen P. Pahamtang</v>
      </c>
      <c r="C531" t="str">
        <f>VLOOKUP(A531,'[1]MAIN-101'!$B$13:$M$787,12,FALSE)</f>
        <v>Petty cash fund replenishment 2021-02-004 Mach 2-22,2021</v>
      </c>
      <c r="D531" s="562" t="e">
        <f>SUMIFS('[1]MAIN-101'!$Z$1:$Z$3000,'[1]MAIN-101'!$X$1:$X$3000,A531)</f>
        <v>#VALUE!</v>
      </c>
      <c r="E531" s="562" t="e">
        <f>SUMIFS('Recon of ORS and DV'!D:D,'Recon of ORS and DV'!B:B,'DV List'!A531)</f>
        <v>#VALUE!</v>
      </c>
      <c r="F531" s="276" t="e">
        <f t="shared" si="8"/>
        <v>#VALUE!</v>
      </c>
    </row>
    <row r="532" spans="1:9">
      <c r="A532" t="s">
        <v>2643</v>
      </c>
      <c r="B532" t="str">
        <f>VLOOKUP(A532,'[1]MAIN-101'!$B$13:$M$787,4,FALSE)</f>
        <v>Mary Mhel Decamotan</v>
      </c>
      <c r="C532" t="str">
        <f>VLOOKUP(A532,'[1]MAIN-101'!$B$13:$M$787,12,FALSE)</f>
        <v>Reimb. Of the freight for the Rattan Bags as tokens for the PSC Meeting last December 15, 2020</v>
      </c>
      <c r="D532" s="562" t="e">
        <f>SUMIFS('[1]MAIN-101'!$Z$1:$Z$3000,'[1]MAIN-101'!$X$1:$X$3000,A532)</f>
        <v>#VALUE!</v>
      </c>
      <c r="E532" s="562">
        <f>SUMIFS('Recon of ORS and DV'!D:D,'Recon of ORS and DV'!B:B,'DV List'!A532)</f>
        <v>0</v>
      </c>
      <c r="F532" s="276" t="e">
        <f t="shared" si="8"/>
        <v>#VALUE!</v>
      </c>
      <c r="G532" t="s">
        <v>392</v>
      </c>
      <c r="H532" t="str">
        <f>VLOOKUP(A532,'[1]MAIN-101'!$B$8:$D$783,2,FALSE)</f>
        <v>12</v>
      </c>
      <c r="I532" t="str">
        <f>VLOOKUP(A532,'[1]MAIN-101'!$B$8:$D$783,3,FALSE)</f>
        <v>2028</v>
      </c>
    </row>
    <row r="533" spans="1:9">
      <c r="A533" t="s">
        <v>2644</v>
      </c>
      <c r="B533" t="str">
        <f>VLOOKUP(A533,'[1]MAIN-101'!$B$13:$M$787,4,FALSE)</f>
        <v>Myra Luz A. Gavero</v>
      </c>
      <c r="C533" t="str">
        <f>VLOOKUP(A533,'[1]MAIN-101'!$B$13:$M$787,12,FALSE)</f>
        <v>Payment of terminal leave benefits of Ms. Myra Luz A. Gavero</v>
      </c>
      <c r="D533" s="562" t="e">
        <f>SUMIFS('[1]MAIN-101'!$Z$1:$Z$3000,'[1]MAIN-101'!$X$1:$X$3000,A533)</f>
        <v>#VALUE!</v>
      </c>
      <c r="E533" s="562">
        <f>SUMIFS('Recon of ORS and DV'!D:D,'Recon of ORS and DV'!B:B,'DV List'!A533)</f>
        <v>0</v>
      </c>
      <c r="F533" s="276" t="e">
        <f t="shared" si="8"/>
        <v>#VALUE!</v>
      </c>
      <c r="G533" t="s">
        <v>392</v>
      </c>
      <c r="H533" t="str">
        <f>VLOOKUP(A533,'[1]MAIN-101'!$B$8:$D$783,2,FALSE)</f>
        <v>12</v>
      </c>
      <c r="I533" t="str">
        <f>VLOOKUP(A533,'[1]MAIN-101'!$B$8:$D$783,3,FALSE)</f>
        <v>1878</v>
      </c>
    </row>
    <row r="534" spans="1:9">
      <c r="A534" t="s">
        <v>2645</v>
      </c>
      <c r="B534" t="str">
        <f>VLOOKUP(A534,'[1]MAIN-101'!$B$13:$M$787,4,FALSE)</f>
        <v>JMN Multimedia Sales and Services</v>
      </c>
      <c r="C534" t="str">
        <f>VLOOKUP(A534,'[1]MAIN-101'!$B$13:$M$787,12,FALSE)</f>
        <v>Payment for ORD Load allowance- 4th q 2020</v>
      </c>
      <c r="D534" s="562" t="e">
        <f>SUMIFS('[1]MAIN-101'!$Z$1:$Z$3000,'[1]MAIN-101'!$X$1:$X$3000,A534)</f>
        <v>#VALUE!</v>
      </c>
      <c r="E534" s="562">
        <f>SUMIFS('Recon of ORS and DV'!D:D,'Recon of ORS and DV'!B:B,'DV List'!A534)</f>
        <v>0</v>
      </c>
      <c r="F534" s="276" t="e">
        <f t="shared" si="8"/>
        <v>#VALUE!</v>
      </c>
      <c r="G534" t="s">
        <v>392</v>
      </c>
      <c r="H534" t="str">
        <f>VLOOKUP(A534,'[1]MAIN-101'!$B$8:$D$783,2,FALSE)</f>
        <v>12</v>
      </c>
      <c r="I534" t="str">
        <f>VLOOKUP(A534,'[1]MAIN-101'!$B$8:$D$783,3,FALSE)</f>
        <v>1994</v>
      </c>
    </row>
    <row r="535" spans="1:9">
      <c r="A535" t="s">
        <v>2646</v>
      </c>
      <c r="B535" t="str">
        <f>VLOOKUP(A535,'[1]MAIN-101'!$B$13:$M$787,4,FALSE)</f>
        <v>Need Ink Sales &amp; Services</v>
      </c>
      <c r="C535" t="str">
        <f>VLOOKUP(A535,'[1]MAIN-101'!$B$13:$M$787,12,FALSE)</f>
        <v>Payment for Toner cartridge for FAD office use.</v>
      </c>
      <c r="D535" s="562" t="e">
        <f>SUMIFS('[1]MAIN-101'!$Z$1:$Z$3000,'[1]MAIN-101'!$X$1:$X$3000,A535)</f>
        <v>#VALUE!</v>
      </c>
      <c r="E535" s="562">
        <f>SUMIFS('Recon of ORS and DV'!D:D,'Recon of ORS and DV'!B:B,'DV List'!A535)</f>
        <v>0</v>
      </c>
      <c r="F535" s="276" t="e">
        <f t="shared" si="8"/>
        <v>#VALUE!</v>
      </c>
      <c r="G535" t="s">
        <v>392</v>
      </c>
      <c r="H535" t="str">
        <f>VLOOKUP(A535,'[1]MAIN-101'!$B$8:$D$783,2,FALSE)</f>
        <v>12</v>
      </c>
      <c r="I535" t="str">
        <f>VLOOKUP(A535,'[1]MAIN-101'!$B$8:$D$783,3,FALSE)</f>
        <v>2013</v>
      </c>
    </row>
    <row r="536" spans="1:9">
      <c r="A536" t="s">
        <v>2326</v>
      </c>
      <c r="B536" t="str">
        <f>VLOOKUP(A536,'[1]MAIN-101'!$B$13:$M$787,4,FALSE)</f>
        <v>PD, DTI-ADN</v>
      </c>
      <c r="C536" t="str">
        <f>VLOOKUP(A536,'[1]MAIN-101'!$B$13:$M$787,12,FALSE)</f>
        <v>Transfer of funds to cover implementation of CPD activities for 2nd and 3rd quarters budget 2021.</v>
      </c>
      <c r="D536" s="562" t="e">
        <f>SUMIFS('[1]MAIN-101'!$Z$1:$Z$3000,'[1]MAIN-101'!$X$1:$X$3000,A536)</f>
        <v>#VALUE!</v>
      </c>
      <c r="E536" s="562" t="e">
        <f>SUMIFS('Recon of ORS and DV'!D:D,'Recon of ORS and DV'!B:B,'DV List'!A536)</f>
        <v>#VALUE!</v>
      </c>
      <c r="F536" s="276" t="e">
        <f t="shared" si="8"/>
        <v>#VALUE!</v>
      </c>
    </row>
    <row r="537" spans="1:9">
      <c r="A537" t="s">
        <v>2327</v>
      </c>
      <c r="B537" t="str">
        <f>VLOOKUP(A537,'[1]MAIN-101'!$B$13:$M$787,4,FALSE)</f>
        <v>PD, DTI-SDN</v>
      </c>
      <c r="C537" t="str">
        <f>VLOOKUP(A537,'[1]MAIN-101'!$B$13:$M$787,12,FALSE)</f>
        <v>Transfer of funds to cover implementation of CPD activities for 2nd and 3rd quarters budget 2021.</v>
      </c>
      <c r="D537" s="562" t="e">
        <f>SUMIFS('[1]MAIN-101'!$Z$1:$Z$3000,'[1]MAIN-101'!$X$1:$X$3000,A537)</f>
        <v>#VALUE!</v>
      </c>
      <c r="E537" s="562" t="e">
        <f>SUMIFS('Recon of ORS and DV'!D:D,'Recon of ORS and DV'!B:B,'DV List'!A537)</f>
        <v>#VALUE!</v>
      </c>
      <c r="F537" s="276" t="e">
        <f t="shared" si="8"/>
        <v>#VALUE!</v>
      </c>
    </row>
    <row r="538" spans="1:9">
      <c r="A538" t="s">
        <v>2328</v>
      </c>
      <c r="B538" t="str">
        <f>VLOOKUP(A538,'[1]MAIN-101'!$B$13:$M$787,4,FALSE)</f>
        <v>OIC, DTI-PDI</v>
      </c>
      <c r="C538" t="str">
        <f>VLOOKUP(A538,'[1]MAIN-101'!$B$13:$M$787,12,FALSE)</f>
        <v>Transfer of funds to cover implementation of CPD activities for 2nd and 3rd quarters budget 2021.</v>
      </c>
      <c r="D538" s="562" t="e">
        <f>SUMIFS('[1]MAIN-101'!$Z$1:$Z$3000,'[1]MAIN-101'!$X$1:$X$3000,A538)</f>
        <v>#VALUE!</v>
      </c>
      <c r="E538" s="562" t="e">
        <f>SUMIFS('Recon of ORS and DV'!D:D,'Recon of ORS and DV'!B:B,'DV List'!A538)</f>
        <v>#VALUE!</v>
      </c>
      <c r="F538" s="276" t="e">
        <f t="shared" si="8"/>
        <v>#VALUE!</v>
      </c>
    </row>
    <row r="539" spans="1:9">
      <c r="A539" t="s">
        <v>2329</v>
      </c>
      <c r="B539" t="str">
        <f>VLOOKUP(A539,'[1]MAIN-101'!$B$13:$M$787,4,FALSE)</f>
        <v>PD, DTI-AD N</v>
      </c>
      <c r="C539" t="str">
        <f>VLOOKUP(A539,'[1]MAIN-101'!$B$13:$M$787,12,FALSE)</f>
        <v>Advances to the SSF MOOE - 1st-3rd Quarter 2021</v>
      </c>
      <c r="D539" s="562" t="e">
        <f>SUMIFS('[1]MAIN-101'!$Z$1:$Z$3000,'[1]MAIN-101'!$X$1:$X$3000,A539)</f>
        <v>#VALUE!</v>
      </c>
      <c r="E539" s="562" t="e">
        <f>SUMIFS('Recon of ORS and DV'!D:D,'Recon of ORS and DV'!B:B,'DV List'!A539)</f>
        <v>#VALUE!</v>
      </c>
      <c r="F539" s="276" t="e">
        <f t="shared" si="8"/>
        <v>#VALUE!</v>
      </c>
    </row>
    <row r="540" spans="1:9">
      <c r="A540" t="s">
        <v>2330</v>
      </c>
      <c r="B540" t="str">
        <f>VLOOKUP(A540,'[1]MAIN-101'!$B$13:$M$787,4,FALSE)</f>
        <v>OIC, DTI-ADS</v>
      </c>
      <c r="C540" t="str">
        <f>VLOOKUP(A540,'[1]MAIN-101'!$B$13:$M$787,12,FALSE)</f>
        <v>Advances to the SSF MOOE - 2nd-3rd Quarter 2021</v>
      </c>
      <c r="D540" s="562" t="e">
        <f>SUMIFS('[1]MAIN-101'!$Z$1:$Z$3000,'[1]MAIN-101'!$X$1:$X$3000,A540)</f>
        <v>#VALUE!</v>
      </c>
      <c r="E540" s="562" t="e">
        <f>SUMIFS('Recon of ORS and DV'!D:D,'Recon of ORS and DV'!B:B,'DV List'!A540)</f>
        <v>#VALUE!</v>
      </c>
      <c r="F540" s="276" t="e">
        <f t="shared" si="8"/>
        <v>#VALUE!</v>
      </c>
    </row>
    <row r="541" spans="1:9">
      <c r="A541" t="s">
        <v>2331</v>
      </c>
      <c r="B541" t="str">
        <f>VLOOKUP(A541,'[1]MAIN-101'!$B$13:$M$787,4,FALSE)</f>
        <v>PD, DTI-SDN</v>
      </c>
      <c r="C541" t="str">
        <f>VLOOKUP(A541,'[1]MAIN-101'!$B$13:$M$787,12,FALSE)</f>
        <v>Advances to the SSF MOOE - 2nd-3rd Quarter 2021</v>
      </c>
      <c r="D541" s="562" t="e">
        <f>SUMIFS('[1]MAIN-101'!$Z$1:$Z$3000,'[1]MAIN-101'!$X$1:$X$3000,A541)</f>
        <v>#VALUE!</v>
      </c>
      <c r="E541" s="562" t="e">
        <f>SUMIFS('Recon of ORS and DV'!D:D,'Recon of ORS and DV'!B:B,'DV List'!A541)</f>
        <v>#VALUE!</v>
      </c>
      <c r="F541" s="276" t="e">
        <f t="shared" si="8"/>
        <v>#VALUE!</v>
      </c>
    </row>
    <row r="542" spans="1:9">
      <c r="A542" t="s">
        <v>2332</v>
      </c>
      <c r="B542" t="str">
        <f>VLOOKUP(A542,'[1]MAIN-101'!$B$13:$M$787,4,FALSE)</f>
        <v>OIC, DTI- PDI</v>
      </c>
      <c r="C542" t="str">
        <f>VLOOKUP(A542,'[1]MAIN-101'!$B$13:$M$787,12,FALSE)</f>
        <v>Advances to the SSF MOOE - 2nd-3rd Quarter 2021</v>
      </c>
      <c r="D542" s="562" t="e">
        <f>SUMIFS('[1]MAIN-101'!$Z$1:$Z$3000,'[1]MAIN-101'!$X$1:$X$3000,A542)</f>
        <v>#VALUE!</v>
      </c>
      <c r="E542" s="562" t="e">
        <f>SUMIFS('Recon of ORS and DV'!D:D,'Recon of ORS and DV'!B:B,'DV List'!A542)</f>
        <v>#VALUE!</v>
      </c>
      <c r="F542" s="276" t="e">
        <f t="shared" si="8"/>
        <v>#VALUE!</v>
      </c>
    </row>
    <row r="543" spans="1:9">
      <c r="A543" t="s">
        <v>2335</v>
      </c>
      <c r="B543" t="str">
        <f>VLOOKUP(A543,'[1]MAIN-101'!$B$13:$M$787,4,FALSE)</f>
        <v>Globe Telecom, Inc</v>
      </c>
      <c r="C543" t="str">
        <f>VLOOKUP(A543,'[1]MAIN-101'!$B$13:$M$787,12,FALSE)</f>
        <v>Payment for globe post paid plan subscription for the month of January 2021</v>
      </c>
      <c r="D543" s="562" t="e">
        <f>SUMIFS('[1]MAIN-101'!$Z$1:$Z$3000,'[1]MAIN-101'!$X$1:$X$3000,A543)</f>
        <v>#VALUE!</v>
      </c>
      <c r="E543" s="562" t="e">
        <f>SUMIFS('Recon of ORS and DV'!D:D,'Recon of ORS and DV'!B:B,'DV List'!A543)</f>
        <v>#VALUE!</v>
      </c>
      <c r="F543" s="276" t="e">
        <f t="shared" si="8"/>
        <v>#VALUE!</v>
      </c>
    </row>
    <row r="544" spans="1:9">
      <c r="A544" t="s">
        <v>2341</v>
      </c>
      <c r="B544" t="str">
        <f>VLOOKUP(A544,'[1]MAIN-101'!$B$13:$M$787,4,FALSE)</f>
        <v>Balanhai Hotel</v>
      </c>
      <c r="C544" t="str">
        <f>VLOOKUP(A544,'[1]MAIN-101'!$B$13:$M$787,12,FALSE)</f>
        <v>Payment for meals re: 8th DAR-DTI-DOST synchronized assessment and planning session last March 1-2, 2021</v>
      </c>
      <c r="D544" s="562" t="e">
        <f>SUMIFS('[1]MAIN-101'!$Z$1:$Z$3000,'[1]MAIN-101'!$X$1:$X$3000,A544)</f>
        <v>#VALUE!</v>
      </c>
      <c r="E544" s="562" t="e">
        <f>SUMIFS('Recon of ORS and DV'!D:D,'Recon of ORS and DV'!B:B,'DV List'!A544)</f>
        <v>#VALUE!</v>
      </c>
      <c r="F544" s="276" t="e">
        <f t="shared" si="8"/>
        <v>#VALUE!</v>
      </c>
    </row>
    <row r="545" spans="1:9">
      <c r="A545" t="s">
        <v>2312</v>
      </c>
      <c r="B545" t="str">
        <f>VLOOKUP(A545,'[1]MAIN-101'!$B$13:$M$787,4,FALSE)</f>
        <v>Columbia Computer Center, Inc</v>
      </c>
      <c r="C545" t="str">
        <f>VLOOKUP(A545,'[1]MAIN-101'!$B$13:$M$787,12,FALSE)</f>
        <v>Payment for desktop computer for ORD use.</v>
      </c>
      <c r="D545" s="562" t="e">
        <f>SUMIFS('[1]MAIN-101'!$Z$1:$Z$3000,'[1]MAIN-101'!$X$1:$X$3000,A545)</f>
        <v>#VALUE!</v>
      </c>
      <c r="E545" s="562" t="e">
        <f>SUMIFS('Recon of ORS and DV'!D:D,'Recon of ORS and DV'!B:B,'DV List'!A545)</f>
        <v>#VALUE!</v>
      </c>
      <c r="F545" s="276" t="e">
        <f t="shared" si="8"/>
        <v>#VALUE!</v>
      </c>
    </row>
    <row r="546" spans="1:9">
      <c r="A546" t="s">
        <v>2313</v>
      </c>
      <c r="B546" t="str">
        <f>VLOOKUP(A546,'[1]MAIN-101'!$B$13:$M$787,4,FALSE)</f>
        <v>Ralph O. Gorgonio</v>
      </c>
      <c r="C546" t="str">
        <f>VLOOKUP(A546,'[1]MAIN-101'!$B$13:$M$787,12,FALSE)</f>
        <v>Reimbursment,for the procurement of Janitorial Supplies</v>
      </c>
      <c r="D546" s="562" t="e">
        <f>SUMIFS('[1]MAIN-101'!$Z$1:$Z$3000,'[1]MAIN-101'!$X$1:$X$3000,A546)</f>
        <v>#VALUE!</v>
      </c>
      <c r="E546" s="562" t="e">
        <f>SUMIFS('Recon of ORS and DV'!D:D,'Recon of ORS and DV'!B:B,'DV List'!A546)</f>
        <v>#VALUE!</v>
      </c>
      <c r="F546" s="276" t="e">
        <f t="shared" si="8"/>
        <v>#VALUE!</v>
      </c>
    </row>
    <row r="547" spans="1:9">
      <c r="A547" t="s">
        <v>2314</v>
      </c>
      <c r="B547" t="str">
        <f>VLOOKUP(A547,'[1]MAIN-101'!$B$13:$M$787,4,FALSE)</f>
        <v>Bureau of Treasury</v>
      </c>
      <c r="C547" t="str">
        <f>VLOOKUP(A547,'[1]MAIN-101'!$B$13:$M$787,12,FALSE)</f>
        <v>Paymen for bond premium -renewal of application for accountable officers and employees</v>
      </c>
      <c r="D547" s="562" t="e">
        <f>SUMIFS('[1]MAIN-101'!$Z$1:$Z$3000,'[1]MAIN-101'!$X$1:$X$3000,A547)</f>
        <v>#VALUE!</v>
      </c>
      <c r="E547" s="562" t="e">
        <f>SUMIFS('Recon of ORS and DV'!D:D,'Recon of ORS and DV'!B:B,'DV List'!A547)</f>
        <v>#VALUE!</v>
      </c>
      <c r="F547" s="276" t="e">
        <f t="shared" si="8"/>
        <v>#VALUE!</v>
      </c>
    </row>
    <row r="548" spans="1:9">
      <c r="A548" t="s">
        <v>2315</v>
      </c>
      <c r="B548" t="str">
        <f>VLOOKUP(A548,'[1]MAIN-101'!$B$13:$M$787,4,FALSE)</f>
        <v>Lorijane D. Sacote</v>
      </c>
      <c r="C548" t="str">
        <f>VLOOKUP(A548,'[1]MAIN-101'!$B$13:$M$787,12,FALSE)</f>
        <v>CA for the conduct of FTL enforcement and monitoring in Agusan del Sur on April 6-7, 2021</v>
      </c>
      <c r="D548" s="562" t="e">
        <f>SUMIFS('[1]MAIN-101'!$Z$1:$Z$3000,'[1]MAIN-101'!$X$1:$X$3000,A548)</f>
        <v>#VALUE!</v>
      </c>
      <c r="E548" s="562" t="e">
        <f>SUMIFS('Recon of ORS and DV'!D:D,'Recon of ORS and DV'!B:B,'DV List'!A548)</f>
        <v>#VALUE!</v>
      </c>
      <c r="F548" s="276" t="e">
        <f t="shared" si="8"/>
        <v>#VALUE!</v>
      </c>
    </row>
    <row r="549" spans="1:9">
      <c r="A549" t="s">
        <v>2316</v>
      </c>
      <c r="B549" t="str">
        <f>VLOOKUP(A549,'[1]MAIN-101'!$B$13:$M$787,4,FALSE)</f>
        <v>JMN Multimedia Sales and Services</v>
      </c>
      <c r="C549" t="str">
        <f>VLOOKUP(A549,'[1]MAIN-101'!$B$13:$M$787,12,FALSE)</f>
        <v>Payment for the SDD 1st quarter prepaid loadcards</v>
      </c>
      <c r="D549" s="562" t="e">
        <f>SUMIFS('[1]MAIN-101'!$Z$1:$Z$3000,'[1]MAIN-101'!$X$1:$X$3000,A549)</f>
        <v>#VALUE!</v>
      </c>
      <c r="E549" s="562" t="e">
        <f>SUMIFS('Recon of ORS and DV'!D:D,'Recon of ORS and DV'!B:B,'DV List'!A549)</f>
        <v>#VALUE!</v>
      </c>
      <c r="F549" s="276" t="e">
        <f t="shared" si="8"/>
        <v>#VALUE!</v>
      </c>
    </row>
    <row r="550" spans="1:9">
      <c r="A550" t="s">
        <v>2317</v>
      </c>
      <c r="B550" t="str">
        <f>VLOOKUP(A550,'[1]MAIN-101'!$B$13:$M$787,4,FALSE)</f>
        <v>New Aristocrat Enterprises,Inc.</v>
      </c>
      <c r="C550" t="str">
        <f>VLOOKUP(A550,'[1]MAIN-101'!$B$13:$M$787,12,FALSE)</f>
        <v>Payment for office supplies-glass board for IDD use.</v>
      </c>
      <c r="D550" s="562" t="e">
        <f>SUMIFS('[1]MAIN-101'!$Z$1:$Z$3000,'[1]MAIN-101'!$X$1:$X$3000,A550)</f>
        <v>#VALUE!</v>
      </c>
      <c r="E550" s="562" t="e">
        <f>SUMIFS('Recon of ORS and DV'!D:D,'Recon of ORS and DV'!B:B,'DV List'!A550)</f>
        <v>#VALUE!</v>
      </c>
      <c r="F550" s="276" t="e">
        <f t="shared" si="8"/>
        <v>#VALUE!</v>
      </c>
    </row>
    <row r="551" spans="1:9">
      <c r="A551" t="s">
        <v>2318</v>
      </c>
      <c r="B551" t="str">
        <f>VLOOKUP(A551,'[1]MAIN-101'!$B$13:$M$787,4,FALSE)</f>
        <v>Hi-5 Signages Fabricator</v>
      </c>
      <c r="C551" t="str">
        <f>VLOOKUP(A551,'[1]MAIN-101'!$B$13:$M$787,12,FALSE)</f>
        <v>Payment for the tarpaulin printing in celebration of the 2021 World Consumer Rights Day</v>
      </c>
      <c r="D551" s="562" t="e">
        <f>SUMIFS('[1]MAIN-101'!$Z$1:$Z$3000,'[1]MAIN-101'!$X$1:$X$3000,A551)</f>
        <v>#VALUE!</v>
      </c>
      <c r="E551" s="562" t="e">
        <f>SUMIFS('Recon of ORS and DV'!D:D,'Recon of ORS and DV'!B:B,'DV List'!A551)</f>
        <v>#VALUE!</v>
      </c>
      <c r="F551" s="276" t="e">
        <f t="shared" si="8"/>
        <v>#VALUE!</v>
      </c>
    </row>
    <row r="552" spans="1:9">
      <c r="A552" t="s">
        <v>2319</v>
      </c>
      <c r="B552" t="str">
        <f>VLOOKUP(A552,'[1]MAIN-101'!$B$13:$M$787,4,FALSE)</f>
        <v>JT Auto Shop</v>
      </c>
      <c r="C552" t="str">
        <f>VLOOKUP(A552,'[1]MAIN-101'!$B$13:$M$787,12,FALSE)</f>
        <v>DTI Caraga Motor vehicle repair and maintenance</v>
      </c>
      <c r="D552" s="562" t="e">
        <f>SUMIFS('[1]MAIN-101'!$Z$1:$Z$3000,'[1]MAIN-101'!$X$1:$X$3000,A552)</f>
        <v>#VALUE!</v>
      </c>
      <c r="E552" s="562" t="e">
        <f>SUMIFS('Recon of ORS and DV'!D:D,'Recon of ORS and DV'!B:B,'DV List'!A552)</f>
        <v>#VALUE!</v>
      </c>
      <c r="F552" s="276" t="e">
        <f t="shared" si="8"/>
        <v>#VALUE!</v>
      </c>
    </row>
    <row r="553" spans="1:9">
      <c r="A553" t="s">
        <v>2647</v>
      </c>
      <c r="B553" t="str">
        <f>VLOOKUP(A553,'[1]MAIN-101'!$B$13:$M$787,4,FALSE)</f>
        <v>LG Supplies and General Merchandise</v>
      </c>
      <c r="C553" t="str">
        <f>VLOOKUP(A553,'[1]MAIN-101'!$B$13:$M$787,12,FALSE)</f>
        <v>Payment for IT Supplies- ORD use</v>
      </c>
      <c r="D553" s="562" t="e">
        <f>SUMIFS('[1]MAIN-101'!$Z$1:$Z$3000,'[1]MAIN-101'!$X$1:$X$3000,A553)</f>
        <v>#VALUE!</v>
      </c>
      <c r="E553" s="562">
        <f>SUMIFS('Recon of ORS and DV'!D:D,'Recon of ORS and DV'!B:B,'DV List'!A553)</f>
        <v>0</v>
      </c>
      <c r="F553" s="276" t="e">
        <f t="shared" si="8"/>
        <v>#VALUE!</v>
      </c>
      <c r="G553" t="s">
        <v>392</v>
      </c>
      <c r="H553" t="str">
        <f>VLOOKUP(A553,'[1]MAIN-101'!$B$8:$D$783,2,FALSE)</f>
        <v>12</v>
      </c>
      <c r="I553" t="str">
        <f>VLOOKUP(A553,'[1]MAIN-101'!$B$8:$D$783,3,FALSE)</f>
        <v>1993</v>
      </c>
    </row>
    <row r="554" spans="1:9">
      <c r="A554" t="s">
        <v>2336</v>
      </c>
      <c r="B554" t="str">
        <f>VLOOKUP(A554,'[1]MAIN-101'!$B$13:$M$787,4,FALSE)</f>
        <v>PD, DTI-AD N</v>
      </c>
      <c r="C554" t="str">
        <f>VLOOKUP(A554,'[1]MAIN-101'!$B$13:$M$787,12,FALSE)</f>
        <v>FT re: under OO3 programs</v>
      </c>
      <c r="D554" s="562" t="e">
        <f>SUMIFS('[1]MAIN-101'!$Z$1:$Z$3000,'[1]MAIN-101'!$X$1:$X$3000,A554)</f>
        <v>#VALUE!</v>
      </c>
      <c r="E554" s="562" t="e">
        <f>SUMIFS('Recon of ORS and DV'!D:D,'Recon of ORS and DV'!B:B,'DV List'!A554)</f>
        <v>#VALUE!</v>
      </c>
      <c r="F554" s="276" t="e">
        <f t="shared" si="8"/>
        <v>#VALUE!</v>
      </c>
    </row>
    <row r="555" spans="1:9">
      <c r="A555" t="s">
        <v>2337</v>
      </c>
      <c r="B555" t="str">
        <f>VLOOKUP(A555,'[1]MAIN-101'!$B$13:$M$787,4,FALSE)</f>
        <v>OIC, DTI-ADS</v>
      </c>
      <c r="C555" t="str">
        <f>VLOOKUP(A555,'[1]MAIN-101'!$B$13:$M$787,12,FALSE)</f>
        <v>FT re: under OO3 programs</v>
      </c>
      <c r="D555" s="562" t="e">
        <f>SUMIFS('[1]MAIN-101'!$Z$1:$Z$3000,'[1]MAIN-101'!$X$1:$X$3000,A555)</f>
        <v>#VALUE!</v>
      </c>
      <c r="E555" s="562" t="e">
        <f>SUMIFS('Recon of ORS and DV'!D:D,'Recon of ORS and DV'!B:B,'DV List'!A555)</f>
        <v>#VALUE!</v>
      </c>
      <c r="F555" s="276" t="e">
        <f t="shared" si="8"/>
        <v>#VALUE!</v>
      </c>
    </row>
    <row r="556" spans="1:9">
      <c r="A556" t="s">
        <v>2338</v>
      </c>
      <c r="B556" t="str">
        <f>VLOOKUP(A556,'[1]MAIN-101'!$B$13:$M$787,4,FALSE)</f>
        <v>PD, DTI-SDN</v>
      </c>
      <c r="C556" t="str">
        <f>VLOOKUP(A556,'[1]MAIN-101'!$B$13:$M$787,12,FALSE)</f>
        <v>FT re: under OO3 programs</v>
      </c>
      <c r="D556" s="562" t="e">
        <f>SUMIFS('[1]MAIN-101'!$Z$1:$Z$3000,'[1]MAIN-101'!$X$1:$X$3000,A556)</f>
        <v>#VALUE!</v>
      </c>
      <c r="E556" s="562" t="e">
        <f>SUMIFS('Recon of ORS and DV'!D:D,'Recon of ORS and DV'!B:B,'DV List'!A556)</f>
        <v>#VALUE!</v>
      </c>
      <c r="F556" s="276" t="e">
        <f t="shared" si="8"/>
        <v>#VALUE!</v>
      </c>
    </row>
    <row r="557" spans="1:9">
      <c r="A557" t="s">
        <v>2339</v>
      </c>
      <c r="B557" t="str">
        <f>VLOOKUP(A557,'[1]MAIN-101'!$B$13:$M$787,4,FALSE)</f>
        <v>PD, DTI-SDS</v>
      </c>
      <c r="C557" t="str">
        <f>VLOOKUP(A557,'[1]MAIN-101'!$B$13:$M$787,12,FALSE)</f>
        <v>FT re: under OO3 programs</v>
      </c>
      <c r="D557" s="562" t="e">
        <f>SUMIFS('[1]MAIN-101'!$Z$1:$Z$3000,'[1]MAIN-101'!$X$1:$X$3000,A557)</f>
        <v>#VALUE!</v>
      </c>
      <c r="E557" s="562" t="e">
        <f>SUMIFS('Recon of ORS and DV'!D:D,'Recon of ORS and DV'!B:B,'DV List'!A557)</f>
        <v>#VALUE!</v>
      </c>
      <c r="F557" s="276" t="e">
        <f t="shared" si="8"/>
        <v>#VALUE!</v>
      </c>
    </row>
    <row r="558" spans="1:9">
      <c r="A558" t="s">
        <v>2340</v>
      </c>
      <c r="B558" t="str">
        <f>VLOOKUP(A558,'[1]MAIN-101'!$B$13:$M$787,4,FALSE)</f>
        <v>OIC, DTI-PDI</v>
      </c>
      <c r="C558" t="str">
        <f>VLOOKUP(A558,'[1]MAIN-101'!$B$13:$M$787,12,FALSE)</f>
        <v>FT re: under OO3 programs</v>
      </c>
      <c r="D558" s="562" t="e">
        <f>SUMIFS('[1]MAIN-101'!$Z$1:$Z$3000,'[1]MAIN-101'!$X$1:$X$3000,A558)</f>
        <v>#VALUE!</v>
      </c>
      <c r="E558" s="562" t="e">
        <f>SUMIFS('Recon of ORS and DV'!D:D,'Recon of ORS and DV'!B:B,'DV List'!A558)</f>
        <v>#VALUE!</v>
      </c>
      <c r="F558" s="276" t="e">
        <f t="shared" si="8"/>
        <v>#VALUE!</v>
      </c>
    </row>
    <row r="559" spans="1:9">
      <c r="A559" t="s">
        <v>2648</v>
      </c>
      <c r="B559" t="str">
        <f>VLOOKUP(A559,'[1]MAIN-101'!$B$13:$M$787,4,FALSE)</f>
        <v>OIC-DTI-SDN</v>
      </c>
      <c r="C559" t="str">
        <f>VLOOKUP(A559,'[1]MAIN-101'!$B$13:$M$787,12,FALSE)</f>
        <v>Advances, Regular MOOE for the month of November- December 2020</v>
      </c>
      <c r="D559" s="562" t="e">
        <f>SUMIFS('[1]MAIN-101'!$Z$1:$Z$3000,'[1]MAIN-101'!$X$1:$X$3000,A559)</f>
        <v>#VALUE!</v>
      </c>
      <c r="E559" s="562">
        <f>SUMIFS('Recon of ORS and DV'!D:D,'Recon of ORS and DV'!B:B,'DV List'!A559)</f>
        <v>0</v>
      </c>
      <c r="F559" s="276" t="e">
        <f t="shared" si="8"/>
        <v>#VALUE!</v>
      </c>
      <c r="G559" t="s">
        <v>392</v>
      </c>
      <c r="H559" t="str">
        <f>VLOOKUP(A559,'[1]MAIN-101'!$B$8:$D$783,2,FALSE)</f>
        <v>12</v>
      </c>
      <c r="I559" t="str">
        <f>VLOOKUP(A559,'[1]MAIN-101'!$B$8:$D$783,3,FALSE)</f>
        <v>1841</v>
      </c>
    </row>
    <row r="560" spans="1:9">
      <c r="A560" t="s">
        <v>2649</v>
      </c>
      <c r="B560" t="str">
        <f>VLOOKUP(A560,'[1]MAIN-101'!$B$13:$M$787,4,FALSE)</f>
        <v>PD, DTI-SDS</v>
      </c>
      <c r="C560" t="str">
        <f>VLOOKUP(A560,'[1]MAIN-101'!$B$13:$M$787,12,FALSE)</f>
        <v>Advances, Regular MOOE for the month of November- December 2020</v>
      </c>
      <c r="D560" s="562" t="e">
        <f>SUMIFS('[1]MAIN-101'!$Z$1:$Z$3000,'[1]MAIN-101'!$X$1:$X$3000,A560)</f>
        <v>#VALUE!</v>
      </c>
      <c r="E560" s="562">
        <f>SUMIFS('Recon of ORS and DV'!D:D,'Recon of ORS and DV'!B:B,'DV List'!A560)</f>
        <v>0</v>
      </c>
      <c r="F560" s="276" t="e">
        <f t="shared" si="8"/>
        <v>#VALUE!</v>
      </c>
      <c r="G560" t="s">
        <v>392</v>
      </c>
      <c r="H560" t="str">
        <f>VLOOKUP(A560,'[1]MAIN-101'!$B$8:$D$783,2,FALSE)</f>
        <v>12</v>
      </c>
      <c r="I560" t="str">
        <f>VLOOKUP(A560,'[1]MAIN-101'!$B$8:$D$783,3,FALSE)</f>
        <v>1842</v>
      </c>
    </row>
    <row r="561" spans="1:9">
      <c r="A561" t="s">
        <v>2650</v>
      </c>
      <c r="B561" t="str">
        <f>VLOOKUP(A561,'[1]MAIN-101'!$B$13:$M$787,4,FALSE)</f>
        <v>PD, DTI-PDI</v>
      </c>
      <c r="C561" t="str">
        <f>VLOOKUP(A561,'[1]MAIN-101'!$B$13:$M$787,12,FALSE)</f>
        <v>Advances, Regular MOOE for the month of November- December 2020</v>
      </c>
      <c r="D561" s="562" t="e">
        <f>SUMIFS('[1]MAIN-101'!$Z$1:$Z$3000,'[1]MAIN-101'!$X$1:$X$3000,A561)</f>
        <v>#VALUE!</v>
      </c>
      <c r="E561" s="562">
        <f>SUMIFS('Recon of ORS and DV'!D:D,'Recon of ORS and DV'!B:B,'DV List'!A561)</f>
        <v>0</v>
      </c>
      <c r="F561" s="276" t="e">
        <f t="shared" si="8"/>
        <v>#VALUE!</v>
      </c>
      <c r="G561" t="s">
        <v>392</v>
      </c>
      <c r="H561" t="str">
        <f>VLOOKUP(A561,'[1]MAIN-101'!$B$8:$D$783,2,FALSE)</f>
        <v>12</v>
      </c>
      <c r="I561" t="str">
        <f>VLOOKUP(A561,'[1]MAIN-101'!$B$8:$D$783,3,FALSE)</f>
        <v>1843</v>
      </c>
    </row>
    <row r="562" spans="1:9">
      <c r="A562" t="s">
        <v>2651</v>
      </c>
      <c r="B562" t="str">
        <f>VLOOKUP(A562,'[1]MAIN-101'!$B$13:$M$787,4,FALSE)</f>
        <v>Elynur H. Gambet-Minglana</v>
      </c>
      <c r="C562" t="str">
        <f>VLOOKUP(A562,'[1]MAIN-101'!$B$13:$M$787,12,FALSE)</f>
        <v>Payment for salary and allowances for March 16-31, 2021</v>
      </c>
      <c r="D562" s="562" t="e">
        <f>SUMIFS('[1]MAIN-101'!$Z$1:$Z$3000,'[1]MAIN-101'!$X$1:$X$3000,A562)</f>
        <v>#VALUE!</v>
      </c>
      <c r="E562" s="562">
        <f>SUMIFS('Recon of ORS and DV'!D:D,'Recon of ORS and DV'!B:B,'DV List'!A562)</f>
        <v>0</v>
      </c>
      <c r="F562" s="276" t="e">
        <f t="shared" si="8"/>
        <v>#VALUE!</v>
      </c>
      <c r="G562" t="s">
        <v>2664</v>
      </c>
    </row>
    <row r="563" spans="1:9">
      <c r="A563" t="s">
        <v>2351</v>
      </c>
      <c r="B563" t="str">
        <f>VLOOKUP(A563,'[1]MAIN-101'!$B$13:$M$787,4,FALSE)</f>
        <v>PD, DTI-ADN</v>
      </c>
      <c r="C563" t="str">
        <f>VLOOKUP(A563,'[1]MAIN-101'!$B$13:$M$787,12,FALSE)</f>
        <v>FT for 2021 GAD activities OO1</v>
      </c>
      <c r="D563" s="562" t="e">
        <f>SUMIFS('[1]MAIN-101'!$Z$1:$Z$3000,'[1]MAIN-101'!$X$1:$X$3000,A563)</f>
        <v>#VALUE!</v>
      </c>
      <c r="E563" s="562" t="e">
        <f>SUMIFS('Recon of ORS and DV'!D:D,'Recon of ORS and DV'!B:B,'DV List'!A563)</f>
        <v>#VALUE!</v>
      </c>
      <c r="F563" s="276" t="e">
        <f t="shared" si="8"/>
        <v>#VALUE!</v>
      </c>
    </row>
    <row r="564" spans="1:9">
      <c r="A564" t="s">
        <v>2352</v>
      </c>
      <c r="B564" t="str">
        <f>VLOOKUP(A564,'[1]MAIN-101'!$B$13:$M$787,4,FALSE)</f>
        <v>OIC, DTI-ADS</v>
      </c>
      <c r="C564" t="str">
        <f>VLOOKUP(A564,'[1]MAIN-101'!$B$13:$M$787,12,FALSE)</f>
        <v>FT for 2021 GAD activities OO1</v>
      </c>
      <c r="D564" s="562" t="e">
        <f>SUMIFS('[1]MAIN-101'!$Z$1:$Z$3000,'[1]MAIN-101'!$X$1:$X$3000,A564)</f>
        <v>#VALUE!</v>
      </c>
      <c r="E564" s="562" t="e">
        <f>SUMIFS('Recon of ORS and DV'!D:D,'Recon of ORS and DV'!B:B,'DV List'!A564)</f>
        <v>#VALUE!</v>
      </c>
      <c r="F564" s="276" t="e">
        <f t="shared" si="8"/>
        <v>#VALUE!</v>
      </c>
    </row>
    <row r="565" spans="1:9">
      <c r="A565" t="s">
        <v>2353</v>
      </c>
      <c r="B565" t="str">
        <f>VLOOKUP(A565,'[1]MAIN-101'!$B$13:$M$787,4,FALSE)</f>
        <v>PD, DTI-SDN</v>
      </c>
      <c r="C565" t="str">
        <f>VLOOKUP(A565,'[1]MAIN-101'!$B$13:$M$787,12,FALSE)</f>
        <v>FT for 2021 GAD activities OO1</v>
      </c>
      <c r="D565" s="562" t="e">
        <f>SUMIFS('[1]MAIN-101'!$Z$1:$Z$3000,'[1]MAIN-101'!$X$1:$X$3000,A565)</f>
        <v>#VALUE!</v>
      </c>
      <c r="E565" s="562" t="e">
        <f>SUMIFS('Recon of ORS and DV'!D:D,'Recon of ORS and DV'!B:B,'DV List'!A565)</f>
        <v>#VALUE!</v>
      </c>
      <c r="F565" s="276" t="e">
        <f t="shared" si="8"/>
        <v>#VALUE!</v>
      </c>
    </row>
    <row r="566" spans="1:9">
      <c r="A566" t="s">
        <v>2354</v>
      </c>
      <c r="B566" t="str">
        <f>VLOOKUP(A566,'[1]MAIN-101'!$B$13:$M$787,4,FALSE)</f>
        <v>OIC, DTI-PDI</v>
      </c>
      <c r="C566" t="str">
        <f>VLOOKUP(A566,'[1]MAIN-101'!$B$13:$M$787,12,FALSE)</f>
        <v>FT for 2021 GAD activities OO1</v>
      </c>
      <c r="D566" s="562" t="e">
        <f>SUMIFS('[1]MAIN-101'!$Z$1:$Z$3000,'[1]MAIN-101'!$X$1:$X$3000,A566)</f>
        <v>#VALUE!</v>
      </c>
      <c r="E566" s="562" t="e">
        <f>SUMIFS('Recon of ORS and DV'!D:D,'Recon of ORS and DV'!B:B,'DV List'!A566)</f>
        <v>#VALUE!</v>
      </c>
      <c r="F566" s="276" t="e">
        <f t="shared" si="8"/>
        <v>#VALUE!</v>
      </c>
    </row>
    <row r="567" spans="1:9">
      <c r="A567" t="s">
        <v>2343</v>
      </c>
      <c r="B567" t="str">
        <f>VLOOKUP(A567,'[1]MAIN-101'!$B$13:$M$787,4,FALSE)</f>
        <v>LBP F/O DTI-JO</v>
      </c>
      <c r="C567" t="str">
        <f>VLOOKUP(A567,'[1]MAIN-101'!$B$13:$M$787,12,FALSE)</f>
        <v>Payment of Job orders for the period March 16-31, 2021</v>
      </c>
      <c r="D567" s="562" t="e">
        <f>SUMIFS('[1]MAIN-101'!$Z$1:$Z$3000,'[1]MAIN-101'!$X$1:$X$3000,A567)</f>
        <v>#VALUE!</v>
      </c>
      <c r="E567" s="562" t="e">
        <f>SUMIFS('Recon of ORS and DV'!D:D,'Recon of ORS and DV'!B:B,'DV List'!A567)</f>
        <v>#VALUE!</v>
      </c>
      <c r="F567" s="276" t="e">
        <f t="shared" si="8"/>
        <v>#VALUE!</v>
      </c>
    </row>
    <row r="568" spans="1:9">
      <c r="A568" t="s">
        <v>2344</v>
      </c>
      <c r="B568" t="str">
        <f>VLOOKUP(A568,'[1]MAIN-101'!$B$13:$M$787,4,FALSE)</f>
        <v>Mandaue Foam</v>
      </c>
      <c r="C568" t="str">
        <f>VLOOKUP(A568,'[1]MAIN-101'!$B$13:$M$787,12,FALSE)</f>
        <v>Payment for the mobile pedestal for the office of the RD</v>
      </c>
      <c r="D568" s="562" t="e">
        <f>SUMIFS('[1]MAIN-101'!$Z$1:$Z$3000,'[1]MAIN-101'!$X$1:$X$3000,A568)</f>
        <v>#VALUE!</v>
      </c>
      <c r="E568" s="562" t="e">
        <f>SUMIFS('Recon of ORS and DV'!D:D,'Recon of ORS and DV'!B:B,'DV List'!A568)</f>
        <v>#VALUE!</v>
      </c>
      <c r="F568" s="276" t="e">
        <f t="shared" si="8"/>
        <v>#VALUE!</v>
      </c>
    </row>
    <row r="569" spans="1:9">
      <c r="A569" t="s">
        <v>2342</v>
      </c>
      <c r="B569" t="str">
        <f>VLOOKUP(A569,'[1]MAIN-101'!$B$13:$M$787,4,FALSE)</f>
        <v>Aneco, Inc.</v>
      </c>
      <c r="C569" t="str">
        <f>VLOOKUP(A569,'[1]MAIN-101'!$B$13:$M$787,12,FALSE)</f>
        <v>Payment for electricity for Dec 20-Jan 19, 2021</v>
      </c>
      <c r="D569" s="562" t="e">
        <f>SUMIFS('[1]MAIN-101'!$Z$1:$Z$3000,'[1]MAIN-101'!$X$1:$X$3000,A569)</f>
        <v>#VALUE!</v>
      </c>
      <c r="E569" s="562" t="e">
        <f>SUMIFS('Recon of ORS and DV'!D:D,'Recon of ORS and DV'!B:B,'DV List'!A569)</f>
        <v>#VALUE!</v>
      </c>
      <c r="F569" s="276" t="e">
        <f t="shared" si="8"/>
        <v>#VALUE!</v>
      </c>
    </row>
    <row r="570" spans="1:9">
      <c r="A570" t="s">
        <v>2652</v>
      </c>
      <c r="B570" t="str">
        <f>VLOOKUP(A570,'[1]MAIN-101'!$B$13:$M$787,4,FALSE)</f>
        <v>Aneco, Inc.</v>
      </c>
      <c r="C570" t="str">
        <f>VLOOKUP(A570,'[1]MAIN-101'!$B$13:$M$787,12,FALSE)</f>
        <v>Payment for electricity for Oct 20-Nov 9, 2020</v>
      </c>
      <c r="D570" s="562" t="e">
        <f>SUMIFS('[1]MAIN-101'!$Z$1:$Z$3000,'[1]MAIN-101'!$X$1:$X$3000,A570)</f>
        <v>#VALUE!</v>
      </c>
      <c r="E570" s="562">
        <f>SUMIFS('Recon of ORS and DV'!D:D,'Recon of ORS and DV'!B:B,'DV List'!A570)</f>
        <v>0</v>
      </c>
      <c r="F570" s="276" t="e">
        <f t="shared" si="8"/>
        <v>#VALUE!</v>
      </c>
      <c r="G570" t="s">
        <v>392</v>
      </c>
      <c r="H570" t="str">
        <f>VLOOKUP(A570,'[1]MAIN-101'!$B$8:$D$783,2,FALSE)</f>
        <v>12</v>
      </c>
      <c r="I570" t="str">
        <f>VLOOKUP(A570,'[1]MAIN-101'!$B$8:$D$783,3,FALSE)</f>
        <v>2048</v>
      </c>
    </row>
    <row r="571" spans="1:9">
      <c r="A571" t="s">
        <v>2355</v>
      </c>
      <c r="B571" t="str">
        <f>VLOOKUP(A571,'[1]MAIN-101'!$B$13:$M$787,4,FALSE)</f>
        <v>Land Bank of the Philippines</v>
      </c>
      <c r="C571" t="str">
        <f>VLOOKUP(A571,'[1]MAIN-101'!$B$13:$M$787,12,FALSE)</f>
        <v>Reimb. Of excess expenses from cash advances of various employees</v>
      </c>
      <c r="D571" s="562" t="e">
        <f>SUMIFS('[1]MAIN-101'!$Z$1:$Z$3000,'[1]MAIN-101'!$X$1:$X$3000,A571)</f>
        <v>#VALUE!</v>
      </c>
      <c r="E571" s="562" t="e">
        <f>SUMIFS('Recon of ORS and DV'!D:D,'Recon of ORS and DV'!B:B,'DV List'!A571)</f>
        <v>#VALUE!</v>
      </c>
      <c r="F571" s="276" t="e">
        <f t="shared" si="8"/>
        <v>#VALUE!</v>
      </c>
    </row>
    <row r="572" spans="1:9">
      <c r="A572" t="s">
        <v>2356</v>
      </c>
      <c r="B572" t="str">
        <f>VLOOKUP(A572,'[1]MAIN-101'!$B$13:$M$787,4,FALSE)</f>
        <v>Al. A. Oliverio</v>
      </c>
      <c r="C572" t="str">
        <f>VLOOKUP(A572,'[1]MAIN-101'!$B$13:$M$787,12,FALSE)</f>
        <v>Salaries for RAPID PCU SDS staff(driver)-March 1-15, 2021</v>
      </c>
      <c r="D572" s="562" t="e">
        <f>SUMIFS('[1]MAIN-101'!$Z$1:$Z$3000,'[1]MAIN-101'!$X$1:$X$3000,A572)</f>
        <v>#VALUE!</v>
      </c>
      <c r="E572" s="562" t="e">
        <f>SUMIFS('Recon of ORS and DV'!D:D,'Recon of ORS and DV'!B:B,'DV List'!A572)</f>
        <v>#VALUE!</v>
      </c>
      <c r="F572" s="276" t="e">
        <f t="shared" si="8"/>
        <v>#VALUE!</v>
      </c>
    </row>
    <row r="573" spans="1:9">
      <c r="A573" t="s">
        <v>2345</v>
      </c>
      <c r="B573" t="str">
        <f>VLOOKUP(A573,'[1]MAIN-101'!$B$13:$M$787,4,FALSE)</f>
        <v>Globe Telecom, Inc</v>
      </c>
      <c r="C573" t="str">
        <f>VLOOKUP(A573,'[1]MAIN-101'!$B$13:$M$787,12,FALSE)</f>
        <v>To payment of Globe postpaid plan subscription for the month of February 6-March 15, 2021</v>
      </c>
      <c r="D573" s="562" t="e">
        <f>SUMIFS('[1]MAIN-101'!$Z$1:$Z$3000,'[1]MAIN-101'!$X$1:$X$3000,A573)</f>
        <v>#VALUE!</v>
      </c>
      <c r="E573" s="562" t="e">
        <f>SUMIFS('Recon of ORS and DV'!D:D,'Recon of ORS and DV'!B:B,'DV List'!A573)</f>
        <v>#VALUE!</v>
      </c>
      <c r="F573" s="276" t="e">
        <f t="shared" si="8"/>
        <v>#VALUE!</v>
      </c>
    </row>
    <row r="574" spans="1:9">
      <c r="A574" t="s">
        <v>2346</v>
      </c>
      <c r="B574" t="str">
        <f>VLOOKUP(A574,'[1]MAIN-101'!$B$13:$M$787,4,FALSE)</f>
        <v>Procurement Service</v>
      </c>
      <c r="C574" t="str">
        <f>VLOOKUP(A574,'[1]MAIN-101'!$B$13:$M$787,12,FALSE)</f>
        <v>Payment for SDD 1ST QUARTER 2021 Office supplies</v>
      </c>
      <c r="D574" s="562" t="e">
        <f>SUMIFS('[1]MAIN-101'!$Z$1:$Z$3000,'[1]MAIN-101'!$X$1:$X$3000,A574)</f>
        <v>#VALUE!</v>
      </c>
      <c r="E574" s="562" t="e">
        <f>SUMIFS('Recon of ORS and DV'!D:D,'Recon of ORS and DV'!B:B,'DV List'!A574)</f>
        <v>#VALUE!</v>
      </c>
      <c r="F574" s="276" t="e">
        <f t="shared" si="8"/>
        <v>#VALUE!</v>
      </c>
    </row>
    <row r="575" spans="1:9">
      <c r="A575" t="s">
        <v>2347</v>
      </c>
      <c r="B575" t="str">
        <f>VLOOKUP(A575,'[1]MAIN-101'!$B$13:$M$787,4,FALSE)</f>
        <v>Fevi V. Silvosa</v>
      </c>
      <c r="C575" t="str">
        <f>VLOOKUP(A575,'[1]MAIN-101'!$B$13:$M$787,12,FALSE)</f>
        <v>Payment of Job orders for the period March 16-31, 2021</v>
      </c>
      <c r="D575" s="562" t="e">
        <f>SUMIFS('[1]MAIN-101'!$Z$1:$Z$3000,'[1]MAIN-101'!$X$1:$X$3000,A575)</f>
        <v>#VALUE!</v>
      </c>
      <c r="E575" s="562" t="e">
        <f>SUMIFS('Recon of ORS and DV'!D:D,'Recon of ORS and DV'!B:B,'DV List'!A575)</f>
        <v>#VALUE!</v>
      </c>
      <c r="F575" s="276" t="e">
        <f t="shared" si="8"/>
        <v>#VALUE!</v>
      </c>
    </row>
    <row r="576" spans="1:9">
      <c r="A576" t="s">
        <v>2348</v>
      </c>
      <c r="B576" t="str">
        <f>VLOOKUP(A576,'[1]MAIN-101'!$B$13:$M$787,4,FALSE)</f>
        <v>D.O Plaza Holdings Corp.</v>
      </c>
      <c r="C576" t="str">
        <f>VLOOKUP(A576,'[1]MAIN-101'!$B$13:$M$787,12,FALSE)</f>
        <v>Payment for office rental for the month of January 2021</v>
      </c>
      <c r="D576" s="562" t="e">
        <f>SUMIFS('[1]MAIN-101'!$Z$1:$Z$3000,'[1]MAIN-101'!$X$1:$X$3000,A576)</f>
        <v>#VALUE!</v>
      </c>
      <c r="E576" s="562" t="e">
        <f>SUMIFS('Recon of ORS and DV'!D:D,'Recon of ORS and DV'!B:B,'DV List'!A576)</f>
        <v>#VALUE!</v>
      </c>
      <c r="F576" s="276" t="e">
        <f t="shared" si="8"/>
        <v>#VALUE!</v>
      </c>
    </row>
    <row r="577" spans="1:9">
      <c r="A577" t="s">
        <v>2349</v>
      </c>
      <c r="B577" t="str">
        <f>VLOOKUP(A577,'[1]MAIN-101'!$B$13:$M$787,4,FALSE)</f>
        <v>Butuan City Water District</v>
      </c>
      <c r="C577" t="str">
        <f>VLOOKUP(A577,'[1]MAIN-101'!$B$13:$M$787,12,FALSE)</f>
        <v>Payment for water consumption for Feb 2021</v>
      </c>
      <c r="D577" s="562" t="e">
        <f>SUMIFS('[1]MAIN-101'!$Z$1:$Z$3000,'[1]MAIN-101'!$X$1:$X$3000,A577)</f>
        <v>#VALUE!</v>
      </c>
      <c r="E577" s="562" t="e">
        <f>SUMIFS('Recon of ORS and DV'!D:D,'Recon of ORS and DV'!B:B,'DV List'!A577)</f>
        <v>#VALUE!</v>
      </c>
      <c r="F577" s="276" t="e">
        <f t="shared" si="8"/>
        <v>#VALUE!</v>
      </c>
    </row>
    <row r="578" spans="1:9">
      <c r="A578" t="s">
        <v>2350</v>
      </c>
      <c r="B578" t="str">
        <f>VLOOKUP(A578,'[1]MAIN-101'!$B$13:$M$787,4,FALSE)</f>
        <v>Aneco, Inc.</v>
      </c>
      <c r="C578" t="str">
        <f>VLOOKUP(A578,'[1]MAIN-101'!$B$13:$M$787,12,FALSE)</f>
        <v>Payment for electricity for November 20-Dec 19, 2020</v>
      </c>
      <c r="D578" s="562" t="e">
        <f>SUMIFS('[1]MAIN-101'!$Z$1:$Z$3000,'[1]MAIN-101'!$X$1:$X$3000,A578)</f>
        <v>#VALUE!</v>
      </c>
      <c r="E578" s="562" t="e">
        <f>SUMIFS('Recon of ORS and DV'!D:D,'Recon of ORS and DV'!B:B,'DV List'!A578)</f>
        <v>#VALUE!</v>
      </c>
      <c r="F578" s="276" t="e">
        <f t="shared" si="8"/>
        <v>#VALUE!</v>
      </c>
    </row>
    <row r="579" spans="1:9">
      <c r="A579" t="s">
        <v>2653</v>
      </c>
      <c r="B579" t="str">
        <f>VLOOKUP(A579,'[1]MAIN-101'!$B$13:$M$787,4,FALSE)</f>
        <v>Aneco, Inc.</v>
      </c>
      <c r="C579" t="str">
        <f>VLOOKUP(A579,'[1]MAIN-101'!$B$13:$M$787,12,FALSE)</f>
        <v>Partial payment for utilities expenses -electricity for the period November 20- December 19, 2020</v>
      </c>
      <c r="D579" s="562" t="e">
        <f>SUMIFS('[1]MAIN-101'!$Z$1:$Z$3000,'[1]MAIN-101'!$X$1:$X$3000,A579)</f>
        <v>#VALUE!</v>
      </c>
      <c r="E579" s="562">
        <f>SUMIFS('Recon of ORS and DV'!D:D,'Recon of ORS and DV'!B:B,'DV List'!A579)</f>
        <v>0</v>
      </c>
      <c r="F579" s="276" t="e">
        <f t="shared" si="8"/>
        <v>#VALUE!</v>
      </c>
      <c r="G579" t="s">
        <v>392</v>
      </c>
      <c r="H579" t="str">
        <f>VLOOKUP(A579,'[1]MAIN-101'!$B$8:$D$783,2,FALSE)</f>
        <v>12</v>
      </c>
      <c r="I579" t="str">
        <f>VLOOKUP(A579,'[1]MAIN-101'!$B$8:$D$783,3,FALSE)</f>
        <v>2048A</v>
      </c>
    </row>
    <row r="580" spans="1:9">
      <c r="A580" t="s">
        <v>2654</v>
      </c>
      <c r="B580" t="str">
        <f>VLOOKUP(A580,'[1]MAIN-101'!$B$13:$M$787,4,FALSE)</f>
        <v>Land Bank of the Philippines</v>
      </c>
      <c r="C580" t="str">
        <f>VLOOKUP(A580,'[1]MAIN-101'!$B$13:$M$787,12,FALSE)</f>
        <v>Remittance of GSIS premiums (RLIP &amp;SIC) for employees with salary differential due to to step increment (Pascual &amp; Togonon) and SSL 5 (Timogan) for the period January 4-31,2021</v>
      </c>
      <c r="D580" s="562" t="e">
        <f>SUMIFS('[1]MAIN-101'!$Z$1:$Z$3000,'[1]MAIN-101'!$X$1:$X$3000,A580)</f>
        <v>#VALUE!</v>
      </c>
      <c r="E580" s="562">
        <f>SUMIFS('Recon of ORS and DV'!D:D,'Recon of ORS and DV'!B:B,'DV List'!A580)</f>
        <v>0</v>
      </c>
      <c r="F580" s="276" t="e">
        <f t="shared" si="8"/>
        <v>#VALUE!</v>
      </c>
      <c r="G580" t="s">
        <v>2662</v>
      </c>
    </row>
    <row r="581" spans="1:9">
      <c r="A581" t="s">
        <v>2306</v>
      </c>
      <c r="B581" t="str">
        <f>VLOOKUP(A581,'[1]MAIN-101'!$B$13:$M$787,4,FALSE)</f>
        <v>Hi-5 Signages Fabricator</v>
      </c>
      <c r="C581" t="str">
        <f>VLOOKUP(A581,'[1]MAIN-101'!$B$13:$M$787,12,FALSE)</f>
        <v>Payment for the plaques for the successful women entreprenuers during the 2021 Women's Summit</v>
      </c>
      <c r="D581" s="562" t="e">
        <f>SUMIFS('[1]MAIN-101'!$Z$1:$Z$3000,'[1]MAIN-101'!$X$1:$X$3000,A581)</f>
        <v>#VALUE!</v>
      </c>
      <c r="E581" s="562" t="e">
        <f>SUMIFS('Recon of ORS and DV'!D:D,'Recon of ORS and DV'!B:B,'DV List'!A581)</f>
        <v>#VALUE!</v>
      </c>
      <c r="F581" s="276" t="e">
        <f t="shared" ref="F581:F607" si="9">D581-E581</f>
        <v>#VALUE!</v>
      </c>
    </row>
    <row r="582" spans="1:9">
      <c r="A582" t="s">
        <v>2655</v>
      </c>
      <c r="B582" t="str">
        <f>VLOOKUP(A582,'[1]MAIN-101'!$B$13:$M$787,4,FALSE)</f>
        <v>Land Bank of Philippines</v>
      </c>
      <c r="C582" t="str">
        <f>VLOOKUP(A582,'[1]MAIN-101'!$B$13:$M$787,12,FALSE)</f>
        <v>Payment of leave monetizations for DTI Caraga Employees for CY 2020.</v>
      </c>
      <c r="D582" s="562" t="e">
        <f>SUMIFS('[1]MAIN-101'!$Z$1:$Z$3000,'[1]MAIN-101'!$X$1:$X$3000,A582)</f>
        <v>#VALUE!</v>
      </c>
      <c r="E582" s="562">
        <f>SUMIFS('Recon of ORS and DV'!D:D,'Recon of ORS and DV'!B:B,'DV List'!A582)</f>
        <v>0</v>
      </c>
      <c r="F582" s="276" t="e">
        <f t="shared" si="9"/>
        <v>#VALUE!</v>
      </c>
      <c r="G582" t="s">
        <v>392</v>
      </c>
      <c r="H582" t="str">
        <f>VLOOKUP(A582,'[1]MAIN-101'!$B$8:$D$783,2,FALSE)</f>
        <v>12</v>
      </c>
      <c r="I582" t="str">
        <f>VLOOKUP(A582,'[1]MAIN-101'!$B$8:$D$783,3,FALSE)</f>
        <v>2054</v>
      </c>
    </row>
    <row r="583" spans="1:9">
      <c r="A583" t="s">
        <v>2656</v>
      </c>
      <c r="B583" t="str">
        <f>VLOOKUP(A583,'[1]MAIN-101'!$B$13:$M$787,4,FALSE)</f>
        <v>Fruitful Enterprises</v>
      </c>
      <c r="C583" t="str">
        <f>VLOOKUP(A583,'[1]MAIN-101'!$B$13:$M$787,12,FALSE)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</v>
      </c>
      <c r="D583" s="562" t="e">
        <f>SUMIFS('[1]MAIN-101'!$Z$1:$Z$3000,'[1]MAIN-101'!$X$1:$X$3000,A583)</f>
        <v>#VALUE!</v>
      </c>
      <c r="E583" s="562">
        <f>SUMIFS('Recon of ORS and DV'!D:D,'Recon of ORS and DV'!B:B,'DV List'!A583)</f>
        <v>0</v>
      </c>
      <c r="F583" s="276" t="e">
        <f t="shared" si="9"/>
        <v>#VALUE!</v>
      </c>
      <c r="G583" t="s">
        <v>392</v>
      </c>
      <c r="H583" t="str">
        <f>VLOOKUP(A583,'[1]MAIN-101'!$B$8:$D$783,2,FALSE)</f>
        <v>12</v>
      </c>
      <c r="I583" t="str">
        <f>VLOOKUP(A583,'[1]MAIN-101'!$B$8:$D$783,3,FALSE)</f>
        <v>2039</v>
      </c>
    </row>
    <row r="584" spans="1:9">
      <c r="A584" t="s">
        <v>2657</v>
      </c>
      <c r="B584" t="str">
        <f>VLOOKUP(A584,'[1]MAIN-101'!$B$13:$M$787,4,FALSE)</f>
        <v>Davao Technocraft</v>
      </c>
      <c r="C584" t="str">
        <f>VLOOKUP(A584,'[1]MAIN-101'!$B$13:$M$787,12,FALSE)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D584" s="562" t="e">
        <f>SUMIFS('[1]MAIN-101'!$Z$1:$Z$3000,'[1]MAIN-101'!$X$1:$X$3000,A584)</f>
        <v>#VALUE!</v>
      </c>
      <c r="E584" s="562">
        <f>SUMIFS('Recon of ORS and DV'!D:D,'Recon of ORS and DV'!B:B,'DV List'!A584)</f>
        <v>0</v>
      </c>
      <c r="F584" s="276" t="e">
        <f t="shared" si="9"/>
        <v>#VALUE!</v>
      </c>
      <c r="G584" t="s">
        <v>392</v>
      </c>
      <c r="H584" t="str">
        <f>VLOOKUP(A584,'[1]MAIN-101'!$B$8:$D$783,2,FALSE)</f>
        <v>12</v>
      </c>
      <c r="I584" t="str">
        <f>VLOOKUP(A584,'[1]MAIN-101'!$B$8:$D$783,3,FALSE)</f>
        <v>2040</v>
      </c>
    </row>
    <row r="585" spans="1:9">
      <c r="A585" t="s">
        <v>2358</v>
      </c>
      <c r="B585" t="str">
        <f>VLOOKUP(A585,'[1]MAIN-101'!$B$13:$M$787,4,FALSE)</f>
        <v>OIC, DTI-PDI</v>
      </c>
      <c r="C585" t="str">
        <f>VLOOKUP(A585,'[1]MAIN-101'!$B$13:$M$787,12,FALSE)</f>
        <v>FT for DTI-CARP implementation for 1st-3rd Quarter</v>
      </c>
      <c r="D585" s="562" t="e">
        <f>SUMIFS('[1]MAIN-101'!$Z$1:$Z$3000,'[1]MAIN-101'!$X$1:$X$3000,A585)</f>
        <v>#VALUE!</v>
      </c>
      <c r="E585" s="562" t="e">
        <f>SUMIFS('Recon of ORS and DV'!D:D,'Recon of ORS and DV'!B:B,'DV List'!A585)</f>
        <v>#VALUE!</v>
      </c>
      <c r="F585" s="276" t="e">
        <f t="shared" si="9"/>
        <v>#VALUE!</v>
      </c>
    </row>
    <row r="586" spans="1:9">
      <c r="A586" t="s">
        <v>2359</v>
      </c>
      <c r="B586" t="str">
        <f>VLOOKUP(A586,'[1]MAIN-101'!$B$13:$M$787,4,FALSE)</f>
        <v>PD, DTI-SDN</v>
      </c>
      <c r="C586" t="str">
        <f>VLOOKUP(A586,'[1]MAIN-101'!$B$13:$M$787,12,FALSE)</f>
        <v>FT for DTI-CARP implementation for 1st-3rd Quarter</v>
      </c>
      <c r="D586" s="562" t="e">
        <f>SUMIFS('[1]MAIN-101'!$Z$1:$Z$3000,'[1]MAIN-101'!$X$1:$X$3000,A586)</f>
        <v>#VALUE!</v>
      </c>
      <c r="E586" s="562" t="e">
        <f>SUMIFS('Recon of ORS and DV'!D:D,'Recon of ORS and DV'!B:B,'DV List'!A586)</f>
        <v>#VALUE!</v>
      </c>
      <c r="F586" s="276" t="e">
        <f t="shared" si="9"/>
        <v>#VALUE!</v>
      </c>
    </row>
    <row r="587" spans="1:9">
      <c r="A587" t="s">
        <v>2357</v>
      </c>
      <c r="B587" t="str">
        <f>VLOOKUP(A587,'[1]MAIN-101'!$B$13:$M$787,4,FALSE)</f>
        <v>LBP, F/O DTI-JO</v>
      </c>
      <c r="C587" t="str">
        <f>VLOOKUP(A587,'[1]MAIN-101'!$B$13:$M$787,12,FALSE)</f>
        <v>Payment of JO for period March 16-31, 2021</v>
      </c>
      <c r="D587" s="562" t="e">
        <f>SUMIFS('[1]MAIN-101'!$Z$1:$Z$3000,'[1]MAIN-101'!$X$1:$X$3000,A587)</f>
        <v>#VALUE!</v>
      </c>
      <c r="E587" s="562" t="e">
        <f>SUMIFS('Recon of ORS and DV'!D:D,'Recon of ORS and DV'!B:B,'DV List'!A587)</f>
        <v>#VALUE!</v>
      </c>
      <c r="F587" s="276" t="e">
        <f t="shared" si="9"/>
        <v>#VALUE!</v>
      </c>
    </row>
    <row r="588" spans="1:9">
      <c r="A588" t="s">
        <v>2333</v>
      </c>
      <c r="B588" t="str">
        <f>VLOOKUP(A588,'[1]MAIN-101'!$B$13:$M$787,4,FALSE)</f>
        <v>LBP, F/O DTI-JO</v>
      </c>
      <c r="C588" t="str">
        <f>VLOOKUP(A588,'[1]MAIN-101'!$B$13:$M$787,12,FALSE)</f>
        <v>Payment of JO for period March 16-31, 2021</v>
      </c>
      <c r="D588" s="562" t="e">
        <f>SUMIFS('[1]MAIN-101'!$Z$1:$Z$3000,'[1]MAIN-101'!$X$1:$X$3000,A588)</f>
        <v>#VALUE!</v>
      </c>
      <c r="E588" s="562" t="e">
        <f>SUMIFS('Recon of ORS and DV'!D:D,'Recon of ORS and DV'!B:B,'DV List'!A588)</f>
        <v>#VALUE!</v>
      </c>
      <c r="F588" s="276" t="e">
        <f t="shared" si="9"/>
        <v>#VALUE!</v>
      </c>
    </row>
    <row r="589" spans="1:9">
      <c r="A589" t="s">
        <v>2334</v>
      </c>
      <c r="B589" t="str">
        <f>VLOOKUP(A589,'[1]MAIN-101'!$B$13:$M$787,4,FALSE)</f>
        <v>LBP, F/O DTI-JO</v>
      </c>
      <c r="C589" t="str">
        <f>VLOOKUP(A589,'[1]MAIN-101'!$B$13:$M$787,12,FALSE)</f>
        <v>Payment of JO for period March 16-31, 2021</v>
      </c>
      <c r="D589" s="562" t="e">
        <f>SUMIFS('[1]MAIN-101'!$Z$1:$Z$3000,'[1]MAIN-101'!$X$1:$X$3000,A589)</f>
        <v>#VALUE!</v>
      </c>
      <c r="E589" s="562" t="e">
        <f>SUMIFS('Recon of ORS and DV'!D:D,'Recon of ORS and DV'!B:B,'DV List'!A589)</f>
        <v>#VALUE!</v>
      </c>
      <c r="F589" s="276" t="e">
        <f t="shared" si="9"/>
        <v>#VALUE!</v>
      </c>
    </row>
    <row r="590" spans="1:9">
      <c r="A590" t="s">
        <v>2658</v>
      </c>
      <c r="B590" t="str">
        <f>VLOOKUP(A590,'[1]MAIN-101'!$B$13:$M$787,4,FALSE)</f>
        <v>Fevi V. Silvosa</v>
      </c>
      <c r="C590" t="str">
        <f>VLOOKUP(A590,'[1]MAIN-101'!$B$13:$M$787,12,FALSE)</f>
        <v>Payment of JO for period March 16-31, 2021</v>
      </c>
      <c r="D590" s="562" t="e">
        <f>SUMIFS('[1]MAIN-101'!$Z$1:$Z$3000,'[1]MAIN-101'!$X$1:$X$3000,A590)</f>
        <v>#VALUE!</v>
      </c>
      <c r="E590" s="562">
        <f>SUMIFS('Recon of ORS and DV'!D:D,'Recon of ORS and DV'!B:B,'DV List'!A590)</f>
        <v>0</v>
      </c>
      <c r="F590" s="276" t="e">
        <f t="shared" si="9"/>
        <v>#VALUE!</v>
      </c>
      <c r="G590" t="s">
        <v>2664</v>
      </c>
      <c r="H590" t="str">
        <f>VLOOKUP(A590,'[1]MAIN-101'!$B$8:$D$783,2,FALSE)</f>
        <v>03</v>
      </c>
      <c r="I590" t="str">
        <f>VLOOKUP(A590,'[1]MAIN-101'!$B$8:$D$783,3,FALSE)</f>
        <v>327</v>
      </c>
    </row>
    <row r="591" spans="1:9">
      <c r="A591" t="s">
        <v>2360</v>
      </c>
      <c r="B591" t="str">
        <f>VLOOKUP(A591,'[1]MAIN-101'!$B$13:$M$787,4,FALSE)</f>
        <v>OIC, DTI-ADS</v>
      </c>
      <c r="C591" t="str">
        <f>VLOOKUP(A591,'[1]MAIN-101'!$B$13:$M$787,12,FALSE)</f>
        <v>FT for NC implementation (Feb-Sept 2021)</v>
      </c>
      <c r="D591" s="562" t="e">
        <f>SUMIFS('[1]MAIN-101'!$Z$1:$Z$3000,'[1]MAIN-101'!$X$1:$X$3000,A591)</f>
        <v>#VALUE!</v>
      </c>
      <c r="E591" s="562" t="e">
        <f>SUMIFS('Recon of ORS and DV'!D:D,'Recon of ORS and DV'!B:B,'DV List'!A591)</f>
        <v>#VALUE!</v>
      </c>
      <c r="F591" s="276" t="e">
        <f t="shared" si="9"/>
        <v>#VALUE!</v>
      </c>
    </row>
    <row r="592" spans="1:9">
      <c r="A592" t="s">
        <v>2361</v>
      </c>
      <c r="B592" t="str">
        <f>VLOOKUP(A592,'[1]MAIN-101'!$B$13:$M$787,4,FALSE)</f>
        <v>PD, D TI-SDN</v>
      </c>
      <c r="C592" t="str">
        <f>VLOOKUP(A592,'[1]MAIN-101'!$B$13:$M$787,12,FALSE)</f>
        <v>FT for NC implementation (Feb-Sept 2021)</v>
      </c>
      <c r="D592" s="562" t="e">
        <f>SUMIFS('[1]MAIN-101'!$Z$1:$Z$3000,'[1]MAIN-101'!$X$1:$X$3000,A592)</f>
        <v>#VALUE!</v>
      </c>
      <c r="E592" s="562" t="e">
        <f>SUMIFS('Recon of ORS and DV'!D:D,'Recon of ORS and DV'!B:B,'DV List'!A592)</f>
        <v>#VALUE!</v>
      </c>
      <c r="F592" s="276" t="e">
        <f t="shared" si="9"/>
        <v>#VALUE!</v>
      </c>
    </row>
    <row r="593" spans="1:9">
      <c r="A593" t="s">
        <v>2362</v>
      </c>
      <c r="B593" t="str">
        <f>VLOOKUP(A593,'[1]MAIN-101'!$B$13:$M$787,4,FALSE)</f>
        <v>PD, D TI-ADN</v>
      </c>
      <c r="C593" t="str">
        <f>VLOOKUP(A593,'[1]MAIN-101'!$B$13:$M$787,12,FALSE)</f>
        <v>FT(FEB-APRIL, Partial) for the implementation of OTOP NG.</v>
      </c>
      <c r="D593" s="562" t="e">
        <f>SUMIFS('[1]MAIN-101'!$Z$1:$Z$3000,'[1]MAIN-101'!$X$1:$X$3000,A593)</f>
        <v>#VALUE!</v>
      </c>
      <c r="E593" s="562" t="e">
        <f>SUMIFS('Recon of ORS and DV'!D:D,'Recon of ORS and DV'!B:B,'DV List'!A593)</f>
        <v>#VALUE!</v>
      </c>
      <c r="F593" s="276" t="e">
        <f t="shared" si="9"/>
        <v>#VALUE!</v>
      </c>
    </row>
    <row r="594" spans="1:9">
      <c r="A594" t="s">
        <v>2363</v>
      </c>
      <c r="B594" t="str">
        <f>VLOOKUP(A594,'[1]MAIN-101'!$B$13:$M$787,4,FALSE)</f>
        <v>PD, D TI-SDN</v>
      </c>
      <c r="C594" t="str">
        <f>VLOOKUP(A594,'[1]MAIN-101'!$B$13:$M$787,12,FALSE)</f>
        <v>FT(FEB-APRIL, Partial) for the implementation of OTOP NG.</v>
      </c>
      <c r="D594" s="562" t="e">
        <f>SUMIFS('[1]MAIN-101'!$Z$1:$Z$3000,'[1]MAIN-101'!$X$1:$X$3000,A594)</f>
        <v>#VALUE!</v>
      </c>
      <c r="E594" s="562" t="e">
        <f>SUMIFS('Recon of ORS and DV'!D:D,'Recon of ORS and DV'!B:B,'DV List'!A594)</f>
        <v>#VALUE!</v>
      </c>
      <c r="F594" s="276" t="e">
        <f t="shared" si="9"/>
        <v>#VALUE!</v>
      </c>
    </row>
    <row r="595" spans="1:9">
      <c r="A595" t="s">
        <v>2364</v>
      </c>
      <c r="B595" t="str">
        <f>VLOOKUP(A595,'[1]MAIN-101'!$B$13:$M$787,4,FALSE)</f>
        <v>OIC, DTI-pdi</v>
      </c>
      <c r="C595" t="str">
        <f>VLOOKUP(A595,'[1]MAIN-101'!$B$13:$M$787,12,FALSE)</f>
        <v>FT(FEB-APRIL, Partial) for the implementation of OTOP NG.</v>
      </c>
      <c r="D595" s="562" t="e">
        <f>SUMIFS('[1]MAIN-101'!$Z$1:$Z$3000,'[1]MAIN-101'!$X$1:$X$3000,A595)</f>
        <v>#VALUE!</v>
      </c>
      <c r="E595" s="562" t="e">
        <f>SUMIFS('Recon of ORS and DV'!D:D,'Recon of ORS and DV'!B:B,'DV List'!A595)</f>
        <v>#VALUE!</v>
      </c>
      <c r="F595" s="276" t="e">
        <f t="shared" si="9"/>
        <v>#VALUE!</v>
      </c>
    </row>
    <row r="596" spans="1:9">
      <c r="A596" t="s">
        <v>2659</v>
      </c>
      <c r="B596" t="str">
        <f>VLOOKUP(A596,'[1]MAIN-101'!$B$13:$M$787,4,FALSE)</f>
        <v>GSIS</v>
      </c>
      <c r="C596" t="str">
        <f>VLOOKUP(A596,'[1]MAIN-101'!$B$13:$M$787,12,FALSE)</f>
        <v>Remittance of NC staff GSIS (ECIP) premium for the month of January 2021</v>
      </c>
      <c r="D596" s="562" t="e">
        <f>SUMIFS('[1]MAIN-101'!$Z$1:$Z$3000,'[1]MAIN-101'!$X$1:$X$3000,A596)</f>
        <v>#VALUE!</v>
      </c>
      <c r="E596" s="562">
        <f>SUMIFS('Recon of ORS and DV'!D:D,'Recon of ORS and DV'!B:B,'DV List'!A596)</f>
        <v>0</v>
      </c>
      <c r="F596" s="276" t="e">
        <f t="shared" si="9"/>
        <v>#VALUE!</v>
      </c>
      <c r="G596" t="s">
        <v>2662</v>
      </c>
    </row>
    <row r="597" spans="1:9">
      <c r="A597" t="s">
        <v>2365</v>
      </c>
      <c r="B597" t="str">
        <f>VLOOKUP(A597,'[1]MAIN-101'!$B$13:$M$787,4,FALSE)</f>
        <v>PD, DTI-SDS</v>
      </c>
      <c r="C597" t="str">
        <f>VLOOKUP(A597,'[1]MAIN-101'!$B$13:$M$787,12,FALSE)</f>
        <v>FT for NC implementation (Feb-April 2021)</v>
      </c>
      <c r="D597" s="562" t="e">
        <f>SUMIFS('[1]MAIN-101'!$Z$1:$Z$3000,'[1]MAIN-101'!$X$1:$X$3000,A597)</f>
        <v>#VALUE!</v>
      </c>
      <c r="E597" s="562" t="e">
        <f>SUMIFS('Recon of ORS and DV'!D:D,'Recon of ORS and DV'!B:B,'DV List'!A597)</f>
        <v>#VALUE!</v>
      </c>
      <c r="F597" s="276" t="e">
        <f t="shared" si="9"/>
        <v>#VALUE!</v>
      </c>
    </row>
    <row r="598" spans="1:9">
      <c r="A598" t="s">
        <v>2366</v>
      </c>
      <c r="B598" t="str">
        <f>VLOOKUP(A598,'[1]MAIN-101'!$B$13:$M$787,4,FALSE)</f>
        <v>PD, DTI-AD N</v>
      </c>
      <c r="C598" t="str">
        <f>VLOOKUP(A598,'[1]MAIN-101'!$B$13:$M$787,12,FALSE)</f>
        <v>Advances to IDD Regular MOOE-OO2 2021-2nd and 3rd quarter 2021</v>
      </c>
      <c r="D598" s="562" t="e">
        <f>SUMIFS('[1]MAIN-101'!$Z$1:$Z$3000,'[1]MAIN-101'!$X$1:$X$3000,A598)</f>
        <v>#VALUE!</v>
      </c>
      <c r="E598" s="562" t="e">
        <f>SUMIFS('Recon of ORS and DV'!D:D,'Recon of ORS and DV'!B:B,'DV List'!A598)</f>
        <v>#VALUE!</v>
      </c>
      <c r="F598" s="276" t="e">
        <f t="shared" si="9"/>
        <v>#VALUE!</v>
      </c>
    </row>
    <row r="599" spans="1:9">
      <c r="A599" t="s">
        <v>2367</v>
      </c>
      <c r="B599" t="str">
        <f>VLOOKUP(A599,'[1]MAIN-101'!$B$13:$M$787,4,FALSE)</f>
        <v>PD, DTI-SDN</v>
      </c>
      <c r="C599" t="str">
        <f>VLOOKUP(A599,'[1]MAIN-101'!$B$13:$M$787,12,FALSE)</f>
        <v>Advances to IDD Regular MOOE-OO2 2021-2nd and 3rd quarter 2021</v>
      </c>
      <c r="D599" s="562" t="e">
        <f>SUMIFS('[1]MAIN-101'!$Z$1:$Z$3000,'[1]MAIN-101'!$X$1:$X$3000,A599)</f>
        <v>#VALUE!</v>
      </c>
      <c r="E599" s="562" t="e">
        <f>SUMIFS('Recon of ORS and DV'!D:D,'Recon of ORS and DV'!B:B,'DV List'!A599)</f>
        <v>#VALUE!</v>
      </c>
      <c r="F599" s="276" t="e">
        <f t="shared" si="9"/>
        <v>#VALUE!</v>
      </c>
    </row>
    <row r="600" spans="1:9">
      <c r="A600" t="s">
        <v>2368</v>
      </c>
      <c r="B600" t="str">
        <f>VLOOKUP(A600,'[1]MAIN-101'!$B$13:$M$787,4,FALSE)</f>
        <v>OIC, DTI-PDI</v>
      </c>
      <c r="C600" t="str">
        <f>VLOOKUP(A600,'[1]MAIN-101'!$B$13:$M$787,12,FALSE)</f>
        <v>Advances to IDD Regular MOOE-OO2 2021-2nd and 3rd quarter 2021</v>
      </c>
      <c r="D600" s="562" t="e">
        <f>SUMIFS('[1]MAIN-101'!$Z$1:$Z$3000,'[1]MAIN-101'!$X$1:$X$3000,A600)</f>
        <v>#VALUE!</v>
      </c>
      <c r="E600" s="562" t="e">
        <f>SUMIFS('Recon of ORS and DV'!D:D,'Recon of ORS and DV'!B:B,'DV List'!A600)</f>
        <v>#VALUE!</v>
      </c>
      <c r="F600" s="276" t="e">
        <f t="shared" si="9"/>
        <v>#VALUE!</v>
      </c>
    </row>
    <row r="601" spans="1:9">
      <c r="A601" t="s">
        <v>2369</v>
      </c>
      <c r="B601" t="str">
        <f>VLOOKUP(A601,'[1]MAIN-101'!$B$13:$M$787,4,FALSE)</f>
        <v>PD, DTI-SDS</v>
      </c>
      <c r="C601" t="str">
        <f>VLOOKUP(A601,'[1]MAIN-101'!$B$13:$M$787,12,FALSE)</f>
        <v>FT for LSP-NSB implementation for 1ST quarter, 2021.</v>
      </c>
      <c r="D601" s="562" t="e">
        <f>SUMIFS('[1]MAIN-101'!$Z$1:$Z$3000,'[1]MAIN-101'!$X$1:$X$3000,A601)</f>
        <v>#VALUE!</v>
      </c>
      <c r="E601" s="562" t="e">
        <f>SUMIFS('Recon of ORS and DV'!D:D,'Recon of ORS and DV'!B:B,'DV List'!A601)</f>
        <v>#VALUE!</v>
      </c>
      <c r="F601" s="276" t="e">
        <f t="shared" si="9"/>
        <v>#VALUE!</v>
      </c>
    </row>
    <row r="602" spans="1:9">
      <c r="A602" t="s">
        <v>2370</v>
      </c>
      <c r="B602" t="str">
        <f>VLOOKUP(A602,'[1]MAIN-101'!$B$13:$M$787,4,FALSE)</f>
        <v>PD, DTI-SDS</v>
      </c>
      <c r="C602" t="str">
        <f>VLOOKUP(A602,'[1]MAIN-101'!$B$13:$M$787,12,FALSE)</f>
        <v>Advances to the SSF MOOE-1st quarter 2021, 2nd and 3rd quarter 2021</v>
      </c>
      <c r="D602" s="562" t="e">
        <f>SUMIFS('[1]MAIN-101'!$Z$1:$Z$3000,'[1]MAIN-101'!$X$1:$X$3000,A602)</f>
        <v>#VALUE!</v>
      </c>
      <c r="E602" s="562" t="e">
        <f>SUMIFS('Recon of ORS and DV'!D:D,'Recon of ORS and DV'!B:B,'DV List'!A602)</f>
        <v>#VALUE!</v>
      </c>
      <c r="F602" s="276" t="e">
        <f t="shared" si="9"/>
        <v>#VALUE!</v>
      </c>
    </row>
    <row r="603" spans="1:9">
      <c r="A603" t="s">
        <v>2660</v>
      </c>
      <c r="B603" t="str">
        <f>VLOOKUP(A603,'[1]MAIN-101'!$B$13:$M$787,4,FALSE)</f>
        <v>Megamight Enterprises</v>
      </c>
      <c r="C603" t="str">
        <f>VLOOKUP(A603,'[1]MAIN-101'!$B$13:$M$787,12,FALSE)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D603" s="562" t="e">
        <f>SUMIFS('[1]MAIN-101'!$Z$1:$Z$3000,'[1]MAIN-101'!$X$1:$X$3000,A603)</f>
        <v>#VALUE!</v>
      </c>
      <c r="E603" s="562">
        <f>SUMIFS('Recon of ORS and DV'!D:D,'Recon of ORS and DV'!B:B,'DV List'!A603)</f>
        <v>0</v>
      </c>
      <c r="F603" s="276" t="e">
        <f t="shared" si="9"/>
        <v>#VALUE!</v>
      </c>
      <c r="G603" t="s">
        <v>392</v>
      </c>
      <c r="H603" t="str">
        <f>VLOOKUP(A603,'[1]MAIN-101'!$B$8:$D$783,2,FALSE)</f>
        <v>12</v>
      </c>
      <c r="I603" t="str">
        <f>VLOOKUP(A603,'[1]MAIN-101'!$B$8:$D$783,3,FALSE)</f>
        <v>1851</v>
      </c>
    </row>
    <row r="604" spans="1:9">
      <c r="A604" t="s">
        <v>2661</v>
      </c>
      <c r="B604" t="str">
        <f>VLOOKUP(A604,'[1]MAIN-101'!$B$13:$M$787,4,FALSE)</f>
        <v>MDBF</v>
      </c>
      <c r="C604" t="str">
        <f>VLOOKUP(A604,'[1]MAIN-101'!$B$13:$M$787,12,FALSE)</f>
        <v>Additional remittance for NC staff for the month of February 2021</v>
      </c>
      <c r="D604" s="562" t="e">
        <f>SUMIFS('[1]MAIN-101'!$Z$1:$Z$3000,'[1]MAIN-101'!$X$1:$X$3000,A604)</f>
        <v>#VALUE!</v>
      </c>
      <c r="E604" s="562">
        <f>SUMIFS('Recon of ORS and DV'!D:D,'Recon of ORS and DV'!B:B,'DV List'!A604)</f>
        <v>0</v>
      </c>
      <c r="F604" s="276" t="e">
        <f t="shared" si="9"/>
        <v>#VALUE!</v>
      </c>
      <c r="G604" t="s">
        <v>2662</v>
      </c>
    </row>
    <row r="605" spans="1:9">
      <c r="A605" t="s">
        <v>2371</v>
      </c>
      <c r="B605" t="str">
        <f>VLOOKUP(A605,'[1]MAIN-101'!$B$13:$M$787,4,FALSE)</f>
        <v>Globe Telecom, Inc</v>
      </c>
      <c r="C605" t="str">
        <f>VLOOKUP(A605,'[1]MAIN-101'!$B$13:$M$787,12,FALSE)</f>
        <v>Payment for globe plan subscription for the Feb 13,- March 12, 2021 with cp no. 09177054627</v>
      </c>
      <c r="D605" s="562" t="e">
        <f>SUMIFS('[1]MAIN-101'!$Z$1:$Z$3000,'[1]MAIN-101'!$X$1:$X$3000,A605)</f>
        <v>#VALUE!</v>
      </c>
      <c r="E605" s="562" t="e">
        <f>SUMIFS('Recon of ORS and DV'!D:D,'Recon of ORS and DV'!B:B,'DV List'!A605)</f>
        <v>#VALUE!</v>
      </c>
      <c r="F605" s="276" t="e">
        <f t="shared" si="9"/>
        <v>#VALUE!</v>
      </c>
    </row>
    <row r="606" spans="1:9">
      <c r="A606" t="s">
        <v>2372</v>
      </c>
      <c r="B606" t="str">
        <f>VLOOKUP(A606,'[1]MAIN-101'!$B$13:$M$787,4,FALSE)</f>
        <v>Edwin O. Banquerigo</v>
      </c>
      <c r="C606" t="str">
        <f>VLOOKUP(A606,'[1]MAIN-101'!$B$13:$M$787,12,FALSE)</f>
        <v>Reimbursement Quarter allowance for the period Dec 15- March 15, 2021.</v>
      </c>
      <c r="D606" s="562" t="e">
        <f>SUMIFS('[1]MAIN-101'!$Z$1:$Z$3000,'[1]MAIN-101'!$X$1:$X$3000,A606)</f>
        <v>#VALUE!</v>
      </c>
      <c r="E606" s="562" t="e">
        <f>SUMIFS('Recon of ORS and DV'!D:D,'Recon of ORS and DV'!B:B,'DV List'!A606)</f>
        <v>#VALUE!</v>
      </c>
      <c r="F606" s="276" t="e">
        <f t="shared" si="9"/>
        <v>#VALUE!</v>
      </c>
    </row>
    <row r="607" spans="1:9">
      <c r="A607" t="s">
        <v>2373</v>
      </c>
      <c r="B607" t="str">
        <f>VLOOKUP(A607,'[1]MAIN-101'!$B$13:$M$787,4,FALSE)</f>
        <v>Elynur H. Gambet-Minglana</v>
      </c>
      <c r="C607" t="str">
        <f>VLOOKUP(A607,'[1]MAIN-101'!$B$13:$M$787,12,FALSE)</f>
        <v>Reimb. Load allowance for Nov, 2020- March 23, 2021</v>
      </c>
      <c r="D607" s="562" t="e">
        <f>SUMIFS('[1]MAIN-101'!$Z$1:$Z$3000,'[1]MAIN-101'!$X$1:$X$3000,A607)</f>
        <v>#VALUE!</v>
      </c>
      <c r="E607" s="562" t="e">
        <f>SUMIFS('Recon of ORS and DV'!D:D,'Recon of ORS and DV'!B:B,'DV List'!A607)</f>
        <v>#VALUE!</v>
      </c>
      <c r="F607" s="276" t="e">
        <f t="shared" si="9"/>
        <v>#VALUE!</v>
      </c>
    </row>
  </sheetData>
  <autoFilter ref="A3:J607" xr:uid="{00000000-0009-0000-0000-00000D000000}"/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E1BB0-2464-4C3E-A096-F62B16B69F3A}">
  <sheetPr>
    <tabColor rgb="FFFF0000"/>
    <pageSetUpPr fitToPage="1"/>
  </sheetPr>
  <dimension ref="A1:AI1710"/>
  <sheetViews>
    <sheetView zoomScale="70" zoomScaleNormal="70" workbookViewId="0">
      <pane xSplit="8" ySplit="4" topLeftCell="M156" activePane="bottomRight" state="frozen"/>
      <selection pane="topRight" activeCell="I1" sqref="I1"/>
      <selection pane="bottomLeft" activeCell="A4" sqref="A4"/>
      <selection pane="bottomRight" activeCell="R167" sqref="R167"/>
    </sheetView>
  </sheetViews>
  <sheetFormatPr defaultRowHeight="14.4"/>
  <cols>
    <col min="1" max="1" width="14.88671875" style="395" bestFit="1" customWidth="1"/>
    <col min="2" max="2" width="21.33203125" style="395" customWidth="1"/>
    <col min="3" max="3" width="11.88671875" style="395" customWidth="1"/>
    <col min="4" max="4" width="8.5546875" style="395" customWidth="1"/>
    <col min="5" max="5" width="12.109375" style="395" customWidth="1"/>
    <col min="6" max="7" width="9.44140625" style="395" customWidth="1"/>
    <col min="8" max="8" width="33.109375" style="395" bestFit="1" customWidth="1"/>
    <col min="9" max="9" width="14.88671875" style="396" customWidth="1"/>
    <col min="10" max="10" width="15.6640625" style="395" customWidth="1"/>
    <col min="11" max="11" width="18.33203125" style="395" customWidth="1"/>
    <col min="12" max="12" width="16.6640625" style="395" customWidth="1"/>
    <col min="13" max="13" width="11.88671875" style="397" customWidth="1"/>
    <col min="14" max="14" width="26.33203125" style="395" customWidth="1"/>
    <col min="15" max="15" width="44.5546875" style="395" customWidth="1"/>
    <col min="16" max="16" width="18.88671875" style="395" customWidth="1"/>
    <col min="17" max="17" width="20" style="395" customWidth="1"/>
    <col min="18" max="18" width="18.33203125" style="395" customWidth="1"/>
    <col min="19" max="19" width="21.44140625" style="395" customWidth="1"/>
    <col min="20" max="20" width="25.5546875" style="395" customWidth="1"/>
    <col min="21" max="21" width="18.33203125" style="395" customWidth="1"/>
    <col min="22" max="22" width="25.33203125" style="395" customWidth="1"/>
    <col min="23" max="24" width="19" style="395" customWidth="1"/>
    <col min="25" max="25" width="18.33203125" style="399" customWidth="1"/>
    <col min="26" max="26" width="20.109375" style="396" customWidth="1"/>
    <col min="27" max="27" width="24.109375" style="395" customWidth="1"/>
    <col min="28" max="28" width="28.109375" style="395" customWidth="1"/>
    <col min="29" max="29" width="12.33203125" customWidth="1"/>
    <col min="30" max="30" width="6.5546875" customWidth="1"/>
    <col min="31" max="31" width="9.33203125" bestFit="1" customWidth="1"/>
    <col min="32" max="32" width="14.5546875" customWidth="1"/>
    <col min="33" max="33" width="12.5546875" customWidth="1"/>
    <col min="34" max="34" width="12.6640625" customWidth="1"/>
  </cols>
  <sheetData>
    <row r="1" spans="1:35" s="32" customFormat="1" ht="23.4">
      <c r="A1" s="305" t="s">
        <v>957</v>
      </c>
      <c r="B1" s="306"/>
      <c r="C1" s="307"/>
      <c r="D1" s="308"/>
      <c r="E1" s="309"/>
      <c r="F1" s="306"/>
      <c r="G1" s="306"/>
      <c r="H1" s="306"/>
      <c r="I1" s="310"/>
      <c r="J1" s="306"/>
      <c r="K1" s="306"/>
      <c r="L1" s="306"/>
      <c r="M1" s="311"/>
      <c r="N1" s="312"/>
      <c r="O1" s="307"/>
      <c r="P1" s="313" t="s">
        <v>959</v>
      </c>
      <c r="Q1" s="314">
        <f>Q3/P3</f>
        <v>0.17636018446630852</v>
      </c>
      <c r="R1" s="315"/>
      <c r="S1" s="315"/>
      <c r="T1" s="315"/>
      <c r="U1" s="315"/>
      <c r="V1" s="315"/>
      <c r="W1" s="315"/>
      <c r="X1" s="315"/>
      <c r="Y1" s="316"/>
      <c r="Z1" s="310"/>
      <c r="AA1" s="315"/>
      <c r="AB1" s="315"/>
      <c r="AC1" s="116"/>
      <c r="AD1" s="113"/>
      <c r="AE1" s="116"/>
      <c r="AF1" s="116"/>
      <c r="AG1" s="117"/>
      <c r="AH1" s="117"/>
      <c r="AI1" s="49"/>
    </row>
    <row r="2" spans="1:35" s="32" customFormat="1" ht="16.5" customHeight="1">
      <c r="A2" s="317" t="s">
        <v>958</v>
      </c>
      <c r="B2" s="306"/>
      <c r="C2" s="307"/>
      <c r="D2" s="308"/>
      <c r="E2" s="309"/>
      <c r="F2" s="306"/>
      <c r="G2" s="306"/>
      <c r="H2" s="306"/>
      <c r="I2" s="310"/>
      <c r="J2" s="306"/>
      <c r="K2" s="306"/>
      <c r="L2" s="306"/>
      <c r="M2" s="311"/>
      <c r="N2" s="318"/>
      <c r="O2" s="312"/>
      <c r="P2" s="312"/>
      <c r="Q2" s="315"/>
      <c r="R2" s="315"/>
      <c r="S2" s="319" t="e">
        <f>VLOOKUP(H2,'Fund Utilization Report'!$A$4:$U$1800,13,FALSE)</f>
        <v>#N/A</v>
      </c>
      <c r="T2" s="319" t="e">
        <f>VLOOKUP(H2,'Fund Utilization Report'!$A$4:$U$1800,#REF!,FALSE)</f>
        <v>#REF!</v>
      </c>
      <c r="U2" s="319" t="e">
        <f>VLOOKUP(H2,'Fund Utilization Report'!$A$4:$U$1800,3,FALSE)</f>
        <v>#N/A</v>
      </c>
      <c r="V2" s="319" t="e">
        <f>VLOOKUP(H2,'Fund Utilization Report'!$A$4:$U$1800,4,FALSE)</f>
        <v>#N/A</v>
      </c>
      <c r="W2" s="319" t="e">
        <f>VLOOKUP(H2,'Fund Utilization Report'!$A$4:$U$1800,5,FALSE)</f>
        <v>#N/A</v>
      </c>
      <c r="X2" s="319" t="e">
        <f>VLOOKUP(H2,'Fund Utilization Report'!$A$4:$U$1800,6,FALSE)</f>
        <v>#N/A</v>
      </c>
      <c r="Y2" s="320" t="e">
        <f>VLOOKUP(H2,'Fund Utilization Report'!$A$4:$U$1800,7,FALSE)</f>
        <v>#N/A</v>
      </c>
      <c r="Z2" s="321" t="e">
        <f>VLOOKUP(H2,'Fund Utilization Report'!$A$4:$U$1800,8,FALSE)</f>
        <v>#N/A</v>
      </c>
      <c r="AA2" s="319" t="e">
        <f>VLOOKUP(H2,'Fund Utilization Report'!$A$4:$U$1800,14,FALSE)</f>
        <v>#N/A</v>
      </c>
      <c r="AB2" s="319" t="e">
        <f>VLOOKUP(H2,'Fund Utilization Report'!$A$4:$U$1800,15,FALSE)</f>
        <v>#N/A</v>
      </c>
      <c r="AC2" s="116"/>
      <c r="AD2" s="113"/>
      <c r="AE2" s="116"/>
      <c r="AF2" s="116"/>
      <c r="AG2" s="117"/>
      <c r="AH2" s="117"/>
      <c r="AI2" s="49"/>
    </row>
    <row r="3" spans="1:35" s="32" customFormat="1" ht="16.5" customHeight="1">
      <c r="A3" s="317" t="s">
        <v>785</v>
      </c>
      <c r="B3" s="306"/>
      <c r="C3" s="307"/>
      <c r="D3" s="308"/>
      <c r="E3" s="309"/>
      <c r="F3" s="306"/>
      <c r="G3" s="306"/>
      <c r="H3" s="306"/>
      <c r="I3" s="310"/>
      <c r="J3" s="306"/>
      <c r="K3" s="306"/>
      <c r="L3" s="306"/>
      <c r="M3" s="311"/>
      <c r="N3" s="318"/>
      <c r="O3" s="322"/>
      <c r="P3" s="323">
        <f>SUBTOTAL(9,P5:P50784)</f>
        <v>255587576.61999997</v>
      </c>
      <c r="Q3" s="323">
        <f>SUBTOTAL(9,Q5:Q50784)</f>
        <v>45075472.159999959</v>
      </c>
      <c r="R3" s="324"/>
      <c r="S3" s="325">
        <v>13</v>
      </c>
      <c r="T3" s="325">
        <v>2</v>
      </c>
      <c r="U3" s="325">
        <v>3</v>
      </c>
      <c r="V3" s="325">
        <v>4</v>
      </c>
      <c r="W3" s="325">
        <v>5</v>
      </c>
      <c r="X3" s="325">
        <v>6</v>
      </c>
      <c r="Y3" s="325">
        <v>7</v>
      </c>
      <c r="Z3" s="325">
        <v>8</v>
      </c>
      <c r="AA3" s="325">
        <v>14</v>
      </c>
      <c r="AB3" s="325">
        <v>15</v>
      </c>
      <c r="AC3" s="116"/>
      <c r="AD3" s="113"/>
      <c r="AE3" s="116"/>
      <c r="AF3" s="116"/>
      <c r="AG3" s="117"/>
      <c r="AH3" s="117"/>
      <c r="AI3" s="49"/>
    </row>
    <row r="4" spans="1:35" s="169" customFormat="1" ht="30" customHeight="1">
      <c r="A4" s="326" t="s">
        <v>941</v>
      </c>
      <c r="B4" s="327" t="s">
        <v>940</v>
      </c>
      <c r="C4" s="328" t="s">
        <v>146</v>
      </c>
      <c r="D4" s="329" t="s">
        <v>147</v>
      </c>
      <c r="E4" s="330" t="s">
        <v>1017</v>
      </c>
      <c r="F4" s="326" t="s">
        <v>148</v>
      </c>
      <c r="G4" s="326" t="s">
        <v>149</v>
      </c>
      <c r="H4" s="326" t="s">
        <v>875</v>
      </c>
      <c r="I4" s="331" t="s">
        <v>938</v>
      </c>
      <c r="J4" s="327" t="s">
        <v>939</v>
      </c>
      <c r="K4" s="326" t="s">
        <v>880</v>
      </c>
      <c r="L4" s="326" t="s">
        <v>944</v>
      </c>
      <c r="M4" s="332" t="s">
        <v>154</v>
      </c>
      <c r="N4" s="333" t="s">
        <v>155</v>
      </c>
      <c r="O4" s="333" t="s">
        <v>156</v>
      </c>
      <c r="P4" s="333" t="s">
        <v>937</v>
      </c>
      <c r="Q4" s="334" t="s">
        <v>936</v>
      </c>
      <c r="R4" s="334" t="s">
        <v>878</v>
      </c>
      <c r="S4" s="334" t="s">
        <v>922</v>
      </c>
      <c r="T4" s="334" t="s">
        <v>873</v>
      </c>
      <c r="U4" s="334" t="s">
        <v>1018</v>
      </c>
      <c r="V4" s="334" t="s">
        <v>886</v>
      </c>
      <c r="W4" s="334" t="s">
        <v>874</v>
      </c>
      <c r="X4" s="334" t="s">
        <v>1019</v>
      </c>
      <c r="Y4" s="335" t="s">
        <v>889</v>
      </c>
      <c r="Z4" s="336" t="s">
        <v>879</v>
      </c>
      <c r="AA4" s="334" t="s">
        <v>885</v>
      </c>
      <c r="AB4" s="337" t="s">
        <v>930</v>
      </c>
      <c r="AC4" s="300" t="s">
        <v>150</v>
      </c>
      <c r="AD4" s="213" t="s">
        <v>151</v>
      </c>
      <c r="AE4" s="217" t="s">
        <v>152</v>
      </c>
      <c r="AF4" s="217"/>
      <c r="AG4" s="300" t="s">
        <v>86</v>
      </c>
      <c r="AH4" s="300"/>
    </row>
    <row r="5" spans="1:35" s="169" customFormat="1" ht="13.8">
      <c r="A5" s="338" t="s">
        <v>942</v>
      </c>
      <c r="B5" s="338" t="s">
        <v>943</v>
      </c>
      <c r="C5" s="339"/>
      <c r="D5" s="340"/>
      <c r="E5" s="341"/>
      <c r="F5" s="342"/>
      <c r="G5" s="342"/>
      <c r="H5" s="343" t="s">
        <v>960</v>
      </c>
      <c r="I5" s="344"/>
      <c r="J5" s="345"/>
      <c r="K5" s="342"/>
      <c r="L5" s="342"/>
      <c r="M5" s="346"/>
      <c r="N5" s="347"/>
      <c r="O5" s="347" t="s">
        <v>1000</v>
      </c>
      <c r="P5" s="347">
        <v>20425000</v>
      </c>
      <c r="Q5" s="348"/>
      <c r="R5" s="348"/>
      <c r="S5" s="319" t="str">
        <f>VLOOKUP(H5,'Fund Utilization Report'!$A$4:$U$1800,13,FALSE)</f>
        <v>PS</v>
      </c>
      <c r="T5" s="319" t="str">
        <f>VLOOKUP(H5,'Fund Utilization Report'!$A$4:$U$1800,2,FALSE)</f>
        <v>GAA</v>
      </c>
      <c r="U5" s="319" t="str">
        <f>VLOOKUP(H5,'Fund Utilization Report'!$A$4:$U$1800,3,FALSE)</f>
        <v>FY2021, RA11518</v>
      </c>
      <c r="V5" s="319" t="str">
        <f>VLOOKUP(H5,'Fund Utilization Report'!$A$4:$U$1800,4,FALSE)</f>
        <v>GAS(GMS)</v>
      </c>
      <c r="W5" s="319" t="str">
        <f>VLOOKUP(H5,'Fund Utilization Report'!$A$4:$U$1800,5,FALSE)</f>
        <v>01101101</v>
      </c>
      <c r="X5" s="319" t="str">
        <f>VLOOKUP(H5,'Fund Utilization Report'!$A$4:$U$1800,6,FALSE)</f>
        <v>GOP</v>
      </c>
      <c r="Y5" s="320" t="str">
        <f>VLOOKUP(H5,'Fund Utilization Report'!$A$4:$U$1800,7,FALSE)</f>
        <v>PS</v>
      </c>
      <c r="Z5" s="321">
        <f>VLOOKUP(H5,'Fund Utilization Report'!$A$4:$U$1800,8,FALSE)</f>
        <v>5010000000</v>
      </c>
      <c r="AA5" s="319" t="str">
        <f>VLOOKUP(H5,'Fund Utilization Report'!$A$4:$U$1800,14,FALSE)</f>
        <v>100000100001000</v>
      </c>
      <c r="AB5" s="349" t="str">
        <f>VLOOKUP(H5,'Fund Utilization Report'!$A$4:$U$1800,15,FALSE)</f>
        <v>General Administration and Supervision - General Management and Supervision</v>
      </c>
      <c r="AC5" s="304"/>
      <c r="AD5" s="199"/>
      <c r="AE5" s="200"/>
      <c r="AF5" s="200"/>
      <c r="AG5" s="304"/>
      <c r="AH5" s="304"/>
    </row>
    <row r="6" spans="1:35" s="169" customFormat="1" ht="13.8">
      <c r="A6" s="338" t="s">
        <v>942</v>
      </c>
      <c r="B6" s="338" t="s">
        <v>943</v>
      </c>
      <c r="C6" s="339"/>
      <c r="D6" s="340"/>
      <c r="E6" s="341"/>
      <c r="F6" s="342"/>
      <c r="G6" s="342"/>
      <c r="H6" s="343" t="s">
        <v>961</v>
      </c>
      <c r="I6" s="344"/>
      <c r="J6" s="345"/>
      <c r="K6" s="342"/>
      <c r="L6" s="342"/>
      <c r="M6" s="346"/>
      <c r="N6" s="347"/>
      <c r="O6" s="347" t="s">
        <v>1000</v>
      </c>
      <c r="P6" s="347">
        <v>11251000</v>
      </c>
      <c r="Q6" s="348"/>
      <c r="R6" s="348"/>
      <c r="S6" s="319" t="str">
        <f>VLOOKUP(H6,'Fund Utilization Report'!$A$4:$U$1800,13,FALSE)</f>
        <v>MOOE</v>
      </c>
      <c r="T6" s="319" t="str">
        <f>VLOOKUP(H6,'Fund Utilization Report'!$A$4:$U$1800,2,FALSE)</f>
        <v>GAA</v>
      </c>
      <c r="U6" s="319" t="str">
        <f>VLOOKUP(H6,'Fund Utilization Report'!$A$4:$U$1800,3,FALSE)</f>
        <v>FY2021, RA11518</v>
      </c>
      <c r="V6" s="319" t="str">
        <f>VLOOKUP(H6,'Fund Utilization Report'!$A$4:$U$1800,4,FALSE)</f>
        <v>GAS(GMS)</v>
      </c>
      <c r="W6" s="319" t="str">
        <f>VLOOKUP(H6,'Fund Utilization Report'!$A$4:$U$1800,5,FALSE)</f>
        <v>01101101</v>
      </c>
      <c r="X6" s="319" t="str">
        <f>VLOOKUP(H6,'Fund Utilization Report'!$A$4:$U$1800,6,FALSE)</f>
        <v>GOP</v>
      </c>
      <c r="Y6" s="320" t="str">
        <f>VLOOKUP(H6,'Fund Utilization Report'!$A$4:$U$1800,7,FALSE)</f>
        <v>MOOE</v>
      </c>
      <c r="Z6" s="321">
        <f>VLOOKUP(H6,'Fund Utilization Report'!$A$4:$U$1800,8,FALSE)</f>
        <v>5020000000</v>
      </c>
      <c r="AA6" s="319" t="str">
        <f>VLOOKUP(H6,'Fund Utilization Report'!$A$4:$U$1800,14,FALSE)</f>
        <v>100000100001000</v>
      </c>
      <c r="AB6" s="349" t="str">
        <f>VLOOKUP(H6,'Fund Utilization Report'!$A$4:$U$1800,15,FALSE)</f>
        <v>General Administration and Supervision - General Management and Supervision</v>
      </c>
      <c r="AC6" s="304"/>
      <c r="AD6" s="199"/>
      <c r="AE6" s="200"/>
      <c r="AF6" s="200"/>
      <c r="AG6" s="304"/>
      <c r="AH6" s="304"/>
    </row>
    <row r="7" spans="1:35" s="169" customFormat="1" ht="13.8">
      <c r="A7" s="338" t="s">
        <v>942</v>
      </c>
      <c r="B7" s="338" t="s">
        <v>943</v>
      </c>
      <c r="C7" s="339"/>
      <c r="D7" s="340"/>
      <c r="E7" s="341"/>
      <c r="F7" s="342"/>
      <c r="G7" s="342"/>
      <c r="H7" s="343" t="s">
        <v>962</v>
      </c>
      <c r="I7" s="344"/>
      <c r="J7" s="345"/>
      <c r="K7" s="342"/>
      <c r="L7" s="342"/>
      <c r="M7" s="346"/>
      <c r="N7" s="347"/>
      <c r="O7" s="347" t="s">
        <v>1000</v>
      </c>
      <c r="P7" s="347">
        <v>1872000</v>
      </c>
      <c r="Q7" s="348"/>
      <c r="R7" s="348"/>
      <c r="S7" s="319" t="str">
        <f>VLOOKUP(H7,'Fund Utilization Report'!$A$4:$U$1800,13,FALSE)</f>
        <v>PS</v>
      </c>
      <c r="T7" s="319" t="str">
        <f>VLOOKUP(H7,'Fund Utilization Report'!$A$4:$U$1800,2,FALSE)</f>
        <v>GAA</v>
      </c>
      <c r="U7" s="319" t="str">
        <f>VLOOKUP(H7,'Fund Utilization Report'!$A$4:$U$1800,3,FALSE)</f>
        <v>FY2021, RA11518</v>
      </c>
      <c r="V7" s="319" t="str">
        <f>VLOOKUP(H7,'Fund Utilization Report'!$A$4:$U$1800,4,FALSE)</f>
        <v>GAS(GMS)</v>
      </c>
      <c r="W7" s="319" t="str">
        <f>VLOOKUP(H7,'Fund Utilization Report'!$A$4:$U$1800,5,FALSE)</f>
        <v>01101101</v>
      </c>
      <c r="X7" s="319" t="str">
        <f>VLOOKUP(H7,'Fund Utilization Report'!$A$4:$U$1800,6,FALSE)</f>
        <v>GOP</v>
      </c>
      <c r="Y7" s="320" t="str">
        <f>VLOOKUP(H7,'Fund Utilization Report'!$A$4:$U$1800,7,FALSE)</f>
        <v>RLIP</v>
      </c>
      <c r="Z7" s="321" t="str">
        <f>VLOOKUP(H7,'Fund Utilization Report'!$A$4:$U$1800,8,FALSE)</f>
        <v>50103010-00</v>
      </c>
      <c r="AA7" s="319" t="str">
        <f>VLOOKUP(H7,'Fund Utilization Report'!$A$4:$U$1800,14,FALSE)</f>
        <v>100000100001000</v>
      </c>
      <c r="AB7" s="349" t="str">
        <f>VLOOKUP(H7,'Fund Utilization Report'!$A$4:$U$1800,15,FALSE)</f>
        <v>General Administration and Supervision - General Management and Supervision</v>
      </c>
      <c r="AC7" s="304"/>
      <c r="AD7" s="199"/>
      <c r="AE7" s="200"/>
      <c r="AF7" s="200"/>
      <c r="AG7" s="304"/>
      <c r="AH7" s="304"/>
    </row>
    <row r="8" spans="1:35" s="169" customFormat="1" ht="13.8">
      <c r="A8" s="338" t="s">
        <v>942</v>
      </c>
      <c r="B8" s="338" t="s">
        <v>943</v>
      </c>
      <c r="C8" s="339"/>
      <c r="D8" s="340"/>
      <c r="E8" s="341"/>
      <c r="F8" s="342"/>
      <c r="G8" s="342"/>
      <c r="H8" s="343" t="s">
        <v>963</v>
      </c>
      <c r="I8" s="344"/>
      <c r="J8" s="345"/>
      <c r="K8" s="342"/>
      <c r="L8" s="342"/>
      <c r="M8" s="346"/>
      <c r="N8" s="347"/>
      <c r="O8" s="347" t="s">
        <v>1000</v>
      </c>
      <c r="P8" s="347">
        <v>2043000</v>
      </c>
      <c r="Q8" s="348"/>
      <c r="R8" s="348"/>
      <c r="S8" s="319" t="str">
        <f>VLOOKUP(H8,'Fund Utilization Report'!$A$4:$U$1800,13,FALSE)</f>
        <v>PS</v>
      </c>
      <c r="T8" s="319" t="str">
        <f>VLOOKUP(H8,'Fund Utilization Report'!$A$4:$U$1800,2,FALSE)</f>
        <v>GAA</v>
      </c>
      <c r="U8" s="319" t="str">
        <f>VLOOKUP(H8,'Fund Utilization Report'!$A$4:$U$1800,3,FALSE)</f>
        <v>FY2021, RA11518</v>
      </c>
      <c r="V8" s="319" t="str">
        <f>VLOOKUP(H8,'Fund Utilization Report'!$A$4:$U$1800,4,FALSE)</f>
        <v>GAS(ABP)</v>
      </c>
      <c r="W8" s="319" t="str">
        <f>VLOOKUP(H8,'Fund Utilization Report'!$A$4:$U$1800,5,FALSE)</f>
        <v>01101101</v>
      </c>
      <c r="X8" s="319" t="str">
        <f>VLOOKUP(H8,'Fund Utilization Report'!$A$4:$U$1800,6,FALSE)</f>
        <v>GOP</v>
      </c>
      <c r="Y8" s="320">
        <f>VLOOKUP(H8,'Fund Utilization Report'!$A$4:$U$1800,7,FALSE)</f>
        <v>742</v>
      </c>
      <c r="Z8" s="321">
        <f>VLOOKUP(H8,'Fund Utilization Report'!$A$4:$U$1800,8,FALSE)</f>
        <v>5010403001</v>
      </c>
      <c r="AA8" s="319" t="str">
        <f>VLOOKUP(H8,'Fund Utilization Report'!$A$4:$U$1800,14,FALSE)</f>
        <v>100000100001000</v>
      </c>
      <c r="AB8" s="349" t="str">
        <f>VLOOKUP(H8,'Fund Utilization Report'!$A$4:$U$1800,15,FALSE)</f>
        <v>General Administration and Supervision - Administration of Personnel Benefits</v>
      </c>
      <c r="AC8" s="304"/>
      <c r="AD8" s="199"/>
      <c r="AE8" s="200"/>
      <c r="AF8" s="200"/>
      <c r="AG8" s="304"/>
      <c r="AH8" s="304"/>
    </row>
    <row r="9" spans="1:35" s="169" customFormat="1" ht="13.8">
      <c r="A9" s="338" t="s">
        <v>942</v>
      </c>
      <c r="B9" s="338" t="s">
        <v>943</v>
      </c>
      <c r="C9" s="339"/>
      <c r="D9" s="340"/>
      <c r="E9" s="341"/>
      <c r="F9" s="342"/>
      <c r="G9" s="342"/>
      <c r="H9" s="343" t="s">
        <v>964</v>
      </c>
      <c r="I9" s="344"/>
      <c r="J9" s="345"/>
      <c r="K9" s="342"/>
      <c r="L9" s="342"/>
      <c r="M9" s="346"/>
      <c r="N9" s="347"/>
      <c r="O9" s="347" t="s">
        <v>1000</v>
      </c>
      <c r="P9" s="347">
        <v>6704000</v>
      </c>
      <c r="Q9" s="348"/>
      <c r="R9" s="348"/>
      <c r="S9" s="319" t="str">
        <f>VLOOKUP(H9,'Fund Utilization Report'!$A$4:$U$1800,13,FALSE)</f>
        <v>PS</v>
      </c>
      <c r="T9" s="319" t="str">
        <f>VLOOKUP(H9,'Fund Utilization Report'!$A$4:$U$1800,2,FALSE)</f>
        <v>GAA</v>
      </c>
      <c r="U9" s="319" t="str">
        <f>VLOOKUP(H9,'Fund Utilization Report'!$A$4:$U$1800,3,FALSE)</f>
        <v>FY2021, RA11518</v>
      </c>
      <c r="V9" s="319" t="str">
        <f>VLOOKUP(H9,'Fund Utilization Report'!$A$4:$U$1800,4,FALSE)</f>
        <v>OO1</v>
      </c>
      <c r="W9" s="319" t="str">
        <f>VLOOKUP(H9,'Fund Utilization Report'!$A$4:$U$1800,5,FALSE)</f>
        <v>01101101</v>
      </c>
      <c r="X9" s="319" t="str">
        <f>VLOOKUP(H9,'Fund Utilization Report'!$A$4:$U$1800,6,FALSE)</f>
        <v>GOP</v>
      </c>
      <c r="Y9" s="320" t="str">
        <f>VLOOKUP(H9,'Fund Utilization Report'!$A$4:$U$1800,7,FALSE)</f>
        <v>PS</v>
      </c>
      <c r="Z9" s="321">
        <f>VLOOKUP(H9,'Fund Utilization Report'!$A$4:$U$1800,8,FALSE)</f>
        <v>5010000000</v>
      </c>
      <c r="AA9" s="319" t="str">
        <f>VLOOKUP(H9,'Fund Utilization Report'!$A$4:$U$1800,14,FALSE)</f>
        <v>310100100002000</v>
      </c>
      <c r="AB9" s="349" t="str">
        <f>VLOOKUP(H9,'Fund Utilization Report'!$A$4:$U$1800,15,FALSE)</f>
        <v>Development,Facilitation, and promotion of exports and investment, domestic and foreign</v>
      </c>
      <c r="AC9" s="304"/>
      <c r="AD9" s="199"/>
      <c r="AE9" s="200"/>
      <c r="AF9" s="200"/>
      <c r="AG9" s="304"/>
      <c r="AH9" s="304"/>
    </row>
    <row r="10" spans="1:35" s="169" customFormat="1" ht="13.8">
      <c r="A10" s="338" t="s">
        <v>942</v>
      </c>
      <c r="B10" s="338" t="s">
        <v>943</v>
      </c>
      <c r="C10" s="339"/>
      <c r="D10" s="340"/>
      <c r="E10" s="341"/>
      <c r="F10" s="342"/>
      <c r="G10" s="342"/>
      <c r="H10" s="343" t="s">
        <v>965</v>
      </c>
      <c r="I10" s="344"/>
      <c r="J10" s="345"/>
      <c r="K10" s="342"/>
      <c r="L10" s="342"/>
      <c r="M10" s="346"/>
      <c r="N10" s="347"/>
      <c r="O10" s="347" t="s">
        <v>1000</v>
      </c>
      <c r="P10" s="347">
        <v>3219000</v>
      </c>
      <c r="Q10" s="348"/>
      <c r="R10" s="348"/>
      <c r="S10" s="319" t="str">
        <f>VLOOKUP(H10,'Fund Utilization Report'!$A$4:$U$1800,13,FALSE)</f>
        <v>MOOE</v>
      </c>
      <c r="T10" s="319" t="str">
        <f>VLOOKUP(H10,'Fund Utilization Report'!$A$4:$U$1800,2,FALSE)</f>
        <v>GAA</v>
      </c>
      <c r="U10" s="319" t="str">
        <f>VLOOKUP(H10,'Fund Utilization Report'!$A$4:$U$1800,3,FALSE)</f>
        <v>FY2021, RA11518</v>
      </c>
      <c r="V10" s="319" t="str">
        <f>VLOOKUP(H10,'Fund Utilization Report'!$A$4:$U$1800,4,FALSE)</f>
        <v>OO1</v>
      </c>
      <c r="W10" s="319" t="str">
        <f>VLOOKUP(H10,'Fund Utilization Report'!$A$4:$U$1800,5,FALSE)</f>
        <v>01101101</v>
      </c>
      <c r="X10" s="319" t="str">
        <f>VLOOKUP(H10,'Fund Utilization Report'!$A$4:$U$1800,6,FALSE)</f>
        <v>GOP</v>
      </c>
      <c r="Y10" s="320" t="str">
        <f>VLOOKUP(H10,'Fund Utilization Report'!$A$4:$U$1800,7,FALSE)</f>
        <v>MOOE</v>
      </c>
      <c r="Z10" s="321">
        <f>VLOOKUP(H10,'Fund Utilization Report'!$A$4:$U$1800,8,FALSE)</f>
        <v>5020000000</v>
      </c>
      <c r="AA10" s="319" t="str">
        <f>VLOOKUP(H10,'Fund Utilization Report'!$A$4:$U$1800,14,FALSE)</f>
        <v>310100100002000</v>
      </c>
      <c r="AB10" s="349" t="str">
        <f>VLOOKUP(H10,'Fund Utilization Report'!$A$4:$U$1800,15,FALSE)</f>
        <v>Development,Facilitation, and promotion of exports and investment, domestic and foreign</v>
      </c>
      <c r="AC10" s="304"/>
      <c r="AD10" s="199"/>
      <c r="AE10" s="200"/>
      <c r="AF10" s="200"/>
      <c r="AG10" s="304"/>
      <c r="AH10" s="304"/>
    </row>
    <row r="11" spans="1:35" s="169" customFormat="1" ht="13.8">
      <c r="A11" s="338" t="s">
        <v>942</v>
      </c>
      <c r="B11" s="338" t="s">
        <v>943</v>
      </c>
      <c r="C11" s="339"/>
      <c r="D11" s="340"/>
      <c r="E11" s="341"/>
      <c r="F11" s="342"/>
      <c r="G11" s="342"/>
      <c r="H11" s="343" t="s">
        <v>966</v>
      </c>
      <c r="I11" s="344"/>
      <c r="J11" s="345"/>
      <c r="K11" s="342"/>
      <c r="L11" s="342"/>
      <c r="M11" s="346"/>
      <c r="N11" s="347"/>
      <c r="O11" s="347" t="s">
        <v>1000</v>
      </c>
      <c r="P11" s="347">
        <v>638000</v>
      </c>
      <c r="Q11" s="348"/>
      <c r="R11" s="348"/>
      <c r="S11" s="319" t="str">
        <f>VLOOKUP(H11,'Fund Utilization Report'!$A$4:$U$1800,13,FALSE)</f>
        <v>PS</v>
      </c>
      <c r="T11" s="319" t="str">
        <f>VLOOKUP(H11,'Fund Utilization Report'!$A$4:$U$1800,2,FALSE)</f>
        <v>GAA</v>
      </c>
      <c r="U11" s="319" t="str">
        <f>VLOOKUP(H11,'Fund Utilization Report'!$A$4:$U$1800,3,FALSE)</f>
        <v>FY2021, RA11518</v>
      </c>
      <c r="V11" s="319" t="str">
        <f>VLOOKUP(H11,'Fund Utilization Report'!$A$4:$U$1800,4,FALSE)</f>
        <v>OO1</v>
      </c>
      <c r="W11" s="319" t="str">
        <f>VLOOKUP(H11,'Fund Utilization Report'!$A$4:$U$1800,5,FALSE)</f>
        <v>01101101</v>
      </c>
      <c r="X11" s="319" t="str">
        <f>VLOOKUP(H11,'Fund Utilization Report'!$A$4:$U$1800,6,FALSE)</f>
        <v>GOP</v>
      </c>
      <c r="Y11" s="320" t="str">
        <f>VLOOKUP(H11,'Fund Utilization Report'!$A$4:$U$1800,7,FALSE)</f>
        <v>RLIP</v>
      </c>
      <c r="Z11" s="321" t="str">
        <f>VLOOKUP(H11,'Fund Utilization Report'!$A$4:$U$1800,8,FALSE)</f>
        <v>50103010-00</v>
      </c>
      <c r="AA11" s="319" t="str">
        <f>VLOOKUP(H11,'Fund Utilization Report'!$A$4:$U$1800,14,FALSE)</f>
        <v>310100100002000</v>
      </c>
      <c r="AB11" s="349" t="str">
        <f>VLOOKUP(H11,'Fund Utilization Report'!$A$4:$U$1800,15,FALSE)</f>
        <v>Development,Facilitation, and promotion of exports and investment, domestic and foreign</v>
      </c>
      <c r="AC11" s="304"/>
      <c r="AD11" s="199"/>
      <c r="AE11" s="200"/>
      <c r="AF11" s="200"/>
      <c r="AG11" s="304"/>
      <c r="AH11" s="304"/>
    </row>
    <row r="12" spans="1:35" s="169" customFormat="1" ht="13.8">
      <c r="A12" s="338" t="s">
        <v>942</v>
      </c>
      <c r="B12" s="338" t="s">
        <v>943</v>
      </c>
      <c r="C12" s="339"/>
      <c r="D12" s="340"/>
      <c r="E12" s="341"/>
      <c r="F12" s="342"/>
      <c r="G12" s="342"/>
      <c r="H12" s="343" t="s">
        <v>967</v>
      </c>
      <c r="I12" s="344"/>
      <c r="J12" s="345"/>
      <c r="K12" s="342"/>
      <c r="L12" s="342"/>
      <c r="M12" s="346"/>
      <c r="N12" s="347"/>
      <c r="O12" s="347" t="s">
        <v>1000</v>
      </c>
      <c r="P12" s="347">
        <v>8859000</v>
      </c>
      <c r="Q12" s="348"/>
      <c r="R12" s="348"/>
      <c r="S12" s="319" t="str">
        <f>VLOOKUP(H12,'Fund Utilization Report'!$A$4:$U$1800,13,FALSE)</f>
        <v>PS</v>
      </c>
      <c r="T12" s="319" t="str">
        <f>VLOOKUP(H12,'Fund Utilization Report'!$A$4:$U$1800,2,FALSE)</f>
        <v>GAA</v>
      </c>
      <c r="U12" s="319" t="str">
        <f>VLOOKUP(H12,'Fund Utilization Report'!$A$4:$U$1800,3,FALSE)</f>
        <v>FY2021, RA11518</v>
      </c>
      <c r="V12" s="319" t="str">
        <f>VLOOKUP(H12,'Fund Utilization Report'!$A$4:$U$1800,4,FALSE)</f>
        <v>OO2</v>
      </c>
      <c r="W12" s="319" t="str">
        <f>VLOOKUP(H12,'Fund Utilization Report'!$A$4:$U$1800,5,FALSE)</f>
        <v>01101101</v>
      </c>
      <c r="X12" s="319" t="str">
        <f>VLOOKUP(H12,'Fund Utilization Report'!$A$4:$U$1800,6,FALSE)</f>
        <v>GOP</v>
      </c>
      <c r="Y12" s="320" t="str">
        <f>VLOOKUP(H12,'Fund Utilization Report'!$A$4:$U$1800,7,FALSE)</f>
        <v>PS</v>
      </c>
      <c r="Z12" s="321">
        <f>VLOOKUP(H12,'Fund Utilization Report'!$A$4:$U$1800,8,FALSE)</f>
        <v>5010000000</v>
      </c>
      <c r="AA12" s="319" t="str">
        <f>VLOOKUP(H12,'Fund Utilization Report'!$A$4:$U$1800,14,FALSE)</f>
        <v>320100100001000</v>
      </c>
      <c r="AB12" s="349" t="str">
        <f>VLOOKUP(H12,'Fund Utilization Report'!$A$4:$U$1800,15,FALSE)</f>
        <v>Formulation of Strategic plans,programs, and policies to develop competitve industries</v>
      </c>
      <c r="AC12" s="304"/>
      <c r="AD12" s="199"/>
      <c r="AE12" s="200"/>
      <c r="AF12" s="200"/>
      <c r="AG12" s="304"/>
      <c r="AH12" s="304"/>
    </row>
    <row r="13" spans="1:35" s="169" customFormat="1" ht="13.8">
      <c r="A13" s="338" t="s">
        <v>942</v>
      </c>
      <c r="B13" s="338" t="s">
        <v>943</v>
      </c>
      <c r="C13" s="339"/>
      <c r="D13" s="340"/>
      <c r="E13" s="341"/>
      <c r="F13" s="342"/>
      <c r="G13" s="342"/>
      <c r="H13" s="343" t="s">
        <v>968</v>
      </c>
      <c r="I13" s="344"/>
      <c r="J13" s="345"/>
      <c r="K13" s="342"/>
      <c r="L13" s="342"/>
      <c r="M13" s="346"/>
      <c r="N13" s="347"/>
      <c r="O13" s="347" t="s">
        <v>1000</v>
      </c>
      <c r="P13" s="347">
        <v>4712000</v>
      </c>
      <c r="Q13" s="348"/>
      <c r="R13" s="348"/>
      <c r="S13" s="319" t="str">
        <f>VLOOKUP(H13,'Fund Utilization Report'!$A$4:$U$1800,13,FALSE)</f>
        <v>MOOE</v>
      </c>
      <c r="T13" s="319" t="str">
        <f>VLOOKUP(H13,'Fund Utilization Report'!$A$4:$U$1800,2,FALSE)</f>
        <v>GAA</v>
      </c>
      <c r="U13" s="319" t="str">
        <f>VLOOKUP(H13,'Fund Utilization Report'!$A$4:$U$1800,3,FALSE)</f>
        <v>FY2021, RA11518</v>
      </c>
      <c r="V13" s="319" t="str">
        <f>VLOOKUP(H13,'Fund Utilization Report'!$A$4:$U$1800,4,FALSE)</f>
        <v>OO2</v>
      </c>
      <c r="W13" s="319" t="str">
        <f>VLOOKUP(H13,'Fund Utilization Report'!$A$4:$U$1800,5,FALSE)</f>
        <v>01101101</v>
      </c>
      <c r="X13" s="319" t="str">
        <f>VLOOKUP(H13,'Fund Utilization Report'!$A$4:$U$1800,6,FALSE)</f>
        <v>GOP</v>
      </c>
      <c r="Y13" s="320" t="str">
        <f>VLOOKUP(H13,'Fund Utilization Report'!$A$4:$U$1800,7,FALSE)</f>
        <v>MOOE</v>
      </c>
      <c r="Z13" s="321">
        <f>VLOOKUP(H13,'Fund Utilization Report'!$A$4:$U$1800,8,FALSE)</f>
        <v>5020000000</v>
      </c>
      <c r="AA13" s="319" t="str">
        <f>VLOOKUP(H13,'Fund Utilization Report'!$A$4:$U$1800,14,FALSE)</f>
        <v>320100100001000</v>
      </c>
      <c r="AB13" s="349" t="str">
        <f>VLOOKUP(H13,'Fund Utilization Report'!$A$4:$U$1800,15,FALSE)</f>
        <v>Formulation of Strategic plans,programs, and policies to develop competitve industries</v>
      </c>
      <c r="AC13" s="304"/>
      <c r="AD13" s="199"/>
      <c r="AE13" s="200"/>
      <c r="AF13" s="200"/>
      <c r="AG13" s="304"/>
      <c r="AH13" s="304"/>
    </row>
    <row r="14" spans="1:35" s="169" customFormat="1" ht="13.8">
      <c r="A14" s="338" t="s">
        <v>942</v>
      </c>
      <c r="B14" s="338" t="s">
        <v>943</v>
      </c>
      <c r="C14" s="339"/>
      <c r="D14" s="340"/>
      <c r="E14" s="341"/>
      <c r="F14" s="342"/>
      <c r="G14" s="342"/>
      <c r="H14" s="343" t="s">
        <v>969</v>
      </c>
      <c r="I14" s="344"/>
      <c r="J14" s="345"/>
      <c r="K14" s="342"/>
      <c r="L14" s="342"/>
      <c r="M14" s="346"/>
      <c r="N14" s="347"/>
      <c r="O14" s="347" t="s">
        <v>1000</v>
      </c>
      <c r="P14" s="347">
        <v>818000</v>
      </c>
      <c r="Q14" s="348"/>
      <c r="R14" s="348"/>
      <c r="S14" s="319" t="str">
        <f>VLOOKUP(H14,'Fund Utilization Report'!$A$4:$U$1800,13,FALSE)</f>
        <v>PS</v>
      </c>
      <c r="T14" s="319" t="str">
        <f>VLOOKUP(H14,'Fund Utilization Report'!$A$4:$U$1800,2,FALSE)</f>
        <v>GAA</v>
      </c>
      <c r="U14" s="319" t="str">
        <f>VLOOKUP(H14,'Fund Utilization Report'!$A$4:$U$1800,3,FALSE)</f>
        <v>FY2021, RA11518</v>
      </c>
      <c r="V14" s="319" t="str">
        <f>VLOOKUP(H14,'Fund Utilization Report'!$A$4:$U$1800,4,FALSE)</f>
        <v>OO2</v>
      </c>
      <c r="W14" s="319" t="str">
        <f>VLOOKUP(H14,'Fund Utilization Report'!$A$4:$U$1800,5,FALSE)</f>
        <v>01101101</v>
      </c>
      <c r="X14" s="319" t="str">
        <f>VLOOKUP(H14,'Fund Utilization Report'!$A$4:$U$1800,6,FALSE)</f>
        <v>GOP</v>
      </c>
      <c r="Y14" s="320" t="str">
        <f>VLOOKUP(H14,'Fund Utilization Report'!$A$4:$U$1800,7,FALSE)</f>
        <v>RLIP</v>
      </c>
      <c r="Z14" s="321" t="str">
        <f>VLOOKUP(H14,'Fund Utilization Report'!$A$4:$U$1800,8,FALSE)</f>
        <v>50103010-00</v>
      </c>
      <c r="AA14" s="319" t="str">
        <f>VLOOKUP(H14,'Fund Utilization Report'!$A$4:$U$1800,14,FALSE)</f>
        <v>320100100001000</v>
      </c>
      <c r="AB14" s="349" t="str">
        <f>VLOOKUP(H14,'Fund Utilization Report'!$A$4:$U$1800,15,FALSE)</f>
        <v>Formulation of Strategic plans,programs, and policies to develop competitve industries</v>
      </c>
      <c r="AC14" s="304"/>
      <c r="AD14" s="199"/>
      <c r="AE14" s="200"/>
      <c r="AF14" s="200"/>
      <c r="AG14" s="304"/>
      <c r="AH14" s="304"/>
    </row>
    <row r="15" spans="1:35" s="169" customFormat="1" ht="13.8">
      <c r="A15" s="338" t="s">
        <v>942</v>
      </c>
      <c r="B15" s="338" t="s">
        <v>943</v>
      </c>
      <c r="C15" s="339"/>
      <c r="D15" s="340"/>
      <c r="E15" s="341"/>
      <c r="F15" s="342"/>
      <c r="G15" s="342"/>
      <c r="H15" s="343" t="s">
        <v>970</v>
      </c>
      <c r="I15" s="344"/>
      <c r="J15" s="345"/>
      <c r="K15" s="342"/>
      <c r="L15" s="342"/>
      <c r="M15" s="346"/>
      <c r="N15" s="347"/>
      <c r="O15" s="347" t="s">
        <v>1000</v>
      </c>
      <c r="P15" s="347">
        <v>9805000</v>
      </c>
      <c r="Q15" s="348"/>
      <c r="R15" s="348"/>
      <c r="S15" s="319" t="str">
        <f>VLOOKUP(H15,'Fund Utilization Report'!$A$4:$U$1800,13,FALSE)</f>
        <v>PS</v>
      </c>
      <c r="T15" s="319" t="str">
        <f>VLOOKUP(H15,'Fund Utilization Report'!$A$4:$U$1800,2,FALSE)</f>
        <v>GAA</v>
      </c>
      <c r="U15" s="319" t="str">
        <f>VLOOKUP(H15,'Fund Utilization Report'!$A$4:$U$1800,3,FALSE)</f>
        <v>FY2021, RA11518</v>
      </c>
      <c r="V15" s="319" t="str">
        <f>VLOOKUP(H15,'Fund Utilization Report'!$A$4:$U$1800,4,FALSE)</f>
        <v>OO3</v>
      </c>
      <c r="W15" s="319" t="str">
        <f>VLOOKUP(H15,'Fund Utilization Report'!$A$4:$U$1800,5,FALSE)</f>
        <v>01101101</v>
      </c>
      <c r="X15" s="319" t="str">
        <f>VLOOKUP(H15,'Fund Utilization Report'!$A$4:$U$1800,6,FALSE)</f>
        <v>GOP</v>
      </c>
      <c r="Y15" s="320" t="str">
        <f>VLOOKUP(H15,'Fund Utilization Report'!$A$4:$U$1800,7,FALSE)</f>
        <v>PS</v>
      </c>
      <c r="Z15" s="321">
        <f>VLOOKUP(H15,'Fund Utilization Report'!$A$4:$U$1800,8,FALSE)</f>
        <v>5010000000</v>
      </c>
      <c r="AA15" s="319" t="str">
        <f>VLOOKUP(H15,'Fund Utilization Report'!$A$4:$U$1800,14,FALSE)</f>
        <v>330100100002000</v>
      </c>
      <c r="AB15" s="349" t="str">
        <f>VLOOKUP(H15,'Fund Utilization Report'!$A$4:$U$1800,15,FALSE)</f>
        <v>Implementation of the MSME Development Plan and other initiatives to promote the growth of Micro, Small and Medium Enterprises</v>
      </c>
      <c r="AC15" s="304"/>
      <c r="AD15" s="199"/>
      <c r="AE15" s="200"/>
      <c r="AF15" s="200"/>
      <c r="AG15" s="304"/>
      <c r="AH15" s="304"/>
    </row>
    <row r="16" spans="1:35" s="169" customFormat="1" ht="13.8">
      <c r="A16" s="338" t="s">
        <v>942</v>
      </c>
      <c r="B16" s="338" t="s">
        <v>943</v>
      </c>
      <c r="C16" s="339"/>
      <c r="D16" s="340"/>
      <c r="E16" s="341"/>
      <c r="F16" s="342"/>
      <c r="G16" s="342"/>
      <c r="H16" s="343" t="s">
        <v>971</v>
      </c>
      <c r="I16" s="344"/>
      <c r="J16" s="345"/>
      <c r="K16" s="342"/>
      <c r="L16" s="342"/>
      <c r="M16" s="346"/>
      <c r="N16" s="347"/>
      <c r="O16" s="347" t="s">
        <v>1000</v>
      </c>
      <c r="P16" s="347">
        <v>8135000</v>
      </c>
      <c r="Q16" s="348"/>
      <c r="R16" s="348"/>
      <c r="S16" s="319" t="str">
        <f>VLOOKUP(H16,'Fund Utilization Report'!$A$4:$U$1800,13,FALSE)</f>
        <v>MOOE</v>
      </c>
      <c r="T16" s="319" t="str">
        <f>VLOOKUP(H16,'Fund Utilization Report'!$A$4:$U$1800,2,FALSE)</f>
        <v>GAA</v>
      </c>
      <c r="U16" s="319" t="str">
        <f>VLOOKUP(H16,'Fund Utilization Report'!$A$4:$U$1800,3,FALSE)</f>
        <v>FY2021, RA11518</v>
      </c>
      <c r="V16" s="319" t="str">
        <f>VLOOKUP(H16,'Fund Utilization Report'!$A$4:$U$1800,4,FALSE)</f>
        <v>OO3</v>
      </c>
      <c r="W16" s="319" t="str">
        <f>VLOOKUP(H16,'Fund Utilization Report'!$A$4:$U$1800,5,FALSE)</f>
        <v>01101101</v>
      </c>
      <c r="X16" s="319" t="str">
        <f>VLOOKUP(H16,'Fund Utilization Report'!$A$4:$U$1800,6,FALSE)</f>
        <v>GOP</v>
      </c>
      <c r="Y16" s="320" t="str">
        <f>VLOOKUP(H16,'Fund Utilization Report'!$A$4:$U$1800,7,FALSE)</f>
        <v>MOOE</v>
      </c>
      <c r="Z16" s="321">
        <f>VLOOKUP(H16,'Fund Utilization Report'!$A$4:$U$1800,8,FALSE)</f>
        <v>5020000000</v>
      </c>
      <c r="AA16" s="319" t="str">
        <f>VLOOKUP(H16,'Fund Utilization Report'!$A$4:$U$1800,14,FALSE)</f>
        <v>330100100002000</v>
      </c>
      <c r="AB16" s="349" t="str">
        <f>VLOOKUP(H16,'Fund Utilization Report'!$A$4:$U$1800,15,FALSE)</f>
        <v>Implementation of the MSME Development Plan and other initiatives to promote the growth of Micro, Small and Medium Enterprises</v>
      </c>
      <c r="AC16" s="304"/>
      <c r="AD16" s="199"/>
      <c r="AE16" s="200"/>
      <c r="AF16" s="200"/>
      <c r="AG16" s="304"/>
      <c r="AH16" s="304"/>
    </row>
    <row r="17" spans="1:34" s="169" customFormat="1" ht="13.8">
      <c r="A17" s="338" t="s">
        <v>942</v>
      </c>
      <c r="B17" s="338" t="s">
        <v>943</v>
      </c>
      <c r="C17" s="339"/>
      <c r="D17" s="340"/>
      <c r="E17" s="341"/>
      <c r="F17" s="342"/>
      <c r="G17" s="342"/>
      <c r="H17" s="343" t="s">
        <v>972</v>
      </c>
      <c r="I17" s="344"/>
      <c r="J17" s="345"/>
      <c r="K17" s="342"/>
      <c r="L17" s="342"/>
      <c r="M17" s="346"/>
      <c r="N17" s="347"/>
      <c r="O17" s="347" t="s">
        <v>1000</v>
      </c>
      <c r="P17" s="347">
        <v>918000</v>
      </c>
      <c r="Q17" s="348"/>
      <c r="R17" s="348"/>
      <c r="S17" s="319" t="str">
        <f>VLOOKUP(H17,'Fund Utilization Report'!$A$4:$U$1800,13,FALSE)</f>
        <v>PS</v>
      </c>
      <c r="T17" s="319" t="str">
        <f>VLOOKUP(H17,'Fund Utilization Report'!$A$4:$U$1800,2,FALSE)</f>
        <v>GAA</v>
      </c>
      <c r="U17" s="319" t="str">
        <f>VLOOKUP(H17,'Fund Utilization Report'!$A$4:$U$1800,3,FALSE)</f>
        <v>FY2021, RA11518</v>
      </c>
      <c r="V17" s="319" t="str">
        <f>VLOOKUP(H17,'Fund Utilization Report'!$A$4:$U$1800,4,FALSE)</f>
        <v>OO3</v>
      </c>
      <c r="W17" s="319" t="str">
        <f>VLOOKUP(H17,'Fund Utilization Report'!$A$4:$U$1800,5,FALSE)</f>
        <v>01101101</v>
      </c>
      <c r="X17" s="319" t="str">
        <f>VLOOKUP(H17,'Fund Utilization Report'!$A$4:$U$1800,6,FALSE)</f>
        <v>GOP</v>
      </c>
      <c r="Y17" s="320" t="str">
        <f>VLOOKUP(H17,'Fund Utilization Report'!$A$4:$U$1800,7,FALSE)</f>
        <v>RLIP</v>
      </c>
      <c r="Z17" s="321" t="str">
        <f>VLOOKUP(H17,'Fund Utilization Report'!$A$4:$U$1800,8,FALSE)</f>
        <v>50103010-00</v>
      </c>
      <c r="AA17" s="319" t="str">
        <f>VLOOKUP(H17,'Fund Utilization Report'!$A$4:$U$1800,14,FALSE)</f>
        <v>330100100002000</v>
      </c>
      <c r="AB17" s="349" t="str">
        <f>VLOOKUP(H17,'Fund Utilization Report'!$A$4:$U$1800,15,FALSE)</f>
        <v>Implementation of the MSME Development Plan and other initiatives to promote the growth of Micro, Small and Medium Enterprises</v>
      </c>
      <c r="AC17" s="304"/>
      <c r="AD17" s="199"/>
      <c r="AE17" s="200"/>
      <c r="AF17" s="200"/>
      <c r="AG17" s="304"/>
      <c r="AH17" s="304"/>
    </row>
    <row r="18" spans="1:34" s="169" customFormat="1" ht="13.8">
      <c r="A18" s="338" t="s">
        <v>942</v>
      </c>
      <c r="B18" s="338" t="s">
        <v>943</v>
      </c>
      <c r="C18" s="339"/>
      <c r="D18" s="340"/>
      <c r="E18" s="341"/>
      <c r="F18" s="342"/>
      <c r="G18" s="342"/>
      <c r="H18" s="343" t="s">
        <v>973</v>
      </c>
      <c r="I18" s="344"/>
      <c r="J18" s="345"/>
      <c r="K18" s="342"/>
      <c r="L18" s="342"/>
      <c r="M18" s="346"/>
      <c r="N18" s="347"/>
      <c r="O18" s="347" t="s">
        <v>1000</v>
      </c>
      <c r="P18" s="347">
        <v>7768000</v>
      </c>
      <c r="Q18" s="348"/>
      <c r="R18" s="348"/>
      <c r="S18" s="319" t="str">
        <f>VLOOKUP(H18,'Fund Utilization Report'!$A$4:$U$1800,13,FALSE)</f>
        <v>PS</v>
      </c>
      <c r="T18" s="319" t="str">
        <f>VLOOKUP(H18,'Fund Utilization Report'!$A$4:$U$1800,2,FALSE)</f>
        <v>GAA</v>
      </c>
      <c r="U18" s="319" t="str">
        <f>VLOOKUP(H18,'Fund Utilization Report'!$A$4:$U$1800,3,FALSE)</f>
        <v>FY2021, RA11518</v>
      </c>
      <c r="V18" s="319" t="str">
        <f>VLOOKUP(H18,'Fund Utilization Report'!$A$4:$U$1800,4,FALSE)</f>
        <v>OO4.1(FTL)</v>
      </c>
      <c r="W18" s="319" t="str">
        <f>VLOOKUP(H18,'Fund Utilization Report'!$A$4:$U$1800,5,FALSE)</f>
        <v>01101101</v>
      </c>
      <c r="X18" s="319" t="str">
        <f>VLOOKUP(H18,'Fund Utilization Report'!$A$4:$U$1800,6,FALSE)</f>
        <v>GOP</v>
      </c>
      <c r="Y18" s="320" t="str">
        <f>VLOOKUP(H18,'Fund Utilization Report'!$A$4:$U$1800,7,FALSE)</f>
        <v>PS</v>
      </c>
      <c r="Z18" s="321">
        <f>VLOOKUP(H18,'Fund Utilization Report'!$A$4:$U$1800,8,FALSE)</f>
        <v>5010000000</v>
      </c>
      <c r="AA18" s="319" t="str">
        <f>VLOOKUP(H18,'Fund Utilization Report'!$A$4:$U$1800,14,FALSE)</f>
        <v>340100100002000</v>
      </c>
      <c r="AB18" s="349" t="str">
        <f>VLOOKUP(H18,'Fund Utilization Report'!$A$4:$U$1800,15,FALSE)</f>
        <v>Monitoring and Enforcement of FTL including consumer complaints handling</v>
      </c>
      <c r="AC18" s="304"/>
      <c r="AD18" s="199"/>
      <c r="AE18" s="200"/>
      <c r="AF18" s="200"/>
      <c r="AG18" s="304"/>
      <c r="AH18" s="304"/>
    </row>
    <row r="19" spans="1:34" s="169" customFormat="1" ht="13.8">
      <c r="A19" s="338" t="s">
        <v>942</v>
      </c>
      <c r="B19" s="338" t="s">
        <v>943</v>
      </c>
      <c r="C19" s="339"/>
      <c r="D19" s="340"/>
      <c r="E19" s="341"/>
      <c r="F19" s="342"/>
      <c r="G19" s="342"/>
      <c r="H19" s="343" t="s">
        <v>974</v>
      </c>
      <c r="I19" s="344"/>
      <c r="J19" s="345"/>
      <c r="K19" s="342"/>
      <c r="L19" s="342"/>
      <c r="M19" s="346"/>
      <c r="N19" s="347"/>
      <c r="O19" s="347" t="s">
        <v>1000</v>
      </c>
      <c r="P19" s="347">
        <v>1412000</v>
      </c>
      <c r="Q19" s="348"/>
      <c r="R19" s="348"/>
      <c r="S19" s="319" t="str">
        <f>VLOOKUP(H19,'Fund Utilization Report'!$A$4:$U$1800,13,FALSE)</f>
        <v>MOOE</v>
      </c>
      <c r="T19" s="319" t="str">
        <f>VLOOKUP(H19,'Fund Utilization Report'!$A$4:$U$1800,2,FALSE)</f>
        <v>GAA</v>
      </c>
      <c r="U19" s="319" t="str">
        <f>VLOOKUP(H19,'Fund Utilization Report'!$A$4:$U$1800,3,FALSE)</f>
        <v>FY2021, RA11518</v>
      </c>
      <c r="V19" s="319" t="str">
        <f>VLOOKUP(H19,'Fund Utilization Report'!$A$4:$U$1800,4,FALSE)</f>
        <v>OO4.1(FTL)</v>
      </c>
      <c r="W19" s="319" t="str">
        <f>VLOOKUP(H19,'Fund Utilization Report'!$A$4:$U$1800,5,FALSE)</f>
        <v>01101101</v>
      </c>
      <c r="X19" s="319" t="str">
        <f>VLOOKUP(H19,'Fund Utilization Report'!$A$4:$U$1800,6,FALSE)</f>
        <v>GOP</v>
      </c>
      <c r="Y19" s="320" t="str">
        <f>VLOOKUP(H19,'Fund Utilization Report'!$A$4:$U$1800,7,FALSE)</f>
        <v>MOOE</v>
      </c>
      <c r="Z19" s="321">
        <f>VLOOKUP(H19,'Fund Utilization Report'!$A$4:$U$1800,8,FALSE)</f>
        <v>5020000000</v>
      </c>
      <c r="AA19" s="319" t="str">
        <f>VLOOKUP(H19,'Fund Utilization Report'!$A$4:$U$1800,14,FALSE)</f>
        <v>340100100002000</v>
      </c>
      <c r="AB19" s="349" t="str">
        <f>VLOOKUP(H19,'Fund Utilization Report'!$A$4:$U$1800,15,FALSE)</f>
        <v>Monitoring and Enforcement of FTL including consumer complaints handling</v>
      </c>
      <c r="AC19" s="304"/>
      <c r="AD19" s="199"/>
      <c r="AE19" s="200"/>
      <c r="AF19" s="200"/>
      <c r="AG19" s="304"/>
      <c r="AH19" s="304"/>
    </row>
    <row r="20" spans="1:34" s="169" customFormat="1" ht="13.8">
      <c r="A20" s="338" t="s">
        <v>942</v>
      </c>
      <c r="B20" s="338" t="s">
        <v>943</v>
      </c>
      <c r="C20" s="339"/>
      <c r="D20" s="340"/>
      <c r="E20" s="341"/>
      <c r="F20" s="342"/>
      <c r="G20" s="342"/>
      <c r="H20" s="343" t="s">
        <v>975</v>
      </c>
      <c r="I20" s="344"/>
      <c r="J20" s="345"/>
      <c r="K20" s="342"/>
      <c r="L20" s="342"/>
      <c r="M20" s="346"/>
      <c r="N20" s="347"/>
      <c r="O20" s="347" t="s">
        <v>1000</v>
      </c>
      <c r="P20" s="347">
        <v>730000</v>
      </c>
      <c r="Q20" s="348"/>
      <c r="R20" s="348"/>
      <c r="S20" s="319" t="str">
        <f>VLOOKUP(H20,'Fund Utilization Report'!$A$4:$U$1800,13,FALSE)</f>
        <v>PS</v>
      </c>
      <c r="T20" s="319" t="str">
        <f>VLOOKUP(H20,'Fund Utilization Report'!$A$4:$U$1800,2,FALSE)</f>
        <v>GAA</v>
      </c>
      <c r="U20" s="319" t="str">
        <f>VLOOKUP(H20,'Fund Utilization Report'!$A$4:$U$1800,3,FALSE)</f>
        <v>FY2021, RA11518</v>
      </c>
      <c r="V20" s="319" t="str">
        <f>VLOOKUP(H20,'Fund Utilization Report'!$A$4:$U$1800,4,FALSE)</f>
        <v>OO4.1(FTL)</v>
      </c>
      <c r="W20" s="319" t="str">
        <f>VLOOKUP(H20,'Fund Utilization Report'!$A$4:$U$1800,5,FALSE)</f>
        <v>01101101</v>
      </c>
      <c r="X20" s="319" t="str">
        <f>VLOOKUP(H20,'Fund Utilization Report'!$A$4:$U$1800,6,FALSE)</f>
        <v>GOP</v>
      </c>
      <c r="Y20" s="320" t="str">
        <f>VLOOKUP(H20,'Fund Utilization Report'!$A$4:$U$1800,7,FALSE)</f>
        <v>RLIP</v>
      </c>
      <c r="Z20" s="321" t="str">
        <f>VLOOKUP(H20,'Fund Utilization Report'!$A$4:$U$1800,8,FALSE)</f>
        <v>50103010-00</v>
      </c>
      <c r="AA20" s="319" t="str">
        <f>VLOOKUP(H20,'Fund Utilization Report'!$A$4:$U$1800,14,FALSE)</f>
        <v>340100100002000</v>
      </c>
      <c r="AB20" s="349" t="str">
        <f>VLOOKUP(H20,'Fund Utilization Report'!$A$4:$U$1800,15,FALSE)</f>
        <v>Monitoring and Enforcement of FTL including consumer complaints handling</v>
      </c>
      <c r="AC20" s="304"/>
      <c r="AD20" s="199"/>
      <c r="AE20" s="200"/>
      <c r="AF20" s="200"/>
      <c r="AG20" s="304"/>
      <c r="AH20" s="304"/>
    </row>
    <row r="21" spans="1:34" s="169" customFormat="1" ht="13.8">
      <c r="A21" s="338" t="s">
        <v>942</v>
      </c>
      <c r="B21" s="338" t="s">
        <v>943</v>
      </c>
      <c r="C21" s="339"/>
      <c r="D21" s="340"/>
      <c r="E21" s="341"/>
      <c r="F21" s="342"/>
      <c r="G21" s="342"/>
      <c r="H21" s="343" t="s">
        <v>976</v>
      </c>
      <c r="I21" s="344"/>
      <c r="J21" s="345"/>
      <c r="K21" s="342"/>
      <c r="L21" s="342"/>
      <c r="M21" s="346"/>
      <c r="N21" s="347"/>
      <c r="O21" s="347" t="s">
        <v>1000</v>
      </c>
      <c r="P21" s="347">
        <v>2643000</v>
      </c>
      <c r="Q21" s="348"/>
      <c r="R21" s="348"/>
      <c r="S21" s="319" t="str">
        <f>VLOOKUP(H21,'Fund Utilization Report'!$A$4:$U$1800,13,FALSE)</f>
        <v>PS</v>
      </c>
      <c r="T21" s="319" t="str">
        <f>VLOOKUP(H21,'Fund Utilization Report'!$A$4:$U$1800,2,FALSE)</f>
        <v>GAA</v>
      </c>
      <c r="U21" s="319" t="str">
        <f>VLOOKUP(H21,'Fund Utilization Report'!$A$4:$U$1800,3,FALSE)</f>
        <v>FY2021, RA11518</v>
      </c>
      <c r="V21" s="319" t="str">
        <f>VLOOKUP(H21,'Fund Utilization Report'!$A$4:$U$1800,4,FALSE)</f>
        <v>OO4.1(Acc)</v>
      </c>
      <c r="W21" s="319" t="str">
        <f>VLOOKUP(H21,'Fund Utilization Report'!$A$4:$U$1800,5,FALSE)</f>
        <v>01101101</v>
      </c>
      <c r="X21" s="319" t="str">
        <f>VLOOKUP(H21,'Fund Utilization Report'!$A$4:$U$1800,6,FALSE)</f>
        <v>GOP</v>
      </c>
      <c r="Y21" s="320" t="str">
        <f>VLOOKUP(H21,'Fund Utilization Report'!$A$4:$U$1800,7,FALSE)</f>
        <v>PS</v>
      </c>
      <c r="Z21" s="321">
        <f>VLOOKUP(H21,'Fund Utilization Report'!$A$4:$U$1800,8,FALSE)</f>
        <v>5010000000</v>
      </c>
      <c r="AA21" s="319" t="str">
        <f>VLOOKUP(H21,'Fund Utilization Report'!$A$4:$U$1800,14,FALSE)</f>
        <v>340100100003000</v>
      </c>
      <c r="AB21" s="349" t="str">
        <f>VLOOKUP(H21,'Fund Utilization Report'!$A$4:$U$1800,15,FALSE)</f>
        <v>Accreditation and Issuance of Business Licenses, Permits, registration and authorities</v>
      </c>
      <c r="AC21" s="304"/>
      <c r="AD21" s="199"/>
      <c r="AE21" s="200"/>
      <c r="AF21" s="200"/>
      <c r="AG21" s="304"/>
      <c r="AH21" s="304"/>
    </row>
    <row r="22" spans="1:34" s="169" customFormat="1" ht="13.8">
      <c r="A22" s="338" t="s">
        <v>942</v>
      </c>
      <c r="B22" s="338" t="s">
        <v>943</v>
      </c>
      <c r="C22" s="339"/>
      <c r="D22" s="340"/>
      <c r="E22" s="341"/>
      <c r="F22" s="342"/>
      <c r="G22" s="342"/>
      <c r="H22" s="343" t="s">
        <v>977</v>
      </c>
      <c r="I22" s="344"/>
      <c r="J22" s="345"/>
      <c r="K22" s="342"/>
      <c r="L22" s="342"/>
      <c r="M22" s="346"/>
      <c r="N22" s="347"/>
      <c r="O22" s="347" t="s">
        <v>1000</v>
      </c>
      <c r="P22" s="347">
        <v>1679000</v>
      </c>
      <c r="Q22" s="348"/>
      <c r="R22" s="348"/>
      <c r="S22" s="319" t="str">
        <f>VLOOKUP(H22,'Fund Utilization Report'!$A$4:$U$1800,13,FALSE)</f>
        <v>MOOE</v>
      </c>
      <c r="T22" s="319" t="str">
        <f>VLOOKUP(H22,'Fund Utilization Report'!$A$4:$U$1800,2,FALSE)</f>
        <v>GAA</v>
      </c>
      <c r="U22" s="319" t="str">
        <f>VLOOKUP(H22,'Fund Utilization Report'!$A$4:$U$1800,3,FALSE)</f>
        <v>FY2021, RA11518</v>
      </c>
      <c r="V22" s="319" t="str">
        <f>VLOOKUP(H22,'Fund Utilization Report'!$A$4:$U$1800,4,FALSE)</f>
        <v>OO4.1(Acc)</v>
      </c>
      <c r="W22" s="319" t="str">
        <f>VLOOKUP(H22,'Fund Utilization Report'!$A$4:$U$1800,5,FALSE)</f>
        <v>01101101</v>
      </c>
      <c r="X22" s="319" t="str">
        <f>VLOOKUP(H22,'Fund Utilization Report'!$A$4:$U$1800,6,FALSE)</f>
        <v>GOP</v>
      </c>
      <c r="Y22" s="320" t="str">
        <f>VLOOKUP(H22,'Fund Utilization Report'!$A$4:$U$1800,7,FALSE)</f>
        <v>MOOE</v>
      </c>
      <c r="Z22" s="321">
        <f>VLOOKUP(H22,'Fund Utilization Report'!$A$4:$U$1800,8,FALSE)</f>
        <v>5020000000</v>
      </c>
      <c r="AA22" s="319" t="str">
        <f>VLOOKUP(H22,'Fund Utilization Report'!$A$4:$U$1800,14,FALSE)</f>
        <v>340100100003000</v>
      </c>
      <c r="AB22" s="349" t="str">
        <f>VLOOKUP(H22,'Fund Utilization Report'!$A$4:$U$1800,15,FALSE)</f>
        <v>Accreditation and Issuance of Business Licenses, Permits, registration and authorities</v>
      </c>
      <c r="AC22" s="304"/>
      <c r="AD22" s="199"/>
      <c r="AE22" s="200"/>
      <c r="AF22" s="200"/>
      <c r="AG22" s="304"/>
      <c r="AH22" s="304"/>
    </row>
    <row r="23" spans="1:34" s="169" customFormat="1" ht="13.8">
      <c r="A23" s="338" t="s">
        <v>942</v>
      </c>
      <c r="B23" s="338" t="s">
        <v>943</v>
      </c>
      <c r="C23" s="339"/>
      <c r="D23" s="340"/>
      <c r="E23" s="341"/>
      <c r="F23" s="342"/>
      <c r="G23" s="342"/>
      <c r="H23" s="343" t="s">
        <v>978</v>
      </c>
      <c r="I23" s="344"/>
      <c r="J23" s="345"/>
      <c r="K23" s="342"/>
      <c r="L23" s="342"/>
      <c r="M23" s="346"/>
      <c r="N23" s="347"/>
      <c r="O23" s="347" t="s">
        <v>1000</v>
      </c>
      <c r="P23" s="347">
        <v>247000</v>
      </c>
      <c r="Q23" s="348"/>
      <c r="R23" s="348"/>
      <c r="S23" s="319" t="str">
        <f>VLOOKUP(H23,'Fund Utilization Report'!$A$4:$U$1800,13,FALSE)</f>
        <v>PS</v>
      </c>
      <c r="T23" s="319" t="str">
        <f>VLOOKUP(H23,'Fund Utilization Report'!$A$4:$U$1800,2,FALSE)</f>
        <v>GAA</v>
      </c>
      <c r="U23" s="319" t="str">
        <f>VLOOKUP(H23,'Fund Utilization Report'!$A$4:$U$1800,3,FALSE)</f>
        <v>FY2021, RA11518</v>
      </c>
      <c r="V23" s="319" t="str">
        <f>VLOOKUP(H23,'Fund Utilization Report'!$A$4:$U$1800,4,FALSE)</f>
        <v>OO4.1(Acc)</v>
      </c>
      <c r="W23" s="319" t="str">
        <f>VLOOKUP(H23,'Fund Utilization Report'!$A$4:$U$1800,5,FALSE)</f>
        <v>01101101</v>
      </c>
      <c r="X23" s="319" t="str">
        <f>VLOOKUP(H23,'Fund Utilization Report'!$A$4:$U$1800,6,FALSE)</f>
        <v>GOP</v>
      </c>
      <c r="Y23" s="320" t="str">
        <f>VLOOKUP(H23,'Fund Utilization Report'!$A$4:$U$1800,7,FALSE)</f>
        <v>RLIP</v>
      </c>
      <c r="Z23" s="321" t="str">
        <f>VLOOKUP(H23,'Fund Utilization Report'!$A$4:$U$1800,8,FALSE)</f>
        <v>50103010-00</v>
      </c>
      <c r="AA23" s="319" t="str">
        <f>VLOOKUP(H23,'Fund Utilization Report'!$A$4:$U$1800,14,FALSE)</f>
        <v>340100100003000</v>
      </c>
      <c r="AB23" s="349" t="str">
        <f>VLOOKUP(H23,'Fund Utilization Report'!$A$4:$U$1800,15,FALSE)</f>
        <v>Accreditation and Issuance of Business Licenses, Permits, registration and authorities</v>
      </c>
      <c r="AC23" s="304"/>
      <c r="AD23" s="199"/>
      <c r="AE23" s="200"/>
      <c r="AF23" s="200"/>
      <c r="AG23" s="304"/>
      <c r="AH23" s="304"/>
    </row>
    <row r="24" spans="1:34" s="169" customFormat="1" ht="13.8">
      <c r="A24" s="338" t="s">
        <v>942</v>
      </c>
      <c r="B24" s="338" t="s">
        <v>943</v>
      </c>
      <c r="C24" s="339"/>
      <c r="D24" s="340"/>
      <c r="E24" s="341"/>
      <c r="F24" s="342"/>
      <c r="G24" s="342"/>
      <c r="H24" s="343" t="s">
        <v>979</v>
      </c>
      <c r="I24" s="344"/>
      <c r="J24" s="345"/>
      <c r="K24" s="342"/>
      <c r="L24" s="342"/>
      <c r="M24" s="346"/>
      <c r="N24" s="347"/>
      <c r="O24" s="347" t="s">
        <v>1000</v>
      </c>
      <c r="P24" s="347">
        <v>998000</v>
      </c>
      <c r="Q24" s="348"/>
      <c r="R24" s="348"/>
      <c r="S24" s="319" t="str">
        <f>VLOOKUP(H24,'Fund Utilization Report'!$A$4:$U$1800,13,FALSE)</f>
        <v>MOOE</v>
      </c>
      <c r="T24" s="319" t="str">
        <f>VLOOKUP(H24,'Fund Utilization Report'!$A$4:$U$1800,2,FALSE)</f>
        <v>GAA</v>
      </c>
      <c r="U24" s="319" t="str">
        <f>VLOOKUP(H24,'Fund Utilization Report'!$A$4:$U$1800,3,FALSE)</f>
        <v>FY2021, RA11518</v>
      </c>
      <c r="V24" s="319" t="str">
        <f>VLOOKUP(H24,'Fund Utilization Report'!$A$4:$U$1800,4,FALSE)</f>
        <v>OO 4.2</v>
      </c>
      <c r="W24" s="319" t="str">
        <f>VLOOKUP(H24,'Fund Utilization Report'!$A$4:$U$1800,5,FALSE)</f>
        <v>01101101</v>
      </c>
      <c r="X24" s="319" t="str">
        <f>VLOOKUP(H24,'Fund Utilization Report'!$A$4:$U$1800,6,FALSE)</f>
        <v>GOP</v>
      </c>
      <c r="Y24" s="320" t="str">
        <f>VLOOKUP(H24,'Fund Utilization Report'!$A$4:$U$1800,7,FALSE)</f>
        <v>MOOE</v>
      </c>
      <c r="Z24" s="321">
        <f>VLOOKUP(H24,'Fund Utilization Report'!$A$4:$U$1800,8,FALSE)</f>
        <v>5020000000</v>
      </c>
      <c r="AA24" s="319" t="str">
        <f>VLOOKUP(H24,'Fund Utilization Report'!$A$4:$U$1800,14,FALSE)</f>
        <v>340200100002000</v>
      </c>
      <c r="AB24" s="349" t="str">
        <f>VLOOKUP(H24,'Fund Utilization Report'!$A$4:$U$1800,15,FALSE)</f>
        <v>Implementation of Plans, projects and activities on consumer awareness, education, and advocacy</v>
      </c>
      <c r="AC24" s="304"/>
      <c r="AD24" s="199"/>
      <c r="AE24" s="200"/>
      <c r="AF24" s="200"/>
      <c r="AG24" s="304"/>
      <c r="AH24" s="304"/>
    </row>
    <row r="25" spans="1:34" s="169" customFormat="1" ht="13.8">
      <c r="A25" s="338" t="s">
        <v>942</v>
      </c>
      <c r="B25" s="338" t="s">
        <v>943</v>
      </c>
      <c r="C25" s="339"/>
      <c r="D25" s="340"/>
      <c r="E25" s="341"/>
      <c r="F25" s="342"/>
      <c r="G25" s="342"/>
      <c r="H25" s="343" t="s">
        <v>980</v>
      </c>
      <c r="I25" s="344"/>
      <c r="J25" s="345"/>
      <c r="K25" s="342"/>
      <c r="L25" s="342"/>
      <c r="M25" s="346"/>
      <c r="N25" s="347"/>
      <c r="O25" s="347" t="s">
        <v>1000</v>
      </c>
      <c r="P25" s="347">
        <v>28602000</v>
      </c>
      <c r="Q25" s="348"/>
      <c r="R25" s="348"/>
      <c r="S25" s="319" t="str">
        <f>VLOOKUP(H25,'Fund Utilization Report'!$A$4:$U$1800,13,FALSE)</f>
        <v>MOOE</v>
      </c>
      <c r="T25" s="319" t="str">
        <f>VLOOKUP(H25,'Fund Utilization Report'!$A$4:$U$1800,2,FALSE)</f>
        <v>GAA</v>
      </c>
      <c r="U25" s="319" t="str">
        <f>VLOOKUP(H25,'Fund Utilization Report'!$A$4:$U$1800,3,FALSE)</f>
        <v>FY2021, RA11518</v>
      </c>
      <c r="V25" s="319" t="str">
        <f>VLOOKUP(H25,'Fund Utilization Report'!$A$4:$U$1800,4,FALSE)</f>
        <v>NC</v>
      </c>
      <c r="W25" s="319" t="str">
        <f>VLOOKUP(H25,'Fund Utilization Report'!$A$4:$U$1800,5,FALSE)</f>
        <v>01101101</v>
      </c>
      <c r="X25" s="319" t="str">
        <f>VLOOKUP(H25,'Fund Utilization Report'!$A$4:$U$1800,6,FALSE)</f>
        <v>GOP</v>
      </c>
      <c r="Y25" s="320" t="str">
        <f>VLOOKUP(H25,'Fund Utilization Report'!$A$4:$U$1800,7,FALSE)</f>
        <v>MOOE</v>
      </c>
      <c r="Z25" s="321">
        <f>VLOOKUP(H25,'Fund Utilization Report'!$A$4:$U$1800,8,FALSE)</f>
        <v>5020000000</v>
      </c>
      <c r="AA25" s="319" t="str">
        <f>VLOOKUP(H25,'Fund Utilization Report'!$A$4:$U$1800,14,FALSE)</f>
        <v>330100200001000</v>
      </c>
      <c r="AB25" s="349" t="str">
        <f>VLOOKUP(H25,'Fund Utilization Report'!$A$4:$U$1800,15,FALSE)</f>
        <v>Establishment of Negosyo Centers</v>
      </c>
      <c r="AC25" s="304"/>
      <c r="AD25" s="199"/>
      <c r="AE25" s="200"/>
      <c r="AF25" s="200"/>
      <c r="AG25" s="304"/>
      <c r="AH25" s="304"/>
    </row>
    <row r="26" spans="1:34" s="169" customFormat="1" ht="13.8">
      <c r="A26" s="338" t="s">
        <v>942</v>
      </c>
      <c r="B26" s="338" t="s">
        <v>943</v>
      </c>
      <c r="C26" s="339"/>
      <c r="D26" s="340"/>
      <c r="E26" s="341"/>
      <c r="F26" s="342"/>
      <c r="G26" s="342"/>
      <c r="H26" s="343" t="s">
        <v>981</v>
      </c>
      <c r="I26" s="344"/>
      <c r="J26" s="345"/>
      <c r="K26" s="342"/>
      <c r="L26" s="342"/>
      <c r="M26" s="346"/>
      <c r="N26" s="347"/>
      <c r="O26" s="347" t="s">
        <v>1000</v>
      </c>
      <c r="P26" s="347">
        <v>5150000</v>
      </c>
      <c r="Q26" s="348"/>
      <c r="R26" s="348"/>
      <c r="S26" s="319" t="str">
        <f>VLOOKUP(H26,'Fund Utilization Report'!$A$4:$U$1800,13,FALSE)</f>
        <v>CO</v>
      </c>
      <c r="T26" s="319" t="str">
        <f>VLOOKUP(H26,'Fund Utilization Report'!$A$4:$U$1800,2,FALSE)</f>
        <v>GAA</v>
      </c>
      <c r="U26" s="319" t="str">
        <f>VLOOKUP(H26,'Fund Utilization Report'!$A$4:$U$1800,3,FALSE)</f>
        <v>FY2021, RA11518</v>
      </c>
      <c r="V26" s="319" t="str">
        <f>VLOOKUP(H26,'Fund Utilization Report'!$A$4:$U$1800,4,FALSE)</f>
        <v>NC</v>
      </c>
      <c r="W26" s="319" t="str">
        <f>VLOOKUP(H26,'Fund Utilization Report'!$A$4:$U$1800,5,FALSE)</f>
        <v>01101101</v>
      </c>
      <c r="X26" s="319" t="str">
        <f>VLOOKUP(H26,'Fund Utilization Report'!$A$4:$U$1800,6,FALSE)</f>
        <v>GOP</v>
      </c>
      <c r="Y26" s="320" t="str">
        <f>VLOOKUP(H26,'Fund Utilization Report'!$A$4:$U$1800,7,FALSE)</f>
        <v>CO</v>
      </c>
      <c r="Z26" s="321">
        <f>VLOOKUP(H26,'Fund Utilization Report'!$A$4:$U$1800,8,FALSE)</f>
        <v>5060000000</v>
      </c>
      <c r="AA26" s="319" t="str">
        <f>VLOOKUP(H26,'Fund Utilization Report'!$A$4:$U$1800,14,FALSE)</f>
        <v>330100200001000</v>
      </c>
      <c r="AB26" s="349" t="str">
        <f>VLOOKUP(H26,'Fund Utilization Report'!$A$4:$U$1800,15,FALSE)</f>
        <v>Establishment of Negosyo Centers</v>
      </c>
      <c r="AC26" s="304"/>
      <c r="AD26" s="199"/>
      <c r="AE26" s="200"/>
      <c r="AF26" s="200"/>
      <c r="AG26" s="304"/>
      <c r="AH26" s="304"/>
    </row>
    <row r="27" spans="1:34" s="169" customFormat="1" ht="13.8">
      <c r="A27" s="338" t="s">
        <v>942</v>
      </c>
      <c r="B27" s="338" t="s">
        <v>943</v>
      </c>
      <c r="C27" s="339"/>
      <c r="D27" s="340"/>
      <c r="E27" s="341"/>
      <c r="F27" s="342"/>
      <c r="G27" s="342"/>
      <c r="H27" s="343" t="s">
        <v>982</v>
      </c>
      <c r="I27" s="344"/>
      <c r="J27" s="345"/>
      <c r="K27" s="342"/>
      <c r="L27" s="342"/>
      <c r="M27" s="346"/>
      <c r="N27" s="347"/>
      <c r="O27" s="347" t="s">
        <v>1000</v>
      </c>
      <c r="P27" s="347">
        <v>6894000</v>
      </c>
      <c r="Q27" s="348"/>
      <c r="R27" s="348"/>
      <c r="S27" s="319" t="str">
        <f>VLOOKUP(H27,'Fund Utilization Report'!$A$4:$U$1800,13,FALSE)</f>
        <v>MOOE</v>
      </c>
      <c r="T27" s="319" t="str">
        <f>VLOOKUP(H27,'Fund Utilization Report'!$A$4:$U$1800,2,FALSE)</f>
        <v>GAA</v>
      </c>
      <c r="U27" s="319" t="str">
        <f>VLOOKUP(H27,'Fund Utilization Report'!$A$4:$U$1800,3,FALSE)</f>
        <v>FY2021, RA11518</v>
      </c>
      <c r="V27" s="319" t="str">
        <f>VLOOKUP(H27,'Fund Utilization Report'!$A$4:$U$1800,4,FALSE)</f>
        <v>OTOP</v>
      </c>
      <c r="W27" s="319" t="str">
        <f>VLOOKUP(H27,'Fund Utilization Report'!$A$4:$U$1800,5,FALSE)</f>
        <v>01101101</v>
      </c>
      <c r="X27" s="319" t="str">
        <f>VLOOKUP(H27,'Fund Utilization Report'!$A$4:$U$1800,6,FALSE)</f>
        <v>GOP</v>
      </c>
      <c r="Y27" s="320" t="str">
        <f>VLOOKUP(H27,'Fund Utilization Report'!$A$4:$U$1800,7,FALSE)</f>
        <v>MOOE</v>
      </c>
      <c r="Z27" s="321">
        <f>VLOOKUP(H27,'Fund Utilization Report'!$A$4:$U$1800,8,FALSE)</f>
        <v>5020000000</v>
      </c>
      <c r="AA27" s="319" t="str">
        <f>VLOOKUP(H27,'Fund Utilization Report'!$A$4:$U$1800,14,FALSE)</f>
        <v>330100200002000</v>
      </c>
      <c r="AB27" s="349" t="str">
        <f>VLOOKUP(H27,'Fund Utilization Report'!$A$4:$U$1800,15,FALSE)</f>
        <v>OTOP - Next Generation</v>
      </c>
      <c r="AC27" s="304"/>
      <c r="AD27" s="199"/>
      <c r="AE27" s="200"/>
      <c r="AF27" s="200"/>
      <c r="AG27" s="304"/>
      <c r="AH27" s="304"/>
    </row>
    <row r="28" spans="1:34" s="169" customFormat="1" ht="13.8">
      <c r="A28" s="338" t="s">
        <v>942</v>
      </c>
      <c r="B28" s="338" t="s">
        <v>943</v>
      </c>
      <c r="C28" s="339"/>
      <c r="D28" s="340"/>
      <c r="E28" s="341"/>
      <c r="F28" s="342"/>
      <c r="G28" s="342"/>
      <c r="H28" s="343" t="s">
        <v>983</v>
      </c>
      <c r="I28" s="344"/>
      <c r="J28" s="345"/>
      <c r="K28" s="342"/>
      <c r="L28" s="342"/>
      <c r="M28" s="346"/>
      <c r="N28" s="347"/>
      <c r="O28" s="347" t="s">
        <v>1000</v>
      </c>
      <c r="P28" s="347">
        <v>4416000</v>
      </c>
      <c r="Q28" s="348"/>
      <c r="R28" s="348"/>
      <c r="S28" s="319" t="str">
        <f>VLOOKUP(H28,'Fund Utilization Report'!$A$4:$U$1800,13,FALSE)</f>
        <v>MOOE</v>
      </c>
      <c r="T28" s="319" t="str">
        <f>VLOOKUP(H28,'Fund Utilization Report'!$A$4:$U$1800,2,FALSE)</f>
        <v>GAA</v>
      </c>
      <c r="U28" s="319" t="str">
        <f>VLOOKUP(H28,'Fund Utilization Report'!$A$4:$U$1800,3,FALSE)</f>
        <v>FY2021, RA11518</v>
      </c>
      <c r="V28" s="319" t="str">
        <f>VLOOKUP(H28,'Fund Utilization Report'!$A$4:$U$1800,4,FALSE)</f>
        <v>SSF</v>
      </c>
      <c r="W28" s="319" t="str">
        <f>VLOOKUP(H28,'Fund Utilization Report'!$A$4:$U$1800,5,FALSE)</f>
        <v>01101101</v>
      </c>
      <c r="X28" s="319" t="str">
        <f>VLOOKUP(H28,'Fund Utilization Report'!$A$4:$U$1800,6,FALSE)</f>
        <v>GOP</v>
      </c>
      <c r="Y28" s="320" t="str">
        <f>VLOOKUP(H28,'Fund Utilization Report'!$A$4:$U$1800,7,FALSE)</f>
        <v>MOOE</v>
      </c>
      <c r="Z28" s="321">
        <f>VLOOKUP(H28,'Fund Utilization Report'!$A$4:$U$1800,8,FALSE)</f>
        <v>5020000000</v>
      </c>
      <c r="AA28" s="319" t="str">
        <f>VLOOKUP(H28,'Fund Utilization Report'!$A$4:$U$1800,14,FALSE)</f>
        <v>330100200003000</v>
      </c>
      <c r="AB28" s="349" t="str">
        <f>VLOOKUP(H28,'Fund Utilization Report'!$A$4:$U$1800,15,FALSE)</f>
        <v>Shared Service Facilities Project</v>
      </c>
      <c r="AC28" s="304"/>
      <c r="AD28" s="199"/>
      <c r="AE28" s="200"/>
      <c r="AF28" s="200"/>
      <c r="AG28" s="304"/>
      <c r="AH28" s="304"/>
    </row>
    <row r="29" spans="1:34" s="169" customFormat="1" ht="13.8">
      <c r="A29" s="338" t="s">
        <v>942</v>
      </c>
      <c r="B29" s="338" t="s">
        <v>943</v>
      </c>
      <c r="C29" s="339"/>
      <c r="D29" s="340"/>
      <c r="E29" s="341"/>
      <c r="F29" s="342"/>
      <c r="G29" s="342"/>
      <c r="H29" s="343" t="s">
        <v>984</v>
      </c>
      <c r="I29" s="344"/>
      <c r="J29" s="345"/>
      <c r="K29" s="342"/>
      <c r="L29" s="342"/>
      <c r="M29" s="346"/>
      <c r="N29" s="347"/>
      <c r="O29" s="347" t="s">
        <v>1000</v>
      </c>
      <c r="P29" s="347">
        <v>97350000</v>
      </c>
      <c r="Q29" s="348"/>
      <c r="R29" s="348"/>
      <c r="S29" s="319" t="str">
        <f>VLOOKUP(H29,'Fund Utilization Report'!$A$4:$U$1800,13,FALSE)</f>
        <v>CO</v>
      </c>
      <c r="T29" s="319" t="str">
        <f>VLOOKUP(H29,'Fund Utilization Report'!$A$4:$U$1800,2,FALSE)</f>
        <v>GAA</v>
      </c>
      <c r="U29" s="319" t="str">
        <f>VLOOKUP(H29,'Fund Utilization Report'!$A$4:$U$1800,3,FALSE)</f>
        <v>FY2021, RA11518</v>
      </c>
      <c r="V29" s="319" t="str">
        <f>VLOOKUP(H29,'Fund Utilization Report'!$A$4:$U$1800,4,FALSE)</f>
        <v>SSF</v>
      </c>
      <c r="W29" s="319" t="str">
        <f>VLOOKUP(H29,'Fund Utilization Report'!$A$4:$U$1800,5,FALSE)</f>
        <v>01101101</v>
      </c>
      <c r="X29" s="319" t="str">
        <f>VLOOKUP(H29,'Fund Utilization Report'!$A$4:$U$1800,6,FALSE)</f>
        <v>GOP</v>
      </c>
      <c r="Y29" s="320" t="str">
        <f>VLOOKUP(H29,'Fund Utilization Report'!$A$4:$U$1800,7,FALSE)</f>
        <v>CO</v>
      </c>
      <c r="Z29" s="321">
        <f>VLOOKUP(H29,'Fund Utilization Report'!$A$4:$U$1800,8,FALSE)</f>
        <v>5060000000</v>
      </c>
      <c r="AA29" s="319" t="str">
        <f>VLOOKUP(H29,'Fund Utilization Report'!$A$4:$U$1800,14,FALSE)</f>
        <v>330100200003000</v>
      </c>
      <c r="AB29" s="349" t="str">
        <f>VLOOKUP(H29,'Fund Utilization Report'!$A$4:$U$1800,15,FALSE)</f>
        <v>Shared Service Facilities Project</v>
      </c>
      <c r="AC29" s="304"/>
      <c r="AD29" s="199"/>
      <c r="AE29" s="200"/>
      <c r="AF29" s="200"/>
      <c r="AG29" s="304"/>
      <c r="AH29" s="304"/>
    </row>
    <row r="30" spans="1:34" s="169" customFormat="1" ht="13.8">
      <c r="A30" s="338" t="s">
        <v>942</v>
      </c>
      <c r="B30" s="338" t="s">
        <v>943</v>
      </c>
      <c r="C30" s="339"/>
      <c r="D30" s="340"/>
      <c r="E30" s="341"/>
      <c r="F30" s="342"/>
      <c r="G30" s="342"/>
      <c r="H30" s="343" t="s">
        <v>985</v>
      </c>
      <c r="I30" s="344"/>
      <c r="J30" s="345"/>
      <c r="K30" s="342"/>
      <c r="L30" s="342"/>
      <c r="M30" s="346"/>
      <c r="N30" s="347"/>
      <c r="O30" s="347" t="s">
        <v>1000</v>
      </c>
      <c r="P30" s="347">
        <v>8628000</v>
      </c>
      <c r="Q30" s="348"/>
      <c r="R30" s="348"/>
      <c r="S30" s="319" t="str">
        <f>VLOOKUP(H30,'Fund Utilization Report'!$A$4:$U$1800,13,FALSE)</f>
        <v>MOOE</v>
      </c>
      <c r="T30" s="319" t="str">
        <f>VLOOKUP(H30,'Fund Utilization Report'!$A$4:$U$1800,2,FALSE)</f>
        <v>GAA</v>
      </c>
      <c r="U30" s="319" t="str">
        <f>VLOOKUP(H30,'Fund Utilization Report'!$A$4:$U$1800,3,FALSE)</f>
        <v>FY2021, RA11518</v>
      </c>
      <c r="V30" s="319" t="str">
        <f>VLOOKUP(H30,'Fund Utilization Report'!$A$4:$U$1800,4,FALSE)</f>
        <v>LSP-PBG</v>
      </c>
      <c r="W30" s="319" t="str">
        <f>VLOOKUP(H30,'Fund Utilization Report'!$A$4:$U$1800,5,FALSE)</f>
        <v>01101101</v>
      </c>
      <c r="X30" s="319" t="str">
        <f>VLOOKUP(H30,'Fund Utilization Report'!$A$4:$U$1800,6,FALSE)</f>
        <v>GOP</v>
      </c>
      <c r="Y30" s="320" t="str">
        <f>VLOOKUP(H30,'Fund Utilization Report'!$A$4:$U$1800,7,FALSE)</f>
        <v>MOOE</v>
      </c>
      <c r="Z30" s="321">
        <f>VLOOKUP(H30,'Fund Utilization Report'!$A$4:$U$1800,8,FALSE)</f>
        <v>5020000000</v>
      </c>
      <c r="AA30" s="319" t="str">
        <f>VLOOKUP(H30,'Fund Utilization Report'!$A$4:$U$1800,14,FALSE)</f>
        <v>330100200004000</v>
      </c>
      <c r="AB30" s="349" t="str">
        <f>VLOOKUP(H30,'Fund Utilization Report'!$A$4:$U$1800,15,FALSE)</f>
        <v>MSME Development Program : Livelihood Seeding Program and Pangkabuhayan sa Pagbangon at Ginhawa</v>
      </c>
      <c r="AC30" s="304"/>
      <c r="AD30" s="199"/>
      <c r="AE30" s="200"/>
      <c r="AF30" s="200"/>
      <c r="AG30" s="304"/>
      <c r="AH30" s="304"/>
    </row>
    <row r="31" spans="1:34" s="169" customFormat="1" ht="13.8">
      <c r="A31" s="338" t="s">
        <v>942</v>
      </c>
      <c r="B31" s="338" t="s">
        <v>943</v>
      </c>
      <c r="C31" s="339"/>
      <c r="D31" s="340"/>
      <c r="E31" s="341"/>
      <c r="F31" s="342"/>
      <c r="G31" s="342"/>
      <c r="H31" s="343" t="s">
        <v>986</v>
      </c>
      <c r="I31" s="344"/>
      <c r="J31" s="345"/>
      <c r="K31" s="342"/>
      <c r="L31" s="342"/>
      <c r="M31" s="346"/>
      <c r="N31" s="347"/>
      <c r="O31" s="347" t="s">
        <v>933</v>
      </c>
      <c r="P31" s="347">
        <v>213400</v>
      </c>
      <c r="Q31" s="348"/>
      <c r="R31" s="348"/>
      <c r="S31" s="319" t="str">
        <f>VLOOKUP(H31,'Fund Utilization Report'!$A$4:$U$1800,13,FALSE)</f>
        <v>MOOE</v>
      </c>
      <c r="T31" s="319" t="str">
        <f>VLOOKUP(H31,'Fund Utilization Report'!$A$4:$U$1800,2,FALSE)</f>
        <v>SAA37</v>
      </c>
      <c r="U31" s="319" t="str">
        <f>VLOOKUP(H31,'Fund Utilization Report'!$A$4:$U$1800,3,FALSE)</f>
        <v>2021-01-0037</v>
      </c>
      <c r="V31" s="319" t="str">
        <f>VLOOKUP(H31,'Fund Utilization Report'!$A$4:$U$1800,4,FALSE)</f>
        <v>CARP</v>
      </c>
      <c r="W31" s="319" t="str">
        <f>VLOOKUP(H31,'Fund Utilization Report'!$A$4:$U$1800,5,FALSE)</f>
        <v>01101101</v>
      </c>
      <c r="X31" s="319" t="str">
        <f>VLOOKUP(H31,'Fund Utilization Report'!$A$4:$U$1800,6,FALSE)</f>
        <v>GOP</v>
      </c>
      <c r="Y31" s="320">
        <f>VLOOKUP(H31,'Fund Utilization Report'!$A$4:$U$1800,7,FALSE)</f>
        <v>751</v>
      </c>
      <c r="Z31" s="321" t="str">
        <f>VLOOKUP(H31,'Fund Utilization Report'!$A$4:$U$1800,8,FALSE)</f>
        <v>50201010 00</v>
      </c>
      <c r="AA31" s="319" t="str">
        <f>VLOOKUP(H31,'Fund Utilization Report'!$A$4:$U$1800,14,FALSE)</f>
        <v>330100100003000</v>
      </c>
      <c r="AB31" s="349" t="str">
        <f>VLOOKUP(H31,'Fund Utilization Report'!$A$4:$U$1800,15,FALSE)</f>
        <v>MSME Development Program : Program Beneficiaries Development Component of the Comprehensive Agrarian Reform Program</v>
      </c>
      <c r="AC31" s="304"/>
      <c r="AD31" s="199"/>
      <c r="AE31" s="200"/>
      <c r="AF31" s="200"/>
      <c r="AG31" s="304"/>
      <c r="AH31" s="304"/>
    </row>
    <row r="32" spans="1:34" s="169" customFormat="1" ht="13.8">
      <c r="A32" s="338" t="s">
        <v>942</v>
      </c>
      <c r="B32" s="338" t="s">
        <v>943</v>
      </c>
      <c r="C32" s="339"/>
      <c r="D32" s="340"/>
      <c r="E32" s="341"/>
      <c r="F32" s="342"/>
      <c r="G32" s="342"/>
      <c r="H32" s="343" t="s">
        <v>987</v>
      </c>
      <c r="I32" s="344"/>
      <c r="J32" s="345"/>
      <c r="K32" s="342"/>
      <c r="L32" s="342"/>
      <c r="M32" s="346"/>
      <c r="N32" s="347"/>
      <c r="O32" s="347" t="s">
        <v>933</v>
      </c>
      <c r="P32" s="347">
        <v>450261.72</v>
      </c>
      <c r="Q32" s="348"/>
      <c r="R32" s="348"/>
      <c r="S32" s="319" t="str">
        <f>VLOOKUP(H32,'Fund Utilization Report'!$A$4:$U$1800,13,FALSE)</f>
        <v>MOOE</v>
      </c>
      <c r="T32" s="319" t="str">
        <f>VLOOKUP(H32,'Fund Utilization Report'!$A$4:$U$1800,2,FALSE)</f>
        <v>SAA37</v>
      </c>
      <c r="U32" s="319" t="str">
        <f>VLOOKUP(H32,'Fund Utilization Report'!$A$4:$U$1800,3,FALSE)</f>
        <v>2021-01-0037</v>
      </c>
      <c r="V32" s="319" t="str">
        <f>VLOOKUP(H32,'Fund Utilization Report'!$A$4:$U$1800,4,FALSE)</f>
        <v>CARP</v>
      </c>
      <c r="W32" s="319" t="str">
        <f>VLOOKUP(H32,'Fund Utilization Report'!$A$4:$U$1800,5,FALSE)</f>
        <v>01101101</v>
      </c>
      <c r="X32" s="319" t="str">
        <f>VLOOKUP(H32,'Fund Utilization Report'!$A$4:$U$1800,6,FALSE)</f>
        <v>GOP</v>
      </c>
      <c r="Y32" s="320">
        <f>VLOOKUP(H32,'Fund Utilization Report'!$A$4:$U$1800,7,FALSE)</f>
        <v>753</v>
      </c>
      <c r="Z32" s="321" t="str">
        <f>VLOOKUP(H32,'Fund Utilization Report'!$A$4:$U$1800,8,FALSE)</f>
        <v>50202010 00</v>
      </c>
      <c r="AA32" s="319" t="str">
        <f>VLOOKUP(H32,'Fund Utilization Report'!$A$4:$U$1800,14,FALSE)</f>
        <v>330100100003000</v>
      </c>
      <c r="AB32" s="349" t="str">
        <f>VLOOKUP(H32,'Fund Utilization Report'!$A$4:$U$1800,15,FALSE)</f>
        <v>MSME Development Program : Program Beneficiaries Development Component of the Comprehensive Agrarian Reform Program</v>
      </c>
      <c r="AC32" s="304"/>
      <c r="AD32" s="199"/>
      <c r="AE32" s="200"/>
      <c r="AF32" s="200"/>
      <c r="AG32" s="304"/>
      <c r="AH32" s="304"/>
    </row>
    <row r="33" spans="1:34" s="169" customFormat="1" ht="13.8">
      <c r="A33" s="338" t="s">
        <v>942</v>
      </c>
      <c r="B33" s="338" t="s">
        <v>943</v>
      </c>
      <c r="C33" s="339"/>
      <c r="D33" s="340"/>
      <c r="E33" s="341"/>
      <c r="F33" s="342"/>
      <c r="G33" s="342"/>
      <c r="H33" s="343" t="s">
        <v>988</v>
      </c>
      <c r="I33" s="344"/>
      <c r="J33" s="345"/>
      <c r="K33" s="342"/>
      <c r="L33" s="342"/>
      <c r="M33" s="346"/>
      <c r="N33" s="347"/>
      <c r="O33" s="347" t="s">
        <v>933</v>
      </c>
      <c r="P33" s="347">
        <v>20004</v>
      </c>
      <c r="Q33" s="348"/>
      <c r="R33" s="348"/>
      <c r="S33" s="319" t="str">
        <f>VLOOKUP(H33,'Fund Utilization Report'!$A$4:$U$1800,13,FALSE)</f>
        <v>MOOE</v>
      </c>
      <c r="T33" s="319" t="str">
        <f>VLOOKUP(H33,'Fund Utilization Report'!$A$4:$U$1800,2,FALSE)</f>
        <v>SAA37</v>
      </c>
      <c r="U33" s="319" t="str">
        <f>VLOOKUP(H33,'Fund Utilization Report'!$A$4:$U$1800,3,FALSE)</f>
        <v>2021-01-0037</v>
      </c>
      <c r="V33" s="319" t="str">
        <f>VLOOKUP(H33,'Fund Utilization Report'!$A$4:$U$1800,4,FALSE)</f>
        <v>CARP</v>
      </c>
      <c r="W33" s="319" t="str">
        <f>VLOOKUP(H33,'Fund Utilization Report'!$A$4:$U$1800,5,FALSE)</f>
        <v>01101101</v>
      </c>
      <c r="X33" s="319" t="str">
        <f>VLOOKUP(H33,'Fund Utilization Report'!$A$4:$U$1800,6,FALSE)</f>
        <v>GOP</v>
      </c>
      <c r="Y33" s="320">
        <f>VLOOKUP(H33,'Fund Utilization Report'!$A$4:$U$1800,7,FALSE)</f>
        <v>755</v>
      </c>
      <c r="Z33" s="321" t="str">
        <f>VLOOKUP(H33,'Fund Utilization Report'!$A$4:$U$1800,8,FALSE)</f>
        <v>50203010 00</v>
      </c>
      <c r="AA33" s="319" t="str">
        <f>VLOOKUP(H33,'Fund Utilization Report'!$A$4:$U$1800,14,FALSE)</f>
        <v>330100100003000</v>
      </c>
      <c r="AB33" s="349" t="str">
        <f>VLOOKUP(H33,'Fund Utilization Report'!$A$4:$U$1800,15,FALSE)</f>
        <v>MSME Development Program : Program Beneficiaries Development Component of the Comprehensive Agrarian Reform Program</v>
      </c>
      <c r="AC33" s="304"/>
      <c r="AD33" s="199"/>
      <c r="AE33" s="200"/>
      <c r="AF33" s="200"/>
      <c r="AG33" s="304"/>
      <c r="AH33" s="304"/>
    </row>
    <row r="34" spans="1:34" s="169" customFormat="1" ht="13.8">
      <c r="A34" s="338" t="s">
        <v>942</v>
      </c>
      <c r="B34" s="338" t="s">
        <v>943</v>
      </c>
      <c r="C34" s="339"/>
      <c r="D34" s="340"/>
      <c r="E34" s="341"/>
      <c r="F34" s="342"/>
      <c r="G34" s="342"/>
      <c r="H34" s="343" t="s">
        <v>989</v>
      </c>
      <c r="I34" s="344"/>
      <c r="J34" s="345"/>
      <c r="K34" s="342"/>
      <c r="L34" s="342"/>
      <c r="M34" s="346"/>
      <c r="N34" s="347"/>
      <c r="O34" s="347" t="s">
        <v>933</v>
      </c>
      <c r="P34" s="347">
        <v>1000</v>
      </c>
      <c r="Q34" s="348"/>
      <c r="R34" s="348"/>
      <c r="S34" s="319" t="str">
        <f>VLOOKUP(H34,'Fund Utilization Report'!$A$4:$U$1800,13,FALSE)</f>
        <v>MOOE</v>
      </c>
      <c r="T34" s="319" t="str">
        <f>VLOOKUP(H34,'Fund Utilization Report'!$A$4:$U$1800,2,FALSE)</f>
        <v>SAA37</v>
      </c>
      <c r="U34" s="319" t="str">
        <f>VLOOKUP(H34,'Fund Utilization Report'!$A$4:$U$1800,3,FALSE)</f>
        <v>2021-01-0037</v>
      </c>
      <c r="V34" s="319" t="str">
        <f>VLOOKUP(H34,'Fund Utilization Report'!$A$4:$U$1800,4,FALSE)</f>
        <v>CARP</v>
      </c>
      <c r="W34" s="319" t="str">
        <f>VLOOKUP(H34,'Fund Utilization Report'!$A$4:$U$1800,5,FALSE)</f>
        <v>01101101</v>
      </c>
      <c r="X34" s="319" t="str">
        <f>VLOOKUP(H34,'Fund Utilization Report'!$A$4:$U$1800,6,FALSE)</f>
        <v>GOP</v>
      </c>
      <c r="Y34" s="320">
        <f>VLOOKUP(H34,'Fund Utilization Report'!$A$4:$U$1800,7,FALSE)</f>
        <v>761</v>
      </c>
      <c r="Z34" s="321" t="str">
        <f>VLOOKUP(H34,'Fund Utilization Report'!$A$4:$U$1800,8,FALSE)</f>
        <v>50203090 00</v>
      </c>
      <c r="AA34" s="319" t="str">
        <f>VLOOKUP(H34,'Fund Utilization Report'!$A$4:$U$1800,14,FALSE)</f>
        <v>330100100003000</v>
      </c>
      <c r="AB34" s="349" t="str">
        <f>VLOOKUP(H34,'Fund Utilization Report'!$A$4:$U$1800,15,FALSE)</f>
        <v>MSME Development Program : Program Beneficiaries Development Component of the Comprehensive Agrarian Reform Program</v>
      </c>
      <c r="AC34" s="304"/>
      <c r="AD34" s="199"/>
      <c r="AE34" s="200"/>
      <c r="AF34" s="200"/>
      <c r="AG34" s="304"/>
      <c r="AH34" s="304"/>
    </row>
    <row r="35" spans="1:34" s="169" customFormat="1" ht="13.8">
      <c r="A35" s="338" t="s">
        <v>942</v>
      </c>
      <c r="B35" s="338" t="s">
        <v>943</v>
      </c>
      <c r="C35" s="339"/>
      <c r="D35" s="340"/>
      <c r="E35" s="341"/>
      <c r="F35" s="342"/>
      <c r="G35" s="342"/>
      <c r="H35" s="343" t="s">
        <v>990</v>
      </c>
      <c r="I35" s="344"/>
      <c r="J35" s="345"/>
      <c r="K35" s="342"/>
      <c r="L35" s="342"/>
      <c r="M35" s="346"/>
      <c r="N35" s="347"/>
      <c r="O35" s="347" t="s">
        <v>933</v>
      </c>
      <c r="P35" s="347">
        <v>533.28</v>
      </c>
      <c r="Q35" s="348"/>
      <c r="R35" s="348"/>
      <c r="S35" s="319" t="str">
        <f>VLOOKUP(H35,'Fund Utilization Report'!$A$4:$U$1800,13,FALSE)</f>
        <v>MOOE</v>
      </c>
      <c r="T35" s="319" t="str">
        <f>VLOOKUP(H35,'Fund Utilization Report'!$A$4:$U$1800,2,FALSE)</f>
        <v>SAA37</v>
      </c>
      <c r="U35" s="319" t="str">
        <f>VLOOKUP(H35,'Fund Utilization Report'!$A$4:$U$1800,3,FALSE)</f>
        <v>2021-01-0037</v>
      </c>
      <c r="V35" s="319" t="str">
        <f>VLOOKUP(H35,'Fund Utilization Report'!$A$4:$U$1800,4,FALSE)</f>
        <v>CARP</v>
      </c>
      <c r="W35" s="319" t="str">
        <f>VLOOKUP(H35,'Fund Utilization Report'!$A$4:$U$1800,5,FALSE)</f>
        <v>01101101</v>
      </c>
      <c r="X35" s="319" t="str">
        <f>VLOOKUP(H35,'Fund Utilization Report'!$A$4:$U$1800,6,FALSE)</f>
        <v>GOP</v>
      </c>
      <c r="Y35" s="320">
        <f>VLOOKUP(H35,'Fund Utilization Report'!$A$4:$U$1800,7,FALSE)</f>
        <v>771</v>
      </c>
      <c r="Z35" s="321" t="str">
        <f>VLOOKUP(H35,'Fund Utilization Report'!$A$4:$U$1800,8,FALSE)</f>
        <v>50205010 00</v>
      </c>
      <c r="AA35" s="319" t="str">
        <f>VLOOKUP(H35,'Fund Utilization Report'!$A$4:$U$1800,14,FALSE)</f>
        <v>330100100003000</v>
      </c>
      <c r="AB35" s="349" t="str">
        <f>VLOOKUP(H35,'Fund Utilization Report'!$A$4:$U$1800,15,FALSE)</f>
        <v>MSME Development Program : Program Beneficiaries Development Component of the Comprehensive Agrarian Reform Program</v>
      </c>
      <c r="AC35" s="304"/>
      <c r="AD35" s="199"/>
      <c r="AE35" s="200"/>
      <c r="AF35" s="200"/>
      <c r="AG35" s="304"/>
      <c r="AH35" s="304"/>
    </row>
    <row r="36" spans="1:34" s="169" customFormat="1" ht="13.8">
      <c r="A36" s="338" t="s">
        <v>942</v>
      </c>
      <c r="B36" s="338" t="s">
        <v>943</v>
      </c>
      <c r="C36" s="339"/>
      <c r="D36" s="340"/>
      <c r="E36" s="341"/>
      <c r="F36" s="342"/>
      <c r="G36" s="342"/>
      <c r="H36" s="343" t="s">
        <v>991</v>
      </c>
      <c r="I36" s="344"/>
      <c r="J36" s="345"/>
      <c r="K36" s="342"/>
      <c r="L36" s="342"/>
      <c r="M36" s="346"/>
      <c r="N36" s="347"/>
      <c r="O36" s="347" t="s">
        <v>933</v>
      </c>
      <c r="P36" s="347">
        <v>7900</v>
      </c>
      <c r="Q36" s="348"/>
      <c r="R36" s="348"/>
      <c r="S36" s="319" t="str">
        <f>VLOOKUP(H36,'Fund Utilization Report'!$A$4:$U$1800,13,FALSE)</f>
        <v>MOOE</v>
      </c>
      <c r="T36" s="319" t="str">
        <f>VLOOKUP(H36,'Fund Utilization Report'!$A$4:$U$1800,2,FALSE)</f>
        <v>SAA37</v>
      </c>
      <c r="U36" s="319" t="str">
        <f>VLOOKUP(H36,'Fund Utilization Report'!$A$4:$U$1800,3,FALSE)</f>
        <v>2021-01-0037</v>
      </c>
      <c r="V36" s="319" t="str">
        <f>VLOOKUP(H36,'Fund Utilization Report'!$A$4:$U$1800,4,FALSE)</f>
        <v>CARP</v>
      </c>
      <c r="W36" s="319" t="str">
        <f>VLOOKUP(H36,'Fund Utilization Report'!$A$4:$U$1800,5,FALSE)</f>
        <v>01101101</v>
      </c>
      <c r="X36" s="319" t="str">
        <f>VLOOKUP(H36,'Fund Utilization Report'!$A$4:$U$1800,6,FALSE)</f>
        <v>GOP</v>
      </c>
      <c r="Y36" s="320">
        <f>VLOOKUP(H36,'Fund Utilization Report'!$A$4:$U$1800,7,FALSE)</f>
        <v>773</v>
      </c>
      <c r="Z36" s="321" t="str">
        <f>VLOOKUP(H36,'Fund Utilization Report'!$A$4:$U$1800,8,FALSE)</f>
        <v>50205020 01</v>
      </c>
      <c r="AA36" s="319" t="str">
        <f>VLOOKUP(H36,'Fund Utilization Report'!$A$4:$U$1800,14,FALSE)</f>
        <v>330100100003000</v>
      </c>
      <c r="AB36" s="349" t="str">
        <f>VLOOKUP(H36,'Fund Utilization Report'!$A$4:$U$1800,15,FALSE)</f>
        <v>MSME Development Program : Program Beneficiaries Development Component of the Comprehensive Agrarian Reform Program</v>
      </c>
      <c r="AC36" s="304"/>
      <c r="AD36" s="199"/>
      <c r="AE36" s="200"/>
      <c r="AF36" s="200"/>
      <c r="AG36" s="304"/>
      <c r="AH36" s="304"/>
    </row>
    <row r="37" spans="1:34" s="169" customFormat="1" ht="13.8">
      <c r="A37" s="338" t="s">
        <v>942</v>
      </c>
      <c r="B37" s="338" t="s">
        <v>943</v>
      </c>
      <c r="C37" s="339"/>
      <c r="D37" s="340"/>
      <c r="E37" s="341"/>
      <c r="F37" s="342"/>
      <c r="G37" s="342"/>
      <c r="H37" s="343" t="s">
        <v>992</v>
      </c>
      <c r="I37" s="344"/>
      <c r="J37" s="345"/>
      <c r="K37" s="342"/>
      <c r="L37" s="342"/>
      <c r="M37" s="346"/>
      <c r="N37" s="347"/>
      <c r="O37" s="347" t="s">
        <v>933</v>
      </c>
      <c r="P37" s="347">
        <v>1600</v>
      </c>
      <c r="Q37" s="348"/>
      <c r="R37" s="348"/>
      <c r="S37" s="319" t="str">
        <f>VLOOKUP(H37,'Fund Utilization Report'!$A$4:$U$1800,13,FALSE)</f>
        <v>MOOE</v>
      </c>
      <c r="T37" s="319" t="str">
        <f>VLOOKUP(H37,'Fund Utilization Report'!$A$4:$U$1800,2,FALSE)</f>
        <v>SAA37</v>
      </c>
      <c r="U37" s="319" t="str">
        <f>VLOOKUP(H37,'Fund Utilization Report'!$A$4:$U$1800,3,FALSE)</f>
        <v>2021-01-0037</v>
      </c>
      <c r="V37" s="319" t="str">
        <f>VLOOKUP(H37,'Fund Utilization Report'!$A$4:$U$1800,4,FALSE)</f>
        <v>CARP</v>
      </c>
      <c r="W37" s="319" t="str">
        <f>VLOOKUP(H37,'Fund Utilization Report'!$A$4:$U$1800,5,FALSE)</f>
        <v>01101101</v>
      </c>
      <c r="X37" s="319" t="str">
        <f>VLOOKUP(H37,'Fund Utilization Report'!$A$4:$U$1800,6,FALSE)</f>
        <v>GOP</v>
      </c>
      <c r="Y37" s="320">
        <f>VLOOKUP(H37,'Fund Utilization Report'!$A$4:$U$1800,7,FALSE)</f>
        <v>793</v>
      </c>
      <c r="Z37" s="321" t="str">
        <f>VLOOKUP(H37,'Fund Utilization Report'!$A$4:$U$1800,8,FALSE)</f>
        <v>50211030 00</v>
      </c>
      <c r="AA37" s="319" t="str">
        <f>VLOOKUP(H37,'Fund Utilization Report'!$A$4:$U$1800,14,FALSE)</f>
        <v>330100100003000</v>
      </c>
      <c r="AB37" s="349" t="str">
        <f>VLOOKUP(H37,'Fund Utilization Report'!$A$4:$U$1800,15,FALSE)</f>
        <v>MSME Development Program : Program Beneficiaries Development Component of the Comprehensive Agrarian Reform Program</v>
      </c>
      <c r="AC37" s="304"/>
      <c r="AD37" s="199"/>
      <c r="AE37" s="200"/>
      <c r="AF37" s="200"/>
      <c r="AG37" s="304"/>
      <c r="AH37" s="304"/>
    </row>
    <row r="38" spans="1:34" s="169" customFormat="1" ht="13.8">
      <c r="A38" s="338" t="s">
        <v>942</v>
      </c>
      <c r="B38" s="338" t="s">
        <v>943</v>
      </c>
      <c r="C38" s="339"/>
      <c r="D38" s="340"/>
      <c r="E38" s="341"/>
      <c r="F38" s="342"/>
      <c r="G38" s="342"/>
      <c r="H38" s="343" t="s">
        <v>993</v>
      </c>
      <c r="I38" s="344"/>
      <c r="J38" s="345"/>
      <c r="K38" s="342"/>
      <c r="L38" s="342"/>
      <c r="M38" s="346"/>
      <c r="N38" s="347"/>
      <c r="O38" s="347" t="s">
        <v>933</v>
      </c>
      <c r="P38" s="347">
        <v>384982.5</v>
      </c>
      <c r="Q38" s="348"/>
      <c r="R38" s="348"/>
      <c r="S38" s="319" t="str">
        <f>VLOOKUP(H38,'Fund Utilization Report'!$A$4:$U$1800,13,FALSE)</f>
        <v>MOOE</v>
      </c>
      <c r="T38" s="319" t="str">
        <f>VLOOKUP(H38,'Fund Utilization Report'!$A$4:$U$1800,2,FALSE)</f>
        <v>SAA37</v>
      </c>
      <c r="U38" s="319" t="str">
        <f>VLOOKUP(H38,'Fund Utilization Report'!$A$4:$U$1800,3,FALSE)</f>
        <v>2021-01-0037</v>
      </c>
      <c r="V38" s="319" t="str">
        <f>VLOOKUP(H38,'Fund Utilization Report'!$A$4:$U$1800,4,FALSE)</f>
        <v>CARP</v>
      </c>
      <c r="W38" s="319" t="str">
        <f>VLOOKUP(H38,'Fund Utilization Report'!$A$4:$U$1800,5,FALSE)</f>
        <v>01101101</v>
      </c>
      <c r="X38" s="319" t="str">
        <f>VLOOKUP(H38,'Fund Utilization Report'!$A$4:$U$1800,6,FALSE)</f>
        <v>GOP</v>
      </c>
      <c r="Y38" s="320">
        <f>VLOOKUP(H38,'Fund Utilization Report'!$A$4:$U$1800,7,FALSE)</f>
        <v>799</v>
      </c>
      <c r="Z38" s="321" t="str">
        <f>VLOOKUP(H38,'Fund Utilization Report'!$A$4:$U$1800,8,FALSE)</f>
        <v>50211990 00</v>
      </c>
      <c r="AA38" s="319" t="str">
        <f>VLOOKUP(H38,'Fund Utilization Report'!$A$4:$U$1800,14,FALSE)</f>
        <v>330100100003000</v>
      </c>
      <c r="AB38" s="349" t="str">
        <f>VLOOKUP(H38,'Fund Utilization Report'!$A$4:$U$1800,15,FALSE)</f>
        <v>MSME Development Program : Program Beneficiaries Development Component of the Comprehensive Agrarian Reform Program</v>
      </c>
      <c r="AC38" s="304"/>
      <c r="AD38" s="199"/>
      <c r="AE38" s="200"/>
      <c r="AF38" s="200"/>
      <c r="AG38" s="304"/>
      <c r="AH38" s="304"/>
    </row>
    <row r="39" spans="1:34" s="169" customFormat="1" ht="13.8">
      <c r="A39" s="338" t="s">
        <v>942</v>
      </c>
      <c r="B39" s="338" t="s">
        <v>943</v>
      </c>
      <c r="C39" s="339"/>
      <c r="D39" s="340"/>
      <c r="E39" s="341"/>
      <c r="F39" s="342"/>
      <c r="G39" s="342"/>
      <c r="H39" s="343" t="s">
        <v>994</v>
      </c>
      <c r="I39" s="344"/>
      <c r="J39" s="345"/>
      <c r="K39" s="342"/>
      <c r="L39" s="342"/>
      <c r="M39" s="346"/>
      <c r="N39" s="347"/>
      <c r="O39" s="347" t="s">
        <v>933</v>
      </c>
      <c r="P39" s="347">
        <v>6000</v>
      </c>
      <c r="Q39" s="348"/>
      <c r="R39" s="348"/>
      <c r="S39" s="319" t="str">
        <f>VLOOKUP(H39,'Fund Utilization Report'!$A$4:$U$1800,13,FALSE)</f>
        <v>MOOE</v>
      </c>
      <c r="T39" s="319" t="str">
        <f>VLOOKUP(H39,'Fund Utilization Report'!$A$4:$U$1800,2,FALSE)</f>
        <v>SAA37</v>
      </c>
      <c r="U39" s="319" t="str">
        <f>VLOOKUP(H39,'Fund Utilization Report'!$A$4:$U$1800,3,FALSE)</f>
        <v>2021-01-0037</v>
      </c>
      <c r="V39" s="319" t="str">
        <f>VLOOKUP(H39,'Fund Utilization Report'!$A$4:$U$1800,4,FALSE)</f>
        <v>CARP</v>
      </c>
      <c r="W39" s="319" t="str">
        <f>VLOOKUP(H39,'Fund Utilization Report'!$A$4:$U$1800,5,FALSE)</f>
        <v>01101101</v>
      </c>
      <c r="X39" s="319" t="str">
        <f>VLOOKUP(H39,'Fund Utilization Report'!$A$4:$U$1800,6,FALSE)</f>
        <v>GOP</v>
      </c>
      <c r="Y39" s="320">
        <f>VLOOKUP(H39,'Fund Utilization Report'!$A$4:$U$1800,7,FALSE)</f>
        <v>795</v>
      </c>
      <c r="Z39" s="321" t="str">
        <f>VLOOKUP(H39,'Fund Utilization Report'!$A$4:$U$1800,8,FALSE)</f>
        <v>50212990 00</v>
      </c>
      <c r="AA39" s="319" t="str">
        <f>VLOOKUP(H39,'Fund Utilization Report'!$A$4:$U$1800,14,FALSE)</f>
        <v>330100100003000</v>
      </c>
      <c r="AB39" s="349" t="str">
        <f>VLOOKUP(H39,'Fund Utilization Report'!$A$4:$U$1800,15,FALSE)</f>
        <v>MSME Development Program : Program Beneficiaries Development Component of the Comprehensive Agrarian Reform Program</v>
      </c>
      <c r="AC39" s="304"/>
      <c r="AD39" s="199"/>
      <c r="AE39" s="200"/>
      <c r="AF39" s="200"/>
      <c r="AG39" s="304"/>
      <c r="AH39" s="304"/>
    </row>
    <row r="40" spans="1:34" s="169" customFormat="1" ht="13.8">
      <c r="A40" s="338" t="s">
        <v>942</v>
      </c>
      <c r="B40" s="338" t="s">
        <v>943</v>
      </c>
      <c r="C40" s="339"/>
      <c r="D40" s="340"/>
      <c r="E40" s="341"/>
      <c r="F40" s="342"/>
      <c r="G40" s="342"/>
      <c r="H40" s="343" t="s">
        <v>995</v>
      </c>
      <c r="I40" s="344"/>
      <c r="J40" s="345"/>
      <c r="K40" s="342"/>
      <c r="L40" s="342"/>
      <c r="M40" s="346"/>
      <c r="N40" s="347"/>
      <c r="O40" s="347" t="s">
        <v>933</v>
      </c>
      <c r="P40" s="347">
        <v>937.5</v>
      </c>
      <c r="Q40" s="348"/>
      <c r="R40" s="348"/>
      <c r="S40" s="319" t="str">
        <f>VLOOKUP(H40,'Fund Utilization Report'!$A$4:$U$1800,13,FALSE)</f>
        <v>MOOE</v>
      </c>
      <c r="T40" s="319" t="str">
        <f>VLOOKUP(H40,'Fund Utilization Report'!$A$4:$U$1800,2,FALSE)</f>
        <v>SAA37</v>
      </c>
      <c r="U40" s="319" t="str">
        <f>VLOOKUP(H40,'Fund Utilization Report'!$A$4:$U$1800,3,FALSE)</f>
        <v>2021-01-0037</v>
      </c>
      <c r="V40" s="319" t="str">
        <f>VLOOKUP(H40,'Fund Utilization Report'!$A$4:$U$1800,4,FALSE)</f>
        <v>CARP</v>
      </c>
      <c r="W40" s="319" t="str">
        <f>VLOOKUP(H40,'Fund Utilization Report'!$A$4:$U$1800,5,FALSE)</f>
        <v>01101101</v>
      </c>
      <c r="X40" s="319" t="str">
        <f>VLOOKUP(H40,'Fund Utilization Report'!$A$4:$U$1800,6,FALSE)</f>
        <v>GOP</v>
      </c>
      <c r="Y40" s="320">
        <f>VLOOKUP(H40,'Fund Utilization Report'!$A$4:$U$1800,7,FALSE)</f>
        <v>781</v>
      </c>
      <c r="Z40" s="321" t="str">
        <f>VLOOKUP(H40,'Fund Utilization Report'!$A$4:$U$1800,8,FALSE)</f>
        <v>50299020 00</v>
      </c>
      <c r="AA40" s="319" t="str">
        <f>VLOOKUP(H40,'Fund Utilization Report'!$A$4:$U$1800,14,FALSE)</f>
        <v>330100100003000</v>
      </c>
      <c r="AB40" s="349" t="str">
        <f>VLOOKUP(H40,'Fund Utilization Report'!$A$4:$U$1800,15,FALSE)</f>
        <v>MSME Development Program : Program Beneficiaries Development Component of the Comprehensive Agrarian Reform Program</v>
      </c>
      <c r="AC40" s="304"/>
      <c r="AD40" s="199"/>
      <c r="AE40" s="200"/>
      <c r="AF40" s="200"/>
      <c r="AG40" s="304"/>
      <c r="AH40" s="304"/>
    </row>
    <row r="41" spans="1:34" s="169" customFormat="1" ht="13.8">
      <c r="A41" s="338" t="s">
        <v>942</v>
      </c>
      <c r="B41" s="338" t="s">
        <v>943</v>
      </c>
      <c r="C41" s="339"/>
      <c r="D41" s="340"/>
      <c r="E41" s="341"/>
      <c r="F41" s="342"/>
      <c r="G41" s="342"/>
      <c r="H41" s="343" t="s">
        <v>996</v>
      </c>
      <c r="I41" s="344"/>
      <c r="J41" s="345"/>
      <c r="K41" s="342"/>
      <c r="L41" s="342"/>
      <c r="M41" s="346"/>
      <c r="N41" s="347"/>
      <c r="O41" s="347" t="s">
        <v>933</v>
      </c>
      <c r="P41" s="347">
        <v>2500</v>
      </c>
      <c r="Q41" s="348"/>
      <c r="R41" s="348"/>
      <c r="S41" s="319" t="str">
        <f>VLOOKUP(H41,'Fund Utilization Report'!$A$4:$U$1800,13,FALSE)</f>
        <v>MOOE</v>
      </c>
      <c r="T41" s="319" t="str">
        <f>VLOOKUP(H41,'Fund Utilization Report'!$A$4:$U$1800,2,FALSE)</f>
        <v>SAA37</v>
      </c>
      <c r="U41" s="319" t="str">
        <f>VLOOKUP(H41,'Fund Utilization Report'!$A$4:$U$1800,3,FALSE)</f>
        <v>2021-01-0037</v>
      </c>
      <c r="V41" s="319" t="str">
        <f>VLOOKUP(H41,'Fund Utilization Report'!$A$4:$U$1800,4,FALSE)</f>
        <v>CARP</v>
      </c>
      <c r="W41" s="319" t="str">
        <f>VLOOKUP(H41,'Fund Utilization Report'!$A$4:$U$1800,5,FALSE)</f>
        <v>01101101</v>
      </c>
      <c r="X41" s="319" t="str">
        <f>VLOOKUP(H41,'Fund Utilization Report'!$A$4:$U$1800,6,FALSE)</f>
        <v>GOP</v>
      </c>
      <c r="Y41" s="320">
        <f>VLOOKUP(H41,'Fund Utilization Report'!$A$4:$U$1800,7,FALSE)</f>
        <v>783</v>
      </c>
      <c r="Z41" s="321" t="str">
        <f>VLOOKUP(H41,'Fund Utilization Report'!$A$4:$U$1800,8,FALSE)</f>
        <v>50299030 00</v>
      </c>
      <c r="AA41" s="319" t="str">
        <f>VLOOKUP(H41,'Fund Utilization Report'!$A$4:$U$1800,14,FALSE)</f>
        <v>330100100003000</v>
      </c>
      <c r="AB41" s="349" t="str">
        <f>VLOOKUP(H41,'Fund Utilization Report'!$A$4:$U$1800,15,FALSE)</f>
        <v>MSME Development Program : Program Beneficiaries Development Component of the Comprehensive Agrarian Reform Program</v>
      </c>
      <c r="AC41" s="304"/>
      <c r="AD41" s="199"/>
      <c r="AE41" s="200"/>
      <c r="AF41" s="200"/>
      <c r="AG41" s="304"/>
      <c r="AH41" s="304"/>
    </row>
    <row r="42" spans="1:34" s="169" customFormat="1" ht="13.8">
      <c r="A42" s="338" t="s">
        <v>942</v>
      </c>
      <c r="B42" s="338" t="s">
        <v>943</v>
      </c>
      <c r="C42" s="339"/>
      <c r="D42" s="340"/>
      <c r="E42" s="341"/>
      <c r="F42" s="342"/>
      <c r="G42" s="342"/>
      <c r="H42" s="343" t="s">
        <v>997</v>
      </c>
      <c r="I42" s="344"/>
      <c r="J42" s="345"/>
      <c r="K42" s="342"/>
      <c r="L42" s="342"/>
      <c r="M42" s="346"/>
      <c r="N42" s="347"/>
      <c r="O42" s="347" t="s">
        <v>933</v>
      </c>
      <c r="P42" s="347">
        <v>500</v>
      </c>
      <c r="Q42" s="348"/>
      <c r="R42" s="348"/>
      <c r="S42" s="319" t="str">
        <f>VLOOKUP(H42,'Fund Utilization Report'!$A$4:$U$1800,13,FALSE)</f>
        <v>MOOE</v>
      </c>
      <c r="T42" s="319" t="str">
        <f>VLOOKUP(H42,'Fund Utilization Report'!$A$4:$U$1800,2,FALSE)</f>
        <v>SAA37</v>
      </c>
      <c r="U42" s="319" t="str">
        <f>VLOOKUP(H42,'Fund Utilization Report'!$A$4:$U$1800,3,FALSE)</f>
        <v>2021-01-0037</v>
      </c>
      <c r="V42" s="319" t="str">
        <f>VLOOKUP(H42,'Fund Utilization Report'!$A$4:$U$1800,4,FALSE)</f>
        <v>CARP</v>
      </c>
      <c r="W42" s="319" t="str">
        <f>VLOOKUP(H42,'Fund Utilization Report'!$A$4:$U$1800,5,FALSE)</f>
        <v>01101101</v>
      </c>
      <c r="X42" s="319" t="str">
        <f>VLOOKUP(H42,'Fund Utilization Report'!$A$4:$U$1800,6,FALSE)</f>
        <v>GOP</v>
      </c>
      <c r="Y42" s="320">
        <f>VLOOKUP(H42,'Fund Utilization Report'!$A$4:$U$1800,7,FALSE)</f>
        <v>784</v>
      </c>
      <c r="Z42" s="321" t="str">
        <f>VLOOKUP(H42,'Fund Utilization Report'!$A$4:$U$1800,8,FALSE)</f>
        <v>50299040 00</v>
      </c>
      <c r="AA42" s="319" t="str">
        <f>VLOOKUP(H42,'Fund Utilization Report'!$A$4:$U$1800,14,FALSE)</f>
        <v>330100100003000</v>
      </c>
      <c r="AB42" s="349" t="str">
        <f>VLOOKUP(H42,'Fund Utilization Report'!$A$4:$U$1800,15,FALSE)</f>
        <v>MSME Development Program : Program Beneficiaries Development Component of the Comprehensive Agrarian Reform Program</v>
      </c>
      <c r="AC42" s="304"/>
      <c r="AD42" s="199"/>
      <c r="AE42" s="200"/>
      <c r="AF42" s="200"/>
      <c r="AG42" s="304"/>
      <c r="AH42" s="304"/>
    </row>
    <row r="43" spans="1:34" s="169" customFormat="1" ht="13.8">
      <c r="A43" s="338" t="s">
        <v>942</v>
      </c>
      <c r="B43" s="338" t="s">
        <v>943</v>
      </c>
      <c r="C43" s="339"/>
      <c r="D43" s="340"/>
      <c r="E43" s="341"/>
      <c r="F43" s="342"/>
      <c r="G43" s="342"/>
      <c r="H43" s="343" t="s">
        <v>998</v>
      </c>
      <c r="I43" s="344"/>
      <c r="J43" s="345"/>
      <c r="K43" s="342"/>
      <c r="L43" s="342"/>
      <c r="M43" s="346"/>
      <c r="N43" s="347"/>
      <c r="O43" s="347" t="s">
        <v>933</v>
      </c>
      <c r="P43" s="347">
        <v>2000</v>
      </c>
      <c r="Q43" s="348"/>
      <c r="R43" s="348"/>
      <c r="S43" s="319" t="str">
        <f>VLOOKUP(H43,'Fund Utilization Report'!$A$4:$U$1800,13,FALSE)</f>
        <v>MOOE</v>
      </c>
      <c r="T43" s="319" t="str">
        <f>VLOOKUP(H43,'Fund Utilization Report'!$A$4:$U$1800,2,FALSE)</f>
        <v>SAA37</v>
      </c>
      <c r="U43" s="319" t="str">
        <f>VLOOKUP(H43,'Fund Utilization Report'!$A$4:$U$1800,3,FALSE)</f>
        <v>2021-01-0037</v>
      </c>
      <c r="V43" s="319" t="str">
        <f>VLOOKUP(H43,'Fund Utilization Report'!$A$4:$U$1800,4,FALSE)</f>
        <v>CARP</v>
      </c>
      <c r="W43" s="319" t="str">
        <f>VLOOKUP(H43,'Fund Utilization Report'!$A$4:$U$1800,5,FALSE)</f>
        <v>01101101</v>
      </c>
      <c r="X43" s="319" t="str">
        <f>VLOOKUP(H43,'Fund Utilization Report'!$A$4:$U$1800,6,FALSE)</f>
        <v>GOP</v>
      </c>
      <c r="Y43" s="320">
        <f>VLOOKUP(H43,'Fund Utilization Report'!$A$4:$U$1800,7,FALSE)</f>
        <v>969</v>
      </c>
      <c r="Z43" s="321" t="str">
        <f>VLOOKUP(H43,'Fund Utilization Report'!$A$4:$U$1800,8,FALSE)</f>
        <v>50299990 99</v>
      </c>
      <c r="AA43" s="319" t="str">
        <f>VLOOKUP(H43,'Fund Utilization Report'!$A$4:$U$1800,14,FALSE)</f>
        <v>330100100003000</v>
      </c>
      <c r="AB43" s="349" t="str">
        <f>VLOOKUP(H43,'Fund Utilization Report'!$A$4:$U$1800,15,FALSE)</f>
        <v>MSME Development Program : Program Beneficiaries Development Component of the Comprehensive Agrarian Reform Program</v>
      </c>
      <c r="AC43" s="304"/>
      <c r="AD43" s="199"/>
      <c r="AE43" s="200"/>
      <c r="AF43" s="200"/>
      <c r="AG43" s="304"/>
      <c r="AH43" s="304"/>
    </row>
    <row r="44" spans="1:34" s="169" customFormat="1" ht="13.8">
      <c r="A44" s="338" t="s">
        <v>942</v>
      </c>
      <c r="B44" s="338" t="s">
        <v>943</v>
      </c>
      <c r="C44" s="339"/>
      <c r="D44" s="340"/>
      <c r="E44" s="341"/>
      <c r="F44" s="342"/>
      <c r="G44" s="342"/>
      <c r="H44" s="343" t="s">
        <v>999</v>
      </c>
      <c r="I44" s="344"/>
      <c r="J44" s="345"/>
      <c r="K44" s="342"/>
      <c r="L44" s="342"/>
      <c r="M44" s="346"/>
      <c r="N44" s="347"/>
      <c r="O44" s="347" t="s">
        <v>934</v>
      </c>
      <c r="P44" s="347">
        <v>5017266.7</v>
      </c>
      <c r="Q44" s="348"/>
      <c r="R44" s="348"/>
      <c r="S44" s="319" t="str">
        <f>VLOOKUP(H44,'Fund Utilization Report'!$A$4:$U$1800,13,FALSE)</f>
        <v>PS</v>
      </c>
      <c r="T44" s="319" t="str">
        <f>VLOOKUP(H44,'Fund Utilization Report'!$A$4:$U$1800,2,FALSE)</f>
        <v>SAA15</v>
      </c>
      <c r="U44" s="319" t="str">
        <f>VLOOKUP(H44,'Fund Utilization Report'!$A$4:$U$1800,3,FALSE)</f>
        <v>2021-01-0015</v>
      </c>
      <c r="V44" s="319" t="str">
        <f>VLOOKUP(H44,'Fund Utilization Report'!$A$4:$U$1800,4,FALSE)</f>
        <v>CARP</v>
      </c>
      <c r="W44" s="319" t="str">
        <f>VLOOKUP(H44,'Fund Utilization Report'!$A$4:$U$1800,5,FALSE)</f>
        <v>01101101</v>
      </c>
      <c r="X44" s="319" t="str">
        <f>VLOOKUP(H44,'Fund Utilization Report'!$A$4:$U$1800,6,FALSE)</f>
        <v>GOP</v>
      </c>
      <c r="Y44" s="320">
        <f>VLOOKUP(H44,'Fund Utilization Report'!$A$4:$U$1800,7,FALSE)</f>
        <v>706</v>
      </c>
      <c r="Z44" s="321" t="str">
        <f>VLOOKUP(H44,'Fund Utilization Report'!$A$4:$U$1800,8,FALSE)</f>
        <v>50101020 00</v>
      </c>
      <c r="AA44" s="319" t="str">
        <f>VLOOKUP(H44,'Fund Utilization Report'!$A$4:$U$1800,14,FALSE)</f>
        <v>330100100003000</v>
      </c>
      <c r="AB44" s="349" t="str">
        <f>VLOOKUP(H44,'Fund Utilization Report'!$A$4:$U$1800,15,FALSE)</f>
        <v>MSME Development Program : Program Beneficiaries Development Component of the Comprehensive Agrarian Reform Program</v>
      </c>
      <c r="AC44" s="304"/>
      <c r="AD44" s="199"/>
      <c r="AE44" s="200"/>
      <c r="AF44" s="200"/>
      <c r="AG44" s="304"/>
      <c r="AH44" s="304"/>
    </row>
    <row r="45" spans="1:34" s="169" customFormat="1" ht="13.8">
      <c r="A45" s="338" t="s">
        <v>942</v>
      </c>
      <c r="B45" s="430"/>
      <c r="C45" s="421"/>
      <c r="D45" s="422"/>
      <c r="E45" s="423"/>
      <c r="F45" s="424"/>
      <c r="G45" s="424"/>
      <c r="H45" s="429" t="s">
        <v>1221</v>
      </c>
      <c r="I45" s="425"/>
      <c r="J45" s="424" t="str">
        <f>IFERROR(VLOOKUP(I45,'Chart of accounts'!A:H,2,FALSE),"")</f>
        <v/>
      </c>
      <c r="K45" s="424" t="str">
        <f>IFERROR(VLOOKUP(I45,'Chart of accounts'!A:H,3,FALSE),"")</f>
        <v/>
      </c>
      <c r="L45" s="424" t="str">
        <f>IFERROR(VLOOKUP(I45,'Chart of accounts'!A:H,4,FALSE),"")</f>
        <v/>
      </c>
      <c r="M45" s="426"/>
      <c r="N45" s="427"/>
      <c r="O45" s="431" t="s">
        <v>1216</v>
      </c>
      <c r="P45" s="432">
        <v>3562690.92</v>
      </c>
      <c r="Q45" s="428"/>
      <c r="R45" s="428">
        <f>P45-Q45</f>
        <v>3562690.92</v>
      </c>
      <c r="S45" s="319" t="str">
        <f>VLOOKUP(H45,'Fund Utilization Report'!$A$4:$U$1800,13,FALSE)</f>
        <v>MOOE</v>
      </c>
      <c r="T45" s="319" t="s">
        <v>1216</v>
      </c>
      <c r="U45" s="319" t="s">
        <v>1217</v>
      </c>
      <c r="V45" s="319" t="s">
        <v>1011</v>
      </c>
      <c r="W45" s="319" t="str">
        <f>VLOOKUP(H45,'Fund Utilization Report'!$A$4:$U$1800,5,FALSE)</f>
        <v>01101101</v>
      </c>
      <c r="X45" s="319" t="str">
        <f>VLOOKUP(H45,'Fund Utilization Report'!$A$4:$U$1800,6,FALSE)</f>
        <v>GOP</v>
      </c>
      <c r="Y45" s="320">
        <f>VLOOKUP(H45,'Fund Utilization Report'!$A$4:$U$1800,7,FALSE)</f>
        <v>799</v>
      </c>
      <c r="Z45" s="321">
        <f>VLOOKUP(H45,'Fund Utilization Report'!$A$4:$U$1800,8,FALSE)</f>
        <v>5021199000</v>
      </c>
      <c r="AA45" s="319" t="str">
        <f>VLOOKUP(H45,'Fund Utilization Report'!$A$4:$U$1800,14,FALSE)</f>
        <v>330100300001000</v>
      </c>
      <c r="AB45" s="349" t="str">
        <f>VLOOKUP(H45,'Fund Utilization Report'!$A$4:$U$1800,15,FALSE)</f>
        <v>Rural Agro Enterprise Partnership for Inclusive Development (RAPID) Growth GOP Continuing</v>
      </c>
      <c r="AC45" s="304"/>
      <c r="AD45" s="199"/>
      <c r="AE45" s="200"/>
      <c r="AF45" s="200"/>
      <c r="AG45" s="304"/>
      <c r="AH45" s="304"/>
    </row>
    <row r="46" spans="1:34" s="32" customFormat="1">
      <c r="A46" s="338" t="s">
        <v>942</v>
      </c>
      <c r="B46" s="338" t="s">
        <v>943</v>
      </c>
      <c r="C46" s="350">
        <v>44209</v>
      </c>
      <c r="D46" s="351" t="s">
        <v>759</v>
      </c>
      <c r="E46" s="352" t="s">
        <v>11</v>
      </c>
      <c r="F46" s="338">
        <v>0.48749999999999999</v>
      </c>
      <c r="G46" s="338">
        <v>0.49236111111111108</v>
      </c>
      <c r="H46" s="338" t="s">
        <v>960</v>
      </c>
      <c r="I46" s="353">
        <v>713</v>
      </c>
      <c r="J46" s="338" t="str">
        <f>IFERROR(VLOOKUP(I46,'Chart of accounts'!A:H,2,FALSE),"")</f>
        <v>50102020 00</v>
      </c>
      <c r="K46" s="338" t="str">
        <f>IFERROR(VLOOKUP(I46,'Chart of accounts'!A:H,3,FALSE),"")</f>
        <v>Representation Allowance</v>
      </c>
      <c r="L46" s="338" t="str">
        <f>IFERROR(VLOOKUP(I46,'Chart of accounts'!A:H,4,FALSE),"")</f>
        <v>50102020 00 - Representation Allowance (713)</v>
      </c>
      <c r="M46" s="354" t="s">
        <v>2</v>
      </c>
      <c r="N46" s="355" t="s">
        <v>6</v>
      </c>
      <c r="O46" s="355" t="s">
        <v>760</v>
      </c>
      <c r="P46" s="355"/>
      <c r="Q46" s="319">
        <v>9000</v>
      </c>
      <c r="R46" s="319">
        <f>P46-Q46</f>
        <v>-9000</v>
      </c>
      <c r="S46" s="319" t="str">
        <f>VLOOKUP(H46,'Fund Utilization Report'!$A$4:$U$1800,13,FALSE)</f>
        <v>PS</v>
      </c>
      <c r="T46" s="319" t="str">
        <f>VLOOKUP(H46,'Fund Utilization Report'!$A$4:$U$1800,2,FALSE)</f>
        <v>GAA</v>
      </c>
      <c r="U46" s="319" t="str">
        <f>VLOOKUP(H46,'Fund Utilization Report'!$A$4:$U$1800,3,FALSE)</f>
        <v>FY2021, RA11518</v>
      </c>
      <c r="V46" s="319" t="str">
        <f>VLOOKUP(H46,'Fund Utilization Report'!$A$4:$U$1800,4,FALSE)</f>
        <v>GAS(GMS)</v>
      </c>
      <c r="W46" s="319" t="str">
        <f>VLOOKUP(H46,'Fund Utilization Report'!$A$4:$U$1800,5,FALSE)</f>
        <v>01101101</v>
      </c>
      <c r="X46" s="319" t="str">
        <f>VLOOKUP(H46,'Fund Utilization Report'!$A$4:$U$1800,6,FALSE)</f>
        <v>GOP</v>
      </c>
      <c r="Y46" s="320" t="str">
        <f>VLOOKUP(H46,'Fund Utilization Report'!$A$4:$U$1800,7,FALSE)</f>
        <v>PS</v>
      </c>
      <c r="Z46" s="321">
        <f>VLOOKUP(H46,'Fund Utilization Report'!$A$4:$U$1800,8,FALSE)</f>
        <v>5010000000</v>
      </c>
      <c r="AA46" s="319" t="str">
        <f>VLOOKUP(H46,'Fund Utilization Report'!$A$4:$U$1800,14,FALSE)</f>
        <v>100000100001000</v>
      </c>
      <c r="AB46" s="349" t="str">
        <f>VLOOKUP(H46,'Fund Utilization Report'!$A$4:$U$1800,15,FALSE)</f>
        <v>General Administration and Supervision - General Management and Supervision</v>
      </c>
      <c r="AC46" s="37" t="s">
        <v>0</v>
      </c>
      <c r="AD46" s="38">
        <v>1</v>
      </c>
      <c r="AE46" s="39">
        <v>713</v>
      </c>
      <c r="AF46" s="51" t="str">
        <f>VLOOKUP(AE46,'[2]Chart of accounts'!A:H,2,FALSE)</f>
        <v>50102020 00</v>
      </c>
      <c r="AG46" s="53" t="s">
        <v>1</v>
      </c>
      <c r="AH46" s="53" t="s">
        <v>1</v>
      </c>
    </row>
    <row r="47" spans="1:34" s="32" customFormat="1">
      <c r="A47" s="338" t="s">
        <v>942</v>
      </c>
      <c r="B47" s="338" t="s">
        <v>943</v>
      </c>
      <c r="C47" s="350">
        <v>44209</v>
      </c>
      <c r="D47" s="351" t="s">
        <v>759</v>
      </c>
      <c r="E47" s="352" t="s">
        <v>11</v>
      </c>
      <c r="F47" s="338">
        <v>0.48749999999999999</v>
      </c>
      <c r="G47" s="338">
        <v>0.49236111111111108</v>
      </c>
      <c r="H47" s="338" t="s">
        <v>960</v>
      </c>
      <c r="I47" s="353">
        <v>714</v>
      </c>
      <c r="J47" s="338" t="str">
        <f>IFERROR(VLOOKUP(I47,'Chart of accounts'!A:H,2,FALSE),"")</f>
        <v>50102030 01</v>
      </c>
      <c r="K47" s="338" t="str">
        <f>IFERROR(VLOOKUP(I47,'Chart of accounts'!A:H,3,FALSE),"")</f>
        <v xml:space="preserve">Transportation Allowance  </v>
      </c>
      <c r="L47" s="338" t="str">
        <f>IFERROR(VLOOKUP(I47,'Chart of accounts'!A:H,4,FALSE),"")</f>
        <v>50102030 01 - Transportation Allowance   (714)</v>
      </c>
      <c r="M47" s="354" t="s">
        <v>2</v>
      </c>
      <c r="N47" s="355" t="s">
        <v>6</v>
      </c>
      <c r="O47" s="355" t="s">
        <v>760</v>
      </c>
      <c r="P47" s="355"/>
      <c r="Q47" s="319">
        <v>9000</v>
      </c>
      <c r="R47" s="319">
        <f t="shared" ref="R47:R110" si="0">P47-Q47</f>
        <v>-9000</v>
      </c>
      <c r="S47" s="319" t="str">
        <f>VLOOKUP(H47,'Fund Utilization Report'!$A$4:$U$1800,13,FALSE)</f>
        <v>PS</v>
      </c>
      <c r="T47" s="319" t="str">
        <f>VLOOKUP(H47,'Fund Utilization Report'!$A$4:$U$1800,2,FALSE)</f>
        <v>GAA</v>
      </c>
      <c r="U47" s="319" t="str">
        <f>VLOOKUP(H47,'Fund Utilization Report'!$A$4:$U$1800,3,FALSE)</f>
        <v>FY2021, RA11518</v>
      </c>
      <c r="V47" s="319" t="str">
        <f>VLOOKUP(H47,'Fund Utilization Report'!$A$4:$U$1800,4,FALSE)</f>
        <v>GAS(GMS)</v>
      </c>
      <c r="W47" s="319" t="str">
        <f>VLOOKUP(H47,'Fund Utilization Report'!$A$4:$U$1800,5,FALSE)</f>
        <v>01101101</v>
      </c>
      <c r="X47" s="319" t="str">
        <f>VLOOKUP(H47,'Fund Utilization Report'!$A$4:$U$1800,6,FALSE)</f>
        <v>GOP</v>
      </c>
      <c r="Y47" s="320" t="str">
        <f>VLOOKUP(H47,'Fund Utilization Report'!$A$4:$U$1800,7,FALSE)</f>
        <v>PS</v>
      </c>
      <c r="Z47" s="321">
        <f>VLOOKUP(H47,'Fund Utilization Report'!$A$4:$U$1800,8,FALSE)</f>
        <v>5010000000</v>
      </c>
      <c r="AA47" s="319" t="str">
        <f>VLOOKUP(H47,'Fund Utilization Report'!$A$4:$U$1800,14,FALSE)</f>
        <v>100000100001000</v>
      </c>
      <c r="AB47" s="349" t="str">
        <f>VLOOKUP(H47,'Fund Utilization Report'!$A$4:$U$1800,15,FALSE)</f>
        <v>General Administration and Supervision - General Management and Supervision</v>
      </c>
      <c r="AC47" s="37" t="s">
        <v>0</v>
      </c>
      <c r="AD47" s="38">
        <v>1</v>
      </c>
      <c r="AE47" s="39">
        <v>714</v>
      </c>
      <c r="AF47" s="51" t="str">
        <f>VLOOKUP(AE47,'[2]Chart of accounts'!A:H,2,FALSE)</f>
        <v>50102030 01</v>
      </c>
      <c r="AG47" s="53" t="s">
        <v>1</v>
      </c>
      <c r="AH47" s="53" t="s">
        <v>1</v>
      </c>
    </row>
    <row r="48" spans="1:34" s="32" customFormat="1">
      <c r="A48" s="338" t="s">
        <v>942</v>
      </c>
      <c r="B48" s="338" t="s">
        <v>943</v>
      </c>
      <c r="C48" s="350">
        <v>44209</v>
      </c>
      <c r="D48" s="351" t="s">
        <v>759</v>
      </c>
      <c r="E48" s="352" t="s">
        <v>11</v>
      </c>
      <c r="F48" s="338">
        <v>0.48749999999999999</v>
      </c>
      <c r="G48" s="338">
        <v>0.49236111111111108</v>
      </c>
      <c r="H48" s="338" t="s">
        <v>960</v>
      </c>
      <c r="I48" s="353">
        <v>713</v>
      </c>
      <c r="J48" s="338" t="str">
        <f>IFERROR(VLOOKUP(I48,'Chart of accounts'!A:H,2,FALSE),"")</f>
        <v>50102020 00</v>
      </c>
      <c r="K48" s="338" t="str">
        <f>IFERROR(VLOOKUP(I48,'Chart of accounts'!A:H,3,FALSE),"")</f>
        <v>Representation Allowance</v>
      </c>
      <c r="L48" s="338" t="str">
        <f>IFERROR(VLOOKUP(I48,'Chart of accounts'!A:H,4,FALSE),"")</f>
        <v>50102020 00 - Representation Allowance (713)</v>
      </c>
      <c r="M48" s="354" t="s">
        <v>2</v>
      </c>
      <c r="N48" s="355" t="s">
        <v>796</v>
      </c>
      <c r="O48" s="355" t="s">
        <v>760</v>
      </c>
      <c r="P48" s="355"/>
      <c r="Q48" s="319">
        <v>8500</v>
      </c>
      <c r="R48" s="319">
        <f t="shared" si="0"/>
        <v>-8500</v>
      </c>
      <c r="S48" s="319" t="str">
        <f>VLOOKUP(H48,'Fund Utilization Report'!$A$4:$U$1800,13,FALSE)</f>
        <v>PS</v>
      </c>
      <c r="T48" s="319" t="str">
        <f>VLOOKUP(H48,'Fund Utilization Report'!$A$4:$U$1800,2,FALSE)</f>
        <v>GAA</v>
      </c>
      <c r="U48" s="319" t="str">
        <f>VLOOKUP(H48,'Fund Utilization Report'!$A$4:$U$1800,3,FALSE)</f>
        <v>FY2021, RA11518</v>
      </c>
      <c r="V48" s="319" t="str">
        <f>VLOOKUP(H48,'Fund Utilization Report'!$A$4:$U$1800,4,FALSE)</f>
        <v>GAS(GMS)</v>
      </c>
      <c r="W48" s="319" t="str">
        <f>VLOOKUP(H48,'Fund Utilization Report'!$A$4:$U$1800,5,FALSE)</f>
        <v>01101101</v>
      </c>
      <c r="X48" s="319" t="str">
        <f>VLOOKUP(H48,'Fund Utilization Report'!$A$4:$U$1800,6,FALSE)</f>
        <v>GOP</v>
      </c>
      <c r="Y48" s="320" t="str">
        <f>VLOOKUP(H48,'Fund Utilization Report'!$A$4:$U$1800,7,FALSE)</f>
        <v>PS</v>
      </c>
      <c r="Z48" s="321">
        <f>VLOOKUP(H48,'Fund Utilization Report'!$A$4:$U$1800,8,FALSE)</f>
        <v>5010000000</v>
      </c>
      <c r="AA48" s="319" t="str">
        <f>VLOOKUP(H48,'Fund Utilization Report'!$A$4:$U$1800,14,FALSE)</f>
        <v>100000100001000</v>
      </c>
      <c r="AB48" s="349" t="str">
        <f>VLOOKUP(H48,'Fund Utilization Report'!$A$4:$U$1800,15,FALSE)</f>
        <v>General Administration and Supervision - General Management and Supervision</v>
      </c>
      <c r="AC48" s="37" t="s">
        <v>0</v>
      </c>
      <c r="AD48" s="38">
        <v>1</v>
      </c>
      <c r="AE48" s="39">
        <v>713</v>
      </c>
      <c r="AF48" s="51" t="str">
        <f>VLOOKUP(AE48,'[2]Chart of accounts'!A:H,2,FALSE)</f>
        <v>50102020 00</v>
      </c>
      <c r="AG48" s="53" t="s">
        <v>1</v>
      </c>
      <c r="AH48" s="53" t="s">
        <v>1</v>
      </c>
    </row>
    <row r="49" spans="1:34" s="32" customFormat="1">
      <c r="A49" s="338" t="s">
        <v>942</v>
      </c>
      <c r="B49" s="338" t="s">
        <v>943</v>
      </c>
      <c r="C49" s="350">
        <v>44209</v>
      </c>
      <c r="D49" s="351" t="s">
        <v>759</v>
      </c>
      <c r="E49" s="352" t="s">
        <v>11</v>
      </c>
      <c r="F49" s="338">
        <v>0.48749999999999999</v>
      </c>
      <c r="G49" s="338">
        <v>0.49236111111111108</v>
      </c>
      <c r="H49" s="338" t="s">
        <v>960</v>
      </c>
      <c r="I49" s="353">
        <v>714</v>
      </c>
      <c r="J49" s="338" t="str">
        <f>IFERROR(VLOOKUP(I49,'Chart of accounts'!A:H,2,FALSE),"")</f>
        <v>50102030 01</v>
      </c>
      <c r="K49" s="338" t="str">
        <f>IFERROR(VLOOKUP(I49,'Chart of accounts'!A:H,3,FALSE),"")</f>
        <v xml:space="preserve">Transportation Allowance  </v>
      </c>
      <c r="L49" s="338" t="str">
        <f>IFERROR(VLOOKUP(I49,'Chart of accounts'!A:H,4,FALSE),"")</f>
        <v>50102030 01 - Transportation Allowance   (714)</v>
      </c>
      <c r="M49" s="354" t="s">
        <v>2</v>
      </c>
      <c r="N49" s="355" t="s">
        <v>796</v>
      </c>
      <c r="O49" s="355" t="s">
        <v>760</v>
      </c>
      <c r="P49" s="355"/>
      <c r="Q49" s="319">
        <v>8500</v>
      </c>
      <c r="R49" s="319">
        <f t="shared" si="0"/>
        <v>-8500</v>
      </c>
      <c r="S49" s="319" t="str">
        <f>VLOOKUP(H49,'Fund Utilization Report'!$A$4:$U$1800,13,FALSE)</f>
        <v>PS</v>
      </c>
      <c r="T49" s="319" t="str">
        <f>VLOOKUP(H49,'Fund Utilization Report'!$A$4:$U$1800,2,FALSE)</f>
        <v>GAA</v>
      </c>
      <c r="U49" s="319" t="str">
        <f>VLOOKUP(H49,'Fund Utilization Report'!$A$4:$U$1800,3,FALSE)</f>
        <v>FY2021, RA11518</v>
      </c>
      <c r="V49" s="319" t="str">
        <f>VLOOKUP(H49,'Fund Utilization Report'!$A$4:$U$1800,4,FALSE)</f>
        <v>GAS(GMS)</v>
      </c>
      <c r="W49" s="319" t="str">
        <f>VLOOKUP(H49,'Fund Utilization Report'!$A$4:$U$1800,5,FALSE)</f>
        <v>01101101</v>
      </c>
      <c r="X49" s="319" t="str">
        <f>VLOOKUP(H49,'Fund Utilization Report'!$A$4:$U$1800,6,FALSE)</f>
        <v>GOP</v>
      </c>
      <c r="Y49" s="320" t="str">
        <f>VLOOKUP(H49,'Fund Utilization Report'!$A$4:$U$1800,7,FALSE)</f>
        <v>PS</v>
      </c>
      <c r="Z49" s="321">
        <f>VLOOKUP(H49,'Fund Utilization Report'!$A$4:$U$1800,8,FALSE)</f>
        <v>5010000000</v>
      </c>
      <c r="AA49" s="319" t="str">
        <f>VLOOKUP(H49,'Fund Utilization Report'!$A$4:$U$1800,14,FALSE)</f>
        <v>100000100001000</v>
      </c>
      <c r="AB49" s="349" t="str">
        <f>VLOOKUP(H49,'Fund Utilization Report'!$A$4:$U$1800,15,FALSE)</f>
        <v>General Administration and Supervision - General Management and Supervision</v>
      </c>
      <c r="AC49" s="37" t="s">
        <v>0</v>
      </c>
      <c r="AD49" s="38">
        <v>1</v>
      </c>
      <c r="AE49" s="39">
        <v>714</v>
      </c>
      <c r="AF49" s="51" t="str">
        <f>VLOOKUP(AE49,'[2]Chart of accounts'!A:H,2,FALSE)</f>
        <v>50102030 01</v>
      </c>
      <c r="AG49" s="53" t="s">
        <v>1</v>
      </c>
      <c r="AH49" s="53" t="s">
        <v>1</v>
      </c>
    </row>
    <row r="50" spans="1:34" s="32" customFormat="1">
      <c r="A50" s="338" t="s">
        <v>942</v>
      </c>
      <c r="B50" s="338" t="s">
        <v>943</v>
      </c>
      <c r="C50" s="350">
        <v>44209</v>
      </c>
      <c r="D50" s="351" t="s">
        <v>759</v>
      </c>
      <c r="E50" s="352" t="s">
        <v>11</v>
      </c>
      <c r="F50" s="338">
        <v>0.48749999999999999</v>
      </c>
      <c r="G50" s="338">
        <v>0.49236111111111108</v>
      </c>
      <c r="H50" s="338" t="s">
        <v>960</v>
      </c>
      <c r="I50" s="353">
        <v>713</v>
      </c>
      <c r="J50" s="338" t="str">
        <f>IFERROR(VLOOKUP(I50,'Chart of accounts'!A:H,2,FALSE),"")</f>
        <v>50102020 00</v>
      </c>
      <c r="K50" s="338" t="str">
        <f>IFERROR(VLOOKUP(I50,'Chart of accounts'!A:H,3,FALSE),"")</f>
        <v>Representation Allowance</v>
      </c>
      <c r="L50" s="338" t="str">
        <f>IFERROR(VLOOKUP(I50,'Chart of accounts'!A:H,4,FALSE),"")</f>
        <v>50102020 00 - Representation Allowance (713)</v>
      </c>
      <c r="M50" s="354" t="s">
        <v>2</v>
      </c>
      <c r="N50" s="355" t="s">
        <v>797</v>
      </c>
      <c r="O50" s="355" t="s">
        <v>760</v>
      </c>
      <c r="P50" s="355"/>
      <c r="Q50" s="319">
        <v>5000</v>
      </c>
      <c r="R50" s="319">
        <f t="shared" si="0"/>
        <v>-5000</v>
      </c>
      <c r="S50" s="319" t="str">
        <f>VLOOKUP(H50,'Fund Utilization Report'!$A$4:$U$1800,13,FALSE)</f>
        <v>PS</v>
      </c>
      <c r="T50" s="319" t="str">
        <f>VLOOKUP(H50,'Fund Utilization Report'!$A$4:$U$1800,2,FALSE)</f>
        <v>GAA</v>
      </c>
      <c r="U50" s="319" t="str">
        <f>VLOOKUP(H50,'Fund Utilization Report'!$A$4:$U$1800,3,FALSE)</f>
        <v>FY2021, RA11518</v>
      </c>
      <c r="V50" s="319" t="str">
        <f>VLOOKUP(H50,'Fund Utilization Report'!$A$4:$U$1800,4,FALSE)</f>
        <v>GAS(GMS)</v>
      </c>
      <c r="W50" s="319" t="str">
        <f>VLOOKUP(H50,'Fund Utilization Report'!$A$4:$U$1800,5,FALSE)</f>
        <v>01101101</v>
      </c>
      <c r="X50" s="319" t="str">
        <f>VLOOKUP(H50,'Fund Utilization Report'!$A$4:$U$1800,6,FALSE)</f>
        <v>GOP</v>
      </c>
      <c r="Y50" s="320" t="str">
        <f>VLOOKUP(H50,'Fund Utilization Report'!$A$4:$U$1800,7,FALSE)</f>
        <v>PS</v>
      </c>
      <c r="Z50" s="321">
        <f>VLOOKUP(H50,'Fund Utilization Report'!$A$4:$U$1800,8,FALSE)</f>
        <v>5010000000</v>
      </c>
      <c r="AA50" s="319" t="str">
        <f>VLOOKUP(H50,'Fund Utilization Report'!$A$4:$U$1800,14,FALSE)</f>
        <v>100000100001000</v>
      </c>
      <c r="AB50" s="349" t="str">
        <f>VLOOKUP(H50,'Fund Utilization Report'!$A$4:$U$1800,15,FALSE)</f>
        <v>General Administration and Supervision - General Management and Supervision</v>
      </c>
      <c r="AC50" s="37" t="s">
        <v>0</v>
      </c>
      <c r="AD50" s="38">
        <v>1</v>
      </c>
      <c r="AE50" s="39">
        <v>713</v>
      </c>
      <c r="AF50" s="51" t="str">
        <f>VLOOKUP(AE50,'[2]Chart of accounts'!A:H,2,FALSE)</f>
        <v>50102020 00</v>
      </c>
      <c r="AG50" s="53" t="s">
        <v>1</v>
      </c>
      <c r="AH50" s="53" t="s">
        <v>1</v>
      </c>
    </row>
    <row r="51" spans="1:34" s="32" customFormat="1">
      <c r="A51" s="338" t="s">
        <v>942</v>
      </c>
      <c r="B51" s="338" t="s">
        <v>943</v>
      </c>
      <c r="C51" s="350">
        <v>44209</v>
      </c>
      <c r="D51" s="351" t="s">
        <v>759</v>
      </c>
      <c r="E51" s="352" t="s">
        <v>11</v>
      </c>
      <c r="F51" s="338">
        <v>0.48749999999999999</v>
      </c>
      <c r="G51" s="338">
        <v>0.49236111111111108</v>
      </c>
      <c r="H51" s="338" t="s">
        <v>960</v>
      </c>
      <c r="I51" s="353">
        <v>714</v>
      </c>
      <c r="J51" s="338" t="str">
        <f>IFERROR(VLOOKUP(I51,'Chart of accounts'!A:H,2,FALSE),"")</f>
        <v>50102030 01</v>
      </c>
      <c r="K51" s="338" t="str">
        <f>IFERROR(VLOOKUP(I51,'Chart of accounts'!A:H,3,FALSE),"")</f>
        <v xml:space="preserve">Transportation Allowance  </v>
      </c>
      <c r="L51" s="338" t="str">
        <f>IFERROR(VLOOKUP(I51,'Chart of accounts'!A:H,4,FALSE),"")</f>
        <v>50102030 01 - Transportation Allowance   (714)</v>
      </c>
      <c r="M51" s="354" t="s">
        <v>2</v>
      </c>
      <c r="N51" s="355" t="s">
        <v>797</v>
      </c>
      <c r="O51" s="355" t="s">
        <v>760</v>
      </c>
      <c r="P51" s="355"/>
      <c r="Q51" s="319">
        <v>5000</v>
      </c>
      <c r="R51" s="319">
        <f t="shared" si="0"/>
        <v>-5000</v>
      </c>
      <c r="S51" s="319" t="str">
        <f>VLOOKUP(H51,'Fund Utilization Report'!$A$4:$U$1800,13,FALSE)</f>
        <v>PS</v>
      </c>
      <c r="T51" s="319" t="str">
        <f>VLOOKUP(H51,'Fund Utilization Report'!$A$4:$U$1800,2,FALSE)</f>
        <v>GAA</v>
      </c>
      <c r="U51" s="319" t="str">
        <f>VLOOKUP(H51,'Fund Utilization Report'!$A$4:$U$1800,3,FALSE)</f>
        <v>FY2021, RA11518</v>
      </c>
      <c r="V51" s="319" t="str">
        <f>VLOOKUP(H51,'Fund Utilization Report'!$A$4:$U$1800,4,FALSE)</f>
        <v>GAS(GMS)</v>
      </c>
      <c r="W51" s="319" t="str">
        <f>VLOOKUP(H51,'Fund Utilization Report'!$A$4:$U$1800,5,FALSE)</f>
        <v>01101101</v>
      </c>
      <c r="X51" s="319" t="str">
        <f>VLOOKUP(H51,'Fund Utilization Report'!$A$4:$U$1800,6,FALSE)</f>
        <v>GOP</v>
      </c>
      <c r="Y51" s="320" t="str">
        <f>VLOOKUP(H51,'Fund Utilization Report'!$A$4:$U$1800,7,FALSE)</f>
        <v>PS</v>
      </c>
      <c r="Z51" s="321">
        <f>VLOOKUP(H51,'Fund Utilization Report'!$A$4:$U$1800,8,FALSE)</f>
        <v>5010000000</v>
      </c>
      <c r="AA51" s="319" t="str">
        <f>VLOOKUP(H51,'Fund Utilization Report'!$A$4:$U$1800,14,FALSE)</f>
        <v>100000100001000</v>
      </c>
      <c r="AB51" s="349" t="str">
        <f>VLOOKUP(H51,'Fund Utilization Report'!$A$4:$U$1800,15,FALSE)</f>
        <v>General Administration and Supervision - General Management and Supervision</v>
      </c>
      <c r="AC51" s="37" t="s">
        <v>0</v>
      </c>
      <c r="AD51" s="38">
        <v>1</v>
      </c>
      <c r="AE51" s="39">
        <v>714</v>
      </c>
      <c r="AF51" s="51" t="str">
        <f>VLOOKUP(AE51,'[2]Chart of accounts'!A:H,2,FALSE)</f>
        <v>50102030 01</v>
      </c>
      <c r="AG51" s="53" t="s">
        <v>1</v>
      </c>
      <c r="AH51" s="53" t="s">
        <v>1</v>
      </c>
    </row>
    <row r="52" spans="1:34" s="32" customFormat="1">
      <c r="A52" s="338" t="s">
        <v>942</v>
      </c>
      <c r="B52" s="338" t="s">
        <v>943</v>
      </c>
      <c r="C52" s="350">
        <v>44209</v>
      </c>
      <c r="D52" s="351" t="s">
        <v>759</v>
      </c>
      <c r="E52" s="352" t="s">
        <v>11</v>
      </c>
      <c r="F52" s="338">
        <v>0.48749999999999999</v>
      </c>
      <c r="G52" s="338">
        <v>0.49236111111111108</v>
      </c>
      <c r="H52" s="338" t="s">
        <v>970</v>
      </c>
      <c r="I52" s="353">
        <v>713</v>
      </c>
      <c r="J52" s="338" t="str">
        <f>IFERROR(VLOOKUP(I52,'Chart of accounts'!A:H,2,FALSE),"")</f>
        <v>50102020 00</v>
      </c>
      <c r="K52" s="338" t="str">
        <f>IFERROR(VLOOKUP(I52,'Chart of accounts'!A:H,3,FALSE),"")</f>
        <v>Representation Allowance</v>
      </c>
      <c r="L52" s="338" t="str">
        <f>IFERROR(VLOOKUP(I52,'Chart of accounts'!A:H,4,FALSE),"")</f>
        <v>50102020 00 - Representation Allowance (713)</v>
      </c>
      <c r="M52" s="354" t="s">
        <v>2</v>
      </c>
      <c r="N52" s="355" t="s">
        <v>798</v>
      </c>
      <c r="O52" s="355" t="s">
        <v>760</v>
      </c>
      <c r="P52" s="355"/>
      <c r="Q52" s="319">
        <v>5000</v>
      </c>
      <c r="R52" s="319">
        <f t="shared" si="0"/>
        <v>-5000</v>
      </c>
      <c r="S52" s="319" t="str">
        <f>VLOOKUP(H52,'Fund Utilization Report'!$A$4:$U$1800,13,FALSE)</f>
        <v>PS</v>
      </c>
      <c r="T52" s="319" t="str">
        <f>VLOOKUP(H52,'Fund Utilization Report'!$A$4:$U$1800,2,FALSE)</f>
        <v>GAA</v>
      </c>
      <c r="U52" s="319" t="str">
        <f>VLOOKUP(H52,'Fund Utilization Report'!$A$4:$U$1800,3,FALSE)</f>
        <v>FY2021, RA11518</v>
      </c>
      <c r="V52" s="319" t="str">
        <f>VLOOKUP(H52,'Fund Utilization Report'!$A$4:$U$1800,4,FALSE)</f>
        <v>OO3</v>
      </c>
      <c r="W52" s="319" t="str">
        <f>VLOOKUP(H52,'Fund Utilization Report'!$A$4:$U$1800,5,FALSE)</f>
        <v>01101101</v>
      </c>
      <c r="X52" s="319" t="str">
        <f>VLOOKUP(H52,'Fund Utilization Report'!$A$4:$U$1800,6,FALSE)</f>
        <v>GOP</v>
      </c>
      <c r="Y52" s="320" t="str">
        <f>VLOOKUP(H52,'Fund Utilization Report'!$A$4:$U$1800,7,FALSE)</f>
        <v>PS</v>
      </c>
      <c r="Z52" s="321">
        <f>VLOOKUP(H52,'Fund Utilization Report'!$A$4:$U$1800,8,FALSE)</f>
        <v>5010000000</v>
      </c>
      <c r="AA52" s="319" t="str">
        <f>VLOOKUP(H52,'Fund Utilization Report'!$A$4:$U$1800,14,FALSE)</f>
        <v>330100100002000</v>
      </c>
      <c r="AB52" s="349" t="str">
        <f>VLOOKUP(H52,'Fund Utilization Report'!$A$4:$U$1800,15,FALSE)</f>
        <v>Implementation of the MSME Development Plan and other initiatives to promote the growth of Micro, Small and Medium Enterprises</v>
      </c>
      <c r="AC52" s="37" t="s">
        <v>0</v>
      </c>
      <c r="AD52" s="38">
        <v>1</v>
      </c>
      <c r="AE52" s="39">
        <v>713</v>
      </c>
      <c r="AF52" s="51" t="str">
        <f>VLOOKUP(AE52,'[2]Chart of accounts'!A:H,2,FALSE)</f>
        <v>50102020 00</v>
      </c>
      <c r="AG52" s="53" t="s">
        <v>1</v>
      </c>
      <c r="AH52" s="53" t="s">
        <v>1</v>
      </c>
    </row>
    <row r="53" spans="1:34" s="32" customFormat="1">
      <c r="A53" s="338" t="s">
        <v>942</v>
      </c>
      <c r="B53" s="338" t="s">
        <v>943</v>
      </c>
      <c r="C53" s="350">
        <v>44209</v>
      </c>
      <c r="D53" s="351" t="s">
        <v>759</v>
      </c>
      <c r="E53" s="352" t="s">
        <v>11</v>
      </c>
      <c r="F53" s="338">
        <v>0.48749999999999999</v>
      </c>
      <c r="G53" s="338">
        <v>0.49236111111111108</v>
      </c>
      <c r="H53" s="338" t="s">
        <v>970</v>
      </c>
      <c r="I53" s="353">
        <v>714</v>
      </c>
      <c r="J53" s="338" t="str">
        <f>IFERROR(VLOOKUP(I53,'Chart of accounts'!A:H,2,FALSE),"")</f>
        <v>50102030 01</v>
      </c>
      <c r="K53" s="338" t="str">
        <f>IFERROR(VLOOKUP(I53,'Chart of accounts'!A:H,3,FALSE),"")</f>
        <v xml:space="preserve">Transportation Allowance  </v>
      </c>
      <c r="L53" s="338" t="str">
        <f>IFERROR(VLOOKUP(I53,'Chart of accounts'!A:H,4,FALSE),"")</f>
        <v>50102030 01 - Transportation Allowance   (714)</v>
      </c>
      <c r="M53" s="354" t="s">
        <v>2</v>
      </c>
      <c r="N53" s="355" t="s">
        <v>798</v>
      </c>
      <c r="O53" s="355" t="s">
        <v>760</v>
      </c>
      <c r="P53" s="355"/>
      <c r="Q53" s="319">
        <v>5000</v>
      </c>
      <c r="R53" s="319">
        <f t="shared" si="0"/>
        <v>-5000</v>
      </c>
      <c r="S53" s="319" t="str">
        <f>VLOOKUP(H53,'Fund Utilization Report'!$A$4:$U$1800,13,FALSE)</f>
        <v>PS</v>
      </c>
      <c r="T53" s="319" t="str">
        <f>VLOOKUP(H53,'Fund Utilization Report'!$A$4:$U$1800,2,FALSE)</f>
        <v>GAA</v>
      </c>
      <c r="U53" s="319" t="str">
        <f>VLOOKUP(H53,'Fund Utilization Report'!$A$4:$U$1800,3,FALSE)</f>
        <v>FY2021, RA11518</v>
      </c>
      <c r="V53" s="319" t="str">
        <f>VLOOKUP(H53,'Fund Utilization Report'!$A$4:$U$1800,4,FALSE)</f>
        <v>OO3</v>
      </c>
      <c r="W53" s="319" t="str">
        <f>VLOOKUP(H53,'Fund Utilization Report'!$A$4:$U$1800,5,FALSE)</f>
        <v>01101101</v>
      </c>
      <c r="X53" s="319" t="str">
        <f>VLOOKUP(H53,'Fund Utilization Report'!$A$4:$U$1800,6,FALSE)</f>
        <v>GOP</v>
      </c>
      <c r="Y53" s="320" t="str">
        <f>VLOOKUP(H53,'Fund Utilization Report'!$A$4:$U$1800,7,FALSE)</f>
        <v>PS</v>
      </c>
      <c r="Z53" s="321">
        <f>VLOOKUP(H53,'Fund Utilization Report'!$A$4:$U$1800,8,FALSE)</f>
        <v>5010000000</v>
      </c>
      <c r="AA53" s="319" t="str">
        <f>VLOOKUP(H53,'Fund Utilization Report'!$A$4:$U$1800,14,FALSE)</f>
        <v>330100100002000</v>
      </c>
      <c r="AB53" s="349" t="str">
        <f>VLOOKUP(H53,'Fund Utilization Report'!$A$4:$U$1800,15,FALSE)</f>
        <v>Implementation of the MSME Development Plan and other initiatives to promote the growth of Micro, Small and Medium Enterprises</v>
      </c>
      <c r="AC53" s="37" t="s">
        <v>0</v>
      </c>
      <c r="AD53" s="38">
        <v>1</v>
      </c>
      <c r="AE53" s="39">
        <v>714</v>
      </c>
      <c r="AF53" s="51" t="str">
        <f>VLOOKUP(AE53,'[2]Chart of accounts'!A:H,2,FALSE)</f>
        <v>50102030 01</v>
      </c>
      <c r="AG53" s="53" t="s">
        <v>1</v>
      </c>
      <c r="AH53" s="53" t="s">
        <v>1</v>
      </c>
    </row>
    <row r="54" spans="1:34" s="32" customFormat="1">
      <c r="A54" s="338" t="s">
        <v>942</v>
      </c>
      <c r="B54" s="338" t="s">
        <v>943</v>
      </c>
      <c r="C54" s="350">
        <v>44209</v>
      </c>
      <c r="D54" s="351" t="s">
        <v>759</v>
      </c>
      <c r="E54" s="352" t="s">
        <v>11</v>
      </c>
      <c r="F54" s="338">
        <v>0.48749999999999999</v>
      </c>
      <c r="G54" s="338">
        <v>0.49236111111111108</v>
      </c>
      <c r="H54" s="338" t="s">
        <v>973</v>
      </c>
      <c r="I54" s="353">
        <v>713</v>
      </c>
      <c r="J54" s="338" t="str">
        <f>IFERROR(VLOOKUP(I54,'Chart of accounts'!A:H,2,FALSE),"")</f>
        <v>50102020 00</v>
      </c>
      <c r="K54" s="338" t="str">
        <f>IFERROR(VLOOKUP(I54,'Chart of accounts'!A:H,3,FALSE),"")</f>
        <v>Representation Allowance</v>
      </c>
      <c r="L54" s="338" t="str">
        <f>IFERROR(VLOOKUP(I54,'Chart of accounts'!A:H,4,FALSE),"")</f>
        <v>50102020 00 - Representation Allowance (713)</v>
      </c>
      <c r="M54" s="354" t="s">
        <v>2</v>
      </c>
      <c r="N54" s="355" t="s">
        <v>799</v>
      </c>
      <c r="O54" s="355" t="s">
        <v>760</v>
      </c>
      <c r="P54" s="355"/>
      <c r="Q54" s="319">
        <v>5000</v>
      </c>
      <c r="R54" s="319">
        <f t="shared" si="0"/>
        <v>-5000</v>
      </c>
      <c r="S54" s="319" t="str">
        <f>VLOOKUP(H54,'Fund Utilization Report'!$A$4:$U$1800,13,FALSE)</f>
        <v>PS</v>
      </c>
      <c r="T54" s="319" t="str">
        <f>VLOOKUP(H54,'Fund Utilization Report'!$A$4:$U$1800,2,FALSE)</f>
        <v>GAA</v>
      </c>
      <c r="U54" s="319" t="str">
        <f>VLOOKUP(H54,'Fund Utilization Report'!$A$4:$U$1800,3,FALSE)</f>
        <v>FY2021, RA11518</v>
      </c>
      <c r="V54" s="319" t="str">
        <f>VLOOKUP(H54,'Fund Utilization Report'!$A$4:$U$1800,4,FALSE)</f>
        <v>OO4.1(FTL)</v>
      </c>
      <c r="W54" s="319" t="str">
        <f>VLOOKUP(H54,'Fund Utilization Report'!$A$4:$U$1800,5,FALSE)</f>
        <v>01101101</v>
      </c>
      <c r="X54" s="319" t="str">
        <f>VLOOKUP(H54,'Fund Utilization Report'!$A$4:$U$1800,6,FALSE)</f>
        <v>GOP</v>
      </c>
      <c r="Y54" s="320" t="str">
        <f>VLOOKUP(H54,'Fund Utilization Report'!$A$4:$U$1800,7,FALSE)</f>
        <v>PS</v>
      </c>
      <c r="Z54" s="321">
        <f>VLOOKUP(H54,'Fund Utilization Report'!$A$4:$U$1800,8,FALSE)</f>
        <v>5010000000</v>
      </c>
      <c r="AA54" s="319" t="str">
        <f>VLOOKUP(H54,'Fund Utilization Report'!$A$4:$U$1800,14,FALSE)</f>
        <v>340100100002000</v>
      </c>
      <c r="AB54" s="349" t="str">
        <f>VLOOKUP(H54,'Fund Utilization Report'!$A$4:$U$1800,15,FALSE)</f>
        <v>Monitoring and Enforcement of FTL including consumer complaints handling</v>
      </c>
      <c r="AC54" s="37" t="s">
        <v>0</v>
      </c>
      <c r="AD54" s="38">
        <v>1</v>
      </c>
      <c r="AE54" s="39">
        <v>713</v>
      </c>
      <c r="AF54" s="51" t="str">
        <f>VLOOKUP(AE54,'[2]Chart of accounts'!A:H,2,FALSE)</f>
        <v>50102020 00</v>
      </c>
      <c r="AG54" s="53" t="s">
        <v>1</v>
      </c>
      <c r="AH54" s="53" t="s">
        <v>1</v>
      </c>
    </row>
    <row r="55" spans="1:34" s="32" customFormat="1">
      <c r="A55" s="338" t="s">
        <v>942</v>
      </c>
      <c r="B55" s="338" t="s">
        <v>943</v>
      </c>
      <c r="C55" s="350">
        <v>44209</v>
      </c>
      <c r="D55" s="351" t="s">
        <v>759</v>
      </c>
      <c r="E55" s="352" t="s">
        <v>11</v>
      </c>
      <c r="F55" s="338">
        <v>0.48749999999999999</v>
      </c>
      <c r="G55" s="338">
        <v>0.49236111111111108</v>
      </c>
      <c r="H55" s="338" t="s">
        <v>973</v>
      </c>
      <c r="I55" s="353">
        <v>714</v>
      </c>
      <c r="J55" s="338" t="str">
        <f>IFERROR(VLOOKUP(I55,'Chart of accounts'!A:H,2,FALSE),"")</f>
        <v>50102030 01</v>
      </c>
      <c r="K55" s="338" t="str">
        <f>IFERROR(VLOOKUP(I55,'Chart of accounts'!A:H,3,FALSE),"")</f>
        <v xml:space="preserve">Transportation Allowance  </v>
      </c>
      <c r="L55" s="338" t="str">
        <f>IFERROR(VLOOKUP(I55,'Chart of accounts'!A:H,4,FALSE),"")</f>
        <v>50102030 01 - Transportation Allowance   (714)</v>
      </c>
      <c r="M55" s="354" t="s">
        <v>2</v>
      </c>
      <c r="N55" s="355" t="s">
        <v>799</v>
      </c>
      <c r="O55" s="355" t="s">
        <v>760</v>
      </c>
      <c r="P55" s="355"/>
      <c r="Q55" s="319">
        <v>5000</v>
      </c>
      <c r="R55" s="319">
        <f t="shared" si="0"/>
        <v>-5000</v>
      </c>
      <c r="S55" s="319" t="str">
        <f>VLOOKUP(H55,'Fund Utilization Report'!$A$4:$U$1800,13,FALSE)</f>
        <v>PS</v>
      </c>
      <c r="T55" s="319" t="str">
        <f>VLOOKUP(H55,'Fund Utilization Report'!$A$4:$U$1800,2,FALSE)</f>
        <v>GAA</v>
      </c>
      <c r="U55" s="319" t="str">
        <f>VLOOKUP(H55,'Fund Utilization Report'!$A$4:$U$1800,3,FALSE)</f>
        <v>FY2021, RA11518</v>
      </c>
      <c r="V55" s="319" t="str">
        <f>VLOOKUP(H55,'Fund Utilization Report'!$A$4:$U$1800,4,FALSE)</f>
        <v>OO4.1(FTL)</v>
      </c>
      <c r="W55" s="319" t="str">
        <f>VLOOKUP(H55,'Fund Utilization Report'!$A$4:$U$1800,5,FALSE)</f>
        <v>01101101</v>
      </c>
      <c r="X55" s="319" t="str">
        <f>VLOOKUP(H55,'Fund Utilization Report'!$A$4:$U$1800,6,FALSE)</f>
        <v>GOP</v>
      </c>
      <c r="Y55" s="320" t="str">
        <f>VLOOKUP(H55,'Fund Utilization Report'!$A$4:$U$1800,7,FALSE)</f>
        <v>PS</v>
      </c>
      <c r="Z55" s="321">
        <f>VLOOKUP(H55,'Fund Utilization Report'!$A$4:$U$1800,8,FALSE)</f>
        <v>5010000000</v>
      </c>
      <c r="AA55" s="319" t="str">
        <f>VLOOKUP(H55,'Fund Utilization Report'!$A$4:$U$1800,14,FALSE)</f>
        <v>340100100002000</v>
      </c>
      <c r="AB55" s="349" t="str">
        <f>VLOOKUP(H55,'Fund Utilization Report'!$A$4:$U$1800,15,FALSE)</f>
        <v>Monitoring and Enforcement of FTL including consumer complaints handling</v>
      </c>
      <c r="AC55" s="37" t="s">
        <v>0</v>
      </c>
      <c r="AD55" s="38">
        <v>1</v>
      </c>
      <c r="AE55" s="39">
        <v>714</v>
      </c>
      <c r="AF55" s="51" t="str">
        <f>VLOOKUP(AE55,'[2]Chart of accounts'!A:H,2,FALSE)</f>
        <v>50102030 01</v>
      </c>
      <c r="AG55" s="53" t="s">
        <v>1</v>
      </c>
      <c r="AH55" s="53" t="s">
        <v>1</v>
      </c>
    </row>
    <row r="56" spans="1:34" s="32" customFormat="1">
      <c r="A56" s="338" t="s">
        <v>942</v>
      </c>
      <c r="B56" s="338" t="s">
        <v>943</v>
      </c>
      <c r="C56" s="350">
        <v>44209</v>
      </c>
      <c r="D56" s="351" t="s">
        <v>759</v>
      </c>
      <c r="E56" s="352" t="s">
        <v>11</v>
      </c>
      <c r="F56" s="338">
        <v>0.48749999999999999</v>
      </c>
      <c r="G56" s="338">
        <v>0.49236111111111108</v>
      </c>
      <c r="H56" s="338" t="s">
        <v>967</v>
      </c>
      <c r="I56" s="353">
        <v>713</v>
      </c>
      <c r="J56" s="338" t="str">
        <f>IFERROR(VLOOKUP(I56,'Chart of accounts'!A:H,2,FALSE),"")</f>
        <v>50102020 00</v>
      </c>
      <c r="K56" s="338" t="str">
        <f>IFERROR(VLOOKUP(I56,'Chart of accounts'!A:H,3,FALSE),"")</f>
        <v>Representation Allowance</v>
      </c>
      <c r="L56" s="338" t="str">
        <f>IFERROR(VLOOKUP(I56,'Chart of accounts'!A:H,4,FALSE),"")</f>
        <v>50102020 00 - Representation Allowance (713)</v>
      </c>
      <c r="M56" s="354" t="s">
        <v>2</v>
      </c>
      <c r="N56" s="355" t="s">
        <v>800</v>
      </c>
      <c r="O56" s="355" t="s">
        <v>760</v>
      </c>
      <c r="P56" s="355"/>
      <c r="Q56" s="319">
        <v>5000</v>
      </c>
      <c r="R56" s="319">
        <f t="shared" si="0"/>
        <v>-5000</v>
      </c>
      <c r="S56" s="319" t="str">
        <f>VLOOKUP(H56,'Fund Utilization Report'!$A$4:$U$1800,13,FALSE)</f>
        <v>PS</v>
      </c>
      <c r="T56" s="319" t="str">
        <f>VLOOKUP(H56,'Fund Utilization Report'!$A$4:$U$1800,2,FALSE)</f>
        <v>GAA</v>
      </c>
      <c r="U56" s="319" t="str">
        <f>VLOOKUP(H56,'Fund Utilization Report'!$A$4:$U$1800,3,FALSE)</f>
        <v>FY2021, RA11518</v>
      </c>
      <c r="V56" s="319" t="str">
        <f>VLOOKUP(H56,'Fund Utilization Report'!$A$4:$U$1800,4,FALSE)</f>
        <v>OO2</v>
      </c>
      <c r="W56" s="319" t="str">
        <f>VLOOKUP(H56,'Fund Utilization Report'!$A$4:$U$1800,5,FALSE)</f>
        <v>01101101</v>
      </c>
      <c r="X56" s="319" t="str">
        <f>VLOOKUP(H56,'Fund Utilization Report'!$A$4:$U$1800,6,FALSE)</f>
        <v>GOP</v>
      </c>
      <c r="Y56" s="320" t="str">
        <f>VLOOKUP(H56,'Fund Utilization Report'!$A$4:$U$1800,7,FALSE)</f>
        <v>PS</v>
      </c>
      <c r="Z56" s="321">
        <f>VLOOKUP(H56,'Fund Utilization Report'!$A$4:$U$1800,8,FALSE)</f>
        <v>5010000000</v>
      </c>
      <c r="AA56" s="319" t="str">
        <f>VLOOKUP(H56,'Fund Utilization Report'!$A$4:$U$1800,14,FALSE)</f>
        <v>320100100001000</v>
      </c>
      <c r="AB56" s="349" t="str">
        <f>VLOOKUP(H56,'Fund Utilization Report'!$A$4:$U$1800,15,FALSE)</f>
        <v>Formulation of Strategic plans,programs, and policies to develop competitve industries</v>
      </c>
      <c r="AC56" s="37" t="s">
        <v>0</v>
      </c>
      <c r="AD56" s="38">
        <v>1</v>
      </c>
      <c r="AE56" s="39">
        <v>713</v>
      </c>
      <c r="AF56" s="51" t="str">
        <f>VLOOKUP(AE56,'[2]Chart of accounts'!A:H,2,FALSE)</f>
        <v>50102020 00</v>
      </c>
      <c r="AG56" s="53" t="s">
        <v>1</v>
      </c>
      <c r="AH56" s="53" t="s">
        <v>1</v>
      </c>
    </row>
    <row r="57" spans="1:34" s="32" customFormat="1">
      <c r="A57" s="338" t="s">
        <v>942</v>
      </c>
      <c r="B57" s="338" t="s">
        <v>943</v>
      </c>
      <c r="C57" s="350">
        <v>44209</v>
      </c>
      <c r="D57" s="351" t="s">
        <v>759</v>
      </c>
      <c r="E57" s="352" t="s">
        <v>11</v>
      </c>
      <c r="F57" s="338">
        <v>0.48749999999999999</v>
      </c>
      <c r="G57" s="338">
        <v>0.49236111111111108</v>
      </c>
      <c r="H57" s="338" t="s">
        <v>967</v>
      </c>
      <c r="I57" s="353">
        <v>714</v>
      </c>
      <c r="J57" s="338" t="str">
        <f>IFERROR(VLOOKUP(I57,'Chart of accounts'!A:H,2,FALSE),"")</f>
        <v>50102030 01</v>
      </c>
      <c r="K57" s="338" t="str">
        <f>IFERROR(VLOOKUP(I57,'Chart of accounts'!A:H,3,FALSE),"")</f>
        <v xml:space="preserve">Transportation Allowance  </v>
      </c>
      <c r="L57" s="338" t="str">
        <f>IFERROR(VLOOKUP(I57,'Chart of accounts'!A:H,4,FALSE),"")</f>
        <v>50102030 01 - Transportation Allowance   (714)</v>
      </c>
      <c r="M57" s="354" t="s">
        <v>2</v>
      </c>
      <c r="N57" s="355" t="s">
        <v>800</v>
      </c>
      <c r="O57" s="355" t="s">
        <v>760</v>
      </c>
      <c r="P57" s="355"/>
      <c r="Q57" s="319">
        <v>5000</v>
      </c>
      <c r="R57" s="319">
        <f t="shared" si="0"/>
        <v>-5000</v>
      </c>
      <c r="S57" s="319" t="str">
        <f>VLOOKUP(H57,'Fund Utilization Report'!$A$4:$U$1800,13,FALSE)</f>
        <v>PS</v>
      </c>
      <c r="T57" s="319" t="str">
        <f>VLOOKUP(H57,'Fund Utilization Report'!$A$4:$U$1800,2,FALSE)</f>
        <v>GAA</v>
      </c>
      <c r="U57" s="319" t="str">
        <f>VLOOKUP(H57,'Fund Utilization Report'!$A$4:$U$1800,3,FALSE)</f>
        <v>FY2021, RA11518</v>
      </c>
      <c r="V57" s="319" t="str">
        <f>VLOOKUP(H57,'Fund Utilization Report'!$A$4:$U$1800,4,FALSE)</f>
        <v>OO2</v>
      </c>
      <c r="W57" s="319" t="str">
        <f>VLOOKUP(H57,'Fund Utilization Report'!$A$4:$U$1800,5,FALSE)</f>
        <v>01101101</v>
      </c>
      <c r="X57" s="319" t="str">
        <f>VLOOKUP(H57,'Fund Utilization Report'!$A$4:$U$1800,6,FALSE)</f>
        <v>GOP</v>
      </c>
      <c r="Y57" s="320" t="str">
        <f>VLOOKUP(H57,'Fund Utilization Report'!$A$4:$U$1800,7,FALSE)</f>
        <v>PS</v>
      </c>
      <c r="Z57" s="321">
        <f>VLOOKUP(H57,'Fund Utilization Report'!$A$4:$U$1800,8,FALSE)</f>
        <v>5010000000</v>
      </c>
      <c r="AA57" s="319" t="str">
        <f>VLOOKUP(H57,'Fund Utilization Report'!$A$4:$U$1800,14,FALSE)</f>
        <v>320100100001000</v>
      </c>
      <c r="AB57" s="349" t="str">
        <f>VLOOKUP(H57,'Fund Utilization Report'!$A$4:$U$1800,15,FALSE)</f>
        <v>Formulation of Strategic plans,programs, and policies to develop competitve industries</v>
      </c>
      <c r="AC57" s="37" t="s">
        <v>0</v>
      </c>
      <c r="AD57" s="38">
        <v>1</v>
      </c>
      <c r="AE57" s="39">
        <v>714</v>
      </c>
      <c r="AF57" s="51" t="str">
        <f>VLOOKUP(AE57,'[2]Chart of accounts'!A:H,2,FALSE)</f>
        <v>50102030 01</v>
      </c>
      <c r="AG57" s="53" t="s">
        <v>1</v>
      </c>
      <c r="AH57" s="53" t="s">
        <v>1</v>
      </c>
    </row>
    <row r="58" spans="1:34" s="32" customFormat="1">
      <c r="A58" s="338" t="s">
        <v>942</v>
      </c>
      <c r="B58" s="338" t="s">
        <v>943</v>
      </c>
      <c r="C58" s="350">
        <v>44209</v>
      </c>
      <c r="D58" s="351" t="s">
        <v>759</v>
      </c>
      <c r="E58" s="352" t="s">
        <v>11</v>
      </c>
      <c r="F58" s="338">
        <v>0.48749999999999999</v>
      </c>
      <c r="G58" s="338">
        <v>0.49236111111111108</v>
      </c>
      <c r="H58" s="338" t="s">
        <v>960</v>
      </c>
      <c r="I58" s="353">
        <v>713</v>
      </c>
      <c r="J58" s="338" t="str">
        <f>IFERROR(VLOOKUP(I58,'Chart of accounts'!A:H,2,FALSE),"")</f>
        <v>50102020 00</v>
      </c>
      <c r="K58" s="338" t="str">
        <f>IFERROR(VLOOKUP(I58,'Chart of accounts'!A:H,3,FALSE),"")</f>
        <v>Representation Allowance</v>
      </c>
      <c r="L58" s="338" t="str">
        <f>IFERROR(VLOOKUP(I58,'Chart of accounts'!A:H,4,FALSE),"")</f>
        <v>50102020 00 - Representation Allowance (713)</v>
      </c>
      <c r="M58" s="354" t="s">
        <v>2</v>
      </c>
      <c r="N58" s="355" t="s">
        <v>801</v>
      </c>
      <c r="O58" s="355" t="s">
        <v>760</v>
      </c>
      <c r="P58" s="355"/>
      <c r="Q58" s="319">
        <v>7500</v>
      </c>
      <c r="R58" s="319">
        <f t="shared" si="0"/>
        <v>-7500</v>
      </c>
      <c r="S58" s="319" t="str">
        <f>VLOOKUP(H58,'Fund Utilization Report'!$A$4:$U$1800,13,FALSE)</f>
        <v>PS</v>
      </c>
      <c r="T58" s="319" t="str">
        <f>VLOOKUP(H58,'Fund Utilization Report'!$A$4:$U$1800,2,FALSE)</f>
        <v>GAA</v>
      </c>
      <c r="U58" s="319" t="str">
        <f>VLOOKUP(H58,'Fund Utilization Report'!$A$4:$U$1800,3,FALSE)</f>
        <v>FY2021, RA11518</v>
      </c>
      <c r="V58" s="319" t="str">
        <f>VLOOKUP(H58,'Fund Utilization Report'!$A$4:$U$1800,4,FALSE)</f>
        <v>GAS(GMS)</v>
      </c>
      <c r="W58" s="319" t="str">
        <f>VLOOKUP(H58,'Fund Utilization Report'!$A$4:$U$1800,5,FALSE)</f>
        <v>01101101</v>
      </c>
      <c r="X58" s="319" t="str">
        <f>VLOOKUP(H58,'Fund Utilization Report'!$A$4:$U$1800,6,FALSE)</f>
        <v>GOP</v>
      </c>
      <c r="Y58" s="320" t="str">
        <f>VLOOKUP(H58,'Fund Utilization Report'!$A$4:$U$1800,7,FALSE)</f>
        <v>PS</v>
      </c>
      <c r="Z58" s="321">
        <f>VLOOKUP(H58,'Fund Utilization Report'!$A$4:$U$1800,8,FALSE)</f>
        <v>5010000000</v>
      </c>
      <c r="AA58" s="319" t="str">
        <f>VLOOKUP(H58,'Fund Utilization Report'!$A$4:$U$1800,14,FALSE)</f>
        <v>100000100001000</v>
      </c>
      <c r="AB58" s="349" t="str">
        <f>VLOOKUP(H58,'Fund Utilization Report'!$A$4:$U$1800,15,FALSE)</f>
        <v>General Administration and Supervision - General Management and Supervision</v>
      </c>
      <c r="AC58" s="37" t="s">
        <v>0</v>
      </c>
      <c r="AD58" s="38">
        <v>1</v>
      </c>
      <c r="AE58" s="39">
        <v>713</v>
      </c>
      <c r="AF58" s="51" t="str">
        <f>VLOOKUP(AE58,'[2]Chart of accounts'!A:H,2,FALSE)</f>
        <v>50102020 00</v>
      </c>
      <c r="AG58" s="53" t="s">
        <v>1</v>
      </c>
      <c r="AH58" s="53" t="s">
        <v>1</v>
      </c>
    </row>
    <row r="59" spans="1:34" s="32" customFormat="1">
      <c r="A59" s="338" t="s">
        <v>942</v>
      </c>
      <c r="B59" s="338" t="s">
        <v>943</v>
      </c>
      <c r="C59" s="350">
        <v>44209</v>
      </c>
      <c r="D59" s="351" t="s">
        <v>759</v>
      </c>
      <c r="E59" s="352" t="s">
        <v>11</v>
      </c>
      <c r="F59" s="338">
        <v>0.48749999999999999</v>
      </c>
      <c r="G59" s="338">
        <v>0.49236111111111108</v>
      </c>
      <c r="H59" s="338" t="s">
        <v>960</v>
      </c>
      <c r="I59" s="353">
        <v>714</v>
      </c>
      <c r="J59" s="338" t="str">
        <f>IFERROR(VLOOKUP(I59,'Chart of accounts'!A:H,2,FALSE),"")</f>
        <v>50102030 01</v>
      </c>
      <c r="K59" s="338" t="str">
        <f>IFERROR(VLOOKUP(I59,'Chart of accounts'!A:H,3,FALSE),"")</f>
        <v xml:space="preserve">Transportation Allowance  </v>
      </c>
      <c r="L59" s="338" t="str">
        <f>IFERROR(VLOOKUP(I59,'Chart of accounts'!A:H,4,FALSE),"")</f>
        <v>50102030 01 - Transportation Allowance   (714)</v>
      </c>
      <c r="M59" s="354" t="s">
        <v>2</v>
      </c>
      <c r="N59" s="355" t="s">
        <v>801</v>
      </c>
      <c r="O59" s="355" t="s">
        <v>760</v>
      </c>
      <c r="P59" s="355"/>
      <c r="Q59" s="319">
        <v>7500</v>
      </c>
      <c r="R59" s="319">
        <f t="shared" si="0"/>
        <v>-7500</v>
      </c>
      <c r="S59" s="319" t="str">
        <f>VLOOKUP(H59,'Fund Utilization Report'!$A$4:$U$1800,13,FALSE)</f>
        <v>PS</v>
      </c>
      <c r="T59" s="319" t="str">
        <f>VLOOKUP(H59,'Fund Utilization Report'!$A$4:$U$1800,2,FALSE)</f>
        <v>GAA</v>
      </c>
      <c r="U59" s="319" t="str">
        <f>VLOOKUP(H59,'Fund Utilization Report'!$A$4:$U$1800,3,FALSE)</f>
        <v>FY2021, RA11518</v>
      </c>
      <c r="V59" s="319" t="str">
        <f>VLOOKUP(H59,'Fund Utilization Report'!$A$4:$U$1800,4,FALSE)</f>
        <v>GAS(GMS)</v>
      </c>
      <c r="W59" s="319" t="str">
        <f>VLOOKUP(H59,'Fund Utilization Report'!$A$4:$U$1800,5,FALSE)</f>
        <v>01101101</v>
      </c>
      <c r="X59" s="319" t="str">
        <f>VLOOKUP(H59,'Fund Utilization Report'!$A$4:$U$1800,6,FALSE)</f>
        <v>GOP</v>
      </c>
      <c r="Y59" s="320" t="str">
        <f>VLOOKUP(H59,'Fund Utilization Report'!$A$4:$U$1800,7,FALSE)</f>
        <v>PS</v>
      </c>
      <c r="Z59" s="321">
        <f>VLOOKUP(H59,'Fund Utilization Report'!$A$4:$U$1800,8,FALSE)</f>
        <v>5010000000</v>
      </c>
      <c r="AA59" s="319" t="str">
        <f>VLOOKUP(H59,'Fund Utilization Report'!$A$4:$U$1800,14,FALSE)</f>
        <v>100000100001000</v>
      </c>
      <c r="AB59" s="349" t="str">
        <f>VLOOKUP(H59,'Fund Utilization Report'!$A$4:$U$1800,15,FALSE)</f>
        <v>General Administration and Supervision - General Management and Supervision</v>
      </c>
      <c r="AC59" s="37" t="s">
        <v>0</v>
      </c>
      <c r="AD59" s="38">
        <v>1</v>
      </c>
      <c r="AE59" s="39">
        <v>714</v>
      </c>
      <c r="AF59" s="51" t="str">
        <f>VLOOKUP(AE59,'[2]Chart of accounts'!A:H,2,FALSE)</f>
        <v>50102030 01</v>
      </c>
      <c r="AG59" s="53" t="s">
        <v>1</v>
      </c>
      <c r="AH59" s="53" t="s">
        <v>1</v>
      </c>
    </row>
    <row r="60" spans="1:34" s="32" customFormat="1">
      <c r="A60" s="338" t="s">
        <v>942</v>
      </c>
      <c r="B60" s="338" t="s">
        <v>943</v>
      </c>
      <c r="C60" s="350">
        <v>44209</v>
      </c>
      <c r="D60" s="351" t="s">
        <v>759</v>
      </c>
      <c r="E60" s="352" t="s">
        <v>11</v>
      </c>
      <c r="F60" s="338">
        <v>0.48749999999999999</v>
      </c>
      <c r="G60" s="338">
        <v>0.49236111111111108</v>
      </c>
      <c r="H60" s="338" t="s">
        <v>970</v>
      </c>
      <c r="I60" s="353">
        <v>713</v>
      </c>
      <c r="J60" s="338" t="str">
        <f>IFERROR(VLOOKUP(I60,'Chart of accounts'!A:H,2,FALSE),"")</f>
        <v>50102020 00</v>
      </c>
      <c r="K60" s="338" t="str">
        <f>IFERROR(VLOOKUP(I60,'Chart of accounts'!A:H,3,FALSE),"")</f>
        <v>Representation Allowance</v>
      </c>
      <c r="L60" s="338" t="str">
        <f>IFERROR(VLOOKUP(I60,'Chart of accounts'!A:H,4,FALSE),"")</f>
        <v>50102020 00 - Representation Allowance (713)</v>
      </c>
      <c r="M60" s="354" t="s">
        <v>2</v>
      </c>
      <c r="N60" s="355" t="s">
        <v>802</v>
      </c>
      <c r="O60" s="355" t="s">
        <v>760</v>
      </c>
      <c r="P60" s="355"/>
      <c r="Q60" s="319">
        <v>5000</v>
      </c>
      <c r="R60" s="319">
        <f t="shared" si="0"/>
        <v>-5000</v>
      </c>
      <c r="S60" s="319" t="str">
        <f>VLOOKUP(H60,'Fund Utilization Report'!$A$4:$U$1800,13,FALSE)</f>
        <v>PS</v>
      </c>
      <c r="T60" s="319" t="str">
        <f>VLOOKUP(H60,'Fund Utilization Report'!$A$4:$U$1800,2,FALSE)</f>
        <v>GAA</v>
      </c>
      <c r="U60" s="319" t="str">
        <f>VLOOKUP(H60,'Fund Utilization Report'!$A$4:$U$1800,3,FALSE)</f>
        <v>FY2021, RA11518</v>
      </c>
      <c r="V60" s="319" t="str">
        <f>VLOOKUP(H60,'Fund Utilization Report'!$A$4:$U$1800,4,FALSE)</f>
        <v>OO3</v>
      </c>
      <c r="W60" s="319" t="str">
        <f>VLOOKUP(H60,'Fund Utilization Report'!$A$4:$U$1800,5,FALSE)</f>
        <v>01101101</v>
      </c>
      <c r="X60" s="319" t="str">
        <f>VLOOKUP(H60,'Fund Utilization Report'!$A$4:$U$1800,6,FALSE)</f>
        <v>GOP</v>
      </c>
      <c r="Y60" s="320" t="str">
        <f>VLOOKUP(H60,'Fund Utilization Report'!$A$4:$U$1800,7,FALSE)</f>
        <v>PS</v>
      </c>
      <c r="Z60" s="321">
        <f>VLOOKUP(H60,'Fund Utilization Report'!$A$4:$U$1800,8,FALSE)</f>
        <v>5010000000</v>
      </c>
      <c r="AA60" s="319" t="str">
        <f>VLOOKUP(H60,'Fund Utilization Report'!$A$4:$U$1800,14,FALSE)</f>
        <v>330100100002000</v>
      </c>
      <c r="AB60" s="349" t="str">
        <f>VLOOKUP(H60,'Fund Utilization Report'!$A$4:$U$1800,15,FALSE)</f>
        <v>Implementation of the MSME Development Plan and other initiatives to promote the growth of Micro, Small and Medium Enterprises</v>
      </c>
      <c r="AC60" s="37" t="s">
        <v>0</v>
      </c>
      <c r="AD60" s="38">
        <v>1</v>
      </c>
      <c r="AE60" s="39">
        <v>713</v>
      </c>
      <c r="AF60" s="51" t="str">
        <f>VLOOKUP(AE60,'[2]Chart of accounts'!A:H,2,FALSE)</f>
        <v>50102020 00</v>
      </c>
      <c r="AG60" s="53" t="s">
        <v>1</v>
      </c>
      <c r="AH60" s="53" t="s">
        <v>1</v>
      </c>
    </row>
    <row r="61" spans="1:34" s="32" customFormat="1">
      <c r="A61" s="338" t="s">
        <v>942</v>
      </c>
      <c r="B61" s="338" t="s">
        <v>943</v>
      </c>
      <c r="C61" s="350">
        <v>44209</v>
      </c>
      <c r="D61" s="351" t="s">
        <v>759</v>
      </c>
      <c r="E61" s="352" t="s">
        <v>11</v>
      </c>
      <c r="F61" s="338">
        <v>0.48749999999999999</v>
      </c>
      <c r="G61" s="338">
        <v>0.49236111111111108</v>
      </c>
      <c r="H61" s="338" t="s">
        <v>970</v>
      </c>
      <c r="I61" s="353">
        <v>714</v>
      </c>
      <c r="J61" s="338" t="str">
        <f>IFERROR(VLOOKUP(I61,'Chart of accounts'!A:H,2,FALSE),"")</f>
        <v>50102030 01</v>
      </c>
      <c r="K61" s="338" t="str">
        <f>IFERROR(VLOOKUP(I61,'Chart of accounts'!A:H,3,FALSE),"")</f>
        <v xml:space="preserve">Transportation Allowance  </v>
      </c>
      <c r="L61" s="338" t="str">
        <f>IFERROR(VLOOKUP(I61,'Chart of accounts'!A:H,4,FALSE),"")</f>
        <v>50102030 01 - Transportation Allowance   (714)</v>
      </c>
      <c r="M61" s="354" t="s">
        <v>2</v>
      </c>
      <c r="N61" s="355" t="s">
        <v>802</v>
      </c>
      <c r="O61" s="355" t="s">
        <v>760</v>
      </c>
      <c r="P61" s="355"/>
      <c r="Q61" s="319">
        <v>5000</v>
      </c>
      <c r="R61" s="319">
        <f t="shared" si="0"/>
        <v>-5000</v>
      </c>
      <c r="S61" s="319" t="str">
        <f>VLOOKUP(H61,'Fund Utilization Report'!$A$4:$U$1800,13,FALSE)</f>
        <v>PS</v>
      </c>
      <c r="T61" s="319" t="str">
        <f>VLOOKUP(H61,'Fund Utilization Report'!$A$4:$U$1800,2,FALSE)</f>
        <v>GAA</v>
      </c>
      <c r="U61" s="319" t="str">
        <f>VLOOKUP(H61,'Fund Utilization Report'!$A$4:$U$1800,3,FALSE)</f>
        <v>FY2021, RA11518</v>
      </c>
      <c r="V61" s="319" t="str">
        <f>VLOOKUP(H61,'Fund Utilization Report'!$A$4:$U$1800,4,FALSE)</f>
        <v>OO3</v>
      </c>
      <c r="W61" s="319" t="str">
        <f>VLOOKUP(H61,'Fund Utilization Report'!$A$4:$U$1800,5,FALSE)</f>
        <v>01101101</v>
      </c>
      <c r="X61" s="319" t="str">
        <f>VLOOKUP(H61,'Fund Utilization Report'!$A$4:$U$1800,6,FALSE)</f>
        <v>GOP</v>
      </c>
      <c r="Y61" s="320" t="str">
        <f>VLOOKUP(H61,'Fund Utilization Report'!$A$4:$U$1800,7,FALSE)</f>
        <v>PS</v>
      </c>
      <c r="Z61" s="321">
        <f>VLOOKUP(H61,'Fund Utilization Report'!$A$4:$U$1800,8,FALSE)</f>
        <v>5010000000</v>
      </c>
      <c r="AA61" s="319" t="str">
        <f>VLOOKUP(H61,'Fund Utilization Report'!$A$4:$U$1800,14,FALSE)</f>
        <v>330100100002000</v>
      </c>
      <c r="AB61" s="349" t="str">
        <f>VLOOKUP(H61,'Fund Utilization Report'!$A$4:$U$1800,15,FALSE)</f>
        <v>Implementation of the MSME Development Plan and other initiatives to promote the growth of Micro, Small and Medium Enterprises</v>
      </c>
      <c r="AC61" s="37" t="s">
        <v>0</v>
      </c>
      <c r="AD61" s="38">
        <v>1</v>
      </c>
      <c r="AE61" s="39">
        <v>714</v>
      </c>
      <c r="AF61" s="51" t="str">
        <f>VLOOKUP(AE61,'[2]Chart of accounts'!A:H,2,FALSE)</f>
        <v>50102030 01</v>
      </c>
      <c r="AG61" s="53" t="s">
        <v>1</v>
      </c>
      <c r="AH61" s="53" t="s">
        <v>1</v>
      </c>
    </row>
    <row r="62" spans="1:34" s="32" customFormat="1">
      <c r="A62" s="338" t="s">
        <v>942</v>
      </c>
      <c r="B62" s="338" t="s">
        <v>943</v>
      </c>
      <c r="C62" s="350">
        <v>44209</v>
      </c>
      <c r="D62" s="351" t="s">
        <v>759</v>
      </c>
      <c r="E62" s="352" t="s">
        <v>11</v>
      </c>
      <c r="F62" s="338">
        <v>0.48749999999999999</v>
      </c>
      <c r="G62" s="338">
        <v>0.49236111111111108</v>
      </c>
      <c r="H62" s="338" t="s">
        <v>967</v>
      </c>
      <c r="I62" s="353">
        <v>713</v>
      </c>
      <c r="J62" s="338" t="str">
        <f>IFERROR(VLOOKUP(I62,'Chart of accounts'!A:H,2,FALSE),"")</f>
        <v>50102020 00</v>
      </c>
      <c r="K62" s="338" t="str">
        <f>IFERROR(VLOOKUP(I62,'Chart of accounts'!A:H,3,FALSE),"")</f>
        <v>Representation Allowance</v>
      </c>
      <c r="L62" s="338" t="str">
        <f>IFERROR(VLOOKUP(I62,'Chart of accounts'!A:H,4,FALSE),"")</f>
        <v>50102020 00 - Representation Allowance (713)</v>
      </c>
      <c r="M62" s="354" t="s">
        <v>2</v>
      </c>
      <c r="N62" s="355" t="s">
        <v>803</v>
      </c>
      <c r="O62" s="355" t="s">
        <v>760</v>
      </c>
      <c r="P62" s="355"/>
      <c r="Q62" s="319">
        <v>5000</v>
      </c>
      <c r="R62" s="319">
        <f t="shared" si="0"/>
        <v>-5000</v>
      </c>
      <c r="S62" s="319" t="str">
        <f>VLOOKUP(H62,'Fund Utilization Report'!$A$4:$U$1800,13,FALSE)</f>
        <v>PS</v>
      </c>
      <c r="T62" s="319" t="str">
        <f>VLOOKUP(H62,'Fund Utilization Report'!$A$4:$U$1800,2,FALSE)</f>
        <v>GAA</v>
      </c>
      <c r="U62" s="319" t="str">
        <f>VLOOKUP(H62,'Fund Utilization Report'!$A$4:$U$1800,3,FALSE)</f>
        <v>FY2021, RA11518</v>
      </c>
      <c r="V62" s="319" t="str">
        <f>VLOOKUP(H62,'Fund Utilization Report'!$A$4:$U$1800,4,FALSE)</f>
        <v>OO2</v>
      </c>
      <c r="W62" s="319" t="str">
        <f>VLOOKUP(H62,'Fund Utilization Report'!$A$4:$U$1800,5,FALSE)</f>
        <v>01101101</v>
      </c>
      <c r="X62" s="319" t="str">
        <f>VLOOKUP(H62,'Fund Utilization Report'!$A$4:$U$1800,6,FALSE)</f>
        <v>GOP</v>
      </c>
      <c r="Y62" s="320" t="str">
        <f>VLOOKUP(H62,'Fund Utilization Report'!$A$4:$U$1800,7,FALSE)</f>
        <v>PS</v>
      </c>
      <c r="Z62" s="321">
        <f>VLOOKUP(H62,'Fund Utilization Report'!$A$4:$U$1800,8,FALSE)</f>
        <v>5010000000</v>
      </c>
      <c r="AA62" s="319" t="str">
        <f>VLOOKUP(H62,'Fund Utilization Report'!$A$4:$U$1800,14,FALSE)</f>
        <v>320100100001000</v>
      </c>
      <c r="AB62" s="349" t="str">
        <f>VLOOKUP(H62,'Fund Utilization Report'!$A$4:$U$1800,15,FALSE)</f>
        <v>Formulation of Strategic plans,programs, and policies to develop competitve industries</v>
      </c>
      <c r="AC62" s="37" t="s">
        <v>0</v>
      </c>
      <c r="AD62" s="38">
        <v>1</v>
      </c>
      <c r="AE62" s="39">
        <v>713</v>
      </c>
      <c r="AF62" s="51" t="str">
        <f>VLOOKUP(AE62,'[2]Chart of accounts'!A:H,2,FALSE)</f>
        <v>50102020 00</v>
      </c>
      <c r="AG62" s="53" t="s">
        <v>1</v>
      </c>
      <c r="AH62" s="53" t="s">
        <v>1</v>
      </c>
    </row>
    <row r="63" spans="1:34" s="32" customFormat="1">
      <c r="A63" s="338" t="s">
        <v>942</v>
      </c>
      <c r="B63" s="338" t="s">
        <v>943</v>
      </c>
      <c r="C63" s="350">
        <v>44209</v>
      </c>
      <c r="D63" s="351" t="s">
        <v>759</v>
      </c>
      <c r="E63" s="352" t="s">
        <v>11</v>
      </c>
      <c r="F63" s="338">
        <v>0.48749999999999999</v>
      </c>
      <c r="G63" s="338">
        <v>0.49236111111111108</v>
      </c>
      <c r="H63" s="338" t="s">
        <v>967</v>
      </c>
      <c r="I63" s="353">
        <v>714</v>
      </c>
      <c r="J63" s="338" t="str">
        <f>IFERROR(VLOOKUP(I63,'Chart of accounts'!A:H,2,FALSE),"")</f>
        <v>50102030 01</v>
      </c>
      <c r="K63" s="338" t="str">
        <f>IFERROR(VLOOKUP(I63,'Chart of accounts'!A:H,3,FALSE),"")</f>
        <v xml:space="preserve">Transportation Allowance  </v>
      </c>
      <c r="L63" s="338" t="str">
        <f>IFERROR(VLOOKUP(I63,'Chart of accounts'!A:H,4,FALSE),"")</f>
        <v>50102030 01 - Transportation Allowance   (714)</v>
      </c>
      <c r="M63" s="354" t="s">
        <v>2</v>
      </c>
      <c r="N63" s="355" t="s">
        <v>803</v>
      </c>
      <c r="O63" s="355" t="s">
        <v>760</v>
      </c>
      <c r="P63" s="355"/>
      <c r="Q63" s="319">
        <v>5000</v>
      </c>
      <c r="R63" s="319">
        <f t="shared" si="0"/>
        <v>-5000</v>
      </c>
      <c r="S63" s="319" t="str">
        <f>VLOOKUP(H63,'Fund Utilization Report'!$A$4:$U$1800,13,FALSE)</f>
        <v>PS</v>
      </c>
      <c r="T63" s="319" t="str">
        <f>VLOOKUP(H63,'Fund Utilization Report'!$A$4:$U$1800,2,FALSE)</f>
        <v>GAA</v>
      </c>
      <c r="U63" s="319" t="str">
        <f>VLOOKUP(H63,'Fund Utilization Report'!$A$4:$U$1800,3,FALSE)</f>
        <v>FY2021, RA11518</v>
      </c>
      <c r="V63" s="319" t="str">
        <f>VLOOKUP(H63,'Fund Utilization Report'!$A$4:$U$1800,4,FALSE)</f>
        <v>OO2</v>
      </c>
      <c r="W63" s="319" t="str">
        <f>VLOOKUP(H63,'Fund Utilization Report'!$A$4:$U$1800,5,FALSE)</f>
        <v>01101101</v>
      </c>
      <c r="X63" s="319" t="str">
        <f>VLOOKUP(H63,'Fund Utilization Report'!$A$4:$U$1800,6,FALSE)</f>
        <v>GOP</v>
      </c>
      <c r="Y63" s="320" t="str">
        <f>VLOOKUP(H63,'Fund Utilization Report'!$A$4:$U$1800,7,FALSE)</f>
        <v>PS</v>
      </c>
      <c r="Z63" s="321">
        <f>VLOOKUP(H63,'Fund Utilization Report'!$A$4:$U$1800,8,FALSE)</f>
        <v>5010000000</v>
      </c>
      <c r="AA63" s="319" t="str">
        <f>VLOOKUP(H63,'Fund Utilization Report'!$A$4:$U$1800,14,FALSE)</f>
        <v>320100100001000</v>
      </c>
      <c r="AB63" s="349" t="str">
        <f>VLOOKUP(H63,'Fund Utilization Report'!$A$4:$U$1800,15,FALSE)</f>
        <v>Formulation of Strategic plans,programs, and policies to develop competitve industries</v>
      </c>
      <c r="AC63" s="37" t="s">
        <v>0</v>
      </c>
      <c r="AD63" s="38">
        <v>1</v>
      </c>
      <c r="AE63" s="39">
        <v>714</v>
      </c>
      <c r="AF63" s="51" t="str">
        <f>VLOOKUP(AE63,'[2]Chart of accounts'!A:H,2,FALSE)</f>
        <v>50102030 01</v>
      </c>
      <c r="AG63" s="53" t="s">
        <v>1</v>
      </c>
      <c r="AH63" s="53" t="s">
        <v>1</v>
      </c>
    </row>
    <row r="64" spans="1:34" s="32" customFormat="1">
      <c r="A64" s="338" t="s">
        <v>942</v>
      </c>
      <c r="B64" s="338" t="s">
        <v>943</v>
      </c>
      <c r="C64" s="350">
        <v>44209</v>
      </c>
      <c r="D64" s="351" t="s">
        <v>759</v>
      </c>
      <c r="E64" s="352" t="s">
        <v>11</v>
      </c>
      <c r="F64" s="338">
        <v>0.48749999999999999</v>
      </c>
      <c r="G64" s="338">
        <v>0.49236111111111108</v>
      </c>
      <c r="H64" s="338" t="s">
        <v>960</v>
      </c>
      <c r="I64" s="353">
        <v>713</v>
      </c>
      <c r="J64" s="338" t="str">
        <f>IFERROR(VLOOKUP(I64,'Chart of accounts'!A:H,2,FALSE),"")</f>
        <v>50102020 00</v>
      </c>
      <c r="K64" s="338" t="str">
        <f>IFERROR(VLOOKUP(I64,'Chart of accounts'!A:H,3,FALSE),"")</f>
        <v>Representation Allowance</v>
      </c>
      <c r="L64" s="338" t="str">
        <f>IFERROR(VLOOKUP(I64,'Chart of accounts'!A:H,4,FALSE),"")</f>
        <v>50102020 00 - Representation Allowance (713)</v>
      </c>
      <c r="M64" s="354" t="s">
        <v>2</v>
      </c>
      <c r="N64" s="355" t="s">
        <v>804</v>
      </c>
      <c r="O64" s="355" t="s">
        <v>760</v>
      </c>
      <c r="P64" s="355"/>
      <c r="Q64" s="319">
        <v>7500</v>
      </c>
      <c r="R64" s="319">
        <f t="shared" si="0"/>
        <v>-7500</v>
      </c>
      <c r="S64" s="319" t="str">
        <f>VLOOKUP(H64,'Fund Utilization Report'!$A$4:$U$1800,13,FALSE)</f>
        <v>PS</v>
      </c>
      <c r="T64" s="319" t="str">
        <f>VLOOKUP(H64,'Fund Utilization Report'!$A$4:$U$1800,2,FALSE)</f>
        <v>GAA</v>
      </c>
      <c r="U64" s="319" t="str">
        <f>VLOOKUP(H64,'Fund Utilization Report'!$A$4:$U$1800,3,FALSE)</f>
        <v>FY2021, RA11518</v>
      </c>
      <c r="V64" s="319" t="str">
        <f>VLOOKUP(H64,'Fund Utilization Report'!$A$4:$U$1800,4,FALSE)</f>
        <v>GAS(GMS)</v>
      </c>
      <c r="W64" s="319" t="str">
        <f>VLOOKUP(H64,'Fund Utilization Report'!$A$4:$U$1800,5,FALSE)</f>
        <v>01101101</v>
      </c>
      <c r="X64" s="319" t="str">
        <f>VLOOKUP(H64,'Fund Utilization Report'!$A$4:$U$1800,6,FALSE)</f>
        <v>GOP</v>
      </c>
      <c r="Y64" s="320" t="str">
        <f>VLOOKUP(H64,'Fund Utilization Report'!$A$4:$U$1800,7,FALSE)</f>
        <v>PS</v>
      </c>
      <c r="Z64" s="321">
        <f>VLOOKUP(H64,'Fund Utilization Report'!$A$4:$U$1800,8,FALSE)</f>
        <v>5010000000</v>
      </c>
      <c r="AA64" s="319" t="str">
        <f>VLOOKUP(H64,'Fund Utilization Report'!$A$4:$U$1800,14,FALSE)</f>
        <v>100000100001000</v>
      </c>
      <c r="AB64" s="349" t="str">
        <f>VLOOKUP(H64,'Fund Utilization Report'!$A$4:$U$1800,15,FALSE)</f>
        <v>General Administration and Supervision - General Management and Supervision</v>
      </c>
      <c r="AC64" s="37" t="s">
        <v>0</v>
      </c>
      <c r="AD64" s="38">
        <v>1</v>
      </c>
      <c r="AE64" s="39">
        <v>713</v>
      </c>
      <c r="AF64" s="51" t="str">
        <f>VLOOKUP(AE64,'[2]Chart of accounts'!A:H,2,FALSE)</f>
        <v>50102020 00</v>
      </c>
      <c r="AG64" s="53" t="s">
        <v>1</v>
      </c>
      <c r="AH64" s="53" t="s">
        <v>1</v>
      </c>
    </row>
    <row r="65" spans="1:34" s="32" customFormat="1">
      <c r="A65" s="338" t="s">
        <v>942</v>
      </c>
      <c r="B65" s="338" t="s">
        <v>943</v>
      </c>
      <c r="C65" s="350">
        <v>44209</v>
      </c>
      <c r="D65" s="351" t="s">
        <v>759</v>
      </c>
      <c r="E65" s="352" t="s">
        <v>11</v>
      </c>
      <c r="F65" s="338">
        <v>0.48749999999999999</v>
      </c>
      <c r="G65" s="338">
        <v>0.49236111111111108</v>
      </c>
      <c r="H65" s="338" t="s">
        <v>960</v>
      </c>
      <c r="I65" s="353">
        <v>714</v>
      </c>
      <c r="J65" s="338" t="str">
        <f>IFERROR(VLOOKUP(I65,'Chart of accounts'!A:H,2,FALSE),"")</f>
        <v>50102030 01</v>
      </c>
      <c r="K65" s="338" t="str">
        <f>IFERROR(VLOOKUP(I65,'Chart of accounts'!A:H,3,FALSE),"")</f>
        <v xml:space="preserve">Transportation Allowance  </v>
      </c>
      <c r="L65" s="338" t="str">
        <f>IFERROR(VLOOKUP(I65,'Chart of accounts'!A:H,4,FALSE),"")</f>
        <v>50102030 01 - Transportation Allowance   (714)</v>
      </c>
      <c r="M65" s="354" t="s">
        <v>2</v>
      </c>
      <c r="N65" s="355" t="s">
        <v>804</v>
      </c>
      <c r="O65" s="355" t="s">
        <v>760</v>
      </c>
      <c r="P65" s="355"/>
      <c r="Q65" s="319">
        <v>7500</v>
      </c>
      <c r="R65" s="319">
        <f t="shared" si="0"/>
        <v>-7500</v>
      </c>
      <c r="S65" s="319" t="str">
        <f>VLOOKUP(H65,'Fund Utilization Report'!$A$4:$U$1800,13,FALSE)</f>
        <v>PS</v>
      </c>
      <c r="T65" s="319" t="str">
        <f>VLOOKUP(H65,'Fund Utilization Report'!$A$4:$U$1800,2,FALSE)</f>
        <v>GAA</v>
      </c>
      <c r="U65" s="319" t="str">
        <f>VLOOKUP(H65,'Fund Utilization Report'!$A$4:$U$1800,3,FALSE)</f>
        <v>FY2021, RA11518</v>
      </c>
      <c r="V65" s="319" t="str">
        <f>VLOOKUP(H65,'Fund Utilization Report'!$A$4:$U$1800,4,FALSE)</f>
        <v>GAS(GMS)</v>
      </c>
      <c r="W65" s="319" t="str">
        <f>VLOOKUP(H65,'Fund Utilization Report'!$A$4:$U$1800,5,FALSE)</f>
        <v>01101101</v>
      </c>
      <c r="X65" s="319" t="str">
        <f>VLOOKUP(H65,'Fund Utilization Report'!$A$4:$U$1800,6,FALSE)</f>
        <v>GOP</v>
      </c>
      <c r="Y65" s="320" t="str">
        <f>VLOOKUP(H65,'Fund Utilization Report'!$A$4:$U$1800,7,FALSE)</f>
        <v>PS</v>
      </c>
      <c r="Z65" s="321">
        <f>VLOOKUP(H65,'Fund Utilization Report'!$A$4:$U$1800,8,FALSE)</f>
        <v>5010000000</v>
      </c>
      <c r="AA65" s="319" t="str">
        <f>VLOOKUP(H65,'Fund Utilization Report'!$A$4:$U$1800,14,FALSE)</f>
        <v>100000100001000</v>
      </c>
      <c r="AB65" s="349" t="str">
        <f>VLOOKUP(H65,'Fund Utilization Report'!$A$4:$U$1800,15,FALSE)</f>
        <v>General Administration and Supervision - General Management and Supervision</v>
      </c>
      <c r="AC65" s="37" t="s">
        <v>0</v>
      </c>
      <c r="AD65" s="38">
        <v>1</v>
      </c>
      <c r="AE65" s="39">
        <v>714</v>
      </c>
      <c r="AF65" s="51" t="str">
        <f>VLOOKUP(AE65,'[2]Chart of accounts'!A:H,2,FALSE)</f>
        <v>50102030 01</v>
      </c>
      <c r="AG65" s="53" t="s">
        <v>1</v>
      </c>
      <c r="AH65" s="53" t="s">
        <v>1</v>
      </c>
    </row>
    <row r="66" spans="1:34" s="32" customFormat="1">
      <c r="A66" s="338" t="s">
        <v>942</v>
      </c>
      <c r="B66" s="338" t="s">
        <v>943</v>
      </c>
      <c r="C66" s="350">
        <v>44209</v>
      </c>
      <c r="D66" s="351" t="s">
        <v>759</v>
      </c>
      <c r="E66" s="352" t="s">
        <v>11</v>
      </c>
      <c r="F66" s="338">
        <v>0.48749999999999999</v>
      </c>
      <c r="G66" s="338">
        <v>0.49236111111111108</v>
      </c>
      <c r="H66" s="338" t="s">
        <v>970</v>
      </c>
      <c r="I66" s="353">
        <v>713</v>
      </c>
      <c r="J66" s="338" t="str">
        <f>IFERROR(VLOOKUP(I66,'Chart of accounts'!A:H,2,FALSE),"")</f>
        <v>50102020 00</v>
      </c>
      <c r="K66" s="338" t="str">
        <f>IFERROR(VLOOKUP(I66,'Chart of accounts'!A:H,3,FALSE),"")</f>
        <v>Representation Allowance</v>
      </c>
      <c r="L66" s="338" t="str">
        <f>IFERROR(VLOOKUP(I66,'Chart of accounts'!A:H,4,FALSE),"")</f>
        <v>50102020 00 - Representation Allowance (713)</v>
      </c>
      <c r="M66" s="354" t="s">
        <v>2</v>
      </c>
      <c r="N66" s="355" t="s">
        <v>805</v>
      </c>
      <c r="O66" s="355" t="s">
        <v>760</v>
      </c>
      <c r="P66" s="355"/>
      <c r="Q66" s="319">
        <v>5000</v>
      </c>
      <c r="R66" s="319">
        <f t="shared" si="0"/>
        <v>-5000</v>
      </c>
      <c r="S66" s="319" t="str">
        <f>VLOOKUP(H66,'Fund Utilization Report'!$A$4:$U$1800,13,FALSE)</f>
        <v>PS</v>
      </c>
      <c r="T66" s="319" t="str">
        <f>VLOOKUP(H66,'Fund Utilization Report'!$A$4:$U$1800,2,FALSE)</f>
        <v>GAA</v>
      </c>
      <c r="U66" s="319" t="str">
        <f>VLOOKUP(H66,'Fund Utilization Report'!$A$4:$U$1800,3,FALSE)</f>
        <v>FY2021, RA11518</v>
      </c>
      <c r="V66" s="319" t="str">
        <f>VLOOKUP(H66,'Fund Utilization Report'!$A$4:$U$1800,4,FALSE)</f>
        <v>OO3</v>
      </c>
      <c r="W66" s="319" t="str">
        <f>VLOOKUP(H66,'Fund Utilization Report'!$A$4:$U$1800,5,FALSE)</f>
        <v>01101101</v>
      </c>
      <c r="X66" s="319" t="str">
        <f>VLOOKUP(H66,'Fund Utilization Report'!$A$4:$U$1800,6,FALSE)</f>
        <v>GOP</v>
      </c>
      <c r="Y66" s="320" t="str">
        <f>VLOOKUP(H66,'Fund Utilization Report'!$A$4:$U$1800,7,FALSE)</f>
        <v>PS</v>
      </c>
      <c r="Z66" s="321">
        <f>VLOOKUP(H66,'Fund Utilization Report'!$A$4:$U$1800,8,FALSE)</f>
        <v>5010000000</v>
      </c>
      <c r="AA66" s="319" t="str">
        <f>VLOOKUP(H66,'Fund Utilization Report'!$A$4:$U$1800,14,FALSE)</f>
        <v>330100100002000</v>
      </c>
      <c r="AB66" s="349" t="str">
        <f>VLOOKUP(H66,'Fund Utilization Report'!$A$4:$U$1800,15,FALSE)</f>
        <v>Implementation of the MSME Development Plan and other initiatives to promote the growth of Micro, Small and Medium Enterprises</v>
      </c>
      <c r="AC66" s="37" t="s">
        <v>0</v>
      </c>
      <c r="AD66" s="38">
        <v>1</v>
      </c>
      <c r="AE66" s="39">
        <v>713</v>
      </c>
      <c r="AF66" s="51" t="str">
        <f>VLOOKUP(AE66,'[2]Chart of accounts'!A:H,2,FALSE)</f>
        <v>50102020 00</v>
      </c>
      <c r="AG66" s="53" t="s">
        <v>1</v>
      </c>
      <c r="AH66" s="53" t="s">
        <v>1</v>
      </c>
    </row>
    <row r="67" spans="1:34" s="32" customFormat="1">
      <c r="A67" s="338" t="s">
        <v>942</v>
      </c>
      <c r="B67" s="338" t="s">
        <v>943</v>
      </c>
      <c r="C67" s="350">
        <v>44209</v>
      </c>
      <c r="D67" s="351" t="s">
        <v>759</v>
      </c>
      <c r="E67" s="352" t="s">
        <v>11</v>
      </c>
      <c r="F67" s="338">
        <v>0.48749999999999999</v>
      </c>
      <c r="G67" s="338">
        <v>0.49236111111111108</v>
      </c>
      <c r="H67" s="338" t="s">
        <v>970</v>
      </c>
      <c r="I67" s="353">
        <v>714</v>
      </c>
      <c r="J67" s="338" t="str">
        <f>IFERROR(VLOOKUP(I67,'Chart of accounts'!A:H,2,FALSE),"")</f>
        <v>50102030 01</v>
      </c>
      <c r="K67" s="338" t="str">
        <f>IFERROR(VLOOKUP(I67,'Chart of accounts'!A:H,3,FALSE),"")</f>
        <v xml:space="preserve">Transportation Allowance  </v>
      </c>
      <c r="L67" s="338" t="str">
        <f>IFERROR(VLOOKUP(I67,'Chart of accounts'!A:H,4,FALSE),"")</f>
        <v>50102030 01 - Transportation Allowance   (714)</v>
      </c>
      <c r="M67" s="354" t="s">
        <v>2</v>
      </c>
      <c r="N67" s="355" t="s">
        <v>805</v>
      </c>
      <c r="O67" s="355" t="s">
        <v>760</v>
      </c>
      <c r="P67" s="355"/>
      <c r="Q67" s="319">
        <v>5000</v>
      </c>
      <c r="R67" s="319">
        <f t="shared" si="0"/>
        <v>-5000</v>
      </c>
      <c r="S67" s="319" t="str">
        <f>VLOOKUP(H67,'Fund Utilization Report'!$A$4:$U$1800,13,FALSE)</f>
        <v>PS</v>
      </c>
      <c r="T67" s="319" t="str">
        <f>VLOOKUP(H67,'Fund Utilization Report'!$A$4:$U$1800,2,FALSE)</f>
        <v>GAA</v>
      </c>
      <c r="U67" s="319" t="str">
        <f>VLOOKUP(H67,'Fund Utilization Report'!$A$4:$U$1800,3,FALSE)</f>
        <v>FY2021, RA11518</v>
      </c>
      <c r="V67" s="319" t="str">
        <f>VLOOKUP(H67,'Fund Utilization Report'!$A$4:$U$1800,4,FALSE)</f>
        <v>OO3</v>
      </c>
      <c r="W67" s="319" t="str">
        <f>VLOOKUP(H67,'Fund Utilization Report'!$A$4:$U$1800,5,FALSE)</f>
        <v>01101101</v>
      </c>
      <c r="X67" s="319" t="str">
        <f>VLOOKUP(H67,'Fund Utilization Report'!$A$4:$U$1800,6,FALSE)</f>
        <v>GOP</v>
      </c>
      <c r="Y67" s="320" t="str">
        <f>VLOOKUP(H67,'Fund Utilization Report'!$A$4:$U$1800,7,FALSE)</f>
        <v>PS</v>
      </c>
      <c r="Z67" s="321">
        <f>VLOOKUP(H67,'Fund Utilization Report'!$A$4:$U$1800,8,FALSE)</f>
        <v>5010000000</v>
      </c>
      <c r="AA67" s="319" t="str">
        <f>VLOOKUP(H67,'Fund Utilization Report'!$A$4:$U$1800,14,FALSE)</f>
        <v>330100100002000</v>
      </c>
      <c r="AB67" s="349" t="str">
        <f>VLOOKUP(H67,'Fund Utilization Report'!$A$4:$U$1800,15,FALSE)</f>
        <v>Implementation of the MSME Development Plan and other initiatives to promote the growth of Micro, Small and Medium Enterprises</v>
      </c>
      <c r="AC67" s="37" t="s">
        <v>0</v>
      </c>
      <c r="AD67" s="38">
        <v>1</v>
      </c>
      <c r="AE67" s="39">
        <v>714</v>
      </c>
      <c r="AF67" s="51" t="str">
        <f>VLOOKUP(AE67,'[2]Chart of accounts'!A:H,2,FALSE)</f>
        <v>50102030 01</v>
      </c>
      <c r="AG67" s="53" t="s">
        <v>1</v>
      </c>
      <c r="AH67" s="53" t="s">
        <v>1</v>
      </c>
    </row>
    <row r="68" spans="1:34" s="32" customFormat="1">
      <c r="A68" s="338" t="s">
        <v>942</v>
      </c>
      <c r="B68" s="338" t="s">
        <v>943</v>
      </c>
      <c r="C68" s="350">
        <v>44209</v>
      </c>
      <c r="D68" s="351" t="s">
        <v>759</v>
      </c>
      <c r="E68" s="352" t="s">
        <v>11</v>
      </c>
      <c r="F68" s="338">
        <v>0.48749999999999999</v>
      </c>
      <c r="G68" s="338">
        <v>0.49236111111111108</v>
      </c>
      <c r="H68" s="338" t="s">
        <v>960</v>
      </c>
      <c r="I68" s="353">
        <v>713</v>
      </c>
      <c r="J68" s="338" t="str">
        <f>IFERROR(VLOOKUP(I68,'Chart of accounts'!A:H,2,FALSE),"")</f>
        <v>50102020 00</v>
      </c>
      <c r="K68" s="338" t="str">
        <f>IFERROR(VLOOKUP(I68,'Chart of accounts'!A:H,3,FALSE),"")</f>
        <v>Representation Allowance</v>
      </c>
      <c r="L68" s="338" t="str">
        <f>IFERROR(VLOOKUP(I68,'Chart of accounts'!A:H,4,FALSE),"")</f>
        <v>50102020 00 - Representation Allowance (713)</v>
      </c>
      <c r="M68" s="354" t="s">
        <v>2</v>
      </c>
      <c r="N68" s="355" t="s">
        <v>806</v>
      </c>
      <c r="O68" s="355" t="s">
        <v>760</v>
      </c>
      <c r="P68" s="355"/>
      <c r="Q68" s="319">
        <v>7500</v>
      </c>
      <c r="R68" s="319">
        <f t="shared" si="0"/>
        <v>-7500</v>
      </c>
      <c r="S68" s="319" t="str">
        <f>VLOOKUP(H68,'Fund Utilization Report'!$A$4:$U$1800,13,FALSE)</f>
        <v>PS</v>
      </c>
      <c r="T68" s="319" t="str">
        <f>VLOOKUP(H68,'Fund Utilization Report'!$A$4:$U$1800,2,FALSE)</f>
        <v>GAA</v>
      </c>
      <c r="U68" s="319" t="str">
        <f>VLOOKUP(H68,'Fund Utilization Report'!$A$4:$U$1800,3,FALSE)</f>
        <v>FY2021, RA11518</v>
      </c>
      <c r="V68" s="319" t="str">
        <f>VLOOKUP(H68,'Fund Utilization Report'!$A$4:$U$1800,4,FALSE)</f>
        <v>GAS(GMS)</v>
      </c>
      <c r="W68" s="319" t="str">
        <f>VLOOKUP(H68,'Fund Utilization Report'!$A$4:$U$1800,5,FALSE)</f>
        <v>01101101</v>
      </c>
      <c r="X68" s="319" t="str">
        <f>VLOOKUP(H68,'Fund Utilization Report'!$A$4:$U$1800,6,FALSE)</f>
        <v>GOP</v>
      </c>
      <c r="Y68" s="320" t="str">
        <f>VLOOKUP(H68,'Fund Utilization Report'!$A$4:$U$1800,7,FALSE)</f>
        <v>PS</v>
      </c>
      <c r="Z68" s="321">
        <f>VLOOKUP(H68,'Fund Utilization Report'!$A$4:$U$1800,8,FALSE)</f>
        <v>5010000000</v>
      </c>
      <c r="AA68" s="319" t="str">
        <f>VLOOKUP(H68,'Fund Utilization Report'!$A$4:$U$1800,14,FALSE)</f>
        <v>100000100001000</v>
      </c>
      <c r="AB68" s="349" t="str">
        <f>VLOOKUP(H68,'Fund Utilization Report'!$A$4:$U$1800,15,FALSE)</f>
        <v>General Administration and Supervision - General Management and Supervision</v>
      </c>
      <c r="AC68" s="37" t="s">
        <v>0</v>
      </c>
      <c r="AD68" s="38">
        <v>1</v>
      </c>
      <c r="AE68" s="39">
        <v>713</v>
      </c>
      <c r="AF68" s="51" t="str">
        <f>VLOOKUP(AE68,'[2]Chart of accounts'!A:H,2,FALSE)</f>
        <v>50102020 00</v>
      </c>
      <c r="AG68" s="53" t="s">
        <v>1</v>
      </c>
      <c r="AH68" s="53" t="s">
        <v>1</v>
      </c>
    </row>
    <row r="69" spans="1:34" s="32" customFormat="1">
      <c r="A69" s="338" t="s">
        <v>942</v>
      </c>
      <c r="B69" s="338" t="s">
        <v>943</v>
      </c>
      <c r="C69" s="350">
        <v>44209</v>
      </c>
      <c r="D69" s="351" t="s">
        <v>759</v>
      </c>
      <c r="E69" s="352" t="s">
        <v>11</v>
      </c>
      <c r="F69" s="338">
        <v>0.48749999999999999</v>
      </c>
      <c r="G69" s="338">
        <v>0.49236111111111108</v>
      </c>
      <c r="H69" s="338" t="s">
        <v>960</v>
      </c>
      <c r="I69" s="353">
        <v>714</v>
      </c>
      <c r="J69" s="338" t="str">
        <f>IFERROR(VLOOKUP(I69,'Chart of accounts'!A:H,2,FALSE),"")</f>
        <v>50102030 01</v>
      </c>
      <c r="K69" s="338" t="str">
        <f>IFERROR(VLOOKUP(I69,'Chart of accounts'!A:H,3,FALSE),"")</f>
        <v xml:space="preserve">Transportation Allowance  </v>
      </c>
      <c r="L69" s="338" t="str">
        <f>IFERROR(VLOOKUP(I69,'Chart of accounts'!A:H,4,FALSE),"")</f>
        <v>50102030 01 - Transportation Allowance   (714)</v>
      </c>
      <c r="M69" s="354" t="s">
        <v>2</v>
      </c>
      <c r="N69" s="355" t="s">
        <v>806</v>
      </c>
      <c r="O69" s="355" t="s">
        <v>760</v>
      </c>
      <c r="P69" s="355"/>
      <c r="Q69" s="319">
        <v>7500</v>
      </c>
      <c r="R69" s="319">
        <f t="shared" si="0"/>
        <v>-7500</v>
      </c>
      <c r="S69" s="319" t="str">
        <f>VLOOKUP(H69,'Fund Utilization Report'!$A$4:$U$1800,13,FALSE)</f>
        <v>PS</v>
      </c>
      <c r="T69" s="319" t="str">
        <f>VLOOKUP(H69,'Fund Utilization Report'!$A$4:$U$1800,2,FALSE)</f>
        <v>GAA</v>
      </c>
      <c r="U69" s="319" t="str">
        <f>VLOOKUP(H69,'Fund Utilization Report'!$A$4:$U$1800,3,FALSE)</f>
        <v>FY2021, RA11518</v>
      </c>
      <c r="V69" s="319" t="str">
        <f>VLOOKUP(H69,'Fund Utilization Report'!$A$4:$U$1800,4,FALSE)</f>
        <v>GAS(GMS)</v>
      </c>
      <c r="W69" s="319" t="str">
        <f>VLOOKUP(H69,'Fund Utilization Report'!$A$4:$U$1800,5,FALSE)</f>
        <v>01101101</v>
      </c>
      <c r="X69" s="319" t="str">
        <f>VLOOKUP(H69,'Fund Utilization Report'!$A$4:$U$1800,6,FALSE)</f>
        <v>GOP</v>
      </c>
      <c r="Y69" s="320" t="str">
        <f>VLOOKUP(H69,'Fund Utilization Report'!$A$4:$U$1800,7,FALSE)</f>
        <v>PS</v>
      </c>
      <c r="Z69" s="321">
        <f>VLOOKUP(H69,'Fund Utilization Report'!$A$4:$U$1800,8,FALSE)</f>
        <v>5010000000</v>
      </c>
      <c r="AA69" s="319" t="str">
        <f>VLOOKUP(H69,'Fund Utilization Report'!$A$4:$U$1800,14,FALSE)</f>
        <v>100000100001000</v>
      </c>
      <c r="AB69" s="349" t="str">
        <f>VLOOKUP(H69,'Fund Utilization Report'!$A$4:$U$1800,15,FALSE)</f>
        <v>General Administration and Supervision - General Management and Supervision</v>
      </c>
      <c r="AC69" s="37" t="s">
        <v>0</v>
      </c>
      <c r="AD69" s="38">
        <v>1</v>
      </c>
      <c r="AE69" s="39">
        <v>714</v>
      </c>
      <c r="AF69" s="51" t="str">
        <f>VLOOKUP(AE69,'[2]Chart of accounts'!A:H,2,FALSE)</f>
        <v>50102030 01</v>
      </c>
      <c r="AG69" s="53" t="s">
        <v>1</v>
      </c>
      <c r="AH69" s="53" t="s">
        <v>1</v>
      </c>
    </row>
    <row r="70" spans="1:34" s="32" customFormat="1" ht="29.25" customHeight="1">
      <c r="A70" s="338" t="s">
        <v>942</v>
      </c>
      <c r="B70" s="338" t="s">
        <v>943</v>
      </c>
      <c r="C70" s="350">
        <v>44209</v>
      </c>
      <c r="D70" s="351" t="s">
        <v>759</v>
      </c>
      <c r="E70" s="352" t="s">
        <v>8</v>
      </c>
      <c r="F70" s="338">
        <v>0.49236111111111108</v>
      </c>
      <c r="G70" s="338">
        <v>0.49305555555555558</v>
      </c>
      <c r="H70" s="338" t="s">
        <v>961</v>
      </c>
      <c r="I70" s="353">
        <v>883</v>
      </c>
      <c r="J70" s="338" t="str">
        <f>IFERROR(VLOOKUP(I70,'Chart of accounts'!A:H,2,FALSE),"")</f>
        <v>50210030 00</v>
      </c>
      <c r="K70" s="338" t="str">
        <f>IFERROR(VLOOKUP(I70,'Chart of accounts'!A:H,3,FALSE),"")</f>
        <v>Extraordinary and Miscellaneous Expense</v>
      </c>
      <c r="L70" s="338" t="str">
        <f>IFERROR(VLOOKUP(I70,'Chart of accounts'!A:H,4,FALSE),"")</f>
        <v>50210030 00 - Extraordinary and Miscellaneous Expense (883)</v>
      </c>
      <c r="M70" s="356" t="s">
        <v>2</v>
      </c>
      <c r="N70" s="355" t="s">
        <v>6</v>
      </c>
      <c r="O70" s="355" t="s">
        <v>761</v>
      </c>
      <c r="P70" s="355"/>
      <c r="Q70" s="319">
        <v>10000</v>
      </c>
      <c r="R70" s="319">
        <f t="shared" si="0"/>
        <v>-10000</v>
      </c>
      <c r="S70" s="319" t="str">
        <f>VLOOKUP(H70,'Fund Utilization Report'!$A$4:$U$1800,13,FALSE)</f>
        <v>MOOE</v>
      </c>
      <c r="T70" s="319" t="str">
        <f>VLOOKUP(H70,'Fund Utilization Report'!$A$4:$U$1800,2,FALSE)</f>
        <v>GAA</v>
      </c>
      <c r="U70" s="319" t="str">
        <f>VLOOKUP(H70,'Fund Utilization Report'!$A$4:$U$1800,3,FALSE)</f>
        <v>FY2021, RA11518</v>
      </c>
      <c r="V70" s="319" t="str">
        <f>VLOOKUP(H70,'Fund Utilization Report'!$A$4:$U$1800,4,FALSE)</f>
        <v>GAS(GMS)</v>
      </c>
      <c r="W70" s="319" t="str">
        <f>VLOOKUP(H70,'Fund Utilization Report'!$A$4:$U$1800,5,FALSE)</f>
        <v>01101101</v>
      </c>
      <c r="X70" s="319" t="str">
        <f>VLOOKUP(H70,'Fund Utilization Report'!$A$4:$U$1800,6,FALSE)</f>
        <v>GOP</v>
      </c>
      <c r="Y70" s="320" t="str">
        <f>VLOOKUP(H70,'Fund Utilization Report'!$A$4:$U$1800,7,FALSE)</f>
        <v>MOOE</v>
      </c>
      <c r="Z70" s="321">
        <f>VLOOKUP(H70,'Fund Utilization Report'!$A$4:$U$1800,8,FALSE)</f>
        <v>5020000000</v>
      </c>
      <c r="AA70" s="319" t="str">
        <f>VLOOKUP(H70,'Fund Utilization Report'!$A$4:$U$1800,14,FALSE)</f>
        <v>100000100001000</v>
      </c>
      <c r="AB70" s="349" t="str">
        <f>VLOOKUP(H70,'Fund Utilization Report'!$A$4:$U$1800,15,FALSE)</f>
        <v>General Administration and Supervision - General Management and Supervision</v>
      </c>
      <c r="AC70" s="37" t="s">
        <v>0</v>
      </c>
      <c r="AD70" s="38">
        <v>1</v>
      </c>
      <c r="AE70" s="39">
        <v>883</v>
      </c>
      <c r="AF70" s="51" t="str">
        <f>VLOOKUP(AE70,'[2]Chart of accounts'!A:H,2,FALSE)</f>
        <v>50210030 00</v>
      </c>
      <c r="AG70" s="53" t="s">
        <v>3</v>
      </c>
      <c r="AH70" s="53" t="s">
        <v>3</v>
      </c>
    </row>
    <row r="71" spans="1:34" s="32" customFormat="1" ht="27.6">
      <c r="A71" s="338" t="s">
        <v>942</v>
      </c>
      <c r="B71" s="338" t="s">
        <v>943</v>
      </c>
      <c r="C71" s="350">
        <v>44210</v>
      </c>
      <c r="D71" s="351" t="s">
        <v>759</v>
      </c>
      <c r="E71" s="352" t="s">
        <v>4</v>
      </c>
      <c r="F71" s="338">
        <v>0.57777777777777783</v>
      </c>
      <c r="G71" s="338">
        <v>0.58680555555555558</v>
      </c>
      <c r="H71" s="338" t="s">
        <v>960</v>
      </c>
      <c r="I71" s="353">
        <v>701</v>
      </c>
      <c r="J71" s="338" t="str">
        <f>IFERROR(VLOOKUP(I71,'Chart of accounts'!A:H,2,FALSE),"")</f>
        <v>50101010 01</v>
      </c>
      <c r="K71" s="338" t="str">
        <f>IFERROR(VLOOKUP(I71,'Chart of accounts'!A:H,3,FALSE),"")</f>
        <v>Basic Salary - Civilian</v>
      </c>
      <c r="L71" s="338" t="str">
        <f>IFERROR(VLOOKUP(I71,'Chart of accounts'!A:H,4,FALSE),"")</f>
        <v>50101010 01 - Basic Salary - Civilian (701)</v>
      </c>
      <c r="M71" s="356" t="s">
        <v>2</v>
      </c>
      <c r="N71" s="355" t="s">
        <v>10</v>
      </c>
      <c r="O71" s="355" t="s">
        <v>762</v>
      </c>
      <c r="P71" s="355"/>
      <c r="Q71" s="319">
        <v>1634515</v>
      </c>
      <c r="R71" s="319">
        <f t="shared" si="0"/>
        <v>-1634515</v>
      </c>
      <c r="S71" s="319" t="str">
        <f>VLOOKUP(H71,'Fund Utilization Report'!$A$4:$U$1800,13,FALSE)</f>
        <v>PS</v>
      </c>
      <c r="T71" s="319" t="str">
        <f>VLOOKUP(H71,'Fund Utilization Report'!$A$4:$U$1800,2,FALSE)</f>
        <v>GAA</v>
      </c>
      <c r="U71" s="319" t="str">
        <f>VLOOKUP(H71,'Fund Utilization Report'!$A$4:$U$1800,3,FALSE)</f>
        <v>FY2021, RA11518</v>
      </c>
      <c r="V71" s="319" t="str">
        <f>VLOOKUP(H71,'Fund Utilization Report'!$A$4:$U$1800,4,FALSE)</f>
        <v>GAS(GMS)</v>
      </c>
      <c r="W71" s="319" t="str">
        <f>VLOOKUP(H71,'Fund Utilization Report'!$A$4:$U$1800,5,FALSE)</f>
        <v>01101101</v>
      </c>
      <c r="X71" s="319" t="str">
        <f>VLOOKUP(H71,'Fund Utilization Report'!$A$4:$U$1800,6,FALSE)</f>
        <v>GOP</v>
      </c>
      <c r="Y71" s="320" t="str">
        <f>VLOOKUP(H71,'Fund Utilization Report'!$A$4:$U$1800,7,FALSE)</f>
        <v>PS</v>
      </c>
      <c r="Z71" s="321">
        <f>VLOOKUP(H71,'Fund Utilization Report'!$A$4:$U$1800,8,FALSE)</f>
        <v>5010000000</v>
      </c>
      <c r="AA71" s="319" t="str">
        <f>VLOOKUP(H71,'Fund Utilization Report'!$A$4:$U$1800,14,FALSE)</f>
        <v>100000100001000</v>
      </c>
      <c r="AB71" s="349" t="str">
        <f>VLOOKUP(H71,'Fund Utilization Report'!$A$4:$U$1800,15,FALSE)</f>
        <v>General Administration and Supervision - General Management and Supervision</v>
      </c>
      <c r="AC71" s="37" t="s">
        <v>0</v>
      </c>
      <c r="AD71" s="38">
        <v>1</v>
      </c>
      <c r="AE71" s="39">
        <v>701</v>
      </c>
      <c r="AF71" s="51" t="str">
        <f>VLOOKUP(AE71,'[2]Chart of accounts'!A:H,2,FALSE)</f>
        <v>50101010 01</v>
      </c>
      <c r="AG71" s="53" t="s">
        <v>1</v>
      </c>
      <c r="AH71" s="53" t="s">
        <v>1</v>
      </c>
    </row>
    <row r="72" spans="1:34" s="32" customFormat="1" ht="27.6">
      <c r="A72" s="338" t="s">
        <v>942</v>
      </c>
      <c r="B72" s="338" t="s">
        <v>943</v>
      </c>
      <c r="C72" s="350">
        <v>44210</v>
      </c>
      <c r="D72" s="351" t="s">
        <v>759</v>
      </c>
      <c r="E72" s="352" t="s">
        <v>4</v>
      </c>
      <c r="F72" s="338">
        <v>0.57777777777777783</v>
      </c>
      <c r="G72" s="338">
        <v>0.58680555555555558</v>
      </c>
      <c r="H72" s="338" t="s">
        <v>960</v>
      </c>
      <c r="I72" s="353">
        <v>711</v>
      </c>
      <c r="J72" s="338" t="str">
        <f>IFERROR(VLOOKUP(I72,'Chart of accounts'!A:H,2,FALSE),"")</f>
        <v>50102010 01</v>
      </c>
      <c r="K72" s="338" t="str">
        <f>IFERROR(VLOOKUP(I72,'Chart of accounts'!A:H,3,FALSE),"")</f>
        <v>PERA - Civilian</v>
      </c>
      <c r="L72" s="338" t="str">
        <f>IFERROR(VLOOKUP(I72,'Chart of accounts'!A:H,4,FALSE),"")</f>
        <v>50102010 01 - PERA - Civilian (711)</v>
      </c>
      <c r="M72" s="356" t="s">
        <v>2</v>
      </c>
      <c r="N72" s="355" t="s">
        <v>10</v>
      </c>
      <c r="O72" s="355" t="s">
        <v>762</v>
      </c>
      <c r="P72" s="355"/>
      <c r="Q72" s="319">
        <v>76000</v>
      </c>
      <c r="R72" s="319">
        <f t="shared" si="0"/>
        <v>-76000</v>
      </c>
      <c r="S72" s="319" t="str">
        <f>VLOOKUP(H72,'Fund Utilization Report'!$A$4:$U$1800,13,FALSE)</f>
        <v>PS</v>
      </c>
      <c r="T72" s="319" t="str">
        <f>VLOOKUP(H72,'Fund Utilization Report'!$A$4:$U$1800,2,FALSE)</f>
        <v>GAA</v>
      </c>
      <c r="U72" s="319" t="str">
        <f>VLOOKUP(H72,'Fund Utilization Report'!$A$4:$U$1800,3,FALSE)</f>
        <v>FY2021, RA11518</v>
      </c>
      <c r="V72" s="319" t="str">
        <f>VLOOKUP(H72,'Fund Utilization Report'!$A$4:$U$1800,4,FALSE)</f>
        <v>GAS(GMS)</v>
      </c>
      <c r="W72" s="319" t="str">
        <f>VLOOKUP(H72,'Fund Utilization Report'!$A$4:$U$1800,5,FALSE)</f>
        <v>01101101</v>
      </c>
      <c r="X72" s="319" t="str">
        <f>VLOOKUP(H72,'Fund Utilization Report'!$A$4:$U$1800,6,FALSE)</f>
        <v>GOP</v>
      </c>
      <c r="Y72" s="320" t="str">
        <f>VLOOKUP(H72,'Fund Utilization Report'!$A$4:$U$1800,7,FALSE)</f>
        <v>PS</v>
      </c>
      <c r="Z72" s="321">
        <f>VLOOKUP(H72,'Fund Utilization Report'!$A$4:$U$1800,8,FALSE)</f>
        <v>5010000000</v>
      </c>
      <c r="AA72" s="319" t="str">
        <f>VLOOKUP(H72,'Fund Utilization Report'!$A$4:$U$1800,14,FALSE)</f>
        <v>100000100001000</v>
      </c>
      <c r="AB72" s="349" t="str">
        <f>VLOOKUP(H72,'Fund Utilization Report'!$A$4:$U$1800,15,FALSE)</f>
        <v>General Administration and Supervision - General Management and Supervision</v>
      </c>
      <c r="AC72" s="37" t="s">
        <v>0</v>
      </c>
      <c r="AD72" s="38">
        <v>1</v>
      </c>
      <c r="AE72" s="39">
        <v>711</v>
      </c>
      <c r="AF72" s="51" t="str">
        <f>VLOOKUP(AE72,'[2]Chart of accounts'!A:H,2,FALSE)</f>
        <v>50102010 01</v>
      </c>
      <c r="AG72" s="53" t="s">
        <v>1</v>
      </c>
      <c r="AH72" s="53" t="s">
        <v>1</v>
      </c>
    </row>
    <row r="73" spans="1:34" s="32" customFormat="1" ht="27.6">
      <c r="A73" s="338" t="s">
        <v>942</v>
      </c>
      <c r="B73" s="338" t="s">
        <v>943</v>
      </c>
      <c r="C73" s="350">
        <v>44210</v>
      </c>
      <c r="D73" s="351" t="s">
        <v>759</v>
      </c>
      <c r="E73" s="352" t="s">
        <v>4</v>
      </c>
      <c r="F73" s="338">
        <v>0.57777777777777783</v>
      </c>
      <c r="G73" s="338">
        <v>0.58680555555555558</v>
      </c>
      <c r="H73" s="338" t="s">
        <v>962</v>
      </c>
      <c r="I73" s="353">
        <v>731</v>
      </c>
      <c r="J73" s="338" t="str">
        <f>IFERROR(VLOOKUP(I73,'Chart of accounts'!A:H,2,FALSE),"")</f>
        <v>50103010 00</v>
      </c>
      <c r="K73" s="338" t="str">
        <f>IFERROR(VLOOKUP(I73,'Chart of accounts'!A:H,3,FALSE),"")</f>
        <v>Retirement and Life Insurance Premiums</v>
      </c>
      <c r="L73" s="338" t="str">
        <f>IFERROR(VLOOKUP(I73,'Chart of accounts'!A:H,4,FALSE),"")</f>
        <v>50103010 00 - Retirement and Life Insurance Premiums (731)</v>
      </c>
      <c r="M73" s="356" t="s">
        <v>2</v>
      </c>
      <c r="N73" s="355" t="s">
        <v>10</v>
      </c>
      <c r="O73" s="355" t="s">
        <v>762</v>
      </c>
      <c r="P73" s="355"/>
      <c r="Q73" s="319">
        <v>196141.8</v>
      </c>
      <c r="R73" s="319">
        <f t="shared" si="0"/>
        <v>-196141.8</v>
      </c>
      <c r="S73" s="319" t="str">
        <f>VLOOKUP(H73,'Fund Utilization Report'!$A$4:$U$1800,13,FALSE)</f>
        <v>PS</v>
      </c>
      <c r="T73" s="319" t="str">
        <f>VLOOKUP(H73,'Fund Utilization Report'!$A$4:$U$1800,2,FALSE)</f>
        <v>GAA</v>
      </c>
      <c r="U73" s="319" t="str">
        <f>VLOOKUP(H73,'Fund Utilization Report'!$A$4:$U$1800,3,FALSE)</f>
        <v>FY2021, RA11518</v>
      </c>
      <c r="V73" s="319" t="str">
        <f>VLOOKUP(H73,'Fund Utilization Report'!$A$4:$U$1800,4,FALSE)</f>
        <v>GAS(GMS)</v>
      </c>
      <c r="W73" s="319" t="str">
        <f>VLOOKUP(H73,'Fund Utilization Report'!$A$4:$U$1800,5,FALSE)</f>
        <v>01101101</v>
      </c>
      <c r="X73" s="319" t="str">
        <f>VLOOKUP(H73,'Fund Utilization Report'!$A$4:$U$1800,6,FALSE)</f>
        <v>GOP</v>
      </c>
      <c r="Y73" s="320" t="str">
        <f>VLOOKUP(H73,'Fund Utilization Report'!$A$4:$U$1800,7,FALSE)</f>
        <v>RLIP</v>
      </c>
      <c r="Z73" s="321" t="str">
        <f>VLOOKUP(H73,'Fund Utilization Report'!$A$4:$U$1800,8,FALSE)</f>
        <v>50103010-00</v>
      </c>
      <c r="AA73" s="319" t="str">
        <f>VLOOKUP(H73,'Fund Utilization Report'!$A$4:$U$1800,14,FALSE)</f>
        <v>100000100001000</v>
      </c>
      <c r="AB73" s="349" t="str">
        <f>VLOOKUP(H73,'Fund Utilization Report'!$A$4:$U$1800,15,FALSE)</f>
        <v>General Administration and Supervision - General Management and Supervision</v>
      </c>
      <c r="AC73" s="37" t="s">
        <v>0</v>
      </c>
      <c r="AD73" s="38">
        <v>1</v>
      </c>
      <c r="AE73" s="39">
        <v>731</v>
      </c>
      <c r="AF73" s="51" t="str">
        <f>VLOOKUP(AE73,'[2]Chart of accounts'!A:H,2,FALSE)</f>
        <v>50103010 00</v>
      </c>
      <c r="AG73" s="53" t="s">
        <v>1</v>
      </c>
      <c r="AH73" s="53" t="s">
        <v>1</v>
      </c>
    </row>
    <row r="74" spans="1:34" s="75" customFormat="1" ht="27.6">
      <c r="A74" s="338" t="s">
        <v>942</v>
      </c>
      <c r="B74" s="338" t="s">
        <v>943</v>
      </c>
      <c r="C74" s="350">
        <v>44210</v>
      </c>
      <c r="D74" s="351" t="s">
        <v>759</v>
      </c>
      <c r="E74" s="352" t="s">
        <v>4</v>
      </c>
      <c r="F74" s="338">
        <v>0.57777777777777783</v>
      </c>
      <c r="G74" s="338">
        <v>0.58680555555555558</v>
      </c>
      <c r="H74" s="338" t="s">
        <v>960</v>
      </c>
      <c r="I74" s="353">
        <v>732</v>
      </c>
      <c r="J74" s="338" t="str">
        <f>IFERROR(VLOOKUP(I74,'Chart of accounts'!A:H,2,FALSE),"")</f>
        <v>50103020 01</v>
      </c>
      <c r="K74" s="338" t="str">
        <f>IFERROR(VLOOKUP(I74,'Chart of accounts'!A:H,3,FALSE),"")</f>
        <v>Pag-IBIG - Civilian</v>
      </c>
      <c r="L74" s="338" t="str">
        <f>IFERROR(VLOOKUP(I74,'Chart of accounts'!A:H,4,FALSE),"")</f>
        <v>50103020 01 - Pag-IBIG - Civilian (732)</v>
      </c>
      <c r="M74" s="356" t="s">
        <v>2</v>
      </c>
      <c r="N74" s="355" t="s">
        <v>10</v>
      </c>
      <c r="O74" s="355" t="s">
        <v>762</v>
      </c>
      <c r="P74" s="355"/>
      <c r="Q74" s="357">
        <v>3800</v>
      </c>
      <c r="R74" s="319">
        <f t="shared" si="0"/>
        <v>-3800</v>
      </c>
      <c r="S74" s="319" t="str">
        <f>VLOOKUP(H74,'Fund Utilization Report'!$A$4:$U$1800,13,FALSE)</f>
        <v>PS</v>
      </c>
      <c r="T74" s="319" t="str">
        <f>VLOOKUP(H74,'Fund Utilization Report'!$A$4:$U$1800,2,FALSE)</f>
        <v>GAA</v>
      </c>
      <c r="U74" s="319" t="str">
        <f>VLOOKUP(H74,'Fund Utilization Report'!$A$4:$U$1800,3,FALSE)</f>
        <v>FY2021, RA11518</v>
      </c>
      <c r="V74" s="319" t="str">
        <f>VLOOKUP(H74,'Fund Utilization Report'!$A$4:$U$1800,4,FALSE)</f>
        <v>GAS(GMS)</v>
      </c>
      <c r="W74" s="319" t="str">
        <f>VLOOKUP(H74,'Fund Utilization Report'!$A$4:$U$1800,5,FALSE)</f>
        <v>01101101</v>
      </c>
      <c r="X74" s="319" t="str">
        <f>VLOOKUP(H74,'Fund Utilization Report'!$A$4:$U$1800,6,FALSE)</f>
        <v>GOP</v>
      </c>
      <c r="Y74" s="320" t="str">
        <f>VLOOKUP(H74,'Fund Utilization Report'!$A$4:$U$1800,7,FALSE)</f>
        <v>PS</v>
      </c>
      <c r="Z74" s="321">
        <f>VLOOKUP(H74,'Fund Utilization Report'!$A$4:$U$1800,8,FALSE)</f>
        <v>5010000000</v>
      </c>
      <c r="AA74" s="319" t="str">
        <f>VLOOKUP(H74,'Fund Utilization Report'!$A$4:$U$1800,14,FALSE)</f>
        <v>100000100001000</v>
      </c>
      <c r="AB74" s="349" t="str">
        <f>VLOOKUP(H74,'Fund Utilization Report'!$A$4:$U$1800,15,FALSE)</f>
        <v>General Administration and Supervision - General Management and Supervision</v>
      </c>
      <c r="AC74" s="37" t="s">
        <v>0</v>
      </c>
      <c r="AD74" s="38">
        <v>1</v>
      </c>
      <c r="AE74" s="39">
        <v>732</v>
      </c>
      <c r="AF74" s="51" t="str">
        <f>VLOOKUP(AE74,'[2]Chart of accounts'!A:H,2,FALSE)</f>
        <v>50103020 01</v>
      </c>
      <c r="AG74" s="53" t="s">
        <v>1</v>
      </c>
      <c r="AH74" s="53" t="s">
        <v>1</v>
      </c>
    </row>
    <row r="75" spans="1:34" s="75" customFormat="1" ht="27.6">
      <c r="A75" s="338" t="s">
        <v>942</v>
      </c>
      <c r="B75" s="338" t="s">
        <v>943</v>
      </c>
      <c r="C75" s="350">
        <v>44210</v>
      </c>
      <c r="D75" s="351" t="s">
        <v>759</v>
      </c>
      <c r="E75" s="352" t="s">
        <v>4</v>
      </c>
      <c r="F75" s="338">
        <v>0.57777777777777783</v>
      </c>
      <c r="G75" s="338">
        <v>0.58680555555555558</v>
      </c>
      <c r="H75" s="338" t="s">
        <v>960</v>
      </c>
      <c r="I75" s="353">
        <v>733</v>
      </c>
      <c r="J75" s="338" t="str">
        <f>IFERROR(VLOOKUP(I75,'Chart of accounts'!A:H,2,FALSE),"")</f>
        <v>50103030 01</v>
      </c>
      <c r="K75" s="338" t="str">
        <f>IFERROR(VLOOKUP(I75,'Chart of accounts'!A:H,3,FALSE),"")</f>
        <v>PhilHealth - Civilian</v>
      </c>
      <c r="L75" s="338" t="str">
        <f>IFERROR(VLOOKUP(I75,'Chart of accounts'!A:H,4,FALSE),"")</f>
        <v>50103030 01 - PhilHealth - Civilian (733)</v>
      </c>
      <c r="M75" s="356" t="s">
        <v>2</v>
      </c>
      <c r="N75" s="355" t="s">
        <v>10</v>
      </c>
      <c r="O75" s="355" t="s">
        <v>762</v>
      </c>
      <c r="P75" s="355"/>
      <c r="Q75" s="319">
        <v>21044.43</v>
      </c>
      <c r="R75" s="319">
        <f t="shared" si="0"/>
        <v>-21044.43</v>
      </c>
      <c r="S75" s="319" t="str">
        <f>VLOOKUP(H75,'Fund Utilization Report'!$A$4:$U$1800,13,FALSE)</f>
        <v>PS</v>
      </c>
      <c r="T75" s="319" t="str">
        <f>VLOOKUP(H75,'Fund Utilization Report'!$A$4:$U$1800,2,FALSE)</f>
        <v>GAA</v>
      </c>
      <c r="U75" s="319" t="str">
        <f>VLOOKUP(H75,'Fund Utilization Report'!$A$4:$U$1800,3,FALSE)</f>
        <v>FY2021, RA11518</v>
      </c>
      <c r="V75" s="319" t="str">
        <f>VLOOKUP(H75,'Fund Utilization Report'!$A$4:$U$1800,4,FALSE)</f>
        <v>GAS(GMS)</v>
      </c>
      <c r="W75" s="319" t="str">
        <f>VLOOKUP(H75,'Fund Utilization Report'!$A$4:$U$1800,5,FALSE)</f>
        <v>01101101</v>
      </c>
      <c r="X75" s="319" t="str">
        <f>VLOOKUP(H75,'Fund Utilization Report'!$A$4:$U$1800,6,FALSE)</f>
        <v>GOP</v>
      </c>
      <c r="Y75" s="320" t="str">
        <f>VLOOKUP(H75,'Fund Utilization Report'!$A$4:$U$1800,7,FALSE)</f>
        <v>PS</v>
      </c>
      <c r="Z75" s="321">
        <f>VLOOKUP(H75,'Fund Utilization Report'!$A$4:$U$1800,8,FALSE)</f>
        <v>5010000000</v>
      </c>
      <c r="AA75" s="319" t="str">
        <f>VLOOKUP(H75,'Fund Utilization Report'!$A$4:$U$1800,14,FALSE)</f>
        <v>100000100001000</v>
      </c>
      <c r="AB75" s="349" t="str">
        <f>VLOOKUP(H75,'Fund Utilization Report'!$A$4:$U$1800,15,FALSE)</f>
        <v>General Administration and Supervision - General Management and Supervision</v>
      </c>
      <c r="AC75" s="37" t="s">
        <v>0</v>
      </c>
      <c r="AD75" s="38">
        <v>1</v>
      </c>
      <c r="AE75" s="55">
        <v>733</v>
      </c>
      <c r="AF75" s="51" t="str">
        <f>VLOOKUP(AE75,'[2]Chart of accounts'!A:H,2,FALSE)</f>
        <v>50103030 01</v>
      </c>
      <c r="AG75" s="53" t="s">
        <v>1</v>
      </c>
      <c r="AH75" s="53" t="s">
        <v>1</v>
      </c>
    </row>
    <row r="76" spans="1:34" s="75" customFormat="1" ht="27.6">
      <c r="A76" s="338" t="s">
        <v>942</v>
      </c>
      <c r="B76" s="338" t="s">
        <v>943</v>
      </c>
      <c r="C76" s="350">
        <v>44210</v>
      </c>
      <c r="D76" s="351" t="s">
        <v>759</v>
      </c>
      <c r="E76" s="352" t="s">
        <v>4</v>
      </c>
      <c r="F76" s="338">
        <v>0.57777777777777783</v>
      </c>
      <c r="G76" s="338">
        <v>0.58680555555555558</v>
      </c>
      <c r="H76" s="338" t="s">
        <v>960</v>
      </c>
      <c r="I76" s="353">
        <v>734</v>
      </c>
      <c r="J76" s="338" t="str">
        <f>IFERROR(VLOOKUP(I76,'Chart of accounts'!A:H,2,FALSE),"")</f>
        <v>50103040 01</v>
      </c>
      <c r="K76" s="338" t="str">
        <f>IFERROR(VLOOKUP(I76,'Chart of accounts'!A:H,3,FALSE),"")</f>
        <v>ECIP - Civilian</v>
      </c>
      <c r="L76" s="338" t="str">
        <f>IFERROR(VLOOKUP(I76,'Chart of accounts'!A:H,4,FALSE),"")</f>
        <v>50103040 01 - ECIP - Civilian (734)</v>
      </c>
      <c r="M76" s="356" t="s">
        <v>2</v>
      </c>
      <c r="N76" s="355" t="s">
        <v>10</v>
      </c>
      <c r="O76" s="355" t="s">
        <v>762</v>
      </c>
      <c r="P76" s="355"/>
      <c r="Q76" s="319">
        <v>3800</v>
      </c>
      <c r="R76" s="319">
        <f t="shared" si="0"/>
        <v>-3800</v>
      </c>
      <c r="S76" s="319" t="str">
        <f>VLOOKUP(H76,'Fund Utilization Report'!$A$4:$U$1800,13,FALSE)</f>
        <v>PS</v>
      </c>
      <c r="T76" s="319" t="str">
        <f>VLOOKUP(H76,'Fund Utilization Report'!$A$4:$U$1800,2,FALSE)</f>
        <v>GAA</v>
      </c>
      <c r="U76" s="319" t="str">
        <f>VLOOKUP(H76,'Fund Utilization Report'!$A$4:$U$1800,3,FALSE)</f>
        <v>FY2021, RA11518</v>
      </c>
      <c r="V76" s="319" t="str">
        <f>VLOOKUP(H76,'Fund Utilization Report'!$A$4:$U$1800,4,FALSE)</f>
        <v>GAS(GMS)</v>
      </c>
      <c r="W76" s="319" t="str">
        <f>VLOOKUP(H76,'Fund Utilization Report'!$A$4:$U$1800,5,FALSE)</f>
        <v>01101101</v>
      </c>
      <c r="X76" s="319" t="str">
        <f>VLOOKUP(H76,'Fund Utilization Report'!$A$4:$U$1800,6,FALSE)</f>
        <v>GOP</v>
      </c>
      <c r="Y76" s="320" t="str">
        <f>VLOOKUP(H76,'Fund Utilization Report'!$A$4:$U$1800,7,FALSE)</f>
        <v>PS</v>
      </c>
      <c r="Z76" s="321">
        <f>VLOOKUP(H76,'Fund Utilization Report'!$A$4:$U$1800,8,FALSE)</f>
        <v>5010000000</v>
      </c>
      <c r="AA76" s="319" t="str">
        <f>VLOOKUP(H76,'Fund Utilization Report'!$A$4:$U$1800,14,FALSE)</f>
        <v>100000100001000</v>
      </c>
      <c r="AB76" s="349" t="str">
        <f>VLOOKUP(H76,'Fund Utilization Report'!$A$4:$U$1800,15,FALSE)</f>
        <v>General Administration and Supervision - General Management and Supervision</v>
      </c>
      <c r="AC76" s="37" t="s">
        <v>0</v>
      </c>
      <c r="AD76" s="38">
        <v>1</v>
      </c>
      <c r="AE76" s="55">
        <v>734</v>
      </c>
      <c r="AF76" s="51" t="str">
        <f>VLOOKUP(AE76,'[2]Chart of accounts'!A:H,2,FALSE)</f>
        <v>50103040 01</v>
      </c>
      <c r="AG76" s="53" t="s">
        <v>1</v>
      </c>
      <c r="AH76" s="53" t="s">
        <v>1</v>
      </c>
    </row>
    <row r="77" spans="1:34" s="75" customFormat="1" ht="27.6">
      <c r="A77" s="338" t="s">
        <v>942</v>
      </c>
      <c r="B77" s="338" t="s">
        <v>943</v>
      </c>
      <c r="C77" s="358">
        <v>44211</v>
      </c>
      <c r="D77" s="351" t="s">
        <v>759</v>
      </c>
      <c r="E77" s="352" t="s">
        <v>763</v>
      </c>
      <c r="F77" s="359">
        <v>0.59097222222222223</v>
      </c>
      <c r="G77" s="359">
        <v>0.59513888888888888</v>
      </c>
      <c r="H77" s="359" t="s">
        <v>964</v>
      </c>
      <c r="I77" s="321">
        <v>701</v>
      </c>
      <c r="J77" s="338" t="str">
        <f>IFERROR(VLOOKUP(I77,'Chart of accounts'!A:H,2,FALSE),"")</f>
        <v>50101010 01</v>
      </c>
      <c r="K77" s="338" t="str">
        <f>IFERROR(VLOOKUP(I77,'Chart of accounts'!A:H,3,FALSE),"")</f>
        <v>Basic Salary - Civilian</v>
      </c>
      <c r="L77" s="338" t="str">
        <f>IFERROR(VLOOKUP(I77,'Chart of accounts'!A:H,4,FALSE),"")</f>
        <v>50101010 01 - Basic Salary - Civilian (701)</v>
      </c>
      <c r="M77" s="356" t="s">
        <v>769</v>
      </c>
      <c r="N77" s="357" t="s">
        <v>764</v>
      </c>
      <c r="O77" s="355" t="s">
        <v>762</v>
      </c>
      <c r="P77" s="355"/>
      <c r="Q77" s="319">
        <v>377575</v>
      </c>
      <c r="R77" s="319">
        <f t="shared" si="0"/>
        <v>-377575</v>
      </c>
      <c r="S77" s="319" t="str">
        <f>VLOOKUP(H77,'Fund Utilization Report'!$A$4:$U$1800,13,FALSE)</f>
        <v>PS</v>
      </c>
      <c r="T77" s="319" t="str">
        <f>VLOOKUP(H77,'Fund Utilization Report'!$A$4:$U$1800,2,FALSE)</f>
        <v>GAA</v>
      </c>
      <c r="U77" s="319" t="str">
        <f>VLOOKUP(H77,'Fund Utilization Report'!$A$4:$U$1800,3,FALSE)</f>
        <v>FY2021, RA11518</v>
      </c>
      <c r="V77" s="319" t="str">
        <f>VLOOKUP(H77,'Fund Utilization Report'!$A$4:$U$1800,4,FALSE)</f>
        <v>OO1</v>
      </c>
      <c r="W77" s="319" t="str">
        <f>VLOOKUP(H77,'Fund Utilization Report'!$A$4:$U$1800,5,FALSE)</f>
        <v>01101101</v>
      </c>
      <c r="X77" s="319" t="str">
        <f>VLOOKUP(H77,'Fund Utilization Report'!$A$4:$U$1800,6,FALSE)</f>
        <v>GOP</v>
      </c>
      <c r="Y77" s="320" t="str">
        <f>VLOOKUP(H77,'Fund Utilization Report'!$A$4:$U$1800,7,FALSE)</f>
        <v>PS</v>
      </c>
      <c r="Z77" s="321">
        <f>VLOOKUP(H77,'Fund Utilization Report'!$A$4:$U$1800,8,FALSE)</f>
        <v>5010000000</v>
      </c>
      <c r="AA77" s="319" t="str">
        <f>VLOOKUP(H77,'Fund Utilization Report'!$A$4:$U$1800,14,FALSE)</f>
        <v>310100100002000</v>
      </c>
      <c r="AB77" s="349" t="str">
        <f>VLOOKUP(H77,'Fund Utilization Report'!$A$4:$U$1800,15,FALSE)</f>
        <v>Development,Facilitation, and promotion of exports and investment, domestic and foreign</v>
      </c>
      <c r="AC77" s="55" t="s">
        <v>0</v>
      </c>
      <c r="AD77" s="38">
        <v>1</v>
      </c>
      <c r="AE77" s="39">
        <v>701</v>
      </c>
      <c r="AF77" s="51" t="str">
        <f>VLOOKUP(AE77,'[2]Chart of accounts'!A:H,2,FALSE)</f>
        <v>50101010 01</v>
      </c>
      <c r="AG77" s="53" t="s">
        <v>1</v>
      </c>
      <c r="AH77" s="53" t="s">
        <v>1</v>
      </c>
    </row>
    <row r="78" spans="1:34" s="32" customFormat="1" ht="27.6">
      <c r="A78" s="338" t="s">
        <v>942</v>
      </c>
      <c r="B78" s="338" t="s">
        <v>943</v>
      </c>
      <c r="C78" s="358">
        <v>44211</v>
      </c>
      <c r="D78" s="351" t="s">
        <v>759</v>
      </c>
      <c r="E78" s="352" t="s">
        <v>763</v>
      </c>
      <c r="F78" s="359">
        <v>0.59097222222222223</v>
      </c>
      <c r="G78" s="359">
        <v>0.59513888888888888</v>
      </c>
      <c r="H78" s="359" t="s">
        <v>964</v>
      </c>
      <c r="I78" s="321">
        <v>711</v>
      </c>
      <c r="J78" s="338" t="str">
        <f>IFERROR(VLOOKUP(I78,'Chart of accounts'!A:H,2,FALSE),"")</f>
        <v>50102010 01</v>
      </c>
      <c r="K78" s="338" t="str">
        <f>IFERROR(VLOOKUP(I78,'Chart of accounts'!A:H,3,FALSE),"")</f>
        <v>PERA - Civilian</v>
      </c>
      <c r="L78" s="338" t="str">
        <f>IFERROR(VLOOKUP(I78,'Chart of accounts'!A:H,4,FALSE),"")</f>
        <v>50102010 01 - PERA - Civilian (711)</v>
      </c>
      <c r="M78" s="356" t="s">
        <v>769</v>
      </c>
      <c r="N78" s="357" t="s">
        <v>764</v>
      </c>
      <c r="O78" s="355" t="s">
        <v>762</v>
      </c>
      <c r="P78" s="355"/>
      <c r="Q78" s="319">
        <v>22000</v>
      </c>
      <c r="R78" s="319">
        <f t="shared" si="0"/>
        <v>-22000</v>
      </c>
      <c r="S78" s="319" t="str">
        <f>VLOOKUP(H78,'Fund Utilization Report'!$A$4:$U$1800,13,FALSE)</f>
        <v>PS</v>
      </c>
      <c r="T78" s="319" t="str">
        <f>VLOOKUP(H78,'Fund Utilization Report'!$A$4:$U$1800,2,FALSE)</f>
        <v>GAA</v>
      </c>
      <c r="U78" s="319" t="str">
        <f>VLOOKUP(H78,'Fund Utilization Report'!$A$4:$U$1800,3,FALSE)</f>
        <v>FY2021, RA11518</v>
      </c>
      <c r="V78" s="319" t="str">
        <f>VLOOKUP(H78,'Fund Utilization Report'!$A$4:$U$1800,4,FALSE)</f>
        <v>OO1</v>
      </c>
      <c r="W78" s="319" t="str">
        <f>VLOOKUP(H78,'Fund Utilization Report'!$A$4:$U$1800,5,FALSE)</f>
        <v>01101101</v>
      </c>
      <c r="X78" s="319" t="str">
        <f>VLOOKUP(H78,'Fund Utilization Report'!$A$4:$U$1800,6,FALSE)</f>
        <v>GOP</v>
      </c>
      <c r="Y78" s="320" t="str">
        <f>VLOOKUP(H78,'Fund Utilization Report'!$A$4:$U$1800,7,FALSE)</f>
        <v>PS</v>
      </c>
      <c r="Z78" s="321">
        <f>VLOOKUP(H78,'Fund Utilization Report'!$A$4:$U$1800,8,FALSE)</f>
        <v>5010000000</v>
      </c>
      <c r="AA78" s="319" t="str">
        <f>VLOOKUP(H78,'Fund Utilization Report'!$A$4:$U$1800,14,FALSE)</f>
        <v>310100100002000</v>
      </c>
      <c r="AB78" s="349" t="str">
        <f>VLOOKUP(H78,'Fund Utilization Report'!$A$4:$U$1800,15,FALSE)</f>
        <v>Development,Facilitation, and promotion of exports and investment, domestic and foreign</v>
      </c>
      <c r="AC78" s="55" t="s">
        <v>0</v>
      </c>
      <c r="AD78" s="38">
        <v>1</v>
      </c>
      <c r="AE78" s="39">
        <v>711</v>
      </c>
      <c r="AF78" s="51" t="str">
        <f>VLOOKUP(AE78,'[2]Chart of accounts'!A:H,2,FALSE)</f>
        <v>50102010 01</v>
      </c>
      <c r="AG78" s="53" t="s">
        <v>1</v>
      </c>
      <c r="AH78" s="53" t="s">
        <v>1</v>
      </c>
    </row>
    <row r="79" spans="1:34" s="32" customFormat="1" ht="27.6">
      <c r="A79" s="338" t="s">
        <v>942</v>
      </c>
      <c r="B79" s="338" t="s">
        <v>943</v>
      </c>
      <c r="C79" s="358">
        <v>44211</v>
      </c>
      <c r="D79" s="351" t="s">
        <v>759</v>
      </c>
      <c r="E79" s="352" t="s">
        <v>763</v>
      </c>
      <c r="F79" s="359">
        <v>0.59097222222222223</v>
      </c>
      <c r="G79" s="359">
        <v>0.59513888888888888</v>
      </c>
      <c r="H79" s="359" t="s">
        <v>966</v>
      </c>
      <c r="I79" s="321">
        <v>731</v>
      </c>
      <c r="J79" s="338" t="str">
        <f>IFERROR(VLOOKUP(I79,'Chart of accounts'!A:H,2,FALSE),"")</f>
        <v>50103010 00</v>
      </c>
      <c r="K79" s="338" t="str">
        <f>IFERROR(VLOOKUP(I79,'Chart of accounts'!A:H,3,FALSE),"")</f>
        <v>Retirement and Life Insurance Premiums</v>
      </c>
      <c r="L79" s="338" t="str">
        <f>IFERROR(VLOOKUP(I79,'Chart of accounts'!A:H,4,FALSE),"")</f>
        <v>50103010 00 - Retirement and Life Insurance Premiums (731)</v>
      </c>
      <c r="M79" s="356" t="s">
        <v>769</v>
      </c>
      <c r="N79" s="357" t="s">
        <v>764</v>
      </c>
      <c r="O79" s="355" t="s">
        <v>762</v>
      </c>
      <c r="P79" s="355"/>
      <c r="Q79" s="319">
        <v>45309</v>
      </c>
      <c r="R79" s="319">
        <f t="shared" si="0"/>
        <v>-45309</v>
      </c>
      <c r="S79" s="319" t="str">
        <f>VLOOKUP(H79,'Fund Utilization Report'!$A$4:$U$1800,13,FALSE)</f>
        <v>PS</v>
      </c>
      <c r="T79" s="319" t="str">
        <f>VLOOKUP(H79,'Fund Utilization Report'!$A$4:$U$1800,2,FALSE)</f>
        <v>GAA</v>
      </c>
      <c r="U79" s="319" t="str">
        <f>VLOOKUP(H79,'Fund Utilization Report'!$A$4:$U$1800,3,FALSE)</f>
        <v>FY2021, RA11518</v>
      </c>
      <c r="V79" s="319" t="str">
        <f>VLOOKUP(H79,'Fund Utilization Report'!$A$4:$U$1800,4,FALSE)</f>
        <v>OO1</v>
      </c>
      <c r="W79" s="319" t="str">
        <f>VLOOKUP(H79,'Fund Utilization Report'!$A$4:$U$1800,5,FALSE)</f>
        <v>01101101</v>
      </c>
      <c r="X79" s="319" t="str">
        <f>VLOOKUP(H79,'Fund Utilization Report'!$A$4:$U$1800,6,FALSE)</f>
        <v>GOP</v>
      </c>
      <c r="Y79" s="320" t="str">
        <f>VLOOKUP(H79,'Fund Utilization Report'!$A$4:$U$1800,7,FALSE)</f>
        <v>RLIP</v>
      </c>
      <c r="Z79" s="321" t="str">
        <f>VLOOKUP(H79,'Fund Utilization Report'!$A$4:$U$1800,8,FALSE)</f>
        <v>50103010-00</v>
      </c>
      <c r="AA79" s="319" t="str">
        <f>VLOOKUP(H79,'Fund Utilization Report'!$A$4:$U$1800,14,FALSE)</f>
        <v>310100100002000</v>
      </c>
      <c r="AB79" s="349" t="str">
        <f>VLOOKUP(H79,'Fund Utilization Report'!$A$4:$U$1800,15,FALSE)</f>
        <v>Development,Facilitation, and promotion of exports and investment, domestic and foreign</v>
      </c>
      <c r="AC79" s="55" t="s">
        <v>0</v>
      </c>
      <c r="AD79" s="38">
        <v>1</v>
      </c>
      <c r="AE79" s="39">
        <v>731</v>
      </c>
      <c r="AF79" s="51" t="str">
        <f>VLOOKUP(AE79,'[2]Chart of accounts'!A:H,2,FALSE)</f>
        <v>50103010 00</v>
      </c>
      <c r="AG79" s="53" t="s">
        <v>1</v>
      </c>
      <c r="AH79" s="53" t="s">
        <v>1</v>
      </c>
    </row>
    <row r="80" spans="1:34" s="32" customFormat="1" ht="27.6">
      <c r="A80" s="338" t="s">
        <v>942</v>
      </c>
      <c r="B80" s="338" t="s">
        <v>943</v>
      </c>
      <c r="C80" s="358">
        <v>44211</v>
      </c>
      <c r="D80" s="351" t="s">
        <v>759</v>
      </c>
      <c r="E80" s="352" t="s">
        <v>763</v>
      </c>
      <c r="F80" s="359">
        <v>0.59097222222222223</v>
      </c>
      <c r="G80" s="359">
        <v>0.59513888888888888</v>
      </c>
      <c r="H80" s="359" t="s">
        <v>964</v>
      </c>
      <c r="I80" s="321">
        <v>732</v>
      </c>
      <c r="J80" s="338" t="str">
        <f>IFERROR(VLOOKUP(I80,'Chart of accounts'!A:H,2,FALSE),"")</f>
        <v>50103020 01</v>
      </c>
      <c r="K80" s="338" t="str">
        <f>IFERROR(VLOOKUP(I80,'Chart of accounts'!A:H,3,FALSE),"")</f>
        <v>Pag-IBIG - Civilian</v>
      </c>
      <c r="L80" s="338" t="str">
        <f>IFERROR(VLOOKUP(I80,'Chart of accounts'!A:H,4,FALSE),"")</f>
        <v>50103020 01 - Pag-IBIG - Civilian (732)</v>
      </c>
      <c r="M80" s="356" t="s">
        <v>769</v>
      </c>
      <c r="N80" s="357" t="s">
        <v>764</v>
      </c>
      <c r="O80" s="355" t="s">
        <v>762</v>
      </c>
      <c r="P80" s="355"/>
      <c r="Q80" s="319">
        <v>1100</v>
      </c>
      <c r="R80" s="319">
        <f t="shared" si="0"/>
        <v>-1100</v>
      </c>
      <c r="S80" s="319" t="str">
        <f>VLOOKUP(H80,'Fund Utilization Report'!$A$4:$U$1800,13,FALSE)</f>
        <v>PS</v>
      </c>
      <c r="T80" s="319" t="str">
        <f>VLOOKUP(H80,'Fund Utilization Report'!$A$4:$U$1800,2,FALSE)</f>
        <v>GAA</v>
      </c>
      <c r="U80" s="319" t="str">
        <f>VLOOKUP(H80,'Fund Utilization Report'!$A$4:$U$1800,3,FALSE)</f>
        <v>FY2021, RA11518</v>
      </c>
      <c r="V80" s="319" t="str">
        <f>VLOOKUP(H80,'Fund Utilization Report'!$A$4:$U$1800,4,FALSE)</f>
        <v>OO1</v>
      </c>
      <c r="W80" s="319" t="str">
        <f>VLOOKUP(H80,'Fund Utilization Report'!$A$4:$U$1800,5,FALSE)</f>
        <v>01101101</v>
      </c>
      <c r="X80" s="319" t="str">
        <f>VLOOKUP(H80,'Fund Utilization Report'!$A$4:$U$1800,6,FALSE)</f>
        <v>GOP</v>
      </c>
      <c r="Y80" s="320" t="str">
        <f>VLOOKUP(H80,'Fund Utilization Report'!$A$4:$U$1800,7,FALSE)</f>
        <v>PS</v>
      </c>
      <c r="Z80" s="321">
        <f>VLOOKUP(H80,'Fund Utilization Report'!$A$4:$U$1800,8,FALSE)</f>
        <v>5010000000</v>
      </c>
      <c r="AA80" s="319" t="str">
        <f>VLOOKUP(H80,'Fund Utilization Report'!$A$4:$U$1800,14,FALSE)</f>
        <v>310100100002000</v>
      </c>
      <c r="AB80" s="349" t="str">
        <f>VLOOKUP(H80,'Fund Utilization Report'!$A$4:$U$1800,15,FALSE)</f>
        <v>Development,Facilitation, and promotion of exports and investment, domestic and foreign</v>
      </c>
      <c r="AC80" s="55" t="s">
        <v>0</v>
      </c>
      <c r="AD80" s="38">
        <v>1</v>
      </c>
      <c r="AE80" s="39">
        <v>732</v>
      </c>
      <c r="AF80" s="51" t="str">
        <f>VLOOKUP(AE80,'[2]Chart of accounts'!A:H,2,FALSE)</f>
        <v>50103020 01</v>
      </c>
      <c r="AG80" s="53" t="s">
        <v>1</v>
      </c>
      <c r="AH80" s="53" t="s">
        <v>1</v>
      </c>
    </row>
    <row r="81" spans="1:34" s="32" customFormat="1" ht="27.6">
      <c r="A81" s="338" t="s">
        <v>942</v>
      </c>
      <c r="B81" s="338" t="s">
        <v>943</v>
      </c>
      <c r="C81" s="358">
        <v>44211</v>
      </c>
      <c r="D81" s="351" t="s">
        <v>759</v>
      </c>
      <c r="E81" s="352" t="s">
        <v>763</v>
      </c>
      <c r="F81" s="359">
        <v>0.59097222222222223</v>
      </c>
      <c r="G81" s="359">
        <v>0.59513888888888888</v>
      </c>
      <c r="H81" s="359" t="s">
        <v>964</v>
      </c>
      <c r="I81" s="321">
        <v>733</v>
      </c>
      <c r="J81" s="338" t="str">
        <f>IFERROR(VLOOKUP(I81,'Chart of accounts'!A:H,2,FALSE),"")</f>
        <v>50103030 01</v>
      </c>
      <c r="K81" s="338" t="str">
        <f>IFERROR(VLOOKUP(I81,'Chart of accounts'!A:H,3,FALSE),"")</f>
        <v>PhilHealth - Civilian</v>
      </c>
      <c r="L81" s="338" t="str">
        <f>IFERROR(VLOOKUP(I81,'Chart of accounts'!A:H,4,FALSE),"")</f>
        <v>50103030 01 - PhilHealth - Civilian (733)</v>
      </c>
      <c r="M81" s="356" t="s">
        <v>769</v>
      </c>
      <c r="N81" s="357" t="s">
        <v>764</v>
      </c>
      <c r="O81" s="355" t="s">
        <v>762</v>
      </c>
      <c r="P81" s="355"/>
      <c r="Q81" s="319">
        <v>5560.64</v>
      </c>
      <c r="R81" s="319">
        <f t="shared" si="0"/>
        <v>-5560.64</v>
      </c>
      <c r="S81" s="319" t="str">
        <f>VLOOKUP(H81,'Fund Utilization Report'!$A$4:$U$1800,13,FALSE)</f>
        <v>PS</v>
      </c>
      <c r="T81" s="319" t="str">
        <f>VLOOKUP(H81,'Fund Utilization Report'!$A$4:$U$1800,2,FALSE)</f>
        <v>GAA</v>
      </c>
      <c r="U81" s="319" t="str">
        <f>VLOOKUP(H81,'Fund Utilization Report'!$A$4:$U$1800,3,FALSE)</f>
        <v>FY2021, RA11518</v>
      </c>
      <c r="V81" s="319" t="str">
        <f>VLOOKUP(H81,'Fund Utilization Report'!$A$4:$U$1800,4,FALSE)</f>
        <v>OO1</v>
      </c>
      <c r="W81" s="319" t="str">
        <f>VLOOKUP(H81,'Fund Utilization Report'!$A$4:$U$1800,5,FALSE)</f>
        <v>01101101</v>
      </c>
      <c r="X81" s="319" t="str">
        <f>VLOOKUP(H81,'Fund Utilization Report'!$A$4:$U$1800,6,FALSE)</f>
        <v>GOP</v>
      </c>
      <c r="Y81" s="320" t="str">
        <f>VLOOKUP(H81,'Fund Utilization Report'!$A$4:$U$1800,7,FALSE)</f>
        <v>PS</v>
      </c>
      <c r="Z81" s="321">
        <f>VLOOKUP(H81,'Fund Utilization Report'!$A$4:$U$1800,8,FALSE)</f>
        <v>5010000000</v>
      </c>
      <c r="AA81" s="319" t="str">
        <f>VLOOKUP(H81,'Fund Utilization Report'!$A$4:$U$1800,14,FALSE)</f>
        <v>310100100002000</v>
      </c>
      <c r="AB81" s="349" t="str">
        <f>VLOOKUP(H81,'Fund Utilization Report'!$A$4:$U$1800,15,FALSE)</f>
        <v>Development,Facilitation, and promotion of exports and investment, domestic and foreign</v>
      </c>
      <c r="AC81" s="55" t="s">
        <v>0</v>
      </c>
      <c r="AD81" s="38">
        <v>1</v>
      </c>
      <c r="AE81" s="55">
        <v>733</v>
      </c>
      <c r="AF81" s="51" t="str">
        <f>VLOOKUP(AE81,'[2]Chart of accounts'!A:H,2,FALSE)</f>
        <v>50103030 01</v>
      </c>
      <c r="AG81" s="53" t="s">
        <v>1</v>
      </c>
      <c r="AH81" s="53" t="s">
        <v>1</v>
      </c>
    </row>
    <row r="82" spans="1:34" s="32" customFormat="1" ht="27.6">
      <c r="A82" s="338" t="s">
        <v>942</v>
      </c>
      <c r="B82" s="338" t="s">
        <v>943</v>
      </c>
      <c r="C82" s="358">
        <v>44211</v>
      </c>
      <c r="D82" s="351" t="s">
        <v>759</v>
      </c>
      <c r="E82" s="352" t="s">
        <v>763</v>
      </c>
      <c r="F82" s="359">
        <v>0.59097222222222223</v>
      </c>
      <c r="G82" s="359">
        <v>0.59513888888888888</v>
      </c>
      <c r="H82" s="359" t="s">
        <v>964</v>
      </c>
      <c r="I82" s="321">
        <v>734</v>
      </c>
      <c r="J82" s="338" t="str">
        <f>IFERROR(VLOOKUP(I82,'Chart of accounts'!A:H,2,FALSE),"")</f>
        <v>50103040 01</v>
      </c>
      <c r="K82" s="338" t="str">
        <f>IFERROR(VLOOKUP(I82,'Chart of accounts'!A:H,3,FALSE),"")</f>
        <v>ECIP - Civilian</v>
      </c>
      <c r="L82" s="338" t="str">
        <f>IFERROR(VLOOKUP(I82,'Chart of accounts'!A:H,4,FALSE),"")</f>
        <v>50103040 01 - ECIP - Civilian (734)</v>
      </c>
      <c r="M82" s="356" t="s">
        <v>769</v>
      </c>
      <c r="N82" s="357" t="s">
        <v>764</v>
      </c>
      <c r="O82" s="355" t="s">
        <v>762</v>
      </c>
      <c r="P82" s="355"/>
      <c r="Q82" s="319">
        <v>1100</v>
      </c>
      <c r="R82" s="319">
        <f t="shared" si="0"/>
        <v>-1100</v>
      </c>
      <c r="S82" s="319" t="str">
        <f>VLOOKUP(H82,'Fund Utilization Report'!$A$4:$U$1800,13,FALSE)</f>
        <v>PS</v>
      </c>
      <c r="T82" s="319" t="str">
        <f>VLOOKUP(H82,'Fund Utilization Report'!$A$4:$U$1800,2,FALSE)</f>
        <v>GAA</v>
      </c>
      <c r="U82" s="319" t="str">
        <f>VLOOKUP(H82,'Fund Utilization Report'!$A$4:$U$1800,3,FALSE)</f>
        <v>FY2021, RA11518</v>
      </c>
      <c r="V82" s="319" t="str">
        <f>VLOOKUP(H82,'Fund Utilization Report'!$A$4:$U$1800,4,FALSE)</f>
        <v>OO1</v>
      </c>
      <c r="W82" s="319" t="str">
        <f>VLOOKUP(H82,'Fund Utilization Report'!$A$4:$U$1800,5,FALSE)</f>
        <v>01101101</v>
      </c>
      <c r="X82" s="319" t="str">
        <f>VLOOKUP(H82,'Fund Utilization Report'!$A$4:$U$1800,6,FALSE)</f>
        <v>GOP</v>
      </c>
      <c r="Y82" s="320" t="str">
        <f>VLOOKUP(H82,'Fund Utilization Report'!$A$4:$U$1800,7,FALSE)</f>
        <v>PS</v>
      </c>
      <c r="Z82" s="321">
        <f>VLOOKUP(H82,'Fund Utilization Report'!$A$4:$U$1800,8,FALSE)</f>
        <v>5010000000</v>
      </c>
      <c r="AA82" s="319" t="str">
        <f>VLOOKUP(H82,'Fund Utilization Report'!$A$4:$U$1800,14,FALSE)</f>
        <v>310100100002000</v>
      </c>
      <c r="AB82" s="349" t="str">
        <f>VLOOKUP(H82,'Fund Utilization Report'!$A$4:$U$1800,15,FALSE)</f>
        <v>Development,Facilitation, and promotion of exports and investment, domestic and foreign</v>
      </c>
      <c r="AC82" s="55" t="s">
        <v>0</v>
      </c>
      <c r="AD82" s="38">
        <v>1</v>
      </c>
      <c r="AE82" s="55">
        <v>734</v>
      </c>
      <c r="AF82" s="51" t="str">
        <f>VLOOKUP(AE82,'[2]Chart of accounts'!A:H,2,FALSE)</f>
        <v>50103040 01</v>
      </c>
      <c r="AG82" s="53" t="s">
        <v>1</v>
      </c>
      <c r="AH82" s="53" t="s">
        <v>1</v>
      </c>
    </row>
    <row r="83" spans="1:34" s="32" customFormat="1" ht="27.6">
      <c r="A83" s="338" t="s">
        <v>942</v>
      </c>
      <c r="B83" s="338" t="s">
        <v>943</v>
      </c>
      <c r="C83" s="358">
        <v>44211</v>
      </c>
      <c r="D83" s="351" t="s">
        <v>759</v>
      </c>
      <c r="E83" s="352" t="s">
        <v>766</v>
      </c>
      <c r="F83" s="359">
        <v>0.59861111111111109</v>
      </c>
      <c r="G83" s="359">
        <v>0.6</v>
      </c>
      <c r="H83" s="359" t="s">
        <v>964</v>
      </c>
      <c r="I83" s="321">
        <v>701</v>
      </c>
      <c r="J83" s="338" t="str">
        <f>IFERROR(VLOOKUP(I83,'Chart of accounts'!A:H,2,FALSE),"")</f>
        <v>50101010 01</v>
      </c>
      <c r="K83" s="338" t="str">
        <f>IFERROR(VLOOKUP(I83,'Chart of accounts'!A:H,3,FALSE),"")</f>
        <v>Basic Salary - Civilian</v>
      </c>
      <c r="L83" s="338" t="str">
        <f>IFERROR(VLOOKUP(I83,'Chart of accounts'!A:H,4,FALSE),"")</f>
        <v>50101010 01 - Basic Salary - Civilian (701)</v>
      </c>
      <c r="M83" s="360" t="s">
        <v>770</v>
      </c>
      <c r="N83" s="355" t="s">
        <v>765</v>
      </c>
      <c r="O83" s="355" t="s">
        <v>762</v>
      </c>
      <c r="P83" s="355"/>
      <c r="Q83" s="319">
        <v>273461</v>
      </c>
      <c r="R83" s="319">
        <f t="shared" si="0"/>
        <v>-273461</v>
      </c>
      <c r="S83" s="319" t="str">
        <f>VLOOKUP(H83,'Fund Utilization Report'!$A$4:$U$1800,13,FALSE)</f>
        <v>PS</v>
      </c>
      <c r="T83" s="319" t="str">
        <f>VLOOKUP(H83,'Fund Utilization Report'!$A$4:$U$1800,2,FALSE)</f>
        <v>GAA</v>
      </c>
      <c r="U83" s="319" t="str">
        <f>VLOOKUP(H83,'Fund Utilization Report'!$A$4:$U$1800,3,FALSE)</f>
        <v>FY2021, RA11518</v>
      </c>
      <c r="V83" s="319" t="str">
        <f>VLOOKUP(H83,'Fund Utilization Report'!$A$4:$U$1800,4,FALSE)</f>
        <v>OO1</v>
      </c>
      <c r="W83" s="319" t="str">
        <f>VLOOKUP(H83,'Fund Utilization Report'!$A$4:$U$1800,5,FALSE)</f>
        <v>01101101</v>
      </c>
      <c r="X83" s="319" t="str">
        <f>VLOOKUP(H83,'Fund Utilization Report'!$A$4:$U$1800,6,FALSE)</f>
        <v>GOP</v>
      </c>
      <c r="Y83" s="320" t="str">
        <f>VLOOKUP(H83,'Fund Utilization Report'!$A$4:$U$1800,7,FALSE)</f>
        <v>PS</v>
      </c>
      <c r="Z83" s="321">
        <f>VLOOKUP(H83,'Fund Utilization Report'!$A$4:$U$1800,8,FALSE)</f>
        <v>5010000000</v>
      </c>
      <c r="AA83" s="319" t="str">
        <f>VLOOKUP(H83,'Fund Utilization Report'!$A$4:$U$1800,14,FALSE)</f>
        <v>310100100002000</v>
      </c>
      <c r="AB83" s="349" t="str">
        <f>VLOOKUP(H83,'Fund Utilization Report'!$A$4:$U$1800,15,FALSE)</f>
        <v>Development,Facilitation, and promotion of exports and investment, domestic and foreign</v>
      </c>
      <c r="AC83" s="55" t="s">
        <v>0</v>
      </c>
      <c r="AD83" s="38">
        <v>1</v>
      </c>
      <c r="AE83" s="39">
        <v>701</v>
      </c>
      <c r="AF83" s="51" t="str">
        <f>VLOOKUP(AE83,'[2]Chart of accounts'!A:H,2,FALSE)</f>
        <v>50101010 01</v>
      </c>
      <c r="AG83" s="53" t="s">
        <v>1</v>
      </c>
      <c r="AH83" s="53" t="s">
        <v>1</v>
      </c>
    </row>
    <row r="84" spans="1:34" s="32" customFormat="1" ht="27.6">
      <c r="A84" s="338" t="s">
        <v>942</v>
      </c>
      <c r="B84" s="338" t="s">
        <v>943</v>
      </c>
      <c r="C84" s="358">
        <v>44211</v>
      </c>
      <c r="D84" s="351" t="s">
        <v>759</v>
      </c>
      <c r="E84" s="352" t="s">
        <v>766</v>
      </c>
      <c r="F84" s="359">
        <v>0.59861111111111109</v>
      </c>
      <c r="G84" s="359">
        <v>0.6</v>
      </c>
      <c r="H84" s="359" t="s">
        <v>964</v>
      </c>
      <c r="I84" s="321">
        <v>711</v>
      </c>
      <c r="J84" s="338" t="str">
        <f>IFERROR(VLOOKUP(I84,'Chart of accounts'!A:H,2,FALSE),"")</f>
        <v>50102010 01</v>
      </c>
      <c r="K84" s="338" t="str">
        <f>IFERROR(VLOOKUP(I84,'Chart of accounts'!A:H,3,FALSE),"")</f>
        <v>PERA - Civilian</v>
      </c>
      <c r="L84" s="338" t="str">
        <f>IFERROR(VLOOKUP(I84,'Chart of accounts'!A:H,4,FALSE),"")</f>
        <v>50102010 01 - PERA - Civilian (711)</v>
      </c>
      <c r="M84" s="360" t="s">
        <v>770</v>
      </c>
      <c r="N84" s="355" t="s">
        <v>765</v>
      </c>
      <c r="O84" s="355" t="s">
        <v>762</v>
      </c>
      <c r="P84" s="355"/>
      <c r="Q84" s="319">
        <v>14000</v>
      </c>
      <c r="R84" s="319">
        <f t="shared" si="0"/>
        <v>-14000</v>
      </c>
      <c r="S84" s="319" t="str">
        <f>VLOOKUP(H84,'Fund Utilization Report'!$A$4:$U$1800,13,FALSE)</f>
        <v>PS</v>
      </c>
      <c r="T84" s="319" t="str">
        <f>VLOOKUP(H84,'Fund Utilization Report'!$A$4:$U$1800,2,FALSE)</f>
        <v>GAA</v>
      </c>
      <c r="U84" s="319" t="str">
        <f>VLOOKUP(H84,'Fund Utilization Report'!$A$4:$U$1800,3,FALSE)</f>
        <v>FY2021, RA11518</v>
      </c>
      <c r="V84" s="319" t="str">
        <f>VLOOKUP(H84,'Fund Utilization Report'!$A$4:$U$1800,4,FALSE)</f>
        <v>OO1</v>
      </c>
      <c r="W84" s="319" t="str">
        <f>VLOOKUP(H84,'Fund Utilization Report'!$A$4:$U$1800,5,FALSE)</f>
        <v>01101101</v>
      </c>
      <c r="X84" s="319" t="str">
        <f>VLOOKUP(H84,'Fund Utilization Report'!$A$4:$U$1800,6,FALSE)</f>
        <v>GOP</v>
      </c>
      <c r="Y84" s="320" t="str">
        <f>VLOOKUP(H84,'Fund Utilization Report'!$A$4:$U$1800,7,FALSE)</f>
        <v>PS</v>
      </c>
      <c r="Z84" s="321">
        <f>VLOOKUP(H84,'Fund Utilization Report'!$A$4:$U$1800,8,FALSE)</f>
        <v>5010000000</v>
      </c>
      <c r="AA84" s="319" t="str">
        <f>VLOOKUP(H84,'Fund Utilization Report'!$A$4:$U$1800,14,FALSE)</f>
        <v>310100100002000</v>
      </c>
      <c r="AB84" s="349" t="str">
        <f>VLOOKUP(H84,'Fund Utilization Report'!$A$4:$U$1800,15,FALSE)</f>
        <v>Development,Facilitation, and promotion of exports and investment, domestic and foreign</v>
      </c>
      <c r="AC84" s="55" t="s">
        <v>0</v>
      </c>
      <c r="AD84" s="38">
        <v>1</v>
      </c>
      <c r="AE84" s="39">
        <v>711</v>
      </c>
      <c r="AF84" s="51" t="str">
        <f>VLOOKUP(AE84,'[2]Chart of accounts'!A:H,2,FALSE)</f>
        <v>50102010 01</v>
      </c>
      <c r="AG84" s="53" t="s">
        <v>1</v>
      </c>
      <c r="AH84" s="53" t="s">
        <v>1</v>
      </c>
    </row>
    <row r="85" spans="1:34" s="32" customFormat="1" ht="27.6">
      <c r="A85" s="338" t="s">
        <v>942</v>
      </c>
      <c r="B85" s="338" t="s">
        <v>943</v>
      </c>
      <c r="C85" s="358">
        <v>44211</v>
      </c>
      <c r="D85" s="351" t="s">
        <v>759</v>
      </c>
      <c r="E85" s="352" t="s">
        <v>766</v>
      </c>
      <c r="F85" s="359">
        <v>0.59861111111111109</v>
      </c>
      <c r="G85" s="359">
        <v>0.6</v>
      </c>
      <c r="H85" s="359" t="s">
        <v>966</v>
      </c>
      <c r="I85" s="321">
        <v>731</v>
      </c>
      <c r="J85" s="338" t="str">
        <f>IFERROR(VLOOKUP(I85,'Chart of accounts'!A:H,2,FALSE),"")</f>
        <v>50103010 00</v>
      </c>
      <c r="K85" s="338" t="str">
        <f>IFERROR(VLOOKUP(I85,'Chart of accounts'!A:H,3,FALSE),"")</f>
        <v>Retirement and Life Insurance Premiums</v>
      </c>
      <c r="L85" s="338" t="str">
        <f>IFERROR(VLOOKUP(I85,'Chart of accounts'!A:H,4,FALSE),"")</f>
        <v>50103010 00 - Retirement and Life Insurance Premiums (731)</v>
      </c>
      <c r="M85" s="360" t="s">
        <v>770</v>
      </c>
      <c r="N85" s="355" t="s">
        <v>765</v>
      </c>
      <c r="O85" s="355" t="s">
        <v>762</v>
      </c>
      <c r="P85" s="355"/>
      <c r="Q85" s="319">
        <v>32815.32</v>
      </c>
      <c r="R85" s="319">
        <f t="shared" si="0"/>
        <v>-32815.32</v>
      </c>
      <c r="S85" s="319" t="str">
        <f>VLOOKUP(H85,'Fund Utilization Report'!$A$4:$U$1800,13,FALSE)</f>
        <v>PS</v>
      </c>
      <c r="T85" s="319" t="str">
        <f>VLOOKUP(H85,'Fund Utilization Report'!$A$4:$U$1800,2,FALSE)</f>
        <v>GAA</v>
      </c>
      <c r="U85" s="319" t="str">
        <f>VLOOKUP(H85,'Fund Utilization Report'!$A$4:$U$1800,3,FALSE)</f>
        <v>FY2021, RA11518</v>
      </c>
      <c r="V85" s="319" t="str">
        <f>VLOOKUP(H85,'Fund Utilization Report'!$A$4:$U$1800,4,FALSE)</f>
        <v>OO1</v>
      </c>
      <c r="W85" s="319" t="str">
        <f>VLOOKUP(H85,'Fund Utilization Report'!$A$4:$U$1800,5,FALSE)</f>
        <v>01101101</v>
      </c>
      <c r="X85" s="319" t="str">
        <f>VLOOKUP(H85,'Fund Utilization Report'!$A$4:$U$1800,6,FALSE)</f>
        <v>GOP</v>
      </c>
      <c r="Y85" s="320" t="str">
        <f>VLOOKUP(H85,'Fund Utilization Report'!$A$4:$U$1800,7,FALSE)</f>
        <v>RLIP</v>
      </c>
      <c r="Z85" s="321" t="str">
        <f>VLOOKUP(H85,'Fund Utilization Report'!$A$4:$U$1800,8,FALSE)</f>
        <v>50103010-00</v>
      </c>
      <c r="AA85" s="319" t="str">
        <f>VLOOKUP(H85,'Fund Utilization Report'!$A$4:$U$1800,14,FALSE)</f>
        <v>310100100002000</v>
      </c>
      <c r="AB85" s="349" t="str">
        <f>VLOOKUP(H85,'Fund Utilization Report'!$A$4:$U$1800,15,FALSE)</f>
        <v>Development,Facilitation, and promotion of exports and investment, domestic and foreign</v>
      </c>
      <c r="AC85" s="55" t="s">
        <v>0</v>
      </c>
      <c r="AD85" s="38">
        <v>1</v>
      </c>
      <c r="AE85" s="39">
        <v>731</v>
      </c>
      <c r="AF85" s="51" t="str">
        <f>VLOOKUP(AE85,'[2]Chart of accounts'!A:H,2,FALSE)</f>
        <v>50103010 00</v>
      </c>
      <c r="AG85" s="53" t="s">
        <v>1</v>
      </c>
      <c r="AH85" s="53" t="s">
        <v>1</v>
      </c>
    </row>
    <row r="86" spans="1:34" s="32" customFormat="1" ht="27.6">
      <c r="A86" s="338" t="s">
        <v>942</v>
      </c>
      <c r="B86" s="338" t="s">
        <v>943</v>
      </c>
      <c r="C86" s="358">
        <v>44211</v>
      </c>
      <c r="D86" s="351" t="s">
        <v>759</v>
      </c>
      <c r="E86" s="352" t="s">
        <v>766</v>
      </c>
      <c r="F86" s="359">
        <v>0.59861111111111109</v>
      </c>
      <c r="G86" s="359">
        <v>0.6</v>
      </c>
      <c r="H86" s="359" t="s">
        <v>964</v>
      </c>
      <c r="I86" s="321">
        <v>732</v>
      </c>
      <c r="J86" s="338" t="str">
        <f>IFERROR(VLOOKUP(I86,'Chart of accounts'!A:H,2,FALSE),"")</f>
        <v>50103020 01</v>
      </c>
      <c r="K86" s="338" t="str">
        <f>IFERROR(VLOOKUP(I86,'Chart of accounts'!A:H,3,FALSE),"")</f>
        <v>Pag-IBIG - Civilian</v>
      </c>
      <c r="L86" s="338" t="str">
        <f>IFERROR(VLOOKUP(I86,'Chart of accounts'!A:H,4,FALSE),"")</f>
        <v>50103020 01 - Pag-IBIG - Civilian (732)</v>
      </c>
      <c r="M86" s="360" t="s">
        <v>770</v>
      </c>
      <c r="N86" s="355" t="s">
        <v>765</v>
      </c>
      <c r="O86" s="355" t="s">
        <v>762</v>
      </c>
      <c r="P86" s="355"/>
      <c r="Q86" s="319">
        <v>700</v>
      </c>
      <c r="R86" s="319">
        <f t="shared" si="0"/>
        <v>-700</v>
      </c>
      <c r="S86" s="319" t="str">
        <f>VLOOKUP(H86,'Fund Utilization Report'!$A$4:$U$1800,13,FALSE)</f>
        <v>PS</v>
      </c>
      <c r="T86" s="319" t="str">
        <f>VLOOKUP(H86,'Fund Utilization Report'!$A$4:$U$1800,2,FALSE)</f>
        <v>GAA</v>
      </c>
      <c r="U86" s="319" t="str">
        <f>VLOOKUP(H86,'Fund Utilization Report'!$A$4:$U$1800,3,FALSE)</f>
        <v>FY2021, RA11518</v>
      </c>
      <c r="V86" s="319" t="str">
        <f>VLOOKUP(H86,'Fund Utilization Report'!$A$4:$U$1800,4,FALSE)</f>
        <v>OO1</v>
      </c>
      <c r="W86" s="319" t="str">
        <f>VLOOKUP(H86,'Fund Utilization Report'!$A$4:$U$1800,5,FALSE)</f>
        <v>01101101</v>
      </c>
      <c r="X86" s="319" t="str">
        <f>VLOOKUP(H86,'Fund Utilization Report'!$A$4:$U$1800,6,FALSE)</f>
        <v>GOP</v>
      </c>
      <c r="Y86" s="320" t="str">
        <f>VLOOKUP(H86,'Fund Utilization Report'!$A$4:$U$1800,7,FALSE)</f>
        <v>PS</v>
      </c>
      <c r="Z86" s="321">
        <f>VLOOKUP(H86,'Fund Utilization Report'!$A$4:$U$1800,8,FALSE)</f>
        <v>5010000000</v>
      </c>
      <c r="AA86" s="319" t="str">
        <f>VLOOKUP(H86,'Fund Utilization Report'!$A$4:$U$1800,14,FALSE)</f>
        <v>310100100002000</v>
      </c>
      <c r="AB86" s="349" t="str">
        <f>VLOOKUP(H86,'Fund Utilization Report'!$A$4:$U$1800,15,FALSE)</f>
        <v>Development,Facilitation, and promotion of exports and investment, domestic and foreign</v>
      </c>
      <c r="AC86" s="55" t="s">
        <v>0</v>
      </c>
      <c r="AD86" s="38">
        <v>1</v>
      </c>
      <c r="AE86" s="39">
        <v>732</v>
      </c>
      <c r="AF86" s="51" t="str">
        <f>VLOOKUP(AE86,'[2]Chart of accounts'!A:H,2,FALSE)</f>
        <v>50103020 01</v>
      </c>
      <c r="AG86" s="53" t="s">
        <v>1</v>
      </c>
      <c r="AH86" s="53" t="s">
        <v>1</v>
      </c>
    </row>
    <row r="87" spans="1:34" s="32" customFormat="1" ht="27.6">
      <c r="A87" s="338" t="s">
        <v>942</v>
      </c>
      <c r="B87" s="338" t="s">
        <v>943</v>
      </c>
      <c r="C87" s="358">
        <v>44211</v>
      </c>
      <c r="D87" s="351" t="s">
        <v>759</v>
      </c>
      <c r="E87" s="352" t="s">
        <v>766</v>
      </c>
      <c r="F87" s="359">
        <v>0.59861111111111109</v>
      </c>
      <c r="G87" s="359">
        <v>0.6</v>
      </c>
      <c r="H87" s="359" t="s">
        <v>964</v>
      </c>
      <c r="I87" s="321">
        <v>733</v>
      </c>
      <c r="J87" s="338" t="str">
        <f>IFERROR(VLOOKUP(I87,'Chart of accounts'!A:H,2,FALSE),"")</f>
        <v>50103030 01</v>
      </c>
      <c r="K87" s="338" t="str">
        <f>IFERROR(VLOOKUP(I87,'Chart of accounts'!A:H,3,FALSE),"")</f>
        <v>PhilHealth - Civilian</v>
      </c>
      <c r="L87" s="338" t="str">
        <f>IFERROR(VLOOKUP(I87,'Chart of accounts'!A:H,4,FALSE),"")</f>
        <v>50103030 01 - PhilHealth - Civilian (733)</v>
      </c>
      <c r="M87" s="360" t="s">
        <v>770</v>
      </c>
      <c r="N87" s="355" t="s">
        <v>765</v>
      </c>
      <c r="O87" s="355" t="s">
        <v>762</v>
      </c>
      <c r="P87" s="355"/>
      <c r="Q87" s="319">
        <v>3358.03</v>
      </c>
      <c r="R87" s="319">
        <f t="shared" si="0"/>
        <v>-3358.03</v>
      </c>
      <c r="S87" s="319" t="str">
        <f>VLOOKUP(H87,'Fund Utilization Report'!$A$4:$U$1800,13,FALSE)</f>
        <v>PS</v>
      </c>
      <c r="T87" s="319" t="str">
        <f>VLOOKUP(H87,'Fund Utilization Report'!$A$4:$U$1800,2,FALSE)</f>
        <v>GAA</v>
      </c>
      <c r="U87" s="319" t="str">
        <f>VLOOKUP(H87,'Fund Utilization Report'!$A$4:$U$1800,3,FALSE)</f>
        <v>FY2021, RA11518</v>
      </c>
      <c r="V87" s="319" t="str">
        <f>VLOOKUP(H87,'Fund Utilization Report'!$A$4:$U$1800,4,FALSE)</f>
        <v>OO1</v>
      </c>
      <c r="W87" s="319" t="str">
        <f>VLOOKUP(H87,'Fund Utilization Report'!$A$4:$U$1800,5,FALSE)</f>
        <v>01101101</v>
      </c>
      <c r="X87" s="319" t="str">
        <f>VLOOKUP(H87,'Fund Utilization Report'!$A$4:$U$1800,6,FALSE)</f>
        <v>GOP</v>
      </c>
      <c r="Y87" s="320" t="str">
        <f>VLOOKUP(H87,'Fund Utilization Report'!$A$4:$U$1800,7,FALSE)</f>
        <v>PS</v>
      </c>
      <c r="Z87" s="321">
        <f>VLOOKUP(H87,'Fund Utilization Report'!$A$4:$U$1800,8,FALSE)</f>
        <v>5010000000</v>
      </c>
      <c r="AA87" s="319" t="str">
        <f>VLOOKUP(H87,'Fund Utilization Report'!$A$4:$U$1800,14,FALSE)</f>
        <v>310100100002000</v>
      </c>
      <c r="AB87" s="349" t="str">
        <f>VLOOKUP(H87,'Fund Utilization Report'!$A$4:$U$1800,15,FALSE)</f>
        <v>Development,Facilitation, and promotion of exports and investment, domestic and foreign</v>
      </c>
      <c r="AC87" s="55" t="s">
        <v>0</v>
      </c>
      <c r="AD87" s="38">
        <v>1</v>
      </c>
      <c r="AE87" s="55">
        <v>733</v>
      </c>
      <c r="AF87" s="51" t="str">
        <f>VLOOKUP(AE87,'[2]Chart of accounts'!A:H,2,FALSE)</f>
        <v>50103030 01</v>
      </c>
      <c r="AG87" s="53" t="s">
        <v>1</v>
      </c>
      <c r="AH87" s="53" t="s">
        <v>1</v>
      </c>
    </row>
    <row r="88" spans="1:34" s="32" customFormat="1" ht="27.6">
      <c r="A88" s="338" t="s">
        <v>942</v>
      </c>
      <c r="B88" s="338" t="s">
        <v>943</v>
      </c>
      <c r="C88" s="358">
        <v>44211</v>
      </c>
      <c r="D88" s="351" t="s">
        <v>759</v>
      </c>
      <c r="E88" s="352" t="s">
        <v>766</v>
      </c>
      <c r="F88" s="359">
        <v>0.59861111111111109</v>
      </c>
      <c r="G88" s="359">
        <v>0.6</v>
      </c>
      <c r="H88" s="359" t="s">
        <v>964</v>
      </c>
      <c r="I88" s="321">
        <v>734</v>
      </c>
      <c r="J88" s="338" t="str">
        <f>IFERROR(VLOOKUP(I88,'Chart of accounts'!A:H,2,FALSE),"")</f>
        <v>50103040 01</v>
      </c>
      <c r="K88" s="338" t="str">
        <f>IFERROR(VLOOKUP(I88,'Chart of accounts'!A:H,3,FALSE),"")</f>
        <v>ECIP - Civilian</v>
      </c>
      <c r="L88" s="338" t="str">
        <f>IFERROR(VLOOKUP(I88,'Chart of accounts'!A:H,4,FALSE),"")</f>
        <v>50103040 01 - ECIP - Civilian (734)</v>
      </c>
      <c r="M88" s="360" t="s">
        <v>770</v>
      </c>
      <c r="N88" s="355" t="s">
        <v>765</v>
      </c>
      <c r="O88" s="355" t="s">
        <v>762</v>
      </c>
      <c r="P88" s="355"/>
      <c r="Q88" s="319">
        <v>700</v>
      </c>
      <c r="R88" s="319">
        <f t="shared" si="0"/>
        <v>-700</v>
      </c>
      <c r="S88" s="319" t="str">
        <f>VLOOKUP(H88,'Fund Utilization Report'!$A$4:$U$1800,13,FALSE)</f>
        <v>PS</v>
      </c>
      <c r="T88" s="319" t="str">
        <f>VLOOKUP(H88,'Fund Utilization Report'!$A$4:$U$1800,2,FALSE)</f>
        <v>GAA</v>
      </c>
      <c r="U88" s="319" t="str">
        <f>VLOOKUP(H88,'Fund Utilization Report'!$A$4:$U$1800,3,FALSE)</f>
        <v>FY2021, RA11518</v>
      </c>
      <c r="V88" s="319" t="str">
        <f>VLOOKUP(H88,'Fund Utilization Report'!$A$4:$U$1800,4,FALSE)</f>
        <v>OO1</v>
      </c>
      <c r="W88" s="319" t="str">
        <f>VLOOKUP(H88,'Fund Utilization Report'!$A$4:$U$1800,5,FALSE)</f>
        <v>01101101</v>
      </c>
      <c r="X88" s="319" t="str">
        <f>VLOOKUP(H88,'Fund Utilization Report'!$A$4:$U$1800,6,FALSE)</f>
        <v>GOP</v>
      </c>
      <c r="Y88" s="320" t="str">
        <f>VLOOKUP(H88,'Fund Utilization Report'!$A$4:$U$1800,7,FALSE)</f>
        <v>PS</v>
      </c>
      <c r="Z88" s="321">
        <f>VLOOKUP(H88,'Fund Utilization Report'!$A$4:$U$1800,8,FALSE)</f>
        <v>5010000000</v>
      </c>
      <c r="AA88" s="319" t="str">
        <f>VLOOKUP(H88,'Fund Utilization Report'!$A$4:$U$1800,14,FALSE)</f>
        <v>310100100002000</v>
      </c>
      <c r="AB88" s="349" t="str">
        <f>VLOOKUP(H88,'Fund Utilization Report'!$A$4:$U$1800,15,FALSE)</f>
        <v>Development,Facilitation, and promotion of exports and investment, domestic and foreign</v>
      </c>
      <c r="AC88" s="55" t="s">
        <v>0</v>
      </c>
      <c r="AD88" s="38">
        <v>1</v>
      </c>
      <c r="AE88" s="55">
        <v>734</v>
      </c>
      <c r="AF88" s="51" t="str">
        <f>VLOOKUP(AE88,'[2]Chart of accounts'!A:H,2,FALSE)</f>
        <v>50103040 01</v>
      </c>
      <c r="AG88" s="53" t="s">
        <v>1</v>
      </c>
      <c r="AH88" s="53" t="s">
        <v>1</v>
      </c>
    </row>
    <row r="89" spans="1:34" s="32" customFormat="1" ht="27.6">
      <c r="A89" s="338" t="s">
        <v>942</v>
      </c>
      <c r="B89" s="338" t="s">
        <v>943</v>
      </c>
      <c r="C89" s="358">
        <v>44211</v>
      </c>
      <c r="D89" s="351" t="s">
        <v>759</v>
      </c>
      <c r="E89" s="352" t="s">
        <v>767</v>
      </c>
      <c r="F89" s="359">
        <v>0.60069444444444442</v>
      </c>
      <c r="G89" s="359">
        <v>0.6069444444444444</v>
      </c>
      <c r="H89" s="359" t="s">
        <v>964</v>
      </c>
      <c r="I89" s="321">
        <v>701</v>
      </c>
      <c r="J89" s="338" t="str">
        <f>IFERROR(VLOOKUP(I89,'Chart of accounts'!A:H,2,FALSE),"")</f>
        <v>50101010 01</v>
      </c>
      <c r="K89" s="338" t="str">
        <f>IFERROR(VLOOKUP(I89,'Chart of accounts'!A:H,3,FALSE),"")</f>
        <v>Basic Salary - Civilian</v>
      </c>
      <c r="L89" s="338" t="str">
        <f>IFERROR(VLOOKUP(I89,'Chart of accounts'!A:H,4,FALSE),"")</f>
        <v>50101010 01 - Basic Salary - Civilian (701)</v>
      </c>
      <c r="M89" s="360" t="s">
        <v>771</v>
      </c>
      <c r="N89" s="355" t="s">
        <v>768</v>
      </c>
      <c r="O89" s="355" t="s">
        <v>762</v>
      </c>
      <c r="P89" s="355"/>
      <c r="Q89" s="319">
        <v>565193</v>
      </c>
      <c r="R89" s="319">
        <f t="shared" si="0"/>
        <v>-565193</v>
      </c>
      <c r="S89" s="319" t="str">
        <f>VLOOKUP(H89,'Fund Utilization Report'!$A$4:$U$1800,13,FALSE)</f>
        <v>PS</v>
      </c>
      <c r="T89" s="319" t="str">
        <f>VLOOKUP(H89,'Fund Utilization Report'!$A$4:$U$1800,2,FALSE)</f>
        <v>GAA</v>
      </c>
      <c r="U89" s="319" t="str">
        <f>VLOOKUP(H89,'Fund Utilization Report'!$A$4:$U$1800,3,FALSE)</f>
        <v>FY2021, RA11518</v>
      </c>
      <c r="V89" s="319" t="str">
        <f>VLOOKUP(H89,'Fund Utilization Report'!$A$4:$U$1800,4,FALSE)</f>
        <v>OO1</v>
      </c>
      <c r="W89" s="319" t="str">
        <f>VLOOKUP(H89,'Fund Utilization Report'!$A$4:$U$1800,5,FALSE)</f>
        <v>01101101</v>
      </c>
      <c r="X89" s="319" t="str">
        <f>VLOOKUP(H89,'Fund Utilization Report'!$A$4:$U$1800,6,FALSE)</f>
        <v>GOP</v>
      </c>
      <c r="Y89" s="320" t="str">
        <f>VLOOKUP(H89,'Fund Utilization Report'!$A$4:$U$1800,7,FALSE)</f>
        <v>PS</v>
      </c>
      <c r="Z89" s="321">
        <f>VLOOKUP(H89,'Fund Utilization Report'!$A$4:$U$1800,8,FALSE)</f>
        <v>5010000000</v>
      </c>
      <c r="AA89" s="319" t="str">
        <f>VLOOKUP(H89,'Fund Utilization Report'!$A$4:$U$1800,14,FALSE)</f>
        <v>310100100002000</v>
      </c>
      <c r="AB89" s="349" t="str">
        <f>VLOOKUP(H89,'Fund Utilization Report'!$A$4:$U$1800,15,FALSE)</f>
        <v>Development,Facilitation, and promotion of exports and investment, domestic and foreign</v>
      </c>
      <c r="AC89" s="55" t="s">
        <v>0</v>
      </c>
      <c r="AD89" s="38">
        <v>1</v>
      </c>
      <c r="AE89" s="39">
        <v>701</v>
      </c>
      <c r="AF89" s="51" t="str">
        <f>VLOOKUP(AE89,'[2]Chart of accounts'!A:H,2,FALSE)</f>
        <v>50101010 01</v>
      </c>
      <c r="AG89" s="53" t="s">
        <v>1</v>
      </c>
      <c r="AH89" s="53" t="s">
        <v>1</v>
      </c>
    </row>
    <row r="90" spans="1:34" s="32" customFormat="1" ht="27.6">
      <c r="A90" s="338" t="s">
        <v>942</v>
      </c>
      <c r="B90" s="338" t="s">
        <v>943</v>
      </c>
      <c r="C90" s="358">
        <v>44211</v>
      </c>
      <c r="D90" s="351" t="s">
        <v>759</v>
      </c>
      <c r="E90" s="352" t="s">
        <v>767</v>
      </c>
      <c r="F90" s="359">
        <v>0.60069444444444442</v>
      </c>
      <c r="G90" s="359">
        <v>0.6069444444444444</v>
      </c>
      <c r="H90" s="359" t="s">
        <v>964</v>
      </c>
      <c r="I90" s="321">
        <v>711</v>
      </c>
      <c r="J90" s="338" t="str">
        <f>IFERROR(VLOOKUP(I90,'Chart of accounts'!A:H,2,FALSE),"")</f>
        <v>50102010 01</v>
      </c>
      <c r="K90" s="338" t="str">
        <f>IFERROR(VLOOKUP(I90,'Chart of accounts'!A:H,3,FALSE),"")</f>
        <v>PERA - Civilian</v>
      </c>
      <c r="L90" s="338" t="str">
        <f>IFERROR(VLOOKUP(I90,'Chart of accounts'!A:H,4,FALSE),"")</f>
        <v>50102010 01 - PERA - Civilian (711)</v>
      </c>
      <c r="M90" s="360" t="s">
        <v>771</v>
      </c>
      <c r="N90" s="355" t="s">
        <v>768</v>
      </c>
      <c r="O90" s="355" t="s">
        <v>762</v>
      </c>
      <c r="P90" s="355"/>
      <c r="Q90" s="319">
        <v>24000</v>
      </c>
      <c r="R90" s="319">
        <f t="shared" si="0"/>
        <v>-24000</v>
      </c>
      <c r="S90" s="319" t="str">
        <f>VLOOKUP(H90,'Fund Utilization Report'!$A$4:$U$1800,13,FALSE)</f>
        <v>PS</v>
      </c>
      <c r="T90" s="319" t="str">
        <f>VLOOKUP(H90,'Fund Utilization Report'!$A$4:$U$1800,2,FALSE)</f>
        <v>GAA</v>
      </c>
      <c r="U90" s="319" t="str">
        <f>VLOOKUP(H90,'Fund Utilization Report'!$A$4:$U$1800,3,FALSE)</f>
        <v>FY2021, RA11518</v>
      </c>
      <c r="V90" s="319" t="str">
        <f>VLOOKUP(H90,'Fund Utilization Report'!$A$4:$U$1800,4,FALSE)</f>
        <v>OO1</v>
      </c>
      <c r="W90" s="319" t="str">
        <f>VLOOKUP(H90,'Fund Utilization Report'!$A$4:$U$1800,5,FALSE)</f>
        <v>01101101</v>
      </c>
      <c r="X90" s="319" t="str">
        <f>VLOOKUP(H90,'Fund Utilization Report'!$A$4:$U$1800,6,FALSE)</f>
        <v>GOP</v>
      </c>
      <c r="Y90" s="320" t="str">
        <f>VLOOKUP(H90,'Fund Utilization Report'!$A$4:$U$1800,7,FALSE)</f>
        <v>PS</v>
      </c>
      <c r="Z90" s="321">
        <f>VLOOKUP(H90,'Fund Utilization Report'!$A$4:$U$1800,8,FALSE)</f>
        <v>5010000000</v>
      </c>
      <c r="AA90" s="319" t="str">
        <f>VLOOKUP(H90,'Fund Utilization Report'!$A$4:$U$1800,14,FALSE)</f>
        <v>310100100002000</v>
      </c>
      <c r="AB90" s="349" t="str">
        <f>VLOOKUP(H90,'Fund Utilization Report'!$A$4:$U$1800,15,FALSE)</f>
        <v>Development,Facilitation, and promotion of exports and investment, domestic and foreign</v>
      </c>
      <c r="AC90" s="55" t="s">
        <v>0</v>
      </c>
      <c r="AD90" s="38">
        <v>1</v>
      </c>
      <c r="AE90" s="39">
        <v>711</v>
      </c>
      <c r="AF90" s="51" t="str">
        <f>VLOOKUP(AE90,'[2]Chart of accounts'!A:H,2,FALSE)</f>
        <v>50102010 01</v>
      </c>
      <c r="AG90" s="53" t="s">
        <v>1</v>
      </c>
      <c r="AH90" s="53" t="s">
        <v>1</v>
      </c>
    </row>
    <row r="91" spans="1:34" s="32" customFormat="1" ht="27.6">
      <c r="A91" s="338" t="s">
        <v>942</v>
      </c>
      <c r="B91" s="338" t="s">
        <v>943</v>
      </c>
      <c r="C91" s="358">
        <v>44211</v>
      </c>
      <c r="D91" s="351" t="s">
        <v>759</v>
      </c>
      <c r="E91" s="352" t="s">
        <v>767</v>
      </c>
      <c r="F91" s="359">
        <v>0.60069444444444442</v>
      </c>
      <c r="G91" s="359">
        <v>0.6069444444444444</v>
      </c>
      <c r="H91" s="359" t="s">
        <v>966</v>
      </c>
      <c r="I91" s="321">
        <v>731</v>
      </c>
      <c r="J91" s="338" t="str">
        <f>IFERROR(VLOOKUP(I91,'Chart of accounts'!A:H,2,FALSE),"")</f>
        <v>50103010 00</v>
      </c>
      <c r="K91" s="338" t="str">
        <f>IFERROR(VLOOKUP(I91,'Chart of accounts'!A:H,3,FALSE),"")</f>
        <v>Retirement and Life Insurance Premiums</v>
      </c>
      <c r="L91" s="338" t="str">
        <f>IFERROR(VLOOKUP(I91,'Chart of accounts'!A:H,4,FALSE),"")</f>
        <v>50103010 00 - Retirement and Life Insurance Premiums (731)</v>
      </c>
      <c r="M91" s="360" t="s">
        <v>771</v>
      </c>
      <c r="N91" s="355" t="s">
        <v>768</v>
      </c>
      <c r="O91" s="355" t="s">
        <v>762</v>
      </c>
      <c r="P91" s="355"/>
      <c r="Q91" s="319">
        <v>67823.16</v>
      </c>
      <c r="R91" s="319">
        <f t="shared" si="0"/>
        <v>-67823.16</v>
      </c>
      <c r="S91" s="319" t="str">
        <f>VLOOKUP(H91,'Fund Utilization Report'!$A$4:$U$1800,13,FALSE)</f>
        <v>PS</v>
      </c>
      <c r="T91" s="319" t="str">
        <f>VLOOKUP(H91,'Fund Utilization Report'!$A$4:$U$1800,2,FALSE)</f>
        <v>GAA</v>
      </c>
      <c r="U91" s="319" t="str">
        <f>VLOOKUP(H91,'Fund Utilization Report'!$A$4:$U$1800,3,FALSE)</f>
        <v>FY2021, RA11518</v>
      </c>
      <c r="V91" s="319" t="str">
        <f>VLOOKUP(H91,'Fund Utilization Report'!$A$4:$U$1800,4,FALSE)</f>
        <v>OO1</v>
      </c>
      <c r="W91" s="319" t="str">
        <f>VLOOKUP(H91,'Fund Utilization Report'!$A$4:$U$1800,5,FALSE)</f>
        <v>01101101</v>
      </c>
      <c r="X91" s="319" t="str">
        <f>VLOOKUP(H91,'Fund Utilization Report'!$A$4:$U$1800,6,FALSE)</f>
        <v>GOP</v>
      </c>
      <c r="Y91" s="320" t="str">
        <f>VLOOKUP(H91,'Fund Utilization Report'!$A$4:$U$1800,7,FALSE)</f>
        <v>RLIP</v>
      </c>
      <c r="Z91" s="321" t="str">
        <f>VLOOKUP(H91,'Fund Utilization Report'!$A$4:$U$1800,8,FALSE)</f>
        <v>50103010-00</v>
      </c>
      <c r="AA91" s="319" t="str">
        <f>VLOOKUP(H91,'Fund Utilization Report'!$A$4:$U$1800,14,FALSE)</f>
        <v>310100100002000</v>
      </c>
      <c r="AB91" s="349" t="str">
        <f>VLOOKUP(H91,'Fund Utilization Report'!$A$4:$U$1800,15,FALSE)</f>
        <v>Development,Facilitation, and promotion of exports and investment, domestic and foreign</v>
      </c>
      <c r="AC91" s="55" t="s">
        <v>0</v>
      </c>
      <c r="AD91" s="38">
        <v>1</v>
      </c>
      <c r="AE91" s="39">
        <v>731</v>
      </c>
      <c r="AF91" s="51" t="str">
        <f>VLOOKUP(AE91,'[2]Chart of accounts'!A:H,2,FALSE)</f>
        <v>50103010 00</v>
      </c>
      <c r="AG91" s="53" t="s">
        <v>1</v>
      </c>
      <c r="AH91" s="53" t="s">
        <v>1</v>
      </c>
    </row>
    <row r="92" spans="1:34" s="32" customFormat="1" ht="27.6">
      <c r="A92" s="338" t="s">
        <v>942</v>
      </c>
      <c r="B92" s="338" t="s">
        <v>943</v>
      </c>
      <c r="C92" s="358">
        <v>44211</v>
      </c>
      <c r="D92" s="351" t="s">
        <v>759</v>
      </c>
      <c r="E92" s="352" t="s">
        <v>767</v>
      </c>
      <c r="F92" s="359">
        <v>0.60069444444444442</v>
      </c>
      <c r="G92" s="359">
        <v>0.6069444444444444</v>
      </c>
      <c r="H92" s="359" t="s">
        <v>964</v>
      </c>
      <c r="I92" s="321">
        <v>732</v>
      </c>
      <c r="J92" s="338" t="str">
        <f>IFERROR(VLOOKUP(I92,'Chart of accounts'!A:H,2,FALSE),"")</f>
        <v>50103020 01</v>
      </c>
      <c r="K92" s="338" t="str">
        <f>IFERROR(VLOOKUP(I92,'Chart of accounts'!A:H,3,FALSE),"")</f>
        <v>Pag-IBIG - Civilian</v>
      </c>
      <c r="L92" s="338" t="str">
        <f>IFERROR(VLOOKUP(I92,'Chart of accounts'!A:H,4,FALSE),"")</f>
        <v>50103020 01 - Pag-IBIG - Civilian (732)</v>
      </c>
      <c r="M92" s="360" t="s">
        <v>771</v>
      </c>
      <c r="N92" s="355" t="s">
        <v>768</v>
      </c>
      <c r="O92" s="355" t="s">
        <v>762</v>
      </c>
      <c r="P92" s="355"/>
      <c r="Q92" s="319">
        <v>1200</v>
      </c>
      <c r="R92" s="319">
        <f t="shared" si="0"/>
        <v>-1200</v>
      </c>
      <c r="S92" s="319" t="str">
        <f>VLOOKUP(H92,'Fund Utilization Report'!$A$4:$U$1800,13,FALSE)</f>
        <v>PS</v>
      </c>
      <c r="T92" s="319" t="str">
        <f>VLOOKUP(H92,'Fund Utilization Report'!$A$4:$U$1800,2,FALSE)</f>
        <v>GAA</v>
      </c>
      <c r="U92" s="319" t="str">
        <f>VLOOKUP(H92,'Fund Utilization Report'!$A$4:$U$1800,3,FALSE)</f>
        <v>FY2021, RA11518</v>
      </c>
      <c r="V92" s="319" t="str">
        <f>VLOOKUP(H92,'Fund Utilization Report'!$A$4:$U$1800,4,FALSE)</f>
        <v>OO1</v>
      </c>
      <c r="W92" s="319" t="str">
        <f>VLOOKUP(H92,'Fund Utilization Report'!$A$4:$U$1800,5,FALSE)</f>
        <v>01101101</v>
      </c>
      <c r="X92" s="319" t="str">
        <f>VLOOKUP(H92,'Fund Utilization Report'!$A$4:$U$1800,6,FALSE)</f>
        <v>GOP</v>
      </c>
      <c r="Y92" s="320" t="str">
        <f>VLOOKUP(H92,'Fund Utilization Report'!$A$4:$U$1800,7,FALSE)</f>
        <v>PS</v>
      </c>
      <c r="Z92" s="321">
        <f>VLOOKUP(H92,'Fund Utilization Report'!$A$4:$U$1800,8,FALSE)</f>
        <v>5010000000</v>
      </c>
      <c r="AA92" s="319" t="str">
        <f>VLOOKUP(H92,'Fund Utilization Report'!$A$4:$U$1800,14,FALSE)</f>
        <v>310100100002000</v>
      </c>
      <c r="AB92" s="349" t="str">
        <f>VLOOKUP(H92,'Fund Utilization Report'!$A$4:$U$1800,15,FALSE)</f>
        <v>Development,Facilitation, and promotion of exports and investment, domestic and foreign</v>
      </c>
      <c r="AC92" s="55" t="s">
        <v>0</v>
      </c>
      <c r="AD92" s="38">
        <v>1</v>
      </c>
      <c r="AE92" s="39">
        <v>732</v>
      </c>
      <c r="AF92" s="51" t="str">
        <f>VLOOKUP(AE92,'[2]Chart of accounts'!A:H,2,FALSE)</f>
        <v>50103020 01</v>
      </c>
      <c r="AG92" s="53" t="s">
        <v>1</v>
      </c>
      <c r="AH92" s="53" t="s">
        <v>1</v>
      </c>
    </row>
    <row r="93" spans="1:34" s="32" customFormat="1" ht="27.6">
      <c r="A93" s="338" t="s">
        <v>942</v>
      </c>
      <c r="B93" s="338" t="s">
        <v>943</v>
      </c>
      <c r="C93" s="358">
        <v>44211</v>
      </c>
      <c r="D93" s="351" t="s">
        <v>759</v>
      </c>
      <c r="E93" s="352" t="s">
        <v>767</v>
      </c>
      <c r="F93" s="359">
        <v>0.60069444444444442</v>
      </c>
      <c r="G93" s="359">
        <v>0.6069444444444444</v>
      </c>
      <c r="H93" s="359" t="s">
        <v>964</v>
      </c>
      <c r="I93" s="321">
        <v>733</v>
      </c>
      <c r="J93" s="338" t="str">
        <f>IFERROR(VLOOKUP(I93,'Chart of accounts'!A:H,2,FALSE),"")</f>
        <v>50103030 01</v>
      </c>
      <c r="K93" s="338" t="str">
        <f>IFERROR(VLOOKUP(I93,'Chart of accounts'!A:H,3,FALSE),"")</f>
        <v>PhilHealth - Civilian</v>
      </c>
      <c r="L93" s="338" t="str">
        <f>IFERROR(VLOOKUP(I93,'Chart of accounts'!A:H,4,FALSE),"")</f>
        <v>50103030 01 - PhilHealth - Civilian (733)</v>
      </c>
      <c r="M93" s="360" t="s">
        <v>771</v>
      </c>
      <c r="N93" s="355" t="s">
        <v>768</v>
      </c>
      <c r="O93" s="355" t="s">
        <v>762</v>
      </c>
      <c r="P93" s="355"/>
      <c r="Q93" s="319">
        <v>7357.93</v>
      </c>
      <c r="R93" s="319">
        <f t="shared" si="0"/>
        <v>-7357.93</v>
      </c>
      <c r="S93" s="319" t="str">
        <f>VLOOKUP(H93,'Fund Utilization Report'!$A$4:$U$1800,13,FALSE)</f>
        <v>PS</v>
      </c>
      <c r="T93" s="319" t="str">
        <f>VLOOKUP(H93,'Fund Utilization Report'!$A$4:$U$1800,2,FALSE)</f>
        <v>GAA</v>
      </c>
      <c r="U93" s="319" t="str">
        <f>VLOOKUP(H93,'Fund Utilization Report'!$A$4:$U$1800,3,FALSE)</f>
        <v>FY2021, RA11518</v>
      </c>
      <c r="V93" s="319" t="str">
        <f>VLOOKUP(H93,'Fund Utilization Report'!$A$4:$U$1800,4,FALSE)</f>
        <v>OO1</v>
      </c>
      <c r="W93" s="319" t="str">
        <f>VLOOKUP(H93,'Fund Utilization Report'!$A$4:$U$1800,5,FALSE)</f>
        <v>01101101</v>
      </c>
      <c r="X93" s="319" t="str">
        <f>VLOOKUP(H93,'Fund Utilization Report'!$A$4:$U$1800,6,FALSE)</f>
        <v>GOP</v>
      </c>
      <c r="Y93" s="320" t="str">
        <f>VLOOKUP(H93,'Fund Utilization Report'!$A$4:$U$1800,7,FALSE)</f>
        <v>PS</v>
      </c>
      <c r="Z93" s="321">
        <f>VLOOKUP(H93,'Fund Utilization Report'!$A$4:$U$1800,8,FALSE)</f>
        <v>5010000000</v>
      </c>
      <c r="AA93" s="319" t="str">
        <f>VLOOKUP(H93,'Fund Utilization Report'!$A$4:$U$1800,14,FALSE)</f>
        <v>310100100002000</v>
      </c>
      <c r="AB93" s="349" t="str">
        <f>VLOOKUP(H93,'Fund Utilization Report'!$A$4:$U$1800,15,FALSE)</f>
        <v>Development,Facilitation, and promotion of exports and investment, domestic and foreign</v>
      </c>
      <c r="AC93" s="55" t="s">
        <v>0</v>
      </c>
      <c r="AD93" s="38">
        <v>1</v>
      </c>
      <c r="AE93" s="55">
        <v>733</v>
      </c>
      <c r="AF93" s="51" t="str">
        <f>VLOOKUP(AE93,'[2]Chart of accounts'!A:H,2,FALSE)</f>
        <v>50103030 01</v>
      </c>
      <c r="AG93" s="53" t="s">
        <v>1</v>
      </c>
      <c r="AH93" s="53" t="s">
        <v>1</v>
      </c>
    </row>
    <row r="94" spans="1:34" s="32" customFormat="1" ht="27.6">
      <c r="A94" s="338" t="s">
        <v>942</v>
      </c>
      <c r="B94" s="338" t="s">
        <v>943</v>
      </c>
      <c r="C94" s="358">
        <v>44211</v>
      </c>
      <c r="D94" s="351" t="s">
        <v>759</v>
      </c>
      <c r="E94" s="352" t="s">
        <v>767</v>
      </c>
      <c r="F94" s="359">
        <v>0.60069444444444442</v>
      </c>
      <c r="G94" s="359">
        <v>0.6069444444444444</v>
      </c>
      <c r="H94" s="359" t="s">
        <v>964</v>
      </c>
      <c r="I94" s="321">
        <v>734</v>
      </c>
      <c r="J94" s="338" t="str">
        <f>IFERROR(VLOOKUP(I94,'Chart of accounts'!A:H,2,FALSE),"")</f>
        <v>50103040 01</v>
      </c>
      <c r="K94" s="338" t="str">
        <f>IFERROR(VLOOKUP(I94,'Chart of accounts'!A:H,3,FALSE),"")</f>
        <v>ECIP - Civilian</v>
      </c>
      <c r="L94" s="338" t="str">
        <f>IFERROR(VLOOKUP(I94,'Chart of accounts'!A:H,4,FALSE),"")</f>
        <v>50103040 01 - ECIP - Civilian (734)</v>
      </c>
      <c r="M94" s="360" t="s">
        <v>771</v>
      </c>
      <c r="N94" s="355" t="s">
        <v>768</v>
      </c>
      <c r="O94" s="355" t="s">
        <v>762</v>
      </c>
      <c r="P94" s="355"/>
      <c r="Q94" s="319">
        <v>1200</v>
      </c>
      <c r="R94" s="319">
        <f t="shared" si="0"/>
        <v>-1200</v>
      </c>
      <c r="S94" s="319" t="str">
        <f>VLOOKUP(H94,'Fund Utilization Report'!$A$4:$U$1800,13,FALSE)</f>
        <v>PS</v>
      </c>
      <c r="T94" s="319" t="str">
        <f>VLOOKUP(H94,'Fund Utilization Report'!$A$4:$U$1800,2,FALSE)</f>
        <v>GAA</v>
      </c>
      <c r="U94" s="319" t="str">
        <f>VLOOKUP(H94,'Fund Utilization Report'!$A$4:$U$1800,3,FALSE)</f>
        <v>FY2021, RA11518</v>
      </c>
      <c r="V94" s="319" t="str">
        <f>VLOOKUP(H94,'Fund Utilization Report'!$A$4:$U$1800,4,FALSE)</f>
        <v>OO1</v>
      </c>
      <c r="W94" s="319" t="str">
        <f>VLOOKUP(H94,'Fund Utilization Report'!$A$4:$U$1800,5,FALSE)</f>
        <v>01101101</v>
      </c>
      <c r="X94" s="319" t="str">
        <f>VLOOKUP(H94,'Fund Utilization Report'!$A$4:$U$1800,6,FALSE)</f>
        <v>GOP</v>
      </c>
      <c r="Y94" s="320" t="str">
        <f>VLOOKUP(H94,'Fund Utilization Report'!$A$4:$U$1800,7,FALSE)</f>
        <v>PS</v>
      </c>
      <c r="Z94" s="321">
        <f>VLOOKUP(H94,'Fund Utilization Report'!$A$4:$U$1800,8,FALSE)</f>
        <v>5010000000</v>
      </c>
      <c r="AA94" s="319" t="str">
        <f>VLOOKUP(H94,'Fund Utilization Report'!$A$4:$U$1800,14,FALSE)</f>
        <v>310100100002000</v>
      </c>
      <c r="AB94" s="349" t="str">
        <f>VLOOKUP(H94,'Fund Utilization Report'!$A$4:$U$1800,15,FALSE)</f>
        <v>Development,Facilitation, and promotion of exports and investment, domestic and foreign</v>
      </c>
      <c r="AC94" s="55" t="s">
        <v>0</v>
      </c>
      <c r="AD94" s="38">
        <v>1</v>
      </c>
      <c r="AE94" s="55">
        <v>734</v>
      </c>
      <c r="AF94" s="51" t="str">
        <f>VLOOKUP(AE94,'[2]Chart of accounts'!A:H,2,FALSE)</f>
        <v>50103040 01</v>
      </c>
      <c r="AG94" s="53" t="s">
        <v>1</v>
      </c>
      <c r="AH94" s="53" t="s">
        <v>1</v>
      </c>
    </row>
    <row r="95" spans="1:34" s="32" customFormat="1">
      <c r="A95" s="338" t="s">
        <v>942</v>
      </c>
      <c r="B95" s="338" t="s">
        <v>943</v>
      </c>
      <c r="C95" s="358">
        <v>44214</v>
      </c>
      <c r="D95" s="351" t="s">
        <v>759</v>
      </c>
      <c r="E95" s="352" t="s">
        <v>772</v>
      </c>
      <c r="F95" s="338">
        <v>0.38958333333333334</v>
      </c>
      <c r="G95" s="338">
        <v>0.39444444444444443</v>
      </c>
      <c r="H95" s="338" t="s">
        <v>961</v>
      </c>
      <c r="I95" s="353">
        <v>755</v>
      </c>
      <c r="J95" s="338" t="str">
        <f>IFERROR(VLOOKUP(I95,'Chart of accounts'!A:H,2,FALSE),"")</f>
        <v>50203010 00</v>
      </c>
      <c r="K95" s="338" t="str">
        <f>IFERROR(VLOOKUP(I95,'Chart of accounts'!A:H,3,FALSE),"")</f>
        <v>Office Supplies Expenses</v>
      </c>
      <c r="L95" s="338" t="str">
        <f>IFERROR(VLOOKUP(I95,'Chart of accounts'!A:H,4,FALSE),"")</f>
        <v>50203010 00 - Office Supplies Expenses (755)</v>
      </c>
      <c r="M95" s="361" t="s">
        <v>2</v>
      </c>
      <c r="N95" s="355" t="s">
        <v>773</v>
      </c>
      <c r="O95" s="355" t="s">
        <v>774</v>
      </c>
      <c r="P95" s="355"/>
      <c r="Q95" s="362">
        <v>1000</v>
      </c>
      <c r="R95" s="319">
        <f t="shared" si="0"/>
        <v>-1000</v>
      </c>
      <c r="S95" s="319" t="str">
        <f>VLOOKUP(H95,'Fund Utilization Report'!$A$4:$U$1800,13,FALSE)</f>
        <v>MOOE</v>
      </c>
      <c r="T95" s="319" t="str">
        <f>VLOOKUP(H95,'Fund Utilization Report'!$A$4:$U$1800,2,FALSE)</f>
        <v>GAA</v>
      </c>
      <c r="U95" s="319" t="str">
        <f>VLOOKUP(H95,'Fund Utilization Report'!$A$4:$U$1800,3,FALSE)</f>
        <v>FY2021, RA11518</v>
      </c>
      <c r="V95" s="319" t="str">
        <f>VLOOKUP(H95,'Fund Utilization Report'!$A$4:$U$1800,4,FALSE)</f>
        <v>GAS(GMS)</v>
      </c>
      <c r="W95" s="319" t="str">
        <f>VLOOKUP(H95,'Fund Utilization Report'!$A$4:$U$1800,5,FALSE)</f>
        <v>01101101</v>
      </c>
      <c r="X95" s="319" t="str">
        <f>VLOOKUP(H95,'Fund Utilization Report'!$A$4:$U$1800,6,FALSE)</f>
        <v>GOP</v>
      </c>
      <c r="Y95" s="320" t="str">
        <f>VLOOKUP(H95,'Fund Utilization Report'!$A$4:$U$1800,7,FALSE)</f>
        <v>MOOE</v>
      </c>
      <c r="Z95" s="321">
        <f>VLOOKUP(H95,'Fund Utilization Report'!$A$4:$U$1800,8,FALSE)</f>
        <v>5020000000</v>
      </c>
      <c r="AA95" s="319" t="str">
        <f>VLOOKUP(H95,'Fund Utilization Report'!$A$4:$U$1800,14,FALSE)</f>
        <v>100000100001000</v>
      </c>
      <c r="AB95" s="349" t="str">
        <f>VLOOKUP(H95,'Fund Utilization Report'!$A$4:$U$1800,15,FALSE)</f>
        <v>General Administration and Supervision - General Management and Supervision</v>
      </c>
      <c r="AC95" s="55" t="s">
        <v>0</v>
      </c>
      <c r="AD95" s="38">
        <v>2</v>
      </c>
      <c r="AE95" s="39">
        <v>755</v>
      </c>
      <c r="AF95" s="39" t="str">
        <f>VLOOKUP(AE95,'[3]Chart of accounts'!A:H,2,FALSE)</f>
        <v>50203010 00</v>
      </c>
      <c r="AG95" s="40" t="s">
        <v>3</v>
      </c>
      <c r="AH95" s="40" t="s">
        <v>3</v>
      </c>
    </row>
    <row r="96" spans="1:34" s="32" customFormat="1">
      <c r="A96" s="338" t="s">
        <v>942</v>
      </c>
      <c r="B96" s="338" t="s">
        <v>943</v>
      </c>
      <c r="C96" s="358">
        <v>44214</v>
      </c>
      <c r="D96" s="351" t="s">
        <v>759</v>
      </c>
      <c r="E96" s="352" t="s">
        <v>772</v>
      </c>
      <c r="F96" s="338">
        <v>0.38958333333333334</v>
      </c>
      <c r="G96" s="338">
        <v>0.39444444444444443</v>
      </c>
      <c r="H96" s="338" t="s">
        <v>961</v>
      </c>
      <c r="I96" s="353">
        <v>765</v>
      </c>
      <c r="J96" s="338" t="str">
        <f>IFERROR(VLOOKUP(I96,'Chart of accounts'!A:H,2,FALSE),"")</f>
        <v>50203990 00</v>
      </c>
      <c r="K96" s="338" t="str">
        <f>IFERROR(VLOOKUP(I96,'Chart of accounts'!A:H,3,FALSE),"")</f>
        <v>Other Supplies and Materials Expenses</v>
      </c>
      <c r="L96" s="338" t="str">
        <f>IFERROR(VLOOKUP(I96,'Chart of accounts'!A:H,4,FALSE),"")</f>
        <v>50203990 00 - Other Supplies and Materials Expenses (765)</v>
      </c>
      <c r="M96" s="361" t="s">
        <v>2</v>
      </c>
      <c r="N96" s="355" t="s">
        <v>773</v>
      </c>
      <c r="O96" s="355" t="s">
        <v>774</v>
      </c>
      <c r="P96" s="355"/>
      <c r="Q96" s="362">
        <v>600</v>
      </c>
      <c r="R96" s="319">
        <f t="shared" si="0"/>
        <v>-600</v>
      </c>
      <c r="S96" s="319" t="str">
        <f>VLOOKUP(H96,'Fund Utilization Report'!$A$4:$U$1800,13,FALSE)</f>
        <v>MOOE</v>
      </c>
      <c r="T96" s="319" t="str">
        <f>VLOOKUP(H96,'Fund Utilization Report'!$A$4:$U$1800,2,FALSE)</f>
        <v>GAA</v>
      </c>
      <c r="U96" s="319" t="str">
        <f>VLOOKUP(H96,'Fund Utilization Report'!$A$4:$U$1800,3,FALSE)</f>
        <v>FY2021, RA11518</v>
      </c>
      <c r="V96" s="319" t="str">
        <f>VLOOKUP(H96,'Fund Utilization Report'!$A$4:$U$1800,4,FALSE)</f>
        <v>GAS(GMS)</v>
      </c>
      <c r="W96" s="319" t="str">
        <f>VLOOKUP(H96,'Fund Utilization Report'!$A$4:$U$1800,5,FALSE)</f>
        <v>01101101</v>
      </c>
      <c r="X96" s="319" t="str">
        <f>VLOOKUP(H96,'Fund Utilization Report'!$A$4:$U$1800,6,FALSE)</f>
        <v>GOP</v>
      </c>
      <c r="Y96" s="320" t="str">
        <f>VLOOKUP(H96,'Fund Utilization Report'!$A$4:$U$1800,7,FALSE)</f>
        <v>MOOE</v>
      </c>
      <c r="Z96" s="321">
        <f>VLOOKUP(H96,'Fund Utilization Report'!$A$4:$U$1800,8,FALSE)</f>
        <v>5020000000</v>
      </c>
      <c r="AA96" s="319" t="str">
        <f>VLOOKUP(H96,'Fund Utilization Report'!$A$4:$U$1800,14,FALSE)</f>
        <v>100000100001000</v>
      </c>
      <c r="AB96" s="349" t="str">
        <f>VLOOKUP(H96,'Fund Utilization Report'!$A$4:$U$1800,15,FALSE)</f>
        <v>General Administration and Supervision - General Management and Supervision</v>
      </c>
      <c r="AC96" s="55" t="s">
        <v>0</v>
      </c>
      <c r="AD96" s="38">
        <v>2</v>
      </c>
      <c r="AE96" s="39">
        <v>765</v>
      </c>
      <c r="AF96" s="39" t="str">
        <f>VLOOKUP(AE96,'[3]Chart of accounts'!A:H,2,FALSE)</f>
        <v>50203990 00</v>
      </c>
      <c r="AG96" s="40" t="s">
        <v>3</v>
      </c>
      <c r="AH96" s="40" t="s">
        <v>3</v>
      </c>
    </row>
    <row r="97" spans="1:34" s="32" customFormat="1">
      <c r="A97" s="338" t="s">
        <v>942</v>
      </c>
      <c r="B97" s="338" t="s">
        <v>943</v>
      </c>
      <c r="C97" s="358">
        <v>44214</v>
      </c>
      <c r="D97" s="351" t="s">
        <v>759</v>
      </c>
      <c r="E97" s="352" t="s">
        <v>772</v>
      </c>
      <c r="F97" s="338">
        <v>0.38958333333333334</v>
      </c>
      <c r="G97" s="338">
        <v>0.39444444444444443</v>
      </c>
      <c r="H97" s="338" t="s">
        <v>961</v>
      </c>
      <c r="I97" s="353">
        <v>781</v>
      </c>
      <c r="J97" s="338" t="str">
        <f>IFERROR(VLOOKUP(I97,'Chart of accounts'!A:H,2,FALSE),"")</f>
        <v>50299020 00</v>
      </c>
      <c r="K97" s="338" t="str">
        <f>IFERROR(VLOOKUP(I97,'Chart of accounts'!A:H,3,FALSE),"")</f>
        <v>Printing and Binding Expenses</v>
      </c>
      <c r="L97" s="338" t="str">
        <f>IFERROR(VLOOKUP(I97,'Chart of accounts'!A:H,4,FALSE),"")</f>
        <v>50299020 00 - Printing and Binding Expenses (781)</v>
      </c>
      <c r="M97" s="361" t="s">
        <v>2</v>
      </c>
      <c r="N97" s="355" t="s">
        <v>773</v>
      </c>
      <c r="O97" s="355" t="s">
        <v>774</v>
      </c>
      <c r="P97" s="355"/>
      <c r="Q97" s="362">
        <v>300</v>
      </c>
      <c r="R97" s="319">
        <f t="shared" si="0"/>
        <v>-300</v>
      </c>
      <c r="S97" s="319" t="str">
        <f>VLOOKUP(H97,'Fund Utilization Report'!$A$4:$U$1800,13,FALSE)</f>
        <v>MOOE</v>
      </c>
      <c r="T97" s="319" t="str">
        <f>VLOOKUP(H97,'Fund Utilization Report'!$A$4:$U$1800,2,FALSE)</f>
        <v>GAA</v>
      </c>
      <c r="U97" s="319" t="str">
        <f>VLOOKUP(H97,'Fund Utilization Report'!$A$4:$U$1800,3,FALSE)</f>
        <v>FY2021, RA11518</v>
      </c>
      <c r="V97" s="319" t="str">
        <f>VLOOKUP(H97,'Fund Utilization Report'!$A$4:$U$1800,4,FALSE)</f>
        <v>GAS(GMS)</v>
      </c>
      <c r="W97" s="319" t="str">
        <f>VLOOKUP(H97,'Fund Utilization Report'!$A$4:$U$1800,5,FALSE)</f>
        <v>01101101</v>
      </c>
      <c r="X97" s="319" t="str">
        <f>VLOOKUP(H97,'Fund Utilization Report'!$A$4:$U$1800,6,FALSE)</f>
        <v>GOP</v>
      </c>
      <c r="Y97" s="320" t="str">
        <f>VLOOKUP(H97,'Fund Utilization Report'!$A$4:$U$1800,7,FALSE)</f>
        <v>MOOE</v>
      </c>
      <c r="Z97" s="321">
        <f>VLOOKUP(H97,'Fund Utilization Report'!$A$4:$U$1800,8,FALSE)</f>
        <v>5020000000</v>
      </c>
      <c r="AA97" s="319" t="str">
        <f>VLOOKUP(H97,'Fund Utilization Report'!$A$4:$U$1800,14,FALSE)</f>
        <v>100000100001000</v>
      </c>
      <c r="AB97" s="349" t="str">
        <f>VLOOKUP(H97,'Fund Utilization Report'!$A$4:$U$1800,15,FALSE)</f>
        <v>General Administration and Supervision - General Management and Supervision</v>
      </c>
      <c r="AC97" s="55" t="s">
        <v>0</v>
      </c>
      <c r="AD97" s="38">
        <v>2</v>
      </c>
      <c r="AE97" s="39">
        <v>781</v>
      </c>
      <c r="AF97" s="39" t="str">
        <f>VLOOKUP(AE97,'[3]Chart of accounts'!A:H,2,FALSE)</f>
        <v>50299020 00</v>
      </c>
      <c r="AG97" s="40" t="s">
        <v>3</v>
      </c>
      <c r="AH97" s="40" t="s">
        <v>3</v>
      </c>
    </row>
    <row r="98" spans="1:34" s="32" customFormat="1">
      <c r="A98" s="338" t="s">
        <v>942</v>
      </c>
      <c r="B98" s="338" t="s">
        <v>943</v>
      </c>
      <c r="C98" s="358">
        <v>44214</v>
      </c>
      <c r="D98" s="351" t="s">
        <v>759</v>
      </c>
      <c r="E98" s="352" t="s">
        <v>772</v>
      </c>
      <c r="F98" s="338">
        <v>0.38958333333333334</v>
      </c>
      <c r="G98" s="338">
        <v>0.39444444444444443</v>
      </c>
      <c r="H98" s="338" t="s">
        <v>961</v>
      </c>
      <c r="I98" s="353">
        <v>795</v>
      </c>
      <c r="J98" s="338" t="str">
        <f>IFERROR(VLOOKUP(I98,'Chart of accounts'!A:H,2,FALSE),"")</f>
        <v>50212990 00</v>
      </c>
      <c r="K98" s="338" t="str">
        <f>IFERROR(VLOOKUP(I98,'Chart of accounts'!A:H,3,FALSE),"")</f>
        <v>Other General Services</v>
      </c>
      <c r="L98" s="338" t="str">
        <f>IFERROR(VLOOKUP(I98,'Chart of accounts'!A:H,4,FALSE),"")</f>
        <v>50212990 00 - Other General Services (795)</v>
      </c>
      <c r="M98" s="361" t="s">
        <v>2</v>
      </c>
      <c r="N98" s="355" t="s">
        <v>773</v>
      </c>
      <c r="O98" s="355" t="s">
        <v>774</v>
      </c>
      <c r="P98" s="355"/>
      <c r="Q98" s="362">
        <v>1500</v>
      </c>
      <c r="R98" s="319">
        <f t="shared" si="0"/>
        <v>-1500</v>
      </c>
      <c r="S98" s="319" t="str">
        <f>VLOOKUP(H98,'Fund Utilization Report'!$A$4:$U$1800,13,FALSE)</f>
        <v>MOOE</v>
      </c>
      <c r="T98" s="319" t="str">
        <f>VLOOKUP(H98,'Fund Utilization Report'!$A$4:$U$1800,2,FALSE)</f>
        <v>GAA</v>
      </c>
      <c r="U98" s="319" t="str">
        <f>VLOOKUP(H98,'Fund Utilization Report'!$A$4:$U$1800,3,FALSE)</f>
        <v>FY2021, RA11518</v>
      </c>
      <c r="V98" s="319" t="str">
        <f>VLOOKUP(H98,'Fund Utilization Report'!$A$4:$U$1800,4,FALSE)</f>
        <v>GAS(GMS)</v>
      </c>
      <c r="W98" s="319" t="str">
        <f>VLOOKUP(H98,'Fund Utilization Report'!$A$4:$U$1800,5,FALSE)</f>
        <v>01101101</v>
      </c>
      <c r="X98" s="319" t="str">
        <f>VLOOKUP(H98,'Fund Utilization Report'!$A$4:$U$1800,6,FALSE)</f>
        <v>GOP</v>
      </c>
      <c r="Y98" s="320" t="str">
        <f>VLOOKUP(H98,'Fund Utilization Report'!$A$4:$U$1800,7,FALSE)</f>
        <v>MOOE</v>
      </c>
      <c r="Z98" s="321">
        <f>VLOOKUP(H98,'Fund Utilization Report'!$A$4:$U$1800,8,FALSE)</f>
        <v>5020000000</v>
      </c>
      <c r="AA98" s="319" t="str">
        <f>VLOOKUP(H98,'Fund Utilization Report'!$A$4:$U$1800,14,FALSE)</f>
        <v>100000100001000</v>
      </c>
      <c r="AB98" s="349" t="str">
        <f>VLOOKUP(H98,'Fund Utilization Report'!$A$4:$U$1800,15,FALSE)</f>
        <v>General Administration and Supervision - General Management and Supervision</v>
      </c>
      <c r="AC98" s="55" t="s">
        <v>0</v>
      </c>
      <c r="AD98" s="38">
        <v>2</v>
      </c>
      <c r="AE98" s="39">
        <v>795</v>
      </c>
      <c r="AF98" s="39" t="str">
        <f>VLOOKUP(AE98,'[3]Chart of accounts'!A:H,2,FALSE)</f>
        <v>50212990 00</v>
      </c>
      <c r="AG98" s="40" t="s">
        <v>3</v>
      </c>
      <c r="AH98" s="40" t="s">
        <v>3</v>
      </c>
    </row>
    <row r="99" spans="1:34" s="32" customFormat="1">
      <c r="A99" s="338" t="s">
        <v>942</v>
      </c>
      <c r="B99" s="338" t="s">
        <v>943</v>
      </c>
      <c r="C99" s="358">
        <v>44214</v>
      </c>
      <c r="D99" s="351" t="s">
        <v>759</v>
      </c>
      <c r="E99" s="352" t="s">
        <v>772</v>
      </c>
      <c r="F99" s="338">
        <v>0.38958333333333334</v>
      </c>
      <c r="G99" s="338">
        <v>0.39444444444444443</v>
      </c>
      <c r="H99" s="338" t="s">
        <v>961</v>
      </c>
      <c r="I99" s="353">
        <v>799</v>
      </c>
      <c r="J99" s="338" t="str">
        <f>IFERROR(VLOOKUP(I99,'Chart of accounts'!A:H,2,FALSE),"")</f>
        <v>50211990 00</v>
      </c>
      <c r="K99" s="338" t="str">
        <f>IFERROR(VLOOKUP(I99,'Chart of accounts'!A:H,3,FALSE),"")</f>
        <v>Other Professional Services</v>
      </c>
      <c r="L99" s="338" t="str">
        <f>IFERROR(VLOOKUP(I99,'Chart of accounts'!A:H,4,FALSE),"")</f>
        <v>50211990 00 - Other Professional Services (799)</v>
      </c>
      <c r="M99" s="361" t="s">
        <v>2</v>
      </c>
      <c r="N99" s="355" t="s">
        <v>773</v>
      </c>
      <c r="O99" s="355" t="s">
        <v>774</v>
      </c>
      <c r="P99" s="355"/>
      <c r="Q99" s="363">
        <v>1000</v>
      </c>
      <c r="R99" s="319">
        <f t="shared" si="0"/>
        <v>-1000</v>
      </c>
      <c r="S99" s="319" t="str">
        <f>VLOOKUP(H99,'Fund Utilization Report'!$A$4:$U$1800,13,FALSE)</f>
        <v>MOOE</v>
      </c>
      <c r="T99" s="319" t="str">
        <f>VLOOKUP(H99,'Fund Utilization Report'!$A$4:$U$1800,2,FALSE)</f>
        <v>GAA</v>
      </c>
      <c r="U99" s="319" t="str">
        <f>VLOOKUP(H99,'Fund Utilization Report'!$A$4:$U$1800,3,FALSE)</f>
        <v>FY2021, RA11518</v>
      </c>
      <c r="V99" s="319" t="str">
        <f>VLOOKUP(H99,'Fund Utilization Report'!$A$4:$U$1800,4,FALSE)</f>
        <v>GAS(GMS)</v>
      </c>
      <c r="W99" s="319" t="str">
        <f>VLOOKUP(H99,'Fund Utilization Report'!$A$4:$U$1800,5,FALSE)</f>
        <v>01101101</v>
      </c>
      <c r="X99" s="319" t="str">
        <f>VLOOKUP(H99,'Fund Utilization Report'!$A$4:$U$1800,6,FALSE)</f>
        <v>GOP</v>
      </c>
      <c r="Y99" s="320" t="str">
        <f>VLOOKUP(H99,'Fund Utilization Report'!$A$4:$U$1800,7,FALSE)</f>
        <v>MOOE</v>
      </c>
      <c r="Z99" s="321">
        <f>VLOOKUP(H99,'Fund Utilization Report'!$A$4:$U$1800,8,FALSE)</f>
        <v>5020000000</v>
      </c>
      <c r="AA99" s="319" t="str">
        <f>VLOOKUP(H99,'Fund Utilization Report'!$A$4:$U$1800,14,FALSE)</f>
        <v>100000100001000</v>
      </c>
      <c r="AB99" s="349" t="str">
        <f>VLOOKUP(H99,'Fund Utilization Report'!$A$4:$U$1800,15,FALSE)</f>
        <v>General Administration and Supervision - General Management and Supervision</v>
      </c>
      <c r="AC99" s="55" t="s">
        <v>0</v>
      </c>
      <c r="AD99" s="38">
        <v>2</v>
      </c>
      <c r="AE99" s="39">
        <v>799</v>
      </c>
      <c r="AF99" s="39" t="str">
        <f>VLOOKUP(AE99,'[3]Chart of accounts'!A:H,2,FALSE)</f>
        <v>50211990 00</v>
      </c>
      <c r="AG99" s="40" t="s">
        <v>3</v>
      </c>
      <c r="AH99" s="40" t="s">
        <v>3</v>
      </c>
    </row>
    <row r="100" spans="1:34" s="32" customFormat="1">
      <c r="A100" s="338" t="s">
        <v>942</v>
      </c>
      <c r="B100" s="338" t="s">
        <v>943</v>
      </c>
      <c r="C100" s="358">
        <v>44214</v>
      </c>
      <c r="D100" s="351" t="s">
        <v>759</v>
      </c>
      <c r="E100" s="352" t="s">
        <v>772</v>
      </c>
      <c r="F100" s="338">
        <v>0.38958333333333334</v>
      </c>
      <c r="G100" s="338">
        <v>0.39444444444444443</v>
      </c>
      <c r="H100" s="338" t="s">
        <v>961</v>
      </c>
      <c r="I100" s="353">
        <v>969</v>
      </c>
      <c r="J100" s="338" t="str">
        <f>IFERROR(VLOOKUP(I100,'Chart of accounts'!A:H,2,FALSE),"")</f>
        <v>50299990 99</v>
      </c>
      <c r="K100" s="338" t="str">
        <f>IFERROR(VLOOKUP(I100,'Chart of accounts'!A:H,3,FALSE),"")</f>
        <v>Other Maintenance and Operating Expenses</v>
      </c>
      <c r="L100" s="338" t="str">
        <f>IFERROR(VLOOKUP(I100,'Chart of accounts'!A:H,4,FALSE),"")</f>
        <v>50299990 99 - Other Maintenance and Operating Expenses (969)</v>
      </c>
      <c r="M100" s="361" t="s">
        <v>2</v>
      </c>
      <c r="N100" s="355" t="s">
        <v>773</v>
      </c>
      <c r="O100" s="355" t="s">
        <v>774</v>
      </c>
      <c r="P100" s="355"/>
      <c r="Q100" s="363">
        <v>600</v>
      </c>
      <c r="R100" s="319">
        <f t="shared" si="0"/>
        <v>-600</v>
      </c>
      <c r="S100" s="319" t="str">
        <f>VLOOKUP(H100,'Fund Utilization Report'!$A$4:$U$1800,13,FALSE)</f>
        <v>MOOE</v>
      </c>
      <c r="T100" s="319" t="str">
        <f>VLOOKUP(H100,'Fund Utilization Report'!$A$4:$U$1800,2,FALSE)</f>
        <v>GAA</v>
      </c>
      <c r="U100" s="319" t="str">
        <f>VLOOKUP(H100,'Fund Utilization Report'!$A$4:$U$1800,3,FALSE)</f>
        <v>FY2021, RA11518</v>
      </c>
      <c r="V100" s="319" t="str">
        <f>VLOOKUP(H100,'Fund Utilization Report'!$A$4:$U$1800,4,FALSE)</f>
        <v>GAS(GMS)</v>
      </c>
      <c r="W100" s="319" t="str">
        <f>VLOOKUP(H100,'Fund Utilization Report'!$A$4:$U$1800,5,FALSE)</f>
        <v>01101101</v>
      </c>
      <c r="X100" s="319" t="str">
        <f>VLOOKUP(H100,'Fund Utilization Report'!$A$4:$U$1800,6,FALSE)</f>
        <v>GOP</v>
      </c>
      <c r="Y100" s="320" t="str">
        <f>VLOOKUP(H100,'Fund Utilization Report'!$A$4:$U$1800,7,FALSE)</f>
        <v>MOOE</v>
      </c>
      <c r="Z100" s="321">
        <f>VLOOKUP(H100,'Fund Utilization Report'!$A$4:$U$1800,8,FALSE)</f>
        <v>5020000000</v>
      </c>
      <c r="AA100" s="319" t="str">
        <f>VLOOKUP(H100,'Fund Utilization Report'!$A$4:$U$1800,14,FALSE)</f>
        <v>100000100001000</v>
      </c>
      <c r="AB100" s="349" t="str">
        <f>VLOOKUP(H100,'Fund Utilization Report'!$A$4:$U$1800,15,FALSE)</f>
        <v>General Administration and Supervision - General Management and Supervision</v>
      </c>
      <c r="AC100" s="55" t="s">
        <v>0</v>
      </c>
      <c r="AD100" s="38">
        <v>2</v>
      </c>
      <c r="AE100" s="39">
        <v>969</v>
      </c>
      <c r="AF100" s="39" t="str">
        <f>VLOOKUP(AE100,'[3]Chart of accounts'!A:H,2,FALSE)</f>
        <v>50299990 99</v>
      </c>
      <c r="AG100" s="40" t="s">
        <v>3</v>
      </c>
      <c r="AH100" s="40" t="s">
        <v>3</v>
      </c>
    </row>
    <row r="101" spans="1:34" s="32" customFormat="1" ht="27.6">
      <c r="A101" s="338" t="s">
        <v>942</v>
      </c>
      <c r="B101" s="338" t="s">
        <v>943</v>
      </c>
      <c r="C101" s="358">
        <v>44214</v>
      </c>
      <c r="D101" s="351" t="s">
        <v>759</v>
      </c>
      <c r="E101" s="352" t="s">
        <v>775</v>
      </c>
      <c r="F101" s="359">
        <v>0.72083333333333333</v>
      </c>
      <c r="G101" s="359">
        <v>0.72152777777777777</v>
      </c>
      <c r="H101" s="359" t="s">
        <v>967</v>
      </c>
      <c r="I101" s="321">
        <v>701</v>
      </c>
      <c r="J101" s="338" t="str">
        <f>IFERROR(VLOOKUP(I101,'Chart of accounts'!A:H,2,FALSE),"")</f>
        <v>50101010 01</v>
      </c>
      <c r="K101" s="338" t="str">
        <f>IFERROR(VLOOKUP(I101,'Chart of accounts'!A:H,3,FALSE),"")</f>
        <v>Basic Salary - Civilian</v>
      </c>
      <c r="L101" s="338" t="str">
        <f>IFERROR(VLOOKUP(I101,'Chart of accounts'!A:H,4,FALSE),"")</f>
        <v>50101010 01 - Basic Salary - Civilian (701)</v>
      </c>
      <c r="M101" s="360" t="s">
        <v>776</v>
      </c>
      <c r="N101" s="355" t="s">
        <v>777</v>
      </c>
      <c r="O101" s="355" t="s">
        <v>762</v>
      </c>
      <c r="P101" s="355"/>
      <c r="Q101" s="319">
        <v>377147</v>
      </c>
      <c r="R101" s="319">
        <f t="shared" si="0"/>
        <v>-377147</v>
      </c>
      <c r="S101" s="319" t="str">
        <f>VLOOKUP(H101,'Fund Utilization Report'!$A$4:$U$1800,13,FALSE)</f>
        <v>PS</v>
      </c>
      <c r="T101" s="319" t="str">
        <f>VLOOKUP(H101,'Fund Utilization Report'!$A$4:$U$1800,2,FALSE)</f>
        <v>GAA</v>
      </c>
      <c r="U101" s="319" t="str">
        <f>VLOOKUP(H101,'Fund Utilization Report'!$A$4:$U$1800,3,FALSE)</f>
        <v>FY2021, RA11518</v>
      </c>
      <c r="V101" s="319" t="str">
        <f>VLOOKUP(H101,'Fund Utilization Report'!$A$4:$U$1800,4,FALSE)</f>
        <v>OO2</v>
      </c>
      <c r="W101" s="319" t="str">
        <f>VLOOKUP(H101,'Fund Utilization Report'!$A$4:$U$1800,5,FALSE)</f>
        <v>01101101</v>
      </c>
      <c r="X101" s="319" t="str">
        <f>VLOOKUP(H101,'Fund Utilization Report'!$A$4:$U$1800,6,FALSE)</f>
        <v>GOP</v>
      </c>
      <c r="Y101" s="320" t="str">
        <f>VLOOKUP(H101,'Fund Utilization Report'!$A$4:$U$1800,7,FALSE)</f>
        <v>PS</v>
      </c>
      <c r="Z101" s="321">
        <f>VLOOKUP(H101,'Fund Utilization Report'!$A$4:$U$1800,8,FALSE)</f>
        <v>5010000000</v>
      </c>
      <c r="AA101" s="319" t="str">
        <f>VLOOKUP(H101,'Fund Utilization Report'!$A$4:$U$1800,14,FALSE)</f>
        <v>320100100001000</v>
      </c>
      <c r="AB101" s="349" t="str">
        <f>VLOOKUP(H101,'Fund Utilization Report'!$A$4:$U$1800,15,FALSE)</f>
        <v>Formulation of Strategic plans,programs, and policies to develop competitve industries</v>
      </c>
      <c r="AC101" s="55" t="s">
        <v>0</v>
      </c>
      <c r="AD101" s="38">
        <v>1</v>
      </c>
      <c r="AE101" s="39">
        <v>701</v>
      </c>
      <c r="AF101" s="51" t="str">
        <f>VLOOKUP(AE101,'[2]Chart of accounts'!A:H,2,FALSE)</f>
        <v>50101010 01</v>
      </c>
      <c r="AG101" s="53" t="s">
        <v>1</v>
      </c>
      <c r="AH101" s="53" t="s">
        <v>1</v>
      </c>
    </row>
    <row r="102" spans="1:34" s="32" customFormat="1" ht="27.6">
      <c r="A102" s="338" t="s">
        <v>942</v>
      </c>
      <c r="B102" s="338" t="s">
        <v>943</v>
      </c>
      <c r="C102" s="358">
        <v>44214</v>
      </c>
      <c r="D102" s="351" t="s">
        <v>759</v>
      </c>
      <c r="E102" s="352" t="s">
        <v>775</v>
      </c>
      <c r="F102" s="359">
        <v>0.72083333333333333</v>
      </c>
      <c r="G102" s="359">
        <v>0.72152777777777777</v>
      </c>
      <c r="H102" s="359" t="s">
        <v>967</v>
      </c>
      <c r="I102" s="321">
        <v>711</v>
      </c>
      <c r="J102" s="338" t="str">
        <f>IFERROR(VLOOKUP(I102,'Chart of accounts'!A:H,2,FALSE),"")</f>
        <v>50102010 01</v>
      </c>
      <c r="K102" s="338" t="str">
        <f>IFERROR(VLOOKUP(I102,'Chart of accounts'!A:H,3,FALSE),"")</f>
        <v>PERA - Civilian</v>
      </c>
      <c r="L102" s="338" t="str">
        <f>IFERROR(VLOOKUP(I102,'Chart of accounts'!A:H,4,FALSE),"")</f>
        <v>50102010 01 - PERA - Civilian (711)</v>
      </c>
      <c r="M102" s="360" t="s">
        <v>776</v>
      </c>
      <c r="N102" s="355" t="s">
        <v>777</v>
      </c>
      <c r="O102" s="355" t="s">
        <v>762</v>
      </c>
      <c r="P102" s="355"/>
      <c r="Q102" s="319">
        <v>22000</v>
      </c>
      <c r="R102" s="319">
        <f t="shared" si="0"/>
        <v>-22000</v>
      </c>
      <c r="S102" s="319" t="str">
        <f>VLOOKUP(H102,'Fund Utilization Report'!$A$4:$U$1800,13,FALSE)</f>
        <v>PS</v>
      </c>
      <c r="T102" s="319" t="str">
        <f>VLOOKUP(H102,'Fund Utilization Report'!$A$4:$U$1800,2,FALSE)</f>
        <v>GAA</v>
      </c>
      <c r="U102" s="319" t="str">
        <f>VLOOKUP(H102,'Fund Utilization Report'!$A$4:$U$1800,3,FALSE)</f>
        <v>FY2021, RA11518</v>
      </c>
      <c r="V102" s="319" t="str">
        <f>VLOOKUP(H102,'Fund Utilization Report'!$A$4:$U$1800,4,FALSE)</f>
        <v>OO2</v>
      </c>
      <c r="W102" s="319" t="str">
        <f>VLOOKUP(H102,'Fund Utilization Report'!$A$4:$U$1800,5,FALSE)</f>
        <v>01101101</v>
      </c>
      <c r="X102" s="319" t="str">
        <f>VLOOKUP(H102,'Fund Utilization Report'!$A$4:$U$1800,6,FALSE)</f>
        <v>GOP</v>
      </c>
      <c r="Y102" s="320" t="str">
        <f>VLOOKUP(H102,'Fund Utilization Report'!$A$4:$U$1800,7,FALSE)</f>
        <v>PS</v>
      </c>
      <c r="Z102" s="321">
        <f>VLOOKUP(H102,'Fund Utilization Report'!$A$4:$U$1800,8,FALSE)</f>
        <v>5010000000</v>
      </c>
      <c r="AA102" s="319" t="str">
        <f>VLOOKUP(H102,'Fund Utilization Report'!$A$4:$U$1800,14,FALSE)</f>
        <v>320100100001000</v>
      </c>
      <c r="AB102" s="349" t="str">
        <f>VLOOKUP(H102,'Fund Utilization Report'!$A$4:$U$1800,15,FALSE)</f>
        <v>Formulation of Strategic plans,programs, and policies to develop competitve industries</v>
      </c>
      <c r="AC102" s="55" t="s">
        <v>0</v>
      </c>
      <c r="AD102" s="38">
        <v>1</v>
      </c>
      <c r="AE102" s="39">
        <v>711</v>
      </c>
      <c r="AF102" s="51" t="str">
        <f>VLOOKUP(AE102,'[2]Chart of accounts'!A:H,2,FALSE)</f>
        <v>50102010 01</v>
      </c>
      <c r="AG102" s="53" t="s">
        <v>1</v>
      </c>
      <c r="AH102" s="53" t="s">
        <v>1</v>
      </c>
    </row>
    <row r="103" spans="1:34" s="32" customFormat="1" ht="27.6">
      <c r="A103" s="338" t="s">
        <v>942</v>
      </c>
      <c r="B103" s="338" t="s">
        <v>943</v>
      </c>
      <c r="C103" s="358">
        <v>44214</v>
      </c>
      <c r="D103" s="351" t="s">
        <v>759</v>
      </c>
      <c r="E103" s="352" t="s">
        <v>775</v>
      </c>
      <c r="F103" s="359">
        <v>0.72083333333333333</v>
      </c>
      <c r="G103" s="359">
        <v>0.72152777777777777</v>
      </c>
      <c r="H103" s="359" t="s">
        <v>969</v>
      </c>
      <c r="I103" s="321">
        <v>731</v>
      </c>
      <c r="J103" s="338" t="str">
        <f>IFERROR(VLOOKUP(I103,'Chart of accounts'!A:H,2,FALSE),"")</f>
        <v>50103010 00</v>
      </c>
      <c r="K103" s="338" t="str">
        <f>IFERROR(VLOOKUP(I103,'Chart of accounts'!A:H,3,FALSE),"")</f>
        <v>Retirement and Life Insurance Premiums</v>
      </c>
      <c r="L103" s="338" t="str">
        <f>IFERROR(VLOOKUP(I103,'Chart of accounts'!A:H,4,FALSE),"")</f>
        <v>50103010 00 - Retirement and Life Insurance Premiums (731)</v>
      </c>
      <c r="M103" s="360" t="s">
        <v>776</v>
      </c>
      <c r="N103" s="355" t="s">
        <v>777</v>
      </c>
      <c r="O103" s="355" t="s">
        <v>762</v>
      </c>
      <c r="P103" s="355"/>
      <c r="Q103" s="319">
        <v>45257.64</v>
      </c>
      <c r="R103" s="319">
        <f t="shared" si="0"/>
        <v>-45257.64</v>
      </c>
      <c r="S103" s="319" t="str">
        <f>VLOOKUP(H103,'Fund Utilization Report'!$A$4:$U$1800,13,FALSE)</f>
        <v>PS</v>
      </c>
      <c r="T103" s="319" t="str">
        <f>VLOOKUP(H103,'Fund Utilization Report'!$A$4:$U$1800,2,FALSE)</f>
        <v>GAA</v>
      </c>
      <c r="U103" s="319" t="str">
        <f>VLOOKUP(H103,'Fund Utilization Report'!$A$4:$U$1800,3,FALSE)</f>
        <v>FY2021, RA11518</v>
      </c>
      <c r="V103" s="319" t="str">
        <f>VLOOKUP(H103,'Fund Utilization Report'!$A$4:$U$1800,4,FALSE)</f>
        <v>OO2</v>
      </c>
      <c r="W103" s="319" t="str">
        <f>VLOOKUP(H103,'Fund Utilization Report'!$A$4:$U$1800,5,FALSE)</f>
        <v>01101101</v>
      </c>
      <c r="X103" s="319" t="str">
        <f>VLOOKUP(H103,'Fund Utilization Report'!$A$4:$U$1800,6,FALSE)</f>
        <v>GOP</v>
      </c>
      <c r="Y103" s="320" t="str">
        <f>VLOOKUP(H103,'Fund Utilization Report'!$A$4:$U$1800,7,FALSE)</f>
        <v>RLIP</v>
      </c>
      <c r="Z103" s="321" t="str">
        <f>VLOOKUP(H103,'Fund Utilization Report'!$A$4:$U$1800,8,FALSE)</f>
        <v>50103010-00</v>
      </c>
      <c r="AA103" s="319" t="str">
        <f>VLOOKUP(H103,'Fund Utilization Report'!$A$4:$U$1800,14,FALSE)</f>
        <v>320100100001000</v>
      </c>
      <c r="AB103" s="349" t="str">
        <f>VLOOKUP(H103,'Fund Utilization Report'!$A$4:$U$1800,15,FALSE)</f>
        <v>Formulation of Strategic plans,programs, and policies to develop competitve industries</v>
      </c>
      <c r="AC103" s="55" t="s">
        <v>0</v>
      </c>
      <c r="AD103" s="38">
        <v>1</v>
      </c>
      <c r="AE103" s="39">
        <v>731</v>
      </c>
      <c r="AF103" s="51" t="str">
        <f>VLOOKUP(AE103,'[2]Chart of accounts'!A:H,2,FALSE)</f>
        <v>50103010 00</v>
      </c>
      <c r="AG103" s="53" t="s">
        <v>1</v>
      </c>
      <c r="AH103" s="53" t="s">
        <v>1</v>
      </c>
    </row>
    <row r="104" spans="1:34" s="32" customFormat="1" ht="27.6">
      <c r="A104" s="338" t="s">
        <v>942</v>
      </c>
      <c r="B104" s="338" t="s">
        <v>943</v>
      </c>
      <c r="C104" s="358">
        <v>44214</v>
      </c>
      <c r="D104" s="351" t="s">
        <v>759</v>
      </c>
      <c r="E104" s="352" t="s">
        <v>775</v>
      </c>
      <c r="F104" s="359">
        <v>0.72083333333333333</v>
      </c>
      <c r="G104" s="359">
        <v>0.72152777777777777</v>
      </c>
      <c r="H104" s="359" t="s">
        <v>967</v>
      </c>
      <c r="I104" s="321">
        <v>732</v>
      </c>
      <c r="J104" s="338" t="str">
        <f>IFERROR(VLOOKUP(I104,'Chart of accounts'!A:H,2,FALSE),"")</f>
        <v>50103020 01</v>
      </c>
      <c r="K104" s="338" t="str">
        <f>IFERROR(VLOOKUP(I104,'Chart of accounts'!A:H,3,FALSE),"")</f>
        <v>Pag-IBIG - Civilian</v>
      </c>
      <c r="L104" s="338" t="str">
        <f>IFERROR(VLOOKUP(I104,'Chart of accounts'!A:H,4,FALSE),"")</f>
        <v>50103020 01 - Pag-IBIG - Civilian (732)</v>
      </c>
      <c r="M104" s="360" t="s">
        <v>776</v>
      </c>
      <c r="N104" s="355" t="s">
        <v>777</v>
      </c>
      <c r="O104" s="355" t="s">
        <v>762</v>
      </c>
      <c r="P104" s="355"/>
      <c r="Q104" s="319">
        <v>1100</v>
      </c>
      <c r="R104" s="319">
        <f t="shared" si="0"/>
        <v>-1100</v>
      </c>
      <c r="S104" s="319" t="str">
        <f>VLOOKUP(H104,'Fund Utilization Report'!$A$4:$U$1800,13,FALSE)</f>
        <v>PS</v>
      </c>
      <c r="T104" s="319" t="str">
        <f>VLOOKUP(H104,'Fund Utilization Report'!$A$4:$U$1800,2,FALSE)</f>
        <v>GAA</v>
      </c>
      <c r="U104" s="319" t="str">
        <f>VLOOKUP(H104,'Fund Utilization Report'!$A$4:$U$1800,3,FALSE)</f>
        <v>FY2021, RA11518</v>
      </c>
      <c r="V104" s="319" t="str">
        <f>VLOOKUP(H104,'Fund Utilization Report'!$A$4:$U$1800,4,FALSE)</f>
        <v>OO2</v>
      </c>
      <c r="W104" s="319" t="str">
        <f>VLOOKUP(H104,'Fund Utilization Report'!$A$4:$U$1800,5,FALSE)</f>
        <v>01101101</v>
      </c>
      <c r="X104" s="319" t="str">
        <f>VLOOKUP(H104,'Fund Utilization Report'!$A$4:$U$1800,6,FALSE)</f>
        <v>GOP</v>
      </c>
      <c r="Y104" s="320" t="str">
        <f>VLOOKUP(H104,'Fund Utilization Report'!$A$4:$U$1800,7,FALSE)</f>
        <v>PS</v>
      </c>
      <c r="Z104" s="321">
        <f>VLOOKUP(H104,'Fund Utilization Report'!$A$4:$U$1800,8,FALSE)</f>
        <v>5010000000</v>
      </c>
      <c r="AA104" s="319" t="str">
        <f>VLOOKUP(H104,'Fund Utilization Report'!$A$4:$U$1800,14,FALSE)</f>
        <v>320100100001000</v>
      </c>
      <c r="AB104" s="349" t="str">
        <f>VLOOKUP(H104,'Fund Utilization Report'!$A$4:$U$1800,15,FALSE)</f>
        <v>Formulation of Strategic plans,programs, and policies to develop competitve industries</v>
      </c>
      <c r="AC104" s="55" t="s">
        <v>0</v>
      </c>
      <c r="AD104" s="38">
        <v>1</v>
      </c>
      <c r="AE104" s="39">
        <v>732</v>
      </c>
      <c r="AF104" s="51" t="str">
        <f>VLOOKUP(AE104,'[2]Chart of accounts'!A:H,2,FALSE)</f>
        <v>50103020 01</v>
      </c>
      <c r="AG104" s="53" t="s">
        <v>1</v>
      </c>
      <c r="AH104" s="53" t="s">
        <v>1</v>
      </c>
    </row>
    <row r="105" spans="1:34" s="32" customFormat="1" ht="27.6">
      <c r="A105" s="338" t="s">
        <v>942</v>
      </c>
      <c r="B105" s="338" t="s">
        <v>943</v>
      </c>
      <c r="C105" s="358">
        <v>44214</v>
      </c>
      <c r="D105" s="351" t="s">
        <v>759</v>
      </c>
      <c r="E105" s="352" t="s">
        <v>775</v>
      </c>
      <c r="F105" s="359">
        <v>0.72083333333333333</v>
      </c>
      <c r="G105" s="359">
        <v>0.72152777777777777</v>
      </c>
      <c r="H105" s="359" t="s">
        <v>967</v>
      </c>
      <c r="I105" s="321">
        <v>733</v>
      </c>
      <c r="J105" s="338" t="str">
        <f>IFERROR(VLOOKUP(I105,'Chart of accounts'!A:H,2,FALSE),"")</f>
        <v>50103030 01</v>
      </c>
      <c r="K105" s="338" t="str">
        <f>IFERROR(VLOOKUP(I105,'Chart of accounts'!A:H,3,FALSE),"")</f>
        <v>PhilHealth - Civilian</v>
      </c>
      <c r="L105" s="338" t="str">
        <f>IFERROR(VLOOKUP(I105,'Chart of accounts'!A:H,4,FALSE),"")</f>
        <v>50103030 01 - PhilHealth - Civilian (733)</v>
      </c>
      <c r="M105" s="360" t="s">
        <v>776</v>
      </c>
      <c r="N105" s="355" t="s">
        <v>777</v>
      </c>
      <c r="O105" s="355" t="s">
        <v>762</v>
      </c>
      <c r="P105" s="355"/>
      <c r="Q105" s="319">
        <v>5521.98</v>
      </c>
      <c r="R105" s="319">
        <f t="shared" si="0"/>
        <v>-5521.98</v>
      </c>
      <c r="S105" s="319" t="str">
        <f>VLOOKUP(H105,'Fund Utilization Report'!$A$4:$U$1800,13,FALSE)</f>
        <v>PS</v>
      </c>
      <c r="T105" s="319" t="str">
        <f>VLOOKUP(H105,'Fund Utilization Report'!$A$4:$U$1800,2,FALSE)</f>
        <v>GAA</v>
      </c>
      <c r="U105" s="319" t="str">
        <f>VLOOKUP(H105,'Fund Utilization Report'!$A$4:$U$1800,3,FALSE)</f>
        <v>FY2021, RA11518</v>
      </c>
      <c r="V105" s="319" t="str">
        <f>VLOOKUP(H105,'Fund Utilization Report'!$A$4:$U$1800,4,FALSE)</f>
        <v>OO2</v>
      </c>
      <c r="W105" s="319" t="str">
        <f>VLOOKUP(H105,'Fund Utilization Report'!$A$4:$U$1800,5,FALSE)</f>
        <v>01101101</v>
      </c>
      <c r="X105" s="319" t="str">
        <f>VLOOKUP(H105,'Fund Utilization Report'!$A$4:$U$1800,6,FALSE)</f>
        <v>GOP</v>
      </c>
      <c r="Y105" s="320" t="str">
        <f>VLOOKUP(H105,'Fund Utilization Report'!$A$4:$U$1800,7,FALSE)</f>
        <v>PS</v>
      </c>
      <c r="Z105" s="321">
        <f>VLOOKUP(H105,'Fund Utilization Report'!$A$4:$U$1800,8,FALSE)</f>
        <v>5010000000</v>
      </c>
      <c r="AA105" s="319" t="str">
        <f>VLOOKUP(H105,'Fund Utilization Report'!$A$4:$U$1800,14,FALSE)</f>
        <v>320100100001000</v>
      </c>
      <c r="AB105" s="349" t="str">
        <f>VLOOKUP(H105,'Fund Utilization Report'!$A$4:$U$1800,15,FALSE)</f>
        <v>Formulation of Strategic plans,programs, and policies to develop competitve industries</v>
      </c>
      <c r="AC105" s="55" t="s">
        <v>0</v>
      </c>
      <c r="AD105" s="38">
        <v>1</v>
      </c>
      <c r="AE105" s="55">
        <v>733</v>
      </c>
      <c r="AF105" s="51" t="str">
        <f>VLOOKUP(AE105,'[2]Chart of accounts'!A:H,2,FALSE)</f>
        <v>50103030 01</v>
      </c>
      <c r="AG105" s="53" t="s">
        <v>1</v>
      </c>
      <c r="AH105" s="53" t="s">
        <v>1</v>
      </c>
    </row>
    <row r="106" spans="1:34" s="32" customFormat="1" ht="27.6">
      <c r="A106" s="338" t="s">
        <v>942</v>
      </c>
      <c r="B106" s="338" t="s">
        <v>943</v>
      </c>
      <c r="C106" s="358">
        <v>44214</v>
      </c>
      <c r="D106" s="351" t="s">
        <v>759</v>
      </c>
      <c r="E106" s="352" t="s">
        <v>775</v>
      </c>
      <c r="F106" s="359">
        <v>0.72083333333333333</v>
      </c>
      <c r="G106" s="359">
        <v>0.72152777777777777</v>
      </c>
      <c r="H106" s="359" t="s">
        <v>967</v>
      </c>
      <c r="I106" s="321">
        <v>734</v>
      </c>
      <c r="J106" s="338" t="str">
        <f>IFERROR(VLOOKUP(I106,'Chart of accounts'!A:H,2,FALSE),"")</f>
        <v>50103040 01</v>
      </c>
      <c r="K106" s="338" t="str">
        <f>IFERROR(VLOOKUP(I106,'Chart of accounts'!A:H,3,FALSE),"")</f>
        <v>ECIP - Civilian</v>
      </c>
      <c r="L106" s="338" t="str">
        <f>IFERROR(VLOOKUP(I106,'Chart of accounts'!A:H,4,FALSE),"")</f>
        <v>50103040 01 - ECIP - Civilian (734)</v>
      </c>
      <c r="M106" s="360" t="s">
        <v>776</v>
      </c>
      <c r="N106" s="355" t="s">
        <v>777</v>
      </c>
      <c r="O106" s="355" t="s">
        <v>762</v>
      </c>
      <c r="P106" s="355"/>
      <c r="Q106" s="319">
        <v>1100</v>
      </c>
      <c r="R106" s="319">
        <f t="shared" si="0"/>
        <v>-1100</v>
      </c>
      <c r="S106" s="319" t="str">
        <f>VLOOKUP(H106,'Fund Utilization Report'!$A$4:$U$1800,13,FALSE)</f>
        <v>PS</v>
      </c>
      <c r="T106" s="319" t="str">
        <f>VLOOKUP(H106,'Fund Utilization Report'!$A$4:$U$1800,2,FALSE)</f>
        <v>GAA</v>
      </c>
      <c r="U106" s="319" t="str">
        <f>VLOOKUP(H106,'Fund Utilization Report'!$A$4:$U$1800,3,FALSE)</f>
        <v>FY2021, RA11518</v>
      </c>
      <c r="V106" s="319" t="str">
        <f>VLOOKUP(H106,'Fund Utilization Report'!$A$4:$U$1800,4,FALSE)</f>
        <v>OO2</v>
      </c>
      <c r="W106" s="319" t="str">
        <f>VLOOKUP(H106,'Fund Utilization Report'!$A$4:$U$1800,5,FALSE)</f>
        <v>01101101</v>
      </c>
      <c r="X106" s="319" t="str">
        <f>VLOOKUP(H106,'Fund Utilization Report'!$A$4:$U$1800,6,FALSE)</f>
        <v>GOP</v>
      </c>
      <c r="Y106" s="320" t="str">
        <f>VLOOKUP(H106,'Fund Utilization Report'!$A$4:$U$1800,7,FALSE)</f>
        <v>PS</v>
      </c>
      <c r="Z106" s="321">
        <f>VLOOKUP(H106,'Fund Utilization Report'!$A$4:$U$1800,8,FALSE)</f>
        <v>5010000000</v>
      </c>
      <c r="AA106" s="319" t="str">
        <f>VLOOKUP(H106,'Fund Utilization Report'!$A$4:$U$1800,14,FALSE)</f>
        <v>320100100001000</v>
      </c>
      <c r="AB106" s="349" t="str">
        <f>VLOOKUP(H106,'Fund Utilization Report'!$A$4:$U$1800,15,FALSE)</f>
        <v>Formulation of Strategic plans,programs, and policies to develop competitve industries</v>
      </c>
      <c r="AC106" s="55" t="s">
        <v>0</v>
      </c>
      <c r="AD106" s="38">
        <v>1</v>
      </c>
      <c r="AE106" s="55">
        <v>734</v>
      </c>
      <c r="AF106" s="51" t="str">
        <f>VLOOKUP(AE106,'[2]Chart of accounts'!A:H,2,FALSE)</f>
        <v>50103040 01</v>
      </c>
      <c r="AG106" s="53" t="s">
        <v>1</v>
      </c>
      <c r="AH106" s="53" t="s">
        <v>1</v>
      </c>
    </row>
    <row r="107" spans="1:34" s="75" customFormat="1" ht="27.6">
      <c r="A107" s="338" t="s">
        <v>942</v>
      </c>
      <c r="B107" s="338" t="s">
        <v>943</v>
      </c>
      <c r="C107" s="358">
        <v>44214</v>
      </c>
      <c r="D107" s="364" t="s">
        <v>759</v>
      </c>
      <c r="E107" s="365" t="s">
        <v>778</v>
      </c>
      <c r="F107" s="359">
        <v>0.72152777777777777</v>
      </c>
      <c r="G107" s="359">
        <v>0.72222222222222221</v>
      </c>
      <c r="H107" s="359" t="s">
        <v>961</v>
      </c>
      <c r="I107" s="321">
        <v>782</v>
      </c>
      <c r="J107" s="338" t="str">
        <f>IFERROR(VLOOKUP(I107,'Chart of accounts'!A:H,2,FALSE),"")</f>
        <v>50299050 01</v>
      </c>
      <c r="K107" s="338" t="str">
        <f>IFERROR(VLOOKUP(I107,'Chart of accounts'!A:H,3,FALSE),"")</f>
        <v>Rent - Buildings and Structures</v>
      </c>
      <c r="L107" s="338" t="str">
        <f>IFERROR(VLOOKUP(I107,'Chart of accounts'!A:H,4,FALSE),"")</f>
        <v>50299050 01 - Rent - Buildings and Structures (782)</v>
      </c>
      <c r="M107" s="356" t="s">
        <v>2</v>
      </c>
      <c r="N107" s="357" t="s">
        <v>779</v>
      </c>
      <c r="O107" s="357" t="s">
        <v>850</v>
      </c>
      <c r="P107" s="357"/>
      <c r="Q107" s="319">
        <f>160190.04</f>
        <v>160190.04</v>
      </c>
      <c r="R107" s="319">
        <f t="shared" si="0"/>
        <v>-160190.04</v>
      </c>
      <c r="S107" s="319" t="str">
        <f>VLOOKUP(H107,'Fund Utilization Report'!$A$4:$U$1800,13,FALSE)</f>
        <v>MOOE</v>
      </c>
      <c r="T107" s="319" t="str">
        <f>VLOOKUP(H107,'Fund Utilization Report'!$A$4:$U$1800,2,FALSE)</f>
        <v>GAA</v>
      </c>
      <c r="U107" s="319" t="str">
        <f>VLOOKUP(H107,'Fund Utilization Report'!$A$4:$U$1800,3,FALSE)</f>
        <v>FY2021, RA11518</v>
      </c>
      <c r="V107" s="319" t="str">
        <f>VLOOKUP(H107,'Fund Utilization Report'!$A$4:$U$1800,4,FALSE)</f>
        <v>GAS(GMS)</v>
      </c>
      <c r="W107" s="319" t="str">
        <f>VLOOKUP(H107,'Fund Utilization Report'!$A$4:$U$1800,5,FALSE)</f>
        <v>01101101</v>
      </c>
      <c r="X107" s="319" t="str">
        <f>VLOOKUP(H107,'Fund Utilization Report'!$A$4:$U$1800,6,FALSE)</f>
        <v>GOP</v>
      </c>
      <c r="Y107" s="320" t="str">
        <f>VLOOKUP(H107,'Fund Utilization Report'!$A$4:$U$1800,7,FALSE)</f>
        <v>MOOE</v>
      </c>
      <c r="Z107" s="321">
        <f>VLOOKUP(H107,'Fund Utilization Report'!$A$4:$U$1800,8,FALSE)</f>
        <v>5020000000</v>
      </c>
      <c r="AA107" s="319" t="str">
        <f>VLOOKUP(H107,'Fund Utilization Report'!$A$4:$U$1800,14,FALSE)</f>
        <v>100000100001000</v>
      </c>
      <c r="AB107" s="349" t="str">
        <f>VLOOKUP(H107,'Fund Utilization Report'!$A$4:$U$1800,15,FALSE)</f>
        <v>General Administration and Supervision - General Management and Supervision</v>
      </c>
      <c r="AC107" s="55" t="s">
        <v>0</v>
      </c>
      <c r="AD107" s="38">
        <v>2</v>
      </c>
      <c r="AE107" s="55">
        <v>782</v>
      </c>
      <c r="AF107" s="37" t="str">
        <f>VLOOKUP(AE107,'[2]Chart of accounts'!A:H,2,FALSE)</f>
        <v>50299050 01</v>
      </c>
      <c r="AG107" s="131" t="s">
        <v>3</v>
      </c>
      <c r="AH107" s="131" t="s">
        <v>3</v>
      </c>
    </row>
    <row r="108" spans="1:34" s="32" customFormat="1" ht="27.6">
      <c r="A108" s="338" t="s">
        <v>942</v>
      </c>
      <c r="B108" s="338" t="s">
        <v>943</v>
      </c>
      <c r="C108" s="358">
        <v>44214</v>
      </c>
      <c r="D108" s="351" t="s">
        <v>759</v>
      </c>
      <c r="E108" s="352" t="s">
        <v>849</v>
      </c>
      <c r="F108" s="359">
        <v>0.72152777777777777</v>
      </c>
      <c r="G108" s="338">
        <v>0.72430555555555554</v>
      </c>
      <c r="H108" s="359" t="s">
        <v>961</v>
      </c>
      <c r="I108" s="353">
        <v>782</v>
      </c>
      <c r="J108" s="338" t="str">
        <f>IFERROR(VLOOKUP(I108,'Chart of accounts'!A:H,2,FALSE),"")</f>
        <v>50299050 01</v>
      </c>
      <c r="K108" s="338" t="str">
        <f>IFERROR(VLOOKUP(I108,'Chart of accounts'!A:H,3,FALSE),"")</f>
        <v>Rent - Buildings and Structures</v>
      </c>
      <c r="L108" s="338" t="str">
        <f>IFERROR(VLOOKUP(I108,'Chart of accounts'!A:H,4,FALSE),"")</f>
        <v>50299050 01 - Rent - Buildings and Structures (782)</v>
      </c>
      <c r="M108" s="360" t="s">
        <v>2</v>
      </c>
      <c r="N108" s="355" t="s">
        <v>779</v>
      </c>
      <c r="O108" s="355" t="s">
        <v>780</v>
      </c>
      <c r="P108" s="355"/>
      <c r="Q108" s="363">
        <v>10311.43</v>
      </c>
      <c r="R108" s="319">
        <f t="shared" si="0"/>
        <v>-10311.43</v>
      </c>
      <c r="S108" s="319" t="str">
        <f>VLOOKUP(H108,'Fund Utilization Report'!$A$4:$U$1800,13,FALSE)</f>
        <v>MOOE</v>
      </c>
      <c r="T108" s="319" t="str">
        <f>VLOOKUP(H108,'Fund Utilization Report'!$A$4:$U$1800,2,FALSE)</f>
        <v>GAA</v>
      </c>
      <c r="U108" s="319" t="str">
        <f>VLOOKUP(H108,'Fund Utilization Report'!$A$4:$U$1800,3,FALSE)</f>
        <v>FY2021, RA11518</v>
      </c>
      <c r="V108" s="319" t="str">
        <f>VLOOKUP(H108,'Fund Utilization Report'!$A$4:$U$1800,4,FALSE)</f>
        <v>GAS(GMS)</v>
      </c>
      <c r="W108" s="319" t="str">
        <f>VLOOKUP(H108,'Fund Utilization Report'!$A$4:$U$1800,5,FALSE)</f>
        <v>01101101</v>
      </c>
      <c r="X108" s="319" t="str">
        <f>VLOOKUP(H108,'Fund Utilization Report'!$A$4:$U$1800,6,FALSE)</f>
        <v>GOP</v>
      </c>
      <c r="Y108" s="320" t="str">
        <f>VLOOKUP(H108,'Fund Utilization Report'!$A$4:$U$1800,7,FALSE)</f>
        <v>MOOE</v>
      </c>
      <c r="Z108" s="321">
        <f>VLOOKUP(H108,'Fund Utilization Report'!$A$4:$U$1800,8,FALSE)</f>
        <v>5020000000</v>
      </c>
      <c r="AA108" s="319" t="str">
        <f>VLOOKUP(H108,'Fund Utilization Report'!$A$4:$U$1800,14,FALSE)</f>
        <v>100000100001000</v>
      </c>
      <c r="AB108" s="349" t="str">
        <f>VLOOKUP(H108,'Fund Utilization Report'!$A$4:$U$1800,15,FALSE)</f>
        <v>General Administration and Supervision - General Management and Supervision</v>
      </c>
      <c r="AC108" s="55" t="s">
        <v>0</v>
      </c>
      <c r="AD108" s="38">
        <v>2</v>
      </c>
      <c r="AE108" s="39">
        <v>782</v>
      </c>
      <c r="AF108" s="51" t="str">
        <f>VLOOKUP(AE108,'[2]Chart of accounts'!A:H,2,FALSE)</f>
        <v>50299050 01</v>
      </c>
      <c r="AG108" s="40" t="s">
        <v>3</v>
      </c>
      <c r="AH108" s="40" t="s">
        <v>3</v>
      </c>
    </row>
    <row r="109" spans="1:34" s="32" customFormat="1" ht="27.6">
      <c r="A109" s="338" t="s">
        <v>942</v>
      </c>
      <c r="B109" s="338" t="s">
        <v>943</v>
      </c>
      <c r="C109" s="358">
        <v>44215</v>
      </c>
      <c r="D109" s="351" t="s">
        <v>759</v>
      </c>
      <c r="E109" s="352" t="s">
        <v>781</v>
      </c>
      <c r="F109" s="338">
        <v>0.54305555555555551</v>
      </c>
      <c r="G109" s="338">
        <v>0.54375000000000007</v>
      </c>
      <c r="H109" s="359" t="s">
        <v>961</v>
      </c>
      <c r="I109" s="353">
        <v>892</v>
      </c>
      <c r="J109" s="338" t="str">
        <f>IFERROR(VLOOKUP(I109,'Chart of accounts'!A:H,2,FALSE),"")</f>
        <v>50215020 00</v>
      </c>
      <c r="K109" s="338" t="str">
        <f>IFERROR(VLOOKUP(I109,'Chart of accounts'!A:H,3,FALSE),"")</f>
        <v>Fidelity Bond Premiums</v>
      </c>
      <c r="L109" s="338" t="str">
        <f>IFERROR(VLOOKUP(I109,'Chart of accounts'!A:H,4,FALSE),"")</f>
        <v>50215020 00 - Fidelity Bond Premiums (892)</v>
      </c>
      <c r="M109" s="360" t="s">
        <v>2</v>
      </c>
      <c r="N109" s="355" t="s">
        <v>782</v>
      </c>
      <c r="O109" s="355" t="s">
        <v>783</v>
      </c>
      <c r="P109" s="355"/>
      <c r="Q109" s="363">
        <v>11250</v>
      </c>
      <c r="R109" s="319">
        <f t="shared" si="0"/>
        <v>-11250</v>
      </c>
      <c r="S109" s="319" t="str">
        <f>VLOOKUP(H109,'Fund Utilization Report'!$A$4:$U$1800,13,FALSE)</f>
        <v>MOOE</v>
      </c>
      <c r="T109" s="319" t="str">
        <f>VLOOKUP(H109,'Fund Utilization Report'!$A$4:$U$1800,2,FALSE)</f>
        <v>GAA</v>
      </c>
      <c r="U109" s="319" t="str">
        <f>VLOOKUP(H109,'Fund Utilization Report'!$A$4:$U$1800,3,FALSE)</f>
        <v>FY2021, RA11518</v>
      </c>
      <c r="V109" s="319" t="str">
        <f>VLOOKUP(H109,'Fund Utilization Report'!$A$4:$U$1800,4,FALSE)</f>
        <v>GAS(GMS)</v>
      </c>
      <c r="W109" s="319" t="str">
        <f>VLOOKUP(H109,'Fund Utilization Report'!$A$4:$U$1800,5,FALSE)</f>
        <v>01101101</v>
      </c>
      <c r="X109" s="319" t="str">
        <f>VLOOKUP(H109,'Fund Utilization Report'!$A$4:$U$1800,6,FALSE)</f>
        <v>GOP</v>
      </c>
      <c r="Y109" s="320" t="str">
        <f>VLOOKUP(H109,'Fund Utilization Report'!$A$4:$U$1800,7,FALSE)</f>
        <v>MOOE</v>
      </c>
      <c r="Z109" s="321">
        <f>VLOOKUP(H109,'Fund Utilization Report'!$A$4:$U$1800,8,FALSE)</f>
        <v>5020000000</v>
      </c>
      <c r="AA109" s="319" t="str">
        <f>VLOOKUP(H109,'Fund Utilization Report'!$A$4:$U$1800,14,FALSE)</f>
        <v>100000100001000</v>
      </c>
      <c r="AB109" s="349" t="str">
        <f>VLOOKUP(H109,'Fund Utilization Report'!$A$4:$U$1800,15,FALSE)</f>
        <v>General Administration and Supervision - General Management and Supervision</v>
      </c>
      <c r="AC109" s="55" t="s">
        <v>0</v>
      </c>
      <c r="AD109" s="38">
        <v>2</v>
      </c>
      <c r="AE109" s="39">
        <v>892</v>
      </c>
      <c r="AF109" s="51" t="str">
        <f>VLOOKUP(AE109,'[2]Chart of accounts'!A:H,2,FALSE)</f>
        <v>50215020 00</v>
      </c>
      <c r="AG109" s="40" t="s">
        <v>3</v>
      </c>
      <c r="AH109" s="40" t="s">
        <v>3</v>
      </c>
    </row>
    <row r="110" spans="1:34" s="32" customFormat="1" ht="27.6">
      <c r="A110" s="338" t="s">
        <v>942</v>
      </c>
      <c r="B110" s="338" t="s">
        <v>943</v>
      </c>
      <c r="C110" s="358">
        <v>44215</v>
      </c>
      <c r="D110" s="351" t="s">
        <v>759</v>
      </c>
      <c r="E110" s="352" t="s">
        <v>787</v>
      </c>
      <c r="F110" s="359">
        <v>0.56527777777777777</v>
      </c>
      <c r="G110" s="359">
        <v>0.56597222222222221</v>
      </c>
      <c r="H110" s="359" t="s">
        <v>970</v>
      </c>
      <c r="I110" s="321">
        <v>701</v>
      </c>
      <c r="J110" s="338" t="str">
        <f>IFERROR(VLOOKUP(I110,'Chart of accounts'!A:H,2,FALSE),"")</f>
        <v>50101010 01</v>
      </c>
      <c r="K110" s="338" t="str">
        <f>IFERROR(VLOOKUP(I110,'Chart of accounts'!A:H,3,FALSE),"")</f>
        <v>Basic Salary - Civilian</v>
      </c>
      <c r="L110" s="338" t="str">
        <f>IFERROR(VLOOKUP(I110,'Chart of accounts'!A:H,4,FALSE),"")</f>
        <v>50101010 01 - Basic Salary - Civilian (701)</v>
      </c>
      <c r="M110" s="360" t="s">
        <v>788</v>
      </c>
      <c r="N110" s="355" t="s">
        <v>789</v>
      </c>
      <c r="O110" s="355" t="s">
        <v>762</v>
      </c>
      <c r="P110" s="355"/>
      <c r="Q110" s="319">
        <v>487450</v>
      </c>
      <c r="R110" s="319">
        <f t="shared" si="0"/>
        <v>-487450</v>
      </c>
      <c r="S110" s="319" t="str">
        <f>VLOOKUP(H110,'Fund Utilization Report'!$A$4:$U$1800,13,FALSE)</f>
        <v>PS</v>
      </c>
      <c r="T110" s="319" t="str">
        <f>VLOOKUP(H110,'Fund Utilization Report'!$A$4:$U$1800,2,FALSE)</f>
        <v>GAA</v>
      </c>
      <c r="U110" s="319" t="str">
        <f>VLOOKUP(H110,'Fund Utilization Report'!$A$4:$U$1800,3,FALSE)</f>
        <v>FY2021, RA11518</v>
      </c>
      <c r="V110" s="319" t="str">
        <f>VLOOKUP(H110,'Fund Utilization Report'!$A$4:$U$1800,4,FALSE)</f>
        <v>OO3</v>
      </c>
      <c r="W110" s="319" t="str">
        <f>VLOOKUP(H110,'Fund Utilization Report'!$A$4:$U$1800,5,FALSE)</f>
        <v>01101101</v>
      </c>
      <c r="X110" s="319" t="str">
        <f>VLOOKUP(H110,'Fund Utilization Report'!$A$4:$U$1800,6,FALSE)</f>
        <v>GOP</v>
      </c>
      <c r="Y110" s="320" t="str">
        <f>VLOOKUP(H110,'Fund Utilization Report'!$A$4:$U$1800,7,FALSE)</f>
        <v>PS</v>
      </c>
      <c r="Z110" s="321">
        <f>VLOOKUP(H110,'Fund Utilization Report'!$A$4:$U$1800,8,FALSE)</f>
        <v>5010000000</v>
      </c>
      <c r="AA110" s="319" t="str">
        <f>VLOOKUP(H110,'Fund Utilization Report'!$A$4:$U$1800,14,FALSE)</f>
        <v>330100100002000</v>
      </c>
      <c r="AB110" s="349" t="str">
        <f>VLOOKUP(H110,'Fund Utilization Report'!$A$4:$U$1800,15,FALSE)</f>
        <v>Implementation of the MSME Development Plan and other initiatives to promote the growth of Micro, Small and Medium Enterprises</v>
      </c>
      <c r="AC110" s="55" t="s">
        <v>0</v>
      </c>
      <c r="AD110" s="38">
        <v>1</v>
      </c>
      <c r="AE110" s="39">
        <v>701</v>
      </c>
      <c r="AF110" s="51" t="str">
        <f>VLOOKUP(AE110,'[2]Chart of accounts'!A:H,2,FALSE)</f>
        <v>50101010 01</v>
      </c>
      <c r="AG110" s="53" t="s">
        <v>1</v>
      </c>
      <c r="AH110" s="53" t="s">
        <v>1</v>
      </c>
    </row>
    <row r="111" spans="1:34" s="32" customFormat="1" ht="27.6">
      <c r="A111" s="338" t="s">
        <v>942</v>
      </c>
      <c r="B111" s="338" t="s">
        <v>943</v>
      </c>
      <c r="C111" s="358">
        <v>44215</v>
      </c>
      <c r="D111" s="351" t="s">
        <v>759</v>
      </c>
      <c r="E111" s="352" t="s">
        <v>787</v>
      </c>
      <c r="F111" s="359">
        <v>0.56527777777777777</v>
      </c>
      <c r="G111" s="359">
        <v>0.56597222222222221</v>
      </c>
      <c r="H111" s="359" t="s">
        <v>970</v>
      </c>
      <c r="I111" s="321">
        <v>711</v>
      </c>
      <c r="J111" s="338" t="str">
        <f>IFERROR(VLOOKUP(I111,'Chart of accounts'!A:H,2,FALSE),"")</f>
        <v>50102010 01</v>
      </c>
      <c r="K111" s="338" t="str">
        <f>IFERROR(VLOOKUP(I111,'Chart of accounts'!A:H,3,FALSE),"")</f>
        <v>PERA - Civilian</v>
      </c>
      <c r="L111" s="338" t="str">
        <f>IFERROR(VLOOKUP(I111,'Chart of accounts'!A:H,4,FALSE),"")</f>
        <v>50102010 01 - PERA - Civilian (711)</v>
      </c>
      <c r="M111" s="360" t="s">
        <v>788</v>
      </c>
      <c r="N111" s="355" t="s">
        <v>789</v>
      </c>
      <c r="O111" s="355" t="s">
        <v>762</v>
      </c>
      <c r="P111" s="355"/>
      <c r="Q111" s="319">
        <v>20000</v>
      </c>
      <c r="R111" s="319">
        <f t="shared" ref="R111:R174" si="1">P111-Q111</f>
        <v>-20000</v>
      </c>
      <c r="S111" s="319" t="str">
        <f>VLOOKUP(H111,'Fund Utilization Report'!$A$4:$U$1800,13,FALSE)</f>
        <v>PS</v>
      </c>
      <c r="T111" s="319" t="str">
        <f>VLOOKUP(H111,'Fund Utilization Report'!$A$4:$U$1800,2,FALSE)</f>
        <v>GAA</v>
      </c>
      <c r="U111" s="319" t="str">
        <f>VLOOKUP(H111,'Fund Utilization Report'!$A$4:$U$1800,3,FALSE)</f>
        <v>FY2021, RA11518</v>
      </c>
      <c r="V111" s="319" t="str">
        <f>VLOOKUP(H111,'Fund Utilization Report'!$A$4:$U$1800,4,FALSE)</f>
        <v>OO3</v>
      </c>
      <c r="W111" s="319" t="str">
        <f>VLOOKUP(H111,'Fund Utilization Report'!$A$4:$U$1800,5,FALSE)</f>
        <v>01101101</v>
      </c>
      <c r="X111" s="319" t="str">
        <f>VLOOKUP(H111,'Fund Utilization Report'!$A$4:$U$1800,6,FALSE)</f>
        <v>GOP</v>
      </c>
      <c r="Y111" s="320" t="str">
        <f>VLOOKUP(H111,'Fund Utilization Report'!$A$4:$U$1800,7,FALSE)</f>
        <v>PS</v>
      </c>
      <c r="Z111" s="321">
        <f>VLOOKUP(H111,'Fund Utilization Report'!$A$4:$U$1800,8,FALSE)</f>
        <v>5010000000</v>
      </c>
      <c r="AA111" s="319" t="str">
        <f>VLOOKUP(H111,'Fund Utilization Report'!$A$4:$U$1800,14,FALSE)</f>
        <v>330100100002000</v>
      </c>
      <c r="AB111" s="349" t="str">
        <f>VLOOKUP(H111,'Fund Utilization Report'!$A$4:$U$1800,15,FALSE)</f>
        <v>Implementation of the MSME Development Plan and other initiatives to promote the growth of Micro, Small and Medium Enterprises</v>
      </c>
      <c r="AC111" s="55" t="s">
        <v>0</v>
      </c>
      <c r="AD111" s="38">
        <v>1</v>
      </c>
      <c r="AE111" s="39">
        <v>711</v>
      </c>
      <c r="AF111" s="51" t="str">
        <f>VLOOKUP(AE111,'[2]Chart of accounts'!A:H,2,FALSE)</f>
        <v>50102010 01</v>
      </c>
      <c r="AG111" s="53" t="s">
        <v>1</v>
      </c>
      <c r="AH111" s="53" t="s">
        <v>1</v>
      </c>
    </row>
    <row r="112" spans="1:34" s="32" customFormat="1" ht="27.6">
      <c r="A112" s="338" t="s">
        <v>942</v>
      </c>
      <c r="B112" s="338" t="s">
        <v>943</v>
      </c>
      <c r="C112" s="358">
        <v>44215</v>
      </c>
      <c r="D112" s="351" t="s">
        <v>759</v>
      </c>
      <c r="E112" s="352" t="s">
        <v>787</v>
      </c>
      <c r="F112" s="359">
        <v>0.56527777777777777</v>
      </c>
      <c r="G112" s="359">
        <v>0.56597222222222221</v>
      </c>
      <c r="H112" s="359" t="s">
        <v>972</v>
      </c>
      <c r="I112" s="321">
        <v>731</v>
      </c>
      <c r="J112" s="338" t="str">
        <f>IFERROR(VLOOKUP(I112,'Chart of accounts'!A:H,2,FALSE),"")</f>
        <v>50103010 00</v>
      </c>
      <c r="K112" s="338" t="str">
        <f>IFERROR(VLOOKUP(I112,'Chart of accounts'!A:H,3,FALSE),"")</f>
        <v>Retirement and Life Insurance Premiums</v>
      </c>
      <c r="L112" s="338" t="str">
        <f>IFERROR(VLOOKUP(I112,'Chart of accounts'!A:H,4,FALSE),"")</f>
        <v>50103010 00 - Retirement and Life Insurance Premiums (731)</v>
      </c>
      <c r="M112" s="360" t="s">
        <v>788</v>
      </c>
      <c r="N112" s="355" t="s">
        <v>789</v>
      </c>
      <c r="O112" s="355" t="s">
        <v>762</v>
      </c>
      <c r="P112" s="355"/>
      <c r="Q112" s="319">
        <v>58494</v>
      </c>
      <c r="R112" s="319">
        <f t="shared" si="1"/>
        <v>-58494</v>
      </c>
      <c r="S112" s="319" t="str">
        <f>VLOOKUP(H112,'Fund Utilization Report'!$A$4:$U$1800,13,FALSE)</f>
        <v>PS</v>
      </c>
      <c r="T112" s="319" t="str">
        <f>VLOOKUP(H112,'Fund Utilization Report'!$A$4:$U$1800,2,FALSE)</f>
        <v>GAA</v>
      </c>
      <c r="U112" s="319" t="str">
        <f>VLOOKUP(H112,'Fund Utilization Report'!$A$4:$U$1800,3,FALSE)</f>
        <v>FY2021, RA11518</v>
      </c>
      <c r="V112" s="319" t="str">
        <f>VLOOKUP(H112,'Fund Utilization Report'!$A$4:$U$1800,4,FALSE)</f>
        <v>OO3</v>
      </c>
      <c r="W112" s="319" t="str">
        <f>VLOOKUP(H112,'Fund Utilization Report'!$A$4:$U$1800,5,FALSE)</f>
        <v>01101101</v>
      </c>
      <c r="X112" s="319" t="str">
        <f>VLOOKUP(H112,'Fund Utilization Report'!$A$4:$U$1800,6,FALSE)</f>
        <v>GOP</v>
      </c>
      <c r="Y112" s="320" t="str">
        <f>VLOOKUP(H112,'Fund Utilization Report'!$A$4:$U$1800,7,FALSE)</f>
        <v>RLIP</v>
      </c>
      <c r="Z112" s="321" t="str">
        <f>VLOOKUP(H112,'Fund Utilization Report'!$A$4:$U$1800,8,FALSE)</f>
        <v>50103010-00</v>
      </c>
      <c r="AA112" s="319" t="str">
        <f>VLOOKUP(H112,'Fund Utilization Report'!$A$4:$U$1800,14,FALSE)</f>
        <v>330100100002000</v>
      </c>
      <c r="AB112" s="349" t="str">
        <f>VLOOKUP(H112,'Fund Utilization Report'!$A$4:$U$1800,15,FALSE)</f>
        <v>Implementation of the MSME Development Plan and other initiatives to promote the growth of Micro, Small and Medium Enterprises</v>
      </c>
      <c r="AC112" s="55" t="s">
        <v>0</v>
      </c>
      <c r="AD112" s="38">
        <v>1</v>
      </c>
      <c r="AE112" s="39">
        <v>731</v>
      </c>
      <c r="AF112" s="51" t="str">
        <f>VLOOKUP(AE112,'[2]Chart of accounts'!A:H,2,FALSE)</f>
        <v>50103010 00</v>
      </c>
      <c r="AG112" s="53" t="s">
        <v>1</v>
      </c>
      <c r="AH112" s="53" t="s">
        <v>1</v>
      </c>
    </row>
    <row r="113" spans="1:34" s="32" customFormat="1" ht="27.6">
      <c r="A113" s="338" t="s">
        <v>942</v>
      </c>
      <c r="B113" s="338" t="s">
        <v>943</v>
      </c>
      <c r="C113" s="358">
        <v>44215</v>
      </c>
      <c r="D113" s="351" t="s">
        <v>759</v>
      </c>
      <c r="E113" s="352" t="s">
        <v>787</v>
      </c>
      <c r="F113" s="359">
        <v>0.56527777777777777</v>
      </c>
      <c r="G113" s="359">
        <v>0.56597222222222221</v>
      </c>
      <c r="H113" s="359" t="s">
        <v>970</v>
      </c>
      <c r="I113" s="321">
        <v>732</v>
      </c>
      <c r="J113" s="338" t="str">
        <f>IFERROR(VLOOKUP(I113,'Chart of accounts'!A:H,2,FALSE),"")</f>
        <v>50103020 01</v>
      </c>
      <c r="K113" s="338" t="str">
        <f>IFERROR(VLOOKUP(I113,'Chart of accounts'!A:H,3,FALSE),"")</f>
        <v>Pag-IBIG - Civilian</v>
      </c>
      <c r="L113" s="338" t="str">
        <f>IFERROR(VLOOKUP(I113,'Chart of accounts'!A:H,4,FALSE),"")</f>
        <v>50103020 01 - Pag-IBIG - Civilian (732)</v>
      </c>
      <c r="M113" s="360" t="s">
        <v>788</v>
      </c>
      <c r="N113" s="355" t="s">
        <v>789</v>
      </c>
      <c r="O113" s="355" t="s">
        <v>762</v>
      </c>
      <c r="P113" s="355"/>
      <c r="Q113" s="319">
        <v>1000</v>
      </c>
      <c r="R113" s="319">
        <f t="shared" si="1"/>
        <v>-1000</v>
      </c>
      <c r="S113" s="319" t="str">
        <f>VLOOKUP(H113,'Fund Utilization Report'!$A$4:$U$1800,13,FALSE)</f>
        <v>PS</v>
      </c>
      <c r="T113" s="319" t="str">
        <f>VLOOKUP(H113,'Fund Utilization Report'!$A$4:$U$1800,2,FALSE)</f>
        <v>GAA</v>
      </c>
      <c r="U113" s="319" t="str">
        <f>VLOOKUP(H113,'Fund Utilization Report'!$A$4:$U$1800,3,FALSE)</f>
        <v>FY2021, RA11518</v>
      </c>
      <c r="V113" s="319" t="str">
        <f>VLOOKUP(H113,'Fund Utilization Report'!$A$4:$U$1800,4,FALSE)</f>
        <v>OO3</v>
      </c>
      <c r="W113" s="319" t="str">
        <f>VLOOKUP(H113,'Fund Utilization Report'!$A$4:$U$1800,5,FALSE)</f>
        <v>01101101</v>
      </c>
      <c r="X113" s="319" t="str">
        <f>VLOOKUP(H113,'Fund Utilization Report'!$A$4:$U$1800,6,FALSE)</f>
        <v>GOP</v>
      </c>
      <c r="Y113" s="320" t="str">
        <f>VLOOKUP(H113,'Fund Utilization Report'!$A$4:$U$1800,7,FALSE)</f>
        <v>PS</v>
      </c>
      <c r="Z113" s="321">
        <f>VLOOKUP(H113,'Fund Utilization Report'!$A$4:$U$1800,8,FALSE)</f>
        <v>5010000000</v>
      </c>
      <c r="AA113" s="319" t="str">
        <f>VLOOKUP(H113,'Fund Utilization Report'!$A$4:$U$1800,14,FALSE)</f>
        <v>330100100002000</v>
      </c>
      <c r="AB113" s="349" t="str">
        <f>VLOOKUP(H113,'Fund Utilization Report'!$A$4:$U$1800,15,FALSE)</f>
        <v>Implementation of the MSME Development Plan and other initiatives to promote the growth of Micro, Small and Medium Enterprises</v>
      </c>
      <c r="AC113" s="55" t="s">
        <v>0</v>
      </c>
      <c r="AD113" s="38">
        <v>1</v>
      </c>
      <c r="AE113" s="39">
        <v>732</v>
      </c>
      <c r="AF113" s="51" t="str">
        <f>VLOOKUP(AE113,'[2]Chart of accounts'!A:H,2,FALSE)</f>
        <v>50103020 01</v>
      </c>
      <c r="AG113" s="53" t="s">
        <v>1</v>
      </c>
      <c r="AH113" s="53" t="s">
        <v>1</v>
      </c>
    </row>
    <row r="114" spans="1:34" s="32" customFormat="1" ht="27.6">
      <c r="A114" s="338" t="s">
        <v>942</v>
      </c>
      <c r="B114" s="338" t="s">
        <v>943</v>
      </c>
      <c r="C114" s="358">
        <v>44215</v>
      </c>
      <c r="D114" s="351" t="s">
        <v>759</v>
      </c>
      <c r="E114" s="352" t="s">
        <v>787</v>
      </c>
      <c r="F114" s="359">
        <v>0.56527777777777777</v>
      </c>
      <c r="G114" s="359">
        <v>0.56597222222222221</v>
      </c>
      <c r="H114" s="359" t="s">
        <v>970</v>
      </c>
      <c r="I114" s="321">
        <v>733</v>
      </c>
      <c r="J114" s="338" t="str">
        <f>IFERROR(VLOOKUP(I114,'Chart of accounts'!A:H,2,FALSE),"")</f>
        <v>50103030 01</v>
      </c>
      <c r="K114" s="338" t="str">
        <f>IFERROR(VLOOKUP(I114,'Chart of accounts'!A:H,3,FALSE),"")</f>
        <v>PhilHealth - Civilian</v>
      </c>
      <c r="L114" s="338" t="str">
        <f>IFERROR(VLOOKUP(I114,'Chart of accounts'!A:H,4,FALSE),"")</f>
        <v>50103030 01 - PhilHealth - Civilian (733)</v>
      </c>
      <c r="M114" s="360" t="s">
        <v>788</v>
      </c>
      <c r="N114" s="355" t="s">
        <v>789</v>
      </c>
      <c r="O114" s="355" t="s">
        <v>762</v>
      </c>
      <c r="P114" s="355"/>
      <c r="Q114" s="319">
        <v>6170.95</v>
      </c>
      <c r="R114" s="319">
        <f t="shared" si="1"/>
        <v>-6170.95</v>
      </c>
      <c r="S114" s="319" t="str">
        <f>VLOOKUP(H114,'Fund Utilization Report'!$A$4:$U$1800,13,FALSE)</f>
        <v>PS</v>
      </c>
      <c r="T114" s="319" t="str">
        <f>VLOOKUP(H114,'Fund Utilization Report'!$A$4:$U$1800,2,FALSE)</f>
        <v>GAA</v>
      </c>
      <c r="U114" s="319" t="str">
        <f>VLOOKUP(H114,'Fund Utilization Report'!$A$4:$U$1800,3,FALSE)</f>
        <v>FY2021, RA11518</v>
      </c>
      <c r="V114" s="319" t="str">
        <f>VLOOKUP(H114,'Fund Utilization Report'!$A$4:$U$1800,4,FALSE)</f>
        <v>OO3</v>
      </c>
      <c r="W114" s="319" t="str">
        <f>VLOOKUP(H114,'Fund Utilization Report'!$A$4:$U$1800,5,FALSE)</f>
        <v>01101101</v>
      </c>
      <c r="X114" s="319" t="str">
        <f>VLOOKUP(H114,'Fund Utilization Report'!$A$4:$U$1800,6,FALSE)</f>
        <v>GOP</v>
      </c>
      <c r="Y114" s="320" t="str">
        <f>VLOOKUP(H114,'Fund Utilization Report'!$A$4:$U$1800,7,FALSE)</f>
        <v>PS</v>
      </c>
      <c r="Z114" s="321">
        <f>VLOOKUP(H114,'Fund Utilization Report'!$A$4:$U$1800,8,FALSE)</f>
        <v>5010000000</v>
      </c>
      <c r="AA114" s="319" t="str">
        <f>VLOOKUP(H114,'Fund Utilization Report'!$A$4:$U$1800,14,FALSE)</f>
        <v>330100100002000</v>
      </c>
      <c r="AB114" s="349" t="str">
        <f>VLOOKUP(H114,'Fund Utilization Report'!$A$4:$U$1800,15,FALSE)</f>
        <v>Implementation of the MSME Development Plan and other initiatives to promote the growth of Micro, Small and Medium Enterprises</v>
      </c>
      <c r="AC114" s="55" t="s">
        <v>0</v>
      </c>
      <c r="AD114" s="38">
        <v>1</v>
      </c>
      <c r="AE114" s="55">
        <v>733</v>
      </c>
      <c r="AF114" s="51" t="str">
        <f>VLOOKUP(AE114,'[2]Chart of accounts'!A:H,2,FALSE)</f>
        <v>50103030 01</v>
      </c>
      <c r="AG114" s="53" t="s">
        <v>1</v>
      </c>
      <c r="AH114" s="53" t="s">
        <v>1</v>
      </c>
    </row>
    <row r="115" spans="1:34" s="32" customFormat="1" ht="27.6">
      <c r="A115" s="338" t="s">
        <v>942</v>
      </c>
      <c r="B115" s="338" t="s">
        <v>943</v>
      </c>
      <c r="C115" s="358">
        <v>44215</v>
      </c>
      <c r="D115" s="351" t="s">
        <v>759</v>
      </c>
      <c r="E115" s="352" t="s">
        <v>787</v>
      </c>
      <c r="F115" s="359">
        <v>0.56527777777777777</v>
      </c>
      <c r="G115" s="359">
        <v>0.56597222222222221</v>
      </c>
      <c r="H115" s="359" t="s">
        <v>970</v>
      </c>
      <c r="I115" s="321">
        <v>734</v>
      </c>
      <c r="J115" s="338" t="str">
        <f>IFERROR(VLOOKUP(I115,'Chart of accounts'!A:H,2,FALSE),"")</f>
        <v>50103040 01</v>
      </c>
      <c r="K115" s="338" t="str">
        <f>IFERROR(VLOOKUP(I115,'Chart of accounts'!A:H,3,FALSE),"")</f>
        <v>ECIP - Civilian</v>
      </c>
      <c r="L115" s="338" t="str">
        <f>IFERROR(VLOOKUP(I115,'Chart of accounts'!A:H,4,FALSE),"")</f>
        <v>50103040 01 - ECIP - Civilian (734)</v>
      </c>
      <c r="M115" s="360" t="s">
        <v>788</v>
      </c>
      <c r="N115" s="355" t="s">
        <v>789</v>
      </c>
      <c r="O115" s="355" t="s">
        <v>762</v>
      </c>
      <c r="P115" s="355"/>
      <c r="Q115" s="319">
        <v>1000</v>
      </c>
      <c r="R115" s="319">
        <f t="shared" si="1"/>
        <v>-1000</v>
      </c>
      <c r="S115" s="319" t="str">
        <f>VLOOKUP(H115,'Fund Utilization Report'!$A$4:$U$1800,13,FALSE)</f>
        <v>PS</v>
      </c>
      <c r="T115" s="319" t="str">
        <f>VLOOKUP(H115,'Fund Utilization Report'!$A$4:$U$1800,2,FALSE)</f>
        <v>GAA</v>
      </c>
      <c r="U115" s="319" t="str">
        <f>VLOOKUP(H115,'Fund Utilization Report'!$A$4:$U$1800,3,FALSE)</f>
        <v>FY2021, RA11518</v>
      </c>
      <c r="V115" s="319" t="str">
        <f>VLOOKUP(H115,'Fund Utilization Report'!$A$4:$U$1800,4,FALSE)</f>
        <v>OO3</v>
      </c>
      <c r="W115" s="319" t="str">
        <f>VLOOKUP(H115,'Fund Utilization Report'!$A$4:$U$1800,5,FALSE)</f>
        <v>01101101</v>
      </c>
      <c r="X115" s="319" t="str">
        <f>VLOOKUP(H115,'Fund Utilization Report'!$A$4:$U$1800,6,FALSE)</f>
        <v>GOP</v>
      </c>
      <c r="Y115" s="320" t="str">
        <f>VLOOKUP(H115,'Fund Utilization Report'!$A$4:$U$1800,7,FALSE)</f>
        <v>PS</v>
      </c>
      <c r="Z115" s="321">
        <f>VLOOKUP(H115,'Fund Utilization Report'!$A$4:$U$1800,8,FALSE)</f>
        <v>5010000000</v>
      </c>
      <c r="AA115" s="319" t="str">
        <f>VLOOKUP(H115,'Fund Utilization Report'!$A$4:$U$1800,14,FALSE)</f>
        <v>330100100002000</v>
      </c>
      <c r="AB115" s="349" t="str">
        <f>VLOOKUP(H115,'Fund Utilization Report'!$A$4:$U$1800,15,FALSE)</f>
        <v>Implementation of the MSME Development Plan and other initiatives to promote the growth of Micro, Small and Medium Enterprises</v>
      </c>
      <c r="AC115" s="55" t="s">
        <v>0</v>
      </c>
      <c r="AD115" s="38">
        <v>1</v>
      </c>
      <c r="AE115" s="55">
        <v>734</v>
      </c>
      <c r="AF115" s="51" t="str">
        <f>VLOOKUP(AE115,'[2]Chart of accounts'!A:H,2,FALSE)</f>
        <v>50103040 01</v>
      </c>
      <c r="AG115" s="53" t="s">
        <v>1</v>
      </c>
      <c r="AH115" s="53" t="s">
        <v>1</v>
      </c>
    </row>
    <row r="116" spans="1:34" s="32" customFormat="1" ht="27.6">
      <c r="A116" s="338" t="s">
        <v>942</v>
      </c>
      <c r="B116" s="338" t="s">
        <v>943</v>
      </c>
      <c r="C116" s="358">
        <v>44215</v>
      </c>
      <c r="D116" s="351" t="s">
        <v>759</v>
      </c>
      <c r="E116" s="352" t="s">
        <v>790</v>
      </c>
      <c r="F116" s="338">
        <v>0.71458333333333324</v>
      </c>
      <c r="G116" s="338">
        <v>0.71597222222222223</v>
      </c>
      <c r="H116" s="338" t="s">
        <v>961</v>
      </c>
      <c r="I116" s="353">
        <v>773</v>
      </c>
      <c r="J116" s="338" t="str">
        <f>IFERROR(VLOOKUP(I116,'Chart of accounts'!A:H,2,FALSE),"")</f>
        <v>50205020 01</v>
      </c>
      <c r="K116" s="338" t="str">
        <f>IFERROR(VLOOKUP(I116,'Chart of accounts'!A:H,3,FALSE),"")</f>
        <v xml:space="preserve">Telephone Expenses - Mobile </v>
      </c>
      <c r="L116" s="338" t="str">
        <f>IFERROR(VLOOKUP(I116,'Chart of accounts'!A:H,4,FALSE),"")</f>
        <v>50205020 01 - Telephone Expenses - Mobile  (773)</v>
      </c>
      <c r="M116" s="360" t="s">
        <v>2</v>
      </c>
      <c r="N116" s="355" t="s">
        <v>791</v>
      </c>
      <c r="O116" s="355" t="s">
        <v>792</v>
      </c>
      <c r="P116" s="355"/>
      <c r="Q116" s="363">
        <v>2500</v>
      </c>
      <c r="R116" s="319">
        <f t="shared" si="1"/>
        <v>-2500</v>
      </c>
      <c r="S116" s="319" t="str">
        <f>VLOOKUP(H116,'Fund Utilization Report'!$A$4:$U$1800,13,FALSE)</f>
        <v>MOOE</v>
      </c>
      <c r="T116" s="319" t="str">
        <f>VLOOKUP(H116,'Fund Utilization Report'!$A$4:$U$1800,2,FALSE)</f>
        <v>GAA</v>
      </c>
      <c r="U116" s="319" t="str">
        <f>VLOOKUP(H116,'Fund Utilization Report'!$A$4:$U$1800,3,FALSE)</f>
        <v>FY2021, RA11518</v>
      </c>
      <c r="V116" s="319" t="str">
        <f>VLOOKUP(H116,'Fund Utilization Report'!$A$4:$U$1800,4,FALSE)</f>
        <v>GAS(GMS)</v>
      </c>
      <c r="W116" s="319" t="str">
        <f>VLOOKUP(H116,'Fund Utilization Report'!$A$4:$U$1800,5,FALSE)</f>
        <v>01101101</v>
      </c>
      <c r="X116" s="319" t="str">
        <f>VLOOKUP(H116,'Fund Utilization Report'!$A$4:$U$1800,6,FALSE)</f>
        <v>GOP</v>
      </c>
      <c r="Y116" s="320" t="str">
        <f>VLOOKUP(H116,'Fund Utilization Report'!$A$4:$U$1800,7,FALSE)</f>
        <v>MOOE</v>
      </c>
      <c r="Z116" s="321">
        <f>VLOOKUP(H116,'Fund Utilization Report'!$A$4:$U$1800,8,FALSE)</f>
        <v>5020000000</v>
      </c>
      <c r="AA116" s="319" t="str">
        <f>VLOOKUP(H116,'Fund Utilization Report'!$A$4:$U$1800,14,FALSE)</f>
        <v>100000100001000</v>
      </c>
      <c r="AB116" s="349" t="str">
        <f>VLOOKUP(H116,'Fund Utilization Report'!$A$4:$U$1800,15,FALSE)</f>
        <v>General Administration and Supervision - General Management and Supervision</v>
      </c>
      <c r="AC116" s="55" t="s">
        <v>0</v>
      </c>
      <c r="AD116" s="38">
        <v>2</v>
      </c>
      <c r="AE116" s="39">
        <v>773</v>
      </c>
      <c r="AF116" s="51" t="str">
        <f>VLOOKUP(AE116,'[2]Chart of accounts'!A:H,2,FALSE)</f>
        <v>50205020 01</v>
      </c>
      <c r="AG116" s="40" t="s">
        <v>3</v>
      </c>
      <c r="AH116" s="40" t="s">
        <v>3</v>
      </c>
    </row>
    <row r="117" spans="1:34" s="32" customFormat="1" ht="27.6">
      <c r="A117" s="338" t="s">
        <v>942</v>
      </c>
      <c r="B117" s="338" t="s">
        <v>943</v>
      </c>
      <c r="C117" s="358">
        <v>44215</v>
      </c>
      <c r="D117" s="351" t="s">
        <v>759</v>
      </c>
      <c r="E117" s="352" t="s">
        <v>793</v>
      </c>
      <c r="F117" s="338">
        <v>0.71597222222222223</v>
      </c>
      <c r="G117" s="338">
        <v>0.71666666666666667</v>
      </c>
      <c r="H117" s="338" t="s">
        <v>961</v>
      </c>
      <c r="I117" s="353">
        <v>775</v>
      </c>
      <c r="J117" s="338" t="str">
        <f>IFERROR(VLOOKUP(I117,'Chart of accounts'!A:H,2,FALSE),"")</f>
        <v>50205040 00</v>
      </c>
      <c r="K117" s="338" t="str">
        <f>IFERROR(VLOOKUP(I117,'Chart of accounts'!A:H,3,FALSE),"")</f>
        <v>Cable, Satellite, Telegraph, and Radio Expenses</v>
      </c>
      <c r="L117" s="338" t="str">
        <f>IFERROR(VLOOKUP(I117,'Chart of accounts'!A:H,4,FALSE),"")</f>
        <v>50205040 00 - Cable, Satellite, Telegraph, and Radio Expenses (775)</v>
      </c>
      <c r="M117" s="360" t="s">
        <v>2</v>
      </c>
      <c r="N117" s="355" t="s">
        <v>794</v>
      </c>
      <c r="O117" s="355" t="s">
        <v>795</v>
      </c>
      <c r="P117" s="355"/>
      <c r="Q117" s="363"/>
      <c r="R117" s="319">
        <f t="shared" si="1"/>
        <v>0</v>
      </c>
      <c r="S117" s="319" t="str">
        <f>VLOOKUP(H117,'Fund Utilization Report'!$A$4:$U$1800,13,FALSE)</f>
        <v>MOOE</v>
      </c>
      <c r="T117" s="319" t="str">
        <f>VLOOKUP(H117,'Fund Utilization Report'!$A$4:$U$1800,2,FALSE)</f>
        <v>GAA</v>
      </c>
      <c r="U117" s="319" t="str">
        <f>VLOOKUP(H117,'Fund Utilization Report'!$A$4:$U$1800,3,FALSE)</f>
        <v>FY2021, RA11518</v>
      </c>
      <c r="V117" s="319" t="str">
        <f>VLOOKUP(H117,'Fund Utilization Report'!$A$4:$U$1800,4,FALSE)</f>
        <v>GAS(GMS)</v>
      </c>
      <c r="W117" s="319" t="str">
        <f>VLOOKUP(H117,'Fund Utilization Report'!$A$4:$U$1800,5,FALSE)</f>
        <v>01101101</v>
      </c>
      <c r="X117" s="319" t="str">
        <f>VLOOKUP(H117,'Fund Utilization Report'!$A$4:$U$1800,6,FALSE)</f>
        <v>GOP</v>
      </c>
      <c r="Y117" s="320" t="str">
        <f>VLOOKUP(H117,'Fund Utilization Report'!$A$4:$U$1800,7,FALSE)</f>
        <v>MOOE</v>
      </c>
      <c r="Z117" s="321">
        <f>VLOOKUP(H117,'Fund Utilization Report'!$A$4:$U$1800,8,FALSE)</f>
        <v>5020000000</v>
      </c>
      <c r="AA117" s="319" t="str">
        <f>VLOOKUP(H117,'Fund Utilization Report'!$A$4:$U$1800,14,FALSE)</f>
        <v>100000100001000</v>
      </c>
      <c r="AB117" s="349" t="str">
        <f>VLOOKUP(H117,'Fund Utilization Report'!$A$4:$U$1800,15,FALSE)</f>
        <v>General Administration and Supervision - General Management and Supervision</v>
      </c>
      <c r="AC117" s="55" t="s">
        <v>0</v>
      </c>
      <c r="AD117" s="38">
        <v>2</v>
      </c>
      <c r="AE117" s="39">
        <v>775</v>
      </c>
      <c r="AF117" s="51" t="str">
        <f>VLOOKUP(AE117,'[2]Chart of accounts'!A:H,2,FALSE)</f>
        <v>50205040 00</v>
      </c>
      <c r="AG117" s="40" t="s">
        <v>3</v>
      </c>
      <c r="AH117" s="40" t="s">
        <v>3</v>
      </c>
    </row>
    <row r="118" spans="1:34" s="32" customFormat="1">
      <c r="A118" s="338" t="s">
        <v>942</v>
      </c>
      <c r="B118" s="338" t="s">
        <v>943</v>
      </c>
      <c r="C118" s="358">
        <v>44217</v>
      </c>
      <c r="D118" s="351" t="s">
        <v>759</v>
      </c>
      <c r="E118" s="352" t="s">
        <v>807</v>
      </c>
      <c r="F118" s="338">
        <v>0.70000000000000007</v>
      </c>
      <c r="G118" s="338">
        <v>0.7006944444444444</v>
      </c>
      <c r="H118" s="338" t="s">
        <v>961</v>
      </c>
      <c r="I118" s="353">
        <v>755</v>
      </c>
      <c r="J118" s="338" t="str">
        <f>IFERROR(VLOOKUP(I118,'Chart of accounts'!A:H,2,FALSE),"")</f>
        <v>50203010 00</v>
      </c>
      <c r="K118" s="338" t="str">
        <f>IFERROR(VLOOKUP(I118,'Chart of accounts'!A:H,3,FALSE),"")</f>
        <v>Office Supplies Expenses</v>
      </c>
      <c r="L118" s="338" t="str">
        <f>IFERROR(VLOOKUP(I118,'Chart of accounts'!A:H,4,FALSE),"")</f>
        <v>50203010 00 - Office Supplies Expenses (755)</v>
      </c>
      <c r="M118" s="360" t="s">
        <v>2</v>
      </c>
      <c r="N118" s="355" t="s">
        <v>773</v>
      </c>
      <c r="O118" s="355" t="s">
        <v>808</v>
      </c>
      <c r="P118" s="355"/>
      <c r="Q118" s="363">
        <v>1834.25</v>
      </c>
      <c r="R118" s="319">
        <f t="shared" si="1"/>
        <v>-1834.25</v>
      </c>
      <c r="S118" s="319" t="str">
        <f>VLOOKUP(H118,'Fund Utilization Report'!$A$4:$U$1800,13,FALSE)</f>
        <v>MOOE</v>
      </c>
      <c r="T118" s="319" t="str">
        <f>VLOOKUP(H118,'Fund Utilization Report'!$A$4:$U$1800,2,FALSE)</f>
        <v>GAA</v>
      </c>
      <c r="U118" s="319" t="str">
        <f>VLOOKUP(H118,'Fund Utilization Report'!$A$4:$U$1800,3,FALSE)</f>
        <v>FY2021, RA11518</v>
      </c>
      <c r="V118" s="319" t="str">
        <f>VLOOKUP(H118,'Fund Utilization Report'!$A$4:$U$1800,4,FALSE)</f>
        <v>GAS(GMS)</v>
      </c>
      <c r="W118" s="319" t="str">
        <f>VLOOKUP(H118,'Fund Utilization Report'!$A$4:$U$1800,5,FALSE)</f>
        <v>01101101</v>
      </c>
      <c r="X118" s="319" t="str">
        <f>VLOOKUP(H118,'Fund Utilization Report'!$A$4:$U$1800,6,FALSE)</f>
        <v>GOP</v>
      </c>
      <c r="Y118" s="320" t="str">
        <f>VLOOKUP(H118,'Fund Utilization Report'!$A$4:$U$1800,7,FALSE)</f>
        <v>MOOE</v>
      </c>
      <c r="Z118" s="321">
        <f>VLOOKUP(H118,'Fund Utilization Report'!$A$4:$U$1800,8,FALSE)</f>
        <v>5020000000</v>
      </c>
      <c r="AA118" s="319" t="str">
        <f>VLOOKUP(H118,'Fund Utilization Report'!$A$4:$U$1800,14,FALSE)</f>
        <v>100000100001000</v>
      </c>
      <c r="AB118" s="349" t="str">
        <f>VLOOKUP(H118,'Fund Utilization Report'!$A$4:$U$1800,15,FALSE)</f>
        <v>General Administration and Supervision - General Management and Supervision</v>
      </c>
      <c r="AC118" s="55" t="s">
        <v>0</v>
      </c>
      <c r="AD118" s="38">
        <v>2</v>
      </c>
      <c r="AE118" s="39">
        <v>755</v>
      </c>
      <c r="AF118" s="51" t="str">
        <f>VLOOKUP(AE118,'[2]Chart of accounts'!A:H,2,FALSE)</f>
        <v>50203010 00</v>
      </c>
      <c r="AG118" s="40" t="s">
        <v>3</v>
      </c>
      <c r="AH118" s="40" t="s">
        <v>3</v>
      </c>
    </row>
    <row r="119" spans="1:34" s="32" customFormat="1">
      <c r="A119" s="338" t="s">
        <v>942</v>
      </c>
      <c r="B119" s="338" t="s">
        <v>943</v>
      </c>
      <c r="C119" s="358">
        <v>44217</v>
      </c>
      <c r="D119" s="351" t="s">
        <v>759</v>
      </c>
      <c r="E119" s="352" t="s">
        <v>807</v>
      </c>
      <c r="F119" s="338">
        <v>0.70000000000000007</v>
      </c>
      <c r="G119" s="338">
        <v>0.7006944444444444</v>
      </c>
      <c r="H119" s="338" t="s">
        <v>961</v>
      </c>
      <c r="I119" s="353">
        <v>792</v>
      </c>
      <c r="J119" s="338" t="str">
        <f>IFERROR(VLOOKUP(I119,'Chart of accounts'!A:H,2,FALSE),"")</f>
        <v>50211020 00</v>
      </c>
      <c r="K119" s="338" t="str">
        <f>IFERROR(VLOOKUP(I119,'Chart of accounts'!A:H,3,FALSE),"")</f>
        <v>Auditing Services</v>
      </c>
      <c r="L119" s="338" t="str">
        <f>IFERROR(VLOOKUP(I119,'Chart of accounts'!A:H,4,FALSE),"")</f>
        <v>50211020 00 - Auditing Services (792)</v>
      </c>
      <c r="M119" s="360" t="s">
        <v>2</v>
      </c>
      <c r="N119" s="355" t="s">
        <v>773</v>
      </c>
      <c r="O119" s="355" t="s">
        <v>808</v>
      </c>
      <c r="P119" s="355"/>
      <c r="Q119" s="363">
        <v>219</v>
      </c>
      <c r="R119" s="319">
        <f t="shared" si="1"/>
        <v>-219</v>
      </c>
      <c r="S119" s="319" t="str">
        <f>VLOOKUP(H119,'Fund Utilization Report'!$A$4:$U$1800,13,FALSE)</f>
        <v>MOOE</v>
      </c>
      <c r="T119" s="319" t="str">
        <f>VLOOKUP(H119,'Fund Utilization Report'!$A$4:$U$1800,2,FALSE)</f>
        <v>GAA</v>
      </c>
      <c r="U119" s="319" t="str">
        <f>VLOOKUP(H119,'Fund Utilization Report'!$A$4:$U$1800,3,FALSE)</f>
        <v>FY2021, RA11518</v>
      </c>
      <c r="V119" s="319" t="str">
        <f>VLOOKUP(H119,'Fund Utilization Report'!$A$4:$U$1800,4,FALSE)</f>
        <v>GAS(GMS)</v>
      </c>
      <c r="W119" s="319" t="str">
        <f>VLOOKUP(H119,'Fund Utilization Report'!$A$4:$U$1800,5,FALSE)</f>
        <v>01101101</v>
      </c>
      <c r="X119" s="319" t="str">
        <f>VLOOKUP(H119,'Fund Utilization Report'!$A$4:$U$1800,6,FALSE)</f>
        <v>GOP</v>
      </c>
      <c r="Y119" s="320" t="str">
        <f>VLOOKUP(H119,'Fund Utilization Report'!$A$4:$U$1800,7,FALSE)</f>
        <v>MOOE</v>
      </c>
      <c r="Z119" s="321">
        <f>VLOOKUP(H119,'Fund Utilization Report'!$A$4:$U$1800,8,FALSE)</f>
        <v>5020000000</v>
      </c>
      <c r="AA119" s="319" t="str">
        <f>VLOOKUP(H119,'Fund Utilization Report'!$A$4:$U$1800,14,FALSE)</f>
        <v>100000100001000</v>
      </c>
      <c r="AB119" s="349" t="str">
        <f>VLOOKUP(H119,'Fund Utilization Report'!$A$4:$U$1800,15,FALSE)</f>
        <v>General Administration and Supervision - General Management and Supervision</v>
      </c>
      <c r="AC119" s="55" t="s">
        <v>0</v>
      </c>
      <c r="AD119" s="38">
        <v>2</v>
      </c>
      <c r="AE119" s="39">
        <v>792</v>
      </c>
      <c r="AF119" s="51" t="str">
        <f>VLOOKUP(AE119,'[2]Chart of accounts'!A:H,2,FALSE)</f>
        <v>50211020 00</v>
      </c>
      <c r="AG119" s="40" t="s">
        <v>3</v>
      </c>
      <c r="AH119" s="40" t="s">
        <v>3</v>
      </c>
    </row>
    <row r="120" spans="1:34" s="32" customFormat="1">
      <c r="A120" s="338" t="s">
        <v>942</v>
      </c>
      <c r="B120" s="338" t="s">
        <v>943</v>
      </c>
      <c r="C120" s="358">
        <v>44217</v>
      </c>
      <c r="D120" s="351" t="s">
        <v>759</v>
      </c>
      <c r="E120" s="352" t="s">
        <v>807</v>
      </c>
      <c r="F120" s="338">
        <v>0.70000000000000007</v>
      </c>
      <c r="G120" s="338">
        <v>0.7006944444444444</v>
      </c>
      <c r="H120" s="338" t="s">
        <v>961</v>
      </c>
      <c r="I120" s="353">
        <v>795</v>
      </c>
      <c r="J120" s="338" t="str">
        <f>IFERROR(VLOOKUP(I120,'Chart of accounts'!A:H,2,FALSE),"")</f>
        <v>50212990 00</v>
      </c>
      <c r="K120" s="338" t="str">
        <f>IFERROR(VLOOKUP(I120,'Chart of accounts'!A:H,3,FALSE),"")</f>
        <v>Other General Services</v>
      </c>
      <c r="L120" s="338" t="str">
        <f>IFERROR(VLOOKUP(I120,'Chart of accounts'!A:H,4,FALSE),"")</f>
        <v>50212990 00 - Other General Services (795)</v>
      </c>
      <c r="M120" s="360" t="s">
        <v>2</v>
      </c>
      <c r="N120" s="355" t="s">
        <v>773</v>
      </c>
      <c r="O120" s="355" t="s">
        <v>808</v>
      </c>
      <c r="P120" s="355"/>
      <c r="Q120" s="363">
        <v>1960</v>
      </c>
      <c r="R120" s="319">
        <f t="shared" si="1"/>
        <v>-1960</v>
      </c>
      <c r="S120" s="319" t="str">
        <f>VLOOKUP(H120,'Fund Utilization Report'!$A$4:$U$1800,13,FALSE)</f>
        <v>MOOE</v>
      </c>
      <c r="T120" s="319" t="str">
        <f>VLOOKUP(H120,'Fund Utilization Report'!$A$4:$U$1800,2,FALSE)</f>
        <v>GAA</v>
      </c>
      <c r="U120" s="319" t="str">
        <f>VLOOKUP(H120,'Fund Utilization Report'!$A$4:$U$1800,3,FALSE)</f>
        <v>FY2021, RA11518</v>
      </c>
      <c r="V120" s="319" t="str">
        <f>VLOOKUP(H120,'Fund Utilization Report'!$A$4:$U$1800,4,FALSE)</f>
        <v>GAS(GMS)</v>
      </c>
      <c r="W120" s="319" t="str">
        <f>VLOOKUP(H120,'Fund Utilization Report'!$A$4:$U$1800,5,FALSE)</f>
        <v>01101101</v>
      </c>
      <c r="X120" s="319" t="str">
        <f>VLOOKUP(H120,'Fund Utilization Report'!$A$4:$U$1800,6,FALSE)</f>
        <v>GOP</v>
      </c>
      <c r="Y120" s="320" t="str">
        <f>VLOOKUP(H120,'Fund Utilization Report'!$A$4:$U$1800,7,FALSE)</f>
        <v>MOOE</v>
      </c>
      <c r="Z120" s="321">
        <f>VLOOKUP(H120,'Fund Utilization Report'!$A$4:$U$1800,8,FALSE)</f>
        <v>5020000000</v>
      </c>
      <c r="AA120" s="319" t="str">
        <f>VLOOKUP(H120,'Fund Utilization Report'!$A$4:$U$1800,14,FALSE)</f>
        <v>100000100001000</v>
      </c>
      <c r="AB120" s="349" t="str">
        <f>VLOOKUP(H120,'Fund Utilization Report'!$A$4:$U$1800,15,FALSE)</f>
        <v>General Administration and Supervision - General Management and Supervision</v>
      </c>
      <c r="AC120" s="55" t="s">
        <v>0</v>
      </c>
      <c r="AD120" s="38">
        <v>2</v>
      </c>
      <c r="AE120" s="39">
        <v>795</v>
      </c>
      <c r="AF120" s="51" t="str">
        <f>VLOOKUP(AE120,'[2]Chart of accounts'!A:H,2,FALSE)</f>
        <v>50212990 00</v>
      </c>
      <c r="AG120" s="40" t="s">
        <v>3</v>
      </c>
      <c r="AH120" s="40" t="s">
        <v>3</v>
      </c>
    </row>
    <row r="121" spans="1:34" s="32" customFormat="1">
      <c r="A121" s="338" t="s">
        <v>942</v>
      </c>
      <c r="B121" s="338" t="s">
        <v>943</v>
      </c>
      <c r="C121" s="358">
        <v>44217</v>
      </c>
      <c r="D121" s="351" t="s">
        <v>759</v>
      </c>
      <c r="E121" s="352" t="s">
        <v>807</v>
      </c>
      <c r="F121" s="338">
        <v>0.70000000000000007</v>
      </c>
      <c r="G121" s="338">
        <v>0.7006944444444444</v>
      </c>
      <c r="H121" s="338" t="s">
        <v>961</v>
      </c>
      <c r="I121" s="353">
        <v>799</v>
      </c>
      <c r="J121" s="338" t="str">
        <f>IFERROR(VLOOKUP(I121,'Chart of accounts'!A:H,2,FALSE),"")</f>
        <v>50211990 00</v>
      </c>
      <c r="K121" s="338" t="str">
        <f>IFERROR(VLOOKUP(I121,'Chart of accounts'!A:H,3,FALSE),"")</f>
        <v>Other Professional Services</v>
      </c>
      <c r="L121" s="338" t="str">
        <f>IFERROR(VLOOKUP(I121,'Chart of accounts'!A:H,4,FALSE),"")</f>
        <v>50211990 00 - Other Professional Services (799)</v>
      </c>
      <c r="M121" s="360" t="s">
        <v>2</v>
      </c>
      <c r="N121" s="355" t="s">
        <v>773</v>
      </c>
      <c r="O121" s="355" t="s">
        <v>808</v>
      </c>
      <c r="P121" s="355"/>
      <c r="Q121" s="363">
        <v>300</v>
      </c>
      <c r="R121" s="319">
        <f t="shared" si="1"/>
        <v>-300</v>
      </c>
      <c r="S121" s="319" t="str">
        <f>VLOOKUP(H121,'Fund Utilization Report'!$A$4:$U$1800,13,FALSE)</f>
        <v>MOOE</v>
      </c>
      <c r="T121" s="319" t="str">
        <f>VLOOKUP(H121,'Fund Utilization Report'!$A$4:$U$1800,2,FALSE)</f>
        <v>GAA</v>
      </c>
      <c r="U121" s="319" t="str">
        <f>VLOOKUP(H121,'Fund Utilization Report'!$A$4:$U$1800,3,FALSE)</f>
        <v>FY2021, RA11518</v>
      </c>
      <c r="V121" s="319" t="str">
        <f>VLOOKUP(H121,'Fund Utilization Report'!$A$4:$U$1800,4,FALSE)</f>
        <v>GAS(GMS)</v>
      </c>
      <c r="W121" s="319" t="str">
        <f>VLOOKUP(H121,'Fund Utilization Report'!$A$4:$U$1800,5,FALSE)</f>
        <v>01101101</v>
      </c>
      <c r="X121" s="319" t="str">
        <f>VLOOKUP(H121,'Fund Utilization Report'!$A$4:$U$1800,6,FALSE)</f>
        <v>GOP</v>
      </c>
      <c r="Y121" s="320" t="str">
        <f>VLOOKUP(H121,'Fund Utilization Report'!$A$4:$U$1800,7,FALSE)</f>
        <v>MOOE</v>
      </c>
      <c r="Z121" s="321">
        <f>VLOOKUP(H121,'Fund Utilization Report'!$A$4:$U$1800,8,FALSE)</f>
        <v>5020000000</v>
      </c>
      <c r="AA121" s="319" t="str">
        <f>VLOOKUP(H121,'Fund Utilization Report'!$A$4:$U$1800,14,FALSE)</f>
        <v>100000100001000</v>
      </c>
      <c r="AB121" s="349" t="str">
        <f>VLOOKUP(H121,'Fund Utilization Report'!$A$4:$U$1800,15,FALSE)</f>
        <v>General Administration and Supervision - General Management and Supervision</v>
      </c>
      <c r="AC121" s="55" t="s">
        <v>0</v>
      </c>
      <c r="AD121" s="38">
        <v>2</v>
      </c>
      <c r="AE121" s="39">
        <v>799</v>
      </c>
      <c r="AF121" s="51" t="str">
        <f>VLOOKUP(AE121,'[2]Chart of accounts'!A:H,2,FALSE)</f>
        <v>50211990 00</v>
      </c>
      <c r="AG121" s="40" t="s">
        <v>3</v>
      </c>
      <c r="AH121" s="40" t="s">
        <v>3</v>
      </c>
    </row>
    <row r="122" spans="1:34" s="32" customFormat="1" ht="27.6">
      <c r="A122" s="338" t="s">
        <v>942</v>
      </c>
      <c r="B122" s="338" t="s">
        <v>943</v>
      </c>
      <c r="C122" s="358">
        <v>44218</v>
      </c>
      <c r="D122" s="351" t="s">
        <v>759</v>
      </c>
      <c r="E122" s="352" t="s">
        <v>809</v>
      </c>
      <c r="F122" s="338">
        <v>0.70763888888888893</v>
      </c>
      <c r="G122" s="338">
        <v>0.70833333333333337</v>
      </c>
      <c r="H122" s="338" t="s">
        <v>971</v>
      </c>
      <c r="I122" s="353">
        <v>761</v>
      </c>
      <c r="J122" s="338" t="str">
        <f>IFERROR(VLOOKUP(I122,'Chart of accounts'!A:H,2,FALSE),"")</f>
        <v>50203090 00</v>
      </c>
      <c r="K122" s="338" t="str">
        <f>IFERROR(VLOOKUP(I122,'Chart of accounts'!A:H,3,FALSE),"")</f>
        <v>Fuel, Oil and Lubricants Expenses</v>
      </c>
      <c r="L122" s="338" t="str">
        <f>IFERROR(VLOOKUP(I122,'Chart of accounts'!A:H,4,FALSE),"")</f>
        <v>50203090 00 - Fuel, Oil and Lubricants Expenses (761)</v>
      </c>
      <c r="M122" s="360" t="s">
        <v>2</v>
      </c>
      <c r="N122" s="355" t="s">
        <v>810</v>
      </c>
      <c r="O122" s="355" t="s">
        <v>811</v>
      </c>
      <c r="P122" s="355"/>
      <c r="Q122" s="363">
        <v>6006.93</v>
      </c>
      <c r="R122" s="319">
        <f t="shared" si="1"/>
        <v>-6006.93</v>
      </c>
      <c r="S122" s="319" t="str">
        <f>VLOOKUP(H122,'Fund Utilization Report'!$A$4:$U$1800,13,FALSE)</f>
        <v>MOOE</v>
      </c>
      <c r="T122" s="319" t="str">
        <f>VLOOKUP(H122,'Fund Utilization Report'!$A$4:$U$1800,2,FALSE)</f>
        <v>GAA</v>
      </c>
      <c r="U122" s="319" t="str">
        <f>VLOOKUP(H122,'Fund Utilization Report'!$A$4:$U$1800,3,FALSE)</f>
        <v>FY2021, RA11518</v>
      </c>
      <c r="V122" s="319" t="str">
        <f>VLOOKUP(H122,'Fund Utilization Report'!$A$4:$U$1800,4,FALSE)</f>
        <v>OO3</v>
      </c>
      <c r="W122" s="319" t="str">
        <f>VLOOKUP(H122,'Fund Utilization Report'!$A$4:$U$1800,5,FALSE)</f>
        <v>01101101</v>
      </c>
      <c r="X122" s="319" t="str">
        <f>VLOOKUP(H122,'Fund Utilization Report'!$A$4:$U$1800,6,FALSE)</f>
        <v>GOP</v>
      </c>
      <c r="Y122" s="320" t="str">
        <f>VLOOKUP(H122,'Fund Utilization Report'!$A$4:$U$1800,7,FALSE)</f>
        <v>MOOE</v>
      </c>
      <c r="Z122" s="321">
        <f>VLOOKUP(H122,'Fund Utilization Report'!$A$4:$U$1800,8,FALSE)</f>
        <v>5020000000</v>
      </c>
      <c r="AA122" s="319" t="str">
        <f>VLOOKUP(H122,'Fund Utilization Report'!$A$4:$U$1800,14,FALSE)</f>
        <v>330100100002000</v>
      </c>
      <c r="AB122" s="349" t="str">
        <f>VLOOKUP(H122,'Fund Utilization Report'!$A$4:$U$1800,15,FALSE)</f>
        <v>Implementation of the MSME Development Plan and other initiatives to promote the growth of Micro, Small and Medium Enterprises</v>
      </c>
      <c r="AC122" s="55" t="s">
        <v>0</v>
      </c>
      <c r="AD122" s="38">
        <v>2</v>
      </c>
      <c r="AE122" s="39">
        <v>761</v>
      </c>
      <c r="AF122" s="51" t="str">
        <f>VLOOKUP(AE122,'[2]Chart of accounts'!A:H,2,FALSE)</f>
        <v>50203090 00</v>
      </c>
      <c r="AG122" s="53" t="s">
        <v>11</v>
      </c>
      <c r="AH122" s="40" t="s">
        <v>812</v>
      </c>
    </row>
    <row r="123" spans="1:34" s="32" customFormat="1" ht="27.6">
      <c r="A123" s="338" t="s">
        <v>942</v>
      </c>
      <c r="B123" s="338" t="s">
        <v>943</v>
      </c>
      <c r="C123" s="358">
        <v>44218</v>
      </c>
      <c r="D123" s="351" t="s">
        <v>759</v>
      </c>
      <c r="E123" s="352" t="s">
        <v>809</v>
      </c>
      <c r="F123" s="338">
        <v>0.70763888888888893</v>
      </c>
      <c r="G123" s="338">
        <v>0.70833333333333337</v>
      </c>
      <c r="H123" s="338" t="s">
        <v>971</v>
      </c>
      <c r="I123" s="353">
        <v>761</v>
      </c>
      <c r="J123" s="338" t="str">
        <f>IFERROR(VLOOKUP(I123,'Chart of accounts'!A:H,2,FALSE),"")</f>
        <v>50203090 00</v>
      </c>
      <c r="K123" s="338" t="str">
        <f>IFERROR(VLOOKUP(I123,'Chart of accounts'!A:H,3,FALSE),"")</f>
        <v>Fuel, Oil and Lubricants Expenses</v>
      </c>
      <c r="L123" s="338" t="str">
        <f>IFERROR(VLOOKUP(I123,'Chart of accounts'!A:H,4,FALSE),"")</f>
        <v>50203090 00 - Fuel, Oil and Lubricants Expenses (761)</v>
      </c>
      <c r="M123" s="360" t="s">
        <v>2</v>
      </c>
      <c r="N123" s="355" t="s">
        <v>810</v>
      </c>
      <c r="O123" s="355" t="s">
        <v>811</v>
      </c>
      <c r="P123" s="355"/>
      <c r="Q123" s="363">
        <v>5794.22</v>
      </c>
      <c r="R123" s="319">
        <f t="shared" si="1"/>
        <v>-5794.22</v>
      </c>
      <c r="S123" s="319" t="str">
        <f>VLOOKUP(H123,'Fund Utilization Report'!$A$4:$U$1800,13,FALSE)</f>
        <v>MOOE</v>
      </c>
      <c r="T123" s="319" t="str">
        <f>VLOOKUP(H123,'Fund Utilization Report'!$A$4:$U$1800,2,FALSE)</f>
        <v>GAA</v>
      </c>
      <c r="U123" s="319" t="str">
        <f>VLOOKUP(H123,'Fund Utilization Report'!$A$4:$U$1800,3,FALSE)</f>
        <v>FY2021, RA11518</v>
      </c>
      <c r="V123" s="319" t="str">
        <f>VLOOKUP(H123,'Fund Utilization Report'!$A$4:$U$1800,4,FALSE)</f>
        <v>OO3</v>
      </c>
      <c r="W123" s="319" t="str">
        <f>VLOOKUP(H123,'Fund Utilization Report'!$A$4:$U$1800,5,FALSE)</f>
        <v>01101101</v>
      </c>
      <c r="X123" s="319" t="str">
        <f>VLOOKUP(H123,'Fund Utilization Report'!$A$4:$U$1800,6,FALSE)</f>
        <v>GOP</v>
      </c>
      <c r="Y123" s="320" t="str">
        <f>VLOOKUP(H123,'Fund Utilization Report'!$A$4:$U$1800,7,FALSE)</f>
        <v>MOOE</v>
      </c>
      <c r="Z123" s="321">
        <f>VLOOKUP(H123,'Fund Utilization Report'!$A$4:$U$1800,8,FALSE)</f>
        <v>5020000000</v>
      </c>
      <c r="AA123" s="319" t="str">
        <f>VLOOKUP(H123,'Fund Utilization Report'!$A$4:$U$1800,14,FALSE)</f>
        <v>330100100002000</v>
      </c>
      <c r="AB123" s="349" t="str">
        <f>VLOOKUP(H123,'Fund Utilization Report'!$A$4:$U$1800,15,FALSE)</f>
        <v>Implementation of the MSME Development Plan and other initiatives to promote the growth of Micro, Small and Medium Enterprises</v>
      </c>
      <c r="AC123" s="55" t="s">
        <v>0</v>
      </c>
      <c r="AD123" s="38">
        <v>2</v>
      </c>
      <c r="AE123" s="39">
        <v>761</v>
      </c>
      <c r="AF123" s="51" t="str">
        <f>VLOOKUP(AE123,'[2]Chart of accounts'!A:H,2,FALSE)</f>
        <v>50203090 00</v>
      </c>
      <c r="AG123" s="53" t="s">
        <v>4</v>
      </c>
      <c r="AH123" s="40" t="s">
        <v>813</v>
      </c>
    </row>
    <row r="124" spans="1:34" s="32" customFormat="1" ht="27.6">
      <c r="A124" s="338" t="s">
        <v>942</v>
      </c>
      <c r="B124" s="338" t="s">
        <v>943</v>
      </c>
      <c r="C124" s="358">
        <v>44218</v>
      </c>
      <c r="D124" s="351" t="s">
        <v>759</v>
      </c>
      <c r="E124" s="352" t="s">
        <v>809</v>
      </c>
      <c r="F124" s="338">
        <v>0.70763888888888893</v>
      </c>
      <c r="G124" s="338">
        <v>0.70833333333333337</v>
      </c>
      <c r="H124" s="338" t="s">
        <v>971</v>
      </c>
      <c r="I124" s="353">
        <v>761</v>
      </c>
      <c r="J124" s="338" t="str">
        <f>IFERROR(VLOOKUP(I124,'Chart of accounts'!A:H,2,FALSE),"")</f>
        <v>50203090 00</v>
      </c>
      <c r="K124" s="338" t="str">
        <f>IFERROR(VLOOKUP(I124,'Chart of accounts'!A:H,3,FALSE),"")</f>
        <v>Fuel, Oil and Lubricants Expenses</v>
      </c>
      <c r="L124" s="338" t="str">
        <f>IFERROR(VLOOKUP(I124,'Chart of accounts'!A:H,4,FALSE),"")</f>
        <v>50203090 00 - Fuel, Oil and Lubricants Expenses (761)</v>
      </c>
      <c r="M124" s="360" t="s">
        <v>2</v>
      </c>
      <c r="N124" s="355" t="s">
        <v>810</v>
      </c>
      <c r="O124" s="355" t="s">
        <v>811</v>
      </c>
      <c r="P124" s="355"/>
      <c r="Q124" s="363">
        <v>1558.07</v>
      </c>
      <c r="R124" s="319">
        <f t="shared" si="1"/>
        <v>-1558.07</v>
      </c>
      <c r="S124" s="319" t="str">
        <f>VLOOKUP(H124,'Fund Utilization Report'!$A$4:$U$1800,13,FALSE)</f>
        <v>MOOE</v>
      </c>
      <c r="T124" s="319" t="str">
        <f>VLOOKUP(H124,'Fund Utilization Report'!$A$4:$U$1800,2,FALSE)</f>
        <v>GAA</v>
      </c>
      <c r="U124" s="319" t="str">
        <f>VLOOKUP(H124,'Fund Utilization Report'!$A$4:$U$1800,3,FALSE)</f>
        <v>FY2021, RA11518</v>
      </c>
      <c r="V124" s="319" t="str">
        <f>VLOOKUP(H124,'Fund Utilization Report'!$A$4:$U$1800,4,FALSE)</f>
        <v>OO3</v>
      </c>
      <c r="W124" s="319" t="str">
        <f>VLOOKUP(H124,'Fund Utilization Report'!$A$4:$U$1800,5,FALSE)</f>
        <v>01101101</v>
      </c>
      <c r="X124" s="319" t="str">
        <f>VLOOKUP(H124,'Fund Utilization Report'!$A$4:$U$1800,6,FALSE)</f>
        <v>GOP</v>
      </c>
      <c r="Y124" s="320" t="str">
        <f>VLOOKUP(H124,'Fund Utilization Report'!$A$4:$U$1800,7,FALSE)</f>
        <v>MOOE</v>
      </c>
      <c r="Z124" s="321">
        <f>VLOOKUP(H124,'Fund Utilization Report'!$A$4:$U$1800,8,FALSE)</f>
        <v>5020000000</v>
      </c>
      <c r="AA124" s="319" t="str">
        <f>VLOOKUP(H124,'Fund Utilization Report'!$A$4:$U$1800,14,FALSE)</f>
        <v>330100100002000</v>
      </c>
      <c r="AB124" s="349" t="str">
        <f>VLOOKUP(H124,'Fund Utilization Report'!$A$4:$U$1800,15,FALSE)</f>
        <v>Implementation of the MSME Development Plan and other initiatives to promote the growth of Micro, Small and Medium Enterprises</v>
      </c>
      <c r="AC124" s="55" t="s">
        <v>0</v>
      </c>
      <c r="AD124" s="38">
        <v>2</v>
      </c>
      <c r="AE124" s="39">
        <v>761</v>
      </c>
      <c r="AF124" s="51" t="str">
        <f>VLOOKUP(AE124,'[2]Chart of accounts'!A:H,2,FALSE)</f>
        <v>50203090 00</v>
      </c>
      <c r="AG124" s="53" t="s">
        <v>8</v>
      </c>
      <c r="AH124" s="40" t="s">
        <v>814</v>
      </c>
    </row>
    <row r="125" spans="1:34" s="32" customFormat="1" ht="27.6">
      <c r="A125" s="338" t="s">
        <v>942</v>
      </c>
      <c r="B125" s="338" t="s">
        <v>943</v>
      </c>
      <c r="C125" s="358">
        <v>44218</v>
      </c>
      <c r="D125" s="351" t="s">
        <v>759</v>
      </c>
      <c r="E125" s="352" t="s">
        <v>809</v>
      </c>
      <c r="F125" s="338">
        <v>0.70763888888888893</v>
      </c>
      <c r="G125" s="338">
        <v>0.70833333333333337</v>
      </c>
      <c r="H125" s="338" t="s">
        <v>971</v>
      </c>
      <c r="I125" s="353">
        <v>761</v>
      </c>
      <c r="J125" s="338" t="str">
        <f>IFERROR(VLOOKUP(I125,'Chart of accounts'!A:H,2,FALSE),"")</f>
        <v>50203090 00</v>
      </c>
      <c r="K125" s="338" t="str">
        <f>IFERROR(VLOOKUP(I125,'Chart of accounts'!A:H,3,FALSE),"")</f>
        <v>Fuel, Oil and Lubricants Expenses</v>
      </c>
      <c r="L125" s="338" t="str">
        <f>IFERROR(VLOOKUP(I125,'Chart of accounts'!A:H,4,FALSE),"")</f>
        <v>50203090 00 - Fuel, Oil and Lubricants Expenses (761)</v>
      </c>
      <c r="M125" s="360" t="s">
        <v>2</v>
      </c>
      <c r="N125" s="355" t="s">
        <v>810</v>
      </c>
      <c r="O125" s="355" t="s">
        <v>811</v>
      </c>
      <c r="P125" s="355"/>
      <c r="Q125" s="363">
        <v>759.68</v>
      </c>
      <c r="R125" s="319">
        <f t="shared" si="1"/>
        <v>-759.68</v>
      </c>
      <c r="S125" s="319" t="str">
        <f>VLOOKUP(H125,'Fund Utilization Report'!$A$4:$U$1800,13,FALSE)</f>
        <v>MOOE</v>
      </c>
      <c r="T125" s="319" t="str">
        <f>VLOOKUP(H125,'Fund Utilization Report'!$A$4:$U$1800,2,FALSE)</f>
        <v>GAA</v>
      </c>
      <c r="U125" s="319" t="str">
        <f>VLOOKUP(H125,'Fund Utilization Report'!$A$4:$U$1800,3,FALSE)</f>
        <v>FY2021, RA11518</v>
      </c>
      <c r="V125" s="319" t="str">
        <f>VLOOKUP(H125,'Fund Utilization Report'!$A$4:$U$1800,4,FALSE)</f>
        <v>OO3</v>
      </c>
      <c r="W125" s="319" t="str">
        <f>VLOOKUP(H125,'Fund Utilization Report'!$A$4:$U$1800,5,FALSE)</f>
        <v>01101101</v>
      </c>
      <c r="X125" s="319" t="str">
        <f>VLOOKUP(H125,'Fund Utilization Report'!$A$4:$U$1800,6,FALSE)</f>
        <v>GOP</v>
      </c>
      <c r="Y125" s="320" t="str">
        <f>VLOOKUP(H125,'Fund Utilization Report'!$A$4:$U$1800,7,FALSE)</f>
        <v>MOOE</v>
      </c>
      <c r="Z125" s="321">
        <f>VLOOKUP(H125,'Fund Utilization Report'!$A$4:$U$1800,8,FALSE)</f>
        <v>5020000000</v>
      </c>
      <c r="AA125" s="319" t="str">
        <f>VLOOKUP(H125,'Fund Utilization Report'!$A$4:$U$1800,14,FALSE)</f>
        <v>330100100002000</v>
      </c>
      <c r="AB125" s="349" t="str">
        <f>VLOOKUP(H125,'Fund Utilization Report'!$A$4:$U$1800,15,FALSE)</f>
        <v>Implementation of the MSME Development Plan and other initiatives to promote the growth of Micro, Small and Medium Enterprises</v>
      </c>
      <c r="AC125" s="55" t="s">
        <v>0</v>
      </c>
      <c r="AD125" s="38">
        <v>2</v>
      </c>
      <c r="AE125" s="39">
        <v>761</v>
      </c>
      <c r="AF125" s="51" t="str">
        <f>VLOOKUP(AE125,'[2]Chart of accounts'!A:H,2,FALSE)</f>
        <v>50203090 00</v>
      </c>
      <c r="AG125" s="53" t="s">
        <v>763</v>
      </c>
      <c r="AH125" s="40" t="s">
        <v>815</v>
      </c>
    </row>
    <row r="126" spans="1:34" s="32" customFormat="1" ht="27.6">
      <c r="A126" s="338" t="s">
        <v>942</v>
      </c>
      <c r="B126" s="338" t="s">
        <v>943</v>
      </c>
      <c r="C126" s="358">
        <v>44218</v>
      </c>
      <c r="D126" s="351" t="s">
        <v>759</v>
      </c>
      <c r="E126" s="352" t="s">
        <v>809</v>
      </c>
      <c r="F126" s="338">
        <v>0.70763888888888893</v>
      </c>
      <c r="G126" s="338">
        <v>0.70833333333333337</v>
      </c>
      <c r="H126" s="338" t="s">
        <v>971</v>
      </c>
      <c r="I126" s="353">
        <v>761</v>
      </c>
      <c r="J126" s="338" t="str">
        <f>IFERROR(VLOOKUP(I126,'Chart of accounts'!A:H,2,FALSE),"")</f>
        <v>50203090 00</v>
      </c>
      <c r="K126" s="338" t="str">
        <f>IFERROR(VLOOKUP(I126,'Chart of accounts'!A:H,3,FALSE),"")</f>
        <v>Fuel, Oil and Lubricants Expenses</v>
      </c>
      <c r="L126" s="338" t="str">
        <f>IFERROR(VLOOKUP(I126,'Chart of accounts'!A:H,4,FALSE),"")</f>
        <v>50203090 00 - Fuel, Oil and Lubricants Expenses (761)</v>
      </c>
      <c r="M126" s="360" t="s">
        <v>2</v>
      </c>
      <c r="N126" s="355" t="s">
        <v>810</v>
      </c>
      <c r="O126" s="355" t="s">
        <v>811</v>
      </c>
      <c r="P126" s="355"/>
      <c r="Q126" s="363">
        <v>8431.59</v>
      </c>
      <c r="R126" s="319">
        <f t="shared" si="1"/>
        <v>-8431.59</v>
      </c>
      <c r="S126" s="319" t="str">
        <f>VLOOKUP(H126,'Fund Utilization Report'!$A$4:$U$1800,13,FALSE)</f>
        <v>MOOE</v>
      </c>
      <c r="T126" s="319" t="str">
        <f>VLOOKUP(H126,'Fund Utilization Report'!$A$4:$U$1800,2,FALSE)</f>
        <v>GAA</v>
      </c>
      <c r="U126" s="319" t="str">
        <f>VLOOKUP(H126,'Fund Utilization Report'!$A$4:$U$1800,3,FALSE)</f>
        <v>FY2021, RA11518</v>
      </c>
      <c r="V126" s="319" t="str">
        <f>VLOOKUP(H126,'Fund Utilization Report'!$A$4:$U$1800,4,FALSE)</f>
        <v>OO3</v>
      </c>
      <c r="W126" s="319" t="str">
        <f>VLOOKUP(H126,'Fund Utilization Report'!$A$4:$U$1800,5,FALSE)</f>
        <v>01101101</v>
      </c>
      <c r="X126" s="319" t="str">
        <f>VLOOKUP(H126,'Fund Utilization Report'!$A$4:$U$1800,6,FALSE)</f>
        <v>GOP</v>
      </c>
      <c r="Y126" s="320" t="str">
        <f>VLOOKUP(H126,'Fund Utilization Report'!$A$4:$U$1800,7,FALSE)</f>
        <v>MOOE</v>
      </c>
      <c r="Z126" s="321">
        <f>VLOOKUP(H126,'Fund Utilization Report'!$A$4:$U$1800,8,FALSE)</f>
        <v>5020000000</v>
      </c>
      <c r="AA126" s="319" t="str">
        <f>VLOOKUP(H126,'Fund Utilization Report'!$A$4:$U$1800,14,FALSE)</f>
        <v>330100100002000</v>
      </c>
      <c r="AB126" s="349" t="str">
        <f>VLOOKUP(H126,'Fund Utilization Report'!$A$4:$U$1800,15,FALSE)</f>
        <v>Implementation of the MSME Development Plan and other initiatives to promote the growth of Micro, Small and Medium Enterprises</v>
      </c>
      <c r="AC126" s="55" t="s">
        <v>0</v>
      </c>
      <c r="AD126" s="38">
        <v>2</v>
      </c>
      <c r="AE126" s="39">
        <v>761</v>
      </c>
      <c r="AF126" s="51" t="str">
        <f>VLOOKUP(AE126,'[2]Chart of accounts'!A:H,2,FALSE)</f>
        <v>50203090 00</v>
      </c>
      <c r="AG126" s="53" t="s">
        <v>3</v>
      </c>
      <c r="AH126" s="40" t="s">
        <v>816</v>
      </c>
    </row>
    <row r="127" spans="1:34" s="32" customFormat="1" ht="27.6">
      <c r="A127" s="338" t="s">
        <v>942</v>
      </c>
      <c r="B127" s="338" t="s">
        <v>943</v>
      </c>
      <c r="C127" s="358">
        <v>44221</v>
      </c>
      <c r="D127" s="351" t="s">
        <v>759</v>
      </c>
      <c r="E127" s="352" t="s">
        <v>817</v>
      </c>
      <c r="F127" s="338">
        <v>0.59027777777777779</v>
      </c>
      <c r="G127" s="338">
        <v>0.59097222222222223</v>
      </c>
      <c r="H127" s="338" t="s">
        <v>961</v>
      </c>
      <c r="I127" s="353">
        <v>783</v>
      </c>
      <c r="J127" s="338" t="str">
        <f>IFERROR(VLOOKUP(I127,'Chart of accounts'!A:H,2,FALSE),"")</f>
        <v>50299030 00</v>
      </c>
      <c r="K127" s="338" t="str">
        <f>IFERROR(VLOOKUP(I127,'Chart of accounts'!A:H,3,FALSE),"")</f>
        <v>Representation Expenses</v>
      </c>
      <c r="L127" s="338" t="str">
        <f>IFERROR(VLOOKUP(I127,'Chart of accounts'!A:H,4,FALSE),"")</f>
        <v>50299030 00 - Representation Expenses (783)</v>
      </c>
      <c r="M127" s="360" t="s">
        <v>788</v>
      </c>
      <c r="N127" s="355" t="s">
        <v>818</v>
      </c>
      <c r="O127" s="355" t="s">
        <v>819</v>
      </c>
      <c r="P127" s="355"/>
      <c r="Q127" s="363">
        <v>7800</v>
      </c>
      <c r="R127" s="319">
        <f t="shared" si="1"/>
        <v>-7800</v>
      </c>
      <c r="S127" s="319" t="str">
        <f>VLOOKUP(H127,'Fund Utilization Report'!$A$4:$U$1800,13,FALSE)</f>
        <v>MOOE</v>
      </c>
      <c r="T127" s="319" t="str">
        <f>VLOOKUP(H127,'Fund Utilization Report'!$A$4:$U$1800,2,FALSE)</f>
        <v>GAA</v>
      </c>
      <c r="U127" s="319" t="str">
        <f>VLOOKUP(H127,'Fund Utilization Report'!$A$4:$U$1800,3,FALSE)</f>
        <v>FY2021, RA11518</v>
      </c>
      <c r="V127" s="319" t="str">
        <f>VLOOKUP(H127,'Fund Utilization Report'!$A$4:$U$1800,4,FALSE)</f>
        <v>GAS(GMS)</v>
      </c>
      <c r="W127" s="319" t="str">
        <f>VLOOKUP(H127,'Fund Utilization Report'!$A$4:$U$1800,5,FALSE)</f>
        <v>01101101</v>
      </c>
      <c r="X127" s="319" t="str">
        <f>VLOOKUP(H127,'Fund Utilization Report'!$A$4:$U$1800,6,FALSE)</f>
        <v>GOP</v>
      </c>
      <c r="Y127" s="320" t="str">
        <f>VLOOKUP(H127,'Fund Utilization Report'!$A$4:$U$1800,7,FALSE)</f>
        <v>MOOE</v>
      </c>
      <c r="Z127" s="321">
        <f>VLOOKUP(H127,'Fund Utilization Report'!$A$4:$U$1800,8,FALSE)</f>
        <v>5020000000</v>
      </c>
      <c r="AA127" s="319" t="str">
        <f>VLOOKUP(H127,'Fund Utilization Report'!$A$4:$U$1800,14,FALSE)</f>
        <v>100000100001000</v>
      </c>
      <c r="AB127" s="349" t="str">
        <f>VLOOKUP(H127,'Fund Utilization Report'!$A$4:$U$1800,15,FALSE)</f>
        <v>General Administration and Supervision - General Management and Supervision</v>
      </c>
      <c r="AC127" s="55" t="s">
        <v>0</v>
      </c>
      <c r="AD127" s="38">
        <v>2</v>
      </c>
      <c r="AE127" s="39">
        <v>783</v>
      </c>
      <c r="AF127" s="51" t="str">
        <f>VLOOKUP(AE127,'[2]Chart of accounts'!A:H,2,FALSE)</f>
        <v>50299030 00</v>
      </c>
      <c r="AG127" s="53" t="s">
        <v>3</v>
      </c>
      <c r="AH127" s="53" t="s">
        <v>3</v>
      </c>
    </row>
    <row r="128" spans="1:34" s="32" customFormat="1" ht="27.6">
      <c r="A128" s="338" t="s">
        <v>942</v>
      </c>
      <c r="B128" s="338" t="s">
        <v>943</v>
      </c>
      <c r="C128" s="358">
        <v>44221</v>
      </c>
      <c r="D128" s="351" t="s">
        <v>759</v>
      </c>
      <c r="E128" s="352" t="s">
        <v>824</v>
      </c>
      <c r="F128" s="338">
        <v>0.59097222222222223</v>
      </c>
      <c r="G128" s="338">
        <v>0.59236111111111112</v>
      </c>
      <c r="H128" s="338" t="s">
        <v>961</v>
      </c>
      <c r="I128" s="353">
        <v>783</v>
      </c>
      <c r="J128" s="338" t="str">
        <f>IFERROR(VLOOKUP(I128,'Chart of accounts'!A:H,2,FALSE),"")</f>
        <v>50299030 00</v>
      </c>
      <c r="K128" s="338" t="str">
        <f>IFERROR(VLOOKUP(I128,'Chart of accounts'!A:H,3,FALSE),"")</f>
        <v>Representation Expenses</v>
      </c>
      <c r="L128" s="338" t="str">
        <f>IFERROR(VLOOKUP(I128,'Chart of accounts'!A:H,4,FALSE),"")</f>
        <v>50299030 00 - Representation Expenses (783)</v>
      </c>
      <c r="M128" s="360" t="s">
        <v>776</v>
      </c>
      <c r="N128" s="355" t="s">
        <v>820</v>
      </c>
      <c r="O128" s="355" t="s">
        <v>819</v>
      </c>
      <c r="P128" s="355"/>
      <c r="Q128" s="363">
        <v>7800</v>
      </c>
      <c r="R128" s="319">
        <f t="shared" si="1"/>
        <v>-7800</v>
      </c>
      <c r="S128" s="319" t="str">
        <f>VLOOKUP(H128,'Fund Utilization Report'!$A$4:$U$1800,13,FALSE)</f>
        <v>MOOE</v>
      </c>
      <c r="T128" s="319" t="str">
        <f>VLOOKUP(H128,'Fund Utilization Report'!$A$4:$U$1800,2,FALSE)</f>
        <v>GAA</v>
      </c>
      <c r="U128" s="319" t="str">
        <f>VLOOKUP(H128,'Fund Utilization Report'!$A$4:$U$1800,3,FALSE)</f>
        <v>FY2021, RA11518</v>
      </c>
      <c r="V128" s="319" t="str">
        <f>VLOOKUP(H128,'Fund Utilization Report'!$A$4:$U$1800,4,FALSE)</f>
        <v>GAS(GMS)</v>
      </c>
      <c r="W128" s="319" t="str">
        <f>VLOOKUP(H128,'Fund Utilization Report'!$A$4:$U$1800,5,FALSE)</f>
        <v>01101101</v>
      </c>
      <c r="X128" s="319" t="str">
        <f>VLOOKUP(H128,'Fund Utilization Report'!$A$4:$U$1800,6,FALSE)</f>
        <v>GOP</v>
      </c>
      <c r="Y128" s="320" t="str">
        <f>VLOOKUP(H128,'Fund Utilization Report'!$A$4:$U$1800,7,FALSE)</f>
        <v>MOOE</v>
      </c>
      <c r="Z128" s="321">
        <f>VLOOKUP(H128,'Fund Utilization Report'!$A$4:$U$1800,8,FALSE)</f>
        <v>5020000000</v>
      </c>
      <c r="AA128" s="319" t="str">
        <f>VLOOKUP(H128,'Fund Utilization Report'!$A$4:$U$1800,14,FALSE)</f>
        <v>100000100001000</v>
      </c>
      <c r="AB128" s="349" t="str">
        <f>VLOOKUP(H128,'Fund Utilization Report'!$A$4:$U$1800,15,FALSE)</f>
        <v>General Administration and Supervision - General Management and Supervision</v>
      </c>
      <c r="AC128" s="55" t="s">
        <v>0</v>
      </c>
      <c r="AD128" s="38">
        <v>2</v>
      </c>
      <c r="AE128" s="39">
        <v>783</v>
      </c>
      <c r="AF128" s="51" t="str">
        <f>VLOOKUP(AE128,'[2]Chart of accounts'!A:H,2,FALSE)</f>
        <v>50299030 00</v>
      </c>
      <c r="AG128" s="53" t="s">
        <v>3</v>
      </c>
      <c r="AH128" s="53" t="s">
        <v>3</v>
      </c>
    </row>
    <row r="129" spans="1:34" s="32" customFormat="1" ht="27.6">
      <c r="A129" s="338" t="s">
        <v>942</v>
      </c>
      <c r="B129" s="338" t="s">
        <v>943</v>
      </c>
      <c r="C129" s="358">
        <v>44221</v>
      </c>
      <c r="D129" s="351" t="s">
        <v>759</v>
      </c>
      <c r="E129" s="352" t="s">
        <v>825</v>
      </c>
      <c r="F129" s="338">
        <v>0.59236111111111112</v>
      </c>
      <c r="G129" s="338">
        <v>0.59305555555555556</v>
      </c>
      <c r="H129" s="338" t="s">
        <v>961</v>
      </c>
      <c r="I129" s="353">
        <v>783</v>
      </c>
      <c r="J129" s="338" t="str">
        <f>IFERROR(VLOOKUP(I129,'Chart of accounts'!A:H,2,FALSE),"")</f>
        <v>50299030 00</v>
      </c>
      <c r="K129" s="338" t="str">
        <f>IFERROR(VLOOKUP(I129,'Chart of accounts'!A:H,3,FALSE),"")</f>
        <v>Representation Expenses</v>
      </c>
      <c r="L129" s="338" t="str">
        <f>IFERROR(VLOOKUP(I129,'Chart of accounts'!A:H,4,FALSE),"")</f>
        <v>50299030 00 - Representation Expenses (783)</v>
      </c>
      <c r="M129" s="360" t="s">
        <v>769</v>
      </c>
      <c r="N129" s="355" t="s">
        <v>821</v>
      </c>
      <c r="O129" s="355" t="s">
        <v>819</v>
      </c>
      <c r="P129" s="355"/>
      <c r="Q129" s="363">
        <v>7800</v>
      </c>
      <c r="R129" s="319">
        <f t="shared" si="1"/>
        <v>-7800</v>
      </c>
      <c r="S129" s="319" t="str">
        <f>VLOOKUP(H129,'Fund Utilization Report'!$A$4:$U$1800,13,FALSE)</f>
        <v>MOOE</v>
      </c>
      <c r="T129" s="319" t="str">
        <f>VLOOKUP(H129,'Fund Utilization Report'!$A$4:$U$1800,2,FALSE)</f>
        <v>GAA</v>
      </c>
      <c r="U129" s="319" t="str">
        <f>VLOOKUP(H129,'Fund Utilization Report'!$A$4:$U$1800,3,FALSE)</f>
        <v>FY2021, RA11518</v>
      </c>
      <c r="V129" s="319" t="str">
        <f>VLOOKUP(H129,'Fund Utilization Report'!$A$4:$U$1800,4,FALSE)</f>
        <v>GAS(GMS)</v>
      </c>
      <c r="W129" s="319" t="str">
        <f>VLOOKUP(H129,'Fund Utilization Report'!$A$4:$U$1800,5,FALSE)</f>
        <v>01101101</v>
      </c>
      <c r="X129" s="319" t="str">
        <f>VLOOKUP(H129,'Fund Utilization Report'!$A$4:$U$1800,6,FALSE)</f>
        <v>GOP</v>
      </c>
      <c r="Y129" s="320" t="str">
        <f>VLOOKUP(H129,'Fund Utilization Report'!$A$4:$U$1800,7,FALSE)</f>
        <v>MOOE</v>
      </c>
      <c r="Z129" s="321">
        <f>VLOOKUP(H129,'Fund Utilization Report'!$A$4:$U$1800,8,FALSE)</f>
        <v>5020000000</v>
      </c>
      <c r="AA129" s="319" t="str">
        <f>VLOOKUP(H129,'Fund Utilization Report'!$A$4:$U$1800,14,FALSE)</f>
        <v>100000100001000</v>
      </c>
      <c r="AB129" s="349" t="str">
        <f>VLOOKUP(H129,'Fund Utilization Report'!$A$4:$U$1800,15,FALSE)</f>
        <v>General Administration and Supervision - General Management and Supervision</v>
      </c>
      <c r="AC129" s="55" t="s">
        <v>0</v>
      </c>
      <c r="AD129" s="38">
        <v>2</v>
      </c>
      <c r="AE129" s="39">
        <v>783</v>
      </c>
      <c r="AF129" s="51" t="str">
        <f>VLOOKUP(AE129,'[2]Chart of accounts'!A:H,2,FALSE)</f>
        <v>50299030 00</v>
      </c>
      <c r="AG129" s="53" t="s">
        <v>3</v>
      </c>
      <c r="AH129" s="53" t="s">
        <v>3</v>
      </c>
    </row>
    <row r="130" spans="1:34" s="32" customFormat="1" ht="27.6">
      <c r="A130" s="338" t="s">
        <v>942</v>
      </c>
      <c r="B130" s="338" t="s">
        <v>943</v>
      </c>
      <c r="C130" s="358">
        <v>44221</v>
      </c>
      <c r="D130" s="351" t="s">
        <v>759</v>
      </c>
      <c r="E130" s="352" t="s">
        <v>826</v>
      </c>
      <c r="F130" s="338">
        <v>0.59305555555555556</v>
      </c>
      <c r="G130" s="338">
        <v>0.59375</v>
      </c>
      <c r="H130" s="338" t="s">
        <v>961</v>
      </c>
      <c r="I130" s="353">
        <v>783</v>
      </c>
      <c r="J130" s="338" t="str">
        <f>IFERROR(VLOOKUP(I130,'Chart of accounts'!A:H,2,FALSE),"")</f>
        <v>50299030 00</v>
      </c>
      <c r="K130" s="338" t="str">
        <f>IFERROR(VLOOKUP(I130,'Chart of accounts'!A:H,3,FALSE),"")</f>
        <v>Representation Expenses</v>
      </c>
      <c r="L130" s="338" t="str">
        <f>IFERROR(VLOOKUP(I130,'Chart of accounts'!A:H,4,FALSE),"")</f>
        <v>50299030 00 - Representation Expenses (783)</v>
      </c>
      <c r="M130" s="360" t="s">
        <v>771</v>
      </c>
      <c r="N130" s="355" t="s">
        <v>822</v>
      </c>
      <c r="O130" s="355" t="s">
        <v>819</v>
      </c>
      <c r="P130" s="355"/>
      <c r="Q130" s="363">
        <v>7800</v>
      </c>
      <c r="R130" s="319">
        <f t="shared" si="1"/>
        <v>-7800</v>
      </c>
      <c r="S130" s="319" t="str">
        <f>VLOOKUP(H130,'Fund Utilization Report'!$A$4:$U$1800,13,FALSE)</f>
        <v>MOOE</v>
      </c>
      <c r="T130" s="319" t="str">
        <f>VLOOKUP(H130,'Fund Utilization Report'!$A$4:$U$1800,2,FALSE)</f>
        <v>GAA</v>
      </c>
      <c r="U130" s="319" t="str">
        <f>VLOOKUP(H130,'Fund Utilization Report'!$A$4:$U$1800,3,FALSE)</f>
        <v>FY2021, RA11518</v>
      </c>
      <c r="V130" s="319" t="str">
        <f>VLOOKUP(H130,'Fund Utilization Report'!$A$4:$U$1800,4,FALSE)</f>
        <v>GAS(GMS)</v>
      </c>
      <c r="W130" s="319" t="str">
        <f>VLOOKUP(H130,'Fund Utilization Report'!$A$4:$U$1800,5,FALSE)</f>
        <v>01101101</v>
      </c>
      <c r="X130" s="319" t="str">
        <f>VLOOKUP(H130,'Fund Utilization Report'!$A$4:$U$1800,6,FALSE)</f>
        <v>GOP</v>
      </c>
      <c r="Y130" s="320" t="str">
        <f>VLOOKUP(H130,'Fund Utilization Report'!$A$4:$U$1800,7,FALSE)</f>
        <v>MOOE</v>
      </c>
      <c r="Z130" s="321">
        <f>VLOOKUP(H130,'Fund Utilization Report'!$A$4:$U$1800,8,FALSE)</f>
        <v>5020000000</v>
      </c>
      <c r="AA130" s="319" t="str">
        <f>VLOOKUP(H130,'Fund Utilization Report'!$A$4:$U$1800,14,FALSE)</f>
        <v>100000100001000</v>
      </c>
      <c r="AB130" s="349" t="str">
        <f>VLOOKUP(H130,'Fund Utilization Report'!$A$4:$U$1800,15,FALSE)</f>
        <v>General Administration and Supervision - General Management and Supervision</v>
      </c>
      <c r="AC130" s="55" t="s">
        <v>0</v>
      </c>
      <c r="AD130" s="38">
        <v>2</v>
      </c>
      <c r="AE130" s="39">
        <v>783</v>
      </c>
      <c r="AF130" s="51" t="str">
        <f>VLOOKUP(AE130,'[2]Chart of accounts'!A:H,2,FALSE)</f>
        <v>50299030 00</v>
      </c>
      <c r="AG130" s="53" t="s">
        <v>3</v>
      </c>
      <c r="AH130" s="53" t="s">
        <v>3</v>
      </c>
    </row>
    <row r="131" spans="1:34" s="32" customFormat="1" ht="27.6">
      <c r="A131" s="338" t="s">
        <v>942</v>
      </c>
      <c r="B131" s="338" t="s">
        <v>943</v>
      </c>
      <c r="C131" s="358">
        <v>44221</v>
      </c>
      <c r="D131" s="351" t="s">
        <v>759</v>
      </c>
      <c r="E131" s="352" t="s">
        <v>827</v>
      </c>
      <c r="F131" s="338">
        <v>0.59375</v>
      </c>
      <c r="G131" s="338">
        <v>0.59444444444444444</v>
      </c>
      <c r="H131" s="338" t="s">
        <v>961</v>
      </c>
      <c r="I131" s="353">
        <v>783</v>
      </c>
      <c r="J131" s="338" t="str">
        <f>IFERROR(VLOOKUP(I131,'Chart of accounts'!A:H,2,FALSE),"")</f>
        <v>50299030 00</v>
      </c>
      <c r="K131" s="338" t="str">
        <f>IFERROR(VLOOKUP(I131,'Chart of accounts'!A:H,3,FALSE),"")</f>
        <v>Representation Expenses</v>
      </c>
      <c r="L131" s="338" t="str">
        <f>IFERROR(VLOOKUP(I131,'Chart of accounts'!A:H,4,FALSE),"")</f>
        <v>50299030 00 - Representation Expenses (783)</v>
      </c>
      <c r="M131" s="360" t="s">
        <v>770</v>
      </c>
      <c r="N131" s="355" t="s">
        <v>823</v>
      </c>
      <c r="O131" s="355" t="s">
        <v>819</v>
      </c>
      <c r="P131" s="355"/>
      <c r="Q131" s="363">
        <v>7800</v>
      </c>
      <c r="R131" s="319">
        <f t="shared" si="1"/>
        <v>-7800</v>
      </c>
      <c r="S131" s="319" t="str">
        <f>VLOOKUP(H131,'Fund Utilization Report'!$A$4:$U$1800,13,FALSE)</f>
        <v>MOOE</v>
      </c>
      <c r="T131" s="319" t="str">
        <f>VLOOKUP(H131,'Fund Utilization Report'!$A$4:$U$1800,2,FALSE)</f>
        <v>GAA</v>
      </c>
      <c r="U131" s="319" t="str">
        <f>VLOOKUP(H131,'Fund Utilization Report'!$A$4:$U$1800,3,FALSE)</f>
        <v>FY2021, RA11518</v>
      </c>
      <c r="V131" s="319" t="str">
        <f>VLOOKUP(H131,'Fund Utilization Report'!$A$4:$U$1800,4,FALSE)</f>
        <v>GAS(GMS)</v>
      </c>
      <c r="W131" s="319" t="str">
        <f>VLOOKUP(H131,'Fund Utilization Report'!$A$4:$U$1800,5,FALSE)</f>
        <v>01101101</v>
      </c>
      <c r="X131" s="319" t="str">
        <f>VLOOKUP(H131,'Fund Utilization Report'!$A$4:$U$1800,6,FALSE)</f>
        <v>GOP</v>
      </c>
      <c r="Y131" s="320" t="str">
        <f>VLOOKUP(H131,'Fund Utilization Report'!$A$4:$U$1800,7,FALSE)</f>
        <v>MOOE</v>
      </c>
      <c r="Z131" s="321">
        <f>VLOOKUP(H131,'Fund Utilization Report'!$A$4:$U$1800,8,FALSE)</f>
        <v>5020000000</v>
      </c>
      <c r="AA131" s="319" t="str">
        <f>VLOOKUP(H131,'Fund Utilization Report'!$A$4:$U$1800,14,FALSE)</f>
        <v>100000100001000</v>
      </c>
      <c r="AB131" s="349" t="str">
        <f>VLOOKUP(H131,'Fund Utilization Report'!$A$4:$U$1800,15,FALSE)</f>
        <v>General Administration and Supervision - General Management and Supervision</v>
      </c>
      <c r="AC131" s="55" t="s">
        <v>0</v>
      </c>
      <c r="AD131" s="38">
        <v>2</v>
      </c>
      <c r="AE131" s="39">
        <v>783</v>
      </c>
      <c r="AF131" s="51" t="str">
        <f>VLOOKUP(AE131,'[2]Chart of accounts'!A:H,2,FALSE)</f>
        <v>50299030 00</v>
      </c>
      <c r="AG131" s="53" t="s">
        <v>3</v>
      </c>
      <c r="AH131" s="53" t="s">
        <v>3</v>
      </c>
    </row>
    <row r="132" spans="1:34" s="32" customFormat="1" ht="27.6">
      <c r="A132" s="338" t="s">
        <v>942</v>
      </c>
      <c r="B132" s="338" t="s">
        <v>943</v>
      </c>
      <c r="C132" s="358">
        <v>44222</v>
      </c>
      <c r="D132" s="351" t="s">
        <v>759</v>
      </c>
      <c r="E132" s="352" t="s">
        <v>829</v>
      </c>
      <c r="F132" s="338">
        <v>0.46666666666666662</v>
      </c>
      <c r="G132" s="338">
        <v>0.46736111111111112</v>
      </c>
      <c r="H132" s="338" t="s">
        <v>984</v>
      </c>
      <c r="I132" s="353" t="s">
        <v>828</v>
      </c>
      <c r="J132" s="338" t="str">
        <f>IFERROR(VLOOKUP(I132,'Chart of accounts'!A:H,2,FALSE),"")</f>
        <v>50604050 03</v>
      </c>
      <c r="K132" s="338" t="str">
        <f>IFERROR(VLOOKUP(I132,'Chart of accounts'!A:H,3,FALSE),"")</f>
        <v>ICT Equipment</v>
      </c>
      <c r="L132" s="338" t="str">
        <f>IFERROR(VLOOKUP(I132,'Chart of accounts'!A:H,4,FALSE),"")</f>
        <v>50604050 03 - ICT Equipment (223 CO)</v>
      </c>
      <c r="M132" s="360" t="s">
        <v>2</v>
      </c>
      <c r="N132" s="355" t="s">
        <v>830</v>
      </c>
      <c r="O132" s="355" t="s">
        <v>831</v>
      </c>
      <c r="P132" s="355"/>
      <c r="Q132" s="363">
        <v>59500</v>
      </c>
      <c r="R132" s="319">
        <f t="shared" si="1"/>
        <v>-59500</v>
      </c>
      <c r="S132" s="319" t="str">
        <f>VLOOKUP(H132,'Fund Utilization Report'!$A$4:$U$1800,13,FALSE)</f>
        <v>CO</v>
      </c>
      <c r="T132" s="319" t="str">
        <f>VLOOKUP(H132,'Fund Utilization Report'!$A$4:$U$1800,2,FALSE)</f>
        <v>GAA</v>
      </c>
      <c r="U132" s="319" t="str">
        <f>VLOOKUP(H132,'Fund Utilization Report'!$A$4:$U$1800,3,FALSE)</f>
        <v>FY2021, RA11518</v>
      </c>
      <c r="V132" s="319" t="str">
        <f>VLOOKUP(H132,'Fund Utilization Report'!$A$4:$U$1800,4,FALSE)</f>
        <v>SSF</v>
      </c>
      <c r="W132" s="319" t="str">
        <f>VLOOKUP(H132,'Fund Utilization Report'!$A$4:$U$1800,5,FALSE)</f>
        <v>01101101</v>
      </c>
      <c r="X132" s="319" t="str">
        <f>VLOOKUP(H132,'Fund Utilization Report'!$A$4:$U$1800,6,FALSE)</f>
        <v>GOP</v>
      </c>
      <c r="Y132" s="320" t="str">
        <f>VLOOKUP(H132,'Fund Utilization Report'!$A$4:$U$1800,7,FALSE)</f>
        <v>CO</v>
      </c>
      <c r="Z132" s="321">
        <f>VLOOKUP(H132,'Fund Utilization Report'!$A$4:$U$1800,8,FALSE)</f>
        <v>5060000000</v>
      </c>
      <c r="AA132" s="319" t="str">
        <f>VLOOKUP(H132,'Fund Utilization Report'!$A$4:$U$1800,14,FALSE)</f>
        <v>330100200003000</v>
      </c>
      <c r="AB132" s="349" t="str">
        <f>VLOOKUP(H132,'Fund Utilization Report'!$A$4:$U$1800,15,FALSE)</f>
        <v>Shared Service Facilities Project</v>
      </c>
      <c r="AC132" s="55" t="s">
        <v>0</v>
      </c>
      <c r="AD132" s="38">
        <v>2</v>
      </c>
      <c r="AE132" s="39" t="s">
        <v>828</v>
      </c>
      <c r="AF132" s="51" t="str">
        <f>VLOOKUP(AE132,'[2]Chart of accounts'!A:H,2,FALSE)</f>
        <v>50604050 03</v>
      </c>
      <c r="AG132" s="53" t="s">
        <v>4</v>
      </c>
      <c r="AH132" s="40" t="s">
        <v>753</v>
      </c>
    </row>
    <row r="133" spans="1:34" s="32" customFormat="1" ht="27.6">
      <c r="A133" s="338" t="s">
        <v>942</v>
      </c>
      <c r="B133" s="338" t="s">
        <v>943</v>
      </c>
      <c r="C133" s="358">
        <v>44222</v>
      </c>
      <c r="D133" s="351" t="s">
        <v>759</v>
      </c>
      <c r="E133" s="352" t="s">
        <v>832</v>
      </c>
      <c r="F133" s="338">
        <v>0.6430555555555556</v>
      </c>
      <c r="G133" s="338">
        <v>0.64444444444444449</v>
      </c>
      <c r="H133" s="338" t="s">
        <v>960</v>
      </c>
      <c r="I133" s="353">
        <v>701</v>
      </c>
      <c r="J133" s="338" t="str">
        <f>IFERROR(VLOOKUP(I133,'Chart of accounts'!A:H,2,FALSE),"")</f>
        <v>50101010 01</v>
      </c>
      <c r="K133" s="338" t="str">
        <f>IFERROR(VLOOKUP(I133,'Chart of accounts'!A:H,3,FALSE),"")</f>
        <v>Basic Salary - Civilian</v>
      </c>
      <c r="L133" s="338" t="str">
        <f>IFERROR(VLOOKUP(I133,'Chart of accounts'!A:H,4,FALSE),"")</f>
        <v>50101010 01 - Basic Salary - Civilian (701)</v>
      </c>
      <c r="M133" s="360" t="s">
        <v>2</v>
      </c>
      <c r="N133" s="355" t="s">
        <v>833</v>
      </c>
      <c r="O133" s="355" t="s">
        <v>834</v>
      </c>
      <c r="P133" s="355"/>
      <c r="Q133" s="363">
        <v>14112.73</v>
      </c>
      <c r="R133" s="319">
        <f t="shared" si="1"/>
        <v>-14112.73</v>
      </c>
      <c r="S133" s="319" t="str">
        <f>VLOOKUP(H133,'Fund Utilization Report'!$A$4:$U$1800,13,FALSE)</f>
        <v>PS</v>
      </c>
      <c r="T133" s="319" t="str">
        <f>VLOOKUP(H133,'Fund Utilization Report'!$A$4:$U$1800,2,FALSE)</f>
        <v>GAA</v>
      </c>
      <c r="U133" s="319" t="str">
        <f>VLOOKUP(H133,'Fund Utilization Report'!$A$4:$U$1800,3,FALSE)</f>
        <v>FY2021, RA11518</v>
      </c>
      <c r="V133" s="319" t="str">
        <f>VLOOKUP(H133,'Fund Utilization Report'!$A$4:$U$1800,4,FALSE)</f>
        <v>GAS(GMS)</v>
      </c>
      <c r="W133" s="319" t="str">
        <f>VLOOKUP(H133,'Fund Utilization Report'!$A$4:$U$1800,5,FALSE)</f>
        <v>01101101</v>
      </c>
      <c r="X133" s="319" t="str">
        <f>VLOOKUP(H133,'Fund Utilization Report'!$A$4:$U$1800,6,FALSE)</f>
        <v>GOP</v>
      </c>
      <c r="Y133" s="320" t="str">
        <f>VLOOKUP(H133,'Fund Utilization Report'!$A$4:$U$1800,7,FALSE)</f>
        <v>PS</v>
      </c>
      <c r="Z133" s="321">
        <f>VLOOKUP(H133,'Fund Utilization Report'!$A$4:$U$1800,8,FALSE)</f>
        <v>5010000000</v>
      </c>
      <c r="AA133" s="319" t="str">
        <f>VLOOKUP(H133,'Fund Utilization Report'!$A$4:$U$1800,14,FALSE)</f>
        <v>100000100001000</v>
      </c>
      <c r="AB133" s="349" t="str">
        <f>VLOOKUP(H133,'Fund Utilization Report'!$A$4:$U$1800,15,FALSE)</f>
        <v>General Administration and Supervision - General Management and Supervision</v>
      </c>
      <c r="AC133" s="55" t="s">
        <v>0</v>
      </c>
      <c r="AD133" s="38">
        <v>1</v>
      </c>
      <c r="AE133" s="39">
        <v>701</v>
      </c>
      <c r="AF133" s="51" t="str">
        <f>VLOOKUP(AE133,'[2]Chart of accounts'!A:H,2,FALSE)</f>
        <v>50101010 01</v>
      </c>
      <c r="AG133" s="53" t="s">
        <v>1</v>
      </c>
      <c r="AH133" s="53" t="s">
        <v>1</v>
      </c>
    </row>
    <row r="134" spans="1:34" s="32" customFormat="1" ht="27.6">
      <c r="A134" s="338" t="s">
        <v>942</v>
      </c>
      <c r="B134" s="338" t="s">
        <v>943</v>
      </c>
      <c r="C134" s="358">
        <v>44222</v>
      </c>
      <c r="D134" s="351" t="s">
        <v>759</v>
      </c>
      <c r="E134" s="352" t="s">
        <v>832</v>
      </c>
      <c r="F134" s="338">
        <v>0.6430555555555556</v>
      </c>
      <c r="G134" s="338">
        <v>0.64444444444444449</v>
      </c>
      <c r="H134" s="338" t="s">
        <v>960</v>
      </c>
      <c r="I134" s="353">
        <v>711</v>
      </c>
      <c r="J134" s="338" t="str">
        <f>IFERROR(VLOOKUP(I134,'Chart of accounts'!A:H,2,FALSE),"")</f>
        <v>50102010 01</v>
      </c>
      <c r="K134" s="338" t="str">
        <f>IFERROR(VLOOKUP(I134,'Chart of accounts'!A:H,3,FALSE),"")</f>
        <v>PERA - Civilian</v>
      </c>
      <c r="L134" s="338" t="str">
        <f>IFERROR(VLOOKUP(I134,'Chart of accounts'!A:H,4,FALSE),"")</f>
        <v>50102010 01 - PERA - Civilian (711)</v>
      </c>
      <c r="M134" s="360" t="s">
        <v>2</v>
      </c>
      <c r="N134" s="355" t="s">
        <v>833</v>
      </c>
      <c r="O134" s="355" t="s">
        <v>834</v>
      </c>
      <c r="P134" s="355"/>
      <c r="Q134" s="363">
        <v>1818.18</v>
      </c>
      <c r="R134" s="319">
        <f t="shared" si="1"/>
        <v>-1818.18</v>
      </c>
      <c r="S134" s="319" t="str">
        <f>VLOOKUP(H134,'Fund Utilization Report'!$A$4:$U$1800,13,FALSE)</f>
        <v>PS</v>
      </c>
      <c r="T134" s="319" t="str">
        <f>VLOOKUP(H134,'Fund Utilization Report'!$A$4:$U$1800,2,FALSE)</f>
        <v>GAA</v>
      </c>
      <c r="U134" s="319" t="str">
        <f>VLOOKUP(H134,'Fund Utilization Report'!$A$4:$U$1800,3,FALSE)</f>
        <v>FY2021, RA11518</v>
      </c>
      <c r="V134" s="319" t="str">
        <f>VLOOKUP(H134,'Fund Utilization Report'!$A$4:$U$1800,4,FALSE)</f>
        <v>GAS(GMS)</v>
      </c>
      <c r="W134" s="319" t="str">
        <f>VLOOKUP(H134,'Fund Utilization Report'!$A$4:$U$1800,5,FALSE)</f>
        <v>01101101</v>
      </c>
      <c r="X134" s="319" t="str">
        <f>VLOOKUP(H134,'Fund Utilization Report'!$A$4:$U$1800,6,FALSE)</f>
        <v>GOP</v>
      </c>
      <c r="Y134" s="320" t="str">
        <f>VLOOKUP(H134,'Fund Utilization Report'!$A$4:$U$1800,7,FALSE)</f>
        <v>PS</v>
      </c>
      <c r="Z134" s="321">
        <f>VLOOKUP(H134,'Fund Utilization Report'!$A$4:$U$1800,8,FALSE)</f>
        <v>5010000000</v>
      </c>
      <c r="AA134" s="319" t="str">
        <f>VLOOKUP(H134,'Fund Utilization Report'!$A$4:$U$1800,14,FALSE)</f>
        <v>100000100001000</v>
      </c>
      <c r="AB134" s="349" t="str">
        <f>VLOOKUP(H134,'Fund Utilization Report'!$A$4:$U$1800,15,FALSE)</f>
        <v>General Administration and Supervision - General Management and Supervision</v>
      </c>
      <c r="AC134" s="55" t="s">
        <v>0</v>
      </c>
      <c r="AD134" s="38">
        <v>1</v>
      </c>
      <c r="AE134" s="39">
        <v>711</v>
      </c>
      <c r="AF134" s="51" t="str">
        <f>VLOOKUP(AE134,'[2]Chart of accounts'!A:H,2,FALSE)</f>
        <v>50102010 01</v>
      </c>
      <c r="AG134" s="53" t="s">
        <v>1</v>
      </c>
      <c r="AH134" s="53" t="s">
        <v>1</v>
      </c>
    </row>
    <row r="135" spans="1:34" s="32" customFormat="1" ht="27.6">
      <c r="A135" s="338" t="s">
        <v>942</v>
      </c>
      <c r="B135" s="338" t="s">
        <v>943</v>
      </c>
      <c r="C135" s="358">
        <v>44222</v>
      </c>
      <c r="D135" s="351" t="s">
        <v>759</v>
      </c>
      <c r="E135" s="352" t="s">
        <v>832</v>
      </c>
      <c r="F135" s="338">
        <v>0.6430555555555556</v>
      </c>
      <c r="G135" s="338">
        <v>0.64444444444444449</v>
      </c>
      <c r="H135" s="338" t="s">
        <v>962</v>
      </c>
      <c r="I135" s="353">
        <v>731</v>
      </c>
      <c r="J135" s="338" t="str">
        <f>IFERROR(VLOOKUP(I135,'Chart of accounts'!A:H,2,FALSE),"")</f>
        <v>50103010 00</v>
      </c>
      <c r="K135" s="338" t="str">
        <f>IFERROR(VLOOKUP(I135,'Chart of accounts'!A:H,3,FALSE),"")</f>
        <v>Retirement and Life Insurance Premiums</v>
      </c>
      <c r="L135" s="338" t="str">
        <f>IFERROR(VLOOKUP(I135,'Chart of accounts'!A:H,4,FALSE),"")</f>
        <v>50103010 00 - Retirement and Life Insurance Premiums (731)</v>
      </c>
      <c r="M135" s="360" t="s">
        <v>2</v>
      </c>
      <c r="N135" s="355" t="s">
        <v>833</v>
      </c>
      <c r="O135" s="355" t="s">
        <v>834</v>
      </c>
      <c r="P135" s="355"/>
      <c r="Q135" s="50">
        <v>1682.6</v>
      </c>
      <c r="R135" s="319">
        <f t="shared" si="1"/>
        <v>-1682.6</v>
      </c>
      <c r="S135" s="319" t="str">
        <f>VLOOKUP(H135,'Fund Utilization Report'!$A$4:$U$1800,13,FALSE)</f>
        <v>PS</v>
      </c>
      <c r="T135" s="319" t="str">
        <f>VLOOKUP(H135,'Fund Utilization Report'!$A$4:$U$1800,2,FALSE)</f>
        <v>GAA</v>
      </c>
      <c r="U135" s="319" t="str">
        <f>VLOOKUP(H135,'Fund Utilization Report'!$A$4:$U$1800,3,FALSE)</f>
        <v>FY2021, RA11518</v>
      </c>
      <c r="V135" s="319" t="str">
        <f>VLOOKUP(H135,'Fund Utilization Report'!$A$4:$U$1800,4,FALSE)</f>
        <v>GAS(GMS)</v>
      </c>
      <c r="W135" s="319" t="str">
        <f>VLOOKUP(H135,'Fund Utilization Report'!$A$4:$U$1800,5,FALSE)</f>
        <v>01101101</v>
      </c>
      <c r="X135" s="319" t="str">
        <f>VLOOKUP(H135,'Fund Utilization Report'!$A$4:$U$1800,6,FALSE)</f>
        <v>GOP</v>
      </c>
      <c r="Y135" s="320" t="str">
        <f>VLOOKUP(H135,'Fund Utilization Report'!$A$4:$U$1800,7,FALSE)</f>
        <v>RLIP</v>
      </c>
      <c r="Z135" s="321" t="str">
        <f>VLOOKUP(H135,'Fund Utilization Report'!$A$4:$U$1800,8,FALSE)</f>
        <v>50103010-00</v>
      </c>
      <c r="AA135" s="319" t="str">
        <f>VLOOKUP(H135,'Fund Utilization Report'!$A$4:$U$1800,14,FALSE)</f>
        <v>100000100001000</v>
      </c>
      <c r="AB135" s="349" t="str">
        <f>VLOOKUP(H135,'Fund Utilization Report'!$A$4:$U$1800,15,FALSE)</f>
        <v>General Administration and Supervision - General Management and Supervision</v>
      </c>
      <c r="AC135" s="55" t="s">
        <v>0</v>
      </c>
      <c r="AD135" s="38">
        <v>1</v>
      </c>
      <c r="AE135" s="39">
        <v>731</v>
      </c>
      <c r="AF135" s="51" t="str">
        <f>VLOOKUP(AE135,'[2]Chart of accounts'!A:H,2,FALSE)</f>
        <v>50103010 00</v>
      </c>
      <c r="AG135" s="53" t="s">
        <v>1</v>
      </c>
      <c r="AH135" s="53" t="s">
        <v>1</v>
      </c>
    </row>
    <row r="136" spans="1:34" s="32" customFormat="1" ht="27.6">
      <c r="A136" s="338" t="s">
        <v>942</v>
      </c>
      <c r="B136" s="338" t="s">
        <v>943</v>
      </c>
      <c r="C136" s="358">
        <v>44222</v>
      </c>
      <c r="D136" s="351" t="s">
        <v>759</v>
      </c>
      <c r="E136" s="352" t="s">
        <v>832</v>
      </c>
      <c r="F136" s="338">
        <v>0.6430555555555556</v>
      </c>
      <c r="G136" s="338">
        <v>0.64444444444444449</v>
      </c>
      <c r="H136" s="338" t="s">
        <v>960</v>
      </c>
      <c r="I136" s="353">
        <v>732</v>
      </c>
      <c r="J136" s="338" t="str">
        <f>IFERROR(VLOOKUP(I136,'Chart of accounts'!A:H,2,FALSE),"")</f>
        <v>50103020 01</v>
      </c>
      <c r="K136" s="338" t="str">
        <f>IFERROR(VLOOKUP(I136,'Chart of accounts'!A:H,3,FALSE),"")</f>
        <v>Pag-IBIG - Civilian</v>
      </c>
      <c r="L136" s="338" t="str">
        <f>IFERROR(VLOOKUP(I136,'Chart of accounts'!A:H,4,FALSE),"")</f>
        <v>50103020 01 - Pag-IBIG - Civilian (732)</v>
      </c>
      <c r="M136" s="360" t="s">
        <v>2</v>
      </c>
      <c r="N136" s="355" t="s">
        <v>833</v>
      </c>
      <c r="O136" s="355" t="s">
        <v>834</v>
      </c>
      <c r="P136" s="355"/>
      <c r="Q136" s="363">
        <v>100</v>
      </c>
      <c r="R136" s="319">
        <f t="shared" si="1"/>
        <v>-100</v>
      </c>
      <c r="S136" s="319" t="str">
        <f>VLOOKUP(H136,'Fund Utilization Report'!$A$4:$U$1800,13,FALSE)</f>
        <v>PS</v>
      </c>
      <c r="T136" s="319" t="str">
        <f>VLOOKUP(H136,'Fund Utilization Report'!$A$4:$U$1800,2,FALSE)</f>
        <v>GAA</v>
      </c>
      <c r="U136" s="319" t="str">
        <f>VLOOKUP(H136,'Fund Utilization Report'!$A$4:$U$1800,3,FALSE)</f>
        <v>FY2021, RA11518</v>
      </c>
      <c r="V136" s="319" t="str">
        <f>VLOOKUP(H136,'Fund Utilization Report'!$A$4:$U$1800,4,FALSE)</f>
        <v>GAS(GMS)</v>
      </c>
      <c r="W136" s="319" t="str">
        <f>VLOOKUP(H136,'Fund Utilization Report'!$A$4:$U$1800,5,FALSE)</f>
        <v>01101101</v>
      </c>
      <c r="X136" s="319" t="str">
        <f>VLOOKUP(H136,'Fund Utilization Report'!$A$4:$U$1800,6,FALSE)</f>
        <v>GOP</v>
      </c>
      <c r="Y136" s="320" t="str">
        <f>VLOOKUP(H136,'Fund Utilization Report'!$A$4:$U$1800,7,FALSE)</f>
        <v>PS</v>
      </c>
      <c r="Z136" s="321">
        <f>VLOOKUP(H136,'Fund Utilization Report'!$A$4:$U$1800,8,FALSE)</f>
        <v>5010000000</v>
      </c>
      <c r="AA136" s="319" t="str">
        <f>VLOOKUP(H136,'Fund Utilization Report'!$A$4:$U$1800,14,FALSE)</f>
        <v>100000100001000</v>
      </c>
      <c r="AB136" s="349" t="str">
        <f>VLOOKUP(H136,'Fund Utilization Report'!$A$4:$U$1800,15,FALSE)</f>
        <v>General Administration and Supervision - General Management and Supervision</v>
      </c>
      <c r="AC136" s="55" t="s">
        <v>0</v>
      </c>
      <c r="AD136" s="38">
        <v>1</v>
      </c>
      <c r="AE136" s="39">
        <v>732</v>
      </c>
      <c r="AF136" s="51" t="str">
        <f>VLOOKUP(AE136,'[2]Chart of accounts'!A:H,2,FALSE)</f>
        <v>50103020 01</v>
      </c>
      <c r="AG136" s="53" t="s">
        <v>1</v>
      </c>
      <c r="AH136" s="53" t="s">
        <v>1</v>
      </c>
    </row>
    <row r="137" spans="1:34" s="32" customFormat="1" ht="27.6">
      <c r="A137" s="338" t="s">
        <v>942</v>
      </c>
      <c r="B137" s="338" t="s">
        <v>943</v>
      </c>
      <c r="C137" s="358">
        <v>44222</v>
      </c>
      <c r="D137" s="351" t="s">
        <v>759</v>
      </c>
      <c r="E137" s="352" t="s">
        <v>832</v>
      </c>
      <c r="F137" s="338">
        <v>0.6430555555555556</v>
      </c>
      <c r="G137" s="338">
        <v>0.64444444444444449</v>
      </c>
      <c r="H137" s="338" t="s">
        <v>960</v>
      </c>
      <c r="I137" s="353">
        <v>733</v>
      </c>
      <c r="J137" s="338" t="str">
        <f>IFERROR(VLOOKUP(I137,'Chart of accounts'!A:H,2,FALSE),"")</f>
        <v>50103030 01</v>
      </c>
      <c r="K137" s="338" t="str">
        <f>IFERROR(VLOOKUP(I137,'Chart of accounts'!A:H,3,FALSE),"")</f>
        <v>PhilHealth - Civilian</v>
      </c>
      <c r="L137" s="338" t="str">
        <f>IFERROR(VLOOKUP(I137,'Chart of accounts'!A:H,4,FALSE),"")</f>
        <v>50103030 01 - PhilHealth - Civilian (733)</v>
      </c>
      <c r="M137" s="360" t="s">
        <v>2</v>
      </c>
      <c r="N137" s="355" t="s">
        <v>833</v>
      </c>
      <c r="O137" s="355" t="s">
        <v>834</v>
      </c>
      <c r="P137" s="355"/>
      <c r="Q137" s="363">
        <v>232.86</v>
      </c>
      <c r="R137" s="319">
        <f t="shared" si="1"/>
        <v>-232.86</v>
      </c>
      <c r="S137" s="319" t="str">
        <f>VLOOKUP(H137,'Fund Utilization Report'!$A$4:$U$1800,13,FALSE)</f>
        <v>PS</v>
      </c>
      <c r="T137" s="319" t="str">
        <f>VLOOKUP(H137,'Fund Utilization Report'!$A$4:$U$1800,2,FALSE)</f>
        <v>GAA</v>
      </c>
      <c r="U137" s="319" t="str">
        <f>VLOOKUP(H137,'Fund Utilization Report'!$A$4:$U$1800,3,FALSE)</f>
        <v>FY2021, RA11518</v>
      </c>
      <c r="V137" s="319" t="str">
        <f>VLOOKUP(H137,'Fund Utilization Report'!$A$4:$U$1800,4,FALSE)</f>
        <v>GAS(GMS)</v>
      </c>
      <c r="W137" s="319" t="str">
        <f>VLOOKUP(H137,'Fund Utilization Report'!$A$4:$U$1800,5,FALSE)</f>
        <v>01101101</v>
      </c>
      <c r="X137" s="319" t="str">
        <f>VLOOKUP(H137,'Fund Utilization Report'!$A$4:$U$1800,6,FALSE)</f>
        <v>GOP</v>
      </c>
      <c r="Y137" s="320" t="str">
        <f>VLOOKUP(H137,'Fund Utilization Report'!$A$4:$U$1800,7,FALSE)</f>
        <v>PS</v>
      </c>
      <c r="Z137" s="321">
        <f>VLOOKUP(H137,'Fund Utilization Report'!$A$4:$U$1800,8,FALSE)</f>
        <v>5010000000</v>
      </c>
      <c r="AA137" s="319" t="str">
        <f>VLOOKUP(H137,'Fund Utilization Report'!$A$4:$U$1800,14,FALSE)</f>
        <v>100000100001000</v>
      </c>
      <c r="AB137" s="349" t="str">
        <f>VLOOKUP(H137,'Fund Utilization Report'!$A$4:$U$1800,15,FALSE)</f>
        <v>General Administration and Supervision - General Management and Supervision</v>
      </c>
      <c r="AC137" s="55" t="s">
        <v>0</v>
      </c>
      <c r="AD137" s="38">
        <v>1</v>
      </c>
      <c r="AE137" s="55">
        <v>733</v>
      </c>
      <c r="AF137" s="51" t="str">
        <f>VLOOKUP(AE137,'[2]Chart of accounts'!A:H,2,FALSE)</f>
        <v>50103030 01</v>
      </c>
      <c r="AG137" s="53" t="s">
        <v>1</v>
      </c>
      <c r="AH137" s="53" t="s">
        <v>1</v>
      </c>
    </row>
    <row r="138" spans="1:34" s="32" customFormat="1" ht="27.6">
      <c r="A138" s="338" t="s">
        <v>942</v>
      </c>
      <c r="B138" s="338" t="s">
        <v>943</v>
      </c>
      <c r="C138" s="358">
        <v>44222</v>
      </c>
      <c r="D138" s="351" t="s">
        <v>759</v>
      </c>
      <c r="E138" s="352" t="s">
        <v>832</v>
      </c>
      <c r="F138" s="338">
        <v>0.6430555555555556</v>
      </c>
      <c r="G138" s="338">
        <v>0.64444444444444449</v>
      </c>
      <c r="H138" s="338" t="s">
        <v>960</v>
      </c>
      <c r="I138" s="353">
        <v>734</v>
      </c>
      <c r="J138" s="338" t="str">
        <f>IFERROR(VLOOKUP(I138,'Chart of accounts'!A:H,2,FALSE),"")</f>
        <v>50103040 01</v>
      </c>
      <c r="K138" s="338" t="str">
        <f>IFERROR(VLOOKUP(I138,'Chart of accounts'!A:H,3,FALSE),"")</f>
        <v>ECIP - Civilian</v>
      </c>
      <c r="L138" s="338" t="str">
        <f>IFERROR(VLOOKUP(I138,'Chart of accounts'!A:H,4,FALSE),"")</f>
        <v>50103040 01 - ECIP - Civilian (734)</v>
      </c>
      <c r="M138" s="360" t="s">
        <v>2</v>
      </c>
      <c r="N138" s="355" t="s">
        <v>833</v>
      </c>
      <c r="O138" s="355" t="s">
        <v>834</v>
      </c>
      <c r="P138" s="355"/>
      <c r="Q138" s="363">
        <v>100</v>
      </c>
      <c r="R138" s="319">
        <f t="shared" si="1"/>
        <v>-100</v>
      </c>
      <c r="S138" s="319" t="str">
        <f>VLOOKUP(H138,'Fund Utilization Report'!$A$4:$U$1800,13,FALSE)</f>
        <v>PS</v>
      </c>
      <c r="T138" s="319" t="str">
        <f>VLOOKUP(H138,'Fund Utilization Report'!$A$4:$U$1800,2,FALSE)</f>
        <v>GAA</v>
      </c>
      <c r="U138" s="319" t="str">
        <f>VLOOKUP(H138,'Fund Utilization Report'!$A$4:$U$1800,3,FALSE)</f>
        <v>FY2021, RA11518</v>
      </c>
      <c r="V138" s="319" t="str">
        <f>VLOOKUP(H138,'Fund Utilization Report'!$A$4:$U$1800,4,FALSE)</f>
        <v>GAS(GMS)</v>
      </c>
      <c r="W138" s="319" t="str">
        <f>VLOOKUP(H138,'Fund Utilization Report'!$A$4:$U$1800,5,FALSE)</f>
        <v>01101101</v>
      </c>
      <c r="X138" s="319" t="str">
        <f>VLOOKUP(H138,'Fund Utilization Report'!$A$4:$U$1800,6,FALSE)</f>
        <v>GOP</v>
      </c>
      <c r="Y138" s="320" t="str">
        <f>VLOOKUP(H138,'Fund Utilization Report'!$A$4:$U$1800,7,FALSE)</f>
        <v>PS</v>
      </c>
      <c r="Z138" s="321">
        <f>VLOOKUP(H138,'Fund Utilization Report'!$A$4:$U$1800,8,FALSE)</f>
        <v>5010000000</v>
      </c>
      <c r="AA138" s="319" t="str">
        <f>VLOOKUP(H138,'Fund Utilization Report'!$A$4:$U$1800,14,FALSE)</f>
        <v>100000100001000</v>
      </c>
      <c r="AB138" s="349" t="str">
        <f>VLOOKUP(H138,'Fund Utilization Report'!$A$4:$U$1800,15,FALSE)</f>
        <v>General Administration and Supervision - General Management and Supervision</v>
      </c>
      <c r="AC138" s="55" t="s">
        <v>0</v>
      </c>
      <c r="AD138" s="38">
        <v>1</v>
      </c>
      <c r="AE138" s="55">
        <v>734</v>
      </c>
      <c r="AF138" s="51" t="str">
        <f>VLOOKUP(AE138,'[2]Chart of accounts'!A:H,2,FALSE)</f>
        <v>50103040 01</v>
      </c>
      <c r="AG138" s="53" t="s">
        <v>1</v>
      </c>
      <c r="AH138" s="53" t="s">
        <v>1</v>
      </c>
    </row>
    <row r="139" spans="1:34" s="32" customFormat="1" ht="27.6">
      <c r="A139" s="338" t="s">
        <v>942</v>
      </c>
      <c r="B139" s="338" t="s">
        <v>943</v>
      </c>
      <c r="C139" s="358">
        <v>44223</v>
      </c>
      <c r="D139" s="351" t="s">
        <v>759</v>
      </c>
      <c r="E139" s="352" t="s">
        <v>835</v>
      </c>
      <c r="F139" s="338">
        <v>0.48958333333333331</v>
      </c>
      <c r="G139" s="338">
        <v>0.49027777777777781</v>
      </c>
      <c r="H139" s="338" t="s">
        <v>961</v>
      </c>
      <c r="I139" s="353">
        <v>766</v>
      </c>
      <c r="J139" s="338" t="str">
        <f>IFERROR(VLOOKUP(I139,'Chart of accounts'!A:H,2,FALSE),"")</f>
        <v>50204010 00</v>
      </c>
      <c r="K139" s="338" t="str">
        <f>IFERROR(VLOOKUP(I139,'Chart of accounts'!A:H,3,FALSE),"")</f>
        <v>Water Expenses</v>
      </c>
      <c r="L139" s="338" t="str">
        <f>IFERROR(VLOOKUP(I139,'Chart of accounts'!A:H,4,FALSE),"")</f>
        <v>50204010 00 - Water Expenses (766)</v>
      </c>
      <c r="M139" s="361" t="s">
        <v>2</v>
      </c>
      <c r="N139" s="355" t="s">
        <v>836</v>
      </c>
      <c r="O139" s="355" t="s">
        <v>837</v>
      </c>
      <c r="P139" s="355"/>
      <c r="Q139" s="363">
        <v>3675</v>
      </c>
      <c r="R139" s="319">
        <f t="shared" si="1"/>
        <v>-3675</v>
      </c>
      <c r="S139" s="319" t="str">
        <f>VLOOKUP(H139,'Fund Utilization Report'!$A$4:$U$1800,13,FALSE)</f>
        <v>MOOE</v>
      </c>
      <c r="T139" s="319" t="str">
        <f>VLOOKUP(H139,'Fund Utilization Report'!$A$4:$U$1800,2,FALSE)</f>
        <v>GAA</v>
      </c>
      <c r="U139" s="319" t="str">
        <f>VLOOKUP(H139,'Fund Utilization Report'!$A$4:$U$1800,3,FALSE)</f>
        <v>FY2021, RA11518</v>
      </c>
      <c r="V139" s="319" t="str">
        <f>VLOOKUP(H139,'Fund Utilization Report'!$A$4:$U$1800,4,FALSE)</f>
        <v>GAS(GMS)</v>
      </c>
      <c r="W139" s="319" t="str">
        <f>VLOOKUP(H139,'Fund Utilization Report'!$A$4:$U$1800,5,FALSE)</f>
        <v>01101101</v>
      </c>
      <c r="X139" s="319" t="str">
        <f>VLOOKUP(H139,'Fund Utilization Report'!$A$4:$U$1800,6,FALSE)</f>
        <v>GOP</v>
      </c>
      <c r="Y139" s="320" t="str">
        <f>VLOOKUP(H139,'Fund Utilization Report'!$A$4:$U$1800,7,FALSE)</f>
        <v>MOOE</v>
      </c>
      <c r="Z139" s="321">
        <f>VLOOKUP(H139,'Fund Utilization Report'!$A$4:$U$1800,8,FALSE)</f>
        <v>5020000000</v>
      </c>
      <c r="AA139" s="319" t="str">
        <f>VLOOKUP(H139,'Fund Utilization Report'!$A$4:$U$1800,14,FALSE)</f>
        <v>100000100001000</v>
      </c>
      <c r="AB139" s="349" t="str">
        <f>VLOOKUP(H139,'Fund Utilization Report'!$A$4:$U$1800,15,FALSE)</f>
        <v>General Administration and Supervision - General Management and Supervision</v>
      </c>
      <c r="AC139" s="37" t="s">
        <v>0</v>
      </c>
      <c r="AD139" s="38">
        <v>2</v>
      </c>
      <c r="AE139" s="39">
        <v>766</v>
      </c>
      <c r="AF139" s="51" t="str">
        <f>VLOOKUP(AE139,'[2]Chart of accounts'!A:H,2,FALSE)</f>
        <v>50204010 00</v>
      </c>
      <c r="AG139" s="40" t="s">
        <v>3</v>
      </c>
      <c r="AH139" s="40" t="s">
        <v>3</v>
      </c>
    </row>
    <row r="140" spans="1:34" s="32" customFormat="1" ht="27.6">
      <c r="A140" s="338" t="s">
        <v>942</v>
      </c>
      <c r="B140" s="338" t="s">
        <v>943</v>
      </c>
      <c r="C140" s="358">
        <v>44223</v>
      </c>
      <c r="D140" s="351" t="s">
        <v>759</v>
      </c>
      <c r="E140" s="352" t="s">
        <v>838</v>
      </c>
      <c r="F140" s="338">
        <v>0.49027777777777781</v>
      </c>
      <c r="G140" s="338">
        <v>0.4909722222222222</v>
      </c>
      <c r="H140" s="338" t="s">
        <v>961</v>
      </c>
      <c r="I140" s="353">
        <v>766</v>
      </c>
      <c r="J140" s="338" t="str">
        <f>IFERROR(VLOOKUP(I140,'Chart of accounts'!A:H,2,FALSE),"")</f>
        <v>50204010 00</v>
      </c>
      <c r="K140" s="338" t="str">
        <f>IFERROR(VLOOKUP(I140,'Chart of accounts'!A:H,3,FALSE),"")</f>
        <v>Water Expenses</v>
      </c>
      <c r="L140" s="338" t="str">
        <f>IFERROR(VLOOKUP(I140,'Chart of accounts'!A:H,4,FALSE),"")</f>
        <v>50204010 00 - Water Expenses (766)</v>
      </c>
      <c r="M140" s="361" t="s">
        <v>2</v>
      </c>
      <c r="N140" s="355" t="s">
        <v>839</v>
      </c>
      <c r="O140" s="355" t="s">
        <v>840</v>
      </c>
      <c r="P140" s="355"/>
      <c r="Q140" s="363">
        <v>10895.41</v>
      </c>
      <c r="R140" s="319">
        <f t="shared" si="1"/>
        <v>-10895.41</v>
      </c>
      <c r="S140" s="319" t="str">
        <f>VLOOKUP(H140,'Fund Utilization Report'!$A$4:$U$1800,13,FALSE)</f>
        <v>MOOE</v>
      </c>
      <c r="T140" s="319" t="str">
        <f>VLOOKUP(H140,'Fund Utilization Report'!$A$4:$U$1800,2,FALSE)</f>
        <v>GAA</v>
      </c>
      <c r="U140" s="319" t="str">
        <f>VLOOKUP(H140,'Fund Utilization Report'!$A$4:$U$1800,3,FALSE)</f>
        <v>FY2021, RA11518</v>
      </c>
      <c r="V140" s="319" t="str">
        <f>VLOOKUP(H140,'Fund Utilization Report'!$A$4:$U$1800,4,FALSE)</f>
        <v>GAS(GMS)</v>
      </c>
      <c r="W140" s="319" t="str">
        <f>VLOOKUP(H140,'Fund Utilization Report'!$A$4:$U$1800,5,FALSE)</f>
        <v>01101101</v>
      </c>
      <c r="X140" s="319" t="str">
        <f>VLOOKUP(H140,'Fund Utilization Report'!$A$4:$U$1800,6,FALSE)</f>
        <v>GOP</v>
      </c>
      <c r="Y140" s="320" t="str">
        <f>VLOOKUP(H140,'Fund Utilization Report'!$A$4:$U$1800,7,FALSE)</f>
        <v>MOOE</v>
      </c>
      <c r="Z140" s="321">
        <f>VLOOKUP(H140,'Fund Utilization Report'!$A$4:$U$1800,8,FALSE)</f>
        <v>5020000000</v>
      </c>
      <c r="AA140" s="319" t="str">
        <f>VLOOKUP(H140,'Fund Utilization Report'!$A$4:$U$1800,14,FALSE)</f>
        <v>100000100001000</v>
      </c>
      <c r="AB140" s="349" t="str">
        <f>VLOOKUP(H140,'Fund Utilization Report'!$A$4:$U$1800,15,FALSE)</f>
        <v>General Administration and Supervision - General Management and Supervision</v>
      </c>
      <c r="AC140" s="39" t="s">
        <v>0</v>
      </c>
      <c r="AD140" s="34">
        <v>2</v>
      </c>
      <c r="AE140" s="39">
        <v>766</v>
      </c>
      <c r="AF140" s="51" t="str">
        <f>VLOOKUP(AE140,'[2]Chart of accounts'!A:H,2,FALSE)</f>
        <v>50204010 00</v>
      </c>
      <c r="AG140" s="40" t="s">
        <v>4</v>
      </c>
      <c r="AH140" s="40" t="s">
        <v>4</v>
      </c>
    </row>
    <row r="141" spans="1:34" s="32" customFormat="1" ht="27.6">
      <c r="A141" s="338" t="s">
        <v>942</v>
      </c>
      <c r="B141" s="338" t="s">
        <v>943</v>
      </c>
      <c r="C141" s="358">
        <v>44223</v>
      </c>
      <c r="D141" s="351" t="s">
        <v>759</v>
      </c>
      <c r="E141" s="352" t="s">
        <v>841</v>
      </c>
      <c r="F141" s="338">
        <v>0.4916666666666667</v>
      </c>
      <c r="G141" s="338">
        <v>0.49444444444444446</v>
      </c>
      <c r="H141" s="338" t="s">
        <v>961</v>
      </c>
      <c r="I141" s="353">
        <v>795</v>
      </c>
      <c r="J141" s="338" t="str">
        <f>IFERROR(VLOOKUP(I141,'Chart of accounts'!A:H,2,FALSE),"")</f>
        <v>50212990 00</v>
      </c>
      <c r="K141" s="338" t="str">
        <f>IFERROR(VLOOKUP(I141,'Chart of accounts'!A:H,3,FALSE),"")</f>
        <v>Other General Services</v>
      </c>
      <c r="L141" s="338" t="str">
        <f>IFERROR(VLOOKUP(I141,'Chart of accounts'!A:H,4,FALSE),"")</f>
        <v>50212990 00 - Other General Services (795)</v>
      </c>
      <c r="M141" s="361" t="s">
        <v>816</v>
      </c>
      <c r="N141" s="355" t="s">
        <v>843</v>
      </c>
      <c r="O141" s="355" t="s">
        <v>855</v>
      </c>
      <c r="P141" s="355"/>
      <c r="Q141" s="428">
        <v>2480</v>
      </c>
      <c r="R141" s="319">
        <f t="shared" si="1"/>
        <v>-2480</v>
      </c>
      <c r="S141" s="319" t="str">
        <f>VLOOKUP(H141,'Fund Utilization Report'!$A$4:$U$1800,13,FALSE)</f>
        <v>MOOE</v>
      </c>
      <c r="T141" s="319" t="str">
        <f>VLOOKUP(H141,'Fund Utilization Report'!$A$4:$U$1800,2,FALSE)</f>
        <v>GAA</v>
      </c>
      <c r="U141" s="319" t="str">
        <f>VLOOKUP(H141,'Fund Utilization Report'!$A$4:$U$1800,3,FALSE)</f>
        <v>FY2021, RA11518</v>
      </c>
      <c r="V141" s="319" t="str">
        <f>VLOOKUP(H141,'Fund Utilization Report'!$A$4:$U$1800,4,FALSE)</f>
        <v>GAS(GMS)</v>
      </c>
      <c r="W141" s="319" t="str">
        <f>VLOOKUP(H141,'Fund Utilization Report'!$A$4:$U$1800,5,FALSE)</f>
        <v>01101101</v>
      </c>
      <c r="X141" s="319" t="str">
        <f>VLOOKUP(H141,'Fund Utilization Report'!$A$4:$U$1800,6,FALSE)</f>
        <v>GOP</v>
      </c>
      <c r="Y141" s="320" t="str">
        <f>VLOOKUP(H141,'Fund Utilization Report'!$A$4:$U$1800,7,FALSE)</f>
        <v>MOOE</v>
      </c>
      <c r="Z141" s="321">
        <f>VLOOKUP(H141,'Fund Utilization Report'!$A$4:$U$1800,8,FALSE)</f>
        <v>5020000000</v>
      </c>
      <c r="AA141" s="319" t="str">
        <f>VLOOKUP(H141,'Fund Utilization Report'!$A$4:$U$1800,14,FALSE)</f>
        <v>100000100001000</v>
      </c>
      <c r="AB141" s="349" t="str">
        <f>VLOOKUP(H141,'Fund Utilization Report'!$A$4:$U$1800,15,FALSE)</f>
        <v>General Administration and Supervision - General Management and Supervision</v>
      </c>
      <c r="AC141" s="39" t="s">
        <v>0</v>
      </c>
      <c r="AD141" s="34">
        <v>2</v>
      </c>
      <c r="AE141" s="39">
        <v>795</v>
      </c>
      <c r="AF141" s="51" t="str">
        <f>VLOOKUP(AE141,'[2]Chart of accounts'!A:H,2,FALSE)</f>
        <v>50212990 00</v>
      </c>
      <c r="AG141" s="40" t="s">
        <v>3</v>
      </c>
      <c r="AH141" s="40" t="s">
        <v>3</v>
      </c>
    </row>
    <row r="142" spans="1:34" s="32" customFormat="1" ht="27.6">
      <c r="A142" s="338" t="s">
        <v>942</v>
      </c>
      <c r="B142" s="338" t="s">
        <v>943</v>
      </c>
      <c r="C142" s="358">
        <v>44223</v>
      </c>
      <c r="D142" s="351" t="s">
        <v>759</v>
      </c>
      <c r="E142" s="352" t="s">
        <v>841</v>
      </c>
      <c r="F142" s="338">
        <v>0.4916666666666667</v>
      </c>
      <c r="G142" s="338">
        <v>0.49444444444444446</v>
      </c>
      <c r="H142" s="338" t="s">
        <v>961</v>
      </c>
      <c r="I142" s="353">
        <v>796</v>
      </c>
      <c r="J142" s="338" t="str">
        <f>IFERROR(VLOOKUP(I142,'Chart of accounts'!A:H,2,FALSE),"")</f>
        <v>50212020 00</v>
      </c>
      <c r="K142" s="338" t="str">
        <f>IFERROR(VLOOKUP(I142,'Chart of accounts'!A:H,3,FALSE),"")</f>
        <v>Janitorial Services</v>
      </c>
      <c r="L142" s="338" t="str">
        <f>IFERROR(VLOOKUP(I142,'Chart of accounts'!A:H,4,FALSE),"")</f>
        <v>50212020 00 - Janitorial Services (796)</v>
      </c>
      <c r="M142" s="361" t="s">
        <v>816</v>
      </c>
      <c r="N142" s="355" t="s">
        <v>843</v>
      </c>
      <c r="O142" s="355" t="s">
        <v>855</v>
      </c>
      <c r="P142" s="355"/>
      <c r="Q142" s="428">
        <f>3600+4000</f>
        <v>7600</v>
      </c>
      <c r="R142" s="319">
        <f t="shared" si="1"/>
        <v>-7600</v>
      </c>
      <c r="S142" s="319" t="str">
        <f>VLOOKUP(H142,'Fund Utilization Report'!$A$4:$U$1800,13,FALSE)</f>
        <v>MOOE</v>
      </c>
      <c r="T142" s="319" t="str">
        <f>VLOOKUP(H142,'Fund Utilization Report'!$A$4:$U$1800,2,FALSE)</f>
        <v>GAA</v>
      </c>
      <c r="U142" s="319" t="str">
        <f>VLOOKUP(H142,'Fund Utilization Report'!$A$4:$U$1800,3,FALSE)</f>
        <v>FY2021, RA11518</v>
      </c>
      <c r="V142" s="319" t="str">
        <f>VLOOKUP(H142,'Fund Utilization Report'!$A$4:$U$1800,4,FALSE)</f>
        <v>GAS(GMS)</v>
      </c>
      <c r="W142" s="319" t="str">
        <f>VLOOKUP(H142,'Fund Utilization Report'!$A$4:$U$1800,5,FALSE)</f>
        <v>01101101</v>
      </c>
      <c r="X142" s="319" t="str">
        <f>VLOOKUP(H142,'Fund Utilization Report'!$A$4:$U$1800,6,FALSE)</f>
        <v>GOP</v>
      </c>
      <c r="Y142" s="320" t="str">
        <f>VLOOKUP(H142,'Fund Utilization Report'!$A$4:$U$1800,7,FALSE)</f>
        <v>MOOE</v>
      </c>
      <c r="Z142" s="321">
        <f>VLOOKUP(H142,'Fund Utilization Report'!$A$4:$U$1800,8,FALSE)</f>
        <v>5020000000</v>
      </c>
      <c r="AA142" s="319" t="str">
        <f>VLOOKUP(H142,'Fund Utilization Report'!$A$4:$U$1800,14,FALSE)</f>
        <v>100000100001000</v>
      </c>
      <c r="AB142" s="349" t="str">
        <f>VLOOKUP(H142,'Fund Utilization Report'!$A$4:$U$1800,15,FALSE)</f>
        <v>General Administration and Supervision - General Management and Supervision</v>
      </c>
      <c r="AC142" s="39" t="s">
        <v>0</v>
      </c>
      <c r="AD142" s="34">
        <v>2</v>
      </c>
      <c r="AE142" s="39">
        <v>796</v>
      </c>
      <c r="AF142" s="51" t="str">
        <f>VLOOKUP(AE142,'[2]Chart of accounts'!A:H,2,FALSE)</f>
        <v>50212020 00</v>
      </c>
      <c r="AG142" s="40" t="s">
        <v>3</v>
      </c>
      <c r="AH142" s="40" t="s">
        <v>3</v>
      </c>
    </row>
    <row r="143" spans="1:34" s="32" customFormat="1" ht="27.6">
      <c r="A143" s="338" t="s">
        <v>942</v>
      </c>
      <c r="B143" s="338" t="s">
        <v>943</v>
      </c>
      <c r="C143" s="358">
        <v>44223</v>
      </c>
      <c r="D143" s="351" t="s">
        <v>759</v>
      </c>
      <c r="E143" s="352" t="s">
        <v>841</v>
      </c>
      <c r="F143" s="338">
        <v>0.4916666666666667</v>
      </c>
      <c r="G143" s="338">
        <v>0.49444444444444446</v>
      </c>
      <c r="H143" s="338" t="s">
        <v>961</v>
      </c>
      <c r="I143" s="353">
        <v>799</v>
      </c>
      <c r="J143" s="338" t="str">
        <f>IFERROR(VLOOKUP(I143,'Chart of accounts'!A:H,2,FALSE),"")</f>
        <v>50211990 00</v>
      </c>
      <c r="K143" s="338" t="str">
        <f>IFERROR(VLOOKUP(I143,'Chart of accounts'!A:H,3,FALSE),"")</f>
        <v>Other Professional Services</v>
      </c>
      <c r="L143" s="338" t="str">
        <f>IFERROR(VLOOKUP(I143,'Chart of accounts'!A:H,4,FALSE),"")</f>
        <v>50211990 00 - Other Professional Services (799)</v>
      </c>
      <c r="M143" s="361" t="s">
        <v>816</v>
      </c>
      <c r="N143" s="355" t="s">
        <v>843</v>
      </c>
      <c r="O143" s="355" t="s">
        <v>855</v>
      </c>
      <c r="P143" s="355"/>
      <c r="Q143" s="428">
        <v>4000</v>
      </c>
      <c r="R143" s="319">
        <f t="shared" si="1"/>
        <v>-4000</v>
      </c>
      <c r="S143" s="319" t="str">
        <f>VLOOKUP(H143,'Fund Utilization Report'!$A$4:$U$1800,13,FALSE)</f>
        <v>MOOE</v>
      </c>
      <c r="T143" s="319" t="str">
        <f>VLOOKUP(H143,'Fund Utilization Report'!$A$4:$U$1800,2,FALSE)</f>
        <v>GAA</v>
      </c>
      <c r="U143" s="319" t="str">
        <f>VLOOKUP(H143,'Fund Utilization Report'!$A$4:$U$1800,3,FALSE)</f>
        <v>FY2021, RA11518</v>
      </c>
      <c r="V143" s="319" t="str">
        <f>VLOOKUP(H143,'Fund Utilization Report'!$A$4:$U$1800,4,FALSE)</f>
        <v>GAS(GMS)</v>
      </c>
      <c r="W143" s="319" t="str">
        <f>VLOOKUP(H143,'Fund Utilization Report'!$A$4:$U$1800,5,FALSE)</f>
        <v>01101101</v>
      </c>
      <c r="X143" s="319" t="str">
        <f>VLOOKUP(H143,'Fund Utilization Report'!$A$4:$U$1800,6,FALSE)</f>
        <v>GOP</v>
      </c>
      <c r="Y143" s="320" t="str">
        <f>VLOOKUP(H143,'Fund Utilization Report'!$A$4:$U$1800,7,FALSE)</f>
        <v>MOOE</v>
      </c>
      <c r="Z143" s="321">
        <f>VLOOKUP(H143,'Fund Utilization Report'!$A$4:$U$1800,8,FALSE)</f>
        <v>5020000000</v>
      </c>
      <c r="AA143" s="319" t="str">
        <f>VLOOKUP(H143,'Fund Utilization Report'!$A$4:$U$1800,14,FALSE)</f>
        <v>100000100001000</v>
      </c>
      <c r="AB143" s="349" t="str">
        <f>VLOOKUP(H143,'Fund Utilization Report'!$A$4:$U$1800,15,FALSE)</f>
        <v>General Administration and Supervision - General Management and Supervision</v>
      </c>
      <c r="AC143" s="39" t="s">
        <v>0</v>
      </c>
      <c r="AD143" s="34">
        <v>2</v>
      </c>
      <c r="AE143" s="39">
        <v>799</v>
      </c>
      <c r="AF143" s="51" t="str">
        <f>VLOOKUP(AE143,'[2]Chart of accounts'!A:H,2,FALSE)</f>
        <v>50211990 00</v>
      </c>
      <c r="AG143" s="40" t="s">
        <v>844</v>
      </c>
      <c r="AH143" s="40" t="s">
        <v>844</v>
      </c>
    </row>
    <row r="144" spans="1:34" s="32" customFormat="1" ht="41.4">
      <c r="A144" s="338" t="s">
        <v>942</v>
      </c>
      <c r="B144" s="338" t="s">
        <v>943</v>
      </c>
      <c r="C144" s="358">
        <v>44223</v>
      </c>
      <c r="D144" s="351" t="s">
        <v>759</v>
      </c>
      <c r="E144" s="352" t="s">
        <v>846</v>
      </c>
      <c r="F144" s="338">
        <v>0.49513888888888885</v>
      </c>
      <c r="G144" s="338">
        <v>0.49583333333333335</v>
      </c>
      <c r="H144" s="338" t="s">
        <v>961</v>
      </c>
      <c r="I144" s="353">
        <v>969</v>
      </c>
      <c r="J144" s="338" t="str">
        <f>IFERROR(VLOOKUP(I144,'Chart of accounts'!A:H,2,FALSE),"")</f>
        <v>50299990 99</v>
      </c>
      <c r="K144" s="338" t="str">
        <f>IFERROR(VLOOKUP(I144,'Chart of accounts'!A:H,3,FALSE),"")</f>
        <v>Other Maintenance and Operating Expenses</v>
      </c>
      <c r="L144" s="338" t="str">
        <f>IFERROR(VLOOKUP(I144,'Chart of accounts'!A:H,4,FALSE),"")</f>
        <v>50299990 99 - Other Maintenance and Operating Expenses (969)</v>
      </c>
      <c r="M144" s="361" t="s">
        <v>2</v>
      </c>
      <c r="N144" s="355" t="s">
        <v>847</v>
      </c>
      <c r="O144" s="355" t="s">
        <v>848</v>
      </c>
      <c r="P144" s="355"/>
      <c r="Q144" s="363">
        <v>1880</v>
      </c>
      <c r="R144" s="319">
        <f t="shared" si="1"/>
        <v>-1880</v>
      </c>
      <c r="S144" s="319" t="str">
        <f>VLOOKUP(H144,'Fund Utilization Report'!$A$4:$U$1800,13,FALSE)</f>
        <v>MOOE</v>
      </c>
      <c r="T144" s="319" t="str">
        <f>VLOOKUP(H144,'Fund Utilization Report'!$A$4:$U$1800,2,FALSE)</f>
        <v>GAA</v>
      </c>
      <c r="U144" s="319" t="str">
        <f>VLOOKUP(H144,'Fund Utilization Report'!$A$4:$U$1800,3,FALSE)</f>
        <v>FY2021, RA11518</v>
      </c>
      <c r="V144" s="319" t="str">
        <f>VLOOKUP(H144,'Fund Utilization Report'!$A$4:$U$1800,4,FALSE)</f>
        <v>GAS(GMS)</v>
      </c>
      <c r="W144" s="319" t="str">
        <f>VLOOKUP(H144,'Fund Utilization Report'!$A$4:$U$1800,5,FALSE)</f>
        <v>01101101</v>
      </c>
      <c r="X144" s="319" t="str">
        <f>VLOOKUP(H144,'Fund Utilization Report'!$A$4:$U$1800,6,FALSE)</f>
        <v>GOP</v>
      </c>
      <c r="Y144" s="320" t="str">
        <f>VLOOKUP(H144,'Fund Utilization Report'!$A$4:$U$1800,7,FALSE)</f>
        <v>MOOE</v>
      </c>
      <c r="Z144" s="321">
        <f>VLOOKUP(H144,'Fund Utilization Report'!$A$4:$U$1800,8,FALSE)</f>
        <v>5020000000</v>
      </c>
      <c r="AA144" s="319" t="str">
        <f>VLOOKUP(H144,'Fund Utilization Report'!$A$4:$U$1800,14,FALSE)</f>
        <v>100000100001000</v>
      </c>
      <c r="AB144" s="349" t="str">
        <f>VLOOKUP(H144,'Fund Utilization Report'!$A$4:$U$1800,15,FALSE)</f>
        <v>General Administration and Supervision - General Management and Supervision</v>
      </c>
      <c r="AC144" s="39" t="s">
        <v>0</v>
      </c>
      <c r="AD144" s="34">
        <v>2</v>
      </c>
      <c r="AE144" s="39">
        <v>969</v>
      </c>
      <c r="AF144" s="51" t="str">
        <f>VLOOKUP(AE144,'[2]Chart of accounts'!A:H,2,FALSE)</f>
        <v>50299990 99</v>
      </c>
      <c r="AG144" s="40" t="s">
        <v>3</v>
      </c>
      <c r="AH144" s="40" t="s">
        <v>3</v>
      </c>
    </row>
    <row r="145" spans="1:34" s="411" customFormat="1" ht="27.6">
      <c r="A145" s="405" t="s">
        <v>942</v>
      </c>
      <c r="B145" s="405" t="s">
        <v>943</v>
      </c>
      <c r="C145" s="402">
        <v>44224</v>
      </c>
      <c r="D145" s="403" t="s">
        <v>759</v>
      </c>
      <c r="E145" s="404" t="s">
        <v>851</v>
      </c>
      <c r="F145" s="405">
        <v>0.42222222222222222</v>
      </c>
      <c r="G145" s="405">
        <v>0.42222222222222222</v>
      </c>
      <c r="H145" s="405" t="s">
        <v>961</v>
      </c>
      <c r="I145" s="416">
        <v>782</v>
      </c>
      <c r="J145" s="405" t="str">
        <f>IFERROR(VLOOKUP(I145,'Chart of accounts'!A:H,2,FALSE),"")</f>
        <v>50299050 01</v>
      </c>
      <c r="K145" s="405" t="str">
        <f>IFERROR(VLOOKUP(I145,'Chart of accounts'!A:H,3,FALSE),"")</f>
        <v>Rent - Buildings and Structures</v>
      </c>
      <c r="L145" s="405" t="str">
        <f>IFERROR(VLOOKUP(I145,'Chart of accounts'!A:H,4,FALSE),"")</f>
        <v>50299050 01 - Rent - Buildings and Structures (782)</v>
      </c>
      <c r="M145" s="408" t="s">
        <v>2</v>
      </c>
      <c r="N145" s="409" t="s">
        <v>852</v>
      </c>
      <c r="O145" s="409" t="s">
        <v>853</v>
      </c>
      <c r="P145" s="409"/>
      <c r="Q145" s="65"/>
      <c r="R145" s="319">
        <f t="shared" si="1"/>
        <v>0</v>
      </c>
      <c r="S145" s="63" t="str">
        <f>VLOOKUP(H145,'Fund Utilization Report'!$A$4:$U$1800,13,FALSE)</f>
        <v>MOOE</v>
      </c>
      <c r="T145" s="63" t="str">
        <f>VLOOKUP(H145,'Fund Utilization Report'!$A$4:$U$1800,2,FALSE)</f>
        <v>GAA</v>
      </c>
      <c r="U145" s="63" t="str">
        <f>VLOOKUP(H145,'Fund Utilization Report'!$A$4:$U$1800,3,FALSE)</f>
        <v>FY2021, RA11518</v>
      </c>
      <c r="V145" s="63" t="str">
        <f>VLOOKUP(H145,'Fund Utilization Report'!$A$4:$U$1800,4,FALSE)</f>
        <v>GAS(GMS)</v>
      </c>
      <c r="W145" s="63" t="str">
        <f>VLOOKUP(H145,'Fund Utilization Report'!$A$4:$U$1800,5,FALSE)</f>
        <v>01101101</v>
      </c>
      <c r="X145" s="63" t="str">
        <f>VLOOKUP(H145,'Fund Utilization Report'!$A$4:$U$1800,6,FALSE)</f>
        <v>GOP</v>
      </c>
      <c r="Y145" s="417" t="str">
        <f>VLOOKUP(H145,'Fund Utilization Report'!$A$4:$U$1800,7,FALSE)</f>
        <v>MOOE</v>
      </c>
      <c r="Z145" s="418">
        <f>VLOOKUP(H145,'Fund Utilization Report'!$A$4:$U$1800,8,FALSE)</f>
        <v>5020000000</v>
      </c>
      <c r="AA145" s="63" t="str">
        <f>VLOOKUP(H145,'Fund Utilization Report'!$A$4:$U$1800,14,FALSE)</f>
        <v>100000100001000</v>
      </c>
      <c r="AB145" s="419" t="str">
        <f>VLOOKUP(H145,'Fund Utilization Report'!$A$4:$U$1800,15,FALSE)</f>
        <v>General Administration and Supervision - General Management and Supervision</v>
      </c>
      <c r="AC145" s="406" t="s">
        <v>0</v>
      </c>
      <c r="AD145" s="403">
        <v>2</v>
      </c>
      <c r="AE145" s="406">
        <v>782</v>
      </c>
      <c r="AF145" s="406" t="str">
        <f>VLOOKUP(AE145,'[2]Chart of accounts'!A:H,2,FALSE)</f>
        <v>50299050 01</v>
      </c>
      <c r="AG145" s="407" t="s">
        <v>3</v>
      </c>
      <c r="AH145" s="407" t="s">
        <v>3</v>
      </c>
    </row>
    <row r="146" spans="1:34" s="32" customFormat="1" ht="27.6">
      <c r="A146" s="338" t="s">
        <v>942</v>
      </c>
      <c r="B146" s="338" t="s">
        <v>943</v>
      </c>
      <c r="C146" s="358">
        <v>44224</v>
      </c>
      <c r="D146" s="351" t="s">
        <v>759</v>
      </c>
      <c r="E146" s="352" t="s">
        <v>854</v>
      </c>
      <c r="F146" s="338">
        <v>0.44166666666666665</v>
      </c>
      <c r="G146" s="338">
        <v>0.4465277777777778</v>
      </c>
      <c r="H146" s="338" t="s">
        <v>961</v>
      </c>
      <c r="I146" s="353">
        <v>792</v>
      </c>
      <c r="J146" s="338" t="str">
        <f>IFERROR(VLOOKUP(I146,'Chart of accounts'!A:H,2,FALSE),"")</f>
        <v>50211020 00</v>
      </c>
      <c r="K146" s="338" t="str">
        <f>IFERROR(VLOOKUP(I146,'Chart of accounts'!A:H,3,FALSE),"")</f>
        <v>Auditing Services</v>
      </c>
      <c r="L146" s="338" t="str">
        <f>IFERROR(VLOOKUP(I146,'Chart of accounts'!A:H,4,FALSE),"")</f>
        <v>50211020 00 - Auditing Services (792)</v>
      </c>
      <c r="M146" s="361" t="s">
        <v>1404</v>
      </c>
      <c r="N146" s="355" t="s">
        <v>843</v>
      </c>
      <c r="O146" s="355" t="s">
        <v>855</v>
      </c>
      <c r="P146" s="355"/>
      <c r="Q146" s="428">
        <v>5534</v>
      </c>
      <c r="R146" s="319">
        <f t="shared" si="1"/>
        <v>-5534</v>
      </c>
      <c r="S146" s="319" t="str">
        <f>VLOOKUP(H146,'Fund Utilization Report'!$A$4:$U$1800,13,FALSE)</f>
        <v>MOOE</v>
      </c>
      <c r="T146" s="319" t="str">
        <f>VLOOKUP(H146,'Fund Utilization Report'!$A$4:$U$1800,2,FALSE)</f>
        <v>GAA</v>
      </c>
      <c r="U146" s="319" t="str">
        <f>VLOOKUP(H146,'Fund Utilization Report'!$A$4:$U$1800,3,FALSE)</f>
        <v>FY2021, RA11518</v>
      </c>
      <c r="V146" s="319" t="str">
        <f>VLOOKUP(H146,'Fund Utilization Report'!$A$4:$U$1800,4,FALSE)</f>
        <v>GAS(GMS)</v>
      </c>
      <c r="W146" s="319" t="str">
        <f>VLOOKUP(H146,'Fund Utilization Report'!$A$4:$U$1800,5,FALSE)</f>
        <v>01101101</v>
      </c>
      <c r="X146" s="319" t="str">
        <f>VLOOKUP(H146,'Fund Utilization Report'!$A$4:$U$1800,6,FALSE)</f>
        <v>GOP</v>
      </c>
      <c r="Y146" s="320" t="str">
        <f>VLOOKUP(H146,'Fund Utilization Report'!$A$4:$U$1800,7,FALSE)</f>
        <v>MOOE</v>
      </c>
      <c r="Z146" s="321">
        <f>VLOOKUP(H146,'Fund Utilization Report'!$A$4:$U$1800,8,FALSE)</f>
        <v>5020000000</v>
      </c>
      <c r="AA146" s="319" t="str">
        <f>VLOOKUP(H146,'Fund Utilization Report'!$A$4:$U$1800,14,FALSE)</f>
        <v>100000100001000</v>
      </c>
      <c r="AB146" s="349" t="str">
        <f>VLOOKUP(H146,'Fund Utilization Report'!$A$4:$U$1800,15,FALSE)</f>
        <v>General Administration and Supervision - General Management and Supervision</v>
      </c>
      <c r="AC146" s="39" t="s">
        <v>0</v>
      </c>
      <c r="AD146" s="34">
        <v>2</v>
      </c>
      <c r="AE146" s="39">
        <v>792</v>
      </c>
      <c r="AF146" s="51" t="str">
        <f>VLOOKUP(AE146,'[2]Chart of accounts'!A:H,2,FALSE)</f>
        <v>50211020 00</v>
      </c>
      <c r="AG146" s="40" t="s">
        <v>3</v>
      </c>
      <c r="AH146" s="40" t="s">
        <v>3</v>
      </c>
    </row>
    <row r="147" spans="1:34" s="32" customFormat="1" ht="27.6">
      <c r="A147" s="338" t="s">
        <v>942</v>
      </c>
      <c r="B147" s="338" t="s">
        <v>943</v>
      </c>
      <c r="C147" s="358">
        <v>44224</v>
      </c>
      <c r="D147" s="351" t="s">
        <v>759</v>
      </c>
      <c r="E147" s="352" t="s">
        <v>854</v>
      </c>
      <c r="F147" s="338">
        <v>0.44166666666666665</v>
      </c>
      <c r="G147" s="338">
        <v>0.4465277777777778</v>
      </c>
      <c r="H147" s="338" t="s">
        <v>961</v>
      </c>
      <c r="I147" s="353">
        <v>795</v>
      </c>
      <c r="J147" s="338" t="str">
        <f>IFERROR(VLOOKUP(I147,'Chart of accounts'!A:H,2,FALSE),"")</f>
        <v>50212990 00</v>
      </c>
      <c r="K147" s="338" t="str">
        <f>IFERROR(VLOOKUP(I147,'Chart of accounts'!A:H,3,FALSE),"")</f>
        <v>Other General Services</v>
      </c>
      <c r="L147" s="338" t="str">
        <f>IFERROR(VLOOKUP(I147,'Chart of accounts'!A:H,4,FALSE),"")</f>
        <v>50212990 00 - Other General Services (795)</v>
      </c>
      <c r="M147" s="361" t="s">
        <v>816</v>
      </c>
      <c r="N147" s="355" t="s">
        <v>843</v>
      </c>
      <c r="O147" s="355" t="s">
        <v>855</v>
      </c>
      <c r="P147" s="355"/>
      <c r="Q147" s="428">
        <v>4527.82</v>
      </c>
      <c r="R147" s="319">
        <f t="shared" si="1"/>
        <v>-4527.82</v>
      </c>
      <c r="S147" s="319" t="str">
        <f>VLOOKUP(H147,'Fund Utilization Report'!$A$4:$U$1800,13,FALSE)</f>
        <v>MOOE</v>
      </c>
      <c r="T147" s="319" t="str">
        <f>VLOOKUP(H147,'Fund Utilization Report'!$A$4:$U$1800,2,FALSE)</f>
        <v>GAA</v>
      </c>
      <c r="U147" s="319" t="str">
        <f>VLOOKUP(H147,'Fund Utilization Report'!$A$4:$U$1800,3,FALSE)</f>
        <v>FY2021, RA11518</v>
      </c>
      <c r="V147" s="319" t="str">
        <f>VLOOKUP(H147,'Fund Utilization Report'!$A$4:$U$1800,4,FALSE)</f>
        <v>GAS(GMS)</v>
      </c>
      <c r="W147" s="319" t="str">
        <f>VLOOKUP(H147,'Fund Utilization Report'!$A$4:$U$1800,5,FALSE)</f>
        <v>01101101</v>
      </c>
      <c r="X147" s="319" t="str">
        <f>VLOOKUP(H147,'Fund Utilization Report'!$A$4:$U$1800,6,FALSE)</f>
        <v>GOP</v>
      </c>
      <c r="Y147" s="320" t="str">
        <f>VLOOKUP(H147,'Fund Utilization Report'!$A$4:$U$1800,7,FALSE)</f>
        <v>MOOE</v>
      </c>
      <c r="Z147" s="321">
        <f>VLOOKUP(H147,'Fund Utilization Report'!$A$4:$U$1800,8,FALSE)</f>
        <v>5020000000</v>
      </c>
      <c r="AA147" s="319" t="str">
        <f>VLOOKUP(H147,'Fund Utilization Report'!$A$4:$U$1800,14,FALSE)</f>
        <v>100000100001000</v>
      </c>
      <c r="AB147" s="349" t="str">
        <f>VLOOKUP(H147,'Fund Utilization Report'!$A$4:$U$1800,15,FALSE)</f>
        <v>General Administration and Supervision - General Management and Supervision</v>
      </c>
      <c r="AC147" s="39" t="s">
        <v>0</v>
      </c>
      <c r="AD147" s="34">
        <v>2</v>
      </c>
      <c r="AE147" s="39">
        <v>795</v>
      </c>
      <c r="AF147" s="51" t="str">
        <f>VLOOKUP(AE147,'[2]Chart of accounts'!A:H,2,FALSE)</f>
        <v>50212990 00</v>
      </c>
      <c r="AG147" s="40" t="s">
        <v>3</v>
      </c>
      <c r="AH147" s="40" t="s">
        <v>3</v>
      </c>
    </row>
    <row r="148" spans="1:34" s="32" customFormat="1" ht="27.6">
      <c r="A148" s="338" t="s">
        <v>942</v>
      </c>
      <c r="B148" s="338" t="s">
        <v>943</v>
      </c>
      <c r="C148" s="358">
        <v>44224</v>
      </c>
      <c r="D148" s="351" t="s">
        <v>759</v>
      </c>
      <c r="E148" s="352" t="s">
        <v>854</v>
      </c>
      <c r="F148" s="338">
        <v>0.44166666666666665</v>
      </c>
      <c r="G148" s="338">
        <v>0.4465277777777778</v>
      </c>
      <c r="H148" s="338" t="s">
        <v>983</v>
      </c>
      <c r="I148" s="353">
        <v>799</v>
      </c>
      <c r="J148" s="338" t="str">
        <f>IFERROR(VLOOKUP(I148,'Chart of accounts'!A:H,2,FALSE),"")</f>
        <v>50211990 00</v>
      </c>
      <c r="K148" s="338" t="str">
        <f>IFERROR(VLOOKUP(I148,'Chart of accounts'!A:H,3,FALSE),"")</f>
        <v>Other Professional Services</v>
      </c>
      <c r="L148" s="338" t="str">
        <f>IFERROR(VLOOKUP(I148,'Chart of accounts'!A:H,4,FALSE),"")</f>
        <v>50211990 00 - Other Professional Services (799)</v>
      </c>
      <c r="M148" s="361" t="s">
        <v>5</v>
      </c>
      <c r="N148" s="355" t="s">
        <v>843</v>
      </c>
      <c r="O148" s="355" t="s">
        <v>855</v>
      </c>
      <c r="P148" s="355"/>
      <c r="Q148" s="428">
        <v>10000</v>
      </c>
      <c r="R148" s="319">
        <f t="shared" si="1"/>
        <v>-10000</v>
      </c>
      <c r="S148" s="319" t="str">
        <f>VLOOKUP(H148,'Fund Utilization Report'!$A$4:$U$1800,13,FALSE)</f>
        <v>MOOE</v>
      </c>
      <c r="T148" s="319" t="str">
        <f>VLOOKUP(H148,'Fund Utilization Report'!$A$4:$U$1800,2,FALSE)</f>
        <v>GAA</v>
      </c>
      <c r="U148" s="319" t="str">
        <f>VLOOKUP(H148,'Fund Utilization Report'!$A$4:$U$1800,3,FALSE)</f>
        <v>FY2021, RA11518</v>
      </c>
      <c r="V148" s="319" t="str">
        <f>VLOOKUP(H148,'Fund Utilization Report'!$A$4:$U$1800,4,FALSE)</f>
        <v>SSF</v>
      </c>
      <c r="W148" s="319" t="str">
        <f>VLOOKUP(H148,'Fund Utilization Report'!$A$4:$U$1800,5,FALSE)</f>
        <v>01101101</v>
      </c>
      <c r="X148" s="319" t="str">
        <f>VLOOKUP(H148,'Fund Utilization Report'!$A$4:$U$1800,6,FALSE)</f>
        <v>GOP</v>
      </c>
      <c r="Y148" s="320" t="str">
        <f>VLOOKUP(H148,'Fund Utilization Report'!$A$4:$U$1800,7,FALSE)</f>
        <v>MOOE</v>
      </c>
      <c r="Z148" s="321">
        <f>VLOOKUP(H148,'Fund Utilization Report'!$A$4:$U$1800,8,FALSE)</f>
        <v>5020000000</v>
      </c>
      <c r="AA148" s="319" t="str">
        <f>VLOOKUP(H148,'Fund Utilization Report'!$A$4:$U$1800,14,FALSE)</f>
        <v>330100200003000</v>
      </c>
      <c r="AB148" s="349" t="str">
        <f>VLOOKUP(H148,'Fund Utilization Report'!$A$4:$U$1800,15,FALSE)</f>
        <v>Shared Service Facilities Project</v>
      </c>
      <c r="AC148" s="39" t="s">
        <v>0</v>
      </c>
      <c r="AD148" s="34">
        <v>2</v>
      </c>
      <c r="AE148" s="39">
        <v>799</v>
      </c>
      <c r="AF148" s="51" t="str">
        <f>VLOOKUP(AE148,'[2]Chart of accounts'!A:H,2,FALSE)</f>
        <v>50211990 00</v>
      </c>
      <c r="AG148" s="53" t="s">
        <v>4</v>
      </c>
      <c r="AH148" s="40" t="s">
        <v>5</v>
      </c>
    </row>
    <row r="149" spans="1:34" s="32" customFormat="1" ht="27.6">
      <c r="A149" s="338" t="s">
        <v>942</v>
      </c>
      <c r="B149" s="338" t="s">
        <v>943</v>
      </c>
      <c r="C149" s="358">
        <v>44224</v>
      </c>
      <c r="D149" s="351" t="s">
        <v>759</v>
      </c>
      <c r="E149" s="352" t="s">
        <v>856</v>
      </c>
      <c r="F149" s="338">
        <v>0.4465277777777778</v>
      </c>
      <c r="G149" s="338">
        <v>0.45</v>
      </c>
      <c r="H149" s="338" t="s">
        <v>982</v>
      </c>
      <c r="I149" s="353">
        <v>799</v>
      </c>
      <c r="J149" s="338" t="str">
        <f>IFERROR(VLOOKUP(I149,'Chart of accounts'!A:H,2,FALSE),"")</f>
        <v>50211990 00</v>
      </c>
      <c r="K149" s="338" t="str">
        <f>IFERROR(VLOOKUP(I149,'Chart of accounts'!A:H,3,FALSE),"")</f>
        <v>Other Professional Services</v>
      </c>
      <c r="L149" s="338" t="str">
        <f>IFERROR(VLOOKUP(I149,'Chart of accounts'!A:H,4,FALSE),"")</f>
        <v>50211990 00 - Other Professional Services (799)</v>
      </c>
      <c r="M149" s="361" t="s">
        <v>905</v>
      </c>
      <c r="N149" s="355" t="s">
        <v>843</v>
      </c>
      <c r="O149" s="355" t="s">
        <v>855</v>
      </c>
      <c r="P149" s="355"/>
      <c r="Q149" s="428">
        <v>11158</v>
      </c>
      <c r="R149" s="319">
        <f t="shared" si="1"/>
        <v>-11158</v>
      </c>
      <c r="S149" s="319" t="str">
        <f>VLOOKUP(H149,'Fund Utilization Report'!$A$4:$U$1800,13,FALSE)</f>
        <v>MOOE</v>
      </c>
      <c r="T149" s="319" t="str">
        <f>VLOOKUP(H149,'Fund Utilization Report'!$A$4:$U$1800,2,FALSE)</f>
        <v>GAA</v>
      </c>
      <c r="U149" s="319" t="str">
        <f>VLOOKUP(H149,'Fund Utilization Report'!$A$4:$U$1800,3,FALSE)</f>
        <v>FY2021, RA11518</v>
      </c>
      <c r="V149" s="319" t="str">
        <f>VLOOKUP(H149,'Fund Utilization Report'!$A$4:$U$1800,4,FALSE)</f>
        <v>OTOP</v>
      </c>
      <c r="W149" s="319" t="str">
        <f>VLOOKUP(H149,'Fund Utilization Report'!$A$4:$U$1800,5,FALSE)</f>
        <v>01101101</v>
      </c>
      <c r="X149" s="319" t="str">
        <f>VLOOKUP(H149,'Fund Utilization Report'!$A$4:$U$1800,6,FALSE)</f>
        <v>GOP</v>
      </c>
      <c r="Y149" s="320" t="str">
        <f>VLOOKUP(H149,'Fund Utilization Report'!$A$4:$U$1800,7,FALSE)</f>
        <v>MOOE</v>
      </c>
      <c r="Z149" s="321">
        <f>VLOOKUP(H149,'Fund Utilization Report'!$A$4:$U$1800,8,FALSE)</f>
        <v>5020000000</v>
      </c>
      <c r="AA149" s="319" t="str">
        <f>VLOOKUP(H149,'Fund Utilization Report'!$A$4:$U$1800,14,FALSE)</f>
        <v>330100200002000</v>
      </c>
      <c r="AB149" s="349" t="str">
        <f>VLOOKUP(H149,'Fund Utilization Report'!$A$4:$U$1800,15,FALSE)</f>
        <v>OTOP - Next Generation</v>
      </c>
      <c r="AC149" s="39" t="s">
        <v>0</v>
      </c>
      <c r="AD149" s="34">
        <v>2</v>
      </c>
      <c r="AE149" s="39">
        <v>799</v>
      </c>
      <c r="AF149" s="51" t="str">
        <f>VLOOKUP(AE149,'[2]Chart of accounts'!A:H,2,FALSE)</f>
        <v>50211990 00</v>
      </c>
      <c r="AG149" s="53" t="s">
        <v>4</v>
      </c>
      <c r="AH149" s="40" t="s">
        <v>857</v>
      </c>
    </row>
    <row r="150" spans="1:34" s="32" customFormat="1" ht="27.6">
      <c r="A150" s="338" t="s">
        <v>942</v>
      </c>
      <c r="B150" s="338" t="s">
        <v>943</v>
      </c>
      <c r="C150" s="358">
        <v>44224</v>
      </c>
      <c r="D150" s="351" t="s">
        <v>759</v>
      </c>
      <c r="E150" s="352" t="s">
        <v>856</v>
      </c>
      <c r="F150" s="338">
        <v>0.4465277777777778</v>
      </c>
      <c r="G150" s="338">
        <v>0.45</v>
      </c>
      <c r="H150" s="338" t="s">
        <v>985</v>
      </c>
      <c r="I150" s="353">
        <v>799</v>
      </c>
      <c r="J150" s="338" t="str">
        <f>IFERROR(VLOOKUP(I150,'Chart of accounts'!A:H,2,FALSE),"")</f>
        <v>50211990 00</v>
      </c>
      <c r="K150" s="338" t="str">
        <f>IFERROR(VLOOKUP(I150,'Chart of accounts'!A:H,3,FALSE),"")</f>
        <v>Other Professional Services</v>
      </c>
      <c r="L150" s="338" t="str">
        <f>IFERROR(VLOOKUP(I150,'Chart of accounts'!A:H,4,FALSE),"")</f>
        <v>50211990 00 - Other Professional Services (799)</v>
      </c>
      <c r="M150" s="361" t="s">
        <v>7</v>
      </c>
      <c r="N150" s="355" t="s">
        <v>843</v>
      </c>
      <c r="O150" s="355" t="s">
        <v>855</v>
      </c>
      <c r="P150" s="355"/>
      <c r="Q150" s="428">
        <v>11158</v>
      </c>
      <c r="R150" s="319">
        <f t="shared" si="1"/>
        <v>-11158</v>
      </c>
      <c r="S150" s="319" t="str">
        <f>VLOOKUP(H150,'Fund Utilization Report'!$A$4:$U$1800,13,FALSE)</f>
        <v>MOOE</v>
      </c>
      <c r="T150" s="319" t="str">
        <f>VLOOKUP(H150,'Fund Utilization Report'!$A$4:$U$1800,2,FALSE)</f>
        <v>GAA</v>
      </c>
      <c r="U150" s="319" t="str">
        <f>VLOOKUP(H150,'Fund Utilization Report'!$A$4:$U$1800,3,FALSE)</f>
        <v>FY2021, RA11518</v>
      </c>
      <c r="V150" s="319" t="str">
        <f>VLOOKUP(H150,'Fund Utilization Report'!$A$4:$U$1800,4,FALSE)</f>
        <v>LSP-PBG</v>
      </c>
      <c r="W150" s="319" t="str">
        <f>VLOOKUP(H150,'Fund Utilization Report'!$A$4:$U$1800,5,FALSE)</f>
        <v>01101101</v>
      </c>
      <c r="X150" s="319" t="str">
        <f>VLOOKUP(H150,'Fund Utilization Report'!$A$4:$U$1800,6,FALSE)</f>
        <v>GOP</v>
      </c>
      <c r="Y150" s="320" t="str">
        <f>VLOOKUP(H150,'Fund Utilization Report'!$A$4:$U$1800,7,FALSE)</f>
        <v>MOOE</v>
      </c>
      <c r="Z150" s="321">
        <f>VLOOKUP(H150,'Fund Utilization Report'!$A$4:$U$1800,8,FALSE)</f>
        <v>5020000000</v>
      </c>
      <c r="AA150" s="319" t="str">
        <f>VLOOKUP(H150,'Fund Utilization Report'!$A$4:$U$1800,14,FALSE)</f>
        <v>330100200004000</v>
      </c>
      <c r="AB150" s="349" t="str">
        <f>VLOOKUP(H150,'Fund Utilization Report'!$A$4:$U$1800,15,FALSE)</f>
        <v>MSME Development Program : Livelihood Seeding Program and Pangkabuhayan sa Pagbangon at Ginhawa</v>
      </c>
      <c r="AC150" s="39" t="s">
        <v>0</v>
      </c>
      <c r="AD150" s="34">
        <v>2</v>
      </c>
      <c r="AE150" s="39">
        <v>799</v>
      </c>
      <c r="AF150" s="51" t="str">
        <f>VLOOKUP(AE150,'[2]Chart of accounts'!A:H,2,FALSE)</f>
        <v>50211990 00</v>
      </c>
      <c r="AG150" s="53" t="s">
        <v>4</v>
      </c>
      <c r="AH150" s="40" t="s">
        <v>7</v>
      </c>
    </row>
    <row r="151" spans="1:34" s="32" customFormat="1" ht="27.6">
      <c r="A151" s="338" t="s">
        <v>942</v>
      </c>
      <c r="B151" s="338" t="s">
        <v>943</v>
      </c>
      <c r="C151" s="358">
        <v>44224</v>
      </c>
      <c r="D151" s="351" t="s">
        <v>759</v>
      </c>
      <c r="E151" s="352" t="s">
        <v>856</v>
      </c>
      <c r="F151" s="338">
        <v>0.4465277777777778</v>
      </c>
      <c r="G151" s="338">
        <v>0.45</v>
      </c>
      <c r="H151" s="338" t="s">
        <v>980</v>
      </c>
      <c r="I151" s="353">
        <v>799</v>
      </c>
      <c r="J151" s="338" t="str">
        <f>IFERROR(VLOOKUP(I151,'Chart of accounts'!A:H,2,FALSE),"")</f>
        <v>50211990 00</v>
      </c>
      <c r="K151" s="338" t="str">
        <f>IFERROR(VLOOKUP(I151,'Chart of accounts'!A:H,3,FALSE),"")</f>
        <v>Other Professional Services</v>
      </c>
      <c r="L151" s="338" t="str">
        <f>IFERROR(VLOOKUP(I151,'Chart of accounts'!A:H,4,FALSE),"")</f>
        <v>50211990 00 - Other Professional Services (799)</v>
      </c>
      <c r="M151" s="361" t="s">
        <v>845</v>
      </c>
      <c r="N151" s="355" t="s">
        <v>843</v>
      </c>
      <c r="O151" s="355" t="s">
        <v>855</v>
      </c>
      <c r="P151" s="355"/>
      <c r="Q151" s="428">
        <v>11158</v>
      </c>
      <c r="R151" s="319">
        <f t="shared" si="1"/>
        <v>-11158</v>
      </c>
      <c r="S151" s="319" t="str">
        <f>VLOOKUP(H151,'Fund Utilization Report'!$A$4:$U$1800,13,FALSE)</f>
        <v>MOOE</v>
      </c>
      <c r="T151" s="319" t="str">
        <f>VLOOKUP(H151,'Fund Utilization Report'!$A$4:$U$1800,2,FALSE)</f>
        <v>GAA</v>
      </c>
      <c r="U151" s="319" t="str">
        <f>VLOOKUP(H151,'Fund Utilization Report'!$A$4:$U$1800,3,FALSE)</f>
        <v>FY2021, RA11518</v>
      </c>
      <c r="V151" s="319" t="str">
        <f>VLOOKUP(H151,'Fund Utilization Report'!$A$4:$U$1800,4,FALSE)</f>
        <v>NC</v>
      </c>
      <c r="W151" s="319" t="str">
        <f>VLOOKUP(H151,'Fund Utilization Report'!$A$4:$U$1800,5,FALSE)</f>
        <v>01101101</v>
      </c>
      <c r="X151" s="319" t="str">
        <f>VLOOKUP(H151,'Fund Utilization Report'!$A$4:$U$1800,6,FALSE)</f>
        <v>GOP</v>
      </c>
      <c r="Y151" s="320" t="str">
        <f>VLOOKUP(H151,'Fund Utilization Report'!$A$4:$U$1800,7,FALSE)</f>
        <v>MOOE</v>
      </c>
      <c r="Z151" s="321">
        <f>VLOOKUP(H151,'Fund Utilization Report'!$A$4:$U$1800,8,FALSE)</f>
        <v>5020000000</v>
      </c>
      <c r="AA151" s="319" t="str">
        <f>VLOOKUP(H151,'Fund Utilization Report'!$A$4:$U$1800,14,FALSE)</f>
        <v>330100200001000</v>
      </c>
      <c r="AB151" s="349" t="str">
        <f>VLOOKUP(H151,'Fund Utilization Report'!$A$4:$U$1800,15,FALSE)</f>
        <v>Establishment of Negosyo Centers</v>
      </c>
      <c r="AC151" s="39" t="s">
        <v>0</v>
      </c>
      <c r="AD151" s="34">
        <v>2</v>
      </c>
      <c r="AE151" s="39">
        <v>799</v>
      </c>
      <c r="AF151" s="51" t="str">
        <f>VLOOKUP(AE151,'[2]Chart of accounts'!A:H,2,FALSE)</f>
        <v>50211990 00</v>
      </c>
      <c r="AG151" s="53" t="s">
        <v>4</v>
      </c>
      <c r="AH151" s="40" t="s">
        <v>845</v>
      </c>
    </row>
    <row r="152" spans="1:34" s="411" customFormat="1" ht="27.6">
      <c r="A152" s="405" t="s">
        <v>942</v>
      </c>
      <c r="B152" s="405" t="s">
        <v>943</v>
      </c>
      <c r="C152" s="402">
        <v>44224</v>
      </c>
      <c r="D152" s="403" t="s">
        <v>759</v>
      </c>
      <c r="E152" s="404" t="s">
        <v>858</v>
      </c>
      <c r="F152" s="405">
        <v>0.45</v>
      </c>
      <c r="G152" s="405">
        <v>0.4548611111111111</v>
      </c>
      <c r="H152" s="405" t="s">
        <v>961</v>
      </c>
      <c r="I152" s="416">
        <v>755</v>
      </c>
      <c r="J152" s="405" t="str">
        <f>IFERROR(VLOOKUP(I152,'Chart of accounts'!A:H,2,FALSE),"")</f>
        <v>50203010 00</v>
      </c>
      <c r="K152" s="405" t="str">
        <f>IFERROR(VLOOKUP(I152,'Chart of accounts'!A:H,3,FALSE),"")</f>
        <v>Office Supplies Expenses</v>
      </c>
      <c r="L152" s="405" t="str">
        <f>IFERROR(VLOOKUP(I152,'Chart of accounts'!A:H,4,FALSE),"")</f>
        <v>50203010 00 - Office Supplies Expenses (755)</v>
      </c>
      <c r="M152" s="408" t="s">
        <v>812</v>
      </c>
      <c r="N152" s="409" t="s">
        <v>859</v>
      </c>
      <c r="O152" s="409" t="s">
        <v>860</v>
      </c>
      <c r="P152" s="409"/>
      <c r="Q152" s="65"/>
      <c r="R152" s="319">
        <f t="shared" si="1"/>
        <v>0</v>
      </c>
      <c r="S152" s="63" t="str">
        <f>VLOOKUP(H152,'Fund Utilization Report'!$A$4:$U$1800,13,FALSE)</f>
        <v>MOOE</v>
      </c>
      <c r="T152" s="63" t="str">
        <f>VLOOKUP(H152,'Fund Utilization Report'!$A$4:$U$1800,2,FALSE)</f>
        <v>GAA</v>
      </c>
      <c r="U152" s="63" t="str">
        <f>VLOOKUP(H152,'Fund Utilization Report'!$A$4:$U$1800,3,FALSE)</f>
        <v>FY2021, RA11518</v>
      </c>
      <c r="V152" s="63" t="str">
        <f>VLOOKUP(H152,'Fund Utilization Report'!$A$4:$U$1800,4,FALSE)</f>
        <v>GAS(GMS)</v>
      </c>
      <c r="W152" s="63" t="str">
        <f>VLOOKUP(H152,'Fund Utilization Report'!$A$4:$U$1800,5,FALSE)</f>
        <v>01101101</v>
      </c>
      <c r="X152" s="63" t="str">
        <f>VLOOKUP(H152,'Fund Utilization Report'!$A$4:$U$1800,6,FALSE)</f>
        <v>GOP</v>
      </c>
      <c r="Y152" s="417" t="str">
        <f>VLOOKUP(H152,'Fund Utilization Report'!$A$4:$U$1800,7,FALSE)</f>
        <v>MOOE</v>
      </c>
      <c r="Z152" s="418">
        <f>VLOOKUP(H152,'Fund Utilization Report'!$A$4:$U$1800,8,FALSE)</f>
        <v>5020000000</v>
      </c>
      <c r="AA152" s="63" t="str">
        <f>VLOOKUP(H152,'Fund Utilization Report'!$A$4:$U$1800,14,FALSE)</f>
        <v>100000100001000</v>
      </c>
      <c r="AB152" s="419" t="str">
        <f>VLOOKUP(H152,'Fund Utilization Report'!$A$4:$U$1800,15,FALSE)</f>
        <v>General Administration and Supervision - General Management and Supervision</v>
      </c>
      <c r="AC152" s="406" t="s">
        <v>0</v>
      </c>
      <c r="AD152" s="403">
        <v>2</v>
      </c>
      <c r="AE152" s="406">
        <v>755</v>
      </c>
      <c r="AF152" s="406" t="str">
        <f>VLOOKUP(AE152,'[2]Chart of accounts'!A:H,2,FALSE)</f>
        <v>50203010 00</v>
      </c>
      <c r="AG152" s="407" t="s">
        <v>3</v>
      </c>
      <c r="AH152" s="407" t="s">
        <v>812</v>
      </c>
    </row>
    <row r="153" spans="1:34" s="32" customFormat="1" ht="27.6">
      <c r="A153" s="338" t="s">
        <v>942</v>
      </c>
      <c r="B153" s="338" t="s">
        <v>943</v>
      </c>
      <c r="C153" s="358">
        <v>44224</v>
      </c>
      <c r="D153" s="351" t="s">
        <v>759</v>
      </c>
      <c r="E153" s="352" t="s">
        <v>861</v>
      </c>
      <c r="F153" s="338">
        <v>0.65416666666666667</v>
      </c>
      <c r="G153" s="338">
        <v>0.6645833333333333</v>
      </c>
      <c r="H153" s="338" t="s">
        <v>999</v>
      </c>
      <c r="I153" s="353">
        <v>706</v>
      </c>
      <c r="J153" s="338" t="str">
        <f>IFERROR(VLOOKUP(I153,'Chart of accounts'!A:H,2,FALSE),"")</f>
        <v>50101020 00</v>
      </c>
      <c r="K153" s="338" t="str">
        <f>IFERROR(VLOOKUP(I153,'Chart of accounts'!A:H,3,FALSE),"")</f>
        <v>Basic Salary - Contractual</v>
      </c>
      <c r="L153" s="338" t="str">
        <f>IFERROR(VLOOKUP(I153,'Chart of accounts'!A:H,4,FALSE),"")</f>
        <v>50101020 00 - Basic Salary - Contractual (706)</v>
      </c>
      <c r="M153" s="361" t="s">
        <v>2</v>
      </c>
      <c r="N153" s="355" t="s">
        <v>863</v>
      </c>
      <c r="O153" s="355" t="s">
        <v>864</v>
      </c>
      <c r="P153" s="355"/>
      <c r="Q153" s="363">
        <v>43681</v>
      </c>
      <c r="R153" s="319">
        <f t="shared" si="1"/>
        <v>-43681</v>
      </c>
      <c r="S153" s="319" t="str">
        <f>VLOOKUP(H153,'Fund Utilization Report'!$A$4:$U$1800,13,FALSE)</f>
        <v>PS</v>
      </c>
      <c r="T153" s="319" t="str">
        <f>VLOOKUP(H153,'Fund Utilization Report'!$A$4:$U$1800,2,FALSE)</f>
        <v>SAA15</v>
      </c>
      <c r="U153" s="319" t="str">
        <f>VLOOKUP(H153,'Fund Utilization Report'!$A$4:$U$1800,3,FALSE)</f>
        <v>2021-01-0015</v>
      </c>
      <c r="V153" s="319" t="str">
        <f>VLOOKUP(H153,'Fund Utilization Report'!$A$4:$U$1800,4,FALSE)</f>
        <v>CARP</v>
      </c>
      <c r="W153" s="319" t="str">
        <f>VLOOKUP(H153,'Fund Utilization Report'!$A$4:$U$1800,5,FALSE)</f>
        <v>01101101</v>
      </c>
      <c r="X153" s="319" t="str">
        <f>VLOOKUP(H153,'Fund Utilization Report'!$A$4:$U$1800,6,FALSE)</f>
        <v>GOP</v>
      </c>
      <c r="Y153" s="320">
        <f>VLOOKUP(H153,'Fund Utilization Report'!$A$4:$U$1800,7,FALSE)</f>
        <v>706</v>
      </c>
      <c r="Z153" s="321" t="str">
        <f>VLOOKUP(H153,'Fund Utilization Report'!$A$4:$U$1800,8,FALSE)</f>
        <v>50101020 00</v>
      </c>
      <c r="AA153" s="319" t="str">
        <f>VLOOKUP(H153,'Fund Utilization Report'!$A$4:$U$1800,14,FALSE)</f>
        <v>330100100003000</v>
      </c>
      <c r="AB153" s="349" t="str">
        <f>VLOOKUP(H153,'Fund Utilization Report'!$A$4:$U$1800,15,FALSE)</f>
        <v>MSME Development Program : Program Beneficiaries Development Component of the Comprehensive Agrarian Reform Program</v>
      </c>
      <c r="AC153" s="39" t="s">
        <v>0</v>
      </c>
      <c r="AD153" s="34">
        <v>1</v>
      </c>
      <c r="AE153" s="39">
        <v>706</v>
      </c>
      <c r="AF153" s="51" t="str">
        <f>VLOOKUP(AE153,'[2]Chart of accounts'!A:H,2,FALSE)</f>
        <v>50101020 00</v>
      </c>
      <c r="AG153" s="53" t="s">
        <v>4</v>
      </c>
      <c r="AH153" s="40" t="s">
        <v>862</v>
      </c>
    </row>
    <row r="154" spans="1:34" s="32" customFormat="1" ht="27.6">
      <c r="A154" s="338" t="s">
        <v>942</v>
      </c>
      <c r="B154" s="338" t="s">
        <v>943</v>
      </c>
      <c r="C154" s="358">
        <v>44224</v>
      </c>
      <c r="D154" s="351" t="s">
        <v>759</v>
      </c>
      <c r="E154" s="352" t="s">
        <v>861</v>
      </c>
      <c r="F154" s="338">
        <v>0.65416666666666667</v>
      </c>
      <c r="G154" s="338">
        <v>0.6645833333333333</v>
      </c>
      <c r="H154" s="338" t="s">
        <v>999</v>
      </c>
      <c r="I154" s="353">
        <v>711</v>
      </c>
      <c r="J154" s="338" t="str">
        <f>IFERROR(VLOOKUP(I154,'Chart of accounts'!A:H,2,FALSE),"")</f>
        <v>50102010 01</v>
      </c>
      <c r="K154" s="338" t="str">
        <f>IFERROR(VLOOKUP(I154,'Chart of accounts'!A:H,3,FALSE),"")</f>
        <v>PERA - Civilian</v>
      </c>
      <c r="L154" s="338" t="str">
        <f>IFERROR(VLOOKUP(I154,'Chart of accounts'!A:H,4,FALSE),"")</f>
        <v>50102010 01 - PERA - Civilian (711)</v>
      </c>
      <c r="M154" s="361" t="s">
        <v>2</v>
      </c>
      <c r="N154" s="355" t="s">
        <v>863</v>
      </c>
      <c r="O154" s="355" t="s">
        <v>864</v>
      </c>
      <c r="P154" s="355"/>
      <c r="Q154" s="363">
        <v>2000</v>
      </c>
      <c r="R154" s="319">
        <f t="shared" si="1"/>
        <v>-2000</v>
      </c>
      <c r="S154" s="319" t="str">
        <f>VLOOKUP(H154,'Fund Utilization Report'!$A$4:$U$1800,13,FALSE)</f>
        <v>PS</v>
      </c>
      <c r="T154" s="319" t="str">
        <f>VLOOKUP(H154,'Fund Utilization Report'!$A$4:$U$1800,2,FALSE)</f>
        <v>SAA15</v>
      </c>
      <c r="U154" s="319" t="str">
        <f>VLOOKUP(H154,'Fund Utilization Report'!$A$4:$U$1800,3,FALSE)</f>
        <v>2021-01-0015</v>
      </c>
      <c r="V154" s="319" t="str">
        <f>VLOOKUP(H154,'Fund Utilization Report'!$A$4:$U$1800,4,FALSE)</f>
        <v>CARP</v>
      </c>
      <c r="W154" s="319" t="str">
        <f>VLOOKUP(H154,'Fund Utilization Report'!$A$4:$U$1800,5,FALSE)</f>
        <v>01101101</v>
      </c>
      <c r="X154" s="319" t="str">
        <f>VLOOKUP(H154,'Fund Utilization Report'!$A$4:$U$1800,6,FALSE)</f>
        <v>GOP</v>
      </c>
      <c r="Y154" s="320">
        <f>VLOOKUP(H154,'Fund Utilization Report'!$A$4:$U$1800,7,FALSE)</f>
        <v>706</v>
      </c>
      <c r="Z154" s="321" t="str">
        <f>VLOOKUP(H154,'Fund Utilization Report'!$A$4:$U$1800,8,FALSE)</f>
        <v>50101020 00</v>
      </c>
      <c r="AA154" s="319" t="str">
        <f>VLOOKUP(H154,'Fund Utilization Report'!$A$4:$U$1800,14,FALSE)</f>
        <v>330100100003000</v>
      </c>
      <c r="AB154" s="349" t="str">
        <f>VLOOKUP(H154,'Fund Utilization Report'!$A$4:$U$1800,15,FALSE)</f>
        <v>MSME Development Program : Program Beneficiaries Development Component of the Comprehensive Agrarian Reform Program</v>
      </c>
      <c r="AC154" s="39" t="s">
        <v>0</v>
      </c>
      <c r="AD154" s="34">
        <v>1</v>
      </c>
      <c r="AE154" s="39">
        <v>711</v>
      </c>
      <c r="AF154" s="51" t="str">
        <f>VLOOKUP(AE154,'[2]Chart of accounts'!A:H,2,FALSE)</f>
        <v>50102010 01</v>
      </c>
      <c r="AG154" s="53" t="s">
        <v>4</v>
      </c>
      <c r="AH154" s="40" t="s">
        <v>862</v>
      </c>
    </row>
    <row r="155" spans="1:34" s="32" customFormat="1" ht="27.6">
      <c r="A155" s="338" t="s">
        <v>942</v>
      </c>
      <c r="B155" s="338" t="s">
        <v>943</v>
      </c>
      <c r="C155" s="358">
        <v>44224</v>
      </c>
      <c r="D155" s="351" t="s">
        <v>759</v>
      </c>
      <c r="E155" s="352" t="s">
        <v>861</v>
      </c>
      <c r="F155" s="338">
        <v>0.65416666666666667</v>
      </c>
      <c r="G155" s="338">
        <v>0.6645833333333333</v>
      </c>
      <c r="H155" s="338" t="s">
        <v>999</v>
      </c>
      <c r="I155" s="353">
        <v>731</v>
      </c>
      <c r="J155" s="338" t="str">
        <f>IFERROR(VLOOKUP(I155,'Chart of accounts'!A:H,2,FALSE),"")</f>
        <v>50103010 00</v>
      </c>
      <c r="K155" s="338" t="str">
        <f>IFERROR(VLOOKUP(I155,'Chart of accounts'!A:H,3,FALSE),"")</f>
        <v>Retirement and Life Insurance Premiums</v>
      </c>
      <c r="L155" s="338" t="str">
        <f>IFERROR(VLOOKUP(I155,'Chart of accounts'!A:H,4,FALSE),"")</f>
        <v>50103010 00 - Retirement and Life Insurance Premiums (731)</v>
      </c>
      <c r="M155" s="361" t="s">
        <v>2</v>
      </c>
      <c r="N155" s="355" t="s">
        <v>863</v>
      </c>
      <c r="O155" s="355" t="s">
        <v>864</v>
      </c>
      <c r="P155" s="355"/>
      <c r="Q155" s="363">
        <v>5241.72</v>
      </c>
      <c r="R155" s="319">
        <f t="shared" si="1"/>
        <v>-5241.72</v>
      </c>
      <c r="S155" s="319" t="str">
        <f>VLOOKUP(H155,'Fund Utilization Report'!$A$4:$U$1800,13,FALSE)</f>
        <v>PS</v>
      </c>
      <c r="T155" s="319" t="str">
        <f>VLOOKUP(H155,'Fund Utilization Report'!$A$4:$U$1800,2,FALSE)</f>
        <v>SAA15</v>
      </c>
      <c r="U155" s="319" t="str">
        <f>VLOOKUP(H155,'Fund Utilization Report'!$A$4:$U$1800,3,FALSE)</f>
        <v>2021-01-0015</v>
      </c>
      <c r="V155" s="319" t="str">
        <f>VLOOKUP(H155,'Fund Utilization Report'!$A$4:$U$1800,4,FALSE)</f>
        <v>CARP</v>
      </c>
      <c r="W155" s="319" t="str">
        <f>VLOOKUP(H155,'Fund Utilization Report'!$A$4:$U$1800,5,FALSE)</f>
        <v>01101101</v>
      </c>
      <c r="X155" s="319" t="str">
        <f>VLOOKUP(H155,'Fund Utilization Report'!$A$4:$U$1800,6,FALSE)</f>
        <v>GOP</v>
      </c>
      <c r="Y155" s="320">
        <f>VLOOKUP(H155,'Fund Utilization Report'!$A$4:$U$1800,7,FALSE)</f>
        <v>706</v>
      </c>
      <c r="Z155" s="321" t="str">
        <f>VLOOKUP(H155,'Fund Utilization Report'!$A$4:$U$1800,8,FALSE)</f>
        <v>50101020 00</v>
      </c>
      <c r="AA155" s="319" t="str">
        <f>VLOOKUP(H155,'Fund Utilization Report'!$A$4:$U$1800,14,FALSE)</f>
        <v>330100100003000</v>
      </c>
      <c r="AB155" s="349" t="str">
        <f>VLOOKUP(H155,'Fund Utilization Report'!$A$4:$U$1800,15,FALSE)</f>
        <v>MSME Development Program : Program Beneficiaries Development Component of the Comprehensive Agrarian Reform Program</v>
      </c>
      <c r="AC155" s="39" t="s">
        <v>0</v>
      </c>
      <c r="AD155" s="34">
        <v>1</v>
      </c>
      <c r="AE155" s="39">
        <v>731</v>
      </c>
      <c r="AF155" s="51" t="str">
        <f>VLOOKUP(AE155,'[2]Chart of accounts'!A:H,2,FALSE)</f>
        <v>50103010 00</v>
      </c>
      <c r="AG155" s="53" t="s">
        <v>4</v>
      </c>
      <c r="AH155" s="40" t="s">
        <v>862</v>
      </c>
    </row>
    <row r="156" spans="1:34" s="32" customFormat="1" ht="27.6">
      <c r="A156" s="338" t="s">
        <v>942</v>
      </c>
      <c r="B156" s="338" t="s">
        <v>943</v>
      </c>
      <c r="C156" s="358">
        <v>44224</v>
      </c>
      <c r="D156" s="351" t="s">
        <v>759</v>
      </c>
      <c r="E156" s="352" t="s">
        <v>861</v>
      </c>
      <c r="F156" s="338">
        <v>0.65416666666666667</v>
      </c>
      <c r="G156" s="338">
        <v>0.6645833333333333</v>
      </c>
      <c r="H156" s="338" t="s">
        <v>999</v>
      </c>
      <c r="I156" s="353">
        <v>732</v>
      </c>
      <c r="J156" s="338" t="str">
        <f>IFERROR(VLOOKUP(I156,'Chart of accounts'!A:H,2,FALSE),"")</f>
        <v>50103020 01</v>
      </c>
      <c r="K156" s="338" t="str">
        <f>IFERROR(VLOOKUP(I156,'Chart of accounts'!A:H,3,FALSE),"")</f>
        <v>Pag-IBIG - Civilian</v>
      </c>
      <c r="L156" s="338" t="str">
        <f>IFERROR(VLOOKUP(I156,'Chart of accounts'!A:H,4,FALSE),"")</f>
        <v>50103020 01 - Pag-IBIG - Civilian (732)</v>
      </c>
      <c r="M156" s="361" t="s">
        <v>2</v>
      </c>
      <c r="N156" s="355" t="s">
        <v>863</v>
      </c>
      <c r="O156" s="355" t="s">
        <v>864</v>
      </c>
      <c r="P156" s="355"/>
      <c r="Q156" s="363">
        <v>100</v>
      </c>
      <c r="R156" s="319">
        <f t="shared" si="1"/>
        <v>-100</v>
      </c>
      <c r="S156" s="319" t="str">
        <f>VLOOKUP(H156,'Fund Utilization Report'!$A$4:$U$1800,13,FALSE)</f>
        <v>PS</v>
      </c>
      <c r="T156" s="319" t="str">
        <f>VLOOKUP(H156,'Fund Utilization Report'!$A$4:$U$1800,2,FALSE)</f>
        <v>SAA15</v>
      </c>
      <c r="U156" s="319" t="str">
        <f>VLOOKUP(H156,'Fund Utilization Report'!$A$4:$U$1800,3,FALSE)</f>
        <v>2021-01-0015</v>
      </c>
      <c r="V156" s="319" t="str">
        <f>VLOOKUP(H156,'Fund Utilization Report'!$A$4:$U$1800,4,FALSE)</f>
        <v>CARP</v>
      </c>
      <c r="W156" s="319" t="str">
        <f>VLOOKUP(H156,'Fund Utilization Report'!$A$4:$U$1800,5,FALSE)</f>
        <v>01101101</v>
      </c>
      <c r="X156" s="319" t="str">
        <f>VLOOKUP(H156,'Fund Utilization Report'!$A$4:$U$1800,6,FALSE)</f>
        <v>GOP</v>
      </c>
      <c r="Y156" s="320">
        <f>VLOOKUP(H156,'Fund Utilization Report'!$A$4:$U$1800,7,FALSE)</f>
        <v>706</v>
      </c>
      <c r="Z156" s="321" t="str">
        <f>VLOOKUP(H156,'Fund Utilization Report'!$A$4:$U$1800,8,FALSE)</f>
        <v>50101020 00</v>
      </c>
      <c r="AA156" s="319" t="str">
        <f>VLOOKUP(H156,'Fund Utilization Report'!$A$4:$U$1800,14,FALSE)</f>
        <v>330100100003000</v>
      </c>
      <c r="AB156" s="349" t="str">
        <f>VLOOKUP(H156,'Fund Utilization Report'!$A$4:$U$1800,15,FALSE)</f>
        <v>MSME Development Program : Program Beneficiaries Development Component of the Comprehensive Agrarian Reform Program</v>
      </c>
      <c r="AC156" s="39" t="s">
        <v>0</v>
      </c>
      <c r="AD156" s="34">
        <v>1</v>
      </c>
      <c r="AE156" s="39">
        <v>732</v>
      </c>
      <c r="AF156" s="51" t="str">
        <f>VLOOKUP(AE156,'[2]Chart of accounts'!A:H,2,FALSE)</f>
        <v>50103020 01</v>
      </c>
      <c r="AG156" s="53" t="s">
        <v>4</v>
      </c>
      <c r="AH156" s="40" t="s">
        <v>862</v>
      </c>
    </row>
    <row r="157" spans="1:34" s="32" customFormat="1" ht="27.6">
      <c r="A157" s="338" t="s">
        <v>942</v>
      </c>
      <c r="B157" s="338" t="s">
        <v>943</v>
      </c>
      <c r="C157" s="358">
        <v>44224</v>
      </c>
      <c r="D157" s="351" t="s">
        <v>759</v>
      </c>
      <c r="E157" s="352" t="s">
        <v>861</v>
      </c>
      <c r="F157" s="338">
        <v>0.65416666666666667</v>
      </c>
      <c r="G157" s="338">
        <v>0.6645833333333333</v>
      </c>
      <c r="H157" s="338" t="s">
        <v>999</v>
      </c>
      <c r="I157" s="353">
        <v>733</v>
      </c>
      <c r="J157" s="338" t="str">
        <f>IFERROR(VLOOKUP(I157,'Chart of accounts'!A:H,2,FALSE),"")</f>
        <v>50103030 01</v>
      </c>
      <c r="K157" s="338" t="str">
        <f>IFERROR(VLOOKUP(I157,'Chart of accounts'!A:H,3,FALSE),"")</f>
        <v>PhilHealth - Civilian</v>
      </c>
      <c r="L157" s="338" t="str">
        <f>IFERROR(VLOOKUP(I157,'Chart of accounts'!A:H,4,FALSE),"")</f>
        <v>50103030 01 - PhilHealth - Civilian (733)</v>
      </c>
      <c r="M157" s="361" t="s">
        <v>2</v>
      </c>
      <c r="N157" s="355" t="s">
        <v>863</v>
      </c>
      <c r="O157" s="355" t="s">
        <v>864</v>
      </c>
      <c r="P157" s="355"/>
      <c r="Q157" s="363">
        <v>655.22</v>
      </c>
      <c r="R157" s="319">
        <f t="shared" si="1"/>
        <v>-655.22</v>
      </c>
      <c r="S157" s="319" t="str">
        <f>VLOOKUP(H157,'Fund Utilization Report'!$A$4:$U$1800,13,FALSE)</f>
        <v>PS</v>
      </c>
      <c r="T157" s="319" t="str">
        <f>VLOOKUP(H157,'Fund Utilization Report'!$A$4:$U$1800,2,FALSE)</f>
        <v>SAA15</v>
      </c>
      <c r="U157" s="319" t="str">
        <f>VLOOKUP(H157,'Fund Utilization Report'!$A$4:$U$1800,3,FALSE)</f>
        <v>2021-01-0015</v>
      </c>
      <c r="V157" s="319" t="str">
        <f>VLOOKUP(H157,'Fund Utilization Report'!$A$4:$U$1800,4,FALSE)</f>
        <v>CARP</v>
      </c>
      <c r="W157" s="319" t="str">
        <f>VLOOKUP(H157,'Fund Utilization Report'!$A$4:$U$1800,5,FALSE)</f>
        <v>01101101</v>
      </c>
      <c r="X157" s="319" t="str">
        <f>VLOOKUP(H157,'Fund Utilization Report'!$A$4:$U$1800,6,FALSE)</f>
        <v>GOP</v>
      </c>
      <c r="Y157" s="320">
        <f>VLOOKUP(H157,'Fund Utilization Report'!$A$4:$U$1800,7,FALSE)</f>
        <v>706</v>
      </c>
      <c r="Z157" s="321" t="str">
        <f>VLOOKUP(H157,'Fund Utilization Report'!$A$4:$U$1800,8,FALSE)</f>
        <v>50101020 00</v>
      </c>
      <c r="AA157" s="319" t="str">
        <f>VLOOKUP(H157,'Fund Utilization Report'!$A$4:$U$1800,14,FALSE)</f>
        <v>330100100003000</v>
      </c>
      <c r="AB157" s="349" t="str">
        <f>VLOOKUP(H157,'Fund Utilization Report'!$A$4:$U$1800,15,FALSE)</f>
        <v>MSME Development Program : Program Beneficiaries Development Component of the Comprehensive Agrarian Reform Program</v>
      </c>
      <c r="AC157" s="39" t="s">
        <v>0</v>
      </c>
      <c r="AD157" s="34">
        <v>1</v>
      </c>
      <c r="AE157" s="39">
        <v>733</v>
      </c>
      <c r="AF157" s="51" t="str">
        <f>VLOOKUP(AE157,'[2]Chart of accounts'!A:H,2,FALSE)</f>
        <v>50103030 01</v>
      </c>
      <c r="AG157" s="53" t="s">
        <v>4</v>
      </c>
      <c r="AH157" s="40" t="s">
        <v>862</v>
      </c>
    </row>
    <row r="158" spans="1:34" s="32" customFormat="1" ht="27.6">
      <c r="A158" s="338" t="s">
        <v>942</v>
      </c>
      <c r="B158" s="338" t="s">
        <v>943</v>
      </c>
      <c r="C158" s="358">
        <v>44224</v>
      </c>
      <c r="D158" s="351" t="s">
        <v>759</v>
      </c>
      <c r="E158" s="352" t="s">
        <v>861</v>
      </c>
      <c r="F158" s="338">
        <v>0.65416666666666667</v>
      </c>
      <c r="G158" s="338">
        <v>0.6645833333333333</v>
      </c>
      <c r="H158" s="338" t="s">
        <v>999</v>
      </c>
      <c r="I158" s="353">
        <v>734</v>
      </c>
      <c r="J158" s="338" t="str">
        <f>IFERROR(VLOOKUP(I158,'Chart of accounts'!A:H,2,FALSE),"")</f>
        <v>50103040 01</v>
      </c>
      <c r="K158" s="338" t="str">
        <f>IFERROR(VLOOKUP(I158,'Chart of accounts'!A:H,3,FALSE),"")</f>
        <v>ECIP - Civilian</v>
      </c>
      <c r="L158" s="338" t="str">
        <f>IFERROR(VLOOKUP(I158,'Chart of accounts'!A:H,4,FALSE),"")</f>
        <v>50103040 01 - ECIP - Civilian (734)</v>
      </c>
      <c r="M158" s="361" t="s">
        <v>2</v>
      </c>
      <c r="N158" s="355" t="s">
        <v>863</v>
      </c>
      <c r="O158" s="355" t="s">
        <v>864</v>
      </c>
      <c r="P158" s="355"/>
      <c r="Q158" s="363">
        <v>100</v>
      </c>
      <c r="R158" s="319">
        <f t="shared" si="1"/>
        <v>-100</v>
      </c>
      <c r="S158" s="319" t="str">
        <f>VLOOKUP(H158,'Fund Utilization Report'!$A$4:$U$1800,13,FALSE)</f>
        <v>PS</v>
      </c>
      <c r="T158" s="319" t="str">
        <f>VLOOKUP(H158,'Fund Utilization Report'!$A$4:$U$1800,2,FALSE)</f>
        <v>SAA15</v>
      </c>
      <c r="U158" s="319" t="str">
        <f>VLOOKUP(H158,'Fund Utilization Report'!$A$4:$U$1800,3,FALSE)</f>
        <v>2021-01-0015</v>
      </c>
      <c r="V158" s="319" t="str">
        <f>VLOOKUP(H158,'Fund Utilization Report'!$A$4:$U$1800,4,FALSE)</f>
        <v>CARP</v>
      </c>
      <c r="W158" s="319" t="str">
        <f>VLOOKUP(H158,'Fund Utilization Report'!$A$4:$U$1800,5,FALSE)</f>
        <v>01101101</v>
      </c>
      <c r="X158" s="319" t="str">
        <f>VLOOKUP(H158,'Fund Utilization Report'!$A$4:$U$1800,6,FALSE)</f>
        <v>GOP</v>
      </c>
      <c r="Y158" s="320">
        <f>VLOOKUP(H158,'Fund Utilization Report'!$A$4:$U$1800,7,FALSE)</f>
        <v>706</v>
      </c>
      <c r="Z158" s="321" t="str">
        <f>VLOOKUP(H158,'Fund Utilization Report'!$A$4:$U$1800,8,FALSE)</f>
        <v>50101020 00</v>
      </c>
      <c r="AA158" s="319" t="str">
        <f>VLOOKUP(H158,'Fund Utilization Report'!$A$4:$U$1800,14,FALSE)</f>
        <v>330100100003000</v>
      </c>
      <c r="AB158" s="349" t="str">
        <f>VLOOKUP(H158,'Fund Utilization Report'!$A$4:$U$1800,15,FALSE)</f>
        <v>MSME Development Program : Program Beneficiaries Development Component of the Comprehensive Agrarian Reform Program</v>
      </c>
      <c r="AC158" s="39" t="s">
        <v>0</v>
      </c>
      <c r="AD158" s="34">
        <v>1</v>
      </c>
      <c r="AE158" s="39">
        <v>734</v>
      </c>
      <c r="AF158" s="51" t="str">
        <f>VLOOKUP(AE158,'[2]Chart of accounts'!A:H,2,FALSE)</f>
        <v>50103040 01</v>
      </c>
      <c r="AG158" s="53" t="s">
        <v>4</v>
      </c>
      <c r="AH158" s="40" t="s">
        <v>862</v>
      </c>
    </row>
    <row r="159" spans="1:34" s="32" customFormat="1" ht="27.6">
      <c r="A159" s="338" t="s">
        <v>942</v>
      </c>
      <c r="B159" s="338" t="s">
        <v>943</v>
      </c>
      <c r="C159" s="358">
        <v>44224</v>
      </c>
      <c r="D159" s="351" t="s">
        <v>759</v>
      </c>
      <c r="E159" s="352" t="s">
        <v>865</v>
      </c>
      <c r="F159" s="338">
        <v>0.6645833333333333</v>
      </c>
      <c r="G159" s="338">
        <v>0.66666666666666663</v>
      </c>
      <c r="H159" s="338" t="s">
        <v>999</v>
      </c>
      <c r="I159" s="353">
        <v>706</v>
      </c>
      <c r="J159" s="338" t="str">
        <f>IFERROR(VLOOKUP(I159,'Chart of accounts'!A:H,2,FALSE),"")</f>
        <v>50101020 00</v>
      </c>
      <c r="K159" s="338" t="str">
        <f>IFERROR(VLOOKUP(I159,'Chart of accounts'!A:H,3,FALSE),"")</f>
        <v>Basic Salary - Contractual</v>
      </c>
      <c r="L159" s="338" t="str">
        <f>IFERROR(VLOOKUP(I159,'Chart of accounts'!A:H,4,FALSE),"")</f>
        <v>50101020 00 - Basic Salary - Contractual (706)</v>
      </c>
      <c r="M159" s="360" t="s">
        <v>788</v>
      </c>
      <c r="N159" s="355" t="s">
        <v>789</v>
      </c>
      <c r="O159" s="355" t="s">
        <v>864</v>
      </c>
      <c r="P159" s="355"/>
      <c r="Q159" s="363">
        <v>77256</v>
      </c>
      <c r="R159" s="319">
        <f t="shared" si="1"/>
        <v>-77256</v>
      </c>
      <c r="S159" s="319" t="str">
        <f>VLOOKUP(H159,'Fund Utilization Report'!$A$4:$U$1800,13,FALSE)</f>
        <v>PS</v>
      </c>
      <c r="T159" s="319" t="str">
        <f>VLOOKUP(H159,'Fund Utilization Report'!$A$4:$U$1800,2,FALSE)</f>
        <v>SAA15</v>
      </c>
      <c r="U159" s="319" t="str">
        <f>VLOOKUP(H159,'Fund Utilization Report'!$A$4:$U$1800,3,FALSE)</f>
        <v>2021-01-0015</v>
      </c>
      <c r="V159" s="319" t="str">
        <f>VLOOKUP(H159,'Fund Utilization Report'!$A$4:$U$1800,4,FALSE)</f>
        <v>CARP</v>
      </c>
      <c r="W159" s="319" t="str">
        <f>VLOOKUP(H159,'Fund Utilization Report'!$A$4:$U$1800,5,FALSE)</f>
        <v>01101101</v>
      </c>
      <c r="X159" s="319" t="str">
        <f>VLOOKUP(H159,'Fund Utilization Report'!$A$4:$U$1800,6,FALSE)</f>
        <v>GOP</v>
      </c>
      <c r="Y159" s="320">
        <f>VLOOKUP(H159,'Fund Utilization Report'!$A$4:$U$1800,7,FALSE)</f>
        <v>706</v>
      </c>
      <c r="Z159" s="321" t="str">
        <f>VLOOKUP(H159,'Fund Utilization Report'!$A$4:$U$1800,8,FALSE)</f>
        <v>50101020 00</v>
      </c>
      <c r="AA159" s="319" t="str">
        <f>VLOOKUP(H159,'Fund Utilization Report'!$A$4:$U$1800,14,FALSE)</f>
        <v>330100100003000</v>
      </c>
      <c r="AB159" s="349" t="str">
        <f>VLOOKUP(H159,'Fund Utilization Report'!$A$4:$U$1800,15,FALSE)</f>
        <v>MSME Development Program : Program Beneficiaries Development Component of the Comprehensive Agrarian Reform Program</v>
      </c>
      <c r="AC159" s="39" t="s">
        <v>0</v>
      </c>
      <c r="AD159" s="34">
        <v>1</v>
      </c>
      <c r="AE159" s="39">
        <v>706</v>
      </c>
      <c r="AF159" s="51" t="str">
        <f>VLOOKUP(AE159,'[2]Chart of accounts'!A:H,2,FALSE)</f>
        <v>50101020 00</v>
      </c>
      <c r="AG159" s="53" t="s">
        <v>4</v>
      </c>
      <c r="AH159" s="40" t="s">
        <v>862</v>
      </c>
    </row>
    <row r="160" spans="1:34" s="32" customFormat="1" ht="27.6">
      <c r="A160" s="338" t="s">
        <v>942</v>
      </c>
      <c r="B160" s="338" t="s">
        <v>943</v>
      </c>
      <c r="C160" s="358">
        <v>44224</v>
      </c>
      <c r="D160" s="351" t="s">
        <v>759</v>
      </c>
      <c r="E160" s="352" t="s">
        <v>865</v>
      </c>
      <c r="F160" s="338">
        <v>0.6645833333333333</v>
      </c>
      <c r="G160" s="338">
        <v>0.66666666666666663</v>
      </c>
      <c r="H160" s="338" t="s">
        <v>999</v>
      </c>
      <c r="I160" s="353">
        <v>711</v>
      </c>
      <c r="J160" s="338" t="str">
        <f>IFERROR(VLOOKUP(I160,'Chart of accounts'!A:H,2,FALSE),"")</f>
        <v>50102010 01</v>
      </c>
      <c r="K160" s="338" t="str">
        <f>IFERROR(VLOOKUP(I160,'Chart of accounts'!A:H,3,FALSE),"")</f>
        <v>PERA - Civilian</v>
      </c>
      <c r="L160" s="338" t="str">
        <f>IFERROR(VLOOKUP(I160,'Chart of accounts'!A:H,4,FALSE),"")</f>
        <v>50102010 01 - PERA - Civilian (711)</v>
      </c>
      <c r="M160" s="360" t="s">
        <v>788</v>
      </c>
      <c r="N160" s="355" t="s">
        <v>789</v>
      </c>
      <c r="O160" s="355" t="s">
        <v>864</v>
      </c>
      <c r="P160" s="355"/>
      <c r="Q160" s="363">
        <v>4000</v>
      </c>
      <c r="R160" s="319">
        <f t="shared" si="1"/>
        <v>-4000</v>
      </c>
      <c r="S160" s="319" t="str">
        <f>VLOOKUP(H160,'Fund Utilization Report'!$A$4:$U$1800,13,FALSE)</f>
        <v>PS</v>
      </c>
      <c r="T160" s="319" t="str">
        <f>VLOOKUP(H160,'Fund Utilization Report'!$A$4:$U$1800,2,FALSE)</f>
        <v>SAA15</v>
      </c>
      <c r="U160" s="319" t="str">
        <f>VLOOKUP(H160,'Fund Utilization Report'!$A$4:$U$1800,3,FALSE)</f>
        <v>2021-01-0015</v>
      </c>
      <c r="V160" s="319" t="str">
        <f>VLOOKUP(H160,'Fund Utilization Report'!$A$4:$U$1800,4,FALSE)</f>
        <v>CARP</v>
      </c>
      <c r="W160" s="319" t="str">
        <f>VLOOKUP(H160,'Fund Utilization Report'!$A$4:$U$1800,5,FALSE)</f>
        <v>01101101</v>
      </c>
      <c r="X160" s="319" t="str">
        <f>VLOOKUP(H160,'Fund Utilization Report'!$A$4:$U$1800,6,FALSE)</f>
        <v>GOP</v>
      </c>
      <c r="Y160" s="320">
        <f>VLOOKUP(H160,'Fund Utilization Report'!$A$4:$U$1800,7,FALSE)</f>
        <v>706</v>
      </c>
      <c r="Z160" s="321" t="str">
        <f>VLOOKUP(H160,'Fund Utilization Report'!$A$4:$U$1800,8,FALSE)</f>
        <v>50101020 00</v>
      </c>
      <c r="AA160" s="319" t="str">
        <f>VLOOKUP(H160,'Fund Utilization Report'!$A$4:$U$1800,14,FALSE)</f>
        <v>330100100003000</v>
      </c>
      <c r="AB160" s="349" t="str">
        <f>VLOOKUP(H160,'Fund Utilization Report'!$A$4:$U$1800,15,FALSE)</f>
        <v>MSME Development Program : Program Beneficiaries Development Component of the Comprehensive Agrarian Reform Program</v>
      </c>
      <c r="AC160" s="39" t="s">
        <v>0</v>
      </c>
      <c r="AD160" s="34">
        <v>1</v>
      </c>
      <c r="AE160" s="39">
        <v>711</v>
      </c>
      <c r="AF160" s="51" t="str">
        <f>VLOOKUP(AE160,'[2]Chart of accounts'!A:H,2,FALSE)</f>
        <v>50102010 01</v>
      </c>
      <c r="AG160" s="53" t="s">
        <v>4</v>
      </c>
      <c r="AH160" s="40" t="s">
        <v>862</v>
      </c>
    </row>
    <row r="161" spans="1:34" s="32" customFormat="1" ht="27.6">
      <c r="A161" s="338" t="s">
        <v>942</v>
      </c>
      <c r="B161" s="338" t="s">
        <v>943</v>
      </c>
      <c r="C161" s="358">
        <v>44224</v>
      </c>
      <c r="D161" s="351" t="s">
        <v>759</v>
      </c>
      <c r="E161" s="352" t="s">
        <v>865</v>
      </c>
      <c r="F161" s="338">
        <v>0.6645833333333333</v>
      </c>
      <c r="G161" s="338">
        <v>0.66666666666666663</v>
      </c>
      <c r="H161" s="338" t="s">
        <v>999</v>
      </c>
      <c r="I161" s="353">
        <v>731</v>
      </c>
      <c r="J161" s="338" t="str">
        <f>IFERROR(VLOOKUP(I161,'Chart of accounts'!A:H,2,FALSE),"")</f>
        <v>50103010 00</v>
      </c>
      <c r="K161" s="338" t="str">
        <f>IFERROR(VLOOKUP(I161,'Chart of accounts'!A:H,3,FALSE),"")</f>
        <v>Retirement and Life Insurance Premiums</v>
      </c>
      <c r="L161" s="338" t="str">
        <f>IFERROR(VLOOKUP(I161,'Chart of accounts'!A:H,4,FALSE),"")</f>
        <v>50103010 00 - Retirement and Life Insurance Premiums (731)</v>
      </c>
      <c r="M161" s="360" t="s">
        <v>788</v>
      </c>
      <c r="N161" s="355" t="s">
        <v>789</v>
      </c>
      <c r="O161" s="355" t="s">
        <v>864</v>
      </c>
      <c r="P161" s="355"/>
      <c r="Q161" s="363">
        <v>9270.7199999999993</v>
      </c>
      <c r="R161" s="319">
        <f t="shared" si="1"/>
        <v>-9270.7199999999993</v>
      </c>
      <c r="S161" s="319" t="str">
        <f>VLOOKUP(H161,'Fund Utilization Report'!$A$4:$U$1800,13,FALSE)</f>
        <v>PS</v>
      </c>
      <c r="T161" s="319" t="str">
        <f>VLOOKUP(H161,'Fund Utilization Report'!$A$4:$U$1800,2,FALSE)</f>
        <v>SAA15</v>
      </c>
      <c r="U161" s="319" t="str">
        <f>VLOOKUP(H161,'Fund Utilization Report'!$A$4:$U$1800,3,FALSE)</f>
        <v>2021-01-0015</v>
      </c>
      <c r="V161" s="319" t="str">
        <f>VLOOKUP(H161,'Fund Utilization Report'!$A$4:$U$1800,4,FALSE)</f>
        <v>CARP</v>
      </c>
      <c r="W161" s="319" t="str">
        <f>VLOOKUP(H161,'Fund Utilization Report'!$A$4:$U$1800,5,FALSE)</f>
        <v>01101101</v>
      </c>
      <c r="X161" s="319" t="str">
        <f>VLOOKUP(H161,'Fund Utilization Report'!$A$4:$U$1800,6,FALSE)</f>
        <v>GOP</v>
      </c>
      <c r="Y161" s="320">
        <f>VLOOKUP(H161,'Fund Utilization Report'!$A$4:$U$1800,7,FALSE)</f>
        <v>706</v>
      </c>
      <c r="Z161" s="321" t="str">
        <f>VLOOKUP(H161,'Fund Utilization Report'!$A$4:$U$1800,8,FALSE)</f>
        <v>50101020 00</v>
      </c>
      <c r="AA161" s="319" t="str">
        <f>VLOOKUP(H161,'Fund Utilization Report'!$A$4:$U$1800,14,FALSE)</f>
        <v>330100100003000</v>
      </c>
      <c r="AB161" s="349" t="str">
        <f>VLOOKUP(H161,'Fund Utilization Report'!$A$4:$U$1800,15,FALSE)</f>
        <v>MSME Development Program : Program Beneficiaries Development Component of the Comprehensive Agrarian Reform Program</v>
      </c>
      <c r="AC161" s="39" t="s">
        <v>0</v>
      </c>
      <c r="AD161" s="34">
        <v>1</v>
      </c>
      <c r="AE161" s="39">
        <v>731</v>
      </c>
      <c r="AF161" s="51" t="str">
        <f>VLOOKUP(AE161,'[2]Chart of accounts'!A:H,2,FALSE)</f>
        <v>50103010 00</v>
      </c>
      <c r="AG161" s="53" t="s">
        <v>4</v>
      </c>
      <c r="AH161" s="40" t="s">
        <v>862</v>
      </c>
    </row>
    <row r="162" spans="1:34" s="32" customFormat="1" ht="27.6">
      <c r="A162" s="338" t="s">
        <v>942</v>
      </c>
      <c r="B162" s="338" t="s">
        <v>943</v>
      </c>
      <c r="C162" s="358">
        <v>44224</v>
      </c>
      <c r="D162" s="351" t="s">
        <v>759</v>
      </c>
      <c r="E162" s="352" t="s">
        <v>865</v>
      </c>
      <c r="F162" s="338">
        <v>0.6645833333333333</v>
      </c>
      <c r="G162" s="338">
        <v>0.66666666666666663</v>
      </c>
      <c r="H162" s="338" t="s">
        <v>999</v>
      </c>
      <c r="I162" s="353">
        <v>732</v>
      </c>
      <c r="J162" s="338" t="str">
        <f>IFERROR(VLOOKUP(I162,'Chart of accounts'!A:H,2,FALSE),"")</f>
        <v>50103020 01</v>
      </c>
      <c r="K162" s="338" t="str">
        <f>IFERROR(VLOOKUP(I162,'Chart of accounts'!A:H,3,FALSE),"")</f>
        <v>Pag-IBIG - Civilian</v>
      </c>
      <c r="L162" s="338" t="str">
        <f>IFERROR(VLOOKUP(I162,'Chart of accounts'!A:H,4,FALSE),"")</f>
        <v>50103020 01 - Pag-IBIG - Civilian (732)</v>
      </c>
      <c r="M162" s="360" t="s">
        <v>788</v>
      </c>
      <c r="N162" s="355" t="s">
        <v>789</v>
      </c>
      <c r="O162" s="355" t="s">
        <v>864</v>
      </c>
      <c r="P162" s="355"/>
      <c r="Q162" s="363">
        <v>200</v>
      </c>
      <c r="R162" s="319">
        <f t="shared" si="1"/>
        <v>-200</v>
      </c>
      <c r="S162" s="319" t="str">
        <f>VLOOKUP(H162,'Fund Utilization Report'!$A$4:$U$1800,13,FALSE)</f>
        <v>PS</v>
      </c>
      <c r="T162" s="319" t="str">
        <f>VLOOKUP(H162,'Fund Utilization Report'!$A$4:$U$1800,2,FALSE)</f>
        <v>SAA15</v>
      </c>
      <c r="U162" s="319" t="str">
        <f>VLOOKUP(H162,'Fund Utilization Report'!$A$4:$U$1800,3,FALSE)</f>
        <v>2021-01-0015</v>
      </c>
      <c r="V162" s="319" t="str">
        <f>VLOOKUP(H162,'Fund Utilization Report'!$A$4:$U$1800,4,FALSE)</f>
        <v>CARP</v>
      </c>
      <c r="W162" s="319" t="str">
        <f>VLOOKUP(H162,'Fund Utilization Report'!$A$4:$U$1800,5,FALSE)</f>
        <v>01101101</v>
      </c>
      <c r="X162" s="319" t="str">
        <f>VLOOKUP(H162,'Fund Utilization Report'!$A$4:$U$1800,6,FALSE)</f>
        <v>GOP</v>
      </c>
      <c r="Y162" s="320">
        <f>VLOOKUP(H162,'Fund Utilization Report'!$A$4:$U$1800,7,FALSE)</f>
        <v>706</v>
      </c>
      <c r="Z162" s="321" t="str">
        <f>VLOOKUP(H162,'Fund Utilization Report'!$A$4:$U$1800,8,FALSE)</f>
        <v>50101020 00</v>
      </c>
      <c r="AA162" s="319" t="str">
        <f>VLOOKUP(H162,'Fund Utilization Report'!$A$4:$U$1800,14,FALSE)</f>
        <v>330100100003000</v>
      </c>
      <c r="AB162" s="349" t="str">
        <f>VLOOKUP(H162,'Fund Utilization Report'!$A$4:$U$1800,15,FALSE)</f>
        <v>MSME Development Program : Program Beneficiaries Development Component of the Comprehensive Agrarian Reform Program</v>
      </c>
      <c r="AC162" s="39" t="s">
        <v>0</v>
      </c>
      <c r="AD162" s="34">
        <v>1</v>
      </c>
      <c r="AE162" s="39">
        <v>732</v>
      </c>
      <c r="AF162" s="51" t="str">
        <f>VLOOKUP(AE162,'[2]Chart of accounts'!A:H,2,FALSE)</f>
        <v>50103020 01</v>
      </c>
      <c r="AG162" s="53" t="s">
        <v>4</v>
      </c>
      <c r="AH162" s="40" t="s">
        <v>862</v>
      </c>
    </row>
    <row r="163" spans="1:34" s="32" customFormat="1" ht="27.6">
      <c r="A163" s="338" t="s">
        <v>942</v>
      </c>
      <c r="B163" s="338" t="s">
        <v>943</v>
      </c>
      <c r="C163" s="358">
        <v>44224</v>
      </c>
      <c r="D163" s="351" t="s">
        <v>759</v>
      </c>
      <c r="E163" s="352" t="s">
        <v>865</v>
      </c>
      <c r="F163" s="338">
        <v>0.6645833333333333</v>
      </c>
      <c r="G163" s="338">
        <v>0.66666666666666663</v>
      </c>
      <c r="H163" s="338" t="s">
        <v>999</v>
      </c>
      <c r="I163" s="353">
        <v>733</v>
      </c>
      <c r="J163" s="338" t="str">
        <f>IFERROR(VLOOKUP(I163,'Chart of accounts'!A:H,2,FALSE),"")</f>
        <v>50103030 01</v>
      </c>
      <c r="K163" s="338" t="str">
        <f>IFERROR(VLOOKUP(I163,'Chart of accounts'!A:H,3,FALSE),"")</f>
        <v>PhilHealth - Civilian</v>
      </c>
      <c r="L163" s="338" t="str">
        <f>IFERROR(VLOOKUP(I163,'Chart of accounts'!A:H,4,FALSE),"")</f>
        <v>50103030 01 - PhilHealth - Civilian (733)</v>
      </c>
      <c r="M163" s="360" t="s">
        <v>788</v>
      </c>
      <c r="N163" s="355" t="s">
        <v>789</v>
      </c>
      <c r="O163" s="355" t="s">
        <v>864</v>
      </c>
      <c r="P163" s="355"/>
      <c r="Q163" s="363">
        <v>1158.8499999999999</v>
      </c>
      <c r="R163" s="319">
        <f t="shared" si="1"/>
        <v>-1158.8499999999999</v>
      </c>
      <c r="S163" s="319" t="str">
        <f>VLOOKUP(H163,'Fund Utilization Report'!$A$4:$U$1800,13,FALSE)</f>
        <v>PS</v>
      </c>
      <c r="T163" s="319" t="str">
        <f>VLOOKUP(H163,'Fund Utilization Report'!$A$4:$U$1800,2,FALSE)</f>
        <v>SAA15</v>
      </c>
      <c r="U163" s="319" t="str">
        <f>VLOOKUP(H163,'Fund Utilization Report'!$A$4:$U$1800,3,FALSE)</f>
        <v>2021-01-0015</v>
      </c>
      <c r="V163" s="319" t="str">
        <f>VLOOKUP(H163,'Fund Utilization Report'!$A$4:$U$1800,4,FALSE)</f>
        <v>CARP</v>
      </c>
      <c r="W163" s="319" t="str">
        <f>VLOOKUP(H163,'Fund Utilization Report'!$A$4:$U$1800,5,FALSE)</f>
        <v>01101101</v>
      </c>
      <c r="X163" s="319" t="str">
        <f>VLOOKUP(H163,'Fund Utilization Report'!$A$4:$U$1800,6,FALSE)</f>
        <v>GOP</v>
      </c>
      <c r="Y163" s="320">
        <f>VLOOKUP(H163,'Fund Utilization Report'!$A$4:$U$1800,7,FALSE)</f>
        <v>706</v>
      </c>
      <c r="Z163" s="321" t="str">
        <f>VLOOKUP(H163,'Fund Utilization Report'!$A$4:$U$1800,8,FALSE)</f>
        <v>50101020 00</v>
      </c>
      <c r="AA163" s="319" t="str">
        <f>VLOOKUP(H163,'Fund Utilization Report'!$A$4:$U$1800,14,FALSE)</f>
        <v>330100100003000</v>
      </c>
      <c r="AB163" s="349" t="str">
        <f>VLOOKUP(H163,'Fund Utilization Report'!$A$4:$U$1800,15,FALSE)</f>
        <v>MSME Development Program : Program Beneficiaries Development Component of the Comprehensive Agrarian Reform Program</v>
      </c>
      <c r="AC163" s="39" t="s">
        <v>0</v>
      </c>
      <c r="AD163" s="34">
        <v>1</v>
      </c>
      <c r="AE163" s="39">
        <v>733</v>
      </c>
      <c r="AF163" s="51" t="str">
        <f>VLOOKUP(AE163,'[2]Chart of accounts'!A:H,2,FALSE)</f>
        <v>50103030 01</v>
      </c>
      <c r="AG163" s="53" t="s">
        <v>4</v>
      </c>
      <c r="AH163" s="40" t="s">
        <v>862</v>
      </c>
    </row>
    <row r="164" spans="1:34" s="32" customFormat="1" ht="27.6">
      <c r="A164" s="338" t="s">
        <v>942</v>
      </c>
      <c r="B164" s="338" t="s">
        <v>943</v>
      </c>
      <c r="C164" s="358">
        <v>44224</v>
      </c>
      <c r="D164" s="351" t="s">
        <v>759</v>
      </c>
      <c r="E164" s="352" t="s">
        <v>865</v>
      </c>
      <c r="F164" s="338">
        <v>0.6645833333333333</v>
      </c>
      <c r="G164" s="338">
        <v>0.66666666666666663</v>
      </c>
      <c r="H164" s="338" t="s">
        <v>999</v>
      </c>
      <c r="I164" s="353">
        <v>734</v>
      </c>
      <c r="J164" s="338" t="str">
        <f>IFERROR(VLOOKUP(I164,'Chart of accounts'!A:H,2,FALSE),"")</f>
        <v>50103040 01</v>
      </c>
      <c r="K164" s="338" t="str">
        <f>IFERROR(VLOOKUP(I164,'Chart of accounts'!A:H,3,FALSE),"")</f>
        <v>ECIP - Civilian</v>
      </c>
      <c r="L164" s="338" t="str">
        <f>IFERROR(VLOOKUP(I164,'Chart of accounts'!A:H,4,FALSE),"")</f>
        <v>50103040 01 - ECIP - Civilian (734)</v>
      </c>
      <c r="M164" s="360" t="s">
        <v>788</v>
      </c>
      <c r="N164" s="355" t="s">
        <v>789</v>
      </c>
      <c r="O164" s="355" t="s">
        <v>864</v>
      </c>
      <c r="P164" s="355"/>
      <c r="Q164" s="363">
        <v>200</v>
      </c>
      <c r="R164" s="319">
        <f t="shared" si="1"/>
        <v>-200</v>
      </c>
      <c r="S164" s="319" t="str">
        <f>VLOOKUP(H164,'Fund Utilization Report'!$A$4:$U$1800,13,FALSE)</f>
        <v>PS</v>
      </c>
      <c r="T164" s="319" t="str">
        <f>VLOOKUP(H164,'Fund Utilization Report'!$A$4:$U$1800,2,FALSE)</f>
        <v>SAA15</v>
      </c>
      <c r="U164" s="319" t="str">
        <f>VLOOKUP(H164,'Fund Utilization Report'!$A$4:$U$1800,3,FALSE)</f>
        <v>2021-01-0015</v>
      </c>
      <c r="V164" s="319" t="str">
        <f>VLOOKUP(H164,'Fund Utilization Report'!$A$4:$U$1800,4,FALSE)</f>
        <v>CARP</v>
      </c>
      <c r="W164" s="319" t="str">
        <f>VLOOKUP(H164,'Fund Utilization Report'!$A$4:$U$1800,5,FALSE)</f>
        <v>01101101</v>
      </c>
      <c r="X164" s="319" t="str">
        <f>VLOOKUP(H164,'Fund Utilization Report'!$A$4:$U$1800,6,FALSE)</f>
        <v>GOP</v>
      </c>
      <c r="Y164" s="320">
        <f>VLOOKUP(H164,'Fund Utilization Report'!$A$4:$U$1800,7,FALSE)</f>
        <v>706</v>
      </c>
      <c r="Z164" s="321" t="str">
        <f>VLOOKUP(H164,'Fund Utilization Report'!$A$4:$U$1800,8,FALSE)</f>
        <v>50101020 00</v>
      </c>
      <c r="AA164" s="319" t="str">
        <f>VLOOKUP(H164,'Fund Utilization Report'!$A$4:$U$1800,14,FALSE)</f>
        <v>330100100003000</v>
      </c>
      <c r="AB164" s="349" t="str">
        <f>VLOOKUP(H164,'Fund Utilization Report'!$A$4:$U$1800,15,FALSE)</f>
        <v>MSME Development Program : Program Beneficiaries Development Component of the Comprehensive Agrarian Reform Program</v>
      </c>
      <c r="AC164" s="39" t="s">
        <v>0</v>
      </c>
      <c r="AD164" s="34">
        <v>1</v>
      </c>
      <c r="AE164" s="39">
        <v>734</v>
      </c>
      <c r="AF164" s="51" t="str">
        <f>VLOOKUP(AE164,'[2]Chart of accounts'!A:H,2,FALSE)</f>
        <v>50103040 01</v>
      </c>
      <c r="AG164" s="53" t="s">
        <v>4</v>
      </c>
      <c r="AH164" s="40" t="s">
        <v>862</v>
      </c>
    </row>
    <row r="165" spans="1:34" s="32" customFormat="1" ht="27.6">
      <c r="A165" s="338" t="s">
        <v>942</v>
      </c>
      <c r="B165" s="338" t="s">
        <v>943</v>
      </c>
      <c r="C165" s="358">
        <v>44224</v>
      </c>
      <c r="D165" s="351" t="s">
        <v>759</v>
      </c>
      <c r="E165" s="352" t="s">
        <v>866</v>
      </c>
      <c r="F165" s="338">
        <v>0.66666666666666663</v>
      </c>
      <c r="G165" s="338">
        <v>0.6694444444444444</v>
      </c>
      <c r="H165" s="338" t="s">
        <v>999</v>
      </c>
      <c r="I165" s="353">
        <v>706</v>
      </c>
      <c r="J165" s="338" t="str">
        <f>IFERROR(VLOOKUP(I165,'Chart of accounts'!A:H,2,FALSE),"")</f>
        <v>50101020 00</v>
      </c>
      <c r="K165" s="338" t="str">
        <f>IFERROR(VLOOKUP(I165,'Chart of accounts'!A:H,3,FALSE),"")</f>
        <v>Basic Salary - Contractual</v>
      </c>
      <c r="L165" s="338" t="str">
        <f>IFERROR(VLOOKUP(I165,'Chart of accounts'!A:H,4,FALSE),"")</f>
        <v>50101020 00 - Basic Salary - Contractual (706)</v>
      </c>
      <c r="M165" s="360" t="s">
        <v>776</v>
      </c>
      <c r="N165" s="355" t="s">
        <v>867</v>
      </c>
      <c r="O165" s="355" t="s">
        <v>864</v>
      </c>
      <c r="P165" s="355"/>
      <c r="Q165" s="363">
        <v>33575</v>
      </c>
      <c r="R165" s="319">
        <f t="shared" si="1"/>
        <v>-33575</v>
      </c>
      <c r="S165" s="319" t="str">
        <f>VLOOKUP(H165,'Fund Utilization Report'!$A$4:$U$1800,13,FALSE)</f>
        <v>PS</v>
      </c>
      <c r="T165" s="319" t="str">
        <f>VLOOKUP(H165,'Fund Utilization Report'!$A$4:$U$1800,2,FALSE)</f>
        <v>SAA15</v>
      </c>
      <c r="U165" s="319" t="str">
        <f>VLOOKUP(H165,'Fund Utilization Report'!$A$4:$U$1800,3,FALSE)</f>
        <v>2021-01-0015</v>
      </c>
      <c r="V165" s="319" t="str">
        <f>VLOOKUP(H165,'Fund Utilization Report'!$A$4:$U$1800,4,FALSE)</f>
        <v>CARP</v>
      </c>
      <c r="W165" s="319" t="str">
        <f>VLOOKUP(H165,'Fund Utilization Report'!$A$4:$U$1800,5,FALSE)</f>
        <v>01101101</v>
      </c>
      <c r="X165" s="319" t="str">
        <f>VLOOKUP(H165,'Fund Utilization Report'!$A$4:$U$1800,6,FALSE)</f>
        <v>GOP</v>
      </c>
      <c r="Y165" s="320">
        <f>VLOOKUP(H165,'Fund Utilization Report'!$A$4:$U$1800,7,FALSE)</f>
        <v>706</v>
      </c>
      <c r="Z165" s="321" t="str">
        <f>VLOOKUP(H165,'Fund Utilization Report'!$A$4:$U$1800,8,FALSE)</f>
        <v>50101020 00</v>
      </c>
      <c r="AA165" s="319" t="str">
        <f>VLOOKUP(H165,'Fund Utilization Report'!$A$4:$U$1800,14,FALSE)</f>
        <v>330100100003000</v>
      </c>
      <c r="AB165" s="349" t="str">
        <f>VLOOKUP(H165,'Fund Utilization Report'!$A$4:$U$1800,15,FALSE)</f>
        <v>MSME Development Program : Program Beneficiaries Development Component of the Comprehensive Agrarian Reform Program</v>
      </c>
      <c r="AC165" s="39" t="s">
        <v>0</v>
      </c>
      <c r="AD165" s="34">
        <v>1</v>
      </c>
      <c r="AE165" s="39">
        <v>706</v>
      </c>
      <c r="AF165" s="51" t="str">
        <f>VLOOKUP(AE165,'[2]Chart of accounts'!A:H,2,FALSE)</f>
        <v>50101020 00</v>
      </c>
      <c r="AG165" s="53" t="s">
        <v>4</v>
      </c>
      <c r="AH165" s="40" t="s">
        <v>862</v>
      </c>
    </row>
    <row r="166" spans="1:34" s="32" customFormat="1" ht="27.6">
      <c r="A166" s="338" t="s">
        <v>942</v>
      </c>
      <c r="B166" s="338" t="s">
        <v>943</v>
      </c>
      <c r="C166" s="358">
        <v>44224</v>
      </c>
      <c r="D166" s="351" t="s">
        <v>759</v>
      </c>
      <c r="E166" s="352" t="s">
        <v>866</v>
      </c>
      <c r="F166" s="338">
        <v>0.66666666666666663</v>
      </c>
      <c r="G166" s="338">
        <v>0.6694444444444444</v>
      </c>
      <c r="H166" s="338" t="s">
        <v>999</v>
      </c>
      <c r="I166" s="353">
        <v>711</v>
      </c>
      <c r="J166" s="338" t="str">
        <f>IFERROR(VLOOKUP(I166,'Chart of accounts'!A:H,2,FALSE),"")</f>
        <v>50102010 01</v>
      </c>
      <c r="K166" s="338" t="str">
        <f>IFERROR(VLOOKUP(I166,'Chart of accounts'!A:H,3,FALSE),"")</f>
        <v>PERA - Civilian</v>
      </c>
      <c r="L166" s="338" t="str">
        <f>IFERROR(VLOOKUP(I166,'Chart of accounts'!A:H,4,FALSE),"")</f>
        <v>50102010 01 - PERA - Civilian (711)</v>
      </c>
      <c r="M166" s="360" t="s">
        <v>776</v>
      </c>
      <c r="N166" s="355" t="s">
        <v>867</v>
      </c>
      <c r="O166" s="355" t="s">
        <v>864</v>
      </c>
      <c r="P166" s="355"/>
      <c r="Q166" s="363">
        <v>2000</v>
      </c>
      <c r="R166" s="319">
        <f t="shared" si="1"/>
        <v>-2000</v>
      </c>
      <c r="S166" s="319" t="str">
        <f>VLOOKUP(H166,'Fund Utilization Report'!$A$4:$U$1800,13,FALSE)</f>
        <v>PS</v>
      </c>
      <c r="T166" s="319" t="str">
        <f>VLOOKUP(H166,'Fund Utilization Report'!$A$4:$U$1800,2,FALSE)</f>
        <v>SAA15</v>
      </c>
      <c r="U166" s="319" t="str">
        <f>VLOOKUP(H166,'Fund Utilization Report'!$A$4:$U$1800,3,FALSE)</f>
        <v>2021-01-0015</v>
      </c>
      <c r="V166" s="319" t="str">
        <f>VLOOKUP(H166,'Fund Utilization Report'!$A$4:$U$1800,4,FALSE)</f>
        <v>CARP</v>
      </c>
      <c r="W166" s="319" t="str">
        <f>VLOOKUP(H166,'Fund Utilization Report'!$A$4:$U$1800,5,FALSE)</f>
        <v>01101101</v>
      </c>
      <c r="X166" s="319" t="str">
        <f>VLOOKUP(H166,'Fund Utilization Report'!$A$4:$U$1800,6,FALSE)</f>
        <v>GOP</v>
      </c>
      <c r="Y166" s="320">
        <f>VLOOKUP(H166,'Fund Utilization Report'!$A$4:$U$1800,7,FALSE)</f>
        <v>706</v>
      </c>
      <c r="Z166" s="321" t="str">
        <f>VLOOKUP(H166,'Fund Utilization Report'!$A$4:$U$1800,8,FALSE)</f>
        <v>50101020 00</v>
      </c>
      <c r="AA166" s="319" t="str">
        <f>VLOOKUP(H166,'Fund Utilization Report'!$A$4:$U$1800,14,FALSE)</f>
        <v>330100100003000</v>
      </c>
      <c r="AB166" s="349" t="str">
        <f>VLOOKUP(H166,'Fund Utilization Report'!$A$4:$U$1800,15,FALSE)</f>
        <v>MSME Development Program : Program Beneficiaries Development Component of the Comprehensive Agrarian Reform Program</v>
      </c>
      <c r="AC166" s="39" t="s">
        <v>0</v>
      </c>
      <c r="AD166" s="34">
        <v>1</v>
      </c>
      <c r="AE166" s="39">
        <v>711</v>
      </c>
      <c r="AF166" s="51" t="str">
        <f>VLOOKUP(AE166,'[2]Chart of accounts'!A:H,2,FALSE)</f>
        <v>50102010 01</v>
      </c>
      <c r="AG166" s="53" t="s">
        <v>4</v>
      </c>
      <c r="AH166" s="40" t="s">
        <v>862</v>
      </c>
    </row>
    <row r="167" spans="1:34" s="32" customFormat="1" ht="27.6">
      <c r="A167" s="338" t="s">
        <v>942</v>
      </c>
      <c r="B167" s="338" t="s">
        <v>943</v>
      </c>
      <c r="C167" s="358">
        <v>44224</v>
      </c>
      <c r="D167" s="351" t="s">
        <v>759</v>
      </c>
      <c r="E167" s="352" t="s">
        <v>866</v>
      </c>
      <c r="F167" s="338">
        <v>0.66666666666666663</v>
      </c>
      <c r="G167" s="338">
        <v>0.6694444444444444</v>
      </c>
      <c r="H167" s="338" t="s">
        <v>999</v>
      </c>
      <c r="I167" s="353">
        <v>731</v>
      </c>
      <c r="J167" s="338" t="str">
        <f>IFERROR(VLOOKUP(I167,'Chart of accounts'!A:H,2,FALSE),"")</f>
        <v>50103010 00</v>
      </c>
      <c r="K167" s="338" t="str">
        <f>IFERROR(VLOOKUP(I167,'Chart of accounts'!A:H,3,FALSE),"")</f>
        <v>Retirement and Life Insurance Premiums</v>
      </c>
      <c r="L167" s="338" t="str">
        <f>IFERROR(VLOOKUP(I167,'Chart of accounts'!A:H,4,FALSE),"")</f>
        <v>50103010 00 - Retirement and Life Insurance Premiums (731)</v>
      </c>
      <c r="M167" s="360" t="s">
        <v>776</v>
      </c>
      <c r="N167" s="355" t="s">
        <v>867</v>
      </c>
      <c r="O167" s="355" t="s">
        <v>864</v>
      </c>
      <c r="P167" s="355"/>
      <c r="Q167" s="363">
        <v>4029</v>
      </c>
      <c r="R167" s="319">
        <f t="shared" si="1"/>
        <v>-4029</v>
      </c>
      <c r="S167" s="319" t="str">
        <f>VLOOKUP(H167,'Fund Utilization Report'!$A$4:$U$1800,13,FALSE)</f>
        <v>PS</v>
      </c>
      <c r="T167" s="319" t="str">
        <f>VLOOKUP(H167,'Fund Utilization Report'!$A$4:$U$1800,2,FALSE)</f>
        <v>SAA15</v>
      </c>
      <c r="U167" s="319" t="str">
        <f>VLOOKUP(H167,'Fund Utilization Report'!$A$4:$U$1800,3,FALSE)</f>
        <v>2021-01-0015</v>
      </c>
      <c r="V167" s="319" t="str">
        <f>VLOOKUP(H167,'Fund Utilization Report'!$A$4:$U$1800,4,FALSE)</f>
        <v>CARP</v>
      </c>
      <c r="W167" s="319" t="str">
        <f>VLOOKUP(H167,'Fund Utilization Report'!$A$4:$U$1800,5,FALSE)</f>
        <v>01101101</v>
      </c>
      <c r="X167" s="319" t="str">
        <f>VLOOKUP(H167,'Fund Utilization Report'!$A$4:$U$1800,6,FALSE)</f>
        <v>GOP</v>
      </c>
      <c r="Y167" s="320">
        <f>VLOOKUP(H167,'Fund Utilization Report'!$A$4:$U$1800,7,FALSE)</f>
        <v>706</v>
      </c>
      <c r="Z167" s="321" t="str">
        <f>VLOOKUP(H167,'Fund Utilization Report'!$A$4:$U$1800,8,FALSE)</f>
        <v>50101020 00</v>
      </c>
      <c r="AA167" s="319" t="str">
        <f>VLOOKUP(H167,'Fund Utilization Report'!$A$4:$U$1800,14,FALSE)</f>
        <v>330100100003000</v>
      </c>
      <c r="AB167" s="349" t="str">
        <f>VLOOKUP(H167,'Fund Utilization Report'!$A$4:$U$1800,15,FALSE)</f>
        <v>MSME Development Program : Program Beneficiaries Development Component of the Comprehensive Agrarian Reform Program</v>
      </c>
      <c r="AC167" s="39" t="s">
        <v>0</v>
      </c>
      <c r="AD167" s="34">
        <v>1</v>
      </c>
      <c r="AE167" s="39">
        <v>731</v>
      </c>
      <c r="AF167" s="51" t="str">
        <f>VLOOKUP(AE167,'[2]Chart of accounts'!A:H,2,FALSE)</f>
        <v>50103010 00</v>
      </c>
      <c r="AG167" s="53" t="s">
        <v>4</v>
      </c>
      <c r="AH167" s="40" t="s">
        <v>862</v>
      </c>
    </row>
    <row r="168" spans="1:34" s="32" customFormat="1" ht="27.6">
      <c r="A168" s="338" t="s">
        <v>942</v>
      </c>
      <c r="B168" s="338" t="s">
        <v>943</v>
      </c>
      <c r="C168" s="358">
        <v>44224</v>
      </c>
      <c r="D168" s="351" t="s">
        <v>759</v>
      </c>
      <c r="E168" s="352" t="s">
        <v>866</v>
      </c>
      <c r="F168" s="338">
        <v>0.66666666666666663</v>
      </c>
      <c r="G168" s="338">
        <v>0.6694444444444444</v>
      </c>
      <c r="H168" s="338" t="s">
        <v>999</v>
      </c>
      <c r="I168" s="353">
        <v>732</v>
      </c>
      <c r="J168" s="338" t="str">
        <f>IFERROR(VLOOKUP(I168,'Chart of accounts'!A:H,2,FALSE),"")</f>
        <v>50103020 01</v>
      </c>
      <c r="K168" s="338" t="str">
        <f>IFERROR(VLOOKUP(I168,'Chart of accounts'!A:H,3,FALSE),"")</f>
        <v>Pag-IBIG - Civilian</v>
      </c>
      <c r="L168" s="338" t="str">
        <f>IFERROR(VLOOKUP(I168,'Chart of accounts'!A:H,4,FALSE),"")</f>
        <v>50103020 01 - Pag-IBIG - Civilian (732)</v>
      </c>
      <c r="M168" s="360" t="s">
        <v>776</v>
      </c>
      <c r="N168" s="355" t="s">
        <v>867</v>
      </c>
      <c r="O168" s="355" t="s">
        <v>864</v>
      </c>
      <c r="P168" s="355"/>
      <c r="Q168" s="363">
        <v>100</v>
      </c>
      <c r="R168" s="319">
        <f t="shared" si="1"/>
        <v>-100</v>
      </c>
      <c r="S168" s="319" t="str">
        <f>VLOOKUP(H168,'Fund Utilization Report'!$A$4:$U$1800,13,FALSE)</f>
        <v>PS</v>
      </c>
      <c r="T168" s="319" t="str">
        <f>VLOOKUP(H168,'Fund Utilization Report'!$A$4:$U$1800,2,FALSE)</f>
        <v>SAA15</v>
      </c>
      <c r="U168" s="319" t="str">
        <f>VLOOKUP(H168,'Fund Utilization Report'!$A$4:$U$1800,3,FALSE)</f>
        <v>2021-01-0015</v>
      </c>
      <c r="V168" s="319" t="str">
        <f>VLOOKUP(H168,'Fund Utilization Report'!$A$4:$U$1800,4,FALSE)</f>
        <v>CARP</v>
      </c>
      <c r="W168" s="319" t="str">
        <f>VLOOKUP(H168,'Fund Utilization Report'!$A$4:$U$1800,5,FALSE)</f>
        <v>01101101</v>
      </c>
      <c r="X168" s="319" t="str">
        <f>VLOOKUP(H168,'Fund Utilization Report'!$A$4:$U$1800,6,FALSE)</f>
        <v>GOP</v>
      </c>
      <c r="Y168" s="320">
        <f>VLOOKUP(H168,'Fund Utilization Report'!$A$4:$U$1800,7,FALSE)</f>
        <v>706</v>
      </c>
      <c r="Z168" s="321" t="str">
        <f>VLOOKUP(H168,'Fund Utilization Report'!$A$4:$U$1800,8,FALSE)</f>
        <v>50101020 00</v>
      </c>
      <c r="AA168" s="319" t="str">
        <f>VLOOKUP(H168,'Fund Utilization Report'!$A$4:$U$1800,14,FALSE)</f>
        <v>330100100003000</v>
      </c>
      <c r="AB168" s="349" t="str">
        <f>VLOOKUP(H168,'Fund Utilization Report'!$A$4:$U$1800,15,FALSE)</f>
        <v>MSME Development Program : Program Beneficiaries Development Component of the Comprehensive Agrarian Reform Program</v>
      </c>
      <c r="AC168" s="39" t="s">
        <v>0</v>
      </c>
      <c r="AD168" s="34">
        <v>1</v>
      </c>
      <c r="AE168" s="39">
        <v>732</v>
      </c>
      <c r="AF168" s="51" t="str">
        <f>VLOOKUP(AE168,'[2]Chart of accounts'!A:H,2,FALSE)</f>
        <v>50103020 01</v>
      </c>
      <c r="AG168" s="53" t="s">
        <v>4</v>
      </c>
      <c r="AH168" s="40" t="s">
        <v>862</v>
      </c>
    </row>
    <row r="169" spans="1:34" s="32" customFormat="1" ht="27.6">
      <c r="A169" s="338" t="s">
        <v>942</v>
      </c>
      <c r="B169" s="338" t="s">
        <v>943</v>
      </c>
      <c r="C169" s="358">
        <v>44224</v>
      </c>
      <c r="D169" s="351" t="s">
        <v>759</v>
      </c>
      <c r="E169" s="352" t="s">
        <v>866</v>
      </c>
      <c r="F169" s="338">
        <v>0.66666666666666663</v>
      </c>
      <c r="G169" s="338">
        <v>0.6694444444444444</v>
      </c>
      <c r="H169" s="338" t="s">
        <v>999</v>
      </c>
      <c r="I169" s="353">
        <v>733</v>
      </c>
      <c r="J169" s="338" t="str">
        <f>IFERROR(VLOOKUP(I169,'Chart of accounts'!A:H,2,FALSE),"")</f>
        <v>50103030 01</v>
      </c>
      <c r="K169" s="338" t="str">
        <f>IFERROR(VLOOKUP(I169,'Chart of accounts'!A:H,3,FALSE),"")</f>
        <v>PhilHealth - Civilian</v>
      </c>
      <c r="L169" s="338" t="str">
        <f>IFERROR(VLOOKUP(I169,'Chart of accounts'!A:H,4,FALSE),"")</f>
        <v>50103030 01 - PhilHealth - Civilian (733)</v>
      </c>
      <c r="M169" s="360" t="s">
        <v>776</v>
      </c>
      <c r="N169" s="355" t="s">
        <v>867</v>
      </c>
      <c r="O169" s="355" t="s">
        <v>864</v>
      </c>
      <c r="P169" s="355"/>
      <c r="Q169" s="363">
        <v>503.63</v>
      </c>
      <c r="R169" s="319">
        <f t="shared" si="1"/>
        <v>-503.63</v>
      </c>
      <c r="S169" s="319" t="str">
        <f>VLOOKUP(H169,'Fund Utilization Report'!$A$4:$U$1800,13,FALSE)</f>
        <v>PS</v>
      </c>
      <c r="T169" s="319" t="str">
        <f>VLOOKUP(H169,'Fund Utilization Report'!$A$4:$U$1800,2,FALSE)</f>
        <v>SAA15</v>
      </c>
      <c r="U169" s="319" t="str">
        <f>VLOOKUP(H169,'Fund Utilization Report'!$A$4:$U$1800,3,FALSE)</f>
        <v>2021-01-0015</v>
      </c>
      <c r="V169" s="319" t="str">
        <f>VLOOKUP(H169,'Fund Utilization Report'!$A$4:$U$1800,4,FALSE)</f>
        <v>CARP</v>
      </c>
      <c r="W169" s="319" t="str">
        <f>VLOOKUP(H169,'Fund Utilization Report'!$A$4:$U$1800,5,FALSE)</f>
        <v>01101101</v>
      </c>
      <c r="X169" s="319" t="str">
        <f>VLOOKUP(H169,'Fund Utilization Report'!$A$4:$U$1800,6,FALSE)</f>
        <v>GOP</v>
      </c>
      <c r="Y169" s="320">
        <f>VLOOKUP(H169,'Fund Utilization Report'!$A$4:$U$1800,7,FALSE)</f>
        <v>706</v>
      </c>
      <c r="Z169" s="321" t="str">
        <f>VLOOKUP(H169,'Fund Utilization Report'!$A$4:$U$1800,8,FALSE)</f>
        <v>50101020 00</v>
      </c>
      <c r="AA169" s="319" t="str">
        <f>VLOOKUP(H169,'Fund Utilization Report'!$A$4:$U$1800,14,FALSE)</f>
        <v>330100100003000</v>
      </c>
      <c r="AB169" s="349" t="str">
        <f>VLOOKUP(H169,'Fund Utilization Report'!$A$4:$U$1800,15,FALSE)</f>
        <v>MSME Development Program : Program Beneficiaries Development Component of the Comprehensive Agrarian Reform Program</v>
      </c>
      <c r="AC169" s="39" t="s">
        <v>0</v>
      </c>
      <c r="AD169" s="34">
        <v>1</v>
      </c>
      <c r="AE169" s="39">
        <v>733</v>
      </c>
      <c r="AF169" s="51" t="str">
        <f>VLOOKUP(AE169,'[2]Chart of accounts'!A:H,2,FALSE)</f>
        <v>50103030 01</v>
      </c>
      <c r="AG169" s="53" t="s">
        <v>4</v>
      </c>
      <c r="AH169" s="40" t="s">
        <v>862</v>
      </c>
    </row>
    <row r="170" spans="1:34" s="32" customFormat="1" ht="27.6">
      <c r="A170" s="338" t="s">
        <v>942</v>
      </c>
      <c r="B170" s="338" t="s">
        <v>943</v>
      </c>
      <c r="C170" s="358">
        <v>44224</v>
      </c>
      <c r="D170" s="351" t="s">
        <v>759</v>
      </c>
      <c r="E170" s="352" t="s">
        <v>866</v>
      </c>
      <c r="F170" s="338">
        <v>0.66666666666666663</v>
      </c>
      <c r="G170" s="338">
        <v>0.6694444444444444</v>
      </c>
      <c r="H170" s="338" t="s">
        <v>999</v>
      </c>
      <c r="I170" s="353">
        <v>734</v>
      </c>
      <c r="J170" s="338" t="str">
        <f>IFERROR(VLOOKUP(I170,'Chart of accounts'!A:H,2,FALSE),"")</f>
        <v>50103040 01</v>
      </c>
      <c r="K170" s="338" t="str">
        <f>IFERROR(VLOOKUP(I170,'Chart of accounts'!A:H,3,FALSE),"")</f>
        <v>ECIP - Civilian</v>
      </c>
      <c r="L170" s="338" t="str">
        <f>IFERROR(VLOOKUP(I170,'Chart of accounts'!A:H,4,FALSE),"")</f>
        <v>50103040 01 - ECIP - Civilian (734)</v>
      </c>
      <c r="M170" s="360" t="s">
        <v>776</v>
      </c>
      <c r="N170" s="355" t="s">
        <v>867</v>
      </c>
      <c r="O170" s="355" t="s">
        <v>864</v>
      </c>
      <c r="P170" s="355"/>
      <c r="Q170" s="363">
        <v>100</v>
      </c>
      <c r="R170" s="319">
        <f t="shared" si="1"/>
        <v>-100</v>
      </c>
      <c r="S170" s="319" t="str">
        <f>VLOOKUP(H170,'Fund Utilization Report'!$A$4:$U$1800,13,FALSE)</f>
        <v>PS</v>
      </c>
      <c r="T170" s="319" t="str">
        <f>VLOOKUP(H170,'Fund Utilization Report'!$A$4:$U$1800,2,FALSE)</f>
        <v>SAA15</v>
      </c>
      <c r="U170" s="319" t="str">
        <f>VLOOKUP(H170,'Fund Utilization Report'!$A$4:$U$1800,3,FALSE)</f>
        <v>2021-01-0015</v>
      </c>
      <c r="V170" s="319" t="str">
        <f>VLOOKUP(H170,'Fund Utilization Report'!$A$4:$U$1800,4,FALSE)</f>
        <v>CARP</v>
      </c>
      <c r="W170" s="319" t="str">
        <f>VLOOKUP(H170,'Fund Utilization Report'!$A$4:$U$1800,5,FALSE)</f>
        <v>01101101</v>
      </c>
      <c r="X170" s="319" t="str">
        <f>VLOOKUP(H170,'Fund Utilization Report'!$A$4:$U$1800,6,FALSE)</f>
        <v>GOP</v>
      </c>
      <c r="Y170" s="320">
        <f>VLOOKUP(H170,'Fund Utilization Report'!$A$4:$U$1800,7,FALSE)</f>
        <v>706</v>
      </c>
      <c r="Z170" s="321" t="str">
        <f>VLOOKUP(H170,'Fund Utilization Report'!$A$4:$U$1800,8,FALSE)</f>
        <v>50101020 00</v>
      </c>
      <c r="AA170" s="319" t="str">
        <f>VLOOKUP(H170,'Fund Utilization Report'!$A$4:$U$1800,14,FALSE)</f>
        <v>330100100003000</v>
      </c>
      <c r="AB170" s="349" t="str">
        <f>VLOOKUP(H170,'Fund Utilization Report'!$A$4:$U$1800,15,FALSE)</f>
        <v>MSME Development Program : Program Beneficiaries Development Component of the Comprehensive Agrarian Reform Program</v>
      </c>
      <c r="AC170" s="39" t="s">
        <v>0</v>
      </c>
      <c r="AD170" s="34">
        <v>1</v>
      </c>
      <c r="AE170" s="39">
        <v>734</v>
      </c>
      <c r="AF170" s="51" t="str">
        <f>VLOOKUP(AE170,'[2]Chart of accounts'!A:H,2,FALSE)</f>
        <v>50103040 01</v>
      </c>
      <c r="AG170" s="53" t="s">
        <v>4</v>
      </c>
      <c r="AH170" s="40" t="s">
        <v>862</v>
      </c>
    </row>
    <row r="171" spans="1:34" s="32" customFormat="1" ht="27.6">
      <c r="A171" s="338" t="s">
        <v>942</v>
      </c>
      <c r="B171" s="338" t="s">
        <v>943</v>
      </c>
      <c r="C171" s="358">
        <v>44224</v>
      </c>
      <c r="D171" s="351" t="s">
        <v>759</v>
      </c>
      <c r="E171" s="352" t="s">
        <v>868</v>
      </c>
      <c r="F171" s="338">
        <v>0.6694444444444444</v>
      </c>
      <c r="G171" s="338">
        <v>0.67152777777777783</v>
      </c>
      <c r="H171" s="338" t="s">
        <v>999</v>
      </c>
      <c r="I171" s="353">
        <v>706</v>
      </c>
      <c r="J171" s="338" t="str">
        <f>IFERROR(VLOOKUP(I171,'Chart of accounts'!A:H,2,FALSE),"")</f>
        <v>50101020 00</v>
      </c>
      <c r="K171" s="338" t="str">
        <f>IFERROR(VLOOKUP(I171,'Chart of accounts'!A:H,3,FALSE),"")</f>
        <v>Basic Salary - Contractual</v>
      </c>
      <c r="L171" s="338" t="str">
        <f>IFERROR(VLOOKUP(I171,'Chart of accounts'!A:H,4,FALSE),"")</f>
        <v>50101020 00 - Basic Salary - Contractual (706)</v>
      </c>
      <c r="M171" s="360" t="s">
        <v>769</v>
      </c>
      <c r="N171" s="355" t="s">
        <v>869</v>
      </c>
      <c r="O171" s="355" t="s">
        <v>864</v>
      </c>
      <c r="P171" s="355"/>
      <c r="Q171" s="363">
        <v>33575</v>
      </c>
      <c r="R171" s="319">
        <f t="shared" si="1"/>
        <v>-33575</v>
      </c>
      <c r="S171" s="319" t="str">
        <f>VLOOKUP(H171,'Fund Utilization Report'!$A$4:$U$1800,13,FALSE)</f>
        <v>PS</v>
      </c>
      <c r="T171" s="319" t="str">
        <f>VLOOKUP(H171,'Fund Utilization Report'!$A$4:$U$1800,2,FALSE)</f>
        <v>SAA15</v>
      </c>
      <c r="U171" s="319" t="str">
        <f>VLOOKUP(H171,'Fund Utilization Report'!$A$4:$U$1800,3,FALSE)</f>
        <v>2021-01-0015</v>
      </c>
      <c r="V171" s="319" t="str">
        <f>VLOOKUP(H171,'Fund Utilization Report'!$A$4:$U$1800,4,FALSE)</f>
        <v>CARP</v>
      </c>
      <c r="W171" s="319" t="str">
        <f>VLOOKUP(H171,'Fund Utilization Report'!$A$4:$U$1800,5,FALSE)</f>
        <v>01101101</v>
      </c>
      <c r="X171" s="319" t="str">
        <f>VLOOKUP(H171,'Fund Utilization Report'!$A$4:$U$1800,6,FALSE)</f>
        <v>GOP</v>
      </c>
      <c r="Y171" s="320">
        <f>VLOOKUP(H171,'Fund Utilization Report'!$A$4:$U$1800,7,FALSE)</f>
        <v>706</v>
      </c>
      <c r="Z171" s="321" t="str">
        <f>VLOOKUP(H171,'Fund Utilization Report'!$A$4:$U$1800,8,FALSE)</f>
        <v>50101020 00</v>
      </c>
      <c r="AA171" s="319" t="str">
        <f>VLOOKUP(H171,'Fund Utilization Report'!$A$4:$U$1800,14,FALSE)</f>
        <v>330100100003000</v>
      </c>
      <c r="AB171" s="349" t="str">
        <f>VLOOKUP(H171,'Fund Utilization Report'!$A$4:$U$1800,15,FALSE)</f>
        <v>MSME Development Program : Program Beneficiaries Development Component of the Comprehensive Agrarian Reform Program</v>
      </c>
      <c r="AC171" s="39" t="s">
        <v>0</v>
      </c>
      <c r="AD171" s="34">
        <v>1</v>
      </c>
      <c r="AE171" s="39">
        <v>706</v>
      </c>
      <c r="AF171" s="51" t="str">
        <f>VLOOKUP(AE171,'[2]Chart of accounts'!A:H,2,FALSE)</f>
        <v>50101020 00</v>
      </c>
      <c r="AG171" s="53" t="s">
        <v>4</v>
      </c>
      <c r="AH171" s="40" t="s">
        <v>862</v>
      </c>
    </row>
    <row r="172" spans="1:34" s="32" customFormat="1" ht="27.6">
      <c r="A172" s="338" t="s">
        <v>942</v>
      </c>
      <c r="B172" s="338" t="s">
        <v>943</v>
      </c>
      <c r="C172" s="358">
        <v>44224</v>
      </c>
      <c r="D172" s="351" t="s">
        <v>759</v>
      </c>
      <c r="E172" s="352" t="s">
        <v>868</v>
      </c>
      <c r="F172" s="338">
        <v>0.6694444444444444</v>
      </c>
      <c r="G172" s="338">
        <v>0.67152777777777783</v>
      </c>
      <c r="H172" s="338" t="s">
        <v>999</v>
      </c>
      <c r="I172" s="353">
        <v>711</v>
      </c>
      <c r="J172" s="338" t="str">
        <f>IFERROR(VLOOKUP(I172,'Chart of accounts'!A:H,2,FALSE),"")</f>
        <v>50102010 01</v>
      </c>
      <c r="K172" s="338" t="str">
        <f>IFERROR(VLOOKUP(I172,'Chart of accounts'!A:H,3,FALSE),"")</f>
        <v>PERA - Civilian</v>
      </c>
      <c r="L172" s="338" t="str">
        <f>IFERROR(VLOOKUP(I172,'Chart of accounts'!A:H,4,FALSE),"")</f>
        <v>50102010 01 - PERA - Civilian (711)</v>
      </c>
      <c r="M172" s="360" t="s">
        <v>769</v>
      </c>
      <c r="N172" s="355" t="s">
        <v>869</v>
      </c>
      <c r="O172" s="355" t="s">
        <v>864</v>
      </c>
      <c r="P172" s="355"/>
      <c r="Q172" s="363">
        <v>2000</v>
      </c>
      <c r="R172" s="319">
        <f t="shared" si="1"/>
        <v>-2000</v>
      </c>
      <c r="S172" s="319" t="str">
        <f>VLOOKUP(H172,'Fund Utilization Report'!$A$4:$U$1800,13,FALSE)</f>
        <v>PS</v>
      </c>
      <c r="T172" s="319" t="str">
        <f>VLOOKUP(H172,'Fund Utilization Report'!$A$4:$U$1800,2,FALSE)</f>
        <v>SAA15</v>
      </c>
      <c r="U172" s="319" t="str">
        <f>VLOOKUP(H172,'Fund Utilization Report'!$A$4:$U$1800,3,FALSE)</f>
        <v>2021-01-0015</v>
      </c>
      <c r="V172" s="319" t="str">
        <f>VLOOKUP(H172,'Fund Utilization Report'!$A$4:$U$1800,4,FALSE)</f>
        <v>CARP</v>
      </c>
      <c r="W172" s="319" t="str">
        <f>VLOOKUP(H172,'Fund Utilization Report'!$A$4:$U$1800,5,FALSE)</f>
        <v>01101101</v>
      </c>
      <c r="X172" s="319" t="str">
        <f>VLOOKUP(H172,'Fund Utilization Report'!$A$4:$U$1800,6,FALSE)</f>
        <v>GOP</v>
      </c>
      <c r="Y172" s="320">
        <f>VLOOKUP(H172,'Fund Utilization Report'!$A$4:$U$1800,7,FALSE)</f>
        <v>706</v>
      </c>
      <c r="Z172" s="321" t="str">
        <f>VLOOKUP(H172,'Fund Utilization Report'!$A$4:$U$1800,8,FALSE)</f>
        <v>50101020 00</v>
      </c>
      <c r="AA172" s="319" t="str">
        <f>VLOOKUP(H172,'Fund Utilization Report'!$A$4:$U$1800,14,FALSE)</f>
        <v>330100100003000</v>
      </c>
      <c r="AB172" s="349" t="str">
        <f>VLOOKUP(H172,'Fund Utilization Report'!$A$4:$U$1800,15,FALSE)</f>
        <v>MSME Development Program : Program Beneficiaries Development Component of the Comprehensive Agrarian Reform Program</v>
      </c>
      <c r="AC172" s="39" t="s">
        <v>0</v>
      </c>
      <c r="AD172" s="34">
        <v>1</v>
      </c>
      <c r="AE172" s="39">
        <v>711</v>
      </c>
      <c r="AF172" s="51" t="str">
        <f>VLOOKUP(AE172,'[2]Chart of accounts'!A:H,2,FALSE)</f>
        <v>50102010 01</v>
      </c>
      <c r="AG172" s="53" t="s">
        <v>4</v>
      </c>
      <c r="AH172" s="40" t="s">
        <v>862</v>
      </c>
    </row>
    <row r="173" spans="1:34" s="32" customFormat="1" ht="27.6">
      <c r="A173" s="338" t="s">
        <v>942</v>
      </c>
      <c r="B173" s="338" t="s">
        <v>943</v>
      </c>
      <c r="C173" s="358">
        <v>44224</v>
      </c>
      <c r="D173" s="351" t="s">
        <v>759</v>
      </c>
      <c r="E173" s="352" t="s">
        <v>868</v>
      </c>
      <c r="F173" s="338">
        <v>0.6694444444444444</v>
      </c>
      <c r="G173" s="338">
        <v>0.67152777777777783</v>
      </c>
      <c r="H173" s="338" t="s">
        <v>999</v>
      </c>
      <c r="I173" s="353">
        <v>731</v>
      </c>
      <c r="J173" s="338" t="str">
        <f>IFERROR(VLOOKUP(I173,'Chart of accounts'!A:H,2,FALSE),"")</f>
        <v>50103010 00</v>
      </c>
      <c r="K173" s="338" t="str">
        <f>IFERROR(VLOOKUP(I173,'Chart of accounts'!A:H,3,FALSE),"")</f>
        <v>Retirement and Life Insurance Premiums</v>
      </c>
      <c r="L173" s="338" t="str">
        <f>IFERROR(VLOOKUP(I173,'Chart of accounts'!A:H,4,FALSE),"")</f>
        <v>50103010 00 - Retirement and Life Insurance Premiums (731)</v>
      </c>
      <c r="M173" s="360" t="s">
        <v>769</v>
      </c>
      <c r="N173" s="355" t="s">
        <v>869</v>
      </c>
      <c r="O173" s="355" t="s">
        <v>864</v>
      </c>
      <c r="P173" s="355"/>
      <c r="Q173" s="363">
        <v>4029</v>
      </c>
      <c r="R173" s="319">
        <f t="shared" si="1"/>
        <v>-4029</v>
      </c>
      <c r="S173" s="319" t="str">
        <f>VLOOKUP(H173,'Fund Utilization Report'!$A$4:$U$1800,13,FALSE)</f>
        <v>PS</v>
      </c>
      <c r="T173" s="319" t="str">
        <f>VLOOKUP(H173,'Fund Utilization Report'!$A$4:$U$1800,2,FALSE)</f>
        <v>SAA15</v>
      </c>
      <c r="U173" s="319" t="str">
        <f>VLOOKUP(H173,'Fund Utilization Report'!$A$4:$U$1800,3,FALSE)</f>
        <v>2021-01-0015</v>
      </c>
      <c r="V173" s="319" t="str">
        <f>VLOOKUP(H173,'Fund Utilization Report'!$A$4:$U$1800,4,FALSE)</f>
        <v>CARP</v>
      </c>
      <c r="W173" s="319" t="str">
        <f>VLOOKUP(H173,'Fund Utilization Report'!$A$4:$U$1800,5,FALSE)</f>
        <v>01101101</v>
      </c>
      <c r="X173" s="319" t="str">
        <f>VLOOKUP(H173,'Fund Utilization Report'!$A$4:$U$1800,6,FALSE)</f>
        <v>GOP</v>
      </c>
      <c r="Y173" s="320">
        <f>VLOOKUP(H173,'Fund Utilization Report'!$A$4:$U$1800,7,FALSE)</f>
        <v>706</v>
      </c>
      <c r="Z173" s="321" t="str">
        <f>VLOOKUP(H173,'Fund Utilization Report'!$A$4:$U$1800,8,FALSE)</f>
        <v>50101020 00</v>
      </c>
      <c r="AA173" s="319" t="str">
        <f>VLOOKUP(H173,'Fund Utilization Report'!$A$4:$U$1800,14,FALSE)</f>
        <v>330100100003000</v>
      </c>
      <c r="AB173" s="349" t="str">
        <f>VLOOKUP(H173,'Fund Utilization Report'!$A$4:$U$1800,15,FALSE)</f>
        <v>MSME Development Program : Program Beneficiaries Development Component of the Comprehensive Agrarian Reform Program</v>
      </c>
      <c r="AC173" s="39" t="s">
        <v>0</v>
      </c>
      <c r="AD173" s="34">
        <v>1</v>
      </c>
      <c r="AE173" s="39">
        <v>731</v>
      </c>
      <c r="AF173" s="51" t="str">
        <f>VLOOKUP(AE173,'[2]Chart of accounts'!A:H,2,FALSE)</f>
        <v>50103010 00</v>
      </c>
      <c r="AG173" s="53" t="s">
        <v>4</v>
      </c>
      <c r="AH173" s="40" t="s">
        <v>862</v>
      </c>
    </row>
    <row r="174" spans="1:34" s="32" customFormat="1" ht="27.6">
      <c r="A174" s="338" t="s">
        <v>942</v>
      </c>
      <c r="B174" s="338" t="s">
        <v>943</v>
      </c>
      <c r="C174" s="358">
        <v>44224</v>
      </c>
      <c r="D174" s="351" t="s">
        <v>759</v>
      </c>
      <c r="E174" s="352" t="s">
        <v>868</v>
      </c>
      <c r="F174" s="338">
        <v>0.6694444444444444</v>
      </c>
      <c r="G174" s="338">
        <v>0.67152777777777783</v>
      </c>
      <c r="H174" s="338" t="s">
        <v>999</v>
      </c>
      <c r="I174" s="353">
        <v>732</v>
      </c>
      <c r="J174" s="338" t="str">
        <f>IFERROR(VLOOKUP(I174,'Chart of accounts'!A:H,2,FALSE),"")</f>
        <v>50103020 01</v>
      </c>
      <c r="K174" s="338" t="str">
        <f>IFERROR(VLOOKUP(I174,'Chart of accounts'!A:H,3,FALSE),"")</f>
        <v>Pag-IBIG - Civilian</v>
      </c>
      <c r="L174" s="338" t="str">
        <f>IFERROR(VLOOKUP(I174,'Chart of accounts'!A:H,4,FALSE),"")</f>
        <v>50103020 01 - Pag-IBIG - Civilian (732)</v>
      </c>
      <c r="M174" s="360" t="s">
        <v>769</v>
      </c>
      <c r="N174" s="355" t="s">
        <v>869</v>
      </c>
      <c r="O174" s="355" t="s">
        <v>864</v>
      </c>
      <c r="P174" s="355"/>
      <c r="Q174" s="363">
        <v>100</v>
      </c>
      <c r="R174" s="319">
        <f t="shared" si="1"/>
        <v>-100</v>
      </c>
      <c r="S174" s="319" t="str">
        <f>VLOOKUP(H174,'Fund Utilization Report'!$A$4:$U$1800,13,FALSE)</f>
        <v>PS</v>
      </c>
      <c r="T174" s="319" t="str">
        <f>VLOOKUP(H174,'Fund Utilization Report'!$A$4:$U$1800,2,FALSE)</f>
        <v>SAA15</v>
      </c>
      <c r="U174" s="319" t="str">
        <f>VLOOKUP(H174,'Fund Utilization Report'!$A$4:$U$1800,3,FALSE)</f>
        <v>2021-01-0015</v>
      </c>
      <c r="V174" s="319" t="str">
        <f>VLOOKUP(H174,'Fund Utilization Report'!$A$4:$U$1800,4,FALSE)</f>
        <v>CARP</v>
      </c>
      <c r="W174" s="319" t="str">
        <f>VLOOKUP(H174,'Fund Utilization Report'!$A$4:$U$1800,5,FALSE)</f>
        <v>01101101</v>
      </c>
      <c r="X174" s="319" t="str">
        <f>VLOOKUP(H174,'Fund Utilization Report'!$A$4:$U$1800,6,FALSE)</f>
        <v>GOP</v>
      </c>
      <c r="Y174" s="320">
        <f>VLOOKUP(H174,'Fund Utilization Report'!$A$4:$U$1800,7,FALSE)</f>
        <v>706</v>
      </c>
      <c r="Z174" s="321" t="str">
        <f>VLOOKUP(H174,'Fund Utilization Report'!$A$4:$U$1800,8,FALSE)</f>
        <v>50101020 00</v>
      </c>
      <c r="AA174" s="319" t="str">
        <f>VLOOKUP(H174,'Fund Utilization Report'!$A$4:$U$1800,14,FALSE)</f>
        <v>330100100003000</v>
      </c>
      <c r="AB174" s="349" t="str">
        <f>VLOOKUP(H174,'Fund Utilization Report'!$A$4:$U$1800,15,FALSE)</f>
        <v>MSME Development Program : Program Beneficiaries Development Component of the Comprehensive Agrarian Reform Program</v>
      </c>
      <c r="AC174" s="39" t="s">
        <v>0</v>
      </c>
      <c r="AD174" s="34">
        <v>1</v>
      </c>
      <c r="AE174" s="39">
        <v>732</v>
      </c>
      <c r="AF174" s="51" t="str">
        <f>VLOOKUP(AE174,'[2]Chart of accounts'!A:H,2,FALSE)</f>
        <v>50103020 01</v>
      </c>
      <c r="AG174" s="53" t="s">
        <v>4</v>
      </c>
      <c r="AH174" s="40" t="s">
        <v>862</v>
      </c>
    </row>
    <row r="175" spans="1:34" s="32" customFormat="1" ht="27.6">
      <c r="A175" s="338" t="s">
        <v>942</v>
      </c>
      <c r="B175" s="338" t="s">
        <v>943</v>
      </c>
      <c r="C175" s="358">
        <v>44224</v>
      </c>
      <c r="D175" s="351" t="s">
        <v>759</v>
      </c>
      <c r="E175" s="352" t="s">
        <v>868</v>
      </c>
      <c r="F175" s="338">
        <v>0.6694444444444444</v>
      </c>
      <c r="G175" s="338">
        <v>0.67152777777777783</v>
      </c>
      <c r="H175" s="338" t="s">
        <v>999</v>
      </c>
      <c r="I175" s="353">
        <v>733</v>
      </c>
      <c r="J175" s="338" t="str">
        <f>IFERROR(VLOOKUP(I175,'Chart of accounts'!A:H,2,FALSE),"")</f>
        <v>50103030 01</v>
      </c>
      <c r="K175" s="338" t="str">
        <f>IFERROR(VLOOKUP(I175,'Chart of accounts'!A:H,3,FALSE),"")</f>
        <v>PhilHealth - Civilian</v>
      </c>
      <c r="L175" s="338" t="str">
        <f>IFERROR(VLOOKUP(I175,'Chart of accounts'!A:H,4,FALSE),"")</f>
        <v>50103030 01 - PhilHealth - Civilian (733)</v>
      </c>
      <c r="M175" s="360" t="s">
        <v>769</v>
      </c>
      <c r="N175" s="355" t="s">
        <v>869</v>
      </c>
      <c r="O175" s="355" t="s">
        <v>864</v>
      </c>
      <c r="P175" s="355"/>
      <c r="Q175" s="363">
        <v>503.63</v>
      </c>
      <c r="R175" s="319">
        <f t="shared" ref="R175:R238" si="2">P175-Q175</f>
        <v>-503.63</v>
      </c>
      <c r="S175" s="319" t="str">
        <f>VLOOKUP(H175,'Fund Utilization Report'!$A$4:$U$1800,13,FALSE)</f>
        <v>PS</v>
      </c>
      <c r="T175" s="319" t="str">
        <f>VLOOKUP(H175,'Fund Utilization Report'!$A$4:$U$1800,2,FALSE)</f>
        <v>SAA15</v>
      </c>
      <c r="U175" s="319" t="str">
        <f>VLOOKUP(H175,'Fund Utilization Report'!$A$4:$U$1800,3,FALSE)</f>
        <v>2021-01-0015</v>
      </c>
      <c r="V175" s="319" t="str">
        <f>VLOOKUP(H175,'Fund Utilization Report'!$A$4:$U$1800,4,FALSE)</f>
        <v>CARP</v>
      </c>
      <c r="W175" s="319" t="str">
        <f>VLOOKUP(H175,'Fund Utilization Report'!$A$4:$U$1800,5,FALSE)</f>
        <v>01101101</v>
      </c>
      <c r="X175" s="319" t="str">
        <f>VLOOKUP(H175,'Fund Utilization Report'!$A$4:$U$1800,6,FALSE)</f>
        <v>GOP</v>
      </c>
      <c r="Y175" s="320">
        <f>VLOOKUP(H175,'Fund Utilization Report'!$A$4:$U$1800,7,FALSE)</f>
        <v>706</v>
      </c>
      <c r="Z175" s="321" t="str">
        <f>VLOOKUP(H175,'Fund Utilization Report'!$A$4:$U$1800,8,FALSE)</f>
        <v>50101020 00</v>
      </c>
      <c r="AA175" s="319" t="str">
        <f>VLOOKUP(H175,'Fund Utilization Report'!$A$4:$U$1800,14,FALSE)</f>
        <v>330100100003000</v>
      </c>
      <c r="AB175" s="349" t="str">
        <f>VLOOKUP(H175,'Fund Utilization Report'!$A$4:$U$1800,15,FALSE)</f>
        <v>MSME Development Program : Program Beneficiaries Development Component of the Comprehensive Agrarian Reform Program</v>
      </c>
      <c r="AC175" s="39" t="s">
        <v>0</v>
      </c>
      <c r="AD175" s="34">
        <v>1</v>
      </c>
      <c r="AE175" s="39">
        <v>733</v>
      </c>
      <c r="AF175" s="51" t="str">
        <f>VLOOKUP(AE175,'[2]Chart of accounts'!A:H,2,FALSE)</f>
        <v>50103030 01</v>
      </c>
      <c r="AG175" s="53" t="s">
        <v>4</v>
      </c>
      <c r="AH175" s="40" t="s">
        <v>862</v>
      </c>
    </row>
    <row r="176" spans="1:34" s="32" customFormat="1" ht="27.6">
      <c r="A176" s="338" t="s">
        <v>942</v>
      </c>
      <c r="B176" s="338" t="s">
        <v>943</v>
      </c>
      <c r="C176" s="358">
        <v>44224</v>
      </c>
      <c r="D176" s="351" t="s">
        <v>759</v>
      </c>
      <c r="E176" s="352" t="s">
        <v>868</v>
      </c>
      <c r="F176" s="338">
        <v>0.6694444444444444</v>
      </c>
      <c r="G176" s="338">
        <v>0.67152777777777783</v>
      </c>
      <c r="H176" s="338" t="s">
        <v>999</v>
      </c>
      <c r="I176" s="353">
        <v>734</v>
      </c>
      <c r="J176" s="338" t="str">
        <f>IFERROR(VLOOKUP(I176,'Chart of accounts'!A:H,2,FALSE),"")</f>
        <v>50103040 01</v>
      </c>
      <c r="K176" s="338" t="str">
        <f>IFERROR(VLOOKUP(I176,'Chart of accounts'!A:H,3,FALSE),"")</f>
        <v>ECIP - Civilian</v>
      </c>
      <c r="L176" s="338" t="str">
        <f>IFERROR(VLOOKUP(I176,'Chart of accounts'!A:H,4,FALSE),"")</f>
        <v>50103040 01 - ECIP - Civilian (734)</v>
      </c>
      <c r="M176" s="360" t="s">
        <v>769</v>
      </c>
      <c r="N176" s="355" t="s">
        <v>869</v>
      </c>
      <c r="O176" s="355" t="s">
        <v>864</v>
      </c>
      <c r="P176" s="355"/>
      <c r="Q176" s="363">
        <v>100</v>
      </c>
      <c r="R176" s="319">
        <f t="shared" si="2"/>
        <v>-100</v>
      </c>
      <c r="S176" s="319" t="str">
        <f>VLOOKUP(H176,'Fund Utilization Report'!$A$4:$U$1800,13,FALSE)</f>
        <v>PS</v>
      </c>
      <c r="T176" s="319" t="str">
        <f>VLOOKUP(H176,'Fund Utilization Report'!$A$4:$U$1800,2,FALSE)</f>
        <v>SAA15</v>
      </c>
      <c r="U176" s="319" t="str">
        <f>VLOOKUP(H176,'Fund Utilization Report'!$A$4:$U$1800,3,FALSE)</f>
        <v>2021-01-0015</v>
      </c>
      <c r="V176" s="319" t="str">
        <f>VLOOKUP(H176,'Fund Utilization Report'!$A$4:$U$1800,4,FALSE)</f>
        <v>CARP</v>
      </c>
      <c r="W176" s="319" t="str">
        <f>VLOOKUP(H176,'Fund Utilization Report'!$A$4:$U$1800,5,FALSE)</f>
        <v>01101101</v>
      </c>
      <c r="X176" s="319" t="str">
        <f>VLOOKUP(H176,'Fund Utilization Report'!$A$4:$U$1800,6,FALSE)</f>
        <v>GOP</v>
      </c>
      <c r="Y176" s="320">
        <f>VLOOKUP(H176,'Fund Utilization Report'!$A$4:$U$1800,7,FALSE)</f>
        <v>706</v>
      </c>
      <c r="Z176" s="321" t="str">
        <f>VLOOKUP(H176,'Fund Utilization Report'!$A$4:$U$1800,8,FALSE)</f>
        <v>50101020 00</v>
      </c>
      <c r="AA176" s="319" t="str">
        <f>VLOOKUP(H176,'Fund Utilization Report'!$A$4:$U$1800,14,FALSE)</f>
        <v>330100100003000</v>
      </c>
      <c r="AB176" s="349" t="str">
        <f>VLOOKUP(H176,'Fund Utilization Report'!$A$4:$U$1800,15,FALSE)</f>
        <v>MSME Development Program : Program Beneficiaries Development Component of the Comprehensive Agrarian Reform Program</v>
      </c>
      <c r="AC176" s="39" t="s">
        <v>0</v>
      </c>
      <c r="AD176" s="34">
        <v>1</v>
      </c>
      <c r="AE176" s="39">
        <v>734</v>
      </c>
      <c r="AF176" s="51" t="str">
        <f>VLOOKUP(AE176,'[2]Chart of accounts'!A:H,2,FALSE)</f>
        <v>50103040 01</v>
      </c>
      <c r="AG176" s="53" t="s">
        <v>4</v>
      </c>
      <c r="AH176" s="40" t="s">
        <v>862</v>
      </c>
    </row>
    <row r="177" spans="1:34" s="32" customFormat="1" ht="27.6">
      <c r="A177" s="338" t="s">
        <v>942</v>
      </c>
      <c r="B177" s="338" t="s">
        <v>943</v>
      </c>
      <c r="C177" s="358">
        <v>44224</v>
      </c>
      <c r="D177" s="351" t="s">
        <v>759</v>
      </c>
      <c r="E177" s="352" t="s">
        <v>870</v>
      </c>
      <c r="F177" s="338">
        <v>0.67152777777777783</v>
      </c>
      <c r="G177" s="338">
        <v>0.6743055555555556</v>
      </c>
      <c r="H177" s="338" t="s">
        <v>999</v>
      </c>
      <c r="I177" s="353">
        <v>706</v>
      </c>
      <c r="J177" s="338" t="str">
        <f>IFERROR(VLOOKUP(I177,'Chart of accounts'!A:H,2,FALSE),"")</f>
        <v>50101020 00</v>
      </c>
      <c r="K177" s="338" t="str">
        <f>IFERROR(VLOOKUP(I177,'Chart of accounts'!A:H,3,FALSE),"")</f>
        <v>Basic Salary - Contractual</v>
      </c>
      <c r="L177" s="338" t="str">
        <f>IFERROR(VLOOKUP(I177,'Chart of accounts'!A:H,4,FALSE),"")</f>
        <v>50101020 00 - Basic Salary - Contractual (706)</v>
      </c>
      <c r="M177" s="360" t="s">
        <v>771</v>
      </c>
      <c r="N177" s="355" t="s">
        <v>768</v>
      </c>
      <c r="O177" s="355" t="s">
        <v>864</v>
      </c>
      <c r="P177" s="355"/>
      <c r="Q177" s="363">
        <v>77256</v>
      </c>
      <c r="R177" s="319">
        <f t="shared" si="2"/>
        <v>-77256</v>
      </c>
      <c r="S177" s="319" t="str">
        <f>VLOOKUP(H177,'Fund Utilization Report'!$A$4:$U$1800,13,FALSE)</f>
        <v>PS</v>
      </c>
      <c r="T177" s="319" t="str">
        <f>VLOOKUP(H177,'Fund Utilization Report'!$A$4:$U$1800,2,FALSE)</f>
        <v>SAA15</v>
      </c>
      <c r="U177" s="319" t="str">
        <f>VLOOKUP(H177,'Fund Utilization Report'!$A$4:$U$1800,3,FALSE)</f>
        <v>2021-01-0015</v>
      </c>
      <c r="V177" s="319" t="str">
        <f>VLOOKUP(H177,'Fund Utilization Report'!$A$4:$U$1800,4,FALSE)</f>
        <v>CARP</v>
      </c>
      <c r="W177" s="319" t="str">
        <f>VLOOKUP(H177,'Fund Utilization Report'!$A$4:$U$1800,5,FALSE)</f>
        <v>01101101</v>
      </c>
      <c r="X177" s="319" t="str">
        <f>VLOOKUP(H177,'Fund Utilization Report'!$A$4:$U$1800,6,FALSE)</f>
        <v>GOP</v>
      </c>
      <c r="Y177" s="320">
        <f>VLOOKUP(H177,'Fund Utilization Report'!$A$4:$U$1800,7,FALSE)</f>
        <v>706</v>
      </c>
      <c r="Z177" s="321" t="str">
        <f>VLOOKUP(H177,'Fund Utilization Report'!$A$4:$U$1800,8,FALSE)</f>
        <v>50101020 00</v>
      </c>
      <c r="AA177" s="319" t="str">
        <f>VLOOKUP(H177,'Fund Utilization Report'!$A$4:$U$1800,14,FALSE)</f>
        <v>330100100003000</v>
      </c>
      <c r="AB177" s="349" t="str">
        <f>VLOOKUP(H177,'Fund Utilization Report'!$A$4:$U$1800,15,FALSE)</f>
        <v>MSME Development Program : Program Beneficiaries Development Component of the Comprehensive Agrarian Reform Program</v>
      </c>
      <c r="AC177" s="39" t="s">
        <v>0</v>
      </c>
      <c r="AD177" s="34">
        <v>1</v>
      </c>
      <c r="AE177" s="39">
        <v>706</v>
      </c>
      <c r="AF177" s="51" t="str">
        <f>VLOOKUP(AE177,'[2]Chart of accounts'!A:H,2,FALSE)</f>
        <v>50101020 00</v>
      </c>
      <c r="AG177" s="53" t="s">
        <v>4</v>
      </c>
      <c r="AH177" s="40" t="s">
        <v>862</v>
      </c>
    </row>
    <row r="178" spans="1:34" s="32" customFormat="1" ht="27.6">
      <c r="A178" s="338" t="s">
        <v>942</v>
      </c>
      <c r="B178" s="338" t="s">
        <v>943</v>
      </c>
      <c r="C178" s="358">
        <v>44224</v>
      </c>
      <c r="D178" s="351" t="s">
        <v>759</v>
      </c>
      <c r="E178" s="352" t="s">
        <v>870</v>
      </c>
      <c r="F178" s="338">
        <v>0.67152777777777783</v>
      </c>
      <c r="G178" s="338">
        <v>0.6743055555555556</v>
      </c>
      <c r="H178" s="338" t="s">
        <v>999</v>
      </c>
      <c r="I178" s="353">
        <v>711</v>
      </c>
      <c r="J178" s="338" t="str">
        <f>IFERROR(VLOOKUP(I178,'Chart of accounts'!A:H,2,FALSE),"")</f>
        <v>50102010 01</v>
      </c>
      <c r="K178" s="338" t="str">
        <f>IFERROR(VLOOKUP(I178,'Chart of accounts'!A:H,3,FALSE),"")</f>
        <v>PERA - Civilian</v>
      </c>
      <c r="L178" s="338" t="str">
        <f>IFERROR(VLOOKUP(I178,'Chart of accounts'!A:H,4,FALSE),"")</f>
        <v>50102010 01 - PERA - Civilian (711)</v>
      </c>
      <c r="M178" s="360" t="s">
        <v>771</v>
      </c>
      <c r="N178" s="355" t="s">
        <v>768</v>
      </c>
      <c r="O178" s="355" t="s">
        <v>864</v>
      </c>
      <c r="P178" s="355"/>
      <c r="Q178" s="363">
        <v>4000</v>
      </c>
      <c r="R178" s="319">
        <f t="shared" si="2"/>
        <v>-4000</v>
      </c>
      <c r="S178" s="319" t="str">
        <f>VLOOKUP(H178,'Fund Utilization Report'!$A$4:$U$1800,13,FALSE)</f>
        <v>PS</v>
      </c>
      <c r="T178" s="319" t="str">
        <f>VLOOKUP(H178,'Fund Utilization Report'!$A$4:$U$1800,2,FALSE)</f>
        <v>SAA15</v>
      </c>
      <c r="U178" s="319" t="str">
        <f>VLOOKUP(H178,'Fund Utilization Report'!$A$4:$U$1800,3,FALSE)</f>
        <v>2021-01-0015</v>
      </c>
      <c r="V178" s="319" t="str">
        <f>VLOOKUP(H178,'Fund Utilization Report'!$A$4:$U$1800,4,FALSE)</f>
        <v>CARP</v>
      </c>
      <c r="W178" s="319" t="str">
        <f>VLOOKUP(H178,'Fund Utilization Report'!$A$4:$U$1800,5,FALSE)</f>
        <v>01101101</v>
      </c>
      <c r="X178" s="319" t="str">
        <f>VLOOKUP(H178,'Fund Utilization Report'!$A$4:$U$1800,6,FALSE)</f>
        <v>GOP</v>
      </c>
      <c r="Y178" s="320">
        <f>VLOOKUP(H178,'Fund Utilization Report'!$A$4:$U$1800,7,FALSE)</f>
        <v>706</v>
      </c>
      <c r="Z178" s="321" t="str">
        <f>VLOOKUP(H178,'Fund Utilization Report'!$A$4:$U$1800,8,FALSE)</f>
        <v>50101020 00</v>
      </c>
      <c r="AA178" s="319" t="str">
        <f>VLOOKUP(H178,'Fund Utilization Report'!$A$4:$U$1800,14,FALSE)</f>
        <v>330100100003000</v>
      </c>
      <c r="AB178" s="349" t="str">
        <f>VLOOKUP(H178,'Fund Utilization Report'!$A$4:$U$1800,15,FALSE)</f>
        <v>MSME Development Program : Program Beneficiaries Development Component of the Comprehensive Agrarian Reform Program</v>
      </c>
      <c r="AC178" s="39" t="s">
        <v>0</v>
      </c>
      <c r="AD178" s="34">
        <v>1</v>
      </c>
      <c r="AE178" s="39">
        <v>711</v>
      </c>
      <c r="AF178" s="51" t="str">
        <f>VLOOKUP(AE178,'[2]Chart of accounts'!A:H,2,FALSE)</f>
        <v>50102010 01</v>
      </c>
      <c r="AG178" s="53" t="s">
        <v>4</v>
      </c>
      <c r="AH178" s="40" t="s">
        <v>862</v>
      </c>
    </row>
    <row r="179" spans="1:34" s="32" customFormat="1" ht="27.6">
      <c r="A179" s="338" t="s">
        <v>942</v>
      </c>
      <c r="B179" s="338" t="s">
        <v>943</v>
      </c>
      <c r="C179" s="358">
        <v>44224</v>
      </c>
      <c r="D179" s="351" t="s">
        <v>759</v>
      </c>
      <c r="E179" s="352" t="s">
        <v>870</v>
      </c>
      <c r="F179" s="338">
        <v>0.67152777777777783</v>
      </c>
      <c r="G179" s="338">
        <v>0.6743055555555556</v>
      </c>
      <c r="H179" s="338" t="s">
        <v>999</v>
      </c>
      <c r="I179" s="353">
        <v>731</v>
      </c>
      <c r="J179" s="338" t="str">
        <f>IFERROR(VLOOKUP(I179,'Chart of accounts'!A:H,2,FALSE),"")</f>
        <v>50103010 00</v>
      </c>
      <c r="K179" s="338" t="str">
        <f>IFERROR(VLOOKUP(I179,'Chart of accounts'!A:H,3,FALSE),"")</f>
        <v>Retirement and Life Insurance Premiums</v>
      </c>
      <c r="L179" s="338" t="str">
        <f>IFERROR(VLOOKUP(I179,'Chart of accounts'!A:H,4,FALSE),"")</f>
        <v>50103010 00 - Retirement and Life Insurance Premiums (731)</v>
      </c>
      <c r="M179" s="360" t="s">
        <v>771</v>
      </c>
      <c r="N179" s="355" t="s">
        <v>768</v>
      </c>
      <c r="O179" s="355" t="s">
        <v>864</v>
      </c>
      <c r="P179" s="355"/>
      <c r="Q179" s="363">
        <v>9270.7199999999993</v>
      </c>
      <c r="R179" s="319">
        <f t="shared" si="2"/>
        <v>-9270.7199999999993</v>
      </c>
      <c r="S179" s="319" t="str">
        <f>VLOOKUP(H179,'Fund Utilization Report'!$A$4:$U$1800,13,FALSE)</f>
        <v>PS</v>
      </c>
      <c r="T179" s="319" t="str">
        <f>VLOOKUP(H179,'Fund Utilization Report'!$A$4:$U$1800,2,FALSE)</f>
        <v>SAA15</v>
      </c>
      <c r="U179" s="319" t="str">
        <f>VLOOKUP(H179,'Fund Utilization Report'!$A$4:$U$1800,3,FALSE)</f>
        <v>2021-01-0015</v>
      </c>
      <c r="V179" s="319" t="str">
        <f>VLOOKUP(H179,'Fund Utilization Report'!$A$4:$U$1800,4,FALSE)</f>
        <v>CARP</v>
      </c>
      <c r="W179" s="319" t="str">
        <f>VLOOKUP(H179,'Fund Utilization Report'!$A$4:$U$1800,5,FALSE)</f>
        <v>01101101</v>
      </c>
      <c r="X179" s="319" t="str">
        <f>VLOOKUP(H179,'Fund Utilization Report'!$A$4:$U$1800,6,FALSE)</f>
        <v>GOP</v>
      </c>
      <c r="Y179" s="320">
        <f>VLOOKUP(H179,'Fund Utilization Report'!$A$4:$U$1800,7,FALSE)</f>
        <v>706</v>
      </c>
      <c r="Z179" s="321" t="str">
        <f>VLOOKUP(H179,'Fund Utilization Report'!$A$4:$U$1800,8,FALSE)</f>
        <v>50101020 00</v>
      </c>
      <c r="AA179" s="319" t="str">
        <f>VLOOKUP(H179,'Fund Utilization Report'!$A$4:$U$1800,14,FALSE)</f>
        <v>330100100003000</v>
      </c>
      <c r="AB179" s="349" t="str">
        <f>VLOOKUP(H179,'Fund Utilization Report'!$A$4:$U$1800,15,FALSE)</f>
        <v>MSME Development Program : Program Beneficiaries Development Component of the Comprehensive Agrarian Reform Program</v>
      </c>
      <c r="AC179" s="39" t="s">
        <v>0</v>
      </c>
      <c r="AD179" s="34">
        <v>1</v>
      </c>
      <c r="AE179" s="39">
        <v>731</v>
      </c>
      <c r="AF179" s="51" t="str">
        <f>VLOOKUP(AE179,'[2]Chart of accounts'!A:H,2,FALSE)</f>
        <v>50103010 00</v>
      </c>
      <c r="AG179" s="53" t="s">
        <v>4</v>
      </c>
      <c r="AH179" s="40" t="s">
        <v>862</v>
      </c>
    </row>
    <row r="180" spans="1:34" s="32" customFormat="1" ht="27.6">
      <c r="A180" s="338" t="s">
        <v>942</v>
      </c>
      <c r="B180" s="338" t="s">
        <v>943</v>
      </c>
      <c r="C180" s="358">
        <v>44224</v>
      </c>
      <c r="D180" s="351" t="s">
        <v>759</v>
      </c>
      <c r="E180" s="352" t="s">
        <v>870</v>
      </c>
      <c r="F180" s="338">
        <v>0.67152777777777783</v>
      </c>
      <c r="G180" s="338">
        <v>0.6743055555555556</v>
      </c>
      <c r="H180" s="338" t="s">
        <v>999</v>
      </c>
      <c r="I180" s="353">
        <v>732</v>
      </c>
      <c r="J180" s="338" t="str">
        <f>IFERROR(VLOOKUP(I180,'Chart of accounts'!A:H,2,FALSE),"")</f>
        <v>50103020 01</v>
      </c>
      <c r="K180" s="338" t="str">
        <f>IFERROR(VLOOKUP(I180,'Chart of accounts'!A:H,3,FALSE),"")</f>
        <v>Pag-IBIG - Civilian</v>
      </c>
      <c r="L180" s="338" t="str">
        <f>IFERROR(VLOOKUP(I180,'Chart of accounts'!A:H,4,FALSE),"")</f>
        <v>50103020 01 - Pag-IBIG - Civilian (732)</v>
      </c>
      <c r="M180" s="360" t="s">
        <v>771</v>
      </c>
      <c r="N180" s="355" t="s">
        <v>768</v>
      </c>
      <c r="O180" s="355" t="s">
        <v>864</v>
      </c>
      <c r="P180" s="355"/>
      <c r="Q180" s="363">
        <v>200</v>
      </c>
      <c r="R180" s="319">
        <f t="shared" si="2"/>
        <v>-200</v>
      </c>
      <c r="S180" s="319" t="str">
        <f>VLOOKUP(H180,'Fund Utilization Report'!$A$4:$U$1800,13,FALSE)</f>
        <v>PS</v>
      </c>
      <c r="T180" s="319" t="str">
        <f>VLOOKUP(H180,'Fund Utilization Report'!$A$4:$U$1800,2,FALSE)</f>
        <v>SAA15</v>
      </c>
      <c r="U180" s="319" t="str">
        <f>VLOOKUP(H180,'Fund Utilization Report'!$A$4:$U$1800,3,FALSE)</f>
        <v>2021-01-0015</v>
      </c>
      <c r="V180" s="319" t="str">
        <f>VLOOKUP(H180,'Fund Utilization Report'!$A$4:$U$1800,4,FALSE)</f>
        <v>CARP</v>
      </c>
      <c r="W180" s="319" t="str">
        <f>VLOOKUP(H180,'Fund Utilization Report'!$A$4:$U$1800,5,FALSE)</f>
        <v>01101101</v>
      </c>
      <c r="X180" s="319" t="str">
        <f>VLOOKUP(H180,'Fund Utilization Report'!$A$4:$U$1800,6,FALSE)</f>
        <v>GOP</v>
      </c>
      <c r="Y180" s="320">
        <f>VLOOKUP(H180,'Fund Utilization Report'!$A$4:$U$1800,7,FALSE)</f>
        <v>706</v>
      </c>
      <c r="Z180" s="321" t="str">
        <f>VLOOKUP(H180,'Fund Utilization Report'!$A$4:$U$1800,8,FALSE)</f>
        <v>50101020 00</v>
      </c>
      <c r="AA180" s="319" t="str">
        <f>VLOOKUP(H180,'Fund Utilization Report'!$A$4:$U$1800,14,FALSE)</f>
        <v>330100100003000</v>
      </c>
      <c r="AB180" s="349" t="str">
        <f>VLOOKUP(H180,'Fund Utilization Report'!$A$4:$U$1800,15,FALSE)</f>
        <v>MSME Development Program : Program Beneficiaries Development Component of the Comprehensive Agrarian Reform Program</v>
      </c>
      <c r="AC180" s="39" t="s">
        <v>0</v>
      </c>
      <c r="AD180" s="34">
        <v>1</v>
      </c>
      <c r="AE180" s="39">
        <v>732</v>
      </c>
      <c r="AF180" s="51" t="str">
        <f>VLOOKUP(AE180,'[2]Chart of accounts'!A:H,2,FALSE)</f>
        <v>50103020 01</v>
      </c>
      <c r="AG180" s="53" t="s">
        <v>4</v>
      </c>
      <c r="AH180" s="40" t="s">
        <v>862</v>
      </c>
    </row>
    <row r="181" spans="1:34" s="32" customFormat="1" ht="27.6">
      <c r="A181" s="338" t="s">
        <v>942</v>
      </c>
      <c r="B181" s="338" t="s">
        <v>943</v>
      </c>
      <c r="C181" s="358">
        <v>44224</v>
      </c>
      <c r="D181" s="351" t="s">
        <v>759</v>
      </c>
      <c r="E181" s="352" t="s">
        <v>870</v>
      </c>
      <c r="F181" s="338">
        <v>0.67152777777777783</v>
      </c>
      <c r="G181" s="338">
        <v>0.6743055555555556</v>
      </c>
      <c r="H181" s="338" t="s">
        <v>999</v>
      </c>
      <c r="I181" s="353">
        <v>733</v>
      </c>
      <c r="J181" s="338" t="str">
        <f>IFERROR(VLOOKUP(I181,'Chart of accounts'!A:H,2,FALSE),"")</f>
        <v>50103030 01</v>
      </c>
      <c r="K181" s="338" t="str">
        <f>IFERROR(VLOOKUP(I181,'Chart of accounts'!A:H,3,FALSE),"")</f>
        <v>PhilHealth - Civilian</v>
      </c>
      <c r="L181" s="338" t="str">
        <f>IFERROR(VLOOKUP(I181,'Chart of accounts'!A:H,4,FALSE),"")</f>
        <v>50103030 01 - PhilHealth - Civilian (733)</v>
      </c>
      <c r="M181" s="360" t="s">
        <v>771</v>
      </c>
      <c r="N181" s="355" t="s">
        <v>768</v>
      </c>
      <c r="O181" s="355" t="s">
        <v>864</v>
      </c>
      <c r="P181" s="355"/>
      <c r="Q181" s="363">
        <v>1158.8499999999999</v>
      </c>
      <c r="R181" s="319">
        <f t="shared" si="2"/>
        <v>-1158.8499999999999</v>
      </c>
      <c r="S181" s="319" t="str">
        <f>VLOOKUP(H181,'Fund Utilization Report'!$A$4:$U$1800,13,FALSE)</f>
        <v>PS</v>
      </c>
      <c r="T181" s="319" t="str">
        <f>VLOOKUP(H181,'Fund Utilization Report'!$A$4:$U$1800,2,FALSE)</f>
        <v>SAA15</v>
      </c>
      <c r="U181" s="319" t="str">
        <f>VLOOKUP(H181,'Fund Utilization Report'!$A$4:$U$1800,3,FALSE)</f>
        <v>2021-01-0015</v>
      </c>
      <c r="V181" s="319" t="str">
        <f>VLOOKUP(H181,'Fund Utilization Report'!$A$4:$U$1800,4,FALSE)</f>
        <v>CARP</v>
      </c>
      <c r="W181" s="319" t="str">
        <f>VLOOKUP(H181,'Fund Utilization Report'!$A$4:$U$1800,5,FALSE)</f>
        <v>01101101</v>
      </c>
      <c r="X181" s="319" t="str">
        <f>VLOOKUP(H181,'Fund Utilization Report'!$A$4:$U$1800,6,FALSE)</f>
        <v>GOP</v>
      </c>
      <c r="Y181" s="320">
        <f>VLOOKUP(H181,'Fund Utilization Report'!$A$4:$U$1800,7,FALSE)</f>
        <v>706</v>
      </c>
      <c r="Z181" s="321" t="str">
        <f>VLOOKUP(H181,'Fund Utilization Report'!$A$4:$U$1800,8,FALSE)</f>
        <v>50101020 00</v>
      </c>
      <c r="AA181" s="319" t="str">
        <f>VLOOKUP(H181,'Fund Utilization Report'!$A$4:$U$1800,14,FALSE)</f>
        <v>330100100003000</v>
      </c>
      <c r="AB181" s="349" t="str">
        <f>VLOOKUP(H181,'Fund Utilization Report'!$A$4:$U$1800,15,FALSE)</f>
        <v>MSME Development Program : Program Beneficiaries Development Component of the Comprehensive Agrarian Reform Program</v>
      </c>
      <c r="AC181" s="39" t="s">
        <v>0</v>
      </c>
      <c r="AD181" s="34">
        <v>1</v>
      </c>
      <c r="AE181" s="39">
        <v>733</v>
      </c>
      <c r="AF181" s="51" t="str">
        <f>VLOOKUP(AE181,'[2]Chart of accounts'!A:H,2,FALSE)</f>
        <v>50103030 01</v>
      </c>
      <c r="AG181" s="53" t="s">
        <v>4</v>
      </c>
      <c r="AH181" s="40" t="s">
        <v>862</v>
      </c>
    </row>
    <row r="182" spans="1:34" s="32" customFormat="1" ht="27.6">
      <c r="A182" s="338" t="s">
        <v>942</v>
      </c>
      <c r="B182" s="338" t="s">
        <v>943</v>
      </c>
      <c r="C182" s="358">
        <v>44224</v>
      </c>
      <c r="D182" s="351" t="s">
        <v>759</v>
      </c>
      <c r="E182" s="352" t="s">
        <v>870</v>
      </c>
      <c r="F182" s="338">
        <v>0.67152777777777783</v>
      </c>
      <c r="G182" s="338">
        <v>0.6743055555555556</v>
      </c>
      <c r="H182" s="338" t="s">
        <v>999</v>
      </c>
      <c r="I182" s="353">
        <v>734</v>
      </c>
      <c r="J182" s="338" t="str">
        <f>IFERROR(VLOOKUP(I182,'Chart of accounts'!A:H,2,FALSE),"")</f>
        <v>50103040 01</v>
      </c>
      <c r="K182" s="338" t="str">
        <f>IFERROR(VLOOKUP(I182,'Chart of accounts'!A:H,3,FALSE),"")</f>
        <v>ECIP - Civilian</v>
      </c>
      <c r="L182" s="338" t="str">
        <f>IFERROR(VLOOKUP(I182,'Chart of accounts'!A:H,4,FALSE),"")</f>
        <v>50103040 01 - ECIP - Civilian (734)</v>
      </c>
      <c r="M182" s="360" t="s">
        <v>771</v>
      </c>
      <c r="N182" s="355" t="s">
        <v>768</v>
      </c>
      <c r="O182" s="355" t="s">
        <v>864</v>
      </c>
      <c r="P182" s="355"/>
      <c r="Q182" s="363">
        <v>200</v>
      </c>
      <c r="R182" s="319">
        <f t="shared" si="2"/>
        <v>-200</v>
      </c>
      <c r="S182" s="319" t="str">
        <f>VLOOKUP(H182,'Fund Utilization Report'!$A$4:$U$1800,13,FALSE)</f>
        <v>PS</v>
      </c>
      <c r="T182" s="319" t="str">
        <f>VLOOKUP(H182,'Fund Utilization Report'!$A$4:$U$1800,2,FALSE)</f>
        <v>SAA15</v>
      </c>
      <c r="U182" s="319" t="str">
        <f>VLOOKUP(H182,'Fund Utilization Report'!$A$4:$U$1800,3,FALSE)</f>
        <v>2021-01-0015</v>
      </c>
      <c r="V182" s="319" t="str">
        <f>VLOOKUP(H182,'Fund Utilization Report'!$A$4:$U$1800,4,FALSE)</f>
        <v>CARP</v>
      </c>
      <c r="W182" s="319" t="str">
        <f>VLOOKUP(H182,'Fund Utilization Report'!$A$4:$U$1800,5,FALSE)</f>
        <v>01101101</v>
      </c>
      <c r="X182" s="319" t="str">
        <f>VLOOKUP(H182,'Fund Utilization Report'!$A$4:$U$1800,6,FALSE)</f>
        <v>GOP</v>
      </c>
      <c r="Y182" s="320">
        <f>VLOOKUP(H182,'Fund Utilization Report'!$A$4:$U$1800,7,FALSE)</f>
        <v>706</v>
      </c>
      <c r="Z182" s="321" t="str">
        <f>VLOOKUP(H182,'Fund Utilization Report'!$A$4:$U$1800,8,FALSE)</f>
        <v>50101020 00</v>
      </c>
      <c r="AA182" s="319" t="str">
        <f>VLOOKUP(H182,'Fund Utilization Report'!$A$4:$U$1800,14,FALSE)</f>
        <v>330100100003000</v>
      </c>
      <c r="AB182" s="349" t="str">
        <f>VLOOKUP(H182,'Fund Utilization Report'!$A$4:$U$1800,15,FALSE)</f>
        <v>MSME Development Program : Program Beneficiaries Development Component of the Comprehensive Agrarian Reform Program</v>
      </c>
      <c r="AC182" s="39" t="s">
        <v>0</v>
      </c>
      <c r="AD182" s="34">
        <v>1</v>
      </c>
      <c r="AE182" s="39">
        <v>734</v>
      </c>
      <c r="AF182" s="51" t="str">
        <f>VLOOKUP(AE182,'[2]Chart of accounts'!A:H,2,FALSE)</f>
        <v>50103040 01</v>
      </c>
      <c r="AG182" s="53" t="s">
        <v>4</v>
      </c>
      <c r="AH182" s="40" t="s">
        <v>862</v>
      </c>
    </row>
    <row r="183" spans="1:34" s="32" customFormat="1" ht="27.6">
      <c r="A183" s="338" t="s">
        <v>942</v>
      </c>
      <c r="B183" s="338" t="s">
        <v>943</v>
      </c>
      <c r="C183" s="358">
        <v>44224</v>
      </c>
      <c r="D183" s="351" t="s">
        <v>759</v>
      </c>
      <c r="E183" s="352" t="s">
        <v>871</v>
      </c>
      <c r="F183" s="338">
        <v>0.6743055555555556</v>
      </c>
      <c r="G183" s="338">
        <v>0.67499999999999993</v>
      </c>
      <c r="H183" s="338" t="s">
        <v>999</v>
      </c>
      <c r="I183" s="353">
        <v>706</v>
      </c>
      <c r="J183" s="338" t="str">
        <f>IFERROR(VLOOKUP(I183,'Chart of accounts'!A:H,2,FALSE),"")</f>
        <v>50101020 00</v>
      </c>
      <c r="K183" s="338" t="str">
        <f>IFERROR(VLOOKUP(I183,'Chart of accounts'!A:H,3,FALSE),"")</f>
        <v>Basic Salary - Contractual</v>
      </c>
      <c r="L183" s="338" t="str">
        <f>IFERROR(VLOOKUP(I183,'Chart of accounts'!A:H,4,FALSE),"")</f>
        <v>50101020 00 - Basic Salary - Contractual (706)</v>
      </c>
      <c r="M183" s="360" t="s">
        <v>770</v>
      </c>
      <c r="N183" s="355" t="s">
        <v>872</v>
      </c>
      <c r="O183" s="355" t="s">
        <v>864</v>
      </c>
      <c r="P183" s="355"/>
      <c r="Q183" s="363">
        <v>33575</v>
      </c>
      <c r="R183" s="319">
        <f t="shared" si="2"/>
        <v>-33575</v>
      </c>
      <c r="S183" s="319" t="str">
        <f>VLOOKUP(H183,'Fund Utilization Report'!$A$4:$U$1800,13,FALSE)</f>
        <v>PS</v>
      </c>
      <c r="T183" s="319" t="str">
        <f>VLOOKUP(H183,'Fund Utilization Report'!$A$4:$U$1800,2,FALSE)</f>
        <v>SAA15</v>
      </c>
      <c r="U183" s="319" t="str">
        <f>VLOOKUP(H183,'Fund Utilization Report'!$A$4:$U$1800,3,FALSE)</f>
        <v>2021-01-0015</v>
      </c>
      <c r="V183" s="319" t="str">
        <f>VLOOKUP(H183,'Fund Utilization Report'!$A$4:$U$1800,4,FALSE)</f>
        <v>CARP</v>
      </c>
      <c r="W183" s="319" t="str">
        <f>VLOOKUP(H183,'Fund Utilization Report'!$A$4:$U$1800,5,FALSE)</f>
        <v>01101101</v>
      </c>
      <c r="X183" s="319" t="str">
        <f>VLOOKUP(H183,'Fund Utilization Report'!$A$4:$U$1800,6,FALSE)</f>
        <v>GOP</v>
      </c>
      <c r="Y183" s="320">
        <f>VLOOKUP(H183,'Fund Utilization Report'!$A$4:$U$1800,7,FALSE)</f>
        <v>706</v>
      </c>
      <c r="Z183" s="321" t="str">
        <f>VLOOKUP(H183,'Fund Utilization Report'!$A$4:$U$1800,8,FALSE)</f>
        <v>50101020 00</v>
      </c>
      <c r="AA183" s="319" t="str">
        <f>VLOOKUP(H183,'Fund Utilization Report'!$A$4:$U$1800,14,FALSE)</f>
        <v>330100100003000</v>
      </c>
      <c r="AB183" s="349" t="str">
        <f>VLOOKUP(H183,'Fund Utilization Report'!$A$4:$U$1800,15,FALSE)</f>
        <v>MSME Development Program : Program Beneficiaries Development Component of the Comprehensive Agrarian Reform Program</v>
      </c>
      <c r="AC183" s="39" t="s">
        <v>0</v>
      </c>
      <c r="AD183" s="34">
        <v>1</v>
      </c>
      <c r="AE183" s="39">
        <v>706</v>
      </c>
      <c r="AF183" s="51" t="str">
        <f>VLOOKUP(AE183,'[2]Chart of accounts'!A:H,2,FALSE)</f>
        <v>50101020 00</v>
      </c>
      <c r="AG183" s="53" t="s">
        <v>4</v>
      </c>
      <c r="AH183" s="40" t="s">
        <v>862</v>
      </c>
    </row>
    <row r="184" spans="1:34" s="32" customFormat="1" ht="27.6">
      <c r="A184" s="338" t="s">
        <v>942</v>
      </c>
      <c r="B184" s="338" t="s">
        <v>943</v>
      </c>
      <c r="C184" s="358">
        <v>44224</v>
      </c>
      <c r="D184" s="351" t="s">
        <v>759</v>
      </c>
      <c r="E184" s="352" t="s">
        <v>871</v>
      </c>
      <c r="F184" s="338">
        <v>0.6743055555555556</v>
      </c>
      <c r="G184" s="338">
        <v>0.67499999999999993</v>
      </c>
      <c r="H184" s="338" t="s">
        <v>999</v>
      </c>
      <c r="I184" s="353">
        <v>711</v>
      </c>
      <c r="J184" s="338" t="str">
        <f>IFERROR(VLOOKUP(I184,'Chart of accounts'!A:H,2,FALSE),"")</f>
        <v>50102010 01</v>
      </c>
      <c r="K184" s="338" t="str">
        <f>IFERROR(VLOOKUP(I184,'Chart of accounts'!A:H,3,FALSE),"")</f>
        <v>PERA - Civilian</v>
      </c>
      <c r="L184" s="338" t="str">
        <f>IFERROR(VLOOKUP(I184,'Chart of accounts'!A:H,4,FALSE),"")</f>
        <v>50102010 01 - PERA - Civilian (711)</v>
      </c>
      <c r="M184" s="361">
        <v>85</v>
      </c>
      <c r="N184" s="355" t="s">
        <v>872</v>
      </c>
      <c r="O184" s="355" t="s">
        <v>864</v>
      </c>
      <c r="P184" s="355"/>
      <c r="Q184" s="363">
        <v>2000</v>
      </c>
      <c r="R184" s="319">
        <f t="shared" si="2"/>
        <v>-2000</v>
      </c>
      <c r="S184" s="319" t="str">
        <f>VLOOKUP(H184,'Fund Utilization Report'!$A$4:$U$1800,13,FALSE)</f>
        <v>PS</v>
      </c>
      <c r="T184" s="319" t="str">
        <f>VLOOKUP(H184,'Fund Utilization Report'!$A$4:$U$1800,2,FALSE)</f>
        <v>SAA15</v>
      </c>
      <c r="U184" s="319" t="str">
        <f>VLOOKUP(H184,'Fund Utilization Report'!$A$4:$U$1800,3,FALSE)</f>
        <v>2021-01-0015</v>
      </c>
      <c r="V184" s="319" t="str">
        <f>VLOOKUP(H184,'Fund Utilization Report'!$A$4:$U$1800,4,FALSE)</f>
        <v>CARP</v>
      </c>
      <c r="W184" s="319" t="str">
        <f>VLOOKUP(H184,'Fund Utilization Report'!$A$4:$U$1800,5,FALSE)</f>
        <v>01101101</v>
      </c>
      <c r="X184" s="319" t="str">
        <f>VLOOKUP(H184,'Fund Utilization Report'!$A$4:$U$1800,6,FALSE)</f>
        <v>GOP</v>
      </c>
      <c r="Y184" s="320">
        <f>VLOOKUP(H184,'Fund Utilization Report'!$A$4:$U$1800,7,FALSE)</f>
        <v>706</v>
      </c>
      <c r="Z184" s="321" t="str">
        <f>VLOOKUP(H184,'Fund Utilization Report'!$A$4:$U$1800,8,FALSE)</f>
        <v>50101020 00</v>
      </c>
      <c r="AA184" s="319" t="str">
        <f>VLOOKUP(H184,'Fund Utilization Report'!$A$4:$U$1800,14,FALSE)</f>
        <v>330100100003000</v>
      </c>
      <c r="AB184" s="349" t="str">
        <f>VLOOKUP(H184,'Fund Utilization Report'!$A$4:$U$1800,15,FALSE)</f>
        <v>MSME Development Program : Program Beneficiaries Development Component of the Comprehensive Agrarian Reform Program</v>
      </c>
      <c r="AC184" s="39" t="s">
        <v>0</v>
      </c>
      <c r="AD184" s="34">
        <v>1</v>
      </c>
      <c r="AE184" s="39">
        <v>711</v>
      </c>
      <c r="AF184" s="51" t="str">
        <f>VLOOKUP(AE184,'[2]Chart of accounts'!A:H,2,FALSE)</f>
        <v>50102010 01</v>
      </c>
      <c r="AG184" s="53" t="s">
        <v>4</v>
      </c>
      <c r="AH184" s="40" t="s">
        <v>862</v>
      </c>
    </row>
    <row r="185" spans="1:34" s="32" customFormat="1" ht="27.6">
      <c r="A185" s="338" t="s">
        <v>942</v>
      </c>
      <c r="B185" s="338" t="s">
        <v>943</v>
      </c>
      <c r="C185" s="358">
        <v>44224</v>
      </c>
      <c r="D185" s="351" t="s">
        <v>759</v>
      </c>
      <c r="E185" s="352" t="s">
        <v>871</v>
      </c>
      <c r="F185" s="338">
        <v>0.6743055555555556</v>
      </c>
      <c r="G185" s="338">
        <v>0.67499999999999993</v>
      </c>
      <c r="H185" s="338" t="s">
        <v>999</v>
      </c>
      <c r="I185" s="353">
        <v>731</v>
      </c>
      <c r="J185" s="338" t="str">
        <f>IFERROR(VLOOKUP(I185,'Chart of accounts'!A:H,2,FALSE),"")</f>
        <v>50103010 00</v>
      </c>
      <c r="K185" s="338" t="str">
        <f>IFERROR(VLOOKUP(I185,'Chart of accounts'!A:H,3,FALSE),"")</f>
        <v>Retirement and Life Insurance Premiums</v>
      </c>
      <c r="L185" s="338" t="str">
        <f>IFERROR(VLOOKUP(I185,'Chart of accounts'!A:H,4,FALSE),"")</f>
        <v>50103010 00 - Retirement and Life Insurance Premiums (731)</v>
      </c>
      <c r="M185" s="361">
        <v>85</v>
      </c>
      <c r="N185" s="355" t="s">
        <v>872</v>
      </c>
      <c r="O185" s="355" t="s">
        <v>864</v>
      </c>
      <c r="P185" s="355"/>
      <c r="Q185" s="363">
        <v>4029</v>
      </c>
      <c r="R185" s="319">
        <f t="shared" si="2"/>
        <v>-4029</v>
      </c>
      <c r="S185" s="319" t="str">
        <f>VLOOKUP(H185,'Fund Utilization Report'!$A$4:$U$1800,13,FALSE)</f>
        <v>PS</v>
      </c>
      <c r="T185" s="319" t="str">
        <f>VLOOKUP(H185,'Fund Utilization Report'!$A$4:$U$1800,2,FALSE)</f>
        <v>SAA15</v>
      </c>
      <c r="U185" s="319" t="str">
        <f>VLOOKUP(H185,'Fund Utilization Report'!$A$4:$U$1800,3,FALSE)</f>
        <v>2021-01-0015</v>
      </c>
      <c r="V185" s="319" t="str">
        <f>VLOOKUP(H185,'Fund Utilization Report'!$A$4:$U$1800,4,FALSE)</f>
        <v>CARP</v>
      </c>
      <c r="W185" s="319" t="str">
        <f>VLOOKUP(H185,'Fund Utilization Report'!$A$4:$U$1800,5,FALSE)</f>
        <v>01101101</v>
      </c>
      <c r="X185" s="319" t="str">
        <f>VLOOKUP(H185,'Fund Utilization Report'!$A$4:$U$1800,6,FALSE)</f>
        <v>GOP</v>
      </c>
      <c r="Y185" s="320">
        <f>VLOOKUP(H185,'Fund Utilization Report'!$A$4:$U$1800,7,FALSE)</f>
        <v>706</v>
      </c>
      <c r="Z185" s="321" t="str">
        <f>VLOOKUP(H185,'Fund Utilization Report'!$A$4:$U$1800,8,FALSE)</f>
        <v>50101020 00</v>
      </c>
      <c r="AA185" s="319" t="str">
        <f>VLOOKUP(H185,'Fund Utilization Report'!$A$4:$U$1800,14,FALSE)</f>
        <v>330100100003000</v>
      </c>
      <c r="AB185" s="349" t="str">
        <f>VLOOKUP(H185,'Fund Utilization Report'!$A$4:$U$1800,15,FALSE)</f>
        <v>MSME Development Program : Program Beneficiaries Development Component of the Comprehensive Agrarian Reform Program</v>
      </c>
      <c r="AC185" s="39" t="s">
        <v>0</v>
      </c>
      <c r="AD185" s="34">
        <v>1</v>
      </c>
      <c r="AE185" s="39">
        <v>731</v>
      </c>
      <c r="AF185" s="51" t="str">
        <f>VLOOKUP(AE185,'[2]Chart of accounts'!A:H,2,FALSE)</f>
        <v>50103010 00</v>
      </c>
      <c r="AG185" s="53" t="s">
        <v>4</v>
      </c>
      <c r="AH185" s="40" t="s">
        <v>862</v>
      </c>
    </row>
    <row r="186" spans="1:34" s="32" customFormat="1" ht="27.6">
      <c r="A186" s="338" t="s">
        <v>942</v>
      </c>
      <c r="B186" s="338" t="s">
        <v>943</v>
      </c>
      <c r="C186" s="358">
        <v>44224</v>
      </c>
      <c r="D186" s="351" t="s">
        <v>759</v>
      </c>
      <c r="E186" s="352" t="s">
        <v>871</v>
      </c>
      <c r="F186" s="338">
        <v>0.6743055555555556</v>
      </c>
      <c r="G186" s="338">
        <v>0.67499999999999993</v>
      </c>
      <c r="H186" s="338" t="s">
        <v>999</v>
      </c>
      <c r="I186" s="353">
        <v>732</v>
      </c>
      <c r="J186" s="338" t="str">
        <f>IFERROR(VLOOKUP(I186,'Chart of accounts'!A:H,2,FALSE),"")</f>
        <v>50103020 01</v>
      </c>
      <c r="K186" s="338" t="str">
        <f>IFERROR(VLOOKUP(I186,'Chart of accounts'!A:H,3,FALSE),"")</f>
        <v>Pag-IBIG - Civilian</v>
      </c>
      <c r="L186" s="338" t="str">
        <f>IFERROR(VLOOKUP(I186,'Chart of accounts'!A:H,4,FALSE),"")</f>
        <v>50103020 01 - Pag-IBIG - Civilian (732)</v>
      </c>
      <c r="M186" s="361">
        <v>85</v>
      </c>
      <c r="N186" s="355" t="s">
        <v>872</v>
      </c>
      <c r="O186" s="355" t="s">
        <v>864</v>
      </c>
      <c r="P186" s="355"/>
      <c r="Q186" s="363">
        <v>100</v>
      </c>
      <c r="R186" s="319">
        <f t="shared" si="2"/>
        <v>-100</v>
      </c>
      <c r="S186" s="319" t="str">
        <f>VLOOKUP(H186,'Fund Utilization Report'!$A$4:$U$1800,13,FALSE)</f>
        <v>PS</v>
      </c>
      <c r="T186" s="319" t="str">
        <f>VLOOKUP(H186,'Fund Utilization Report'!$A$4:$U$1800,2,FALSE)</f>
        <v>SAA15</v>
      </c>
      <c r="U186" s="319" t="str">
        <f>VLOOKUP(H186,'Fund Utilization Report'!$A$4:$U$1800,3,FALSE)</f>
        <v>2021-01-0015</v>
      </c>
      <c r="V186" s="319" t="str">
        <f>VLOOKUP(H186,'Fund Utilization Report'!$A$4:$U$1800,4,FALSE)</f>
        <v>CARP</v>
      </c>
      <c r="W186" s="319" t="str">
        <f>VLOOKUP(H186,'Fund Utilization Report'!$A$4:$U$1800,5,FALSE)</f>
        <v>01101101</v>
      </c>
      <c r="X186" s="319" t="str">
        <f>VLOOKUP(H186,'Fund Utilization Report'!$A$4:$U$1800,6,FALSE)</f>
        <v>GOP</v>
      </c>
      <c r="Y186" s="320">
        <f>VLOOKUP(H186,'Fund Utilization Report'!$A$4:$U$1800,7,FALSE)</f>
        <v>706</v>
      </c>
      <c r="Z186" s="321" t="str">
        <f>VLOOKUP(H186,'Fund Utilization Report'!$A$4:$U$1800,8,FALSE)</f>
        <v>50101020 00</v>
      </c>
      <c r="AA186" s="319" t="str">
        <f>VLOOKUP(H186,'Fund Utilization Report'!$A$4:$U$1800,14,FALSE)</f>
        <v>330100100003000</v>
      </c>
      <c r="AB186" s="349" t="str">
        <f>VLOOKUP(H186,'Fund Utilization Report'!$A$4:$U$1800,15,FALSE)</f>
        <v>MSME Development Program : Program Beneficiaries Development Component of the Comprehensive Agrarian Reform Program</v>
      </c>
      <c r="AC186" s="39" t="s">
        <v>0</v>
      </c>
      <c r="AD186" s="34">
        <v>1</v>
      </c>
      <c r="AE186" s="39">
        <v>732</v>
      </c>
      <c r="AF186" s="51" t="str">
        <f>VLOOKUP(AE186,'[2]Chart of accounts'!A:H,2,FALSE)</f>
        <v>50103020 01</v>
      </c>
      <c r="AG186" s="53" t="s">
        <v>4</v>
      </c>
      <c r="AH186" s="40" t="s">
        <v>862</v>
      </c>
    </row>
    <row r="187" spans="1:34" s="32" customFormat="1" ht="27.6">
      <c r="A187" s="338" t="s">
        <v>942</v>
      </c>
      <c r="B187" s="338" t="s">
        <v>943</v>
      </c>
      <c r="C187" s="358">
        <v>44224</v>
      </c>
      <c r="D187" s="351" t="s">
        <v>759</v>
      </c>
      <c r="E187" s="352" t="s">
        <v>871</v>
      </c>
      <c r="F187" s="338">
        <v>0.6743055555555556</v>
      </c>
      <c r="G187" s="338">
        <v>0.67499999999999993</v>
      </c>
      <c r="H187" s="338" t="s">
        <v>999</v>
      </c>
      <c r="I187" s="353">
        <v>733</v>
      </c>
      <c r="J187" s="338" t="str">
        <f>IFERROR(VLOOKUP(I187,'Chart of accounts'!A:H,2,FALSE),"")</f>
        <v>50103030 01</v>
      </c>
      <c r="K187" s="338" t="str">
        <f>IFERROR(VLOOKUP(I187,'Chart of accounts'!A:H,3,FALSE),"")</f>
        <v>PhilHealth - Civilian</v>
      </c>
      <c r="L187" s="338" t="str">
        <f>IFERROR(VLOOKUP(I187,'Chart of accounts'!A:H,4,FALSE),"")</f>
        <v>50103030 01 - PhilHealth - Civilian (733)</v>
      </c>
      <c r="M187" s="361">
        <v>85</v>
      </c>
      <c r="N187" s="355" t="s">
        <v>872</v>
      </c>
      <c r="O187" s="355" t="s">
        <v>864</v>
      </c>
      <c r="P187" s="355"/>
      <c r="Q187" s="363">
        <v>503.63</v>
      </c>
      <c r="R187" s="319">
        <f t="shared" si="2"/>
        <v>-503.63</v>
      </c>
      <c r="S187" s="319" t="str">
        <f>VLOOKUP(H187,'Fund Utilization Report'!$A$4:$U$1800,13,FALSE)</f>
        <v>PS</v>
      </c>
      <c r="T187" s="319" t="str">
        <f>VLOOKUP(H187,'Fund Utilization Report'!$A$4:$U$1800,2,FALSE)</f>
        <v>SAA15</v>
      </c>
      <c r="U187" s="319" t="str">
        <f>VLOOKUP(H187,'Fund Utilization Report'!$A$4:$U$1800,3,FALSE)</f>
        <v>2021-01-0015</v>
      </c>
      <c r="V187" s="319" t="str">
        <f>VLOOKUP(H187,'Fund Utilization Report'!$A$4:$U$1800,4,FALSE)</f>
        <v>CARP</v>
      </c>
      <c r="W187" s="319" t="str">
        <f>VLOOKUP(H187,'Fund Utilization Report'!$A$4:$U$1800,5,FALSE)</f>
        <v>01101101</v>
      </c>
      <c r="X187" s="319" t="str">
        <f>VLOOKUP(H187,'Fund Utilization Report'!$A$4:$U$1800,6,FALSE)</f>
        <v>GOP</v>
      </c>
      <c r="Y187" s="320">
        <f>VLOOKUP(H187,'Fund Utilization Report'!$A$4:$U$1800,7,FALSE)</f>
        <v>706</v>
      </c>
      <c r="Z187" s="321" t="str">
        <f>VLOOKUP(H187,'Fund Utilization Report'!$A$4:$U$1800,8,FALSE)</f>
        <v>50101020 00</v>
      </c>
      <c r="AA187" s="319" t="str">
        <f>VLOOKUP(H187,'Fund Utilization Report'!$A$4:$U$1800,14,FALSE)</f>
        <v>330100100003000</v>
      </c>
      <c r="AB187" s="349" t="str">
        <f>VLOOKUP(H187,'Fund Utilization Report'!$A$4:$U$1800,15,FALSE)</f>
        <v>MSME Development Program : Program Beneficiaries Development Component of the Comprehensive Agrarian Reform Program</v>
      </c>
      <c r="AC187" s="39" t="s">
        <v>0</v>
      </c>
      <c r="AD187" s="34">
        <v>1</v>
      </c>
      <c r="AE187" s="39">
        <v>733</v>
      </c>
      <c r="AF187" s="51" t="str">
        <f>VLOOKUP(AE187,'[2]Chart of accounts'!A:H,2,FALSE)</f>
        <v>50103030 01</v>
      </c>
      <c r="AG187" s="53" t="s">
        <v>4</v>
      </c>
      <c r="AH187" s="40" t="s">
        <v>862</v>
      </c>
    </row>
    <row r="188" spans="1:34" s="32" customFormat="1" ht="27.6">
      <c r="A188" s="338" t="s">
        <v>942</v>
      </c>
      <c r="B188" s="338" t="s">
        <v>943</v>
      </c>
      <c r="C188" s="358">
        <v>44224</v>
      </c>
      <c r="D188" s="351" t="s">
        <v>759</v>
      </c>
      <c r="E188" s="352" t="s">
        <v>871</v>
      </c>
      <c r="F188" s="338">
        <v>0.6743055555555556</v>
      </c>
      <c r="G188" s="338">
        <v>0.67499999999999993</v>
      </c>
      <c r="H188" s="338" t="s">
        <v>999</v>
      </c>
      <c r="I188" s="353">
        <v>734</v>
      </c>
      <c r="J188" s="338" t="str">
        <f>IFERROR(VLOOKUP(I188,'Chart of accounts'!A:H,2,FALSE),"")</f>
        <v>50103040 01</v>
      </c>
      <c r="K188" s="338" t="str">
        <f>IFERROR(VLOOKUP(I188,'Chart of accounts'!A:H,3,FALSE),"")</f>
        <v>ECIP - Civilian</v>
      </c>
      <c r="L188" s="338" t="str">
        <f>IFERROR(VLOOKUP(I188,'Chart of accounts'!A:H,4,FALSE),"")</f>
        <v>50103040 01 - ECIP - Civilian (734)</v>
      </c>
      <c r="M188" s="361">
        <v>85</v>
      </c>
      <c r="N188" s="355" t="s">
        <v>872</v>
      </c>
      <c r="O188" s="355" t="s">
        <v>864</v>
      </c>
      <c r="P188" s="355"/>
      <c r="Q188" s="363">
        <v>100</v>
      </c>
      <c r="R188" s="319">
        <f t="shared" si="2"/>
        <v>-100</v>
      </c>
      <c r="S188" s="319" t="str">
        <f>VLOOKUP(H188,'Fund Utilization Report'!$A$4:$U$1800,13,FALSE)</f>
        <v>PS</v>
      </c>
      <c r="T188" s="319" t="str">
        <f>VLOOKUP(H188,'Fund Utilization Report'!$A$4:$U$1800,2,FALSE)</f>
        <v>SAA15</v>
      </c>
      <c r="U188" s="319" t="str">
        <f>VLOOKUP(H188,'Fund Utilization Report'!$A$4:$U$1800,3,FALSE)</f>
        <v>2021-01-0015</v>
      </c>
      <c r="V188" s="319" t="str">
        <f>VLOOKUP(H188,'Fund Utilization Report'!$A$4:$U$1800,4,FALSE)</f>
        <v>CARP</v>
      </c>
      <c r="W188" s="319" t="str">
        <f>VLOOKUP(H188,'Fund Utilization Report'!$A$4:$U$1800,5,FALSE)</f>
        <v>01101101</v>
      </c>
      <c r="X188" s="319" t="str">
        <f>VLOOKUP(H188,'Fund Utilization Report'!$A$4:$U$1800,6,FALSE)</f>
        <v>GOP</v>
      </c>
      <c r="Y188" s="320">
        <f>VLOOKUP(H188,'Fund Utilization Report'!$A$4:$U$1800,7,FALSE)</f>
        <v>706</v>
      </c>
      <c r="Z188" s="321" t="str">
        <f>VLOOKUP(H188,'Fund Utilization Report'!$A$4:$U$1800,8,FALSE)</f>
        <v>50101020 00</v>
      </c>
      <c r="AA188" s="319" t="str">
        <f>VLOOKUP(H188,'Fund Utilization Report'!$A$4:$U$1800,14,FALSE)</f>
        <v>330100100003000</v>
      </c>
      <c r="AB188" s="349" t="str">
        <f>VLOOKUP(H188,'Fund Utilization Report'!$A$4:$U$1800,15,FALSE)</f>
        <v>MSME Development Program : Program Beneficiaries Development Component of the Comprehensive Agrarian Reform Program</v>
      </c>
      <c r="AC188" s="39" t="s">
        <v>0</v>
      </c>
      <c r="AD188" s="34">
        <v>1</v>
      </c>
      <c r="AE188" s="39">
        <v>734</v>
      </c>
      <c r="AF188" s="51" t="str">
        <f>VLOOKUP(AE188,'[2]Chart of accounts'!A:H,2,FALSE)</f>
        <v>50103040 01</v>
      </c>
      <c r="AG188" s="53" t="s">
        <v>4</v>
      </c>
      <c r="AH188" s="40" t="s">
        <v>862</v>
      </c>
    </row>
    <row r="189" spans="1:34" s="32" customFormat="1">
      <c r="A189" s="338" t="s">
        <v>942</v>
      </c>
      <c r="B189" s="338" t="s">
        <v>945</v>
      </c>
      <c r="C189" s="358">
        <v>44229</v>
      </c>
      <c r="D189" s="351" t="s">
        <v>1028</v>
      </c>
      <c r="E189" s="352" t="s">
        <v>1029</v>
      </c>
      <c r="F189" s="338">
        <v>0.59722222222222221</v>
      </c>
      <c r="G189" s="338">
        <v>0.60138888888888886</v>
      </c>
      <c r="H189" s="338" t="s">
        <v>960</v>
      </c>
      <c r="I189" s="353">
        <v>713</v>
      </c>
      <c r="J189" s="338" t="str">
        <f>IFERROR(VLOOKUP(I189,'Chart of accounts'!A:H,2,FALSE),"")</f>
        <v>50102020 00</v>
      </c>
      <c r="K189" s="338" t="str">
        <f>IFERROR(VLOOKUP(I189,'Chart of accounts'!A:H,3,FALSE),"")</f>
        <v>Representation Allowance</v>
      </c>
      <c r="L189" s="338" t="str">
        <f>IFERROR(VLOOKUP(I189,'Chart of accounts'!A:H,4,FALSE),"")</f>
        <v>50102020 00 - Representation Allowance (713)</v>
      </c>
      <c r="M189" s="360">
        <v>1</v>
      </c>
      <c r="N189" s="355" t="s">
        <v>1030</v>
      </c>
      <c r="O189" s="355" t="s">
        <v>1031</v>
      </c>
      <c r="P189" s="355"/>
      <c r="Q189" s="363">
        <f>9000+8500+5000+7500+7500+7500</f>
        <v>45000</v>
      </c>
      <c r="R189" s="319">
        <f t="shared" si="2"/>
        <v>-45000</v>
      </c>
      <c r="S189" s="319" t="str">
        <f>VLOOKUP(H189,'Fund Utilization Report'!$A$4:$U$1800,13,FALSE)</f>
        <v>PS</v>
      </c>
      <c r="T189" s="319" t="str">
        <f>VLOOKUP(H189,'Fund Utilization Report'!$A$4:$U$1800,2,FALSE)</f>
        <v>GAA</v>
      </c>
      <c r="U189" s="319" t="str">
        <f>VLOOKUP(H189,'Fund Utilization Report'!$A$4:$U$1800,3,FALSE)</f>
        <v>FY2021, RA11518</v>
      </c>
      <c r="V189" s="319" t="str">
        <f>VLOOKUP(H189,'Fund Utilization Report'!$A$4:$U$1800,4,FALSE)</f>
        <v>GAS(GMS)</v>
      </c>
      <c r="W189" s="319" t="str">
        <f>VLOOKUP(H189,'Fund Utilization Report'!$A$4:$U$1800,5,FALSE)</f>
        <v>01101101</v>
      </c>
      <c r="X189" s="319" t="str">
        <f>VLOOKUP(H189,'Fund Utilization Report'!$A$4:$U$1800,6,FALSE)</f>
        <v>GOP</v>
      </c>
      <c r="Y189" s="320" t="str">
        <f>VLOOKUP(H189,'Fund Utilization Report'!$A$4:$U$1800,7,FALSE)</f>
        <v>PS</v>
      </c>
      <c r="Z189" s="321">
        <f>VLOOKUP(H189,'Fund Utilization Report'!$A$4:$U$1800,8,FALSE)</f>
        <v>5010000000</v>
      </c>
      <c r="AA189" s="319" t="str">
        <f>VLOOKUP(H189,'Fund Utilization Report'!$A$4:$U$1800,14,FALSE)</f>
        <v>100000100001000</v>
      </c>
      <c r="AB189" s="349" t="str">
        <f>VLOOKUP(H189,'Fund Utilization Report'!$A$4:$U$1800,15,FALSE)</f>
        <v>General Administration and Supervision - General Management and Supervision</v>
      </c>
      <c r="AC189" s="39"/>
      <c r="AD189" s="34"/>
      <c r="AE189" s="39"/>
      <c r="AF189" s="51" t="e">
        <f>VLOOKUP(AE189,'[2]Chart of accounts'!A:H,2,FALSE)</f>
        <v>#N/A</v>
      </c>
      <c r="AG189" s="40"/>
      <c r="AH189" s="40"/>
    </row>
    <row r="190" spans="1:34" s="32" customFormat="1">
      <c r="A190" s="338" t="s">
        <v>942</v>
      </c>
      <c r="B190" s="338" t="s">
        <v>945</v>
      </c>
      <c r="C190" s="358">
        <v>44229</v>
      </c>
      <c r="D190" s="351" t="s">
        <v>1028</v>
      </c>
      <c r="E190" s="352" t="s">
        <v>1029</v>
      </c>
      <c r="F190" s="338">
        <v>0.59722222222222221</v>
      </c>
      <c r="G190" s="338">
        <v>0.60138888888888886</v>
      </c>
      <c r="H190" s="338" t="s">
        <v>960</v>
      </c>
      <c r="I190" s="353">
        <v>714</v>
      </c>
      <c r="J190" s="338" t="str">
        <f>IFERROR(VLOOKUP(I190,'Chart of accounts'!A:H,2,FALSE),"")</f>
        <v>50102030 01</v>
      </c>
      <c r="K190" s="338" t="str">
        <f>IFERROR(VLOOKUP(I190,'Chart of accounts'!A:H,3,FALSE),"")</f>
        <v xml:space="preserve">Transportation Allowance  </v>
      </c>
      <c r="L190" s="338" t="str">
        <f>IFERROR(VLOOKUP(I190,'Chart of accounts'!A:H,4,FALSE),"")</f>
        <v>50102030 01 - Transportation Allowance   (714)</v>
      </c>
      <c r="M190" s="360">
        <v>1</v>
      </c>
      <c r="N190" s="355" t="s">
        <v>1030</v>
      </c>
      <c r="O190" s="355" t="s">
        <v>1031</v>
      </c>
      <c r="P190" s="355"/>
      <c r="Q190" s="363">
        <f>9000+8500+5000+7500+7500+7500</f>
        <v>45000</v>
      </c>
      <c r="R190" s="319">
        <f t="shared" si="2"/>
        <v>-45000</v>
      </c>
      <c r="S190" s="319" t="str">
        <f>VLOOKUP(H190,'Fund Utilization Report'!$A$4:$U$1800,13,FALSE)</f>
        <v>PS</v>
      </c>
      <c r="T190" s="319" t="str">
        <f>VLOOKUP(H190,'Fund Utilization Report'!$A$4:$U$1800,2,FALSE)</f>
        <v>GAA</v>
      </c>
      <c r="U190" s="319" t="str">
        <f>VLOOKUP(H190,'Fund Utilization Report'!$A$4:$U$1800,3,FALSE)</f>
        <v>FY2021, RA11518</v>
      </c>
      <c r="V190" s="319" t="str">
        <f>VLOOKUP(H190,'Fund Utilization Report'!$A$4:$U$1800,4,FALSE)</f>
        <v>GAS(GMS)</v>
      </c>
      <c r="W190" s="319" t="str">
        <f>VLOOKUP(H190,'Fund Utilization Report'!$A$4:$U$1800,5,FALSE)</f>
        <v>01101101</v>
      </c>
      <c r="X190" s="319" t="str">
        <f>VLOOKUP(H190,'Fund Utilization Report'!$A$4:$U$1800,6,FALSE)</f>
        <v>GOP</v>
      </c>
      <c r="Y190" s="320" t="str">
        <f>VLOOKUP(H190,'Fund Utilization Report'!$A$4:$U$1800,7,FALSE)</f>
        <v>PS</v>
      </c>
      <c r="Z190" s="321">
        <f>VLOOKUP(H190,'Fund Utilization Report'!$A$4:$U$1800,8,FALSE)</f>
        <v>5010000000</v>
      </c>
      <c r="AA190" s="319" t="str">
        <f>VLOOKUP(H190,'Fund Utilization Report'!$A$4:$U$1800,14,FALSE)</f>
        <v>100000100001000</v>
      </c>
      <c r="AB190" s="349" t="str">
        <f>VLOOKUP(H190,'Fund Utilization Report'!$A$4:$U$1800,15,FALSE)</f>
        <v>General Administration and Supervision - General Management and Supervision</v>
      </c>
      <c r="AC190" s="39"/>
      <c r="AD190" s="34"/>
      <c r="AE190" s="39"/>
      <c r="AF190" s="51" t="e">
        <f>VLOOKUP(AE190,'[2]Chart of accounts'!A:H,2,FALSE)</f>
        <v>#N/A</v>
      </c>
      <c r="AG190" s="40"/>
      <c r="AH190" s="40"/>
    </row>
    <row r="191" spans="1:34" s="32" customFormat="1">
      <c r="A191" s="338" t="s">
        <v>942</v>
      </c>
      <c r="B191" s="338" t="s">
        <v>945</v>
      </c>
      <c r="C191" s="358">
        <v>44229</v>
      </c>
      <c r="D191" s="351" t="s">
        <v>1028</v>
      </c>
      <c r="E191" s="352" t="s">
        <v>1029</v>
      </c>
      <c r="F191" s="338">
        <v>0.59722222222222221</v>
      </c>
      <c r="G191" s="338">
        <v>0.60138888888888886</v>
      </c>
      <c r="H191" s="338" t="s">
        <v>964</v>
      </c>
      <c r="I191" s="353">
        <v>713</v>
      </c>
      <c r="J191" s="338" t="str">
        <f>IFERROR(VLOOKUP(I191,'Chart of accounts'!A:H,2,FALSE),"")</f>
        <v>50102020 00</v>
      </c>
      <c r="K191" s="338" t="str">
        <f>IFERROR(VLOOKUP(I191,'Chart of accounts'!A:H,3,FALSE),"")</f>
        <v>Representation Allowance</v>
      </c>
      <c r="L191" s="338" t="str">
        <f>IFERROR(VLOOKUP(I191,'Chart of accounts'!A:H,4,FALSE),"")</f>
        <v>50102020 00 - Representation Allowance (713)</v>
      </c>
      <c r="M191" s="360">
        <v>1</v>
      </c>
      <c r="N191" s="355" t="s">
        <v>1030</v>
      </c>
      <c r="O191" s="355" t="s">
        <v>1031</v>
      </c>
      <c r="P191" s="355"/>
      <c r="Q191" s="363">
        <v>5000</v>
      </c>
      <c r="R191" s="319">
        <f t="shared" si="2"/>
        <v>-5000</v>
      </c>
      <c r="S191" s="319" t="str">
        <f>VLOOKUP(H191,'Fund Utilization Report'!$A$4:$U$1800,13,FALSE)</f>
        <v>PS</v>
      </c>
      <c r="T191" s="319" t="str">
        <f>VLOOKUP(H191,'Fund Utilization Report'!$A$4:$U$1800,2,FALSE)</f>
        <v>GAA</v>
      </c>
      <c r="U191" s="319" t="str">
        <f>VLOOKUP(H191,'Fund Utilization Report'!$A$4:$U$1800,3,FALSE)</f>
        <v>FY2021, RA11518</v>
      </c>
      <c r="V191" s="319" t="str">
        <f>VLOOKUP(H191,'Fund Utilization Report'!$A$4:$U$1800,4,FALSE)</f>
        <v>OO1</v>
      </c>
      <c r="W191" s="319" t="str">
        <f>VLOOKUP(H191,'Fund Utilization Report'!$A$4:$U$1800,5,FALSE)</f>
        <v>01101101</v>
      </c>
      <c r="X191" s="319" t="str">
        <f>VLOOKUP(H191,'Fund Utilization Report'!$A$4:$U$1800,6,FALSE)</f>
        <v>GOP</v>
      </c>
      <c r="Y191" s="320" t="str">
        <f>VLOOKUP(H191,'Fund Utilization Report'!$A$4:$U$1800,7,FALSE)</f>
        <v>PS</v>
      </c>
      <c r="Z191" s="321">
        <f>VLOOKUP(H191,'Fund Utilization Report'!$A$4:$U$1800,8,FALSE)</f>
        <v>5010000000</v>
      </c>
      <c r="AA191" s="319" t="str">
        <f>VLOOKUP(H191,'Fund Utilization Report'!$A$4:$U$1800,14,FALSE)</f>
        <v>310100100002000</v>
      </c>
      <c r="AB191" s="349" t="str">
        <f>VLOOKUP(H191,'Fund Utilization Report'!$A$4:$U$1800,15,FALSE)</f>
        <v>Development,Facilitation, and promotion of exports and investment, domestic and foreign</v>
      </c>
      <c r="AC191" s="39"/>
      <c r="AD191" s="34"/>
      <c r="AE191" s="39"/>
      <c r="AF191" s="51"/>
      <c r="AG191" s="40"/>
      <c r="AH191" s="40"/>
    </row>
    <row r="192" spans="1:34" s="32" customFormat="1">
      <c r="A192" s="338" t="s">
        <v>942</v>
      </c>
      <c r="B192" s="338" t="s">
        <v>945</v>
      </c>
      <c r="C192" s="358">
        <v>44229</v>
      </c>
      <c r="D192" s="351" t="s">
        <v>1028</v>
      </c>
      <c r="E192" s="352" t="s">
        <v>1029</v>
      </c>
      <c r="F192" s="338">
        <v>0.59722222222222221</v>
      </c>
      <c r="G192" s="338">
        <v>0.60138888888888886</v>
      </c>
      <c r="H192" s="338" t="s">
        <v>964</v>
      </c>
      <c r="I192" s="353">
        <v>714</v>
      </c>
      <c r="J192" s="338" t="str">
        <f>IFERROR(VLOOKUP(I192,'Chart of accounts'!A:H,2,FALSE),"")</f>
        <v>50102030 01</v>
      </c>
      <c r="K192" s="338" t="str">
        <f>IFERROR(VLOOKUP(I192,'Chart of accounts'!A:H,3,FALSE),"")</f>
        <v xml:space="preserve">Transportation Allowance  </v>
      </c>
      <c r="L192" s="338" t="str">
        <f>IFERROR(VLOOKUP(I192,'Chart of accounts'!A:H,4,FALSE),"")</f>
        <v>50102030 01 - Transportation Allowance   (714)</v>
      </c>
      <c r="M192" s="360">
        <v>1</v>
      </c>
      <c r="N192" s="355" t="s">
        <v>1030</v>
      </c>
      <c r="O192" s="355" t="s">
        <v>1031</v>
      </c>
      <c r="P192" s="355"/>
      <c r="Q192" s="363">
        <v>5000</v>
      </c>
      <c r="R192" s="319">
        <f t="shared" si="2"/>
        <v>-5000</v>
      </c>
      <c r="S192" s="319" t="str">
        <f>VLOOKUP(H192,'Fund Utilization Report'!$A$4:$U$1800,13,FALSE)</f>
        <v>PS</v>
      </c>
      <c r="T192" s="319" t="str">
        <f>VLOOKUP(H192,'Fund Utilization Report'!$A$4:$U$1800,2,FALSE)</f>
        <v>GAA</v>
      </c>
      <c r="U192" s="319" t="str">
        <f>VLOOKUP(H192,'Fund Utilization Report'!$A$4:$U$1800,3,FALSE)</f>
        <v>FY2021, RA11518</v>
      </c>
      <c r="V192" s="319" t="str">
        <f>VLOOKUP(H192,'Fund Utilization Report'!$A$4:$U$1800,4,FALSE)</f>
        <v>OO1</v>
      </c>
      <c r="W192" s="319" t="str">
        <f>VLOOKUP(H192,'Fund Utilization Report'!$A$4:$U$1800,5,FALSE)</f>
        <v>01101101</v>
      </c>
      <c r="X192" s="319" t="str">
        <f>VLOOKUP(H192,'Fund Utilization Report'!$A$4:$U$1800,6,FALSE)</f>
        <v>GOP</v>
      </c>
      <c r="Y192" s="320" t="str">
        <f>VLOOKUP(H192,'Fund Utilization Report'!$A$4:$U$1800,7,FALSE)</f>
        <v>PS</v>
      </c>
      <c r="Z192" s="321">
        <f>VLOOKUP(H192,'Fund Utilization Report'!$A$4:$U$1800,8,FALSE)</f>
        <v>5010000000</v>
      </c>
      <c r="AA192" s="319" t="str">
        <f>VLOOKUP(H192,'Fund Utilization Report'!$A$4:$U$1800,14,FALSE)</f>
        <v>310100100002000</v>
      </c>
      <c r="AB192" s="349" t="str">
        <f>VLOOKUP(H192,'Fund Utilization Report'!$A$4:$U$1800,15,FALSE)</f>
        <v>Development,Facilitation, and promotion of exports and investment, domestic and foreign</v>
      </c>
      <c r="AC192" s="39"/>
      <c r="AD192" s="34"/>
      <c r="AE192" s="39"/>
      <c r="AF192" s="51"/>
      <c r="AG192" s="40"/>
      <c r="AH192" s="40"/>
    </row>
    <row r="193" spans="1:34" s="32" customFormat="1">
      <c r="A193" s="338" t="s">
        <v>942</v>
      </c>
      <c r="B193" s="338" t="s">
        <v>945</v>
      </c>
      <c r="C193" s="358">
        <v>44229</v>
      </c>
      <c r="D193" s="351" t="s">
        <v>1028</v>
      </c>
      <c r="E193" s="352" t="s">
        <v>1029</v>
      </c>
      <c r="F193" s="338">
        <v>0.59722222222222221</v>
      </c>
      <c r="G193" s="338">
        <v>0.60138888888888886</v>
      </c>
      <c r="H193" s="338" t="s">
        <v>967</v>
      </c>
      <c r="I193" s="353">
        <v>713</v>
      </c>
      <c r="J193" s="338" t="str">
        <f>IFERROR(VLOOKUP(I193,'Chart of accounts'!A:H,2,FALSE),"")</f>
        <v>50102020 00</v>
      </c>
      <c r="K193" s="338" t="str">
        <f>IFERROR(VLOOKUP(I193,'Chart of accounts'!A:H,3,FALSE),"")</f>
        <v>Representation Allowance</v>
      </c>
      <c r="L193" s="338" t="str">
        <f>IFERROR(VLOOKUP(I193,'Chart of accounts'!A:H,4,FALSE),"")</f>
        <v>50102020 00 - Representation Allowance (713)</v>
      </c>
      <c r="M193" s="360">
        <v>1</v>
      </c>
      <c r="N193" s="355" t="s">
        <v>1030</v>
      </c>
      <c r="O193" s="355" t="s">
        <v>1031</v>
      </c>
      <c r="P193" s="355"/>
      <c r="Q193" s="363">
        <f>5000+5000</f>
        <v>10000</v>
      </c>
      <c r="R193" s="319">
        <f t="shared" si="2"/>
        <v>-10000</v>
      </c>
      <c r="S193" s="319" t="str">
        <f>VLOOKUP(H193,'Fund Utilization Report'!$A$4:$U$1800,13,FALSE)</f>
        <v>PS</v>
      </c>
      <c r="T193" s="319" t="str">
        <f>VLOOKUP(H193,'Fund Utilization Report'!$A$4:$U$1800,2,FALSE)</f>
        <v>GAA</v>
      </c>
      <c r="U193" s="319" t="str">
        <f>VLOOKUP(H193,'Fund Utilization Report'!$A$4:$U$1800,3,FALSE)</f>
        <v>FY2021, RA11518</v>
      </c>
      <c r="V193" s="319" t="str">
        <f>VLOOKUP(H193,'Fund Utilization Report'!$A$4:$U$1800,4,FALSE)</f>
        <v>OO2</v>
      </c>
      <c r="W193" s="319" t="str">
        <f>VLOOKUP(H193,'Fund Utilization Report'!$A$4:$U$1800,5,FALSE)</f>
        <v>01101101</v>
      </c>
      <c r="X193" s="319" t="str">
        <f>VLOOKUP(H193,'Fund Utilization Report'!$A$4:$U$1800,6,FALSE)</f>
        <v>GOP</v>
      </c>
      <c r="Y193" s="320" t="str">
        <f>VLOOKUP(H193,'Fund Utilization Report'!$A$4:$U$1800,7,FALSE)</f>
        <v>PS</v>
      </c>
      <c r="Z193" s="321">
        <f>VLOOKUP(H193,'Fund Utilization Report'!$A$4:$U$1800,8,FALSE)</f>
        <v>5010000000</v>
      </c>
      <c r="AA193" s="319" t="str">
        <f>VLOOKUP(H193,'Fund Utilization Report'!$A$4:$U$1800,14,FALSE)</f>
        <v>320100100001000</v>
      </c>
      <c r="AB193" s="349" t="str">
        <f>VLOOKUP(H193,'Fund Utilization Report'!$A$4:$U$1800,15,FALSE)</f>
        <v>Formulation of Strategic plans,programs, and policies to develop competitve industries</v>
      </c>
      <c r="AC193" s="39"/>
      <c r="AD193" s="34"/>
      <c r="AE193" s="39"/>
      <c r="AF193" s="51"/>
      <c r="AG193" s="40"/>
      <c r="AH193" s="40"/>
    </row>
    <row r="194" spans="1:34" s="32" customFormat="1">
      <c r="A194" s="338" t="s">
        <v>942</v>
      </c>
      <c r="B194" s="338" t="s">
        <v>945</v>
      </c>
      <c r="C194" s="358">
        <v>44229</v>
      </c>
      <c r="D194" s="351" t="s">
        <v>1028</v>
      </c>
      <c r="E194" s="352" t="s">
        <v>1029</v>
      </c>
      <c r="F194" s="338">
        <v>0.59722222222222221</v>
      </c>
      <c r="G194" s="338">
        <v>0.60138888888888886</v>
      </c>
      <c r="H194" s="338" t="s">
        <v>967</v>
      </c>
      <c r="I194" s="353">
        <v>714</v>
      </c>
      <c r="J194" s="338" t="str">
        <f>IFERROR(VLOOKUP(I194,'Chart of accounts'!A:H,2,FALSE),"")</f>
        <v>50102030 01</v>
      </c>
      <c r="K194" s="338" t="str">
        <f>IFERROR(VLOOKUP(I194,'Chart of accounts'!A:H,3,FALSE),"")</f>
        <v xml:space="preserve">Transportation Allowance  </v>
      </c>
      <c r="L194" s="338" t="str">
        <f>IFERROR(VLOOKUP(I194,'Chart of accounts'!A:H,4,FALSE),"")</f>
        <v>50102030 01 - Transportation Allowance   (714)</v>
      </c>
      <c r="M194" s="360">
        <v>1</v>
      </c>
      <c r="N194" s="355" t="s">
        <v>1030</v>
      </c>
      <c r="O194" s="355" t="s">
        <v>1031</v>
      </c>
      <c r="P194" s="355"/>
      <c r="Q194" s="363">
        <f>5000+5000</f>
        <v>10000</v>
      </c>
      <c r="R194" s="319">
        <f t="shared" si="2"/>
        <v>-10000</v>
      </c>
      <c r="S194" s="319" t="str">
        <f>VLOOKUP(H194,'Fund Utilization Report'!$A$4:$U$1800,13,FALSE)</f>
        <v>PS</v>
      </c>
      <c r="T194" s="319" t="str">
        <f>VLOOKUP(H194,'Fund Utilization Report'!$A$4:$U$1800,2,FALSE)</f>
        <v>GAA</v>
      </c>
      <c r="U194" s="319" t="str">
        <f>VLOOKUP(H194,'Fund Utilization Report'!$A$4:$U$1800,3,FALSE)</f>
        <v>FY2021, RA11518</v>
      </c>
      <c r="V194" s="319" t="str">
        <f>VLOOKUP(H194,'Fund Utilization Report'!$A$4:$U$1800,4,FALSE)</f>
        <v>OO2</v>
      </c>
      <c r="W194" s="319" t="str">
        <f>VLOOKUP(H194,'Fund Utilization Report'!$A$4:$U$1800,5,FALSE)</f>
        <v>01101101</v>
      </c>
      <c r="X194" s="319" t="str">
        <f>VLOOKUP(H194,'Fund Utilization Report'!$A$4:$U$1800,6,FALSE)</f>
        <v>GOP</v>
      </c>
      <c r="Y194" s="320" t="str">
        <f>VLOOKUP(H194,'Fund Utilization Report'!$A$4:$U$1800,7,FALSE)</f>
        <v>PS</v>
      </c>
      <c r="Z194" s="321">
        <f>VLOOKUP(H194,'Fund Utilization Report'!$A$4:$U$1800,8,FALSE)</f>
        <v>5010000000</v>
      </c>
      <c r="AA194" s="319" t="str">
        <f>VLOOKUP(H194,'Fund Utilization Report'!$A$4:$U$1800,14,FALSE)</f>
        <v>320100100001000</v>
      </c>
      <c r="AB194" s="349" t="str">
        <f>VLOOKUP(H194,'Fund Utilization Report'!$A$4:$U$1800,15,FALSE)</f>
        <v>Formulation of Strategic plans,programs, and policies to develop competitve industries</v>
      </c>
      <c r="AC194" s="39"/>
      <c r="AD194" s="34"/>
      <c r="AE194" s="39"/>
      <c r="AF194" s="51"/>
      <c r="AG194" s="40"/>
      <c r="AH194" s="40"/>
    </row>
    <row r="195" spans="1:34" s="32" customFormat="1">
      <c r="A195" s="338" t="s">
        <v>942</v>
      </c>
      <c r="B195" s="338" t="s">
        <v>945</v>
      </c>
      <c r="C195" s="358">
        <v>44229</v>
      </c>
      <c r="D195" s="351" t="s">
        <v>1028</v>
      </c>
      <c r="E195" s="352" t="s">
        <v>1029</v>
      </c>
      <c r="F195" s="338">
        <v>0.59722222222222221</v>
      </c>
      <c r="G195" s="338">
        <v>0.60138888888888886</v>
      </c>
      <c r="H195" s="338" t="s">
        <v>970</v>
      </c>
      <c r="I195" s="353">
        <v>713</v>
      </c>
      <c r="J195" s="338" t="str">
        <f>IFERROR(VLOOKUP(I195,'Chart of accounts'!A:H,2,FALSE),"")</f>
        <v>50102020 00</v>
      </c>
      <c r="K195" s="338" t="str">
        <f>IFERROR(VLOOKUP(I195,'Chart of accounts'!A:H,3,FALSE),"")</f>
        <v>Representation Allowance</v>
      </c>
      <c r="L195" s="338" t="str">
        <f>IFERROR(VLOOKUP(I195,'Chart of accounts'!A:H,4,FALSE),"")</f>
        <v>50102020 00 - Representation Allowance (713)</v>
      </c>
      <c r="M195" s="360">
        <v>1</v>
      </c>
      <c r="N195" s="355" t="s">
        <v>1030</v>
      </c>
      <c r="O195" s="355" t="s">
        <v>1031</v>
      </c>
      <c r="P195" s="355"/>
      <c r="Q195" s="363">
        <f>5000+5000</f>
        <v>10000</v>
      </c>
      <c r="R195" s="319">
        <f t="shared" si="2"/>
        <v>-10000</v>
      </c>
      <c r="S195" s="319" t="str">
        <f>VLOOKUP(H195,'Fund Utilization Report'!$A$4:$U$1800,13,FALSE)</f>
        <v>PS</v>
      </c>
      <c r="T195" s="319" t="str">
        <f>VLOOKUP(H195,'Fund Utilization Report'!$A$4:$U$1800,2,FALSE)</f>
        <v>GAA</v>
      </c>
      <c r="U195" s="319" t="str">
        <f>VLOOKUP(H195,'Fund Utilization Report'!$A$4:$U$1800,3,FALSE)</f>
        <v>FY2021, RA11518</v>
      </c>
      <c r="V195" s="319" t="str">
        <f>VLOOKUP(H195,'Fund Utilization Report'!$A$4:$U$1800,4,FALSE)</f>
        <v>OO3</v>
      </c>
      <c r="W195" s="319" t="str">
        <f>VLOOKUP(H195,'Fund Utilization Report'!$A$4:$U$1800,5,FALSE)</f>
        <v>01101101</v>
      </c>
      <c r="X195" s="319" t="str">
        <f>VLOOKUP(H195,'Fund Utilization Report'!$A$4:$U$1800,6,FALSE)</f>
        <v>GOP</v>
      </c>
      <c r="Y195" s="320" t="str">
        <f>VLOOKUP(H195,'Fund Utilization Report'!$A$4:$U$1800,7,FALSE)</f>
        <v>PS</v>
      </c>
      <c r="Z195" s="321">
        <f>VLOOKUP(H195,'Fund Utilization Report'!$A$4:$U$1800,8,FALSE)</f>
        <v>5010000000</v>
      </c>
      <c r="AA195" s="319" t="str">
        <f>VLOOKUP(H195,'Fund Utilization Report'!$A$4:$U$1800,14,FALSE)</f>
        <v>330100100002000</v>
      </c>
      <c r="AB195" s="349" t="str">
        <f>VLOOKUP(H195,'Fund Utilization Report'!$A$4:$U$1800,15,FALSE)</f>
        <v>Implementation of the MSME Development Plan and other initiatives to promote the growth of Micro, Small and Medium Enterprises</v>
      </c>
      <c r="AC195" s="39"/>
      <c r="AD195" s="34"/>
      <c r="AE195" s="39"/>
      <c r="AF195" s="51"/>
      <c r="AG195" s="40"/>
      <c r="AH195" s="40"/>
    </row>
    <row r="196" spans="1:34" s="32" customFormat="1">
      <c r="A196" s="338" t="s">
        <v>942</v>
      </c>
      <c r="B196" s="338" t="s">
        <v>945</v>
      </c>
      <c r="C196" s="358">
        <v>44229</v>
      </c>
      <c r="D196" s="351" t="s">
        <v>1028</v>
      </c>
      <c r="E196" s="352" t="s">
        <v>1029</v>
      </c>
      <c r="F196" s="338">
        <v>0.59722222222222221</v>
      </c>
      <c r="G196" s="338">
        <v>0.60138888888888886</v>
      </c>
      <c r="H196" s="338" t="s">
        <v>970</v>
      </c>
      <c r="I196" s="353">
        <v>714</v>
      </c>
      <c r="J196" s="338" t="str">
        <f>IFERROR(VLOOKUP(I196,'Chart of accounts'!A:H,2,FALSE),"")</f>
        <v>50102030 01</v>
      </c>
      <c r="K196" s="338" t="str">
        <f>IFERROR(VLOOKUP(I196,'Chart of accounts'!A:H,3,FALSE),"")</f>
        <v xml:space="preserve">Transportation Allowance  </v>
      </c>
      <c r="L196" s="338" t="str">
        <f>IFERROR(VLOOKUP(I196,'Chart of accounts'!A:H,4,FALSE),"")</f>
        <v>50102030 01 - Transportation Allowance   (714)</v>
      </c>
      <c r="M196" s="360">
        <v>1</v>
      </c>
      <c r="N196" s="355" t="s">
        <v>1030</v>
      </c>
      <c r="O196" s="355" t="s">
        <v>1031</v>
      </c>
      <c r="P196" s="355"/>
      <c r="Q196" s="363">
        <f>5000+5000</f>
        <v>10000</v>
      </c>
      <c r="R196" s="319">
        <f t="shared" si="2"/>
        <v>-10000</v>
      </c>
      <c r="S196" s="319" t="str">
        <f>VLOOKUP(H196,'Fund Utilization Report'!$A$4:$U$1800,13,FALSE)</f>
        <v>PS</v>
      </c>
      <c r="T196" s="319" t="str">
        <f>VLOOKUP(H196,'Fund Utilization Report'!$A$4:$U$1800,2,FALSE)</f>
        <v>GAA</v>
      </c>
      <c r="U196" s="319" t="str">
        <f>VLOOKUP(H196,'Fund Utilization Report'!$A$4:$U$1800,3,FALSE)</f>
        <v>FY2021, RA11518</v>
      </c>
      <c r="V196" s="319" t="str">
        <f>VLOOKUP(H196,'Fund Utilization Report'!$A$4:$U$1800,4,FALSE)</f>
        <v>OO3</v>
      </c>
      <c r="W196" s="319" t="str">
        <f>VLOOKUP(H196,'Fund Utilization Report'!$A$4:$U$1800,5,FALSE)</f>
        <v>01101101</v>
      </c>
      <c r="X196" s="319" t="str">
        <f>VLOOKUP(H196,'Fund Utilization Report'!$A$4:$U$1800,6,FALSE)</f>
        <v>GOP</v>
      </c>
      <c r="Y196" s="320" t="str">
        <f>VLOOKUP(H196,'Fund Utilization Report'!$A$4:$U$1800,7,FALSE)</f>
        <v>PS</v>
      </c>
      <c r="Z196" s="321">
        <f>VLOOKUP(H196,'Fund Utilization Report'!$A$4:$U$1800,8,FALSE)</f>
        <v>5010000000</v>
      </c>
      <c r="AA196" s="319" t="str">
        <f>VLOOKUP(H196,'Fund Utilization Report'!$A$4:$U$1800,14,FALSE)</f>
        <v>330100100002000</v>
      </c>
      <c r="AB196" s="349" t="str">
        <f>VLOOKUP(H196,'Fund Utilization Report'!$A$4:$U$1800,15,FALSE)</f>
        <v>Implementation of the MSME Development Plan and other initiatives to promote the growth of Micro, Small and Medium Enterprises</v>
      </c>
      <c r="AC196" s="39"/>
      <c r="AD196" s="34"/>
      <c r="AE196" s="39"/>
      <c r="AF196" s="51"/>
      <c r="AG196" s="40"/>
      <c r="AH196" s="40"/>
    </row>
    <row r="197" spans="1:34" s="32" customFormat="1">
      <c r="A197" s="338" t="s">
        <v>942</v>
      </c>
      <c r="B197" s="338" t="s">
        <v>945</v>
      </c>
      <c r="C197" s="358">
        <v>44229</v>
      </c>
      <c r="D197" s="351" t="s">
        <v>1028</v>
      </c>
      <c r="E197" s="352" t="s">
        <v>1029</v>
      </c>
      <c r="F197" s="338">
        <v>0.59722222222222221</v>
      </c>
      <c r="G197" s="338">
        <v>0.60138888888888886</v>
      </c>
      <c r="H197" s="338" t="s">
        <v>973</v>
      </c>
      <c r="I197" s="353">
        <v>713</v>
      </c>
      <c r="J197" s="338" t="str">
        <f>IFERROR(VLOOKUP(I197,'Chart of accounts'!A:H,2,FALSE),"")</f>
        <v>50102020 00</v>
      </c>
      <c r="K197" s="338" t="str">
        <f>IFERROR(VLOOKUP(I197,'Chart of accounts'!A:H,3,FALSE),"")</f>
        <v>Representation Allowance</v>
      </c>
      <c r="L197" s="338" t="str">
        <f>IFERROR(VLOOKUP(I197,'Chart of accounts'!A:H,4,FALSE),"")</f>
        <v>50102020 00 - Representation Allowance (713)</v>
      </c>
      <c r="M197" s="360">
        <v>1</v>
      </c>
      <c r="N197" s="355" t="s">
        <v>1030</v>
      </c>
      <c r="O197" s="355" t="s">
        <v>1031</v>
      </c>
      <c r="P197" s="355"/>
      <c r="Q197" s="363">
        <v>5000</v>
      </c>
      <c r="R197" s="319">
        <f t="shared" si="2"/>
        <v>-5000</v>
      </c>
      <c r="S197" s="319" t="str">
        <f>VLOOKUP(H197,'Fund Utilization Report'!$A$4:$U$1800,13,FALSE)</f>
        <v>PS</v>
      </c>
      <c r="T197" s="319" t="str">
        <f>VLOOKUP(H197,'Fund Utilization Report'!$A$4:$U$1800,2,FALSE)</f>
        <v>GAA</v>
      </c>
      <c r="U197" s="319" t="str">
        <f>VLOOKUP(H197,'Fund Utilization Report'!$A$4:$U$1800,3,FALSE)</f>
        <v>FY2021, RA11518</v>
      </c>
      <c r="V197" s="319" t="str">
        <f>VLOOKUP(H197,'Fund Utilization Report'!$A$4:$U$1800,4,FALSE)</f>
        <v>OO4.1(FTL)</v>
      </c>
      <c r="W197" s="319" t="str">
        <f>VLOOKUP(H197,'Fund Utilization Report'!$A$4:$U$1800,5,FALSE)</f>
        <v>01101101</v>
      </c>
      <c r="X197" s="319" t="str">
        <f>VLOOKUP(H197,'Fund Utilization Report'!$A$4:$U$1800,6,FALSE)</f>
        <v>GOP</v>
      </c>
      <c r="Y197" s="320" t="str">
        <f>VLOOKUP(H197,'Fund Utilization Report'!$A$4:$U$1800,7,FALSE)</f>
        <v>PS</v>
      </c>
      <c r="Z197" s="321">
        <f>VLOOKUP(H197,'Fund Utilization Report'!$A$4:$U$1800,8,FALSE)</f>
        <v>5010000000</v>
      </c>
      <c r="AA197" s="319" t="str">
        <f>VLOOKUP(H197,'Fund Utilization Report'!$A$4:$U$1800,14,FALSE)</f>
        <v>340100100002000</v>
      </c>
      <c r="AB197" s="349" t="str">
        <f>VLOOKUP(H197,'Fund Utilization Report'!$A$4:$U$1800,15,FALSE)</f>
        <v>Monitoring and Enforcement of FTL including consumer complaints handling</v>
      </c>
      <c r="AC197" s="39"/>
      <c r="AD197" s="34"/>
      <c r="AE197" s="39"/>
      <c r="AF197" s="51"/>
      <c r="AG197" s="40"/>
      <c r="AH197" s="40"/>
    </row>
    <row r="198" spans="1:34" s="32" customFormat="1">
      <c r="A198" s="338" t="s">
        <v>942</v>
      </c>
      <c r="B198" s="338" t="s">
        <v>945</v>
      </c>
      <c r="C198" s="358">
        <v>44229</v>
      </c>
      <c r="D198" s="351" t="s">
        <v>1028</v>
      </c>
      <c r="E198" s="352" t="s">
        <v>1029</v>
      </c>
      <c r="F198" s="338">
        <v>0.59722222222222221</v>
      </c>
      <c r="G198" s="338">
        <v>0.60138888888888886</v>
      </c>
      <c r="H198" s="338" t="s">
        <v>973</v>
      </c>
      <c r="I198" s="353">
        <v>714</v>
      </c>
      <c r="J198" s="338" t="str">
        <f>IFERROR(VLOOKUP(I198,'Chart of accounts'!A:H,2,FALSE),"")</f>
        <v>50102030 01</v>
      </c>
      <c r="K198" s="338" t="str">
        <f>IFERROR(VLOOKUP(I198,'Chart of accounts'!A:H,3,FALSE),"")</f>
        <v xml:space="preserve">Transportation Allowance  </v>
      </c>
      <c r="L198" s="338" t="str">
        <f>IFERROR(VLOOKUP(I198,'Chart of accounts'!A:H,4,FALSE),"")</f>
        <v>50102030 01 - Transportation Allowance   (714)</v>
      </c>
      <c r="M198" s="360">
        <v>1</v>
      </c>
      <c r="N198" s="355" t="s">
        <v>1030</v>
      </c>
      <c r="O198" s="355" t="s">
        <v>1031</v>
      </c>
      <c r="P198" s="355"/>
      <c r="Q198" s="363">
        <v>5000</v>
      </c>
      <c r="R198" s="319">
        <f t="shared" si="2"/>
        <v>-5000</v>
      </c>
      <c r="S198" s="319" t="str">
        <f>VLOOKUP(H198,'Fund Utilization Report'!$A$4:$U$1800,13,FALSE)</f>
        <v>PS</v>
      </c>
      <c r="T198" s="319" t="str">
        <f>VLOOKUP(H198,'Fund Utilization Report'!$A$4:$U$1800,2,FALSE)</f>
        <v>GAA</v>
      </c>
      <c r="U198" s="319" t="str">
        <f>VLOOKUP(H198,'Fund Utilization Report'!$A$4:$U$1800,3,FALSE)</f>
        <v>FY2021, RA11518</v>
      </c>
      <c r="V198" s="319" t="str">
        <f>VLOOKUP(H198,'Fund Utilization Report'!$A$4:$U$1800,4,FALSE)</f>
        <v>OO4.1(FTL)</v>
      </c>
      <c r="W198" s="319" t="str">
        <f>VLOOKUP(H198,'Fund Utilization Report'!$A$4:$U$1800,5,FALSE)</f>
        <v>01101101</v>
      </c>
      <c r="X198" s="319" t="str">
        <f>VLOOKUP(H198,'Fund Utilization Report'!$A$4:$U$1800,6,FALSE)</f>
        <v>GOP</v>
      </c>
      <c r="Y198" s="320" t="str">
        <f>VLOOKUP(H198,'Fund Utilization Report'!$A$4:$U$1800,7,FALSE)</f>
        <v>PS</v>
      </c>
      <c r="Z198" s="321">
        <f>VLOOKUP(H198,'Fund Utilization Report'!$A$4:$U$1800,8,FALSE)</f>
        <v>5010000000</v>
      </c>
      <c r="AA198" s="319" t="str">
        <f>VLOOKUP(H198,'Fund Utilization Report'!$A$4:$U$1800,14,FALSE)</f>
        <v>340100100002000</v>
      </c>
      <c r="AB198" s="349" t="str">
        <f>VLOOKUP(H198,'Fund Utilization Report'!$A$4:$U$1800,15,FALSE)</f>
        <v>Monitoring and Enforcement of FTL including consumer complaints handling</v>
      </c>
      <c r="AC198" s="39"/>
      <c r="AD198" s="34"/>
      <c r="AE198" s="39"/>
      <c r="AF198" s="51"/>
      <c r="AG198" s="40"/>
      <c r="AH198" s="40"/>
    </row>
    <row r="199" spans="1:34" s="32" customFormat="1">
      <c r="A199" s="338" t="s">
        <v>942</v>
      </c>
      <c r="B199" s="338" t="s">
        <v>945</v>
      </c>
      <c r="C199" s="358">
        <v>44229</v>
      </c>
      <c r="D199" s="351" t="s">
        <v>1028</v>
      </c>
      <c r="E199" s="352" t="s">
        <v>1032</v>
      </c>
      <c r="F199" s="338">
        <v>0.61319444444444449</v>
      </c>
      <c r="G199" s="338">
        <v>0.61388888888888882</v>
      </c>
      <c r="H199" s="338" t="s">
        <v>961</v>
      </c>
      <c r="I199" s="353">
        <v>883</v>
      </c>
      <c r="J199" s="338" t="str">
        <f>IFERROR(VLOOKUP(I199,'Chart of accounts'!A:H,2,FALSE),"")</f>
        <v>50210030 00</v>
      </c>
      <c r="K199" s="338" t="str">
        <f>IFERROR(VLOOKUP(I199,'Chart of accounts'!A:H,3,FALSE),"")</f>
        <v>Extraordinary and Miscellaneous Expense</v>
      </c>
      <c r="L199" s="338" t="str">
        <f>IFERROR(VLOOKUP(I199,'Chart of accounts'!A:H,4,FALSE),"")</f>
        <v>50210030 00 - Extraordinary and Miscellaneous Expense (883)</v>
      </c>
      <c r="M199" s="360">
        <v>1</v>
      </c>
      <c r="N199" s="355" t="s">
        <v>6</v>
      </c>
      <c r="O199" s="355" t="s">
        <v>1033</v>
      </c>
      <c r="P199" s="355"/>
      <c r="Q199" s="363">
        <v>10000</v>
      </c>
      <c r="R199" s="319">
        <f t="shared" si="2"/>
        <v>-10000</v>
      </c>
      <c r="S199" s="319" t="str">
        <f>VLOOKUP(H199,'Fund Utilization Report'!$A$4:$U$1800,13,FALSE)</f>
        <v>MOOE</v>
      </c>
      <c r="T199" s="319" t="str">
        <f>VLOOKUP(H199,'Fund Utilization Report'!$A$4:$U$1800,2,FALSE)</f>
        <v>GAA</v>
      </c>
      <c r="U199" s="319" t="str">
        <f>VLOOKUP(H199,'Fund Utilization Report'!$A$4:$U$1800,3,FALSE)</f>
        <v>FY2021, RA11518</v>
      </c>
      <c r="V199" s="319" t="str">
        <f>VLOOKUP(H199,'Fund Utilization Report'!$A$4:$U$1800,4,FALSE)</f>
        <v>GAS(GMS)</v>
      </c>
      <c r="W199" s="319" t="str">
        <f>VLOOKUP(H199,'Fund Utilization Report'!$A$4:$U$1800,5,FALSE)</f>
        <v>01101101</v>
      </c>
      <c r="X199" s="319" t="str">
        <f>VLOOKUP(H199,'Fund Utilization Report'!$A$4:$U$1800,6,FALSE)</f>
        <v>GOP</v>
      </c>
      <c r="Y199" s="320" t="str">
        <f>VLOOKUP(H199,'Fund Utilization Report'!$A$4:$U$1800,7,FALSE)</f>
        <v>MOOE</v>
      </c>
      <c r="Z199" s="321">
        <f>VLOOKUP(H199,'Fund Utilization Report'!$A$4:$U$1800,8,FALSE)</f>
        <v>5020000000</v>
      </c>
      <c r="AA199" s="319" t="str">
        <f>VLOOKUP(H199,'Fund Utilization Report'!$A$4:$U$1800,14,FALSE)</f>
        <v>100000100001000</v>
      </c>
      <c r="AB199" s="349" t="str">
        <f>VLOOKUP(H199,'Fund Utilization Report'!$A$4:$U$1800,15,FALSE)</f>
        <v>General Administration and Supervision - General Management and Supervision</v>
      </c>
      <c r="AC199" s="39"/>
      <c r="AD199" s="34"/>
      <c r="AE199" s="39"/>
      <c r="AF199" s="51"/>
      <c r="AG199" s="40"/>
      <c r="AH199" s="40"/>
    </row>
    <row r="200" spans="1:34" s="32" customFormat="1">
      <c r="A200" s="338" t="s">
        <v>942</v>
      </c>
      <c r="B200" s="338" t="s">
        <v>945</v>
      </c>
      <c r="C200" s="358">
        <v>44229</v>
      </c>
      <c r="D200" s="351" t="s">
        <v>1028</v>
      </c>
      <c r="E200" s="352" t="s">
        <v>1034</v>
      </c>
      <c r="F200" s="338">
        <v>0.61388888888888882</v>
      </c>
      <c r="G200" s="338">
        <v>0.61597222222222225</v>
      </c>
      <c r="H200" s="338" t="s">
        <v>960</v>
      </c>
      <c r="I200" s="353">
        <v>713</v>
      </c>
      <c r="J200" s="338" t="str">
        <f>IFERROR(VLOOKUP(I200,'Chart of accounts'!A:H,2,FALSE),"")</f>
        <v>50102020 00</v>
      </c>
      <c r="K200" s="338" t="str">
        <f>IFERROR(VLOOKUP(I200,'Chart of accounts'!A:H,3,FALSE),"")</f>
        <v>Representation Allowance</v>
      </c>
      <c r="L200" s="338" t="str">
        <f>IFERROR(VLOOKUP(I200,'Chart of accounts'!A:H,4,FALSE),"")</f>
        <v>50102020 00 - Representation Allowance (713)</v>
      </c>
      <c r="M200" s="360">
        <v>1</v>
      </c>
      <c r="N200" s="355" t="s">
        <v>1030</v>
      </c>
      <c r="O200" s="355" t="s">
        <v>1035</v>
      </c>
      <c r="P200" s="355"/>
      <c r="Q200" s="363">
        <v>15000</v>
      </c>
      <c r="R200" s="319">
        <f t="shared" si="2"/>
        <v>-15000</v>
      </c>
      <c r="S200" s="319" t="str">
        <f>VLOOKUP(H200,'Fund Utilization Report'!$A$4:$U$1800,13,FALSE)</f>
        <v>PS</v>
      </c>
      <c r="T200" s="319" t="str">
        <f>VLOOKUP(H200,'Fund Utilization Report'!$A$4:$U$1800,2,FALSE)</f>
        <v>GAA</v>
      </c>
      <c r="U200" s="319" t="str">
        <f>VLOOKUP(H200,'Fund Utilization Report'!$A$4:$U$1800,3,FALSE)</f>
        <v>FY2021, RA11518</v>
      </c>
      <c r="V200" s="319" t="str">
        <f>VLOOKUP(H200,'Fund Utilization Report'!$A$4:$U$1800,4,FALSE)</f>
        <v>GAS(GMS)</v>
      </c>
      <c r="W200" s="319" t="str">
        <f>VLOOKUP(H200,'Fund Utilization Report'!$A$4:$U$1800,5,FALSE)</f>
        <v>01101101</v>
      </c>
      <c r="X200" s="319" t="str">
        <f>VLOOKUP(H200,'Fund Utilization Report'!$A$4:$U$1800,6,FALSE)</f>
        <v>GOP</v>
      </c>
      <c r="Y200" s="320" t="str">
        <f>VLOOKUP(H200,'Fund Utilization Report'!$A$4:$U$1800,7,FALSE)</f>
        <v>PS</v>
      </c>
      <c r="Z200" s="321">
        <f>VLOOKUP(H200,'Fund Utilization Report'!$A$4:$U$1800,8,FALSE)</f>
        <v>5010000000</v>
      </c>
      <c r="AA200" s="319" t="str">
        <f>VLOOKUP(H200,'Fund Utilization Report'!$A$4:$U$1800,14,FALSE)</f>
        <v>100000100001000</v>
      </c>
      <c r="AB200" s="349" t="str">
        <f>VLOOKUP(H200,'Fund Utilization Report'!$A$4:$U$1800,15,FALSE)</f>
        <v>General Administration and Supervision - General Management and Supervision</v>
      </c>
      <c r="AC200" s="39"/>
      <c r="AD200" s="34"/>
      <c r="AE200" s="39"/>
      <c r="AF200" s="51"/>
      <c r="AG200" s="40"/>
      <c r="AH200" s="40"/>
    </row>
    <row r="201" spans="1:34" s="32" customFormat="1">
      <c r="A201" s="338" t="s">
        <v>942</v>
      </c>
      <c r="B201" s="338" t="s">
        <v>945</v>
      </c>
      <c r="C201" s="358">
        <v>44229</v>
      </c>
      <c r="D201" s="351" t="s">
        <v>1028</v>
      </c>
      <c r="E201" s="352" t="s">
        <v>1034</v>
      </c>
      <c r="F201" s="338">
        <v>0.61388888888888882</v>
      </c>
      <c r="G201" s="338">
        <v>0.61597222222222225</v>
      </c>
      <c r="H201" s="338" t="s">
        <v>960</v>
      </c>
      <c r="I201" s="353">
        <v>714</v>
      </c>
      <c r="J201" s="338" t="str">
        <f>IFERROR(VLOOKUP(I201,'Chart of accounts'!A:H,2,FALSE),"")</f>
        <v>50102030 01</v>
      </c>
      <c r="K201" s="338" t="str">
        <f>IFERROR(VLOOKUP(I201,'Chart of accounts'!A:H,3,FALSE),"")</f>
        <v xml:space="preserve">Transportation Allowance  </v>
      </c>
      <c r="L201" s="338" t="str">
        <f>IFERROR(VLOOKUP(I201,'Chart of accounts'!A:H,4,FALSE),"")</f>
        <v>50102030 01 - Transportation Allowance   (714)</v>
      </c>
      <c r="M201" s="360">
        <v>1</v>
      </c>
      <c r="N201" s="355" t="s">
        <v>1030</v>
      </c>
      <c r="O201" s="355" t="s">
        <v>1035</v>
      </c>
      <c r="P201" s="355"/>
      <c r="Q201" s="363">
        <f>7500+6136.36</f>
        <v>13636.36</v>
      </c>
      <c r="R201" s="319">
        <f t="shared" si="2"/>
        <v>-13636.36</v>
      </c>
      <c r="S201" s="319" t="str">
        <f>VLOOKUP(H201,'Fund Utilization Report'!$A$4:$U$1800,13,FALSE)</f>
        <v>PS</v>
      </c>
      <c r="T201" s="319" t="str">
        <f>VLOOKUP(H201,'Fund Utilization Report'!$A$4:$U$1800,2,FALSE)</f>
        <v>GAA</v>
      </c>
      <c r="U201" s="319" t="str">
        <f>VLOOKUP(H201,'Fund Utilization Report'!$A$4:$U$1800,3,FALSE)</f>
        <v>FY2021, RA11518</v>
      </c>
      <c r="V201" s="319" t="str">
        <f>VLOOKUP(H201,'Fund Utilization Report'!$A$4:$U$1800,4,FALSE)</f>
        <v>GAS(GMS)</v>
      </c>
      <c r="W201" s="319" t="str">
        <f>VLOOKUP(H201,'Fund Utilization Report'!$A$4:$U$1800,5,FALSE)</f>
        <v>01101101</v>
      </c>
      <c r="X201" s="319" t="str">
        <f>VLOOKUP(H201,'Fund Utilization Report'!$A$4:$U$1800,6,FALSE)</f>
        <v>GOP</v>
      </c>
      <c r="Y201" s="320" t="str">
        <f>VLOOKUP(H201,'Fund Utilization Report'!$A$4:$U$1800,7,FALSE)</f>
        <v>PS</v>
      </c>
      <c r="Z201" s="321">
        <f>VLOOKUP(H201,'Fund Utilization Report'!$A$4:$U$1800,8,FALSE)</f>
        <v>5010000000</v>
      </c>
      <c r="AA201" s="319" t="str">
        <f>VLOOKUP(H201,'Fund Utilization Report'!$A$4:$U$1800,14,FALSE)</f>
        <v>100000100001000</v>
      </c>
      <c r="AB201" s="349" t="str">
        <f>VLOOKUP(H201,'Fund Utilization Report'!$A$4:$U$1800,15,FALSE)</f>
        <v>General Administration and Supervision - General Management and Supervision</v>
      </c>
      <c r="AC201" s="39"/>
      <c r="AD201" s="34"/>
      <c r="AE201" s="39"/>
      <c r="AF201" s="51"/>
      <c r="AG201" s="40"/>
      <c r="AH201" s="40"/>
    </row>
    <row r="202" spans="1:34" s="32" customFormat="1" ht="27.6">
      <c r="A202" s="338" t="s">
        <v>942</v>
      </c>
      <c r="B202" s="338" t="s">
        <v>945</v>
      </c>
      <c r="C202" s="358">
        <v>44230</v>
      </c>
      <c r="D202" s="351" t="s">
        <v>1028</v>
      </c>
      <c r="E202" s="352" t="s">
        <v>1046</v>
      </c>
      <c r="F202" s="338">
        <v>0.41250000000000003</v>
      </c>
      <c r="G202" s="338">
        <v>0.4145833333333333</v>
      </c>
      <c r="H202" s="338" t="s">
        <v>968</v>
      </c>
      <c r="I202" s="353">
        <v>755</v>
      </c>
      <c r="J202" s="338" t="str">
        <f>IFERROR(VLOOKUP(I202,'Chart of accounts'!A:H,2,FALSE),"")</f>
        <v>50203010 00</v>
      </c>
      <c r="K202" s="338" t="str">
        <f>IFERROR(VLOOKUP(I202,'Chart of accounts'!A:H,3,FALSE),"")</f>
        <v>Office Supplies Expenses</v>
      </c>
      <c r="L202" s="338" t="str">
        <f>IFERROR(VLOOKUP(I202,'Chart of accounts'!A:H,4,FALSE),"")</f>
        <v>50203010 00 - Office Supplies Expenses (755)</v>
      </c>
      <c r="M202" s="360" t="s">
        <v>814</v>
      </c>
      <c r="N202" s="355" t="s">
        <v>1036</v>
      </c>
      <c r="O202" s="355" t="s">
        <v>1037</v>
      </c>
      <c r="P202" s="355"/>
      <c r="Q202" s="355">
        <v>2073.09</v>
      </c>
      <c r="R202" s="319">
        <f t="shared" si="2"/>
        <v>-2073.09</v>
      </c>
      <c r="S202" s="319" t="str">
        <f>VLOOKUP(H202,'Fund Utilization Report'!$A$4:$U$1800,13,FALSE)</f>
        <v>MOOE</v>
      </c>
      <c r="T202" s="319" t="str">
        <f>VLOOKUP(H202,'Fund Utilization Report'!$A$4:$U$1800,2,FALSE)</f>
        <v>GAA</v>
      </c>
      <c r="U202" s="319" t="str">
        <f>VLOOKUP(H202,'Fund Utilization Report'!$A$4:$U$1800,3,FALSE)</f>
        <v>FY2021, RA11518</v>
      </c>
      <c r="V202" s="319" t="str">
        <f>VLOOKUP(H202,'Fund Utilization Report'!$A$4:$U$1800,4,FALSE)</f>
        <v>OO2</v>
      </c>
      <c r="W202" s="319" t="str">
        <f>VLOOKUP(H202,'Fund Utilization Report'!$A$4:$U$1800,5,FALSE)</f>
        <v>01101101</v>
      </c>
      <c r="X202" s="319" t="str">
        <f>VLOOKUP(H202,'Fund Utilization Report'!$A$4:$U$1800,6,FALSE)</f>
        <v>GOP</v>
      </c>
      <c r="Y202" s="320" t="str">
        <f>VLOOKUP(H202,'Fund Utilization Report'!$A$4:$U$1800,7,FALSE)</f>
        <v>MOOE</v>
      </c>
      <c r="Z202" s="321">
        <f>VLOOKUP(H202,'Fund Utilization Report'!$A$4:$U$1800,8,FALSE)</f>
        <v>5020000000</v>
      </c>
      <c r="AA202" s="319" t="str">
        <f>VLOOKUP(H202,'Fund Utilization Report'!$A$4:$U$1800,14,FALSE)</f>
        <v>320100100001000</v>
      </c>
      <c r="AB202" s="349" t="str">
        <f>VLOOKUP(H202,'Fund Utilization Report'!$A$4:$U$1800,15,FALSE)</f>
        <v>Formulation of Strategic plans,programs, and policies to develop competitve industries</v>
      </c>
      <c r="AC202" s="39"/>
      <c r="AD202" s="34"/>
      <c r="AE202" s="39"/>
      <c r="AF202" s="51"/>
      <c r="AG202" s="40"/>
      <c r="AH202" s="40"/>
    </row>
    <row r="203" spans="1:34" s="411" customFormat="1" ht="27.6">
      <c r="A203" s="405" t="s">
        <v>942</v>
      </c>
      <c r="B203" s="405" t="s">
        <v>945</v>
      </c>
      <c r="C203" s="402">
        <v>44230</v>
      </c>
      <c r="D203" s="403" t="s">
        <v>1028</v>
      </c>
      <c r="E203" s="404" t="s">
        <v>1047</v>
      </c>
      <c r="F203" s="405">
        <v>0.4145833333333333</v>
      </c>
      <c r="G203" s="405">
        <v>0.41805555555555557</v>
      </c>
      <c r="H203" s="405" t="s">
        <v>968</v>
      </c>
      <c r="I203" s="416">
        <v>755</v>
      </c>
      <c r="J203" s="405" t="str">
        <f>IFERROR(VLOOKUP(I203,'Chart of accounts'!A:H,2,FALSE),"")</f>
        <v>50203010 00</v>
      </c>
      <c r="K203" s="405" t="str">
        <f>IFERROR(VLOOKUP(I203,'Chart of accounts'!A:H,3,FALSE),"")</f>
        <v>Office Supplies Expenses</v>
      </c>
      <c r="L203" s="405" t="str">
        <f>IFERROR(VLOOKUP(I203,'Chart of accounts'!A:H,4,FALSE),"")</f>
        <v>50203010 00 - Office Supplies Expenses (755)</v>
      </c>
      <c r="M203" s="414" t="s">
        <v>814</v>
      </c>
      <c r="N203" s="409" t="s">
        <v>1038</v>
      </c>
      <c r="O203" s="409" t="s">
        <v>1039</v>
      </c>
      <c r="P203" s="409"/>
      <c r="Q203" s="409">
        <f>3075-3075</f>
        <v>0</v>
      </c>
      <c r="R203" s="319">
        <f t="shared" si="2"/>
        <v>0</v>
      </c>
      <c r="S203" s="63" t="str">
        <f>VLOOKUP(H203,'Fund Utilization Report'!$A$4:$U$1800,13,FALSE)</f>
        <v>MOOE</v>
      </c>
      <c r="T203" s="63" t="str">
        <f>VLOOKUP(H203,'Fund Utilization Report'!$A$4:$U$1800,2,FALSE)</f>
        <v>GAA</v>
      </c>
      <c r="U203" s="63" t="str">
        <f>VLOOKUP(H203,'Fund Utilization Report'!$A$4:$U$1800,3,FALSE)</f>
        <v>FY2021, RA11518</v>
      </c>
      <c r="V203" s="63" t="str">
        <f>VLOOKUP(H203,'Fund Utilization Report'!$A$4:$U$1800,4,FALSE)</f>
        <v>OO2</v>
      </c>
      <c r="W203" s="63" t="str">
        <f>VLOOKUP(H203,'Fund Utilization Report'!$A$4:$U$1800,5,FALSE)</f>
        <v>01101101</v>
      </c>
      <c r="X203" s="63" t="str">
        <f>VLOOKUP(H203,'Fund Utilization Report'!$A$4:$U$1800,6,FALSE)</f>
        <v>GOP</v>
      </c>
      <c r="Y203" s="417" t="str">
        <f>VLOOKUP(H203,'Fund Utilization Report'!$A$4:$U$1800,7,FALSE)</f>
        <v>MOOE</v>
      </c>
      <c r="Z203" s="418">
        <f>VLOOKUP(H203,'Fund Utilization Report'!$A$4:$U$1800,8,FALSE)</f>
        <v>5020000000</v>
      </c>
      <c r="AA203" s="63" t="str">
        <f>VLOOKUP(H203,'Fund Utilization Report'!$A$4:$U$1800,14,FALSE)</f>
        <v>320100100001000</v>
      </c>
      <c r="AB203" s="419" t="str">
        <f>VLOOKUP(H203,'Fund Utilization Report'!$A$4:$U$1800,15,FALSE)</f>
        <v>Formulation of Strategic plans,programs, and policies to develop competitve industries</v>
      </c>
      <c r="AC203" s="406"/>
      <c r="AD203" s="403"/>
      <c r="AE203" s="406"/>
      <c r="AF203" s="406"/>
      <c r="AG203" s="407"/>
      <c r="AH203" s="407"/>
    </row>
    <row r="204" spans="1:34" s="443" customFormat="1" ht="27.6">
      <c r="A204" s="434" t="s">
        <v>942</v>
      </c>
      <c r="B204" s="434" t="s">
        <v>945</v>
      </c>
      <c r="C204" s="233">
        <v>44230</v>
      </c>
      <c r="D204" s="435" t="s">
        <v>1028</v>
      </c>
      <c r="E204" s="436" t="s">
        <v>1264</v>
      </c>
      <c r="F204" s="434">
        <v>0.42222222222222222</v>
      </c>
      <c r="G204" s="434">
        <v>0.42222222222222222</v>
      </c>
      <c r="H204" s="434" t="s">
        <v>961</v>
      </c>
      <c r="I204" s="437">
        <v>782</v>
      </c>
      <c r="J204" s="434" t="str">
        <f>IFERROR(VLOOKUP(I204,'Chart of accounts'!A:H,2,FALSE),"")</f>
        <v>50299050 01</v>
      </c>
      <c r="K204" s="434" t="str">
        <f>IFERROR(VLOOKUP(I204,'Chart of accounts'!A:H,3,FALSE),"")</f>
        <v>Rent - Buildings and Structures</v>
      </c>
      <c r="L204" s="434" t="str">
        <f>IFERROR(VLOOKUP(I204,'Chart of accounts'!A:H,4,FALSE),"")</f>
        <v>50299050 01 - Rent - Buildings and Structures (782)</v>
      </c>
      <c r="M204" s="438" t="s">
        <v>2</v>
      </c>
      <c r="N204" s="439" t="s">
        <v>852</v>
      </c>
      <c r="O204" s="439" t="s">
        <v>853</v>
      </c>
      <c r="P204" s="439"/>
      <c r="Q204" s="50">
        <v>17600</v>
      </c>
      <c r="R204" s="239">
        <f t="shared" si="2"/>
        <v>-17600</v>
      </c>
      <c r="S204" s="239" t="str">
        <f>VLOOKUP(H204,'Fund Utilization Report'!$A$4:$U$1800,13,FALSE)</f>
        <v>MOOE</v>
      </c>
      <c r="T204" s="239" t="str">
        <f>VLOOKUP(H204,'Fund Utilization Report'!$A$4:$U$1800,2,FALSE)</f>
        <v>GAA</v>
      </c>
      <c r="U204" s="239" t="str">
        <f>VLOOKUP(H204,'Fund Utilization Report'!$A$4:$U$1800,3,FALSE)</f>
        <v>FY2021, RA11518</v>
      </c>
      <c r="V204" s="239" t="str">
        <f>VLOOKUP(H204,'Fund Utilization Report'!$A$4:$U$1800,4,FALSE)</f>
        <v>GAS(GMS)</v>
      </c>
      <c r="W204" s="239" t="str">
        <f>VLOOKUP(H204,'Fund Utilization Report'!$A$4:$U$1800,5,FALSE)</f>
        <v>01101101</v>
      </c>
      <c r="X204" s="239" t="str">
        <f>VLOOKUP(H204,'Fund Utilization Report'!$A$4:$U$1800,6,FALSE)</f>
        <v>GOP</v>
      </c>
      <c r="Y204" s="440" t="str">
        <f>VLOOKUP(H204,'Fund Utilization Report'!$A$4:$U$1800,7,FALSE)</f>
        <v>MOOE</v>
      </c>
      <c r="Z204" s="441">
        <f>VLOOKUP(H204,'Fund Utilization Report'!$A$4:$U$1800,8,FALSE)</f>
        <v>5020000000</v>
      </c>
      <c r="AA204" s="239" t="str">
        <f>VLOOKUP(H204,'Fund Utilization Report'!$A$4:$U$1800,14,FALSE)</f>
        <v>100000100001000</v>
      </c>
      <c r="AB204" s="242" t="str">
        <f>VLOOKUP(H204,'Fund Utilization Report'!$A$4:$U$1800,15,FALSE)</f>
        <v>General Administration and Supervision - General Management and Supervision</v>
      </c>
      <c r="AC204" s="51"/>
      <c r="AD204" s="435"/>
      <c r="AE204" s="51"/>
      <c r="AF204" s="51"/>
      <c r="AG204" s="442"/>
      <c r="AH204" s="442"/>
    </row>
    <row r="205" spans="1:34" s="32" customFormat="1" ht="27.6">
      <c r="A205" s="338" t="s">
        <v>942</v>
      </c>
      <c r="B205" s="338" t="s">
        <v>945</v>
      </c>
      <c r="C205" s="358">
        <v>44230</v>
      </c>
      <c r="D205" s="351" t="s">
        <v>1028</v>
      </c>
      <c r="E205" s="352" t="s">
        <v>1048</v>
      </c>
      <c r="F205" s="338">
        <v>0.41805555555555557</v>
      </c>
      <c r="G205" s="338">
        <v>0.42291666666666666</v>
      </c>
      <c r="H205" s="338" t="s">
        <v>983</v>
      </c>
      <c r="I205" s="353">
        <v>840</v>
      </c>
      <c r="J205" s="338" t="str">
        <f>IFERROR(VLOOKUP(I205,'Chart of accounts'!A:H,2,FALSE),"")</f>
        <v>50213050 99</v>
      </c>
      <c r="K205" s="338" t="str">
        <f>IFERROR(VLOOKUP(I205,'Chart of accounts'!A:H,3,FALSE),"")</f>
        <v>Other Machinery and Equipment</v>
      </c>
      <c r="L205" s="338" t="str">
        <f>IFERROR(VLOOKUP(I205,'Chart of accounts'!A:H,4,FALSE),"")</f>
        <v>50213050 99 - Other Machinery and Equipment (840)</v>
      </c>
      <c r="M205" s="360">
        <v>2</v>
      </c>
      <c r="N205" s="355" t="s">
        <v>818</v>
      </c>
      <c r="O205" s="355" t="s">
        <v>1040</v>
      </c>
      <c r="P205" s="355"/>
      <c r="Q205" s="355">
        <v>50000</v>
      </c>
      <c r="R205" s="319">
        <f t="shared" si="2"/>
        <v>-50000</v>
      </c>
      <c r="S205" s="319" t="str">
        <f>VLOOKUP(H205,'Fund Utilization Report'!$A$4:$U$1800,13,FALSE)</f>
        <v>MOOE</v>
      </c>
      <c r="T205" s="319" t="str">
        <f>VLOOKUP(H205,'Fund Utilization Report'!$A$4:$U$1800,2,FALSE)</f>
        <v>GAA</v>
      </c>
      <c r="U205" s="319" t="str">
        <f>VLOOKUP(H205,'Fund Utilization Report'!$A$4:$U$1800,3,FALSE)</f>
        <v>FY2021, RA11518</v>
      </c>
      <c r="V205" s="319" t="str">
        <f>VLOOKUP(H205,'Fund Utilization Report'!$A$4:$U$1800,4,FALSE)</f>
        <v>SSF</v>
      </c>
      <c r="W205" s="319" t="str">
        <f>VLOOKUP(H205,'Fund Utilization Report'!$A$4:$U$1800,5,FALSE)</f>
        <v>01101101</v>
      </c>
      <c r="X205" s="319" t="str">
        <f>VLOOKUP(H205,'Fund Utilization Report'!$A$4:$U$1800,6,FALSE)</f>
        <v>GOP</v>
      </c>
      <c r="Y205" s="320" t="str">
        <f>VLOOKUP(H205,'Fund Utilization Report'!$A$4:$U$1800,7,FALSE)</f>
        <v>MOOE</v>
      </c>
      <c r="Z205" s="321">
        <f>VLOOKUP(H205,'Fund Utilization Report'!$A$4:$U$1800,8,FALSE)</f>
        <v>5020000000</v>
      </c>
      <c r="AA205" s="319" t="str">
        <f>VLOOKUP(H205,'Fund Utilization Report'!$A$4:$U$1800,14,FALSE)</f>
        <v>330100200003000</v>
      </c>
      <c r="AB205" s="349" t="str">
        <f>VLOOKUP(H205,'Fund Utilization Report'!$A$4:$U$1800,15,FALSE)</f>
        <v>Shared Service Facilities Project</v>
      </c>
      <c r="AC205" s="39"/>
      <c r="AD205" s="34"/>
      <c r="AE205" s="39"/>
      <c r="AF205" s="51"/>
      <c r="AG205" s="40"/>
      <c r="AH205" s="40"/>
    </row>
    <row r="206" spans="1:34" s="32" customFormat="1" ht="27.6">
      <c r="A206" s="338" t="s">
        <v>942</v>
      </c>
      <c r="B206" s="338" t="s">
        <v>945</v>
      </c>
      <c r="C206" s="358">
        <v>44230</v>
      </c>
      <c r="D206" s="351" t="s">
        <v>1028</v>
      </c>
      <c r="E206" s="352" t="s">
        <v>1048</v>
      </c>
      <c r="F206" s="338">
        <v>0.41805555555555557</v>
      </c>
      <c r="G206" s="338">
        <v>0.42291666666666666</v>
      </c>
      <c r="H206" s="338" t="s">
        <v>983</v>
      </c>
      <c r="I206" s="353">
        <v>784</v>
      </c>
      <c r="J206" s="338" t="str">
        <f>IFERROR(VLOOKUP(I206,'Chart of accounts'!A:H,2,FALSE),"")</f>
        <v>50299040 00</v>
      </c>
      <c r="K206" s="338" t="str">
        <f>IFERROR(VLOOKUP(I206,'Chart of accounts'!A:H,3,FALSE),"")</f>
        <v>Transportation and Delivery Expenses</v>
      </c>
      <c r="L206" s="338" t="str">
        <f>IFERROR(VLOOKUP(I206,'Chart of accounts'!A:H,4,FALSE),"")</f>
        <v>50299040 00 - Transportation and Delivery Expenses (784)</v>
      </c>
      <c r="M206" s="360">
        <v>2</v>
      </c>
      <c r="N206" s="355" t="s">
        <v>818</v>
      </c>
      <c r="O206" s="355" t="s">
        <v>1040</v>
      </c>
      <c r="P206" s="355"/>
      <c r="Q206" s="355">
        <v>30000</v>
      </c>
      <c r="R206" s="319">
        <f t="shared" si="2"/>
        <v>-30000</v>
      </c>
      <c r="S206" s="319" t="str">
        <f>VLOOKUP(H206,'Fund Utilization Report'!$A$4:$U$1800,13,FALSE)</f>
        <v>MOOE</v>
      </c>
      <c r="T206" s="319" t="str">
        <f>VLOOKUP(H206,'Fund Utilization Report'!$A$4:$U$1800,2,FALSE)</f>
        <v>GAA</v>
      </c>
      <c r="U206" s="319" t="str">
        <f>VLOOKUP(H206,'Fund Utilization Report'!$A$4:$U$1800,3,FALSE)</f>
        <v>FY2021, RA11518</v>
      </c>
      <c r="V206" s="319" t="str">
        <f>VLOOKUP(H206,'Fund Utilization Report'!$A$4:$U$1800,4,FALSE)</f>
        <v>SSF</v>
      </c>
      <c r="W206" s="319" t="str">
        <f>VLOOKUP(H206,'Fund Utilization Report'!$A$4:$U$1800,5,FALSE)</f>
        <v>01101101</v>
      </c>
      <c r="X206" s="319" t="str">
        <f>VLOOKUP(H206,'Fund Utilization Report'!$A$4:$U$1800,6,FALSE)</f>
        <v>GOP</v>
      </c>
      <c r="Y206" s="320" t="str">
        <f>VLOOKUP(H206,'Fund Utilization Report'!$A$4:$U$1800,7,FALSE)</f>
        <v>MOOE</v>
      </c>
      <c r="Z206" s="321">
        <f>VLOOKUP(H206,'Fund Utilization Report'!$A$4:$U$1800,8,FALSE)</f>
        <v>5020000000</v>
      </c>
      <c r="AA206" s="319" t="str">
        <f>VLOOKUP(H206,'Fund Utilization Report'!$A$4:$U$1800,14,FALSE)</f>
        <v>330100200003000</v>
      </c>
      <c r="AB206" s="349" t="str">
        <f>VLOOKUP(H206,'Fund Utilization Report'!$A$4:$U$1800,15,FALSE)</f>
        <v>Shared Service Facilities Project</v>
      </c>
      <c r="AC206" s="39"/>
      <c r="AD206" s="34"/>
      <c r="AE206" s="39"/>
      <c r="AF206" s="51"/>
      <c r="AG206" s="40"/>
      <c r="AH206" s="40"/>
    </row>
    <row r="207" spans="1:34" s="32" customFormat="1" ht="41.4">
      <c r="A207" s="338" t="s">
        <v>942</v>
      </c>
      <c r="B207" s="338" t="s">
        <v>945</v>
      </c>
      <c r="C207" s="358">
        <v>44230</v>
      </c>
      <c r="D207" s="351" t="s">
        <v>1028</v>
      </c>
      <c r="E207" s="352" t="s">
        <v>1049</v>
      </c>
      <c r="F207" s="338">
        <v>0.42291666666666666</v>
      </c>
      <c r="G207" s="338">
        <v>0.42708333333333331</v>
      </c>
      <c r="H207" s="338" t="s">
        <v>983</v>
      </c>
      <c r="I207" s="353">
        <v>751</v>
      </c>
      <c r="J207" s="338" t="str">
        <f>IFERROR(VLOOKUP(I207,'Chart of accounts'!A:H,2,FALSE),"")</f>
        <v>50201010 00</v>
      </c>
      <c r="K207" s="338" t="str">
        <f>IFERROR(VLOOKUP(I207,'Chart of accounts'!A:H,3,FALSE),"")</f>
        <v>Traveling Expenses - Local</v>
      </c>
      <c r="L207" s="338" t="str">
        <f>IFERROR(VLOOKUP(I207,'Chart of accounts'!A:H,4,FALSE),"")</f>
        <v>50201010 00 - Traveling Expenses - Local (751)</v>
      </c>
      <c r="M207" s="360">
        <v>1</v>
      </c>
      <c r="N207" s="355" t="s">
        <v>1062</v>
      </c>
      <c r="O207" s="355" t="s">
        <v>1041</v>
      </c>
      <c r="P207" s="355"/>
      <c r="Q207" s="355">
        <v>750</v>
      </c>
      <c r="R207" s="319">
        <f t="shared" si="2"/>
        <v>-750</v>
      </c>
      <c r="S207" s="319" t="str">
        <f>VLOOKUP(H207,'Fund Utilization Report'!$A$4:$U$1800,13,FALSE)</f>
        <v>MOOE</v>
      </c>
      <c r="T207" s="319" t="str">
        <f>VLOOKUP(H207,'Fund Utilization Report'!$A$4:$U$1800,2,FALSE)</f>
        <v>GAA</v>
      </c>
      <c r="U207" s="319" t="str">
        <f>VLOOKUP(H207,'Fund Utilization Report'!$A$4:$U$1800,3,FALSE)</f>
        <v>FY2021, RA11518</v>
      </c>
      <c r="V207" s="319" t="str">
        <f>VLOOKUP(H207,'Fund Utilization Report'!$A$4:$U$1800,4,FALSE)</f>
        <v>SSF</v>
      </c>
      <c r="W207" s="319" t="str">
        <f>VLOOKUP(H207,'Fund Utilization Report'!$A$4:$U$1800,5,FALSE)</f>
        <v>01101101</v>
      </c>
      <c r="X207" s="319" t="str">
        <f>VLOOKUP(H207,'Fund Utilization Report'!$A$4:$U$1800,6,FALSE)</f>
        <v>GOP</v>
      </c>
      <c r="Y207" s="320" t="str">
        <f>VLOOKUP(H207,'Fund Utilization Report'!$A$4:$U$1800,7,FALSE)</f>
        <v>MOOE</v>
      </c>
      <c r="Z207" s="321">
        <f>VLOOKUP(H207,'Fund Utilization Report'!$A$4:$U$1800,8,FALSE)</f>
        <v>5020000000</v>
      </c>
      <c r="AA207" s="319" t="str">
        <f>VLOOKUP(H207,'Fund Utilization Report'!$A$4:$U$1800,14,FALSE)</f>
        <v>330100200003000</v>
      </c>
      <c r="AB207" s="349" t="str">
        <f>VLOOKUP(H207,'Fund Utilization Report'!$A$4:$U$1800,15,FALSE)</f>
        <v>Shared Service Facilities Project</v>
      </c>
      <c r="AC207" s="39"/>
      <c r="AD207" s="34"/>
      <c r="AE207" s="39"/>
      <c r="AF207" s="51"/>
      <c r="AG207" s="40"/>
      <c r="AH207" s="40"/>
    </row>
    <row r="208" spans="1:34" s="32" customFormat="1" ht="41.4">
      <c r="A208" s="338" t="s">
        <v>942</v>
      </c>
      <c r="B208" s="338" t="s">
        <v>945</v>
      </c>
      <c r="C208" s="358">
        <v>44230</v>
      </c>
      <c r="D208" s="351" t="s">
        <v>1028</v>
      </c>
      <c r="E208" s="352" t="s">
        <v>1050</v>
      </c>
      <c r="F208" s="338">
        <v>0.42708333333333331</v>
      </c>
      <c r="G208" s="338">
        <v>0.4291666666666667</v>
      </c>
      <c r="H208" s="338" t="s">
        <v>983</v>
      </c>
      <c r="I208" s="353">
        <v>751</v>
      </c>
      <c r="J208" s="338" t="str">
        <f>IFERROR(VLOOKUP(I208,'Chart of accounts'!A:H,2,FALSE),"")</f>
        <v>50201010 00</v>
      </c>
      <c r="K208" s="338" t="str">
        <f>IFERROR(VLOOKUP(I208,'Chart of accounts'!A:H,3,FALSE),"")</f>
        <v>Traveling Expenses - Local</v>
      </c>
      <c r="L208" s="338" t="str">
        <f>IFERROR(VLOOKUP(I208,'Chart of accounts'!A:H,4,FALSE),"")</f>
        <v>50201010 00 - Traveling Expenses - Local (751)</v>
      </c>
      <c r="M208" s="360">
        <v>1</v>
      </c>
      <c r="N208" s="355" t="s">
        <v>1042</v>
      </c>
      <c r="O208" s="355" t="s">
        <v>1041</v>
      </c>
      <c r="P208" s="355"/>
      <c r="Q208" s="355">
        <v>750</v>
      </c>
      <c r="R208" s="319">
        <f t="shared" si="2"/>
        <v>-750</v>
      </c>
      <c r="S208" s="319" t="str">
        <f>VLOOKUP(H208,'Fund Utilization Report'!$A$4:$U$1800,13,FALSE)</f>
        <v>MOOE</v>
      </c>
      <c r="T208" s="319" t="str">
        <f>VLOOKUP(H208,'Fund Utilization Report'!$A$4:$U$1800,2,FALSE)</f>
        <v>GAA</v>
      </c>
      <c r="U208" s="319" t="str">
        <f>VLOOKUP(H208,'Fund Utilization Report'!$A$4:$U$1800,3,FALSE)</f>
        <v>FY2021, RA11518</v>
      </c>
      <c r="V208" s="319" t="str">
        <f>VLOOKUP(H208,'Fund Utilization Report'!$A$4:$U$1800,4,FALSE)</f>
        <v>SSF</v>
      </c>
      <c r="W208" s="319" t="str">
        <f>VLOOKUP(H208,'Fund Utilization Report'!$A$4:$U$1800,5,FALSE)</f>
        <v>01101101</v>
      </c>
      <c r="X208" s="319" t="str">
        <f>VLOOKUP(H208,'Fund Utilization Report'!$A$4:$U$1800,6,FALSE)</f>
        <v>GOP</v>
      </c>
      <c r="Y208" s="320" t="str">
        <f>VLOOKUP(H208,'Fund Utilization Report'!$A$4:$U$1800,7,FALSE)</f>
        <v>MOOE</v>
      </c>
      <c r="Z208" s="321">
        <f>VLOOKUP(H208,'Fund Utilization Report'!$A$4:$U$1800,8,FALSE)</f>
        <v>5020000000</v>
      </c>
      <c r="AA208" s="319" t="str">
        <f>VLOOKUP(H208,'Fund Utilization Report'!$A$4:$U$1800,14,FALSE)</f>
        <v>330100200003000</v>
      </c>
      <c r="AB208" s="349" t="str">
        <f>VLOOKUP(H208,'Fund Utilization Report'!$A$4:$U$1800,15,FALSE)</f>
        <v>Shared Service Facilities Project</v>
      </c>
      <c r="AC208" s="39"/>
      <c r="AD208" s="34"/>
      <c r="AE208" s="39"/>
      <c r="AF208" s="51"/>
      <c r="AG208" s="40"/>
      <c r="AH208" s="40"/>
    </row>
    <row r="209" spans="1:34" s="32" customFormat="1" ht="41.4">
      <c r="A209" s="338" t="s">
        <v>942</v>
      </c>
      <c r="B209" s="338" t="s">
        <v>945</v>
      </c>
      <c r="C209" s="358">
        <v>44230</v>
      </c>
      <c r="D209" s="351" t="s">
        <v>1028</v>
      </c>
      <c r="E209" s="352" t="s">
        <v>1051</v>
      </c>
      <c r="F209" s="338">
        <v>0.4291666666666667</v>
      </c>
      <c r="G209" s="338">
        <v>0.42986111111111108</v>
      </c>
      <c r="H209" s="338" t="s">
        <v>983</v>
      </c>
      <c r="I209" s="353">
        <v>751</v>
      </c>
      <c r="J209" s="338" t="str">
        <f>IFERROR(VLOOKUP(I209,'Chart of accounts'!A:H,2,FALSE),"")</f>
        <v>50201010 00</v>
      </c>
      <c r="K209" s="338" t="str">
        <f>IFERROR(VLOOKUP(I209,'Chart of accounts'!A:H,3,FALSE),"")</f>
        <v>Traveling Expenses - Local</v>
      </c>
      <c r="L209" s="338" t="str">
        <f>IFERROR(VLOOKUP(I209,'Chart of accounts'!A:H,4,FALSE),"")</f>
        <v>50201010 00 - Traveling Expenses - Local (751)</v>
      </c>
      <c r="M209" s="360">
        <v>1</v>
      </c>
      <c r="N209" s="355" t="s">
        <v>1043</v>
      </c>
      <c r="O209" s="355" t="s">
        <v>1041</v>
      </c>
      <c r="P209" s="355"/>
      <c r="Q209" s="355">
        <v>750</v>
      </c>
      <c r="R209" s="319">
        <f t="shared" si="2"/>
        <v>-750</v>
      </c>
      <c r="S209" s="319" t="str">
        <f>VLOOKUP(H209,'Fund Utilization Report'!$A$4:$U$1800,13,FALSE)</f>
        <v>MOOE</v>
      </c>
      <c r="T209" s="319" t="str">
        <f>VLOOKUP(H209,'Fund Utilization Report'!$A$4:$U$1800,2,FALSE)</f>
        <v>GAA</v>
      </c>
      <c r="U209" s="319" t="str">
        <f>VLOOKUP(H209,'Fund Utilization Report'!$A$4:$U$1800,3,FALSE)</f>
        <v>FY2021, RA11518</v>
      </c>
      <c r="V209" s="319" t="str">
        <f>VLOOKUP(H209,'Fund Utilization Report'!$A$4:$U$1800,4,FALSE)</f>
        <v>SSF</v>
      </c>
      <c r="W209" s="319" t="str">
        <f>VLOOKUP(H209,'Fund Utilization Report'!$A$4:$U$1800,5,FALSE)</f>
        <v>01101101</v>
      </c>
      <c r="X209" s="319" t="str">
        <f>VLOOKUP(H209,'Fund Utilization Report'!$A$4:$U$1800,6,FALSE)</f>
        <v>GOP</v>
      </c>
      <c r="Y209" s="320" t="str">
        <f>VLOOKUP(H209,'Fund Utilization Report'!$A$4:$U$1800,7,FALSE)</f>
        <v>MOOE</v>
      </c>
      <c r="Z209" s="321">
        <f>VLOOKUP(H209,'Fund Utilization Report'!$A$4:$U$1800,8,FALSE)</f>
        <v>5020000000</v>
      </c>
      <c r="AA209" s="319" t="str">
        <f>VLOOKUP(H209,'Fund Utilization Report'!$A$4:$U$1800,14,FALSE)</f>
        <v>330100200003000</v>
      </c>
      <c r="AB209" s="349" t="str">
        <f>VLOOKUP(H209,'Fund Utilization Report'!$A$4:$U$1800,15,FALSE)</f>
        <v>Shared Service Facilities Project</v>
      </c>
      <c r="AC209" s="39"/>
      <c r="AD209" s="34"/>
      <c r="AE209" s="39"/>
      <c r="AF209" s="51"/>
      <c r="AG209" s="40"/>
      <c r="AH209" s="40"/>
    </row>
    <row r="210" spans="1:34" s="32" customFormat="1" ht="27.6">
      <c r="A210" s="338" t="s">
        <v>942</v>
      </c>
      <c r="B210" s="338" t="s">
        <v>945</v>
      </c>
      <c r="C210" s="358">
        <v>44230</v>
      </c>
      <c r="D210" s="351" t="s">
        <v>1028</v>
      </c>
      <c r="E210" s="352" t="s">
        <v>1052</v>
      </c>
      <c r="F210" s="338">
        <v>0.42986111111111108</v>
      </c>
      <c r="G210" s="338">
        <v>0.43402777777777773</v>
      </c>
      <c r="H210" s="338" t="s">
        <v>968</v>
      </c>
      <c r="I210" s="353">
        <v>751</v>
      </c>
      <c r="J210" s="338" t="str">
        <f>IFERROR(VLOOKUP(I210,'Chart of accounts'!A:H,2,FALSE),"")</f>
        <v>50201010 00</v>
      </c>
      <c r="K210" s="338" t="str">
        <f>IFERROR(VLOOKUP(I210,'Chart of accounts'!A:H,3,FALSE),"")</f>
        <v>Traveling Expenses - Local</v>
      </c>
      <c r="L210" s="338" t="str">
        <f>IFERROR(VLOOKUP(I210,'Chart of accounts'!A:H,4,FALSE),"")</f>
        <v>50201010 00 - Traveling Expenses - Local (751)</v>
      </c>
      <c r="M210" s="360">
        <v>2</v>
      </c>
      <c r="N210" s="355" t="s">
        <v>818</v>
      </c>
      <c r="O210" s="355" t="s">
        <v>1044</v>
      </c>
      <c r="P210" s="355"/>
      <c r="Q210" s="355">
        <v>15000</v>
      </c>
      <c r="R210" s="319">
        <f t="shared" si="2"/>
        <v>-15000</v>
      </c>
      <c r="S210" s="319" t="str">
        <f>VLOOKUP(H210,'Fund Utilization Report'!$A$4:$U$1800,13,FALSE)</f>
        <v>MOOE</v>
      </c>
      <c r="T210" s="319" t="str">
        <f>VLOOKUP(H210,'Fund Utilization Report'!$A$4:$U$1800,2,FALSE)</f>
        <v>GAA</v>
      </c>
      <c r="U210" s="319" t="str">
        <f>VLOOKUP(H210,'Fund Utilization Report'!$A$4:$U$1800,3,FALSE)</f>
        <v>FY2021, RA11518</v>
      </c>
      <c r="V210" s="319" t="str">
        <f>VLOOKUP(H210,'Fund Utilization Report'!$A$4:$U$1800,4,FALSE)</f>
        <v>OO2</v>
      </c>
      <c r="W210" s="319" t="str">
        <f>VLOOKUP(H210,'Fund Utilization Report'!$A$4:$U$1800,5,FALSE)</f>
        <v>01101101</v>
      </c>
      <c r="X210" s="319" t="str">
        <f>VLOOKUP(H210,'Fund Utilization Report'!$A$4:$U$1800,6,FALSE)</f>
        <v>GOP</v>
      </c>
      <c r="Y210" s="320" t="str">
        <f>VLOOKUP(H210,'Fund Utilization Report'!$A$4:$U$1800,7,FALSE)</f>
        <v>MOOE</v>
      </c>
      <c r="Z210" s="321">
        <f>VLOOKUP(H210,'Fund Utilization Report'!$A$4:$U$1800,8,FALSE)</f>
        <v>5020000000</v>
      </c>
      <c r="AA210" s="319" t="str">
        <f>VLOOKUP(H210,'Fund Utilization Report'!$A$4:$U$1800,14,FALSE)</f>
        <v>320100100001000</v>
      </c>
      <c r="AB210" s="349" t="str">
        <f>VLOOKUP(H210,'Fund Utilization Report'!$A$4:$U$1800,15,FALSE)</f>
        <v>Formulation of Strategic plans,programs, and policies to develop competitve industries</v>
      </c>
      <c r="AC210" s="39"/>
      <c r="AD210" s="34"/>
      <c r="AE210" s="39"/>
      <c r="AF210" s="51"/>
      <c r="AG210" s="40"/>
      <c r="AH210" s="40"/>
    </row>
    <row r="211" spans="1:34" s="32" customFormat="1" ht="27.6">
      <c r="A211" s="338" t="s">
        <v>942</v>
      </c>
      <c r="B211" s="338" t="s">
        <v>945</v>
      </c>
      <c r="C211" s="358">
        <v>44230</v>
      </c>
      <c r="D211" s="351" t="s">
        <v>1028</v>
      </c>
      <c r="E211" s="352" t="s">
        <v>1052</v>
      </c>
      <c r="F211" s="338">
        <v>0.42986111111111108</v>
      </c>
      <c r="G211" s="338">
        <v>0.43402777777777773</v>
      </c>
      <c r="H211" s="338" t="s">
        <v>968</v>
      </c>
      <c r="I211" s="353">
        <v>755</v>
      </c>
      <c r="J211" s="338" t="str">
        <f>IFERROR(VLOOKUP(I211,'Chart of accounts'!A:H,2,FALSE),"")</f>
        <v>50203010 00</v>
      </c>
      <c r="K211" s="338" t="str">
        <f>IFERROR(VLOOKUP(I211,'Chart of accounts'!A:H,3,FALSE),"")</f>
        <v>Office Supplies Expenses</v>
      </c>
      <c r="L211" s="338" t="str">
        <f>IFERROR(VLOOKUP(I211,'Chart of accounts'!A:H,4,FALSE),"")</f>
        <v>50203010 00 - Office Supplies Expenses (755)</v>
      </c>
      <c r="M211" s="360">
        <v>2</v>
      </c>
      <c r="N211" s="355" t="s">
        <v>818</v>
      </c>
      <c r="O211" s="355" t="s">
        <v>1044</v>
      </c>
      <c r="P211" s="355"/>
      <c r="Q211" s="355">
        <v>13000</v>
      </c>
      <c r="R211" s="319">
        <f t="shared" si="2"/>
        <v>-13000</v>
      </c>
      <c r="S211" s="319" t="str">
        <f>VLOOKUP(H211,'Fund Utilization Report'!$A$4:$U$1800,13,FALSE)</f>
        <v>MOOE</v>
      </c>
      <c r="T211" s="319" t="str">
        <f>VLOOKUP(H211,'Fund Utilization Report'!$A$4:$U$1800,2,FALSE)</f>
        <v>GAA</v>
      </c>
      <c r="U211" s="319" t="str">
        <f>VLOOKUP(H211,'Fund Utilization Report'!$A$4:$U$1800,3,FALSE)</f>
        <v>FY2021, RA11518</v>
      </c>
      <c r="V211" s="319" t="str">
        <f>VLOOKUP(H211,'Fund Utilization Report'!$A$4:$U$1800,4,FALSE)</f>
        <v>OO2</v>
      </c>
      <c r="W211" s="319" t="str">
        <f>VLOOKUP(H211,'Fund Utilization Report'!$A$4:$U$1800,5,FALSE)</f>
        <v>01101101</v>
      </c>
      <c r="X211" s="319" t="str">
        <f>VLOOKUP(H211,'Fund Utilization Report'!$A$4:$U$1800,6,FALSE)</f>
        <v>GOP</v>
      </c>
      <c r="Y211" s="320" t="str">
        <f>VLOOKUP(H211,'Fund Utilization Report'!$A$4:$U$1800,7,FALSE)</f>
        <v>MOOE</v>
      </c>
      <c r="Z211" s="321">
        <f>VLOOKUP(H211,'Fund Utilization Report'!$A$4:$U$1800,8,FALSE)</f>
        <v>5020000000</v>
      </c>
      <c r="AA211" s="319" t="str">
        <f>VLOOKUP(H211,'Fund Utilization Report'!$A$4:$U$1800,14,FALSE)</f>
        <v>320100100001000</v>
      </c>
      <c r="AB211" s="349" t="str">
        <f>VLOOKUP(H211,'Fund Utilization Report'!$A$4:$U$1800,15,FALSE)</f>
        <v>Formulation of Strategic plans,programs, and policies to develop competitve industries</v>
      </c>
      <c r="AC211" s="39"/>
      <c r="AD211" s="34"/>
      <c r="AE211" s="39"/>
      <c r="AF211" s="51"/>
      <c r="AG211" s="40"/>
      <c r="AH211" s="40"/>
    </row>
    <row r="212" spans="1:34" s="32" customFormat="1" ht="27.6">
      <c r="A212" s="338" t="s">
        <v>942</v>
      </c>
      <c r="B212" s="338" t="s">
        <v>945</v>
      </c>
      <c r="C212" s="358">
        <v>44230</v>
      </c>
      <c r="D212" s="351" t="s">
        <v>1028</v>
      </c>
      <c r="E212" s="352" t="s">
        <v>1052</v>
      </c>
      <c r="F212" s="338">
        <v>0.42986111111111108</v>
      </c>
      <c r="G212" s="338">
        <v>0.43402777777777773</v>
      </c>
      <c r="H212" s="338" t="s">
        <v>968</v>
      </c>
      <c r="I212" s="353">
        <v>783</v>
      </c>
      <c r="J212" s="338" t="str">
        <f>IFERROR(VLOOKUP(I212,'Chart of accounts'!A:H,2,FALSE),"")</f>
        <v>50299030 00</v>
      </c>
      <c r="K212" s="338" t="str">
        <f>IFERROR(VLOOKUP(I212,'Chart of accounts'!A:H,3,FALSE),"")</f>
        <v>Representation Expenses</v>
      </c>
      <c r="L212" s="338" t="str">
        <f>IFERROR(VLOOKUP(I212,'Chart of accounts'!A:H,4,FALSE),"")</f>
        <v>50299030 00 - Representation Expenses (783)</v>
      </c>
      <c r="M212" s="360">
        <v>2</v>
      </c>
      <c r="N212" s="355" t="s">
        <v>818</v>
      </c>
      <c r="O212" s="355" t="s">
        <v>1044</v>
      </c>
      <c r="P212" s="355"/>
      <c r="Q212" s="355">
        <v>69200</v>
      </c>
      <c r="R212" s="319">
        <f t="shared" si="2"/>
        <v>-69200</v>
      </c>
      <c r="S212" s="319" t="str">
        <f>VLOOKUP(H212,'Fund Utilization Report'!$A$4:$U$1800,13,FALSE)</f>
        <v>MOOE</v>
      </c>
      <c r="T212" s="319" t="str">
        <f>VLOOKUP(H212,'Fund Utilization Report'!$A$4:$U$1800,2,FALSE)</f>
        <v>GAA</v>
      </c>
      <c r="U212" s="319" t="str">
        <f>VLOOKUP(H212,'Fund Utilization Report'!$A$4:$U$1800,3,FALSE)</f>
        <v>FY2021, RA11518</v>
      </c>
      <c r="V212" s="319" t="str">
        <f>VLOOKUP(H212,'Fund Utilization Report'!$A$4:$U$1800,4,FALSE)</f>
        <v>OO2</v>
      </c>
      <c r="W212" s="319" t="str">
        <f>VLOOKUP(H212,'Fund Utilization Report'!$A$4:$U$1800,5,FALSE)</f>
        <v>01101101</v>
      </c>
      <c r="X212" s="319" t="str">
        <f>VLOOKUP(H212,'Fund Utilization Report'!$A$4:$U$1800,6,FALSE)</f>
        <v>GOP</v>
      </c>
      <c r="Y212" s="320" t="str">
        <f>VLOOKUP(H212,'Fund Utilization Report'!$A$4:$U$1800,7,FALSE)</f>
        <v>MOOE</v>
      </c>
      <c r="Z212" s="321">
        <f>VLOOKUP(H212,'Fund Utilization Report'!$A$4:$U$1800,8,FALSE)</f>
        <v>5020000000</v>
      </c>
      <c r="AA212" s="319" t="str">
        <f>VLOOKUP(H212,'Fund Utilization Report'!$A$4:$U$1800,14,FALSE)</f>
        <v>320100100001000</v>
      </c>
      <c r="AB212" s="349" t="str">
        <f>VLOOKUP(H212,'Fund Utilization Report'!$A$4:$U$1800,15,FALSE)</f>
        <v>Formulation of Strategic plans,programs, and policies to develop competitve industries</v>
      </c>
      <c r="AC212" s="39"/>
      <c r="AD212" s="34"/>
      <c r="AE212" s="39"/>
      <c r="AF212" s="51"/>
      <c r="AG212" s="40"/>
      <c r="AH212" s="40"/>
    </row>
    <row r="213" spans="1:34" s="32" customFormat="1" ht="27.6">
      <c r="A213" s="338" t="s">
        <v>942</v>
      </c>
      <c r="B213" s="338" t="s">
        <v>945</v>
      </c>
      <c r="C213" s="358">
        <v>44230</v>
      </c>
      <c r="D213" s="351" t="s">
        <v>1028</v>
      </c>
      <c r="E213" s="352" t="s">
        <v>1053</v>
      </c>
      <c r="F213" s="338">
        <v>0.43402777777777773</v>
      </c>
      <c r="G213" s="338">
        <v>0.44097222222222227</v>
      </c>
      <c r="H213" s="338" t="s">
        <v>968</v>
      </c>
      <c r="I213" s="353">
        <v>751</v>
      </c>
      <c r="J213" s="338" t="str">
        <f>IFERROR(VLOOKUP(I213,'Chart of accounts'!A:H,2,FALSE),"")</f>
        <v>50201010 00</v>
      </c>
      <c r="K213" s="338" t="str">
        <f>IFERROR(VLOOKUP(I213,'Chart of accounts'!A:H,3,FALSE),"")</f>
        <v>Traveling Expenses - Local</v>
      </c>
      <c r="L213" s="338" t="str">
        <f>IFERROR(VLOOKUP(I213,'Chart of accounts'!A:H,4,FALSE),"")</f>
        <v>50201010 00 - Traveling Expenses - Local (751)</v>
      </c>
      <c r="M213" s="360">
        <v>3</v>
      </c>
      <c r="N213" s="355" t="s">
        <v>820</v>
      </c>
      <c r="O213" s="355" t="s">
        <v>1044</v>
      </c>
      <c r="P213" s="355"/>
      <c r="Q213" s="355">
        <v>15000</v>
      </c>
      <c r="R213" s="319">
        <f t="shared" si="2"/>
        <v>-15000</v>
      </c>
      <c r="S213" s="319" t="str">
        <f>VLOOKUP(H213,'Fund Utilization Report'!$A$4:$U$1800,13,FALSE)</f>
        <v>MOOE</v>
      </c>
      <c r="T213" s="319" t="str">
        <f>VLOOKUP(H213,'Fund Utilization Report'!$A$4:$U$1800,2,FALSE)</f>
        <v>GAA</v>
      </c>
      <c r="U213" s="319" t="str">
        <f>VLOOKUP(H213,'Fund Utilization Report'!$A$4:$U$1800,3,FALSE)</f>
        <v>FY2021, RA11518</v>
      </c>
      <c r="V213" s="319" t="str">
        <f>VLOOKUP(H213,'Fund Utilization Report'!$A$4:$U$1800,4,FALSE)</f>
        <v>OO2</v>
      </c>
      <c r="W213" s="319" t="str">
        <f>VLOOKUP(H213,'Fund Utilization Report'!$A$4:$U$1800,5,FALSE)</f>
        <v>01101101</v>
      </c>
      <c r="X213" s="319" t="str">
        <f>VLOOKUP(H213,'Fund Utilization Report'!$A$4:$U$1800,6,FALSE)</f>
        <v>GOP</v>
      </c>
      <c r="Y213" s="320" t="str">
        <f>VLOOKUP(H213,'Fund Utilization Report'!$A$4:$U$1800,7,FALSE)</f>
        <v>MOOE</v>
      </c>
      <c r="Z213" s="321">
        <f>VLOOKUP(H213,'Fund Utilization Report'!$A$4:$U$1800,8,FALSE)</f>
        <v>5020000000</v>
      </c>
      <c r="AA213" s="319" t="str">
        <f>VLOOKUP(H213,'Fund Utilization Report'!$A$4:$U$1800,14,FALSE)</f>
        <v>320100100001000</v>
      </c>
      <c r="AB213" s="349" t="str">
        <f>VLOOKUP(H213,'Fund Utilization Report'!$A$4:$U$1800,15,FALSE)</f>
        <v>Formulation of Strategic plans,programs, and policies to develop competitve industries</v>
      </c>
      <c r="AC213" s="39"/>
      <c r="AD213" s="34"/>
      <c r="AE213" s="39"/>
      <c r="AF213" s="51"/>
      <c r="AG213" s="40"/>
      <c r="AH213" s="40"/>
    </row>
    <row r="214" spans="1:34" s="32" customFormat="1" ht="27.6">
      <c r="A214" s="338" t="s">
        <v>942</v>
      </c>
      <c r="B214" s="338" t="s">
        <v>945</v>
      </c>
      <c r="C214" s="358">
        <v>44230</v>
      </c>
      <c r="D214" s="351" t="s">
        <v>1028</v>
      </c>
      <c r="E214" s="352" t="s">
        <v>1053</v>
      </c>
      <c r="F214" s="338">
        <v>0.43402777777777773</v>
      </c>
      <c r="G214" s="338">
        <v>0.44097222222222227</v>
      </c>
      <c r="H214" s="338" t="s">
        <v>968</v>
      </c>
      <c r="I214" s="353">
        <v>755</v>
      </c>
      <c r="J214" s="338" t="str">
        <f>IFERROR(VLOOKUP(I214,'Chart of accounts'!A:H,2,FALSE),"")</f>
        <v>50203010 00</v>
      </c>
      <c r="K214" s="338" t="str">
        <f>IFERROR(VLOOKUP(I214,'Chart of accounts'!A:H,3,FALSE),"")</f>
        <v>Office Supplies Expenses</v>
      </c>
      <c r="L214" s="338" t="str">
        <f>IFERROR(VLOOKUP(I214,'Chart of accounts'!A:H,4,FALSE),"")</f>
        <v>50203010 00 - Office Supplies Expenses (755)</v>
      </c>
      <c r="M214" s="360">
        <v>3</v>
      </c>
      <c r="N214" s="355" t="s">
        <v>820</v>
      </c>
      <c r="O214" s="355" t="s">
        <v>1044</v>
      </c>
      <c r="P214" s="355"/>
      <c r="Q214" s="355">
        <v>13000</v>
      </c>
      <c r="R214" s="319">
        <f t="shared" si="2"/>
        <v>-13000</v>
      </c>
      <c r="S214" s="319" t="str">
        <f>VLOOKUP(H214,'Fund Utilization Report'!$A$4:$U$1800,13,FALSE)</f>
        <v>MOOE</v>
      </c>
      <c r="T214" s="319" t="str">
        <f>VLOOKUP(H214,'Fund Utilization Report'!$A$4:$U$1800,2,FALSE)</f>
        <v>GAA</v>
      </c>
      <c r="U214" s="319" t="str">
        <f>VLOOKUP(H214,'Fund Utilization Report'!$A$4:$U$1800,3,FALSE)</f>
        <v>FY2021, RA11518</v>
      </c>
      <c r="V214" s="319" t="str">
        <f>VLOOKUP(H214,'Fund Utilization Report'!$A$4:$U$1800,4,FALSE)</f>
        <v>OO2</v>
      </c>
      <c r="W214" s="319" t="str">
        <f>VLOOKUP(H214,'Fund Utilization Report'!$A$4:$U$1800,5,FALSE)</f>
        <v>01101101</v>
      </c>
      <c r="X214" s="319" t="str">
        <f>VLOOKUP(H214,'Fund Utilization Report'!$A$4:$U$1800,6,FALSE)</f>
        <v>GOP</v>
      </c>
      <c r="Y214" s="320" t="str">
        <f>VLOOKUP(H214,'Fund Utilization Report'!$A$4:$U$1800,7,FALSE)</f>
        <v>MOOE</v>
      </c>
      <c r="Z214" s="321">
        <f>VLOOKUP(H214,'Fund Utilization Report'!$A$4:$U$1800,8,FALSE)</f>
        <v>5020000000</v>
      </c>
      <c r="AA214" s="319" t="str">
        <f>VLOOKUP(H214,'Fund Utilization Report'!$A$4:$U$1800,14,FALSE)</f>
        <v>320100100001000</v>
      </c>
      <c r="AB214" s="349" t="str">
        <f>VLOOKUP(H214,'Fund Utilization Report'!$A$4:$U$1800,15,FALSE)</f>
        <v>Formulation of Strategic plans,programs, and policies to develop competitve industries</v>
      </c>
      <c r="AC214" s="39"/>
      <c r="AD214" s="34"/>
      <c r="AE214" s="39"/>
      <c r="AF214" s="51"/>
      <c r="AG214" s="40"/>
      <c r="AH214" s="40"/>
    </row>
    <row r="215" spans="1:34" s="32" customFormat="1" ht="27.6">
      <c r="A215" s="338" t="s">
        <v>942</v>
      </c>
      <c r="B215" s="338" t="s">
        <v>945</v>
      </c>
      <c r="C215" s="358">
        <v>44230</v>
      </c>
      <c r="D215" s="351" t="s">
        <v>1028</v>
      </c>
      <c r="E215" s="352" t="s">
        <v>1053</v>
      </c>
      <c r="F215" s="338">
        <v>0.43402777777777773</v>
      </c>
      <c r="G215" s="338">
        <v>0.44097222222222227</v>
      </c>
      <c r="H215" s="338" t="s">
        <v>968</v>
      </c>
      <c r="I215" s="353">
        <v>783</v>
      </c>
      <c r="J215" s="338" t="str">
        <f>IFERROR(VLOOKUP(I215,'Chart of accounts'!A:H,2,FALSE),"")</f>
        <v>50299030 00</v>
      </c>
      <c r="K215" s="338" t="str">
        <f>IFERROR(VLOOKUP(I215,'Chart of accounts'!A:H,3,FALSE),"")</f>
        <v>Representation Expenses</v>
      </c>
      <c r="L215" s="338" t="str">
        <f>IFERROR(VLOOKUP(I215,'Chart of accounts'!A:H,4,FALSE),"")</f>
        <v>50299030 00 - Representation Expenses (783)</v>
      </c>
      <c r="M215" s="360">
        <v>3</v>
      </c>
      <c r="N215" s="355" t="s">
        <v>820</v>
      </c>
      <c r="O215" s="355" t="s">
        <v>1044</v>
      </c>
      <c r="P215" s="355"/>
      <c r="Q215" s="355">
        <v>69200</v>
      </c>
      <c r="R215" s="319">
        <f t="shared" si="2"/>
        <v>-69200</v>
      </c>
      <c r="S215" s="319" t="str">
        <f>VLOOKUP(H215,'Fund Utilization Report'!$A$4:$U$1800,13,FALSE)</f>
        <v>MOOE</v>
      </c>
      <c r="T215" s="319" t="str">
        <f>VLOOKUP(H215,'Fund Utilization Report'!$A$4:$U$1800,2,FALSE)</f>
        <v>GAA</v>
      </c>
      <c r="U215" s="319" t="str">
        <f>VLOOKUP(H215,'Fund Utilization Report'!$A$4:$U$1800,3,FALSE)</f>
        <v>FY2021, RA11518</v>
      </c>
      <c r="V215" s="319" t="str">
        <f>VLOOKUP(H215,'Fund Utilization Report'!$A$4:$U$1800,4,FALSE)</f>
        <v>OO2</v>
      </c>
      <c r="W215" s="319" t="str">
        <f>VLOOKUP(H215,'Fund Utilization Report'!$A$4:$U$1800,5,FALSE)</f>
        <v>01101101</v>
      </c>
      <c r="X215" s="319" t="str">
        <f>VLOOKUP(H215,'Fund Utilization Report'!$A$4:$U$1800,6,FALSE)</f>
        <v>GOP</v>
      </c>
      <c r="Y215" s="320" t="str">
        <f>VLOOKUP(H215,'Fund Utilization Report'!$A$4:$U$1800,7,FALSE)</f>
        <v>MOOE</v>
      </c>
      <c r="Z215" s="321">
        <f>VLOOKUP(H215,'Fund Utilization Report'!$A$4:$U$1800,8,FALSE)</f>
        <v>5020000000</v>
      </c>
      <c r="AA215" s="319" t="str">
        <f>VLOOKUP(H215,'Fund Utilization Report'!$A$4:$U$1800,14,FALSE)</f>
        <v>320100100001000</v>
      </c>
      <c r="AB215" s="349" t="str">
        <f>VLOOKUP(H215,'Fund Utilization Report'!$A$4:$U$1800,15,FALSE)</f>
        <v>Formulation of Strategic plans,programs, and policies to develop competitve industries</v>
      </c>
      <c r="AC215" s="39"/>
      <c r="AD215" s="34"/>
      <c r="AE215" s="39"/>
      <c r="AF215" s="51"/>
      <c r="AG215" s="40"/>
      <c r="AH215" s="40"/>
    </row>
    <row r="216" spans="1:34" s="32" customFormat="1" ht="27.6">
      <c r="A216" s="338" t="s">
        <v>942</v>
      </c>
      <c r="B216" s="338" t="s">
        <v>945</v>
      </c>
      <c r="C216" s="358">
        <v>44230</v>
      </c>
      <c r="D216" s="351" t="s">
        <v>1028</v>
      </c>
      <c r="E216" s="352" t="s">
        <v>1054</v>
      </c>
      <c r="F216" s="338">
        <v>0.44097222222222227</v>
      </c>
      <c r="G216" s="338">
        <v>0.44236111111111115</v>
      </c>
      <c r="H216" s="338" t="s">
        <v>968</v>
      </c>
      <c r="I216" s="353">
        <v>751</v>
      </c>
      <c r="J216" s="338" t="str">
        <f>IFERROR(VLOOKUP(I216,'Chart of accounts'!A:H,2,FALSE),"")</f>
        <v>50201010 00</v>
      </c>
      <c r="K216" s="338" t="str">
        <f>IFERROR(VLOOKUP(I216,'Chart of accounts'!A:H,3,FALSE),"")</f>
        <v>Traveling Expenses - Local</v>
      </c>
      <c r="L216" s="338" t="str">
        <f>IFERROR(VLOOKUP(I216,'Chart of accounts'!A:H,4,FALSE),"")</f>
        <v>50201010 00 - Traveling Expenses - Local (751)</v>
      </c>
      <c r="M216" s="360">
        <v>68</v>
      </c>
      <c r="N216" s="355" t="s">
        <v>821</v>
      </c>
      <c r="O216" s="355" t="s">
        <v>1044</v>
      </c>
      <c r="P216" s="355"/>
      <c r="Q216" s="355">
        <v>15000</v>
      </c>
      <c r="R216" s="319">
        <f t="shared" si="2"/>
        <v>-15000</v>
      </c>
      <c r="S216" s="319" t="str">
        <f>VLOOKUP(H216,'Fund Utilization Report'!$A$4:$U$1800,13,FALSE)</f>
        <v>MOOE</v>
      </c>
      <c r="T216" s="319" t="str">
        <f>VLOOKUP(H216,'Fund Utilization Report'!$A$4:$U$1800,2,FALSE)</f>
        <v>GAA</v>
      </c>
      <c r="U216" s="319" t="str">
        <f>VLOOKUP(H216,'Fund Utilization Report'!$A$4:$U$1800,3,FALSE)</f>
        <v>FY2021, RA11518</v>
      </c>
      <c r="V216" s="319" t="str">
        <f>VLOOKUP(H216,'Fund Utilization Report'!$A$4:$U$1800,4,FALSE)</f>
        <v>OO2</v>
      </c>
      <c r="W216" s="319" t="str">
        <f>VLOOKUP(H216,'Fund Utilization Report'!$A$4:$U$1800,5,FALSE)</f>
        <v>01101101</v>
      </c>
      <c r="X216" s="319" t="str">
        <f>VLOOKUP(H216,'Fund Utilization Report'!$A$4:$U$1800,6,FALSE)</f>
        <v>GOP</v>
      </c>
      <c r="Y216" s="320" t="str">
        <f>VLOOKUP(H216,'Fund Utilization Report'!$A$4:$U$1800,7,FALSE)</f>
        <v>MOOE</v>
      </c>
      <c r="Z216" s="321">
        <f>VLOOKUP(H216,'Fund Utilization Report'!$A$4:$U$1800,8,FALSE)</f>
        <v>5020000000</v>
      </c>
      <c r="AA216" s="319" t="str">
        <f>VLOOKUP(H216,'Fund Utilization Report'!$A$4:$U$1800,14,FALSE)</f>
        <v>320100100001000</v>
      </c>
      <c r="AB216" s="349" t="str">
        <f>VLOOKUP(H216,'Fund Utilization Report'!$A$4:$U$1800,15,FALSE)</f>
        <v>Formulation of Strategic plans,programs, and policies to develop competitve industries</v>
      </c>
      <c r="AC216" s="39"/>
      <c r="AD216" s="34"/>
      <c r="AE216" s="39"/>
      <c r="AF216" s="51"/>
      <c r="AG216" s="40"/>
      <c r="AH216" s="40"/>
    </row>
    <row r="217" spans="1:34" s="32" customFormat="1" ht="27.6">
      <c r="A217" s="338" t="s">
        <v>942</v>
      </c>
      <c r="B217" s="338" t="s">
        <v>945</v>
      </c>
      <c r="C217" s="358">
        <v>44230</v>
      </c>
      <c r="D217" s="351" t="s">
        <v>1028</v>
      </c>
      <c r="E217" s="352" t="s">
        <v>1054</v>
      </c>
      <c r="F217" s="338">
        <v>0.44097222222222227</v>
      </c>
      <c r="G217" s="338">
        <v>0.44236111111111115</v>
      </c>
      <c r="H217" s="338" t="s">
        <v>968</v>
      </c>
      <c r="I217" s="353">
        <v>755</v>
      </c>
      <c r="J217" s="338" t="str">
        <f>IFERROR(VLOOKUP(I217,'Chart of accounts'!A:H,2,FALSE),"")</f>
        <v>50203010 00</v>
      </c>
      <c r="K217" s="338" t="str">
        <f>IFERROR(VLOOKUP(I217,'Chart of accounts'!A:H,3,FALSE),"")</f>
        <v>Office Supplies Expenses</v>
      </c>
      <c r="L217" s="338" t="str">
        <f>IFERROR(VLOOKUP(I217,'Chart of accounts'!A:H,4,FALSE),"")</f>
        <v>50203010 00 - Office Supplies Expenses (755)</v>
      </c>
      <c r="M217" s="360">
        <v>68</v>
      </c>
      <c r="N217" s="355" t="s">
        <v>821</v>
      </c>
      <c r="O217" s="355" t="s">
        <v>1044</v>
      </c>
      <c r="P217" s="355"/>
      <c r="Q217" s="355">
        <v>13000</v>
      </c>
      <c r="R217" s="319">
        <f t="shared" si="2"/>
        <v>-13000</v>
      </c>
      <c r="S217" s="319" t="str">
        <f>VLOOKUP(H217,'Fund Utilization Report'!$A$4:$U$1800,13,FALSE)</f>
        <v>MOOE</v>
      </c>
      <c r="T217" s="319" t="str">
        <f>VLOOKUP(H217,'Fund Utilization Report'!$A$4:$U$1800,2,FALSE)</f>
        <v>GAA</v>
      </c>
      <c r="U217" s="319" t="str">
        <f>VLOOKUP(H217,'Fund Utilization Report'!$A$4:$U$1800,3,FALSE)</f>
        <v>FY2021, RA11518</v>
      </c>
      <c r="V217" s="319" t="str">
        <f>VLOOKUP(H217,'Fund Utilization Report'!$A$4:$U$1800,4,FALSE)</f>
        <v>OO2</v>
      </c>
      <c r="W217" s="319" t="str">
        <f>VLOOKUP(H217,'Fund Utilization Report'!$A$4:$U$1800,5,FALSE)</f>
        <v>01101101</v>
      </c>
      <c r="X217" s="319" t="str">
        <f>VLOOKUP(H217,'Fund Utilization Report'!$A$4:$U$1800,6,FALSE)</f>
        <v>GOP</v>
      </c>
      <c r="Y217" s="320" t="str">
        <f>VLOOKUP(H217,'Fund Utilization Report'!$A$4:$U$1800,7,FALSE)</f>
        <v>MOOE</v>
      </c>
      <c r="Z217" s="321">
        <f>VLOOKUP(H217,'Fund Utilization Report'!$A$4:$U$1800,8,FALSE)</f>
        <v>5020000000</v>
      </c>
      <c r="AA217" s="319" t="str">
        <f>VLOOKUP(H217,'Fund Utilization Report'!$A$4:$U$1800,14,FALSE)</f>
        <v>320100100001000</v>
      </c>
      <c r="AB217" s="349" t="str">
        <f>VLOOKUP(H217,'Fund Utilization Report'!$A$4:$U$1800,15,FALSE)</f>
        <v>Formulation of Strategic plans,programs, and policies to develop competitve industries</v>
      </c>
      <c r="AC217" s="39"/>
      <c r="AD217" s="34"/>
      <c r="AE217" s="39"/>
      <c r="AF217" s="51"/>
      <c r="AG217" s="40"/>
      <c r="AH217" s="40"/>
    </row>
    <row r="218" spans="1:34" s="32" customFormat="1" ht="27.6">
      <c r="A218" s="338" t="s">
        <v>942</v>
      </c>
      <c r="B218" s="338" t="s">
        <v>945</v>
      </c>
      <c r="C218" s="358">
        <v>44230</v>
      </c>
      <c r="D218" s="351" t="s">
        <v>1028</v>
      </c>
      <c r="E218" s="352" t="s">
        <v>1054</v>
      </c>
      <c r="F218" s="338">
        <v>0.44097222222222227</v>
      </c>
      <c r="G218" s="338">
        <v>0.44236111111111115</v>
      </c>
      <c r="H218" s="338" t="s">
        <v>968</v>
      </c>
      <c r="I218" s="353">
        <v>783</v>
      </c>
      <c r="J218" s="338" t="str">
        <f>IFERROR(VLOOKUP(I218,'Chart of accounts'!A:H,2,FALSE),"")</f>
        <v>50299030 00</v>
      </c>
      <c r="K218" s="338" t="str">
        <f>IFERROR(VLOOKUP(I218,'Chart of accounts'!A:H,3,FALSE),"")</f>
        <v>Representation Expenses</v>
      </c>
      <c r="L218" s="338" t="str">
        <f>IFERROR(VLOOKUP(I218,'Chart of accounts'!A:H,4,FALSE),"")</f>
        <v>50299030 00 - Representation Expenses (783)</v>
      </c>
      <c r="M218" s="360">
        <v>68</v>
      </c>
      <c r="N218" s="355" t="s">
        <v>821</v>
      </c>
      <c r="O218" s="355" t="s">
        <v>1044</v>
      </c>
      <c r="P218" s="355"/>
      <c r="Q218" s="355">
        <v>69200</v>
      </c>
      <c r="R218" s="319">
        <f t="shared" si="2"/>
        <v>-69200</v>
      </c>
      <c r="S218" s="319" t="str">
        <f>VLOOKUP(H218,'Fund Utilization Report'!$A$4:$U$1800,13,FALSE)</f>
        <v>MOOE</v>
      </c>
      <c r="T218" s="319" t="str">
        <f>VLOOKUP(H218,'Fund Utilization Report'!$A$4:$U$1800,2,FALSE)</f>
        <v>GAA</v>
      </c>
      <c r="U218" s="319" t="str">
        <f>VLOOKUP(H218,'Fund Utilization Report'!$A$4:$U$1800,3,FALSE)</f>
        <v>FY2021, RA11518</v>
      </c>
      <c r="V218" s="319" t="str">
        <f>VLOOKUP(H218,'Fund Utilization Report'!$A$4:$U$1800,4,FALSE)</f>
        <v>OO2</v>
      </c>
      <c r="W218" s="319" t="str">
        <f>VLOOKUP(H218,'Fund Utilization Report'!$A$4:$U$1800,5,FALSE)</f>
        <v>01101101</v>
      </c>
      <c r="X218" s="319" t="str">
        <f>VLOOKUP(H218,'Fund Utilization Report'!$A$4:$U$1800,6,FALSE)</f>
        <v>GOP</v>
      </c>
      <c r="Y218" s="320" t="str">
        <f>VLOOKUP(H218,'Fund Utilization Report'!$A$4:$U$1800,7,FALSE)</f>
        <v>MOOE</v>
      </c>
      <c r="Z218" s="321">
        <f>VLOOKUP(H218,'Fund Utilization Report'!$A$4:$U$1800,8,FALSE)</f>
        <v>5020000000</v>
      </c>
      <c r="AA218" s="319" t="str">
        <f>VLOOKUP(H218,'Fund Utilization Report'!$A$4:$U$1800,14,FALSE)</f>
        <v>320100100001000</v>
      </c>
      <c r="AB218" s="349" t="str">
        <f>VLOOKUP(H218,'Fund Utilization Report'!$A$4:$U$1800,15,FALSE)</f>
        <v>Formulation of Strategic plans,programs, and policies to develop competitve industries</v>
      </c>
      <c r="AC218" s="39"/>
      <c r="AD218" s="34"/>
      <c r="AE218" s="39"/>
      <c r="AF218" s="51"/>
      <c r="AG218" s="40"/>
      <c r="AH218" s="40"/>
    </row>
    <row r="219" spans="1:34" s="32" customFormat="1" ht="27.6">
      <c r="A219" s="338" t="s">
        <v>942</v>
      </c>
      <c r="B219" s="338" t="s">
        <v>945</v>
      </c>
      <c r="C219" s="358">
        <v>44230</v>
      </c>
      <c r="D219" s="351" t="s">
        <v>1028</v>
      </c>
      <c r="E219" s="352" t="s">
        <v>1055</v>
      </c>
      <c r="F219" s="338">
        <v>0.44236111111111115</v>
      </c>
      <c r="G219" s="338">
        <v>0.44375000000000003</v>
      </c>
      <c r="H219" s="338" t="s">
        <v>968</v>
      </c>
      <c r="I219" s="353">
        <v>751</v>
      </c>
      <c r="J219" s="338" t="str">
        <f>IFERROR(VLOOKUP(I219,'Chart of accounts'!A:H,2,FALSE),"")</f>
        <v>50201010 00</v>
      </c>
      <c r="K219" s="338" t="str">
        <f>IFERROR(VLOOKUP(I219,'Chart of accounts'!A:H,3,FALSE),"")</f>
        <v>Traveling Expenses - Local</v>
      </c>
      <c r="L219" s="338" t="str">
        <f>IFERROR(VLOOKUP(I219,'Chart of accounts'!A:H,4,FALSE),"")</f>
        <v>50201010 00 - Traveling Expenses - Local (751)</v>
      </c>
      <c r="M219" s="360">
        <v>67</v>
      </c>
      <c r="N219" s="355" t="s">
        <v>822</v>
      </c>
      <c r="O219" s="355" t="s">
        <v>1044</v>
      </c>
      <c r="P219" s="355"/>
      <c r="Q219" s="355">
        <v>15000</v>
      </c>
      <c r="R219" s="319">
        <f t="shared" si="2"/>
        <v>-15000</v>
      </c>
      <c r="S219" s="319" t="str">
        <f>VLOOKUP(H219,'Fund Utilization Report'!$A$4:$U$1800,13,FALSE)</f>
        <v>MOOE</v>
      </c>
      <c r="T219" s="319" t="str">
        <f>VLOOKUP(H219,'Fund Utilization Report'!$A$4:$U$1800,2,FALSE)</f>
        <v>GAA</v>
      </c>
      <c r="U219" s="319" t="str">
        <f>VLOOKUP(H219,'Fund Utilization Report'!$A$4:$U$1800,3,FALSE)</f>
        <v>FY2021, RA11518</v>
      </c>
      <c r="V219" s="319" t="str">
        <f>VLOOKUP(H219,'Fund Utilization Report'!$A$4:$U$1800,4,FALSE)</f>
        <v>OO2</v>
      </c>
      <c r="W219" s="319" t="str">
        <f>VLOOKUP(H219,'Fund Utilization Report'!$A$4:$U$1800,5,FALSE)</f>
        <v>01101101</v>
      </c>
      <c r="X219" s="319" t="str">
        <f>VLOOKUP(H219,'Fund Utilization Report'!$A$4:$U$1800,6,FALSE)</f>
        <v>GOP</v>
      </c>
      <c r="Y219" s="320" t="str">
        <f>VLOOKUP(H219,'Fund Utilization Report'!$A$4:$U$1800,7,FALSE)</f>
        <v>MOOE</v>
      </c>
      <c r="Z219" s="321">
        <f>VLOOKUP(H219,'Fund Utilization Report'!$A$4:$U$1800,8,FALSE)</f>
        <v>5020000000</v>
      </c>
      <c r="AA219" s="319" t="str">
        <f>VLOOKUP(H219,'Fund Utilization Report'!$A$4:$U$1800,14,FALSE)</f>
        <v>320100100001000</v>
      </c>
      <c r="AB219" s="349" t="str">
        <f>VLOOKUP(H219,'Fund Utilization Report'!$A$4:$U$1800,15,FALSE)</f>
        <v>Formulation of Strategic plans,programs, and policies to develop competitve industries</v>
      </c>
      <c r="AC219" s="39"/>
      <c r="AD219" s="34"/>
      <c r="AE219" s="39"/>
      <c r="AF219" s="51"/>
      <c r="AG219" s="40"/>
      <c r="AH219" s="40"/>
    </row>
    <row r="220" spans="1:34" s="32" customFormat="1" ht="27.6">
      <c r="A220" s="338" t="s">
        <v>942</v>
      </c>
      <c r="B220" s="338" t="s">
        <v>945</v>
      </c>
      <c r="C220" s="358">
        <v>44230</v>
      </c>
      <c r="D220" s="351" t="s">
        <v>1028</v>
      </c>
      <c r="E220" s="352" t="s">
        <v>1055</v>
      </c>
      <c r="F220" s="338">
        <v>0.44236111111111115</v>
      </c>
      <c r="G220" s="338">
        <v>0.44375000000000003</v>
      </c>
      <c r="H220" s="338" t="s">
        <v>968</v>
      </c>
      <c r="I220" s="353">
        <v>755</v>
      </c>
      <c r="J220" s="338" t="str">
        <f>IFERROR(VLOOKUP(I220,'Chart of accounts'!A:H,2,FALSE),"")</f>
        <v>50203010 00</v>
      </c>
      <c r="K220" s="338" t="str">
        <f>IFERROR(VLOOKUP(I220,'Chart of accounts'!A:H,3,FALSE),"")</f>
        <v>Office Supplies Expenses</v>
      </c>
      <c r="L220" s="338" t="str">
        <f>IFERROR(VLOOKUP(I220,'Chart of accounts'!A:H,4,FALSE),"")</f>
        <v>50203010 00 - Office Supplies Expenses (755)</v>
      </c>
      <c r="M220" s="360">
        <v>67</v>
      </c>
      <c r="N220" s="355" t="s">
        <v>822</v>
      </c>
      <c r="O220" s="355" t="s">
        <v>1044</v>
      </c>
      <c r="P220" s="355"/>
      <c r="Q220" s="355">
        <v>13000</v>
      </c>
      <c r="R220" s="319">
        <f t="shared" si="2"/>
        <v>-13000</v>
      </c>
      <c r="S220" s="319" t="str">
        <f>VLOOKUP(H220,'Fund Utilization Report'!$A$4:$U$1800,13,FALSE)</f>
        <v>MOOE</v>
      </c>
      <c r="T220" s="319" t="str">
        <f>VLOOKUP(H220,'Fund Utilization Report'!$A$4:$U$1800,2,FALSE)</f>
        <v>GAA</v>
      </c>
      <c r="U220" s="319" t="str">
        <f>VLOOKUP(H220,'Fund Utilization Report'!$A$4:$U$1800,3,FALSE)</f>
        <v>FY2021, RA11518</v>
      </c>
      <c r="V220" s="319" t="str">
        <f>VLOOKUP(H220,'Fund Utilization Report'!$A$4:$U$1800,4,FALSE)</f>
        <v>OO2</v>
      </c>
      <c r="W220" s="319" t="str">
        <f>VLOOKUP(H220,'Fund Utilization Report'!$A$4:$U$1800,5,FALSE)</f>
        <v>01101101</v>
      </c>
      <c r="X220" s="319" t="str">
        <f>VLOOKUP(H220,'Fund Utilization Report'!$A$4:$U$1800,6,FALSE)</f>
        <v>GOP</v>
      </c>
      <c r="Y220" s="320" t="str">
        <f>VLOOKUP(H220,'Fund Utilization Report'!$A$4:$U$1800,7,FALSE)</f>
        <v>MOOE</v>
      </c>
      <c r="Z220" s="321">
        <f>VLOOKUP(H220,'Fund Utilization Report'!$A$4:$U$1800,8,FALSE)</f>
        <v>5020000000</v>
      </c>
      <c r="AA220" s="319" t="str">
        <f>VLOOKUP(H220,'Fund Utilization Report'!$A$4:$U$1800,14,FALSE)</f>
        <v>320100100001000</v>
      </c>
      <c r="AB220" s="349" t="str">
        <f>VLOOKUP(H220,'Fund Utilization Report'!$A$4:$U$1800,15,FALSE)</f>
        <v>Formulation of Strategic plans,programs, and policies to develop competitve industries</v>
      </c>
      <c r="AC220" s="39"/>
      <c r="AD220" s="34"/>
      <c r="AE220" s="39"/>
      <c r="AF220" s="51"/>
      <c r="AG220" s="40"/>
      <c r="AH220" s="40"/>
    </row>
    <row r="221" spans="1:34" s="32" customFormat="1" ht="27.6">
      <c r="A221" s="338" t="s">
        <v>942</v>
      </c>
      <c r="B221" s="338" t="s">
        <v>945</v>
      </c>
      <c r="C221" s="358">
        <v>44230</v>
      </c>
      <c r="D221" s="351" t="s">
        <v>1028</v>
      </c>
      <c r="E221" s="352" t="s">
        <v>1055</v>
      </c>
      <c r="F221" s="338">
        <v>0.44236111111111115</v>
      </c>
      <c r="G221" s="338">
        <v>0.44375000000000003</v>
      </c>
      <c r="H221" s="338" t="s">
        <v>968</v>
      </c>
      <c r="I221" s="353">
        <v>783</v>
      </c>
      <c r="J221" s="338" t="str">
        <f>IFERROR(VLOOKUP(I221,'Chart of accounts'!A:H,2,FALSE),"")</f>
        <v>50299030 00</v>
      </c>
      <c r="K221" s="338" t="str">
        <f>IFERROR(VLOOKUP(I221,'Chart of accounts'!A:H,3,FALSE),"")</f>
        <v>Representation Expenses</v>
      </c>
      <c r="L221" s="338" t="str">
        <f>IFERROR(VLOOKUP(I221,'Chart of accounts'!A:H,4,FALSE),"")</f>
        <v>50299030 00 - Representation Expenses (783)</v>
      </c>
      <c r="M221" s="360">
        <v>67</v>
      </c>
      <c r="N221" s="355" t="s">
        <v>822</v>
      </c>
      <c r="O221" s="355" t="s">
        <v>1044</v>
      </c>
      <c r="P221" s="355"/>
      <c r="Q221" s="355">
        <v>69200</v>
      </c>
      <c r="R221" s="319">
        <f t="shared" si="2"/>
        <v>-69200</v>
      </c>
      <c r="S221" s="319" t="str">
        <f>VLOOKUP(H221,'Fund Utilization Report'!$A$4:$U$1800,13,FALSE)</f>
        <v>MOOE</v>
      </c>
      <c r="T221" s="319" t="str">
        <f>VLOOKUP(H221,'Fund Utilization Report'!$A$4:$U$1800,2,FALSE)</f>
        <v>GAA</v>
      </c>
      <c r="U221" s="319" t="str">
        <f>VLOOKUP(H221,'Fund Utilization Report'!$A$4:$U$1800,3,FALSE)</f>
        <v>FY2021, RA11518</v>
      </c>
      <c r="V221" s="319" t="str">
        <f>VLOOKUP(H221,'Fund Utilization Report'!$A$4:$U$1800,4,FALSE)</f>
        <v>OO2</v>
      </c>
      <c r="W221" s="319" t="str">
        <f>VLOOKUP(H221,'Fund Utilization Report'!$A$4:$U$1800,5,FALSE)</f>
        <v>01101101</v>
      </c>
      <c r="X221" s="319" t="str">
        <f>VLOOKUP(H221,'Fund Utilization Report'!$A$4:$U$1800,6,FALSE)</f>
        <v>GOP</v>
      </c>
      <c r="Y221" s="320" t="str">
        <f>VLOOKUP(H221,'Fund Utilization Report'!$A$4:$U$1800,7,FALSE)</f>
        <v>MOOE</v>
      </c>
      <c r="Z221" s="321">
        <f>VLOOKUP(H221,'Fund Utilization Report'!$A$4:$U$1800,8,FALSE)</f>
        <v>5020000000</v>
      </c>
      <c r="AA221" s="319" t="str">
        <f>VLOOKUP(H221,'Fund Utilization Report'!$A$4:$U$1800,14,FALSE)</f>
        <v>320100100001000</v>
      </c>
      <c r="AB221" s="349" t="str">
        <f>VLOOKUP(H221,'Fund Utilization Report'!$A$4:$U$1800,15,FALSE)</f>
        <v>Formulation of Strategic plans,programs, and policies to develop competitve industries</v>
      </c>
      <c r="AC221" s="39"/>
      <c r="AD221" s="34"/>
      <c r="AE221" s="39"/>
      <c r="AF221" s="51"/>
      <c r="AG221" s="40"/>
      <c r="AH221" s="40"/>
    </row>
    <row r="222" spans="1:34" s="32" customFormat="1" ht="27.6">
      <c r="A222" s="338" t="s">
        <v>942</v>
      </c>
      <c r="B222" s="338" t="s">
        <v>945</v>
      </c>
      <c r="C222" s="358">
        <v>44230</v>
      </c>
      <c r="D222" s="351" t="s">
        <v>1028</v>
      </c>
      <c r="E222" s="352" t="s">
        <v>1056</v>
      </c>
      <c r="F222" s="338">
        <v>0.44375000000000003</v>
      </c>
      <c r="G222" s="338">
        <v>0.4458333333333333</v>
      </c>
      <c r="H222" s="338" t="s">
        <v>968</v>
      </c>
      <c r="I222" s="353">
        <v>751</v>
      </c>
      <c r="J222" s="338" t="str">
        <f>IFERROR(VLOOKUP(I222,'Chart of accounts'!A:H,2,FALSE),"")</f>
        <v>50201010 00</v>
      </c>
      <c r="K222" s="338" t="str">
        <f>IFERROR(VLOOKUP(I222,'Chart of accounts'!A:H,3,FALSE),"")</f>
        <v>Traveling Expenses - Local</v>
      </c>
      <c r="L222" s="338" t="str">
        <f>IFERROR(VLOOKUP(I222,'Chart of accounts'!A:H,4,FALSE),"")</f>
        <v>50201010 00 - Traveling Expenses - Local (751)</v>
      </c>
      <c r="M222" s="360">
        <v>85</v>
      </c>
      <c r="N222" s="355" t="s">
        <v>823</v>
      </c>
      <c r="O222" s="355" t="s">
        <v>1044</v>
      </c>
      <c r="P222" s="355"/>
      <c r="Q222" s="355">
        <v>15000</v>
      </c>
      <c r="R222" s="319">
        <f t="shared" si="2"/>
        <v>-15000</v>
      </c>
      <c r="S222" s="319" t="str">
        <f>VLOOKUP(H222,'Fund Utilization Report'!$A$4:$U$1800,13,FALSE)</f>
        <v>MOOE</v>
      </c>
      <c r="T222" s="319" t="str">
        <f>VLOOKUP(H222,'Fund Utilization Report'!$A$4:$U$1800,2,FALSE)</f>
        <v>GAA</v>
      </c>
      <c r="U222" s="319" t="str">
        <f>VLOOKUP(H222,'Fund Utilization Report'!$A$4:$U$1800,3,FALSE)</f>
        <v>FY2021, RA11518</v>
      </c>
      <c r="V222" s="319" t="str">
        <f>VLOOKUP(H222,'Fund Utilization Report'!$A$4:$U$1800,4,FALSE)</f>
        <v>OO2</v>
      </c>
      <c r="W222" s="319" t="str">
        <f>VLOOKUP(H222,'Fund Utilization Report'!$A$4:$U$1800,5,FALSE)</f>
        <v>01101101</v>
      </c>
      <c r="X222" s="319" t="str">
        <f>VLOOKUP(H222,'Fund Utilization Report'!$A$4:$U$1800,6,FALSE)</f>
        <v>GOP</v>
      </c>
      <c r="Y222" s="320" t="str">
        <f>VLOOKUP(H222,'Fund Utilization Report'!$A$4:$U$1800,7,FALSE)</f>
        <v>MOOE</v>
      </c>
      <c r="Z222" s="321">
        <f>VLOOKUP(H222,'Fund Utilization Report'!$A$4:$U$1800,8,FALSE)</f>
        <v>5020000000</v>
      </c>
      <c r="AA222" s="319" t="str">
        <f>VLOOKUP(H222,'Fund Utilization Report'!$A$4:$U$1800,14,FALSE)</f>
        <v>320100100001000</v>
      </c>
      <c r="AB222" s="349" t="str">
        <f>VLOOKUP(H222,'Fund Utilization Report'!$A$4:$U$1800,15,FALSE)</f>
        <v>Formulation of Strategic plans,programs, and policies to develop competitve industries</v>
      </c>
      <c r="AC222" s="39"/>
      <c r="AD222" s="34"/>
      <c r="AE222" s="39"/>
      <c r="AF222" s="51"/>
      <c r="AG222" s="40"/>
      <c r="AH222" s="40"/>
    </row>
    <row r="223" spans="1:34" s="32" customFormat="1" ht="27.6">
      <c r="A223" s="338" t="s">
        <v>942</v>
      </c>
      <c r="B223" s="338" t="s">
        <v>945</v>
      </c>
      <c r="C223" s="358">
        <v>44230</v>
      </c>
      <c r="D223" s="351" t="s">
        <v>1028</v>
      </c>
      <c r="E223" s="352" t="s">
        <v>1056</v>
      </c>
      <c r="F223" s="338">
        <v>0.44375000000000003</v>
      </c>
      <c r="G223" s="338">
        <v>0.4458333333333333</v>
      </c>
      <c r="H223" s="338" t="s">
        <v>968</v>
      </c>
      <c r="I223" s="353">
        <v>755</v>
      </c>
      <c r="J223" s="338" t="str">
        <f>IFERROR(VLOOKUP(I223,'Chart of accounts'!A:H,2,FALSE),"")</f>
        <v>50203010 00</v>
      </c>
      <c r="K223" s="338" t="str">
        <f>IFERROR(VLOOKUP(I223,'Chart of accounts'!A:H,3,FALSE),"")</f>
        <v>Office Supplies Expenses</v>
      </c>
      <c r="L223" s="338" t="str">
        <f>IFERROR(VLOOKUP(I223,'Chart of accounts'!A:H,4,FALSE),"")</f>
        <v>50203010 00 - Office Supplies Expenses (755)</v>
      </c>
      <c r="M223" s="360">
        <v>85</v>
      </c>
      <c r="N223" s="355" t="s">
        <v>823</v>
      </c>
      <c r="O223" s="355" t="s">
        <v>1044</v>
      </c>
      <c r="P223" s="355"/>
      <c r="Q223" s="355">
        <v>13000</v>
      </c>
      <c r="R223" s="319">
        <f t="shared" si="2"/>
        <v>-13000</v>
      </c>
      <c r="S223" s="319" t="str">
        <f>VLOOKUP(H223,'Fund Utilization Report'!$A$4:$U$1800,13,FALSE)</f>
        <v>MOOE</v>
      </c>
      <c r="T223" s="319" t="str">
        <f>VLOOKUP(H223,'Fund Utilization Report'!$A$4:$U$1800,2,FALSE)</f>
        <v>GAA</v>
      </c>
      <c r="U223" s="319" t="str">
        <f>VLOOKUP(H223,'Fund Utilization Report'!$A$4:$U$1800,3,FALSE)</f>
        <v>FY2021, RA11518</v>
      </c>
      <c r="V223" s="319" t="str">
        <f>VLOOKUP(H223,'Fund Utilization Report'!$A$4:$U$1800,4,FALSE)</f>
        <v>OO2</v>
      </c>
      <c r="W223" s="319" t="str">
        <f>VLOOKUP(H223,'Fund Utilization Report'!$A$4:$U$1800,5,FALSE)</f>
        <v>01101101</v>
      </c>
      <c r="X223" s="319" t="str">
        <f>VLOOKUP(H223,'Fund Utilization Report'!$A$4:$U$1800,6,FALSE)</f>
        <v>GOP</v>
      </c>
      <c r="Y223" s="320" t="str">
        <f>VLOOKUP(H223,'Fund Utilization Report'!$A$4:$U$1800,7,FALSE)</f>
        <v>MOOE</v>
      </c>
      <c r="Z223" s="321">
        <f>VLOOKUP(H223,'Fund Utilization Report'!$A$4:$U$1800,8,FALSE)</f>
        <v>5020000000</v>
      </c>
      <c r="AA223" s="319" t="str">
        <f>VLOOKUP(H223,'Fund Utilization Report'!$A$4:$U$1800,14,FALSE)</f>
        <v>320100100001000</v>
      </c>
      <c r="AB223" s="349" t="str">
        <f>VLOOKUP(H223,'Fund Utilization Report'!$A$4:$U$1800,15,FALSE)</f>
        <v>Formulation of Strategic plans,programs, and policies to develop competitve industries</v>
      </c>
      <c r="AC223" s="39"/>
      <c r="AD223" s="34"/>
      <c r="AE223" s="39"/>
      <c r="AF223" s="51"/>
      <c r="AG223" s="40"/>
      <c r="AH223" s="40"/>
    </row>
    <row r="224" spans="1:34" s="32" customFormat="1" ht="27.6">
      <c r="A224" s="338" t="s">
        <v>942</v>
      </c>
      <c r="B224" s="338" t="s">
        <v>945</v>
      </c>
      <c r="C224" s="358">
        <v>44230</v>
      </c>
      <c r="D224" s="351" t="s">
        <v>1028</v>
      </c>
      <c r="E224" s="352" t="s">
        <v>1056</v>
      </c>
      <c r="F224" s="338">
        <v>0.44375000000000003</v>
      </c>
      <c r="G224" s="338">
        <v>0.4458333333333333</v>
      </c>
      <c r="H224" s="338" t="s">
        <v>968</v>
      </c>
      <c r="I224" s="353">
        <v>783</v>
      </c>
      <c r="J224" s="338" t="str">
        <f>IFERROR(VLOOKUP(I224,'Chart of accounts'!A:H,2,FALSE),"")</f>
        <v>50299030 00</v>
      </c>
      <c r="K224" s="338" t="str">
        <f>IFERROR(VLOOKUP(I224,'Chart of accounts'!A:H,3,FALSE),"")</f>
        <v>Representation Expenses</v>
      </c>
      <c r="L224" s="338" t="str">
        <f>IFERROR(VLOOKUP(I224,'Chart of accounts'!A:H,4,FALSE),"")</f>
        <v>50299030 00 - Representation Expenses (783)</v>
      </c>
      <c r="M224" s="360">
        <v>85</v>
      </c>
      <c r="N224" s="355" t="s">
        <v>823</v>
      </c>
      <c r="O224" s="355" t="s">
        <v>1044</v>
      </c>
      <c r="P224" s="355"/>
      <c r="Q224" s="355">
        <v>69200</v>
      </c>
      <c r="R224" s="319">
        <f t="shared" si="2"/>
        <v>-69200</v>
      </c>
      <c r="S224" s="319" t="str">
        <f>VLOOKUP(H224,'Fund Utilization Report'!$A$4:$U$1800,13,FALSE)</f>
        <v>MOOE</v>
      </c>
      <c r="T224" s="319" t="str">
        <f>VLOOKUP(H224,'Fund Utilization Report'!$A$4:$U$1800,2,FALSE)</f>
        <v>GAA</v>
      </c>
      <c r="U224" s="319" t="str">
        <f>VLOOKUP(H224,'Fund Utilization Report'!$A$4:$U$1800,3,FALSE)</f>
        <v>FY2021, RA11518</v>
      </c>
      <c r="V224" s="319" t="str">
        <f>VLOOKUP(H224,'Fund Utilization Report'!$A$4:$U$1800,4,FALSE)</f>
        <v>OO2</v>
      </c>
      <c r="W224" s="319" t="str">
        <f>VLOOKUP(H224,'Fund Utilization Report'!$A$4:$U$1800,5,FALSE)</f>
        <v>01101101</v>
      </c>
      <c r="X224" s="319" t="str">
        <f>VLOOKUP(H224,'Fund Utilization Report'!$A$4:$U$1800,6,FALSE)</f>
        <v>GOP</v>
      </c>
      <c r="Y224" s="320" t="str">
        <f>VLOOKUP(H224,'Fund Utilization Report'!$A$4:$U$1800,7,FALSE)</f>
        <v>MOOE</v>
      </c>
      <c r="Z224" s="321">
        <f>VLOOKUP(H224,'Fund Utilization Report'!$A$4:$U$1800,8,FALSE)</f>
        <v>5020000000</v>
      </c>
      <c r="AA224" s="319" t="str">
        <f>VLOOKUP(H224,'Fund Utilization Report'!$A$4:$U$1800,14,FALSE)</f>
        <v>320100100001000</v>
      </c>
      <c r="AB224" s="349" t="str">
        <f>VLOOKUP(H224,'Fund Utilization Report'!$A$4:$U$1800,15,FALSE)</f>
        <v>Formulation of Strategic plans,programs, and policies to develop competitve industries</v>
      </c>
      <c r="AC224" s="39"/>
      <c r="AD224" s="34"/>
      <c r="AE224" s="39"/>
      <c r="AF224" s="51"/>
      <c r="AG224" s="40"/>
      <c r="AH224" s="40"/>
    </row>
    <row r="225" spans="1:34" s="32" customFormat="1" ht="27.6">
      <c r="A225" s="338" t="s">
        <v>942</v>
      </c>
      <c r="B225" s="338" t="s">
        <v>945</v>
      </c>
      <c r="C225" s="358">
        <v>44230</v>
      </c>
      <c r="D225" s="351" t="s">
        <v>1028</v>
      </c>
      <c r="E225" s="352" t="s">
        <v>1057</v>
      </c>
      <c r="F225" s="338">
        <v>0.4458333333333333</v>
      </c>
      <c r="G225" s="338">
        <v>0.44722222222222219</v>
      </c>
      <c r="H225" s="338" t="s">
        <v>965</v>
      </c>
      <c r="I225" s="353">
        <v>751</v>
      </c>
      <c r="J225" s="338" t="str">
        <f>IFERROR(VLOOKUP(I225,'Chart of accounts'!A:H,2,FALSE),"")</f>
        <v>50201010 00</v>
      </c>
      <c r="K225" s="338" t="str">
        <f>IFERROR(VLOOKUP(I225,'Chart of accounts'!A:H,3,FALSE),"")</f>
        <v>Traveling Expenses - Local</v>
      </c>
      <c r="L225" s="338" t="str">
        <f>IFERROR(VLOOKUP(I225,'Chart of accounts'!A:H,4,FALSE),"")</f>
        <v>50201010 00 - Traveling Expenses - Local (751)</v>
      </c>
      <c r="M225" s="361">
        <v>2</v>
      </c>
      <c r="N225" s="355" t="s">
        <v>818</v>
      </c>
      <c r="O225" s="355" t="s">
        <v>1045</v>
      </c>
      <c r="P225" s="355"/>
      <c r="Q225" s="355">
        <v>20000</v>
      </c>
      <c r="R225" s="319">
        <f t="shared" si="2"/>
        <v>-20000</v>
      </c>
      <c r="S225" s="319" t="str">
        <f>VLOOKUP(H225,'Fund Utilization Report'!$A$4:$U$1800,13,FALSE)</f>
        <v>MOOE</v>
      </c>
      <c r="T225" s="319" t="str">
        <f>VLOOKUP(H225,'Fund Utilization Report'!$A$4:$U$1800,2,FALSE)</f>
        <v>GAA</v>
      </c>
      <c r="U225" s="319" t="str">
        <f>VLOOKUP(H225,'Fund Utilization Report'!$A$4:$U$1800,3,FALSE)</f>
        <v>FY2021, RA11518</v>
      </c>
      <c r="V225" s="319" t="str">
        <f>VLOOKUP(H225,'Fund Utilization Report'!$A$4:$U$1800,4,FALSE)</f>
        <v>OO1</v>
      </c>
      <c r="W225" s="319" t="str">
        <f>VLOOKUP(H225,'Fund Utilization Report'!$A$4:$U$1800,5,FALSE)</f>
        <v>01101101</v>
      </c>
      <c r="X225" s="319" t="str">
        <f>VLOOKUP(H225,'Fund Utilization Report'!$A$4:$U$1800,6,FALSE)</f>
        <v>GOP</v>
      </c>
      <c r="Y225" s="320" t="str">
        <f>VLOOKUP(H225,'Fund Utilization Report'!$A$4:$U$1800,7,FALSE)</f>
        <v>MOOE</v>
      </c>
      <c r="Z225" s="321">
        <f>VLOOKUP(H225,'Fund Utilization Report'!$A$4:$U$1800,8,FALSE)</f>
        <v>5020000000</v>
      </c>
      <c r="AA225" s="319" t="str">
        <f>VLOOKUP(H225,'Fund Utilization Report'!$A$4:$U$1800,14,FALSE)</f>
        <v>310100100002000</v>
      </c>
      <c r="AB225" s="349" t="str">
        <f>VLOOKUP(H225,'Fund Utilization Report'!$A$4:$U$1800,15,FALSE)</f>
        <v>Development,Facilitation, and promotion of exports and investment, domestic and foreign</v>
      </c>
      <c r="AC225" s="39"/>
      <c r="AD225" s="34"/>
      <c r="AE225" s="39"/>
      <c r="AF225" s="51"/>
      <c r="AG225" s="40"/>
      <c r="AH225" s="40"/>
    </row>
    <row r="226" spans="1:34" s="32" customFormat="1" ht="27.6">
      <c r="A226" s="338" t="s">
        <v>942</v>
      </c>
      <c r="B226" s="338" t="s">
        <v>945</v>
      </c>
      <c r="C226" s="358">
        <v>44230</v>
      </c>
      <c r="D226" s="351" t="s">
        <v>1028</v>
      </c>
      <c r="E226" s="352" t="s">
        <v>1057</v>
      </c>
      <c r="F226" s="338">
        <v>0.4458333333333333</v>
      </c>
      <c r="G226" s="338">
        <v>0.44722222222222219</v>
      </c>
      <c r="H226" s="338" t="s">
        <v>965</v>
      </c>
      <c r="I226" s="353">
        <v>799</v>
      </c>
      <c r="J226" s="338" t="str">
        <f>IFERROR(VLOOKUP(I226,'Chart of accounts'!A:H,2,FALSE),"")</f>
        <v>50211990 00</v>
      </c>
      <c r="K226" s="338" t="str">
        <f>IFERROR(VLOOKUP(I226,'Chart of accounts'!A:H,3,FALSE),"")</f>
        <v>Other Professional Services</v>
      </c>
      <c r="L226" s="338" t="str">
        <f>IFERROR(VLOOKUP(I226,'Chart of accounts'!A:H,4,FALSE),"")</f>
        <v>50211990 00 - Other Professional Services (799)</v>
      </c>
      <c r="M226" s="361">
        <v>2</v>
      </c>
      <c r="N226" s="355" t="s">
        <v>818</v>
      </c>
      <c r="O226" s="355" t="s">
        <v>1045</v>
      </c>
      <c r="P226" s="355"/>
      <c r="Q226" s="355">
        <v>5000</v>
      </c>
      <c r="R226" s="319">
        <f t="shared" si="2"/>
        <v>-5000</v>
      </c>
      <c r="S226" s="319" t="str">
        <f>VLOOKUP(H226,'Fund Utilization Report'!$A$4:$U$1800,13,FALSE)</f>
        <v>MOOE</v>
      </c>
      <c r="T226" s="319" t="str">
        <f>VLOOKUP(H226,'Fund Utilization Report'!$A$4:$U$1800,2,FALSE)</f>
        <v>GAA</v>
      </c>
      <c r="U226" s="319" t="str">
        <f>VLOOKUP(H226,'Fund Utilization Report'!$A$4:$U$1800,3,FALSE)</f>
        <v>FY2021, RA11518</v>
      </c>
      <c r="V226" s="319" t="str">
        <f>VLOOKUP(H226,'Fund Utilization Report'!$A$4:$U$1800,4,FALSE)</f>
        <v>OO1</v>
      </c>
      <c r="W226" s="319" t="str">
        <f>VLOOKUP(H226,'Fund Utilization Report'!$A$4:$U$1800,5,FALSE)</f>
        <v>01101101</v>
      </c>
      <c r="X226" s="319" t="str">
        <f>VLOOKUP(H226,'Fund Utilization Report'!$A$4:$U$1800,6,FALSE)</f>
        <v>GOP</v>
      </c>
      <c r="Y226" s="320" t="str">
        <f>VLOOKUP(H226,'Fund Utilization Report'!$A$4:$U$1800,7,FALSE)</f>
        <v>MOOE</v>
      </c>
      <c r="Z226" s="321">
        <f>VLOOKUP(H226,'Fund Utilization Report'!$A$4:$U$1800,8,FALSE)</f>
        <v>5020000000</v>
      </c>
      <c r="AA226" s="319" t="str">
        <f>VLOOKUP(H226,'Fund Utilization Report'!$A$4:$U$1800,14,FALSE)</f>
        <v>310100100002000</v>
      </c>
      <c r="AB226" s="349" t="str">
        <f>VLOOKUP(H226,'Fund Utilization Report'!$A$4:$U$1800,15,FALSE)</f>
        <v>Development,Facilitation, and promotion of exports and investment, domestic and foreign</v>
      </c>
      <c r="AC226" s="39"/>
      <c r="AD226" s="34"/>
      <c r="AE226" s="39"/>
      <c r="AF226" s="51"/>
      <c r="AG226" s="40"/>
      <c r="AH226" s="40"/>
    </row>
    <row r="227" spans="1:34" s="32" customFormat="1" ht="27.6">
      <c r="A227" s="338" t="s">
        <v>942</v>
      </c>
      <c r="B227" s="338" t="s">
        <v>945</v>
      </c>
      <c r="C227" s="358">
        <v>44230</v>
      </c>
      <c r="D227" s="351" t="s">
        <v>1028</v>
      </c>
      <c r="E227" s="352" t="s">
        <v>1057</v>
      </c>
      <c r="F227" s="338">
        <v>0.4458333333333333</v>
      </c>
      <c r="G227" s="338">
        <v>0.44722222222222219</v>
      </c>
      <c r="H227" s="338" t="s">
        <v>965</v>
      </c>
      <c r="I227" s="353">
        <v>783</v>
      </c>
      <c r="J227" s="338" t="str">
        <f>IFERROR(VLOOKUP(I227,'Chart of accounts'!A:H,2,FALSE),"")</f>
        <v>50299030 00</v>
      </c>
      <c r="K227" s="338" t="str">
        <f>IFERROR(VLOOKUP(I227,'Chart of accounts'!A:H,3,FALSE),"")</f>
        <v>Representation Expenses</v>
      </c>
      <c r="L227" s="338" t="str">
        <f>IFERROR(VLOOKUP(I227,'Chart of accounts'!A:H,4,FALSE),"")</f>
        <v>50299030 00 - Representation Expenses (783)</v>
      </c>
      <c r="M227" s="361">
        <v>2</v>
      </c>
      <c r="N227" s="355" t="s">
        <v>818</v>
      </c>
      <c r="O227" s="355" t="s">
        <v>1045</v>
      </c>
      <c r="P227" s="355"/>
      <c r="Q227" s="355">
        <v>32500</v>
      </c>
      <c r="R227" s="319">
        <f t="shared" si="2"/>
        <v>-32500</v>
      </c>
      <c r="S227" s="319" t="str">
        <f>VLOOKUP(H227,'Fund Utilization Report'!$A$4:$U$1800,13,FALSE)</f>
        <v>MOOE</v>
      </c>
      <c r="T227" s="319" t="str">
        <f>VLOOKUP(H227,'Fund Utilization Report'!$A$4:$U$1800,2,FALSE)</f>
        <v>GAA</v>
      </c>
      <c r="U227" s="319" t="str">
        <f>VLOOKUP(H227,'Fund Utilization Report'!$A$4:$U$1800,3,FALSE)</f>
        <v>FY2021, RA11518</v>
      </c>
      <c r="V227" s="319" t="str">
        <f>VLOOKUP(H227,'Fund Utilization Report'!$A$4:$U$1800,4,FALSE)</f>
        <v>OO1</v>
      </c>
      <c r="W227" s="319" t="str">
        <f>VLOOKUP(H227,'Fund Utilization Report'!$A$4:$U$1800,5,FALSE)</f>
        <v>01101101</v>
      </c>
      <c r="X227" s="319" t="str">
        <f>VLOOKUP(H227,'Fund Utilization Report'!$A$4:$U$1800,6,FALSE)</f>
        <v>GOP</v>
      </c>
      <c r="Y227" s="320" t="str">
        <f>VLOOKUP(H227,'Fund Utilization Report'!$A$4:$U$1800,7,FALSE)</f>
        <v>MOOE</v>
      </c>
      <c r="Z227" s="321">
        <f>VLOOKUP(H227,'Fund Utilization Report'!$A$4:$U$1800,8,FALSE)</f>
        <v>5020000000</v>
      </c>
      <c r="AA227" s="319" t="str">
        <f>VLOOKUP(H227,'Fund Utilization Report'!$A$4:$U$1800,14,FALSE)</f>
        <v>310100100002000</v>
      </c>
      <c r="AB227" s="349" t="str">
        <f>VLOOKUP(H227,'Fund Utilization Report'!$A$4:$U$1800,15,FALSE)</f>
        <v>Development,Facilitation, and promotion of exports and investment, domestic and foreign</v>
      </c>
      <c r="AC227" s="39"/>
      <c r="AD227" s="34"/>
      <c r="AE227" s="39"/>
      <c r="AF227" s="51"/>
      <c r="AG227" s="40"/>
      <c r="AH227" s="40"/>
    </row>
    <row r="228" spans="1:34" s="32" customFormat="1" ht="27.6">
      <c r="A228" s="338" t="s">
        <v>942</v>
      </c>
      <c r="B228" s="338" t="s">
        <v>945</v>
      </c>
      <c r="C228" s="358">
        <v>44230</v>
      </c>
      <c r="D228" s="351" t="s">
        <v>1028</v>
      </c>
      <c r="E228" s="352" t="s">
        <v>1057</v>
      </c>
      <c r="F228" s="338">
        <v>0.4458333333333333</v>
      </c>
      <c r="G228" s="338">
        <v>0.44722222222222219</v>
      </c>
      <c r="H228" s="338" t="s">
        <v>965</v>
      </c>
      <c r="I228" s="353">
        <v>969</v>
      </c>
      <c r="J228" s="338" t="str">
        <f>IFERROR(VLOOKUP(I228,'Chart of accounts'!A:H,2,FALSE),"")</f>
        <v>50299990 99</v>
      </c>
      <c r="K228" s="338" t="str">
        <f>IFERROR(VLOOKUP(I228,'Chart of accounts'!A:H,3,FALSE),"")</f>
        <v>Other Maintenance and Operating Expenses</v>
      </c>
      <c r="L228" s="338" t="str">
        <f>IFERROR(VLOOKUP(I228,'Chart of accounts'!A:H,4,FALSE),"")</f>
        <v>50299990 99 - Other Maintenance and Operating Expenses (969)</v>
      </c>
      <c r="M228" s="361">
        <v>2</v>
      </c>
      <c r="N228" s="355" t="s">
        <v>818</v>
      </c>
      <c r="O228" s="355" t="s">
        <v>1045</v>
      </c>
      <c r="P228" s="355"/>
      <c r="Q228" s="355">
        <v>5000</v>
      </c>
      <c r="R228" s="319">
        <f t="shared" si="2"/>
        <v>-5000</v>
      </c>
      <c r="S228" s="319" t="str">
        <f>VLOOKUP(H228,'Fund Utilization Report'!$A$4:$U$1800,13,FALSE)</f>
        <v>MOOE</v>
      </c>
      <c r="T228" s="319" t="str">
        <f>VLOOKUP(H228,'Fund Utilization Report'!$A$4:$U$1800,2,FALSE)</f>
        <v>GAA</v>
      </c>
      <c r="U228" s="319" t="str">
        <f>VLOOKUP(H228,'Fund Utilization Report'!$A$4:$U$1800,3,FALSE)</f>
        <v>FY2021, RA11518</v>
      </c>
      <c r="V228" s="319" t="str">
        <f>VLOOKUP(H228,'Fund Utilization Report'!$A$4:$U$1800,4,FALSE)</f>
        <v>OO1</v>
      </c>
      <c r="W228" s="319" t="str">
        <f>VLOOKUP(H228,'Fund Utilization Report'!$A$4:$U$1800,5,FALSE)</f>
        <v>01101101</v>
      </c>
      <c r="X228" s="319" t="str">
        <f>VLOOKUP(H228,'Fund Utilization Report'!$A$4:$U$1800,6,FALSE)</f>
        <v>GOP</v>
      </c>
      <c r="Y228" s="320" t="str">
        <f>VLOOKUP(H228,'Fund Utilization Report'!$A$4:$U$1800,7,FALSE)</f>
        <v>MOOE</v>
      </c>
      <c r="Z228" s="321">
        <f>VLOOKUP(H228,'Fund Utilization Report'!$A$4:$U$1800,8,FALSE)</f>
        <v>5020000000</v>
      </c>
      <c r="AA228" s="319" t="str">
        <f>VLOOKUP(H228,'Fund Utilization Report'!$A$4:$U$1800,14,FALSE)</f>
        <v>310100100002000</v>
      </c>
      <c r="AB228" s="349" t="str">
        <f>VLOOKUP(H228,'Fund Utilization Report'!$A$4:$U$1800,15,FALSE)</f>
        <v>Development,Facilitation, and promotion of exports and investment, domestic and foreign</v>
      </c>
      <c r="AC228" s="39"/>
      <c r="AD228" s="34"/>
      <c r="AE228" s="39"/>
      <c r="AF228" s="51"/>
      <c r="AG228" s="40"/>
      <c r="AH228" s="40"/>
    </row>
    <row r="229" spans="1:34" s="32" customFormat="1" ht="27.6">
      <c r="A229" s="338" t="s">
        <v>942</v>
      </c>
      <c r="B229" s="338" t="s">
        <v>945</v>
      </c>
      <c r="C229" s="358">
        <v>44230</v>
      </c>
      <c r="D229" s="351" t="s">
        <v>1028</v>
      </c>
      <c r="E229" s="352" t="s">
        <v>1058</v>
      </c>
      <c r="F229" s="338">
        <v>0.44722222222222219</v>
      </c>
      <c r="G229" s="338">
        <v>0.45277777777777778</v>
      </c>
      <c r="H229" s="338" t="s">
        <v>965</v>
      </c>
      <c r="I229" s="353">
        <v>751</v>
      </c>
      <c r="J229" s="338" t="str">
        <f>IFERROR(VLOOKUP(I229,'Chart of accounts'!A:H,2,FALSE),"")</f>
        <v>50201010 00</v>
      </c>
      <c r="K229" s="338" t="str">
        <f>IFERROR(VLOOKUP(I229,'Chart of accounts'!A:H,3,FALSE),"")</f>
        <v>Traveling Expenses - Local</v>
      </c>
      <c r="L229" s="338" t="str">
        <f>IFERROR(VLOOKUP(I229,'Chart of accounts'!A:H,4,FALSE),"")</f>
        <v>50201010 00 - Traveling Expenses - Local (751)</v>
      </c>
      <c r="M229" s="361">
        <v>3</v>
      </c>
      <c r="N229" s="355" t="s">
        <v>820</v>
      </c>
      <c r="O229" s="355" t="s">
        <v>1045</v>
      </c>
      <c r="P229" s="355"/>
      <c r="Q229" s="355">
        <v>20000</v>
      </c>
      <c r="R229" s="319">
        <f t="shared" si="2"/>
        <v>-20000</v>
      </c>
      <c r="S229" s="319" t="str">
        <f>VLOOKUP(H229,'Fund Utilization Report'!$A$4:$U$1800,13,FALSE)</f>
        <v>MOOE</v>
      </c>
      <c r="T229" s="319" t="str">
        <f>VLOOKUP(H229,'Fund Utilization Report'!$A$4:$U$1800,2,FALSE)</f>
        <v>GAA</v>
      </c>
      <c r="U229" s="319" t="str">
        <f>VLOOKUP(H229,'Fund Utilization Report'!$A$4:$U$1800,3,FALSE)</f>
        <v>FY2021, RA11518</v>
      </c>
      <c r="V229" s="319" t="str">
        <f>VLOOKUP(H229,'Fund Utilization Report'!$A$4:$U$1800,4,FALSE)</f>
        <v>OO1</v>
      </c>
      <c r="W229" s="319" t="str">
        <f>VLOOKUP(H229,'Fund Utilization Report'!$A$4:$U$1800,5,FALSE)</f>
        <v>01101101</v>
      </c>
      <c r="X229" s="319" t="str">
        <f>VLOOKUP(H229,'Fund Utilization Report'!$A$4:$U$1800,6,FALSE)</f>
        <v>GOP</v>
      </c>
      <c r="Y229" s="320" t="str">
        <f>VLOOKUP(H229,'Fund Utilization Report'!$A$4:$U$1800,7,FALSE)</f>
        <v>MOOE</v>
      </c>
      <c r="Z229" s="321">
        <f>VLOOKUP(H229,'Fund Utilization Report'!$A$4:$U$1800,8,FALSE)</f>
        <v>5020000000</v>
      </c>
      <c r="AA229" s="319" t="str">
        <f>VLOOKUP(H229,'Fund Utilization Report'!$A$4:$U$1800,14,FALSE)</f>
        <v>310100100002000</v>
      </c>
      <c r="AB229" s="349" t="str">
        <f>VLOOKUP(H229,'Fund Utilization Report'!$A$4:$U$1800,15,FALSE)</f>
        <v>Development,Facilitation, and promotion of exports and investment, domestic and foreign</v>
      </c>
      <c r="AC229" s="39"/>
      <c r="AD229" s="34"/>
      <c r="AE229" s="39"/>
      <c r="AF229" s="51"/>
      <c r="AG229" s="40"/>
      <c r="AH229" s="40"/>
    </row>
    <row r="230" spans="1:34" s="32" customFormat="1" ht="27.6">
      <c r="A230" s="338" t="s">
        <v>942</v>
      </c>
      <c r="B230" s="338" t="s">
        <v>945</v>
      </c>
      <c r="C230" s="358">
        <v>44230</v>
      </c>
      <c r="D230" s="351" t="s">
        <v>1028</v>
      </c>
      <c r="E230" s="352" t="s">
        <v>1058</v>
      </c>
      <c r="F230" s="338">
        <v>0.44722222222222219</v>
      </c>
      <c r="G230" s="338">
        <v>0.45277777777777778</v>
      </c>
      <c r="H230" s="338" t="s">
        <v>965</v>
      </c>
      <c r="I230" s="353">
        <v>799</v>
      </c>
      <c r="J230" s="338" t="str">
        <f>IFERROR(VLOOKUP(I230,'Chart of accounts'!A:H,2,FALSE),"")</f>
        <v>50211990 00</v>
      </c>
      <c r="K230" s="338" t="str">
        <f>IFERROR(VLOOKUP(I230,'Chart of accounts'!A:H,3,FALSE),"")</f>
        <v>Other Professional Services</v>
      </c>
      <c r="L230" s="338" t="str">
        <f>IFERROR(VLOOKUP(I230,'Chart of accounts'!A:H,4,FALSE),"")</f>
        <v>50211990 00 - Other Professional Services (799)</v>
      </c>
      <c r="M230" s="361">
        <v>3</v>
      </c>
      <c r="N230" s="355" t="s">
        <v>820</v>
      </c>
      <c r="O230" s="355" t="s">
        <v>1045</v>
      </c>
      <c r="P230" s="355"/>
      <c r="Q230" s="355">
        <v>5000</v>
      </c>
      <c r="R230" s="319">
        <f t="shared" si="2"/>
        <v>-5000</v>
      </c>
      <c r="S230" s="319" t="str">
        <f>VLOOKUP(H230,'Fund Utilization Report'!$A$4:$U$1800,13,FALSE)</f>
        <v>MOOE</v>
      </c>
      <c r="T230" s="319" t="str">
        <f>VLOOKUP(H230,'Fund Utilization Report'!$A$4:$U$1800,2,FALSE)</f>
        <v>GAA</v>
      </c>
      <c r="U230" s="319" t="str">
        <f>VLOOKUP(H230,'Fund Utilization Report'!$A$4:$U$1800,3,FALSE)</f>
        <v>FY2021, RA11518</v>
      </c>
      <c r="V230" s="319" t="str">
        <f>VLOOKUP(H230,'Fund Utilization Report'!$A$4:$U$1800,4,FALSE)</f>
        <v>OO1</v>
      </c>
      <c r="W230" s="319" t="str">
        <f>VLOOKUP(H230,'Fund Utilization Report'!$A$4:$U$1800,5,FALSE)</f>
        <v>01101101</v>
      </c>
      <c r="X230" s="319" t="str">
        <f>VLOOKUP(H230,'Fund Utilization Report'!$A$4:$U$1800,6,FALSE)</f>
        <v>GOP</v>
      </c>
      <c r="Y230" s="320" t="str">
        <f>VLOOKUP(H230,'Fund Utilization Report'!$A$4:$U$1800,7,FALSE)</f>
        <v>MOOE</v>
      </c>
      <c r="Z230" s="321">
        <f>VLOOKUP(H230,'Fund Utilization Report'!$A$4:$U$1800,8,FALSE)</f>
        <v>5020000000</v>
      </c>
      <c r="AA230" s="319" t="str">
        <f>VLOOKUP(H230,'Fund Utilization Report'!$A$4:$U$1800,14,FALSE)</f>
        <v>310100100002000</v>
      </c>
      <c r="AB230" s="349" t="str">
        <f>VLOOKUP(H230,'Fund Utilization Report'!$A$4:$U$1800,15,FALSE)</f>
        <v>Development,Facilitation, and promotion of exports and investment, domestic and foreign</v>
      </c>
      <c r="AC230" s="39"/>
      <c r="AD230" s="34"/>
      <c r="AE230" s="39"/>
      <c r="AF230" s="51"/>
      <c r="AG230" s="40"/>
      <c r="AH230" s="40"/>
    </row>
    <row r="231" spans="1:34" s="32" customFormat="1" ht="27.6">
      <c r="A231" s="338" t="s">
        <v>942</v>
      </c>
      <c r="B231" s="338" t="s">
        <v>945</v>
      </c>
      <c r="C231" s="358">
        <v>44230</v>
      </c>
      <c r="D231" s="351" t="s">
        <v>1028</v>
      </c>
      <c r="E231" s="352" t="s">
        <v>1058</v>
      </c>
      <c r="F231" s="338">
        <v>0.44722222222222219</v>
      </c>
      <c r="G231" s="338">
        <v>0.45277777777777778</v>
      </c>
      <c r="H231" s="338" t="s">
        <v>965</v>
      </c>
      <c r="I231" s="353">
        <v>783</v>
      </c>
      <c r="J231" s="338" t="str">
        <f>IFERROR(VLOOKUP(I231,'Chart of accounts'!A:H,2,FALSE),"")</f>
        <v>50299030 00</v>
      </c>
      <c r="K231" s="338" t="str">
        <f>IFERROR(VLOOKUP(I231,'Chart of accounts'!A:H,3,FALSE),"")</f>
        <v>Representation Expenses</v>
      </c>
      <c r="L231" s="338" t="str">
        <f>IFERROR(VLOOKUP(I231,'Chart of accounts'!A:H,4,FALSE),"")</f>
        <v>50299030 00 - Representation Expenses (783)</v>
      </c>
      <c r="M231" s="361">
        <v>3</v>
      </c>
      <c r="N231" s="355" t="s">
        <v>820</v>
      </c>
      <c r="O231" s="355" t="s">
        <v>1045</v>
      </c>
      <c r="P231" s="355"/>
      <c r="Q231" s="355">
        <v>20000</v>
      </c>
      <c r="R231" s="319">
        <f t="shared" si="2"/>
        <v>-20000</v>
      </c>
      <c r="S231" s="319" t="str">
        <f>VLOOKUP(H231,'Fund Utilization Report'!$A$4:$U$1800,13,FALSE)</f>
        <v>MOOE</v>
      </c>
      <c r="T231" s="319" t="str">
        <f>VLOOKUP(H231,'Fund Utilization Report'!$A$4:$U$1800,2,FALSE)</f>
        <v>GAA</v>
      </c>
      <c r="U231" s="319" t="str">
        <f>VLOOKUP(H231,'Fund Utilization Report'!$A$4:$U$1800,3,FALSE)</f>
        <v>FY2021, RA11518</v>
      </c>
      <c r="V231" s="319" t="str">
        <f>VLOOKUP(H231,'Fund Utilization Report'!$A$4:$U$1800,4,FALSE)</f>
        <v>OO1</v>
      </c>
      <c r="W231" s="319" t="str">
        <f>VLOOKUP(H231,'Fund Utilization Report'!$A$4:$U$1800,5,FALSE)</f>
        <v>01101101</v>
      </c>
      <c r="X231" s="319" t="str">
        <f>VLOOKUP(H231,'Fund Utilization Report'!$A$4:$U$1800,6,FALSE)</f>
        <v>GOP</v>
      </c>
      <c r="Y231" s="320" t="str">
        <f>VLOOKUP(H231,'Fund Utilization Report'!$A$4:$U$1800,7,FALSE)</f>
        <v>MOOE</v>
      </c>
      <c r="Z231" s="321">
        <f>VLOOKUP(H231,'Fund Utilization Report'!$A$4:$U$1800,8,FALSE)</f>
        <v>5020000000</v>
      </c>
      <c r="AA231" s="319" t="str">
        <f>VLOOKUP(H231,'Fund Utilization Report'!$A$4:$U$1800,14,FALSE)</f>
        <v>310100100002000</v>
      </c>
      <c r="AB231" s="349" t="str">
        <f>VLOOKUP(H231,'Fund Utilization Report'!$A$4:$U$1800,15,FALSE)</f>
        <v>Development,Facilitation, and promotion of exports and investment, domestic and foreign</v>
      </c>
      <c r="AC231" s="39"/>
      <c r="AD231" s="34"/>
      <c r="AE231" s="39"/>
      <c r="AF231" s="51"/>
      <c r="AG231" s="40"/>
      <c r="AH231" s="40"/>
    </row>
    <row r="232" spans="1:34" s="32" customFormat="1" ht="27.6">
      <c r="A232" s="338" t="s">
        <v>942</v>
      </c>
      <c r="B232" s="338" t="s">
        <v>945</v>
      </c>
      <c r="C232" s="358">
        <v>44230</v>
      </c>
      <c r="D232" s="351" t="s">
        <v>1028</v>
      </c>
      <c r="E232" s="352" t="s">
        <v>1058</v>
      </c>
      <c r="F232" s="338">
        <v>0.44722222222222219</v>
      </c>
      <c r="G232" s="338">
        <v>0.45277777777777778</v>
      </c>
      <c r="H232" s="338" t="s">
        <v>965</v>
      </c>
      <c r="I232" s="353">
        <v>969</v>
      </c>
      <c r="J232" s="338" t="str">
        <f>IFERROR(VLOOKUP(I232,'Chart of accounts'!A:H,2,FALSE),"")</f>
        <v>50299990 99</v>
      </c>
      <c r="K232" s="338" t="str">
        <f>IFERROR(VLOOKUP(I232,'Chart of accounts'!A:H,3,FALSE),"")</f>
        <v>Other Maintenance and Operating Expenses</v>
      </c>
      <c r="L232" s="338" t="str">
        <f>IFERROR(VLOOKUP(I232,'Chart of accounts'!A:H,4,FALSE),"")</f>
        <v>50299990 99 - Other Maintenance and Operating Expenses (969)</v>
      </c>
      <c r="M232" s="361">
        <v>3</v>
      </c>
      <c r="N232" s="355" t="s">
        <v>820</v>
      </c>
      <c r="O232" s="355" t="s">
        <v>1045</v>
      </c>
      <c r="P232" s="355"/>
      <c r="Q232" s="355">
        <v>5000</v>
      </c>
      <c r="R232" s="319">
        <f t="shared" si="2"/>
        <v>-5000</v>
      </c>
      <c r="S232" s="319" t="str">
        <f>VLOOKUP(H232,'Fund Utilization Report'!$A$4:$U$1800,13,FALSE)</f>
        <v>MOOE</v>
      </c>
      <c r="T232" s="319" t="str">
        <f>VLOOKUP(H232,'Fund Utilization Report'!$A$4:$U$1800,2,FALSE)</f>
        <v>GAA</v>
      </c>
      <c r="U232" s="319" t="str">
        <f>VLOOKUP(H232,'Fund Utilization Report'!$A$4:$U$1800,3,FALSE)</f>
        <v>FY2021, RA11518</v>
      </c>
      <c r="V232" s="319" t="str">
        <f>VLOOKUP(H232,'Fund Utilization Report'!$A$4:$U$1800,4,FALSE)</f>
        <v>OO1</v>
      </c>
      <c r="W232" s="319" t="str">
        <f>VLOOKUP(H232,'Fund Utilization Report'!$A$4:$U$1800,5,FALSE)</f>
        <v>01101101</v>
      </c>
      <c r="X232" s="319" t="str">
        <f>VLOOKUP(H232,'Fund Utilization Report'!$A$4:$U$1800,6,FALSE)</f>
        <v>GOP</v>
      </c>
      <c r="Y232" s="320" t="str">
        <f>VLOOKUP(H232,'Fund Utilization Report'!$A$4:$U$1800,7,FALSE)</f>
        <v>MOOE</v>
      </c>
      <c r="Z232" s="321">
        <f>VLOOKUP(H232,'Fund Utilization Report'!$A$4:$U$1800,8,FALSE)</f>
        <v>5020000000</v>
      </c>
      <c r="AA232" s="319" t="str">
        <f>VLOOKUP(H232,'Fund Utilization Report'!$A$4:$U$1800,14,FALSE)</f>
        <v>310100100002000</v>
      </c>
      <c r="AB232" s="349" t="str">
        <f>VLOOKUP(H232,'Fund Utilization Report'!$A$4:$U$1800,15,FALSE)</f>
        <v>Development,Facilitation, and promotion of exports and investment, domestic and foreign</v>
      </c>
      <c r="AC232" s="39"/>
      <c r="AD232" s="34"/>
      <c r="AE232" s="39"/>
      <c r="AF232" s="51"/>
      <c r="AG232" s="40"/>
      <c r="AH232" s="40"/>
    </row>
    <row r="233" spans="1:34" s="32" customFormat="1" ht="27.6">
      <c r="A233" s="338" t="s">
        <v>942</v>
      </c>
      <c r="B233" s="338" t="s">
        <v>945</v>
      </c>
      <c r="C233" s="358">
        <v>44230</v>
      </c>
      <c r="D233" s="351" t="s">
        <v>1028</v>
      </c>
      <c r="E233" s="352" t="s">
        <v>1059</v>
      </c>
      <c r="F233" s="338">
        <v>0.45277777777777778</v>
      </c>
      <c r="G233" s="338">
        <v>0.45555555555555555</v>
      </c>
      <c r="H233" s="338" t="s">
        <v>965</v>
      </c>
      <c r="I233" s="353">
        <v>751</v>
      </c>
      <c r="J233" s="338" t="str">
        <f>IFERROR(VLOOKUP(I233,'Chart of accounts'!A:H,2,FALSE),"")</f>
        <v>50201010 00</v>
      </c>
      <c r="K233" s="338" t="str">
        <f>IFERROR(VLOOKUP(I233,'Chart of accounts'!A:H,3,FALSE),"")</f>
        <v>Traveling Expenses - Local</v>
      </c>
      <c r="L233" s="338" t="str">
        <f>IFERROR(VLOOKUP(I233,'Chart of accounts'!A:H,4,FALSE),"")</f>
        <v>50201010 00 - Traveling Expenses - Local (751)</v>
      </c>
      <c r="M233" s="361">
        <v>68</v>
      </c>
      <c r="N233" s="355" t="s">
        <v>821</v>
      </c>
      <c r="O233" s="355" t="s">
        <v>1045</v>
      </c>
      <c r="P233" s="355"/>
      <c r="Q233" s="355">
        <v>20000</v>
      </c>
      <c r="R233" s="319">
        <f t="shared" si="2"/>
        <v>-20000</v>
      </c>
      <c r="S233" s="319" t="str">
        <f>VLOOKUP(H233,'Fund Utilization Report'!$A$4:$U$1800,13,FALSE)</f>
        <v>MOOE</v>
      </c>
      <c r="T233" s="319" t="str">
        <f>VLOOKUP(H233,'Fund Utilization Report'!$A$4:$U$1800,2,FALSE)</f>
        <v>GAA</v>
      </c>
      <c r="U233" s="319" t="str">
        <f>VLOOKUP(H233,'Fund Utilization Report'!$A$4:$U$1800,3,FALSE)</f>
        <v>FY2021, RA11518</v>
      </c>
      <c r="V233" s="319" t="str">
        <f>VLOOKUP(H233,'Fund Utilization Report'!$A$4:$U$1800,4,FALSE)</f>
        <v>OO1</v>
      </c>
      <c r="W233" s="319" t="str">
        <f>VLOOKUP(H233,'Fund Utilization Report'!$A$4:$U$1800,5,FALSE)</f>
        <v>01101101</v>
      </c>
      <c r="X233" s="319" t="str">
        <f>VLOOKUP(H233,'Fund Utilization Report'!$A$4:$U$1800,6,FALSE)</f>
        <v>GOP</v>
      </c>
      <c r="Y233" s="320" t="str">
        <f>VLOOKUP(H233,'Fund Utilization Report'!$A$4:$U$1800,7,FALSE)</f>
        <v>MOOE</v>
      </c>
      <c r="Z233" s="321">
        <f>VLOOKUP(H233,'Fund Utilization Report'!$A$4:$U$1800,8,FALSE)</f>
        <v>5020000000</v>
      </c>
      <c r="AA233" s="319" t="str">
        <f>VLOOKUP(H233,'Fund Utilization Report'!$A$4:$U$1800,14,FALSE)</f>
        <v>310100100002000</v>
      </c>
      <c r="AB233" s="349" t="str">
        <f>VLOOKUP(H233,'Fund Utilization Report'!$A$4:$U$1800,15,FALSE)</f>
        <v>Development,Facilitation, and promotion of exports and investment, domestic and foreign</v>
      </c>
      <c r="AC233" s="39"/>
      <c r="AD233" s="34"/>
      <c r="AE233" s="39"/>
      <c r="AF233" s="51"/>
      <c r="AG233" s="40"/>
      <c r="AH233" s="40"/>
    </row>
    <row r="234" spans="1:34" s="32" customFormat="1" ht="27.6">
      <c r="A234" s="338" t="s">
        <v>942</v>
      </c>
      <c r="B234" s="338" t="s">
        <v>945</v>
      </c>
      <c r="C234" s="358">
        <v>44230</v>
      </c>
      <c r="D234" s="351" t="s">
        <v>1028</v>
      </c>
      <c r="E234" s="352" t="s">
        <v>1059</v>
      </c>
      <c r="F234" s="338">
        <v>0.45277777777777778</v>
      </c>
      <c r="G234" s="338">
        <v>0.45555555555555555</v>
      </c>
      <c r="H234" s="338" t="s">
        <v>965</v>
      </c>
      <c r="I234" s="353">
        <v>799</v>
      </c>
      <c r="J234" s="338" t="str">
        <f>IFERROR(VLOOKUP(I234,'Chart of accounts'!A:H,2,FALSE),"")</f>
        <v>50211990 00</v>
      </c>
      <c r="K234" s="338" t="str">
        <f>IFERROR(VLOOKUP(I234,'Chart of accounts'!A:H,3,FALSE),"")</f>
        <v>Other Professional Services</v>
      </c>
      <c r="L234" s="338" t="str">
        <f>IFERROR(VLOOKUP(I234,'Chart of accounts'!A:H,4,FALSE),"")</f>
        <v>50211990 00 - Other Professional Services (799)</v>
      </c>
      <c r="M234" s="361">
        <v>68</v>
      </c>
      <c r="N234" s="355" t="s">
        <v>821</v>
      </c>
      <c r="O234" s="355" t="s">
        <v>1045</v>
      </c>
      <c r="P234" s="355"/>
      <c r="Q234" s="355">
        <v>5000</v>
      </c>
      <c r="R234" s="319">
        <f t="shared" si="2"/>
        <v>-5000</v>
      </c>
      <c r="S234" s="319" t="str">
        <f>VLOOKUP(H234,'Fund Utilization Report'!$A$4:$U$1800,13,FALSE)</f>
        <v>MOOE</v>
      </c>
      <c r="T234" s="319" t="str">
        <f>VLOOKUP(H234,'Fund Utilization Report'!$A$4:$U$1800,2,FALSE)</f>
        <v>GAA</v>
      </c>
      <c r="U234" s="319" t="str">
        <f>VLOOKUP(H234,'Fund Utilization Report'!$A$4:$U$1800,3,FALSE)</f>
        <v>FY2021, RA11518</v>
      </c>
      <c r="V234" s="319" t="str">
        <f>VLOOKUP(H234,'Fund Utilization Report'!$A$4:$U$1800,4,FALSE)</f>
        <v>OO1</v>
      </c>
      <c r="W234" s="319" t="str">
        <f>VLOOKUP(H234,'Fund Utilization Report'!$A$4:$U$1800,5,FALSE)</f>
        <v>01101101</v>
      </c>
      <c r="X234" s="319" t="str">
        <f>VLOOKUP(H234,'Fund Utilization Report'!$A$4:$U$1800,6,FALSE)</f>
        <v>GOP</v>
      </c>
      <c r="Y234" s="320" t="str">
        <f>VLOOKUP(H234,'Fund Utilization Report'!$A$4:$U$1800,7,FALSE)</f>
        <v>MOOE</v>
      </c>
      <c r="Z234" s="321">
        <f>VLOOKUP(H234,'Fund Utilization Report'!$A$4:$U$1800,8,FALSE)</f>
        <v>5020000000</v>
      </c>
      <c r="AA234" s="319" t="str">
        <f>VLOOKUP(H234,'Fund Utilization Report'!$A$4:$U$1800,14,FALSE)</f>
        <v>310100100002000</v>
      </c>
      <c r="AB234" s="349" t="str">
        <f>VLOOKUP(H234,'Fund Utilization Report'!$A$4:$U$1800,15,FALSE)</f>
        <v>Development,Facilitation, and promotion of exports and investment, domestic and foreign</v>
      </c>
      <c r="AC234" s="39"/>
      <c r="AD234" s="34"/>
      <c r="AE234" s="39"/>
      <c r="AF234" s="51"/>
      <c r="AG234" s="40"/>
      <c r="AH234" s="40"/>
    </row>
    <row r="235" spans="1:34" s="32" customFormat="1" ht="27.6">
      <c r="A235" s="338" t="s">
        <v>942</v>
      </c>
      <c r="B235" s="338" t="s">
        <v>945</v>
      </c>
      <c r="C235" s="358">
        <v>44230</v>
      </c>
      <c r="D235" s="351" t="s">
        <v>1028</v>
      </c>
      <c r="E235" s="352" t="s">
        <v>1059</v>
      </c>
      <c r="F235" s="338">
        <v>0.45277777777777778</v>
      </c>
      <c r="G235" s="338">
        <v>0.45555555555555555</v>
      </c>
      <c r="H235" s="338" t="s">
        <v>965</v>
      </c>
      <c r="I235" s="353">
        <v>783</v>
      </c>
      <c r="J235" s="338" t="str">
        <f>IFERROR(VLOOKUP(I235,'Chart of accounts'!A:H,2,FALSE),"")</f>
        <v>50299030 00</v>
      </c>
      <c r="K235" s="338" t="str">
        <f>IFERROR(VLOOKUP(I235,'Chart of accounts'!A:H,3,FALSE),"")</f>
        <v>Representation Expenses</v>
      </c>
      <c r="L235" s="338" t="str">
        <f>IFERROR(VLOOKUP(I235,'Chart of accounts'!A:H,4,FALSE),"")</f>
        <v>50299030 00 - Representation Expenses (783)</v>
      </c>
      <c r="M235" s="361">
        <v>68</v>
      </c>
      <c r="N235" s="355" t="s">
        <v>821</v>
      </c>
      <c r="O235" s="355" t="s">
        <v>1045</v>
      </c>
      <c r="P235" s="355"/>
      <c r="Q235" s="355">
        <v>20000</v>
      </c>
      <c r="R235" s="319">
        <f t="shared" si="2"/>
        <v>-20000</v>
      </c>
      <c r="S235" s="319" t="str">
        <f>VLOOKUP(H235,'Fund Utilization Report'!$A$4:$U$1800,13,FALSE)</f>
        <v>MOOE</v>
      </c>
      <c r="T235" s="319" t="str">
        <f>VLOOKUP(H235,'Fund Utilization Report'!$A$4:$U$1800,2,FALSE)</f>
        <v>GAA</v>
      </c>
      <c r="U235" s="319" t="str">
        <f>VLOOKUP(H235,'Fund Utilization Report'!$A$4:$U$1800,3,FALSE)</f>
        <v>FY2021, RA11518</v>
      </c>
      <c r="V235" s="319" t="str">
        <f>VLOOKUP(H235,'Fund Utilization Report'!$A$4:$U$1800,4,FALSE)</f>
        <v>OO1</v>
      </c>
      <c r="W235" s="319" t="str">
        <f>VLOOKUP(H235,'Fund Utilization Report'!$A$4:$U$1800,5,FALSE)</f>
        <v>01101101</v>
      </c>
      <c r="X235" s="319" t="str">
        <f>VLOOKUP(H235,'Fund Utilization Report'!$A$4:$U$1800,6,FALSE)</f>
        <v>GOP</v>
      </c>
      <c r="Y235" s="320" t="str">
        <f>VLOOKUP(H235,'Fund Utilization Report'!$A$4:$U$1800,7,FALSE)</f>
        <v>MOOE</v>
      </c>
      <c r="Z235" s="321">
        <f>VLOOKUP(H235,'Fund Utilization Report'!$A$4:$U$1800,8,FALSE)</f>
        <v>5020000000</v>
      </c>
      <c r="AA235" s="319" t="str">
        <f>VLOOKUP(H235,'Fund Utilization Report'!$A$4:$U$1800,14,FALSE)</f>
        <v>310100100002000</v>
      </c>
      <c r="AB235" s="349" t="str">
        <f>VLOOKUP(H235,'Fund Utilization Report'!$A$4:$U$1800,15,FALSE)</f>
        <v>Development,Facilitation, and promotion of exports and investment, domestic and foreign</v>
      </c>
      <c r="AC235" s="39"/>
      <c r="AD235" s="34"/>
      <c r="AE235" s="39"/>
      <c r="AF235" s="51"/>
      <c r="AG235" s="40"/>
      <c r="AH235" s="40"/>
    </row>
    <row r="236" spans="1:34" s="32" customFormat="1" ht="27.6">
      <c r="A236" s="338" t="s">
        <v>942</v>
      </c>
      <c r="B236" s="338" t="s">
        <v>945</v>
      </c>
      <c r="C236" s="358">
        <v>44230</v>
      </c>
      <c r="D236" s="351" t="s">
        <v>1028</v>
      </c>
      <c r="E236" s="352" t="s">
        <v>1059</v>
      </c>
      <c r="F236" s="338">
        <v>0.45277777777777778</v>
      </c>
      <c r="G236" s="338">
        <v>0.45555555555555555</v>
      </c>
      <c r="H236" s="338" t="s">
        <v>965</v>
      </c>
      <c r="I236" s="353">
        <v>969</v>
      </c>
      <c r="J236" s="338" t="str">
        <f>IFERROR(VLOOKUP(I236,'Chart of accounts'!A:H,2,FALSE),"")</f>
        <v>50299990 99</v>
      </c>
      <c r="K236" s="338" t="str">
        <f>IFERROR(VLOOKUP(I236,'Chart of accounts'!A:H,3,FALSE),"")</f>
        <v>Other Maintenance and Operating Expenses</v>
      </c>
      <c r="L236" s="338" t="str">
        <f>IFERROR(VLOOKUP(I236,'Chart of accounts'!A:H,4,FALSE),"")</f>
        <v>50299990 99 - Other Maintenance and Operating Expenses (969)</v>
      </c>
      <c r="M236" s="361">
        <v>68</v>
      </c>
      <c r="N236" s="355" t="s">
        <v>821</v>
      </c>
      <c r="O236" s="355" t="s">
        <v>1045</v>
      </c>
      <c r="P236" s="355"/>
      <c r="Q236" s="355">
        <v>5000</v>
      </c>
      <c r="R236" s="319">
        <f t="shared" si="2"/>
        <v>-5000</v>
      </c>
      <c r="S236" s="319" t="str">
        <f>VLOOKUP(H236,'Fund Utilization Report'!$A$4:$U$1800,13,FALSE)</f>
        <v>MOOE</v>
      </c>
      <c r="T236" s="319" t="str">
        <f>VLOOKUP(H236,'Fund Utilization Report'!$A$4:$U$1800,2,FALSE)</f>
        <v>GAA</v>
      </c>
      <c r="U236" s="319" t="str">
        <f>VLOOKUP(H236,'Fund Utilization Report'!$A$4:$U$1800,3,FALSE)</f>
        <v>FY2021, RA11518</v>
      </c>
      <c r="V236" s="319" t="str">
        <f>VLOOKUP(H236,'Fund Utilization Report'!$A$4:$U$1800,4,FALSE)</f>
        <v>OO1</v>
      </c>
      <c r="W236" s="319" t="str">
        <f>VLOOKUP(H236,'Fund Utilization Report'!$A$4:$U$1800,5,FALSE)</f>
        <v>01101101</v>
      </c>
      <c r="X236" s="319" t="str">
        <f>VLOOKUP(H236,'Fund Utilization Report'!$A$4:$U$1800,6,FALSE)</f>
        <v>GOP</v>
      </c>
      <c r="Y236" s="320" t="str">
        <f>VLOOKUP(H236,'Fund Utilization Report'!$A$4:$U$1800,7,FALSE)</f>
        <v>MOOE</v>
      </c>
      <c r="Z236" s="321">
        <f>VLOOKUP(H236,'Fund Utilization Report'!$A$4:$U$1800,8,FALSE)</f>
        <v>5020000000</v>
      </c>
      <c r="AA236" s="319" t="str">
        <f>VLOOKUP(H236,'Fund Utilization Report'!$A$4:$U$1800,14,FALSE)</f>
        <v>310100100002000</v>
      </c>
      <c r="AB236" s="349" t="str">
        <f>VLOOKUP(H236,'Fund Utilization Report'!$A$4:$U$1800,15,FALSE)</f>
        <v>Development,Facilitation, and promotion of exports and investment, domestic and foreign</v>
      </c>
      <c r="AC236" s="39"/>
      <c r="AD236" s="34"/>
      <c r="AE236" s="39"/>
      <c r="AF236" s="51"/>
      <c r="AG236" s="40"/>
      <c r="AH236" s="40"/>
    </row>
    <row r="237" spans="1:34" s="32" customFormat="1" ht="27.6">
      <c r="A237" s="338" t="s">
        <v>942</v>
      </c>
      <c r="B237" s="338" t="s">
        <v>945</v>
      </c>
      <c r="C237" s="358">
        <v>44230</v>
      </c>
      <c r="D237" s="351" t="s">
        <v>1028</v>
      </c>
      <c r="E237" s="352" t="s">
        <v>1060</v>
      </c>
      <c r="F237" s="338">
        <v>0.45555555555555555</v>
      </c>
      <c r="G237" s="338">
        <v>0.45694444444444443</v>
      </c>
      <c r="H237" s="338" t="s">
        <v>965</v>
      </c>
      <c r="I237" s="353">
        <v>751</v>
      </c>
      <c r="J237" s="338" t="str">
        <f>IFERROR(VLOOKUP(I237,'Chart of accounts'!A:H,2,FALSE),"")</f>
        <v>50201010 00</v>
      </c>
      <c r="K237" s="338" t="str">
        <f>IFERROR(VLOOKUP(I237,'Chart of accounts'!A:H,3,FALSE),"")</f>
        <v>Traveling Expenses - Local</v>
      </c>
      <c r="L237" s="338" t="str">
        <f>IFERROR(VLOOKUP(I237,'Chart of accounts'!A:H,4,FALSE),"")</f>
        <v>50201010 00 - Traveling Expenses - Local (751)</v>
      </c>
      <c r="M237" s="361">
        <v>67</v>
      </c>
      <c r="N237" s="355" t="s">
        <v>822</v>
      </c>
      <c r="O237" s="355" t="s">
        <v>1045</v>
      </c>
      <c r="P237" s="355"/>
      <c r="Q237" s="355">
        <v>20000</v>
      </c>
      <c r="R237" s="319">
        <f t="shared" si="2"/>
        <v>-20000</v>
      </c>
      <c r="S237" s="319" t="str">
        <f>VLOOKUP(H237,'Fund Utilization Report'!$A$4:$U$1800,13,FALSE)</f>
        <v>MOOE</v>
      </c>
      <c r="T237" s="319" t="str">
        <f>VLOOKUP(H237,'Fund Utilization Report'!$A$4:$U$1800,2,FALSE)</f>
        <v>GAA</v>
      </c>
      <c r="U237" s="319" t="str">
        <f>VLOOKUP(H237,'Fund Utilization Report'!$A$4:$U$1800,3,FALSE)</f>
        <v>FY2021, RA11518</v>
      </c>
      <c r="V237" s="319" t="str">
        <f>VLOOKUP(H237,'Fund Utilization Report'!$A$4:$U$1800,4,FALSE)</f>
        <v>OO1</v>
      </c>
      <c r="W237" s="319" t="str">
        <f>VLOOKUP(H237,'Fund Utilization Report'!$A$4:$U$1800,5,FALSE)</f>
        <v>01101101</v>
      </c>
      <c r="X237" s="319" t="str">
        <f>VLOOKUP(H237,'Fund Utilization Report'!$A$4:$U$1800,6,FALSE)</f>
        <v>GOP</v>
      </c>
      <c r="Y237" s="320" t="str">
        <f>VLOOKUP(H237,'Fund Utilization Report'!$A$4:$U$1800,7,FALSE)</f>
        <v>MOOE</v>
      </c>
      <c r="Z237" s="321">
        <f>VLOOKUP(H237,'Fund Utilization Report'!$A$4:$U$1800,8,FALSE)</f>
        <v>5020000000</v>
      </c>
      <c r="AA237" s="319" t="str">
        <f>VLOOKUP(H237,'Fund Utilization Report'!$A$4:$U$1800,14,FALSE)</f>
        <v>310100100002000</v>
      </c>
      <c r="AB237" s="349" t="str">
        <f>VLOOKUP(H237,'Fund Utilization Report'!$A$4:$U$1800,15,FALSE)</f>
        <v>Development,Facilitation, and promotion of exports and investment, domestic and foreign</v>
      </c>
      <c r="AC237" s="39"/>
      <c r="AD237" s="34"/>
      <c r="AE237" s="39"/>
      <c r="AF237" s="51"/>
      <c r="AG237" s="40"/>
      <c r="AH237" s="40"/>
    </row>
    <row r="238" spans="1:34" s="32" customFormat="1" ht="27.6">
      <c r="A238" s="338" t="s">
        <v>942</v>
      </c>
      <c r="B238" s="338" t="s">
        <v>945</v>
      </c>
      <c r="C238" s="358">
        <v>44230</v>
      </c>
      <c r="D238" s="351" t="s">
        <v>1028</v>
      </c>
      <c r="E238" s="352" t="s">
        <v>1060</v>
      </c>
      <c r="F238" s="338">
        <v>0.45555555555555555</v>
      </c>
      <c r="G238" s="338">
        <v>0.45694444444444443</v>
      </c>
      <c r="H238" s="338" t="s">
        <v>965</v>
      </c>
      <c r="I238" s="353">
        <v>799</v>
      </c>
      <c r="J238" s="338" t="str">
        <f>IFERROR(VLOOKUP(I238,'Chart of accounts'!A:H,2,FALSE),"")</f>
        <v>50211990 00</v>
      </c>
      <c r="K238" s="338" t="str">
        <f>IFERROR(VLOOKUP(I238,'Chart of accounts'!A:H,3,FALSE),"")</f>
        <v>Other Professional Services</v>
      </c>
      <c r="L238" s="338" t="str">
        <f>IFERROR(VLOOKUP(I238,'Chart of accounts'!A:H,4,FALSE),"")</f>
        <v>50211990 00 - Other Professional Services (799)</v>
      </c>
      <c r="M238" s="361">
        <v>67</v>
      </c>
      <c r="N238" s="355" t="s">
        <v>822</v>
      </c>
      <c r="O238" s="355" t="s">
        <v>1045</v>
      </c>
      <c r="P238" s="355"/>
      <c r="Q238" s="355">
        <v>5000</v>
      </c>
      <c r="R238" s="319">
        <f t="shared" si="2"/>
        <v>-5000</v>
      </c>
      <c r="S238" s="319" t="str">
        <f>VLOOKUP(H238,'Fund Utilization Report'!$A$4:$U$1800,13,FALSE)</f>
        <v>MOOE</v>
      </c>
      <c r="T238" s="319" t="str">
        <f>VLOOKUP(H238,'Fund Utilization Report'!$A$4:$U$1800,2,FALSE)</f>
        <v>GAA</v>
      </c>
      <c r="U238" s="319" t="str">
        <f>VLOOKUP(H238,'Fund Utilization Report'!$A$4:$U$1800,3,FALSE)</f>
        <v>FY2021, RA11518</v>
      </c>
      <c r="V238" s="319" t="str">
        <f>VLOOKUP(H238,'Fund Utilization Report'!$A$4:$U$1800,4,FALSE)</f>
        <v>OO1</v>
      </c>
      <c r="W238" s="319" t="str">
        <f>VLOOKUP(H238,'Fund Utilization Report'!$A$4:$U$1800,5,FALSE)</f>
        <v>01101101</v>
      </c>
      <c r="X238" s="319" t="str">
        <f>VLOOKUP(H238,'Fund Utilization Report'!$A$4:$U$1800,6,FALSE)</f>
        <v>GOP</v>
      </c>
      <c r="Y238" s="320" t="str">
        <f>VLOOKUP(H238,'Fund Utilization Report'!$A$4:$U$1800,7,FALSE)</f>
        <v>MOOE</v>
      </c>
      <c r="Z238" s="321">
        <f>VLOOKUP(H238,'Fund Utilization Report'!$A$4:$U$1800,8,FALSE)</f>
        <v>5020000000</v>
      </c>
      <c r="AA238" s="319" t="str">
        <f>VLOOKUP(H238,'Fund Utilization Report'!$A$4:$U$1800,14,FALSE)</f>
        <v>310100100002000</v>
      </c>
      <c r="AB238" s="349" t="str">
        <f>VLOOKUP(H238,'Fund Utilization Report'!$A$4:$U$1800,15,FALSE)</f>
        <v>Development,Facilitation, and promotion of exports and investment, domestic and foreign</v>
      </c>
      <c r="AC238" s="39"/>
      <c r="AD238" s="34"/>
      <c r="AE238" s="39"/>
      <c r="AF238" s="51"/>
      <c r="AG238" s="40"/>
      <c r="AH238" s="40"/>
    </row>
    <row r="239" spans="1:34" s="32" customFormat="1" ht="27.6">
      <c r="A239" s="338" t="s">
        <v>942</v>
      </c>
      <c r="B239" s="338" t="s">
        <v>945</v>
      </c>
      <c r="C239" s="358">
        <v>44230</v>
      </c>
      <c r="D239" s="351" t="s">
        <v>1028</v>
      </c>
      <c r="E239" s="352" t="s">
        <v>1060</v>
      </c>
      <c r="F239" s="338">
        <v>0.45555555555555555</v>
      </c>
      <c r="G239" s="338">
        <v>0.45694444444444443</v>
      </c>
      <c r="H239" s="338" t="s">
        <v>965</v>
      </c>
      <c r="I239" s="353">
        <v>783</v>
      </c>
      <c r="J239" s="338" t="str">
        <f>IFERROR(VLOOKUP(I239,'Chart of accounts'!A:H,2,FALSE),"")</f>
        <v>50299030 00</v>
      </c>
      <c r="K239" s="338" t="str">
        <f>IFERROR(VLOOKUP(I239,'Chart of accounts'!A:H,3,FALSE),"")</f>
        <v>Representation Expenses</v>
      </c>
      <c r="L239" s="338" t="str">
        <f>IFERROR(VLOOKUP(I239,'Chart of accounts'!A:H,4,FALSE),"")</f>
        <v>50299030 00 - Representation Expenses (783)</v>
      </c>
      <c r="M239" s="361">
        <v>67</v>
      </c>
      <c r="N239" s="355" t="s">
        <v>822</v>
      </c>
      <c r="O239" s="355" t="s">
        <v>1045</v>
      </c>
      <c r="P239" s="355"/>
      <c r="Q239" s="355">
        <v>20000</v>
      </c>
      <c r="R239" s="319">
        <f t="shared" ref="R239:R302" si="3">P239-Q239</f>
        <v>-20000</v>
      </c>
      <c r="S239" s="319" t="str">
        <f>VLOOKUP(H239,'Fund Utilization Report'!$A$4:$U$1800,13,FALSE)</f>
        <v>MOOE</v>
      </c>
      <c r="T239" s="319" t="str">
        <f>VLOOKUP(H239,'Fund Utilization Report'!$A$4:$U$1800,2,FALSE)</f>
        <v>GAA</v>
      </c>
      <c r="U239" s="319" t="str">
        <f>VLOOKUP(H239,'Fund Utilization Report'!$A$4:$U$1800,3,FALSE)</f>
        <v>FY2021, RA11518</v>
      </c>
      <c r="V239" s="319" t="str">
        <f>VLOOKUP(H239,'Fund Utilization Report'!$A$4:$U$1800,4,FALSE)</f>
        <v>OO1</v>
      </c>
      <c r="W239" s="319" t="str">
        <f>VLOOKUP(H239,'Fund Utilization Report'!$A$4:$U$1800,5,FALSE)</f>
        <v>01101101</v>
      </c>
      <c r="X239" s="319" t="str">
        <f>VLOOKUP(H239,'Fund Utilization Report'!$A$4:$U$1800,6,FALSE)</f>
        <v>GOP</v>
      </c>
      <c r="Y239" s="320" t="str">
        <f>VLOOKUP(H239,'Fund Utilization Report'!$A$4:$U$1800,7,FALSE)</f>
        <v>MOOE</v>
      </c>
      <c r="Z239" s="321">
        <f>VLOOKUP(H239,'Fund Utilization Report'!$A$4:$U$1800,8,FALSE)</f>
        <v>5020000000</v>
      </c>
      <c r="AA239" s="319" t="str">
        <f>VLOOKUP(H239,'Fund Utilization Report'!$A$4:$U$1800,14,FALSE)</f>
        <v>310100100002000</v>
      </c>
      <c r="AB239" s="349" t="str">
        <f>VLOOKUP(H239,'Fund Utilization Report'!$A$4:$U$1800,15,FALSE)</f>
        <v>Development,Facilitation, and promotion of exports and investment, domestic and foreign</v>
      </c>
      <c r="AC239" s="39"/>
      <c r="AD239" s="34"/>
      <c r="AE239" s="39"/>
      <c r="AF239" s="51"/>
      <c r="AG239" s="40"/>
      <c r="AH239" s="40"/>
    </row>
    <row r="240" spans="1:34" s="32" customFormat="1" ht="27.6">
      <c r="A240" s="338" t="s">
        <v>942</v>
      </c>
      <c r="B240" s="338" t="s">
        <v>945</v>
      </c>
      <c r="C240" s="358">
        <v>44230</v>
      </c>
      <c r="D240" s="351" t="s">
        <v>1028</v>
      </c>
      <c r="E240" s="352" t="s">
        <v>1060</v>
      </c>
      <c r="F240" s="338">
        <v>0.45555555555555555</v>
      </c>
      <c r="G240" s="338">
        <v>0.45694444444444443</v>
      </c>
      <c r="H240" s="338" t="s">
        <v>965</v>
      </c>
      <c r="I240" s="353">
        <v>969</v>
      </c>
      <c r="J240" s="338" t="str">
        <f>IFERROR(VLOOKUP(I240,'Chart of accounts'!A:H,2,FALSE),"")</f>
        <v>50299990 99</v>
      </c>
      <c r="K240" s="338" t="str">
        <f>IFERROR(VLOOKUP(I240,'Chart of accounts'!A:H,3,FALSE),"")</f>
        <v>Other Maintenance and Operating Expenses</v>
      </c>
      <c r="L240" s="338" t="str">
        <f>IFERROR(VLOOKUP(I240,'Chart of accounts'!A:H,4,FALSE),"")</f>
        <v>50299990 99 - Other Maintenance and Operating Expenses (969)</v>
      </c>
      <c r="M240" s="361">
        <v>67</v>
      </c>
      <c r="N240" s="355" t="s">
        <v>822</v>
      </c>
      <c r="O240" s="355" t="s">
        <v>1045</v>
      </c>
      <c r="P240" s="355"/>
      <c r="Q240" s="355">
        <v>5000</v>
      </c>
      <c r="R240" s="319">
        <f t="shared" si="3"/>
        <v>-5000</v>
      </c>
      <c r="S240" s="319" t="str">
        <f>VLOOKUP(H240,'Fund Utilization Report'!$A$4:$U$1800,13,FALSE)</f>
        <v>MOOE</v>
      </c>
      <c r="T240" s="319" t="str">
        <f>VLOOKUP(H240,'Fund Utilization Report'!$A$4:$U$1800,2,FALSE)</f>
        <v>GAA</v>
      </c>
      <c r="U240" s="319" t="str">
        <f>VLOOKUP(H240,'Fund Utilization Report'!$A$4:$U$1800,3,FALSE)</f>
        <v>FY2021, RA11518</v>
      </c>
      <c r="V240" s="319" t="str">
        <f>VLOOKUP(H240,'Fund Utilization Report'!$A$4:$U$1800,4,FALSE)</f>
        <v>OO1</v>
      </c>
      <c r="W240" s="319" t="str">
        <f>VLOOKUP(H240,'Fund Utilization Report'!$A$4:$U$1800,5,FALSE)</f>
        <v>01101101</v>
      </c>
      <c r="X240" s="319" t="str">
        <f>VLOOKUP(H240,'Fund Utilization Report'!$A$4:$U$1800,6,FALSE)</f>
        <v>GOP</v>
      </c>
      <c r="Y240" s="320" t="str">
        <f>VLOOKUP(H240,'Fund Utilization Report'!$A$4:$U$1800,7,FALSE)</f>
        <v>MOOE</v>
      </c>
      <c r="Z240" s="321">
        <f>VLOOKUP(H240,'Fund Utilization Report'!$A$4:$U$1800,8,FALSE)</f>
        <v>5020000000</v>
      </c>
      <c r="AA240" s="319" t="str">
        <f>VLOOKUP(H240,'Fund Utilization Report'!$A$4:$U$1800,14,FALSE)</f>
        <v>310100100002000</v>
      </c>
      <c r="AB240" s="349" t="str">
        <f>VLOOKUP(H240,'Fund Utilization Report'!$A$4:$U$1800,15,FALSE)</f>
        <v>Development,Facilitation, and promotion of exports and investment, domestic and foreign</v>
      </c>
      <c r="AC240" s="39"/>
      <c r="AD240" s="34"/>
      <c r="AE240" s="39"/>
      <c r="AF240" s="51"/>
      <c r="AG240" s="40"/>
      <c r="AH240" s="40"/>
    </row>
    <row r="241" spans="1:34" s="32" customFormat="1" ht="27.6">
      <c r="A241" s="338" t="s">
        <v>942</v>
      </c>
      <c r="B241" s="338" t="s">
        <v>945</v>
      </c>
      <c r="C241" s="358">
        <v>44230</v>
      </c>
      <c r="D241" s="351" t="s">
        <v>1028</v>
      </c>
      <c r="E241" s="352" t="s">
        <v>1061</v>
      </c>
      <c r="F241" s="338">
        <v>0.45694444444444443</v>
      </c>
      <c r="G241" s="338">
        <v>0.46111111111111108</v>
      </c>
      <c r="H241" s="338" t="s">
        <v>965</v>
      </c>
      <c r="I241" s="353">
        <v>751</v>
      </c>
      <c r="J241" s="338" t="str">
        <f>IFERROR(VLOOKUP(I241,'Chart of accounts'!A:H,2,FALSE),"")</f>
        <v>50201010 00</v>
      </c>
      <c r="K241" s="338" t="str">
        <f>IFERROR(VLOOKUP(I241,'Chart of accounts'!A:H,3,FALSE),"")</f>
        <v>Traveling Expenses - Local</v>
      </c>
      <c r="L241" s="338" t="str">
        <f>IFERROR(VLOOKUP(I241,'Chart of accounts'!A:H,4,FALSE),"")</f>
        <v>50201010 00 - Traveling Expenses - Local (751)</v>
      </c>
      <c r="M241" s="361">
        <v>85</v>
      </c>
      <c r="N241" s="355" t="s">
        <v>823</v>
      </c>
      <c r="O241" s="355" t="s">
        <v>1045</v>
      </c>
      <c r="P241" s="355"/>
      <c r="Q241" s="355">
        <v>20000</v>
      </c>
      <c r="R241" s="319">
        <f t="shared" si="3"/>
        <v>-20000</v>
      </c>
      <c r="S241" s="319" t="str">
        <f>VLOOKUP(H241,'Fund Utilization Report'!$A$4:$U$1800,13,FALSE)</f>
        <v>MOOE</v>
      </c>
      <c r="T241" s="319" t="str">
        <f>VLOOKUP(H241,'Fund Utilization Report'!$A$4:$U$1800,2,FALSE)</f>
        <v>GAA</v>
      </c>
      <c r="U241" s="319" t="str">
        <f>VLOOKUP(H241,'Fund Utilization Report'!$A$4:$U$1800,3,FALSE)</f>
        <v>FY2021, RA11518</v>
      </c>
      <c r="V241" s="319" t="str">
        <f>VLOOKUP(H241,'Fund Utilization Report'!$A$4:$U$1800,4,FALSE)</f>
        <v>OO1</v>
      </c>
      <c r="W241" s="319" t="str">
        <f>VLOOKUP(H241,'Fund Utilization Report'!$A$4:$U$1800,5,FALSE)</f>
        <v>01101101</v>
      </c>
      <c r="X241" s="319" t="str">
        <f>VLOOKUP(H241,'Fund Utilization Report'!$A$4:$U$1800,6,FALSE)</f>
        <v>GOP</v>
      </c>
      <c r="Y241" s="320" t="str">
        <f>VLOOKUP(H241,'Fund Utilization Report'!$A$4:$U$1800,7,FALSE)</f>
        <v>MOOE</v>
      </c>
      <c r="Z241" s="321">
        <f>VLOOKUP(H241,'Fund Utilization Report'!$A$4:$U$1800,8,FALSE)</f>
        <v>5020000000</v>
      </c>
      <c r="AA241" s="319" t="str">
        <f>VLOOKUP(H241,'Fund Utilization Report'!$A$4:$U$1800,14,FALSE)</f>
        <v>310100100002000</v>
      </c>
      <c r="AB241" s="349" t="str">
        <f>VLOOKUP(H241,'Fund Utilization Report'!$A$4:$U$1800,15,FALSE)</f>
        <v>Development,Facilitation, and promotion of exports and investment, domestic and foreign</v>
      </c>
      <c r="AC241" s="39"/>
      <c r="AD241" s="34"/>
      <c r="AE241" s="39"/>
      <c r="AF241" s="51"/>
      <c r="AG241" s="40"/>
      <c r="AH241" s="40"/>
    </row>
    <row r="242" spans="1:34" s="32" customFormat="1" ht="27.6">
      <c r="A242" s="338" t="s">
        <v>942</v>
      </c>
      <c r="B242" s="338" t="s">
        <v>945</v>
      </c>
      <c r="C242" s="358">
        <v>44230</v>
      </c>
      <c r="D242" s="351" t="s">
        <v>1028</v>
      </c>
      <c r="E242" s="352" t="s">
        <v>1061</v>
      </c>
      <c r="F242" s="338">
        <v>0.45694444444444443</v>
      </c>
      <c r="G242" s="338">
        <v>0.46111111111111108</v>
      </c>
      <c r="H242" s="338" t="s">
        <v>965</v>
      </c>
      <c r="I242" s="353">
        <v>799</v>
      </c>
      <c r="J242" s="338" t="str">
        <f>IFERROR(VLOOKUP(I242,'Chart of accounts'!A:H,2,FALSE),"")</f>
        <v>50211990 00</v>
      </c>
      <c r="K242" s="338" t="str">
        <f>IFERROR(VLOOKUP(I242,'Chart of accounts'!A:H,3,FALSE),"")</f>
        <v>Other Professional Services</v>
      </c>
      <c r="L242" s="338" t="str">
        <f>IFERROR(VLOOKUP(I242,'Chart of accounts'!A:H,4,FALSE),"")</f>
        <v>50211990 00 - Other Professional Services (799)</v>
      </c>
      <c r="M242" s="361">
        <v>85</v>
      </c>
      <c r="N242" s="355" t="s">
        <v>823</v>
      </c>
      <c r="O242" s="355" t="s">
        <v>1045</v>
      </c>
      <c r="P242" s="355"/>
      <c r="Q242" s="355">
        <v>5000</v>
      </c>
      <c r="R242" s="319">
        <f t="shared" si="3"/>
        <v>-5000</v>
      </c>
      <c r="S242" s="319" t="str">
        <f>VLOOKUP(H242,'Fund Utilization Report'!$A$4:$U$1800,13,FALSE)</f>
        <v>MOOE</v>
      </c>
      <c r="T242" s="319" t="str">
        <f>VLOOKUP(H242,'Fund Utilization Report'!$A$4:$U$1800,2,FALSE)</f>
        <v>GAA</v>
      </c>
      <c r="U242" s="319" t="str">
        <f>VLOOKUP(H242,'Fund Utilization Report'!$A$4:$U$1800,3,FALSE)</f>
        <v>FY2021, RA11518</v>
      </c>
      <c r="V242" s="319" t="str">
        <f>VLOOKUP(H242,'Fund Utilization Report'!$A$4:$U$1800,4,FALSE)</f>
        <v>OO1</v>
      </c>
      <c r="W242" s="319" t="str">
        <f>VLOOKUP(H242,'Fund Utilization Report'!$A$4:$U$1800,5,FALSE)</f>
        <v>01101101</v>
      </c>
      <c r="X242" s="319" t="str">
        <f>VLOOKUP(H242,'Fund Utilization Report'!$A$4:$U$1800,6,FALSE)</f>
        <v>GOP</v>
      </c>
      <c r="Y242" s="320" t="str">
        <f>VLOOKUP(H242,'Fund Utilization Report'!$A$4:$U$1800,7,FALSE)</f>
        <v>MOOE</v>
      </c>
      <c r="Z242" s="321">
        <f>VLOOKUP(H242,'Fund Utilization Report'!$A$4:$U$1800,8,FALSE)</f>
        <v>5020000000</v>
      </c>
      <c r="AA242" s="319" t="str">
        <f>VLOOKUP(H242,'Fund Utilization Report'!$A$4:$U$1800,14,FALSE)</f>
        <v>310100100002000</v>
      </c>
      <c r="AB242" s="349" t="str">
        <f>VLOOKUP(H242,'Fund Utilization Report'!$A$4:$U$1800,15,FALSE)</f>
        <v>Development,Facilitation, and promotion of exports and investment, domestic and foreign</v>
      </c>
      <c r="AC242" s="39"/>
      <c r="AD242" s="34"/>
      <c r="AE242" s="39"/>
      <c r="AF242" s="51"/>
      <c r="AG242" s="40"/>
      <c r="AH242" s="40"/>
    </row>
    <row r="243" spans="1:34" s="32" customFormat="1" ht="27.6">
      <c r="A243" s="338" t="s">
        <v>942</v>
      </c>
      <c r="B243" s="338" t="s">
        <v>945</v>
      </c>
      <c r="C243" s="358">
        <v>44230</v>
      </c>
      <c r="D243" s="351" t="s">
        <v>1028</v>
      </c>
      <c r="E243" s="352" t="s">
        <v>1061</v>
      </c>
      <c r="F243" s="338">
        <v>0.45694444444444443</v>
      </c>
      <c r="G243" s="338">
        <v>0.46111111111111108</v>
      </c>
      <c r="H243" s="338" t="s">
        <v>965</v>
      </c>
      <c r="I243" s="353">
        <v>783</v>
      </c>
      <c r="J243" s="338" t="str">
        <f>IFERROR(VLOOKUP(I243,'Chart of accounts'!A:H,2,FALSE),"")</f>
        <v>50299030 00</v>
      </c>
      <c r="K243" s="338" t="str">
        <f>IFERROR(VLOOKUP(I243,'Chart of accounts'!A:H,3,FALSE),"")</f>
        <v>Representation Expenses</v>
      </c>
      <c r="L243" s="338" t="str">
        <f>IFERROR(VLOOKUP(I243,'Chart of accounts'!A:H,4,FALSE),"")</f>
        <v>50299030 00 - Representation Expenses (783)</v>
      </c>
      <c r="M243" s="361">
        <v>85</v>
      </c>
      <c r="N243" s="355" t="s">
        <v>823</v>
      </c>
      <c r="O243" s="355" t="s">
        <v>1045</v>
      </c>
      <c r="P243" s="355"/>
      <c r="Q243" s="355">
        <v>20000</v>
      </c>
      <c r="R243" s="319">
        <f t="shared" si="3"/>
        <v>-20000</v>
      </c>
      <c r="S243" s="319" t="str">
        <f>VLOOKUP(H243,'Fund Utilization Report'!$A$4:$U$1800,13,FALSE)</f>
        <v>MOOE</v>
      </c>
      <c r="T243" s="319" t="str">
        <f>VLOOKUP(H243,'Fund Utilization Report'!$A$4:$U$1800,2,FALSE)</f>
        <v>GAA</v>
      </c>
      <c r="U243" s="319" t="str">
        <f>VLOOKUP(H243,'Fund Utilization Report'!$A$4:$U$1800,3,FALSE)</f>
        <v>FY2021, RA11518</v>
      </c>
      <c r="V243" s="319" t="str">
        <f>VLOOKUP(H243,'Fund Utilization Report'!$A$4:$U$1800,4,FALSE)</f>
        <v>OO1</v>
      </c>
      <c r="W243" s="319" t="str">
        <f>VLOOKUP(H243,'Fund Utilization Report'!$A$4:$U$1800,5,FALSE)</f>
        <v>01101101</v>
      </c>
      <c r="X243" s="319" t="str">
        <f>VLOOKUP(H243,'Fund Utilization Report'!$A$4:$U$1800,6,FALSE)</f>
        <v>GOP</v>
      </c>
      <c r="Y243" s="320" t="str">
        <f>VLOOKUP(H243,'Fund Utilization Report'!$A$4:$U$1800,7,FALSE)</f>
        <v>MOOE</v>
      </c>
      <c r="Z243" s="321">
        <f>VLOOKUP(H243,'Fund Utilization Report'!$A$4:$U$1800,8,FALSE)</f>
        <v>5020000000</v>
      </c>
      <c r="AA243" s="319" t="str">
        <f>VLOOKUP(H243,'Fund Utilization Report'!$A$4:$U$1800,14,FALSE)</f>
        <v>310100100002000</v>
      </c>
      <c r="AB243" s="349" t="str">
        <f>VLOOKUP(H243,'Fund Utilization Report'!$A$4:$U$1800,15,FALSE)</f>
        <v>Development,Facilitation, and promotion of exports and investment, domestic and foreign</v>
      </c>
      <c r="AC243" s="39"/>
      <c r="AD243" s="34"/>
      <c r="AE243" s="39"/>
      <c r="AF243" s="51"/>
      <c r="AG243" s="40"/>
      <c r="AH243" s="40"/>
    </row>
    <row r="244" spans="1:34" s="32" customFormat="1" ht="27.6">
      <c r="A244" s="338" t="s">
        <v>942</v>
      </c>
      <c r="B244" s="338" t="s">
        <v>945</v>
      </c>
      <c r="C244" s="358">
        <v>44230</v>
      </c>
      <c r="D244" s="351" t="s">
        <v>1028</v>
      </c>
      <c r="E244" s="352" t="s">
        <v>1061</v>
      </c>
      <c r="F244" s="338">
        <v>0.45694444444444443</v>
      </c>
      <c r="G244" s="338">
        <v>0.46111111111111108</v>
      </c>
      <c r="H244" s="338" t="s">
        <v>965</v>
      </c>
      <c r="I244" s="353">
        <v>969</v>
      </c>
      <c r="J244" s="338" t="str">
        <f>IFERROR(VLOOKUP(I244,'Chart of accounts'!A:H,2,FALSE),"")</f>
        <v>50299990 99</v>
      </c>
      <c r="K244" s="338" t="str">
        <f>IFERROR(VLOOKUP(I244,'Chart of accounts'!A:H,3,FALSE),"")</f>
        <v>Other Maintenance and Operating Expenses</v>
      </c>
      <c r="L244" s="338" t="str">
        <f>IFERROR(VLOOKUP(I244,'Chart of accounts'!A:H,4,FALSE),"")</f>
        <v>50299990 99 - Other Maintenance and Operating Expenses (969)</v>
      </c>
      <c r="M244" s="361">
        <v>85</v>
      </c>
      <c r="N244" s="355" t="s">
        <v>823</v>
      </c>
      <c r="O244" s="355" t="s">
        <v>1045</v>
      </c>
      <c r="P244" s="355"/>
      <c r="Q244" s="355">
        <v>5000</v>
      </c>
      <c r="R244" s="319">
        <f t="shared" si="3"/>
        <v>-5000</v>
      </c>
      <c r="S244" s="319" t="str">
        <f>VLOOKUP(H244,'Fund Utilization Report'!$A$4:$U$1800,13,FALSE)</f>
        <v>MOOE</v>
      </c>
      <c r="T244" s="319" t="str">
        <f>VLOOKUP(H244,'Fund Utilization Report'!$A$4:$U$1800,2,FALSE)</f>
        <v>GAA</v>
      </c>
      <c r="U244" s="319" t="str">
        <f>VLOOKUP(H244,'Fund Utilization Report'!$A$4:$U$1800,3,FALSE)</f>
        <v>FY2021, RA11518</v>
      </c>
      <c r="V244" s="319" t="str">
        <f>VLOOKUP(H244,'Fund Utilization Report'!$A$4:$U$1800,4,FALSE)</f>
        <v>OO1</v>
      </c>
      <c r="W244" s="319" t="str">
        <f>VLOOKUP(H244,'Fund Utilization Report'!$A$4:$U$1800,5,FALSE)</f>
        <v>01101101</v>
      </c>
      <c r="X244" s="319" t="str">
        <f>VLOOKUP(H244,'Fund Utilization Report'!$A$4:$U$1800,6,FALSE)</f>
        <v>GOP</v>
      </c>
      <c r="Y244" s="320" t="str">
        <f>VLOOKUP(H244,'Fund Utilization Report'!$A$4:$U$1800,7,FALSE)</f>
        <v>MOOE</v>
      </c>
      <c r="Z244" s="321">
        <f>VLOOKUP(H244,'Fund Utilization Report'!$A$4:$U$1800,8,FALSE)</f>
        <v>5020000000</v>
      </c>
      <c r="AA244" s="319" t="str">
        <f>VLOOKUP(H244,'Fund Utilization Report'!$A$4:$U$1800,14,FALSE)</f>
        <v>310100100002000</v>
      </c>
      <c r="AB244" s="349" t="str">
        <f>VLOOKUP(H244,'Fund Utilization Report'!$A$4:$U$1800,15,FALSE)</f>
        <v>Development,Facilitation, and promotion of exports and investment, domestic and foreign</v>
      </c>
      <c r="AC244" s="39"/>
      <c r="AD244" s="34"/>
      <c r="AE244" s="39"/>
      <c r="AF244" s="51"/>
      <c r="AG244" s="40"/>
      <c r="AH244" s="40"/>
    </row>
    <row r="245" spans="1:34" s="32" customFormat="1" ht="27.6">
      <c r="A245" s="338" t="s">
        <v>942</v>
      </c>
      <c r="B245" s="338" t="s">
        <v>945</v>
      </c>
      <c r="C245" s="358">
        <v>44230</v>
      </c>
      <c r="D245" s="351" t="s">
        <v>1028</v>
      </c>
      <c r="E245" s="352" t="s">
        <v>1063</v>
      </c>
      <c r="F245" s="338">
        <v>0.49791666666666662</v>
      </c>
      <c r="G245" s="338">
        <v>0.4993055555555555</v>
      </c>
      <c r="H245" s="338" t="s">
        <v>961</v>
      </c>
      <c r="I245" s="353">
        <v>755</v>
      </c>
      <c r="J245" s="338" t="str">
        <f>IFERROR(VLOOKUP(I245,'Chart of accounts'!A:H,2,FALSE),"")</f>
        <v>50203010 00</v>
      </c>
      <c r="K245" s="338" t="str">
        <f>IFERROR(VLOOKUP(I245,'Chart of accounts'!A:H,3,FALSE),"")</f>
        <v>Office Supplies Expenses</v>
      </c>
      <c r="L245" s="338" t="str">
        <f>IFERROR(VLOOKUP(I245,'Chart of accounts'!A:H,4,FALSE),"")</f>
        <v>50203010 00 - Office Supplies Expenses (755)</v>
      </c>
      <c r="M245" s="361">
        <v>1</v>
      </c>
      <c r="N245" s="355" t="s">
        <v>773</v>
      </c>
      <c r="O245" s="355" t="s">
        <v>1064</v>
      </c>
      <c r="P245" s="355"/>
      <c r="Q245" s="50">
        <v>1074.25</v>
      </c>
      <c r="R245" s="319">
        <f t="shared" si="3"/>
        <v>-1074.25</v>
      </c>
      <c r="S245" s="319" t="str">
        <f>VLOOKUP(H245,'Fund Utilization Report'!$A$4:$U$1800,13,FALSE)</f>
        <v>MOOE</v>
      </c>
      <c r="T245" s="319" t="str">
        <f>VLOOKUP(H245,'Fund Utilization Report'!$A$4:$U$1800,2,FALSE)</f>
        <v>GAA</v>
      </c>
      <c r="U245" s="319" t="str">
        <f>VLOOKUP(H245,'Fund Utilization Report'!$A$4:$U$1800,3,FALSE)</f>
        <v>FY2021, RA11518</v>
      </c>
      <c r="V245" s="319" t="str">
        <f>VLOOKUP(H245,'Fund Utilization Report'!$A$4:$U$1800,4,FALSE)</f>
        <v>GAS(GMS)</v>
      </c>
      <c r="W245" s="319" t="str">
        <f>VLOOKUP(H245,'Fund Utilization Report'!$A$4:$U$1800,5,FALSE)</f>
        <v>01101101</v>
      </c>
      <c r="X245" s="319" t="str">
        <f>VLOOKUP(H245,'Fund Utilization Report'!$A$4:$U$1800,6,FALSE)</f>
        <v>GOP</v>
      </c>
      <c r="Y245" s="320" t="str">
        <f>VLOOKUP(H245,'Fund Utilization Report'!$A$4:$U$1800,7,FALSE)</f>
        <v>MOOE</v>
      </c>
      <c r="Z245" s="321">
        <f>VLOOKUP(H245,'Fund Utilization Report'!$A$4:$U$1800,8,FALSE)</f>
        <v>5020000000</v>
      </c>
      <c r="AA245" s="319" t="str">
        <f>VLOOKUP(H245,'Fund Utilization Report'!$A$4:$U$1800,14,FALSE)</f>
        <v>100000100001000</v>
      </c>
      <c r="AB245" s="349" t="str">
        <f>VLOOKUP(H245,'Fund Utilization Report'!$A$4:$U$1800,15,FALSE)</f>
        <v>General Administration and Supervision - General Management and Supervision</v>
      </c>
      <c r="AC245" s="39"/>
      <c r="AD245" s="34"/>
      <c r="AE245" s="39"/>
      <c r="AF245" s="51"/>
      <c r="AG245" s="40"/>
      <c r="AH245" s="40"/>
    </row>
    <row r="246" spans="1:34" s="32" customFormat="1" ht="27.6">
      <c r="A246" s="338" t="s">
        <v>942</v>
      </c>
      <c r="B246" s="338" t="s">
        <v>945</v>
      </c>
      <c r="C246" s="358">
        <v>44230</v>
      </c>
      <c r="D246" s="351" t="s">
        <v>1028</v>
      </c>
      <c r="E246" s="352" t="s">
        <v>1063</v>
      </c>
      <c r="F246" s="338">
        <v>0.49791666666666662</v>
      </c>
      <c r="G246" s="338">
        <v>0.4993055555555555</v>
      </c>
      <c r="H246" s="338" t="s">
        <v>961</v>
      </c>
      <c r="I246" s="353">
        <v>795</v>
      </c>
      <c r="J246" s="338" t="str">
        <f>IFERROR(VLOOKUP(I246,'Chart of accounts'!A:H,2,FALSE),"")</f>
        <v>50212990 00</v>
      </c>
      <c r="K246" s="338" t="str">
        <f>IFERROR(VLOOKUP(I246,'Chart of accounts'!A:H,3,FALSE),"")</f>
        <v>Other General Services</v>
      </c>
      <c r="L246" s="338" t="str">
        <f>IFERROR(VLOOKUP(I246,'Chart of accounts'!A:H,4,FALSE),"")</f>
        <v>50212990 00 - Other General Services (795)</v>
      </c>
      <c r="M246" s="361">
        <v>1</v>
      </c>
      <c r="N246" s="355" t="s">
        <v>773</v>
      </c>
      <c r="O246" s="355" t="s">
        <v>1064</v>
      </c>
      <c r="P246" s="355"/>
      <c r="Q246" s="50">
        <v>960</v>
      </c>
      <c r="R246" s="319">
        <f t="shared" si="3"/>
        <v>-960</v>
      </c>
      <c r="S246" s="319" t="str">
        <f>VLOOKUP(H246,'Fund Utilization Report'!$A$4:$U$1800,13,FALSE)</f>
        <v>MOOE</v>
      </c>
      <c r="T246" s="319" t="str">
        <f>VLOOKUP(H246,'Fund Utilization Report'!$A$4:$U$1800,2,FALSE)</f>
        <v>GAA</v>
      </c>
      <c r="U246" s="319" t="str">
        <f>VLOOKUP(H246,'Fund Utilization Report'!$A$4:$U$1800,3,FALSE)</f>
        <v>FY2021, RA11518</v>
      </c>
      <c r="V246" s="319" t="str">
        <f>VLOOKUP(H246,'Fund Utilization Report'!$A$4:$U$1800,4,FALSE)</f>
        <v>GAS(GMS)</v>
      </c>
      <c r="W246" s="319" t="str">
        <f>VLOOKUP(H246,'Fund Utilization Report'!$A$4:$U$1800,5,FALSE)</f>
        <v>01101101</v>
      </c>
      <c r="X246" s="319" t="str">
        <f>VLOOKUP(H246,'Fund Utilization Report'!$A$4:$U$1800,6,FALSE)</f>
        <v>GOP</v>
      </c>
      <c r="Y246" s="320" t="str">
        <f>VLOOKUP(H246,'Fund Utilization Report'!$A$4:$U$1800,7,FALSE)</f>
        <v>MOOE</v>
      </c>
      <c r="Z246" s="321">
        <f>VLOOKUP(H246,'Fund Utilization Report'!$A$4:$U$1800,8,FALSE)</f>
        <v>5020000000</v>
      </c>
      <c r="AA246" s="319" t="str">
        <f>VLOOKUP(H246,'Fund Utilization Report'!$A$4:$U$1800,14,FALSE)</f>
        <v>100000100001000</v>
      </c>
      <c r="AB246" s="349" t="str">
        <f>VLOOKUP(H246,'Fund Utilization Report'!$A$4:$U$1800,15,FALSE)</f>
        <v>General Administration and Supervision - General Management and Supervision</v>
      </c>
      <c r="AC246" s="39"/>
      <c r="AD246" s="34"/>
      <c r="AE246" s="39"/>
      <c r="AF246" s="51"/>
      <c r="AG246" s="40"/>
      <c r="AH246" s="40"/>
    </row>
    <row r="247" spans="1:34" s="32" customFormat="1" ht="27.6">
      <c r="A247" s="338" t="s">
        <v>942</v>
      </c>
      <c r="B247" s="338" t="s">
        <v>945</v>
      </c>
      <c r="C247" s="358">
        <v>44230</v>
      </c>
      <c r="D247" s="351" t="s">
        <v>1028</v>
      </c>
      <c r="E247" s="352" t="s">
        <v>1063</v>
      </c>
      <c r="F247" s="338">
        <v>0.49791666666666662</v>
      </c>
      <c r="G247" s="338">
        <v>0.4993055555555555</v>
      </c>
      <c r="H247" s="338" t="s">
        <v>961</v>
      </c>
      <c r="I247" s="353">
        <v>799</v>
      </c>
      <c r="J247" s="338" t="str">
        <f>IFERROR(VLOOKUP(I247,'Chart of accounts'!A:H,2,FALSE),"")</f>
        <v>50211990 00</v>
      </c>
      <c r="K247" s="338" t="str">
        <f>IFERROR(VLOOKUP(I247,'Chart of accounts'!A:H,3,FALSE),"")</f>
        <v>Other Professional Services</v>
      </c>
      <c r="L247" s="338" t="str">
        <f>IFERROR(VLOOKUP(I247,'Chart of accounts'!A:H,4,FALSE),"")</f>
        <v>50211990 00 - Other Professional Services (799)</v>
      </c>
      <c r="M247" s="361">
        <v>1</v>
      </c>
      <c r="N247" s="355" t="s">
        <v>773</v>
      </c>
      <c r="O247" s="355" t="s">
        <v>1064</v>
      </c>
      <c r="P247" s="355"/>
      <c r="Q247" s="50">
        <v>2700</v>
      </c>
      <c r="R247" s="319">
        <f t="shared" si="3"/>
        <v>-2700</v>
      </c>
      <c r="S247" s="319" t="str">
        <f>VLOOKUP(H247,'Fund Utilization Report'!$A$4:$U$1800,13,FALSE)</f>
        <v>MOOE</v>
      </c>
      <c r="T247" s="319" t="str">
        <f>VLOOKUP(H247,'Fund Utilization Report'!$A$4:$U$1800,2,FALSE)</f>
        <v>GAA</v>
      </c>
      <c r="U247" s="319" t="str">
        <f>VLOOKUP(H247,'Fund Utilization Report'!$A$4:$U$1800,3,FALSE)</f>
        <v>FY2021, RA11518</v>
      </c>
      <c r="V247" s="319" t="str">
        <f>VLOOKUP(H247,'Fund Utilization Report'!$A$4:$U$1800,4,FALSE)</f>
        <v>GAS(GMS)</v>
      </c>
      <c r="W247" s="319" t="str">
        <f>VLOOKUP(H247,'Fund Utilization Report'!$A$4:$U$1800,5,FALSE)</f>
        <v>01101101</v>
      </c>
      <c r="X247" s="319" t="str">
        <f>VLOOKUP(H247,'Fund Utilization Report'!$A$4:$U$1800,6,FALSE)</f>
        <v>GOP</v>
      </c>
      <c r="Y247" s="320" t="str">
        <f>VLOOKUP(H247,'Fund Utilization Report'!$A$4:$U$1800,7,FALSE)</f>
        <v>MOOE</v>
      </c>
      <c r="Z247" s="321">
        <f>VLOOKUP(H247,'Fund Utilization Report'!$A$4:$U$1800,8,FALSE)</f>
        <v>5020000000</v>
      </c>
      <c r="AA247" s="319" t="str">
        <f>VLOOKUP(H247,'Fund Utilization Report'!$A$4:$U$1800,14,FALSE)</f>
        <v>100000100001000</v>
      </c>
      <c r="AB247" s="349" t="str">
        <f>VLOOKUP(H247,'Fund Utilization Report'!$A$4:$U$1800,15,FALSE)</f>
        <v>General Administration and Supervision - General Management and Supervision</v>
      </c>
      <c r="AC247" s="39"/>
      <c r="AD247" s="34"/>
      <c r="AE247" s="39"/>
      <c r="AF247" s="51"/>
      <c r="AG247" s="40"/>
      <c r="AH247" s="40"/>
    </row>
    <row r="248" spans="1:34" s="32" customFormat="1" ht="27.6">
      <c r="A248" s="338" t="s">
        <v>942</v>
      </c>
      <c r="B248" s="338" t="s">
        <v>945</v>
      </c>
      <c r="C248" s="358">
        <v>44230</v>
      </c>
      <c r="D248" s="351" t="s">
        <v>1028</v>
      </c>
      <c r="E248" s="352" t="s">
        <v>1077</v>
      </c>
      <c r="F248" s="338">
        <v>0.62777777777777777</v>
      </c>
      <c r="G248" s="338">
        <v>0.62847222222222221</v>
      </c>
      <c r="H248" s="338" t="s">
        <v>965</v>
      </c>
      <c r="I248" s="353">
        <v>786</v>
      </c>
      <c r="J248" s="338" t="str">
        <f>IFERROR(VLOOKUP(I248,'Chart of accounts'!A:H,2,FALSE),"")</f>
        <v>50299070 00</v>
      </c>
      <c r="K248" s="338" t="str">
        <f>IFERROR(VLOOKUP(I248,'Chart of accounts'!A:H,3,FALSE),"")</f>
        <v>Subscriptions Expenses</v>
      </c>
      <c r="L248" s="338" t="str">
        <f>IFERROR(VLOOKUP(I248,'Chart of accounts'!A:H,4,FALSE),"")</f>
        <v>50299070 00 - Subscriptions Expenses (786)</v>
      </c>
      <c r="M248" s="361">
        <v>1</v>
      </c>
      <c r="N248" s="355" t="s">
        <v>1072</v>
      </c>
      <c r="O248" s="355" t="s">
        <v>1073</v>
      </c>
      <c r="P248" s="355"/>
      <c r="Q248" s="355">
        <v>1350</v>
      </c>
      <c r="R248" s="319">
        <f t="shared" si="3"/>
        <v>-1350</v>
      </c>
      <c r="S248" s="319" t="str">
        <f>VLOOKUP(H248,'Fund Utilization Report'!$A$4:$U$1800,13,FALSE)</f>
        <v>MOOE</v>
      </c>
      <c r="T248" s="319" t="str">
        <f>VLOOKUP(H248,'Fund Utilization Report'!$A$4:$U$1800,2,FALSE)</f>
        <v>GAA</v>
      </c>
      <c r="U248" s="319" t="str">
        <f>VLOOKUP(H248,'Fund Utilization Report'!$A$4:$U$1800,3,FALSE)</f>
        <v>FY2021, RA11518</v>
      </c>
      <c r="V248" s="319" t="str">
        <f>VLOOKUP(H248,'Fund Utilization Report'!$A$4:$U$1800,4,FALSE)</f>
        <v>OO1</v>
      </c>
      <c r="W248" s="319" t="str">
        <f>VLOOKUP(H248,'Fund Utilization Report'!$A$4:$U$1800,5,FALSE)</f>
        <v>01101101</v>
      </c>
      <c r="X248" s="319" t="str">
        <f>VLOOKUP(H248,'Fund Utilization Report'!$A$4:$U$1800,6,FALSE)</f>
        <v>GOP</v>
      </c>
      <c r="Y248" s="320" t="str">
        <f>VLOOKUP(H248,'Fund Utilization Report'!$A$4:$U$1800,7,FALSE)</f>
        <v>MOOE</v>
      </c>
      <c r="Z248" s="321">
        <f>VLOOKUP(H248,'Fund Utilization Report'!$A$4:$U$1800,8,FALSE)</f>
        <v>5020000000</v>
      </c>
      <c r="AA248" s="319" t="str">
        <f>VLOOKUP(H248,'Fund Utilization Report'!$A$4:$U$1800,14,FALSE)</f>
        <v>310100100002000</v>
      </c>
      <c r="AB248" s="349" t="str">
        <f>VLOOKUP(H248,'Fund Utilization Report'!$A$4:$U$1800,15,FALSE)</f>
        <v>Development,Facilitation, and promotion of exports and investment, domestic and foreign</v>
      </c>
      <c r="AC248" s="39"/>
      <c r="AD248" s="34"/>
      <c r="AE248" s="39"/>
      <c r="AF248" s="51"/>
      <c r="AG248" s="40"/>
      <c r="AH248" s="40"/>
    </row>
    <row r="249" spans="1:34" s="32" customFormat="1">
      <c r="A249" s="338" t="s">
        <v>942</v>
      </c>
      <c r="B249" s="338" t="s">
        <v>945</v>
      </c>
      <c r="C249" s="358">
        <v>44230</v>
      </c>
      <c r="D249" s="351" t="s">
        <v>1028</v>
      </c>
      <c r="E249" s="352" t="s">
        <v>1078</v>
      </c>
      <c r="F249" s="338">
        <v>0.62847222222222221</v>
      </c>
      <c r="G249" s="338">
        <v>0.63194444444444442</v>
      </c>
      <c r="H249" s="338" t="s">
        <v>961</v>
      </c>
      <c r="I249" s="353">
        <v>756</v>
      </c>
      <c r="J249" s="338" t="str">
        <f>IFERROR(VLOOKUP(I249,'Chart of accounts'!A:H,2,FALSE),"")</f>
        <v>50203020 00</v>
      </c>
      <c r="K249" s="338" t="str">
        <f>IFERROR(VLOOKUP(I249,'Chart of accounts'!A:H,3,FALSE),"")</f>
        <v xml:space="preserve">Accountable Forms Expenses </v>
      </c>
      <c r="L249" s="338" t="str">
        <f>IFERROR(VLOOKUP(I249,'Chart of accounts'!A:H,4,FALSE),"")</f>
        <v>50203020 00 - Accountable Forms Expenses  (756)</v>
      </c>
      <c r="M249" s="361">
        <v>2</v>
      </c>
      <c r="N249" s="420" t="s">
        <v>818</v>
      </c>
      <c r="O249" s="420" t="s">
        <v>1074</v>
      </c>
      <c r="P249" s="420"/>
      <c r="Q249" s="420">
        <v>1660</v>
      </c>
      <c r="R249" s="319">
        <f t="shared" si="3"/>
        <v>-1660</v>
      </c>
      <c r="S249" s="319" t="str">
        <f>VLOOKUP(H249,'Fund Utilization Report'!$A$4:$U$1800,13,FALSE)</f>
        <v>MOOE</v>
      </c>
      <c r="T249" s="319" t="str">
        <f>VLOOKUP(H249,'Fund Utilization Report'!$A$4:$U$1800,2,FALSE)</f>
        <v>GAA</v>
      </c>
      <c r="U249" s="319" t="str">
        <f>VLOOKUP(H249,'Fund Utilization Report'!$A$4:$U$1800,3,FALSE)</f>
        <v>FY2021, RA11518</v>
      </c>
      <c r="V249" s="319" t="str">
        <f>VLOOKUP(H249,'Fund Utilization Report'!$A$4:$U$1800,4,FALSE)</f>
        <v>GAS(GMS)</v>
      </c>
      <c r="W249" s="319" t="str">
        <f>VLOOKUP(H249,'Fund Utilization Report'!$A$4:$U$1800,5,FALSE)</f>
        <v>01101101</v>
      </c>
      <c r="X249" s="319" t="str">
        <f>VLOOKUP(H249,'Fund Utilization Report'!$A$4:$U$1800,6,FALSE)</f>
        <v>GOP</v>
      </c>
      <c r="Y249" s="320" t="str">
        <f>VLOOKUP(H249,'Fund Utilization Report'!$A$4:$U$1800,7,FALSE)</f>
        <v>MOOE</v>
      </c>
      <c r="Z249" s="321">
        <f>VLOOKUP(H249,'Fund Utilization Report'!$A$4:$U$1800,8,FALSE)</f>
        <v>5020000000</v>
      </c>
      <c r="AA249" s="319" t="str">
        <f>VLOOKUP(H249,'Fund Utilization Report'!$A$4:$U$1800,14,FALSE)</f>
        <v>100000100001000</v>
      </c>
      <c r="AB249" s="349" t="str">
        <f>VLOOKUP(H249,'Fund Utilization Report'!$A$4:$U$1800,15,FALSE)</f>
        <v>General Administration and Supervision - General Management and Supervision</v>
      </c>
      <c r="AC249" s="39"/>
      <c r="AD249" s="34"/>
      <c r="AE249" s="39"/>
      <c r="AF249" s="51"/>
      <c r="AG249" s="40"/>
      <c r="AH249" s="40"/>
    </row>
    <row r="250" spans="1:34" s="32" customFormat="1">
      <c r="A250" s="338" t="s">
        <v>942</v>
      </c>
      <c r="B250" s="338" t="s">
        <v>945</v>
      </c>
      <c r="C250" s="358">
        <v>44230</v>
      </c>
      <c r="D250" s="351" t="s">
        <v>1028</v>
      </c>
      <c r="E250" s="352" t="s">
        <v>1078</v>
      </c>
      <c r="F250" s="338">
        <v>0.62847222222222221</v>
      </c>
      <c r="G250" s="338">
        <v>0.63194444444444442</v>
      </c>
      <c r="H250" s="338" t="s">
        <v>961</v>
      </c>
      <c r="I250" s="353">
        <v>753</v>
      </c>
      <c r="J250" s="338" t="str">
        <f>IFERROR(VLOOKUP(I250,'Chart of accounts'!A:H,2,FALSE),"")</f>
        <v>50202010 00</v>
      </c>
      <c r="K250" s="338" t="str">
        <f>IFERROR(VLOOKUP(I250,'Chart of accounts'!A:H,3,FALSE),"")</f>
        <v>Training Expenses</v>
      </c>
      <c r="L250" s="338" t="str">
        <f>IFERROR(VLOOKUP(I250,'Chart of accounts'!A:H,4,FALSE),"")</f>
        <v>50202010 00 - Training Expenses (753)</v>
      </c>
      <c r="M250" s="361">
        <v>2</v>
      </c>
      <c r="N250" s="420" t="s">
        <v>818</v>
      </c>
      <c r="O250" s="420" t="s">
        <v>1074</v>
      </c>
      <c r="P250" s="420"/>
      <c r="Q250" s="420">
        <v>10790</v>
      </c>
      <c r="R250" s="428">
        <f t="shared" si="3"/>
        <v>-10790</v>
      </c>
      <c r="S250" s="428" t="str">
        <f>VLOOKUP(H250,'Fund Utilization Report'!$A$4:$U$1800,13,FALSE)</f>
        <v>MOOE</v>
      </c>
      <c r="T250" s="428" t="str">
        <f>VLOOKUP(H250,'Fund Utilization Report'!$A$4:$U$1800,2,FALSE)</f>
        <v>GAA</v>
      </c>
      <c r="U250" s="428" t="str">
        <f>VLOOKUP(H250,'Fund Utilization Report'!$A$4:$U$1800,3,FALSE)</f>
        <v>FY2021, RA11518</v>
      </c>
      <c r="V250" s="428" t="str">
        <f>VLOOKUP(H250,'Fund Utilization Report'!$A$4:$U$1800,4,FALSE)</f>
        <v>GAS(GMS)</v>
      </c>
      <c r="W250" s="428" t="str">
        <f>VLOOKUP(H250,'Fund Utilization Report'!$A$4:$U$1800,5,FALSE)</f>
        <v>01101101</v>
      </c>
      <c r="X250" s="428" t="str">
        <f>VLOOKUP(H250,'Fund Utilization Report'!$A$4:$U$1800,6,FALSE)</f>
        <v>GOP</v>
      </c>
      <c r="Y250" s="320" t="str">
        <f>VLOOKUP(H250,'Fund Utilization Report'!$A$4:$U$1800,7,FALSE)</f>
        <v>MOOE</v>
      </c>
      <c r="Z250" s="425">
        <f>VLOOKUP(H250,'Fund Utilization Report'!$A$4:$U$1800,8,FALSE)</f>
        <v>5020000000</v>
      </c>
      <c r="AA250" s="428" t="str">
        <f>VLOOKUP(H250,'Fund Utilization Report'!$A$4:$U$1800,14,FALSE)</f>
        <v>100000100001000</v>
      </c>
      <c r="AB250" s="349" t="str">
        <f>VLOOKUP(H250,'Fund Utilization Report'!$A$4:$U$1800,15,FALSE)</f>
        <v>General Administration and Supervision - General Management and Supervision</v>
      </c>
      <c r="AC250" s="39"/>
      <c r="AD250" s="34"/>
      <c r="AE250" s="39"/>
      <c r="AF250" s="51"/>
      <c r="AG250" s="40"/>
      <c r="AH250" s="40"/>
    </row>
    <row r="251" spans="1:34" s="32" customFormat="1">
      <c r="A251" s="338" t="s">
        <v>942</v>
      </c>
      <c r="B251" s="338" t="s">
        <v>945</v>
      </c>
      <c r="C251" s="358">
        <v>44230</v>
      </c>
      <c r="D251" s="351" t="s">
        <v>1028</v>
      </c>
      <c r="E251" s="352" t="s">
        <v>1078</v>
      </c>
      <c r="F251" s="338">
        <v>0.62847222222222221</v>
      </c>
      <c r="G251" s="338">
        <v>0.63194444444444442</v>
      </c>
      <c r="H251" s="338" t="s">
        <v>961</v>
      </c>
      <c r="I251" s="353">
        <v>761</v>
      </c>
      <c r="J251" s="338" t="str">
        <f>IFERROR(VLOOKUP(I251,'Chart of accounts'!A:H,2,FALSE),"")</f>
        <v>50203090 00</v>
      </c>
      <c r="K251" s="338" t="str">
        <f>IFERROR(VLOOKUP(I251,'Chart of accounts'!A:H,3,FALSE),"")</f>
        <v>Fuel, Oil and Lubricants Expenses</v>
      </c>
      <c r="L251" s="338" t="str">
        <f>IFERROR(VLOOKUP(I251,'Chart of accounts'!A:H,4,FALSE),"")</f>
        <v>50203090 00 - Fuel, Oil and Lubricants Expenses (761)</v>
      </c>
      <c r="M251" s="361">
        <v>2</v>
      </c>
      <c r="N251" s="420" t="s">
        <v>818</v>
      </c>
      <c r="O251" s="420" t="s">
        <v>1074</v>
      </c>
      <c r="P251" s="420"/>
      <c r="Q251" s="420">
        <v>8509.99</v>
      </c>
      <c r="R251" s="428">
        <f t="shared" si="3"/>
        <v>-8509.99</v>
      </c>
      <c r="S251" s="428" t="str">
        <f>VLOOKUP(H251,'Fund Utilization Report'!$A$4:$U$1800,13,FALSE)</f>
        <v>MOOE</v>
      </c>
      <c r="T251" s="428" t="str">
        <f>VLOOKUP(H251,'Fund Utilization Report'!$A$4:$U$1800,2,FALSE)</f>
        <v>GAA</v>
      </c>
      <c r="U251" s="428" t="str">
        <f>VLOOKUP(H251,'Fund Utilization Report'!$A$4:$U$1800,3,FALSE)</f>
        <v>FY2021, RA11518</v>
      </c>
      <c r="V251" s="428" t="str">
        <f>VLOOKUP(H251,'Fund Utilization Report'!$A$4:$U$1800,4,FALSE)</f>
        <v>GAS(GMS)</v>
      </c>
      <c r="W251" s="428" t="str">
        <f>VLOOKUP(H251,'Fund Utilization Report'!$A$4:$U$1800,5,FALSE)</f>
        <v>01101101</v>
      </c>
      <c r="X251" s="428" t="str">
        <f>VLOOKUP(H251,'Fund Utilization Report'!$A$4:$U$1800,6,FALSE)</f>
        <v>GOP</v>
      </c>
      <c r="Y251" s="320" t="str">
        <f>VLOOKUP(H251,'Fund Utilization Report'!$A$4:$U$1800,7,FALSE)</f>
        <v>MOOE</v>
      </c>
      <c r="Z251" s="425">
        <f>VLOOKUP(H251,'Fund Utilization Report'!$A$4:$U$1800,8,FALSE)</f>
        <v>5020000000</v>
      </c>
      <c r="AA251" s="428" t="str">
        <f>VLOOKUP(H251,'Fund Utilization Report'!$A$4:$U$1800,14,FALSE)</f>
        <v>100000100001000</v>
      </c>
      <c r="AB251" s="349" t="str">
        <f>VLOOKUP(H251,'Fund Utilization Report'!$A$4:$U$1800,15,FALSE)</f>
        <v>General Administration and Supervision - General Management and Supervision</v>
      </c>
      <c r="AC251" s="39"/>
      <c r="AD251" s="34"/>
      <c r="AE251" s="39"/>
      <c r="AF251" s="51"/>
      <c r="AG251" s="40"/>
      <c r="AH251" s="40"/>
    </row>
    <row r="252" spans="1:34" s="32" customFormat="1">
      <c r="A252" s="338" t="s">
        <v>942</v>
      </c>
      <c r="B252" s="338" t="s">
        <v>945</v>
      </c>
      <c r="C252" s="358">
        <v>44230</v>
      </c>
      <c r="D252" s="351" t="s">
        <v>1028</v>
      </c>
      <c r="E252" s="352" t="s">
        <v>1078</v>
      </c>
      <c r="F252" s="338">
        <v>0.62847222222222221</v>
      </c>
      <c r="G252" s="338">
        <v>0.63194444444444442</v>
      </c>
      <c r="H252" s="338" t="s">
        <v>961</v>
      </c>
      <c r="I252" s="353">
        <v>766</v>
      </c>
      <c r="J252" s="338" t="str">
        <f>IFERROR(VLOOKUP(I252,'Chart of accounts'!A:H,2,FALSE),"")</f>
        <v>50204010 00</v>
      </c>
      <c r="K252" s="338" t="str">
        <f>IFERROR(VLOOKUP(I252,'Chart of accounts'!A:H,3,FALSE),"")</f>
        <v>Water Expenses</v>
      </c>
      <c r="L252" s="338" t="str">
        <f>IFERROR(VLOOKUP(I252,'Chart of accounts'!A:H,4,FALSE),"")</f>
        <v>50204010 00 - Water Expenses (766)</v>
      </c>
      <c r="M252" s="361">
        <v>2</v>
      </c>
      <c r="N252" s="420" t="s">
        <v>818</v>
      </c>
      <c r="O252" s="420" t="s">
        <v>1074</v>
      </c>
      <c r="P252" s="420"/>
      <c r="Q252" s="420">
        <v>4731</v>
      </c>
      <c r="R252" s="428">
        <f t="shared" si="3"/>
        <v>-4731</v>
      </c>
      <c r="S252" s="428" t="str">
        <f>VLOOKUP(H252,'Fund Utilization Report'!$A$4:$U$1800,13,FALSE)</f>
        <v>MOOE</v>
      </c>
      <c r="T252" s="428" t="str">
        <f>VLOOKUP(H252,'Fund Utilization Report'!$A$4:$U$1800,2,FALSE)</f>
        <v>GAA</v>
      </c>
      <c r="U252" s="428" t="str">
        <f>VLOOKUP(H252,'Fund Utilization Report'!$A$4:$U$1800,3,FALSE)</f>
        <v>FY2021, RA11518</v>
      </c>
      <c r="V252" s="428" t="str">
        <f>VLOOKUP(H252,'Fund Utilization Report'!$A$4:$U$1800,4,FALSE)</f>
        <v>GAS(GMS)</v>
      </c>
      <c r="W252" s="428" t="str">
        <f>VLOOKUP(H252,'Fund Utilization Report'!$A$4:$U$1800,5,FALSE)</f>
        <v>01101101</v>
      </c>
      <c r="X252" s="428" t="str">
        <f>VLOOKUP(H252,'Fund Utilization Report'!$A$4:$U$1800,6,FALSE)</f>
        <v>GOP</v>
      </c>
      <c r="Y252" s="320" t="str">
        <f>VLOOKUP(H252,'Fund Utilization Report'!$A$4:$U$1800,7,FALSE)</f>
        <v>MOOE</v>
      </c>
      <c r="Z252" s="425">
        <f>VLOOKUP(H252,'Fund Utilization Report'!$A$4:$U$1800,8,FALSE)</f>
        <v>5020000000</v>
      </c>
      <c r="AA252" s="428" t="str">
        <f>VLOOKUP(H252,'Fund Utilization Report'!$A$4:$U$1800,14,FALSE)</f>
        <v>100000100001000</v>
      </c>
      <c r="AB252" s="349" t="str">
        <f>VLOOKUP(H252,'Fund Utilization Report'!$A$4:$U$1800,15,FALSE)</f>
        <v>General Administration and Supervision - General Management and Supervision</v>
      </c>
      <c r="AC252" s="39"/>
      <c r="AD252" s="34"/>
      <c r="AE252" s="39"/>
      <c r="AF252" s="51"/>
      <c r="AG252" s="40"/>
      <c r="AH252" s="40"/>
    </row>
    <row r="253" spans="1:34" s="32" customFormat="1">
      <c r="A253" s="338" t="s">
        <v>942</v>
      </c>
      <c r="B253" s="338" t="s">
        <v>945</v>
      </c>
      <c r="C253" s="358">
        <v>44230</v>
      </c>
      <c r="D253" s="351" t="s">
        <v>1028</v>
      </c>
      <c r="E253" s="352" t="s">
        <v>1078</v>
      </c>
      <c r="F253" s="338">
        <v>0.62847222222222221</v>
      </c>
      <c r="G253" s="338">
        <v>0.63194444444444442</v>
      </c>
      <c r="H253" s="338" t="s">
        <v>961</v>
      </c>
      <c r="I253" s="353">
        <v>767</v>
      </c>
      <c r="J253" s="338" t="str">
        <f>IFERROR(VLOOKUP(I253,'Chart of accounts'!A:H,2,FALSE),"")</f>
        <v>50204020 00</v>
      </c>
      <c r="K253" s="338" t="str">
        <f>IFERROR(VLOOKUP(I253,'Chart of accounts'!A:H,3,FALSE),"")</f>
        <v>Electricity Expense</v>
      </c>
      <c r="L253" s="338" t="str">
        <f>IFERROR(VLOOKUP(I253,'Chart of accounts'!A:H,4,FALSE),"")</f>
        <v>50204020 00 - Electricity Expense (767)</v>
      </c>
      <c r="M253" s="361">
        <v>2</v>
      </c>
      <c r="N253" s="420" t="s">
        <v>818</v>
      </c>
      <c r="O253" s="420" t="s">
        <v>1074</v>
      </c>
      <c r="P253" s="420"/>
      <c r="Q253" s="420">
        <v>42745</v>
      </c>
      <c r="R253" s="428">
        <f t="shared" si="3"/>
        <v>-42745</v>
      </c>
      <c r="S253" s="428" t="str">
        <f>VLOOKUP(H253,'Fund Utilization Report'!$A$4:$U$1800,13,FALSE)</f>
        <v>MOOE</v>
      </c>
      <c r="T253" s="428" t="str">
        <f>VLOOKUP(H253,'Fund Utilization Report'!$A$4:$U$1800,2,FALSE)</f>
        <v>GAA</v>
      </c>
      <c r="U253" s="428" t="str">
        <f>VLOOKUP(H253,'Fund Utilization Report'!$A$4:$U$1800,3,FALSE)</f>
        <v>FY2021, RA11518</v>
      </c>
      <c r="V253" s="428" t="str">
        <f>VLOOKUP(H253,'Fund Utilization Report'!$A$4:$U$1800,4,FALSE)</f>
        <v>GAS(GMS)</v>
      </c>
      <c r="W253" s="428" t="str">
        <f>VLOOKUP(H253,'Fund Utilization Report'!$A$4:$U$1800,5,FALSE)</f>
        <v>01101101</v>
      </c>
      <c r="X253" s="428" t="str">
        <f>VLOOKUP(H253,'Fund Utilization Report'!$A$4:$U$1800,6,FALSE)</f>
        <v>GOP</v>
      </c>
      <c r="Y253" s="320" t="str">
        <f>VLOOKUP(H253,'Fund Utilization Report'!$A$4:$U$1800,7,FALSE)</f>
        <v>MOOE</v>
      </c>
      <c r="Z253" s="425">
        <f>VLOOKUP(H253,'Fund Utilization Report'!$A$4:$U$1800,8,FALSE)</f>
        <v>5020000000</v>
      </c>
      <c r="AA253" s="428" t="str">
        <f>VLOOKUP(H253,'Fund Utilization Report'!$A$4:$U$1800,14,FALSE)</f>
        <v>100000100001000</v>
      </c>
      <c r="AB253" s="349" t="str">
        <f>VLOOKUP(H253,'Fund Utilization Report'!$A$4:$U$1800,15,FALSE)</f>
        <v>General Administration and Supervision - General Management and Supervision</v>
      </c>
      <c r="AC253" s="39"/>
      <c r="AD253" s="34"/>
      <c r="AE253" s="39"/>
      <c r="AF253" s="51"/>
      <c r="AG253" s="40"/>
      <c r="AH253" s="40"/>
    </row>
    <row r="254" spans="1:34" s="32" customFormat="1">
      <c r="A254" s="338" t="s">
        <v>942</v>
      </c>
      <c r="B254" s="338" t="s">
        <v>945</v>
      </c>
      <c r="C254" s="358">
        <v>44230</v>
      </c>
      <c r="D254" s="351" t="s">
        <v>1028</v>
      </c>
      <c r="E254" s="352" t="s">
        <v>1078</v>
      </c>
      <c r="F254" s="338">
        <v>0.62847222222222221</v>
      </c>
      <c r="G254" s="338">
        <v>0.63194444444444442</v>
      </c>
      <c r="H254" s="338" t="s">
        <v>961</v>
      </c>
      <c r="I254" s="353">
        <v>771</v>
      </c>
      <c r="J254" s="338" t="str">
        <f>IFERROR(VLOOKUP(I254,'Chart of accounts'!A:H,2,FALSE),"")</f>
        <v>50205010 00</v>
      </c>
      <c r="K254" s="338" t="str">
        <f>IFERROR(VLOOKUP(I254,'Chart of accounts'!A:H,3,FALSE),"")</f>
        <v>Postage and Courier Services</v>
      </c>
      <c r="L254" s="338" t="str">
        <f>IFERROR(VLOOKUP(I254,'Chart of accounts'!A:H,4,FALSE),"")</f>
        <v>50205010 00 - Postage and Courier Services (771)</v>
      </c>
      <c r="M254" s="361">
        <v>2</v>
      </c>
      <c r="N254" s="420" t="s">
        <v>818</v>
      </c>
      <c r="O254" s="420" t="s">
        <v>1074</v>
      </c>
      <c r="P254" s="420"/>
      <c r="Q254" s="420">
        <v>2075</v>
      </c>
      <c r="R254" s="428">
        <f t="shared" si="3"/>
        <v>-2075</v>
      </c>
      <c r="S254" s="428" t="str">
        <f>VLOOKUP(H254,'Fund Utilization Report'!$A$4:$U$1800,13,FALSE)</f>
        <v>MOOE</v>
      </c>
      <c r="T254" s="428" t="str">
        <f>VLOOKUP(H254,'Fund Utilization Report'!$A$4:$U$1800,2,FALSE)</f>
        <v>GAA</v>
      </c>
      <c r="U254" s="428" t="str">
        <f>VLOOKUP(H254,'Fund Utilization Report'!$A$4:$U$1800,3,FALSE)</f>
        <v>FY2021, RA11518</v>
      </c>
      <c r="V254" s="428" t="str">
        <f>VLOOKUP(H254,'Fund Utilization Report'!$A$4:$U$1800,4,FALSE)</f>
        <v>GAS(GMS)</v>
      </c>
      <c r="W254" s="428" t="str">
        <f>VLOOKUP(H254,'Fund Utilization Report'!$A$4:$U$1800,5,FALSE)</f>
        <v>01101101</v>
      </c>
      <c r="X254" s="428" t="str">
        <f>VLOOKUP(H254,'Fund Utilization Report'!$A$4:$U$1800,6,FALSE)</f>
        <v>GOP</v>
      </c>
      <c r="Y254" s="320" t="str">
        <f>VLOOKUP(H254,'Fund Utilization Report'!$A$4:$U$1800,7,FALSE)</f>
        <v>MOOE</v>
      </c>
      <c r="Z254" s="425">
        <f>VLOOKUP(H254,'Fund Utilization Report'!$A$4:$U$1800,8,FALSE)</f>
        <v>5020000000</v>
      </c>
      <c r="AA254" s="428" t="str">
        <f>VLOOKUP(H254,'Fund Utilization Report'!$A$4:$U$1800,14,FALSE)</f>
        <v>100000100001000</v>
      </c>
      <c r="AB254" s="349" t="str">
        <f>VLOOKUP(H254,'Fund Utilization Report'!$A$4:$U$1800,15,FALSE)</f>
        <v>General Administration and Supervision - General Management and Supervision</v>
      </c>
      <c r="AC254" s="39"/>
      <c r="AD254" s="34"/>
      <c r="AE254" s="39"/>
      <c r="AF254" s="51"/>
      <c r="AG254" s="40"/>
      <c r="AH254" s="40"/>
    </row>
    <row r="255" spans="1:34" s="32" customFormat="1">
      <c r="A255" s="338" t="s">
        <v>942</v>
      </c>
      <c r="B255" s="338" t="s">
        <v>945</v>
      </c>
      <c r="C255" s="358">
        <v>44230</v>
      </c>
      <c r="D255" s="351" t="s">
        <v>1028</v>
      </c>
      <c r="E255" s="352" t="s">
        <v>1078</v>
      </c>
      <c r="F255" s="338">
        <v>0.62847222222222221</v>
      </c>
      <c r="G255" s="338">
        <v>0.63194444444444442</v>
      </c>
      <c r="H255" s="338" t="s">
        <v>961</v>
      </c>
      <c r="I255" s="353">
        <v>772</v>
      </c>
      <c r="J255" s="338" t="str">
        <f>IFERROR(VLOOKUP(I255,'Chart of accounts'!A:H,2,FALSE),"")</f>
        <v>50205020 02</v>
      </c>
      <c r="K255" s="338" t="str">
        <f>IFERROR(VLOOKUP(I255,'Chart of accounts'!A:H,3,FALSE),"")</f>
        <v xml:space="preserve">Telephone Expenses - Landline </v>
      </c>
      <c r="L255" s="338" t="str">
        <f>IFERROR(VLOOKUP(I255,'Chart of accounts'!A:H,4,FALSE),"")</f>
        <v>50205020 02 - Telephone Expenses - Landline  (772)</v>
      </c>
      <c r="M255" s="361">
        <v>2</v>
      </c>
      <c r="N255" s="420" t="s">
        <v>818</v>
      </c>
      <c r="O255" s="420" t="s">
        <v>1074</v>
      </c>
      <c r="P255" s="420"/>
      <c r="Q255" s="420">
        <v>762.27</v>
      </c>
      <c r="R255" s="428">
        <f t="shared" si="3"/>
        <v>-762.27</v>
      </c>
      <c r="S255" s="428" t="str">
        <f>VLOOKUP(H255,'Fund Utilization Report'!$A$4:$U$1800,13,FALSE)</f>
        <v>MOOE</v>
      </c>
      <c r="T255" s="428" t="str">
        <f>VLOOKUP(H255,'Fund Utilization Report'!$A$4:$U$1800,2,FALSE)</f>
        <v>GAA</v>
      </c>
      <c r="U255" s="428" t="str">
        <f>VLOOKUP(H255,'Fund Utilization Report'!$A$4:$U$1800,3,FALSE)</f>
        <v>FY2021, RA11518</v>
      </c>
      <c r="V255" s="428" t="str">
        <f>VLOOKUP(H255,'Fund Utilization Report'!$A$4:$U$1800,4,FALSE)</f>
        <v>GAS(GMS)</v>
      </c>
      <c r="W255" s="428" t="str">
        <f>VLOOKUP(H255,'Fund Utilization Report'!$A$4:$U$1800,5,FALSE)</f>
        <v>01101101</v>
      </c>
      <c r="X255" s="428" t="str">
        <f>VLOOKUP(H255,'Fund Utilization Report'!$A$4:$U$1800,6,FALSE)</f>
        <v>GOP</v>
      </c>
      <c r="Y255" s="320" t="str">
        <f>VLOOKUP(H255,'Fund Utilization Report'!$A$4:$U$1800,7,FALSE)</f>
        <v>MOOE</v>
      </c>
      <c r="Z255" s="425">
        <f>VLOOKUP(H255,'Fund Utilization Report'!$A$4:$U$1800,8,FALSE)</f>
        <v>5020000000</v>
      </c>
      <c r="AA255" s="428" t="str">
        <f>VLOOKUP(H255,'Fund Utilization Report'!$A$4:$U$1800,14,FALSE)</f>
        <v>100000100001000</v>
      </c>
      <c r="AB255" s="349" t="str">
        <f>VLOOKUP(H255,'Fund Utilization Report'!$A$4:$U$1800,15,FALSE)</f>
        <v>General Administration and Supervision - General Management and Supervision</v>
      </c>
      <c r="AC255" s="39"/>
      <c r="AD255" s="34"/>
      <c r="AE255" s="39"/>
      <c r="AF255" s="51"/>
      <c r="AG255" s="40"/>
      <c r="AH255" s="40"/>
    </row>
    <row r="256" spans="1:34" s="32" customFormat="1">
      <c r="A256" s="338" t="s">
        <v>942</v>
      </c>
      <c r="B256" s="338" t="s">
        <v>945</v>
      </c>
      <c r="C256" s="358">
        <v>44230</v>
      </c>
      <c r="D256" s="351" t="s">
        <v>1028</v>
      </c>
      <c r="E256" s="352" t="s">
        <v>1078</v>
      </c>
      <c r="F256" s="338">
        <v>0.62847222222222221</v>
      </c>
      <c r="G256" s="338">
        <v>0.63194444444444442</v>
      </c>
      <c r="H256" s="338" t="s">
        <v>961</v>
      </c>
      <c r="I256" s="353">
        <v>773</v>
      </c>
      <c r="J256" s="338" t="str">
        <f>IFERROR(VLOOKUP(I256,'Chart of accounts'!A:H,2,FALSE),"")</f>
        <v>50205020 01</v>
      </c>
      <c r="K256" s="338" t="str">
        <f>IFERROR(VLOOKUP(I256,'Chart of accounts'!A:H,3,FALSE),"")</f>
        <v xml:space="preserve">Telephone Expenses - Mobile </v>
      </c>
      <c r="L256" s="338" t="str">
        <f>IFERROR(VLOOKUP(I256,'Chart of accounts'!A:H,4,FALSE),"")</f>
        <v>50205020 01 - Telephone Expenses - Mobile  (773)</v>
      </c>
      <c r="M256" s="361">
        <v>2</v>
      </c>
      <c r="N256" s="420" t="s">
        <v>818</v>
      </c>
      <c r="O256" s="420" t="s">
        <v>1074</v>
      </c>
      <c r="P256" s="420"/>
      <c r="Q256" s="420">
        <v>6972</v>
      </c>
      <c r="R256" s="428">
        <f t="shared" si="3"/>
        <v>-6972</v>
      </c>
      <c r="S256" s="428" t="str">
        <f>VLOOKUP(H256,'Fund Utilization Report'!$A$4:$U$1800,13,FALSE)</f>
        <v>MOOE</v>
      </c>
      <c r="T256" s="428" t="str">
        <f>VLOOKUP(H256,'Fund Utilization Report'!$A$4:$U$1800,2,FALSE)</f>
        <v>GAA</v>
      </c>
      <c r="U256" s="428" t="str">
        <f>VLOOKUP(H256,'Fund Utilization Report'!$A$4:$U$1800,3,FALSE)</f>
        <v>FY2021, RA11518</v>
      </c>
      <c r="V256" s="428" t="str">
        <f>VLOOKUP(H256,'Fund Utilization Report'!$A$4:$U$1800,4,FALSE)</f>
        <v>GAS(GMS)</v>
      </c>
      <c r="W256" s="428" t="str">
        <f>VLOOKUP(H256,'Fund Utilization Report'!$A$4:$U$1800,5,FALSE)</f>
        <v>01101101</v>
      </c>
      <c r="X256" s="428" t="str">
        <f>VLOOKUP(H256,'Fund Utilization Report'!$A$4:$U$1800,6,FALSE)</f>
        <v>GOP</v>
      </c>
      <c r="Y256" s="320" t="str">
        <f>VLOOKUP(H256,'Fund Utilization Report'!$A$4:$U$1800,7,FALSE)</f>
        <v>MOOE</v>
      </c>
      <c r="Z256" s="425">
        <f>VLOOKUP(H256,'Fund Utilization Report'!$A$4:$U$1800,8,FALSE)</f>
        <v>5020000000</v>
      </c>
      <c r="AA256" s="428" t="str">
        <f>VLOOKUP(H256,'Fund Utilization Report'!$A$4:$U$1800,14,FALSE)</f>
        <v>100000100001000</v>
      </c>
      <c r="AB256" s="349" t="str">
        <f>VLOOKUP(H256,'Fund Utilization Report'!$A$4:$U$1800,15,FALSE)</f>
        <v>General Administration and Supervision - General Management and Supervision</v>
      </c>
      <c r="AC256" s="39"/>
      <c r="AD256" s="34"/>
      <c r="AE256" s="39"/>
      <c r="AF256" s="51"/>
      <c r="AG256" s="40"/>
      <c r="AH256" s="40"/>
    </row>
    <row r="257" spans="1:34" s="32" customFormat="1">
      <c r="A257" s="338" t="s">
        <v>942</v>
      </c>
      <c r="B257" s="338" t="s">
        <v>945</v>
      </c>
      <c r="C257" s="358">
        <v>44230</v>
      </c>
      <c r="D257" s="351" t="s">
        <v>1028</v>
      </c>
      <c r="E257" s="352" t="s">
        <v>1078</v>
      </c>
      <c r="F257" s="338">
        <v>0.62847222222222221</v>
      </c>
      <c r="G257" s="338">
        <v>0.63194444444444442</v>
      </c>
      <c r="H257" s="338" t="s">
        <v>961</v>
      </c>
      <c r="I257" s="353">
        <v>775</v>
      </c>
      <c r="J257" s="338" t="str">
        <f>IFERROR(VLOOKUP(I257,'Chart of accounts'!A:H,2,FALSE),"")</f>
        <v>50205040 00</v>
      </c>
      <c r="K257" s="338" t="str">
        <f>IFERROR(VLOOKUP(I257,'Chart of accounts'!A:H,3,FALSE),"")</f>
        <v>Cable, Satellite, Telegraph, and Radio Expenses</v>
      </c>
      <c r="L257" s="338" t="str">
        <f>IFERROR(VLOOKUP(I257,'Chart of accounts'!A:H,4,FALSE),"")</f>
        <v>50205040 00 - Cable, Satellite, Telegraph, and Radio Expenses (775)</v>
      </c>
      <c r="M257" s="361">
        <v>2</v>
      </c>
      <c r="N257" s="420" t="s">
        <v>818</v>
      </c>
      <c r="O257" s="420" t="s">
        <v>1074</v>
      </c>
      <c r="P257" s="420"/>
      <c r="Q257" s="420">
        <v>539.5</v>
      </c>
      <c r="R257" s="428">
        <f t="shared" si="3"/>
        <v>-539.5</v>
      </c>
      <c r="S257" s="428" t="str">
        <f>VLOOKUP(H257,'Fund Utilization Report'!$A$4:$U$1800,13,FALSE)</f>
        <v>MOOE</v>
      </c>
      <c r="T257" s="428" t="str">
        <f>VLOOKUP(H257,'Fund Utilization Report'!$A$4:$U$1800,2,FALSE)</f>
        <v>GAA</v>
      </c>
      <c r="U257" s="428" t="str">
        <f>VLOOKUP(H257,'Fund Utilization Report'!$A$4:$U$1800,3,FALSE)</f>
        <v>FY2021, RA11518</v>
      </c>
      <c r="V257" s="428" t="str">
        <f>VLOOKUP(H257,'Fund Utilization Report'!$A$4:$U$1800,4,FALSE)</f>
        <v>GAS(GMS)</v>
      </c>
      <c r="W257" s="428" t="str">
        <f>VLOOKUP(H257,'Fund Utilization Report'!$A$4:$U$1800,5,FALSE)</f>
        <v>01101101</v>
      </c>
      <c r="X257" s="428" t="str">
        <f>VLOOKUP(H257,'Fund Utilization Report'!$A$4:$U$1800,6,FALSE)</f>
        <v>GOP</v>
      </c>
      <c r="Y257" s="320" t="str">
        <f>VLOOKUP(H257,'Fund Utilization Report'!$A$4:$U$1800,7,FALSE)</f>
        <v>MOOE</v>
      </c>
      <c r="Z257" s="425">
        <f>VLOOKUP(H257,'Fund Utilization Report'!$A$4:$U$1800,8,FALSE)</f>
        <v>5020000000</v>
      </c>
      <c r="AA257" s="428" t="str">
        <f>VLOOKUP(H257,'Fund Utilization Report'!$A$4:$U$1800,14,FALSE)</f>
        <v>100000100001000</v>
      </c>
      <c r="AB257" s="349" t="str">
        <f>VLOOKUP(H257,'Fund Utilization Report'!$A$4:$U$1800,15,FALSE)</f>
        <v>General Administration and Supervision - General Management and Supervision</v>
      </c>
      <c r="AC257" s="39"/>
      <c r="AD257" s="34"/>
      <c r="AE257" s="39"/>
      <c r="AF257" s="51"/>
      <c r="AG257" s="40"/>
      <c r="AH257" s="40"/>
    </row>
    <row r="258" spans="1:34" s="32" customFormat="1">
      <c r="A258" s="338" t="s">
        <v>942</v>
      </c>
      <c r="B258" s="338" t="s">
        <v>945</v>
      </c>
      <c r="C258" s="358">
        <v>44230</v>
      </c>
      <c r="D258" s="351" t="s">
        <v>1028</v>
      </c>
      <c r="E258" s="352" t="s">
        <v>1078</v>
      </c>
      <c r="F258" s="338">
        <v>0.62847222222222221</v>
      </c>
      <c r="G258" s="338">
        <v>0.63194444444444442</v>
      </c>
      <c r="H258" s="338" t="s">
        <v>961</v>
      </c>
      <c r="I258" s="353">
        <v>791</v>
      </c>
      <c r="J258" s="338" t="str">
        <f>IFERROR(VLOOKUP(I258,'Chart of accounts'!A:H,2,FALSE),"")</f>
        <v>50211010 00</v>
      </c>
      <c r="K258" s="338" t="str">
        <f>IFERROR(VLOOKUP(I258,'Chart of accounts'!A:H,3,FALSE),"")</f>
        <v>Legal Services</v>
      </c>
      <c r="L258" s="338" t="str">
        <f>IFERROR(VLOOKUP(I258,'Chart of accounts'!A:H,4,FALSE),"")</f>
        <v>50211010 00 - Legal Services (791)</v>
      </c>
      <c r="M258" s="361">
        <v>2</v>
      </c>
      <c r="N258" s="420" t="s">
        <v>818</v>
      </c>
      <c r="O258" s="420" t="s">
        <v>1074</v>
      </c>
      <c r="P258" s="420"/>
      <c r="Q258" s="420">
        <v>498</v>
      </c>
      <c r="R258" s="428">
        <f t="shared" si="3"/>
        <v>-498</v>
      </c>
      <c r="S258" s="428" t="str">
        <f>VLOOKUP(H258,'Fund Utilization Report'!$A$4:$U$1800,13,FALSE)</f>
        <v>MOOE</v>
      </c>
      <c r="T258" s="428" t="str">
        <f>VLOOKUP(H258,'Fund Utilization Report'!$A$4:$U$1800,2,FALSE)</f>
        <v>GAA</v>
      </c>
      <c r="U258" s="428" t="str">
        <f>VLOOKUP(H258,'Fund Utilization Report'!$A$4:$U$1800,3,FALSE)</f>
        <v>FY2021, RA11518</v>
      </c>
      <c r="V258" s="428" t="str">
        <f>VLOOKUP(H258,'Fund Utilization Report'!$A$4:$U$1800,4,FALSE)</f>
        <v>GAS(GMS)</v>
      </c>
      <c r="W258" s="428" t="str">
        <f>VLOOKUP(H258,'Fund Utilization Report'!$A$4:$U$1800,5,FALSE)</f>
        <v>01101101</v>
      </c>
      <c r="X258" s="428" t="str">
        <f>VLOOKUP(H258,'Fund Utilization Report'!$A$4:$U$1800,6,FALSE)</f>
        <v>GOP</v>
      </c>
      <c r="Y258" s="320" t="str">
        <f>VLOOKUP(H258,'Fund Utilization Report'!$A$4:$U$1800,7,FALSE)</f>
        <v>MOOE</v>
      </c>
      <c r="Z258" s="425">
        <f>VLOOKUP(H258,'Fund Utilization Report'!$A$4:$U$1800,8,FALSE)</f>
        <v>5020000000</v>
      </c>
      <c r="AA258" s="428" t="str">
        <f>VLOOKUP(H258,'Fund Utilization Report'!$A$4:$U$1800,14,FALSE)</f>
        <v>100000100001000</v>
      </c>
      <c r="AB258" s="349" t="str">
        <f>VLOOKUP(H258,'Fund Utilization Report'!$A$4:$U$1800,15,FALSE)</f>
        <v>General Administration and Supervision - General Management and Supervision</v>
      </c>
      <c r="AC258" s="39"/>
      <c r="AD258" s="34"/>
      <c r="AE258" s="39"/>
      <c r="AF258" s="51"/>
      <c r="AG258" s="40"/>
      <c r="AH258" s="40"/>
    </row>
    <row r="259" spans="1:34" s="32" customFormat="1">
      <c r="A259" s="338" t="s">
        <v>942</v>
      </c>
      <c r="B259" s="338" t="s">
        <v>945</v>
      </c>
      <c r="C259" s="358">
        <v>44230</v>
      </c>
      <c r="D259" s="351" t="s">
        <v>1028</v>
      </c>
      <c r="E259" s="352" t="s">
        <v>1078</v>
      </c>
      <c r="F259" s="338">
        <v>0.62847222222222221</v>
      </c>
      <c r="G259" s="338">
        <v>0.63194444444444442</v>
      </c>
      <c r="H259" s="338" t="s">
        <v>961</v>
      </c>
      <c r="I259" s="353">
        <v>795</v>
      </c>
      <c r="J259" s="338" t="str">
        <f>IFERROR(VLOOKUP(I259,'Chart of accounts'!A:H,2,FALSE),"")</f>
        <v>50212990 00</v>
      </c>
      <c r="K259" s="338" t="str">
        <f>IFERROR(VLOOKUP(I259,'Chart of accounts'!A:H,3,FALSE),"")</f>
        <v>Other General Services</v>
      </c>
      <c r="L259" s="338" t="str">
        <f>IFERROR(VLOOKUP(I259,'Chart of accounts'!A:H,4,FALSE),"")</f>
        <v>50212990 00 - Other General Services (795)</v>
      </c>
      <c r="M259" s="361">
        <v>2</v>
      </c>
      <c r="N259" s="420" t="s">
        <v>818</v>
      </c>
      <c r="O259" s="420" t="s">
        <v>1074</v>
      </c>
      <c r="P259" s="420"/>
      <c r="Q259" s="420">
        <f>24186.2+145312.53</f>
        <v>169498.73</v>
      </c>
      <c r="R259" s="428">
        <f t="shared" si="3"/>
        <v>-169498.73</v>
      </c>
      <c r="S259" s="428" t="str">
        <f>VLOOKUP(H259,'Fund Utilization Report'!$A$4:$U$1800,13,FALSE)</f>
        <v>MOOE</v>
      </c>
      <c r="T259" s="428" t="str">
        <f>VLOOKUP(H259,'Fund Utilization Report'!$A$4:$U$1800,2,FALSE)</f>
        <v>GAA</v>
      </c>
      <c r="U259" s="428" t="str">
        <f>VLOOKUP(H259,'Fund Utilization Report'!$A$4:$U$1800,3,FALSE)</f>
        <v>FY2021, RA11518</v>
      </c>
      <c r="V259" s="428" t="str">
        <f>VLOOKUP(H259,'Fund Utilization Report'!$A$4:$U$1800,4,FALSE)</f>
        <v>GAS(GMS)</v>
      </c>
      <c r="W259" s="428" t="str">
        <f>VLOOKUP(H259,'Fund Utilization Report'!$A$4:$U$1800,5,FALSE)</f>
        <v>01101101</v>
      </c>
      <c r="X259" s="428" t="str">
        <f>VLOOKUP(H259,'Fund Utilization Report'!$A$4:$U$1800,6,FALSE)</f>
        <v>GOP</v>
      </c>
      <c r="Y259" s="320" t="str">
        <f>VLOOKUP(H259,'Fund Utilization Report'!$A$4:$U$1800,7,FALSE)</f>
        <v>MOOE</v>
      </c>
      <c r="Z259" s="425">
        <f>VLOOKUP(H259,'Fund Utilization Report'!$A$4:$U$1800,8,FALSE)</f>
        <v>5020000000</v>
      </c>
      <c r="AA259" s="428" t="str">
        <f>VLOOKUP(H259,'Fund Utilization Report'!$A$4:$U$1800,14,FALSE)</f>
        <v>100000100001000</v>
      </c>
      <c r="AB259" s="349" t="str">
        <f>VLOOKUP(H259,'Fund Utilization Report'!$A$4:$U$1800,15,FALSE)</f>
        <v>General Administration and Supervision - General Management and Supervision</v>
      </c>
      <c r="AC259" s="39"/>
      <c r="AD259" s="34"/>
      <c r="AE259" s="39"/>
      <c r="AF259" s="51"/>
      <c r="AG259" s="40"/>
      <c r="AH259" s="40"/>
    </row>
    <row r="260" spans="1:34" s="32" customFormat="1">
      <c r="A260" s="338" t="s">
        <v>942</v>
      </c>
      <c r="B260" s="338" t="s">
        <v>945</v>
      </c>
      <c r="C260" s="358">
        <v>44230</v>
      </c>
      <c r="D260" s="351" t="s">
        <v>1028</v>
      </c>
      <c r="E260" s="352" t="s">
        <v>1078</v>
      </c>
      <c r="F260" s="338">
        <v>0.62847222222222221</v>
      </c>
      <c r="G260" s="338">
        <v>0.63194444444444442</v>
      </c>
      <c r="H260" s="338" t="s">
        <v>971</v>
      </c>
      <c r="I260" s="353">
        <v>821</v>
      </c>
      <c r="J260" s="338" t="str">
        <f>IFERROR(VLOOKUP(I260,'Chart of accounts'!A:H,2,FALSE),"")</f>
        <v>50213050 02</v>
      </c>
      <c r="K260" s="338" t="str">
        <f>IFERROR(VLOOKUP(I260,'Chart of accounts'!A:H,3,FALSE),"")</f>
        <v>Office Equipment</v>
      </c>
      <c r="L260" s="338" t="str">
        <f>IFERROR(VLOOKUP(I260,'Chart of accounts'!A:H,4,FALSE),"")</f>
        <v>50213050 02 - Office Equipment (821)</v>
      </c>
      <c r="M260" s="361">
        <v>2</v>
      </c>
      <c r="N260" s="420" t="s">
        <v>818</v>
      </c>
      <c r="O260" s="420" t="s">
        <v>1074</v>
      </c>
      <c r="P260" s="420"/>
      <c r="Q260" s="420">
        <v>2766.67</v>
      </c>
      <c r="R260" s="428">
        <f t="shared" si="3"/>
        <v>-2766.67</v>
      </c>
      <c r="S260" s="428" t="str">
        <f>VLOOKUP(H260,'Fund Utilization Report'!$A$4:$U$1800,13,FALSE)</f>
        <v>MOOE</v>
      </c>
      <c r="T260" s="428" t="str">
        <f>VLOOKUP(H260,'Fund Utilization Report'!$A$4:$U$1800,2,FALSE)</f>
        <v>GAA</v>
      </c>
      <c r="U260" s="428" t="str">
        <f>VLOOKUP(H260,'Fund Utilization Report'!$A$4:$U$1800,3,FALSE)</f>
        <v>FY2021, RA11518</v>
      </c>
      <c r="V260" s="428" t="str">
        <f>VLOOKUP(H260,'Fund Utilization Report'!$A$4:$U$1800,4,FALSE)</f>
        <v>OO3</v>
      </c>
      <c r="W260" s="428" t="str">
        <f>VLOOKUP(H260,'Fund Utilization Report'!$A$4:$U$1800,5,FALSE)</f>
        <v>01101101</v>
      </c>
      <c r="X260" s="428" t="str">
        <f>VLOOKUP(H260,'Fund Utilization Report'!$A$4:$U$1800,6,FALSE)</f>
        <v>GOP</v>
      </c>
      <c r="Y260" s="320" t="str">
        <f>VLOOKUP(H260,'Fund Utilization Report'!$A$4:$U$1800,7,FALSE)</f>
        <v>MOOE</v>
      </c>
      <c r="Z260" s="425">
        <f>VLOOKUP(H260,'Fund Utilization Report'!$A$4:$U$1800,8,FALSE)</f>
        <v>5020000000</v>
      </c>
      <c r="AA260" s="428" t="str">
        <f>VLOOKUP(H260,'Fund Utilization Report'!$A$4:$U$1800,14,FALSE)</f>
        <v>330100100002000</v>
      </c>
      <c r="AB260" s="349" t="str">
        <f>VLOOKUP(H260,'Fund Utilization Report'!$A$4:$U$1800,15,FALSE)</f>
        <v>Implementation of the MSME Development Plan and other initiatives to promote the growth of Micro, Small and Medium Enterprises</v>
      </c>
      <c r="AC260" s="39"/>
      <c r="AD260" s="34"/>
      <c r="AE260" s="39"/>
      <c r="AF260" s="51"/>
      <c r="AG260" s="40"/>
      <c r="AH260" s="40"/>
    </row>
    <row r="261" spans="1:34" s="32" customFormat="1">
      <c r="A261" s="338" t="s">
        <v>942</v>
      </c>
      <c r="B261" s="338" t="s">
        <v>945</v>
      </c>
      <c r="C261" s="358">
        <v>44230</v>
      </c>
      <c r="D261" s="351" t="s">
        <v>1028</v>
      </c>
      <c r="E261" s="352" t="s">
        <v>1078</v>
      </c>
      <c r="F261" s="338">
        <v>0.62847222222222221</v>
      </c>
      <c r="G261" s="338">
        <v>0.63194444444444442</v>
      </c>
      <c r="H261" s="338" t="s">
        <v>968</v>
      </c>
      <c r="I261" s="353">
        <v>823</v>
      </c>
      <c r="J261" s="338" t="str">
        <f>IFERROR(VLOOKUP(I261,'Chart of accounts'!A:H,2,FALSE),"")</f>
        <v>50213050 03</v>
      </c>
      <c r="K261" s="338" t="str">
        <f>IFERROR(VLOOKUP(I261,'Chart of accounts'!A:H,3,FALSE),"")</f>
        <v>ICT Equipment</v>
      </c>
      <c r="L261" s="338" t="str">
        <f>IFERROR(VLOOKUP(I261,'Chart of accounts'!A:H,4,FALSE),"")</f>
        <v>50213050 03 - ICT Equipment (823)</v>
      </c>
      <c r="M261" s="361">
        <v>2</v>
      </c>
      <c r="N261" s="420" t="s">
        <v>818</v>
      </c>
      <c r="O261" s="420" t="s">
        <v>1074</v>
      </c>
      <c r="P261" s="420"/>
      <c r="Q261" s="420">
        <v>2766.67</v>
      </c>
      <c r="R261" s="428">
        <f t="shared" si="3"/>
        <v>-2766.67</v>
      </c>
      <c r="S261" s="428" t="str">
        <f>VLOOKUP(H261,'Fund Utilization Report'!$A$4:$U$1800,13,FALSE)</f>
        <v>MOOE</v>
      </c>
      <c r="T261" s="428" t="str">
        <f>VLOOKUP(H261,'Fund Utilization Report'!$A$4:$U$1800,2,FALSE)</f>
        <v>GAA</v>
      </c>
      <c r="U261" s="428" t="str">
        <f>VLOOKUP(H261,'Fund Utilization Report'!$A$4:$U$1800,3,FALSE)</f>
        <v>FY2021, RA11518</v>
      </c>
      <c r="V261" s="428" t="str">
        <f>VLOOKUP(H261,'Fund Utilization Report'!$A$4:$U$1800,4,FALSE)</f>
        <v>OO2</v>
      </c>
      <c r="W261" s="428" t="str">
        <f>VLOOKUP(H261,'Fund Utilization Report'!$A$4:$U$1800,5,FALSE)</f>
        <v>01101101</v>
      </c>
      <c r="X261" s="428" t="str">
        <f>VLOOKUP(H261,'Fund Utilization Report'!$A$4:$U$1800,6,FALSE)</f>
        <v>GOP</v>
      </c>
      <c r="Y261" s="320" t="str">
        <f>VLOOKUP(H261,'Fund Utilization Report'!$A$4:$U$1800,7,FALSE)</f>
        <v>MOOE</v>
      </c>
      <c r="Z261" s="425">
        <f>VLOOKUP(H261,'Fund Utilization Report'!$A$4:$U$1800,8,FALSE)</f>
        <v>5020000000</v>
      </c>
      <c r="AA261" s="428" t="str">
        <f>VLOOKUP(H261,'Fund Utilization Report'!$A$4:$U$1800,14,FALSE)</f>
        <v>320100100001000</v>
      </c>
      <c r="AB261" s="349" t="str">
        <f>VLOOKUP(H261,'Fund Utilization Report'!$A$4:$U$1800,15,FALSE)</f>
        <v>Formulation of Strategic plans,programs, and policies to develop competitve industries</v>
      </c>
      <c r="AC261" s="39"/>
      <c r="AD261" s="34"/>
      <c r="AE261" s="39"/>
      <c r="AF261" s="51"/>
      <c r="AG261" s="40"/>
      <c r="AH261" s="40"/>
    </row>
    <row r="262" spans="1:34" s="32" customFormat="1">
      <c r="A262" s="338" t="s">
        <v>942</v>
      </c>
      <c r="B262" s="338" t="s">
        <v>945</v>
      </c>
      <c r="C262" s="358">
        <v>44230</v>
      </c>
      <c r="D262" s="351" t="s">
        <v>1028</v>
      </c>
      <c r="E262" s="352" t="s">
        <v>1078</v>
      </c>
      <c r="F262" s="338">
        <v>0.62847222222222221</v>
      </c>
      <c r="G262" s="338">
        <v>0.63194444444444442</v>
      </c>
      <c r="H262" s="338" t="s">
        <v>968</v>
      </c>
      <c r="I262" s="353">
        <v>822</v>
      </c>
      <c r="J262" s="338" t="str">
        <f>IFERROR(VLOOKUP(I262,'Chart of accounts'!A:H,2,FALSE),"")</f>
        <v>50213070 00</v>
      </c>
      <c r="K262" s="338" t="str">
        <f>IFERROR(VLOOKUP(I262,'Chart of accounts'!A:H,3,FALSE),"")</f>
        <v>Furniture and Fixture</v>
      </c>
      <c r="L262" s="338" t="str">
        <f>IFERROR(VLOOKUP(I262,'Chart of accounts'!A:H,4,FALSE),"")</f>
        <v>50213070 00 - Furniture and Fixture (822)</v>
      </c>
      <c r="M262" s="361">
        <v>2</v>
      </c>
      <c r="N262" s="420" t="s">
        <v>818</v>
      </c>
      <c r="O262" s="420" t="s">
        <v>1074</v>
      </c>
      <c r="P262" s="420"/>
      <c r="Q262" s="420">
        <v>1383.33</v>
      </c>
      <c r="R262" s="428">
        <f t="shared" si="3"/>
        <v>-1383.33</v>
      </c>
      <c r="S262" s="428" t="str">
        <f>VLOOKUP(H262,'Fund Utilization Report'!$A$4:$U$1800,13,FALSE)</f>
        <v>MOOE</v>
      </c>
      <c r="T262" s="428" t="str">
        <f>VLOOKUP(H262,'Fund Utilization Report'!$A$4:$U$1800,2,FALSE)</f>
        <v>GAA</v>
      </c>
      <c r="U262" s="428" t="str">
        <f>VLOOKUP(H262,'Fund Utilization Report'!$A$4:$U$1800,3,FALSE)</f>
        <v>FY2021, RA11518</v>
      </c>
      <c r="V262" s="428" t="str">
        <f>VLOOKUP(H262,'Fund Utilization Report'!$A$4:$U$1800,4,FALSE)</f>
        <v>OO2</v>
      </c>
      <c r="W262" s="428" t="str">
        <f>VLOOKUP(H262,'Fund Utilization Report'!$A$4:$U$1800,5,FALSE)</f>
        <v>01101101</v>
      </c>
      <c r="X262" s="428" t="str">
        <f>VLOOKUP(H262,'Fund Utilization Report'!$A$4:$U$1800,6,FALSE)</f>
        <v>GOP</v>
      </c>
      <c r="Y262" s="320" t="str">
        <f>VLOOKUP(H262,'Fund Utilization Report'!$A$4:$U$1800,7,FALSE)</f>
        <v>MOOE</v>
      </c>
      <c r="Z262" s="425">
        <f>VLOOKUP(H262,'Fund Utilization Report'!$A$4:$U$1800,8,FALSE)</f>
        <v>5020000000</v>
      </c>
      <c r="AA262" s="428" t="str">
        <f>VLOOKUP(H262,'Fund Utilization Report'!$A$4:$U$1800,14,FALSE)</f>
        <v>320100100001000</v>
      </c>
      <c r="AB262" s="349" t="str">
        <f>VLOOKUP(H262,'Fund Utilization Report'!$A$4:$U$1800,15,FALSE)</f>
        <v>Formulation of Strategic plans,programs, and policies to develop competitve industries</v>
      </c>
      <c r="AC262" s="39"/>
      <c r="AD262" s="34"/>
      <c r="AE262" s="39"/>
      <c r="AF262" s="51"/>
      <c r="AG262" s="40"/>
      <c r="AH262" s="40"/>
    </row>
    <row r="263" spans="1:34" s="32" customFormat="1">
      <c r="A263" s="338" t="s">
        <v>942</v>
      </c>
      <c r="B263" s="338" t="s">
        <v>945</v>
      </c>
      <c r="C263" s="358">
        <v>44230</v>
      </c>
      <c r="D263" s="351" t="s">
        <v>1028</v>
      </c>
      <c r="E263" s="352" t="s">
        <v>1078</v>
      </c>
      <c r="F263" s="338">
        <v>0.62847222222222221</v>
      </c>
      <c r="G263" s="338">
        <v>0.63194444444444442</v>
      </c>
      <c r="H263" s="338" t="s">
        <v>961</v>
      </c>
      <c r="I263" s="353">
        <v>841</v>
      </c>
      <c r="J263" s="338" t="str">
        <f>IFERROR(VLOOKUP(I263,'Chart of accounts'!A:H,2,FALSE),"")</f>
        <v>50213060 01</v>
      </c>
      <c r="K263" s="338" t="str">
        <f>IFERROR(VLOOKUP(I263,'Chart of accounts'!A:H,3,FALSE),"")</f>
        <v>Motor Vehicles</v>
      </c>
      <c r="L263" s="338" t="str">
        <f>IFERROR(VLOOKUP(I263,'Chart of accounts'!A:H,4,FALSE),"")</f>
        <v>50213060 01 - Motor Vehicles (841)</v>
      </c>
      <c r="M263" s="361">
        <v>2</v>
      </c>
      <c r="N263" s="420" t="s">
        <v>818</v>
      </c>
      <c r="O263" s="420" t="s">
        <v>1074</v>
      </c>
      <c r="P263" s="420"/>
      <c r="Q263" s="420">
        <v>13833.33</v>
      </c>
      <c r="R263" s="428">
        <f t="shared" si="3"/>
        <v>-13833.33</v>
      </c>
      <c r="S263" s="428" t="str">
        <f>VLOOKUP(H263,'Fund Utilization Report'!$A$4:$U$1800,13,FALSE)</f>
        <v>MOOE</v>
      </c>
      <c r="T263" s="428" t="str">
        <f>VLOOKUP(H263,'Fund Utilization Report'!$A$4:$U$1800,2,FALSE)</f>
        <v>GAA</v>
      </c>
      <c r="U263" s="428" t="str">
        <f>VLOOKUP(H263,'Fund Utilization Report'!$A$4:$U$1800,3,FALSE)</f>
        <v>FY2021, RA11518</v>
      </c>
      <c r="V263" s="428" t="str">
        <f>VLOOKUP(H263,'Fund Utilization Report'!$A$4:$U$1800,4,FALSE)</f>
        <v>GAS(GMS)</v>
      </c>
      <c r="W263" s="428" t="str">
        <f>VLOOKUP(H263,'Fund Utilization Report'!$A$4:$U$1800,5,FALSE)</f>
        <v>01101101</v>
      </c>
      <c r="X263" s="428" t="str">
        <f>VLOOKUP(H263,'Fund Utilization Report'!$A$4:$U$1800,6,FALSE)</f>
        <v>GOP</v>
      </c>
      <c r="Y263" s="320" t="str">
        <f>VLOOKUP(H263,'Fund Utilization Report'!$A$4:$U$1800,7,FALSE)</f>
        <v>MOOE</v>
      </c>
      <c r="Z263" s="425">
        <f>VLOOKUP(H263,'Fund Utilization Report'!$A$4:$U$1800,8,FALSE)</f>
        <v>5020000000</v>
      </c>
      <c r="AA263" s="428" t="str">
        <f>VLOOKUP(H263,'Fund Utilization Report'!$A$4:$U$1800,14,FALSE)</f>
        <v>100000100001000</v>
      </c>
      <c r="AB263" s="349" t="str">
        <f>VLOOKUP(H263,'Fund Utilization Report'!$A$4:$U$1800,15,FALSE)</f>
        <v>General Administration and Supervision - General Management and Supervision</v>
      </c>
      <c r="AC263" s="39"/>
      <c r="AD263" s="34"/>
      <c r="AE263" s="39"/>
      <c r="AF263" s="51"/>
      <c r="AG263" s="40"/>
      <c r="AH263" s="40"/>
    </row>
    <row r="264" spans="1:34" s="32" customFormat="1">
      <c r="A264" s="338" t="s">
        <v>942</v>
      </c>
      <c r="B264" s="338" t="s">
        <v>945</v>
      </c>
      <c r="C264" s="358">
        <v>44230</v>
      </c>
      <c r="D264" s="351" t="s">
        <v>1028</v>
      </c>
      <c r="E264" s="352" t="s">
        <v>1078</v>
      </c>
      <c r="F264" s="338">
        <v>0.62847222222222221</v>
      </c>
      <c r="G264" s="338">
        <v>0.63194444444444442</v>
      </c>
      <c r="H264" s="338" t="s">
        <v>961</v>
      </c>
      <c r="I264" s="353">
        <v>891</v>
      </c>
      <c r="J264" s="338" t="str">
        <f>IFERROR(VLOOKUP(I264,'Chart of accounts'!A:H,2,FALSE),"")</f>
        <v>50215010 01</v>
      </c>
      <c r="K264" s="338" t="str">
        <f>IFERROR(VLOOKUP(I264,'Chart of accounts'!A:H,3,FALSE),"")</f>
        <v>Taxes, Duties and Licenses</v>
      </c>
      <c r="L264" s="338" t="str">
        <f>IFERROR(VLOOKUP(I264,'Chart of accounts'!A:H,4,FALSE),"")</f>
        <v>50215010 01 - Taxes, Duties and Licenses (891)</v>
      </c>
      <c r="M264" s="361">
        <v>2</v>
      </c>
      <c r="N264" s="420" t="s">
        <v>818</v>
      </c>
      <c r="O264" s="420" t="s">
        <v>1074</v>
      </c>
      <c r="P264" s="420"/>
      <c r="Q264" s="420">
        <v>691.67</v>
      </c>
      <c r="R264" s="428">
        <f t="shared" si="3"/>
        <v>-691.67</v>
      </c>
      <c r="S264" s="428" t="str">
        <f>VLOOKUP(H264,'Fund Utilization Report'!$A$4:$U$1800,13,FALSE)</f>
        <v>MOOE</v>
      </c>
      <c r="T264" s="428" t="str">
        <f>VLOOKUP(H264,'Fund Utilization Report'!$A$4:$U$1800,2,FALSE)</f>
        <v>GAA</v>
      </c>
      <c r="U264" s="428" t="str">
        <f>VLOOKUP(H264,'Fund Utilization Report'!$A$4:$U$1800,3,FALSE)</f>
        <v>FY2021, RA11518</v>
      </c>
      <c r="V264" s="428" t="str">
        <f>VLOOKUP(H264,'Fund Utilization Report'!$A$4:$U$1800,4,FALSE)</f>
        <v>GAS(GMS)</v>
      </c>
      <c r="W264" s="428" t="str">
        <f>VLOOKUP(H264,'Fund Utilization Report'!$A$4:$U$1800,5,FALSE)</f>
        <v>01101101</v>
      </c>
      <c r="X264" s="428" t="str">
        <f>VLOOKUP(H264,'Fund Utilization Report'!$A$4:$U$1800,6,FALSE)</f>
        <v>GOP</v>
      </c>
      <c r="Y264" s="320" t="str">
        <f>VLOOKUP(H264,'Fund Utilization Report'!$A$4:$U$1800,7,FALSE)</f>
        <v>MOOE</v>
      </c>
      <c r="Z264" s="425">
        <f>VLOOKUP(H264,'Fund Utilization Report'!$A$4:$U$1800,8,FALSE)</f>
        <v>5020000000</v>
      </c>
      <c r="AA264" s="428" t="str">
        <f>VLOOKUP(H264,'Fund Utilization Report'!$A$4:$U$1800,14,FALSE)</f>
        <v>100000100001000</v>
      </c>
      <c r="AB264" s="349" t="str">
        <f>VLOOKUP(H264,'Fund Utilization Report'!$A$4:$U$1800,15,FALSE)</f>
        <v>General Administration and Supervision - General Management and Supervision</v>
      </c>
      <c r="AC264" s="39"/>
      <c r="AD264" s="34"/>
      <c r="AE264" s="39"/>
      <c r="AF264" s="51"/>
      <c r="AG264" s="40"/>
      <c r="AH264" s="40"/>
    </row>
    <row r="265" spans="1:34" s="32" customFormat="1">
      <c r="A265" s="338" t="s">
        <v>942</v>
      </c>
      <c r="B265" s="338" t="s">
        <v>945</v>
      </c>
      <c r="C265" s="358">
        <v>44230</v>
      </c>
      <c r="D265" s="351" t="s">
        <v>1028</v>
      </c>
      <c r="E265" s="352" t="s">
        <v>1078</v>
      </c>
      <c r="F265" s="338">
        <v>0.62847222222222221</v>
      </c>
      <c r="G265" s="338">
        <v>0.63194444444444442</v>
      </c>
      <c r="H265" s="338" t="s">
        <v>961</v>
      </c>
      <c r="I265" s="353">
        <v>892</v>
      </c>
      <c r="J265" s="338" t="str">
        <f>IFERROR(VLOOKUP(I265,'Chart of accounts'!A:H,2,FALSE),"")</f>
        <v>50215020 00</v>
      </c>
      <c r="K265" s="338" t="str">
        <f>IFERROR(VLOOKUP(I265,'Chart of accounts'!A:H,3,FALSE),"")</f>
        <v>Fidelity Bond Premiums</v>
      </c>
      <c r="L265" s="338" t="str">
        <f>IFERROR(VLOOKUP(I265,'Chart of accounts'!A:H,4,FALSE),"")</f>
        <v>50215020 00 - Fidelity Bond Premiums (892)</v>
      </c>
      <c r="M265" s="361">
        <v>2</v>
      </c>
      <c r="N265" s="420" t="s">
        <v>818</v>
      </c>
      <c r="O265" s="420" t="s">
        <v>1074</v>
      </c>
      <c r="P265" s="420"/>
      <c r="Q265" s="420">
        <v>1909.52</v>
      </c>
      <c r="R265" s="428">
        <f t="shared" si="3"/>
        <v>-1909.52</v>
      </c>
      <c r="S265" s="428" t="str">
        <f>VLOOKUP(H265,'Fund Utilization Report'!$A$4:$U$1800,13,FALSE)</f>
        <v>MOOE</v>
      </c>
      <c r="T265" s="428" t="str">
        <f>VLOOKUP(H265,'Fund Utilization Report'!$A$4:$U$1800,2,FALSE)</f>
        <v>GAA</v>
      </c>
      <c r="U265" s="428" t="str">
        <f>VLOOKUP(H265,'Fund Utilization Report'!$A$4:$U$1800,3,FALSE)</f>
        <v>FY2021, RA11518</v>
      </c>
      <c r="V265" s="428" t="str">
        <f>VLOOKUP(H265,'Fund Utilization Report'!$A$4:$U$1800,4,FALSE)</f>
        <v>GAS(GMS)</v>
      </c>
      <c r="W265" s="428" t="str">
        <f>VLOOKUP(H265,'Fund Utilization Report'!$A$4:$U$1800,5,FALSE)</f>
        <v>01101101</v>
      </c>
      <c r="X265" s="428" t="str">
        <f>VLOOKUP(H265,'Fund Utilization Report'!$A$4:$U$1800,6,FALSE)</f>
        <v>GOP</v>
      </c>
      <c r="Y265" s="320" t="str">
        <f>VLOOKUP(H265,'Fund Utilization Report'!$A$4:$U$1800,7,FALSE)</f>
        <v>MOOE</v>
      </c>
      <c r="Z265" s="425">
        <f>VLOOKUP(H265,'Fund Utilization Report'!$A$4:$U$1800,8,FALSE)</f>
        <v>5020000000</v>
      </c>
      <c r="AA265" s="428" t="str">
        <f>VLOOKUP(H265,'Fund Utilization Report'!$A$4:$U$1800,14,FALSE)</f>
        <v>100000100001000</v>
      </c>
      <c r="AB265" s="349" t="str">
        <f>VLOOKUP(H265,'Fund Utilization Report'!$A$4:$U$1800,15,FALSE)</f>
        <v>General Administration and Supervision - General Management and Supervision</v>
      </c>
      <c r="AC265" s="39"/>
      <c r="AD265" s="34"/>
      <c r="AE265" s="39"/>
      <c r="AF265" s="51"/>
      <c r="AG265" s="40"/>
      <c r="AH265" s="40"/>
    </row>
    <row r="266" spans="1:34" s="32" customFormat="1">
      <c r="A266" s="338" t="s">
        <v>942</v>
      </c>
      <c r="B266" s="338" t="s">
        <v>945</v>
      </c>
      <c r="C266" s="358">
        <v>44230</v>
      </c>
      <c r="D266" s="351" t="s">
        <v>1028</v>
      </c>
      <c r="E266" s="352" t="s">
        <v>1078</v>
      </c>
      <c r="F266" s="338">
        <v>0.62847222222222221</v>
      </c>
      <c r="G266" s="338">
        <v>0.63194444444444442</v>
      </c>
      <c r="H266" s="338" t="s">
        <v>961</v>
      </c>
      <c r="I266" s="353">
        <v>893</v>
      </c>
      <c r="J266" s="338" t="str">
        <f>IFERROR(VLOOKUP(I266,'Chart of accounts'!A:H,2,FALSE),"")</f>
        <v>50215030 00</v>
      </c>
      <c r="K266" s="338" t="str">
        <f>IFERROR(VLOOKUP(I266,'Chart of accounts'!A:H,3,FALSE),"")</f>
        <v>Insurance Expense</v>
      </c>
      <c r="L266" s="338" t="str">
        <f>IFERROR(VLOOKUP(I266,'Chart of accounts'!A:H,4,FALSE),"")</f>
        <v>50215030 00 - Insurance Expense (893)</v>
      </c>
      <c r="M266" s="361">
        <v>2</v>
      </c>
      <c r="N266" s="420" t="s">
        <v>818</v>
      </c>
      <c r="O266" s="420" t="s">
        <v>1074</v>
      </c>
      <c r="P266" s="420"/>
      <c r="Q266" s="420">
        <v>4810.3100000000004</v>
      </c>
      <c r="R266" s="428">
        <f t="shared" si="3"/>
        <v>-4810.3100000000004</v>
      </c>
      <c r="S266" s="428" t="str">
        <f>VLOOKUP(H266,'Fund Utilization Report'!$A$4:$U$1800,13,FALSE)</f>
        <v>MOOE</v>
      </c>
      <c r="T266" s="428" t="str">
        <f>VLOOKUP(H266,'Fund Utilization Report'!$A$4:$U$1800,2,FALSE)</f>
        <v>GAA</v>
      </c>
      <c r="U266" s="428" t="str">
        <f>VLOOKUP(H266,'Fund Utilization Report'!$A$4:$U$1800,3,FALSE)</f>
        <v>FY2021, RA11518</v>
      </c>
      <c r="V266" s="428" t="str">
        <f>VLOOKUP(H266,'Fund Utilization Report'!$A$4:$U$1800,4,FALSE)</f>
        <v>GAS(GMS)</v>
      </c>
      <c r="W266" s="428" t="str">
        <f>VLOOKUP(H266,'Fund Utilization Report'!$A$4:$U$1800,5,FALSE)</f>
        <v>01101101</v>
      </c>
      <c r="X266" s="428" t="str">
        <f>VLOOKUP(H266,'Fund Utilization Report'!$A$4:$U$1800,6,FALSE)</f>
        <v>GOP</v>
      </c>
      <c r="Y266" s="320" t="str">
        <f>VLOOKUP(H266,'Fund Utilization Report'!$A$4:$U$1800,7,FALSE)</f>
        <v>MOOE</v>
      </c>
      <c r="Z266" s="425">
        <f>VLOOKUP(H266,'Fund Utilization Report'!$A$4:$U$1800,8,FALSE)</f>
        <v>5020000000</v>
      </c>
      <c r="AA266" s="428" t="str">
        <f>VLOOKUP(H266,'Fund Utilization Report'!$A$4:$U$1800,14,FALSE)</f>
        <v>100000100001000</v>
      </c>
      <c r="AB266" s="349" t="str">
        <f>VLOOKUP(H266,'Fund Utilization Report'!$A$4:$U$1800,15,FALSE)</f>
        <v>General Administration and Supervision - General Management and Supervision</v>
      </c>
      <c r="AC266" s="39"/>
      <c r="AD266" s="34"/>
      <c r="AE266" s="39"/>
      <c r="AF266" s="51"/>
      <c r="AG266" s="40"/>
      <c r="AH266" s="40"/>
    </row>
    <row r="267" spans="1:34" s="32" customFormat="1">
      <c r="A267" s="338" t="s">
        <v>942</v>
      </c>
      <c r="B267" s="338" t="s">
        <v>945</v>
      </c>
      <c r="C267" s="358">
        <v>44230</v>
      </c>
      <c r="D267" s="351" t="s">
        <v>1028</v>
      </c>
      <c r="E267" s="352" t="s">
        <v>1078</v>
      </c>
      <c r="F267" s="338">
        <v>0.62847222222222221</v>
      </c>
      <c r="G267" s="338">
        <v>0.63194444444444442</v>
      </c>
      <c r="H267" s="338" t="s">
        <v>961</v>
      </c>
      <c r="I267" s="353">
        <v>782</v>
      </c>
      <c r="J267" s="338" t="str">
        <f>IFERROR(VLOOKUP(I267,'Chart of accounts'!A:H,2,FALSE),"")</f>
        <v>50299050 01</v>
      </c>
      <c r="K267" s="338" t="str">
        <f>IFERROR(VLOOKUP(I267,'Chart of accounts'!A:H,3,FALSE),"")</f>
        <v>Rent - Buildings and Structures</v>
      </c>
      <c r="L267" s="338" t="str">
        <f>IFERROR(VLOOKUP(I267,'Chart of accounts'!A:H,4,FALSE),"")</f>
        <v>50299050 01 - Rent - Buildings and Structures (782)</v>
      </c>
      <c r="M267" s="361">
        <v>2</v>
      </c>
      <c r="N267" s="420" t="s">
        <v>818</v>
      </c>
      <c r="O267" s="420" t="s">
        <v>1074</v>
      </c>
      <c r="P267" s="420"/>
      <c r="Q267" s="420">
        <v>220858.58</v>
      </c>
      <c r="R267" s="428">
        <f t="shared" si="3"/>
        <v>-220858.58</v>
      </c>
      <c r="S267" s="428" t="str">
        <f>VLOOKUP(H267,'Fund Utilization Report'!$A$4:$U$1800,13,FALSE)</f>
        <v>MOOE</v>
      </c>
      <c r="T267" s="428" t="str">
        <f>VLOOKUP(H267,'Fund Utilization Report'!$A$4:$U$1800,2,FALSE)</f>
        <v>GAA</v>
      </c>
      <c r="U267" s="428" t="str">
        <f>VLOOKUP(H267,'Fund Utilization Report'!$A$4:$U$1800,3,FALSE)</f>
        <v>FY2021, RA11518</v>
      </c>
      <c r="V267" s="428" t="str">
        <f>VLOOKUP(H267,'Fund Utilization Report'!$A$4:$U$1800,4,FALSE)</f>
        <v>GAS(GMS)</v>
      </c>
      <c r="W267" s="428" t="str">
        <f>VLOOKUP(H267,'Fund Utilization Report'!$A$4:$U$1800,5,FALSE)</f>
        <v>01101101</v>
      </c>
      <c r="X267" s="428" t="str">
        <f>VLOOKUP(H267,'Fund Utilization Report'!$A$4:$U$1800,6,FALSE)</f>
        <v>GOP</v>
      </c>
      <c r="Y267" s="320" t="str">
        <f>VLOOKUP(H267,'Fund Utilization Report'!$A$4:$U$1800,7,FALSE)</f>
        <v>MOOE</v>
      </c>
      <c r="Z267" s="425">
        <f>VLOOKUP(H267,'Fund Utilization Report'!$A$4:$U$1800,8,FALSE)</f>
        <v>5020000000</v>
      </c>
      <c r="AA267" s="428" t="str">
        <f>VLOOKUP(H267,'Fund Utilization Report'!$A$4:$U$1800,14,FALSE)</f>
        <v>100000100001000</v>
      </c>
      <c r="AB267" s="349" t="str">
        <f>VLOOKUP(H267,'Fund Utilization Report'!$A$4:$U$1800,15,FALSE)</f>
        <v>General Administration and Supervision - General Management and Supervision</v>
      </c>
      <c r="AC267" s="39"/>
      <c r="AD267" s="34"/>
      <c r="AE267" s="39"/>
      <c r="AF267" s="51"/>
      <c r="AG267" s="40"/>
      <c r="AH267" s="40"/>
    </row>
    <row r="268" spans="1:34" s="32" customFormat="1">
      <c r="A268" s="338" t="s">
        <v>942</v>
      </c>
      <c r="B268" s="338" t="s">
        <v>945</v>
      </c>
      <c r="C268" s="358">
        <v>44230</v>
      </c>
      <c r="D268" s="351" t="s">
        <v>1028</v>
      </c>
      <c r="E268" s="352" t="s">
        <v>1078</v>
      </c>
      <c r="F268" s="338">
        <v>0.62847222222222221</v>
      </c>
      <c r="G268" s="338">
        <v>0.63194444444444442</v>
      </c>
      <c r="H268" s="338" t="s">
        <v>961</v>
      </c>
      <c r="I268" s="353">
        <v>786</v>
      </c>
      <c r="J268" s="338" t="str">
        <f>IFERROR(VLOOKUP(I268,'Chart of accounts'!A:H,2,FALSE),"")</f>
        <v>50299070 00</v>
      </c>
      <c r="K268" s="338" t="str">
        <f>IFERROR(VLOOKUP(I268,'Chart of accounts'!A:H,3,FALSE),"")</f>
        <v>Subscriptions Expenses</v>
      </c>
      <c r="L268" s="338" t="str">
        <f>IFERROR(VLOOKUP(I268,'Chart of accounts'!A:H,4,FALSE),"")</f>
        <v>50299070 00 - Subscriptions Expenses (786)</v>
      </c>
      <c r="M268" s="361">
        <v>2</v>
      </c>
      <c r="N268" s="420" t="s">
        <v>818</v>
      </c>
      <c r="O268" s="420" t="s">
        <v>1074</v>
      </c>
      <c r="P268" s="420"/>
      <c r="Q268" s="420">
        <v>1521.67</v>
      </c>
      <c r="R268" s="428">
        <f t="shared" si="3"/>
        <v>-1521.67</v>
      </c>
      <c r="S268" s="428" t="str">
        <f>VLOOKUP(H268,'Fund Utilization Report'!$A$4:$U$1800,13,FALSE)</f>
        <v>MOOE</v>
      </c>
      <c r="T268" s="428" t="str">
        <f>VLOOKUP(H268,'Fund Utilization Report'!$A$4:$U$1800,2,FALSE)</f>
        <v>GAA</v>
      </c>
      <c r="U268" s="428" t="str">
        <f>VLOOKUP(H268,'Fund Utilization Report'!$A$4:$U$1800,3,FALSE)</f>
        <v>FY2021, RA11518</v>
      </c>
      <c r="V268" s="428" t="str">
        <f>VLOOKUP(H268,'Fund Utilization Report'!$A$4:$U$1800,4,FALSE)</f>
        <v>GAS(GMS)</v>
      </c>
      <c r="W268" s="428" t="str">
        <f>VLOOKUP(H268,'Fund Utilization Report'!$A$4:$U$1800,5,FALSE)</f>
        <v>01101101</v>
      </c>
      <c r="X268" s="428" t="str">
        <f>VLOOKUP(H268,'Fund Utilization Report'!$A$4:$U$1800,6,FALSE)</f>
        <v>GOP</v>
      </c>
      <c r="Y268" s="320" t="str">
        <f>VLOOKUP(H268,'Fund Utilization Report'!$A$4:$U$1800,7,FALSE)</f>
        <v>MOOE</v>
      </c>
      <c r="Z268" s="425">
        <f>VLOOKUP(H268,'Fund Utilization Report'!$A$4:$U$1800,8,FALSE)</f>
        <v>5020000000</v>
      </c>
      <c r="AA268" s="428" t="str">
        <f>VLOOKUP(H268,'Fund Utilization Report'!$A$4:$U$1800,14,FALSE)</f>
        <v>100000100001000</v>
      </c>
      <c r="AB268" s="349" t="str">
        <f>VLOOKUP(H268,'Fund Utilization Report'!$A$4:$U$1800,15,FALSE)</f>
        <v>General Administration and Supervision - General Management and Supervision</v>
      </c>
      <c r="AC268" s="39"/>
      <c r="AD268" s="34"/>
      <c r="AE268" s="39"/>
      <c r="AF268" s="51"/>
      <c r="AG268" s="40"/>
      <c r="AH268" s="40"/>
    </row>
    <row r="269" spans="1:34" s="32" customFormat="1">
      <c r="A269" s="338" t="s">
        <v>942</v>
      </c>
      <c r="B269" s="338" t="s">
        <v>945</v>
      </c>
      <c r="C269" s="358">
        <v>44230</v>
      </c>
      <c r="D269" s="351" t="s">
        <v>1028</v>
      </c>
      <c r="E269" s="352" t="s">
        <v>1078</v>
      </c>
      <c r="F269" s="338">
        <v>0.62847222222222221</v>
      </c>
      <c r="G269" s="338">
        <v>0.63194444444444442</v>
      </c>
      <c r="H269" s="338" t="s">
        <v>961</v>
      </c>
      <c r="I269" s="353">
        <v>751</v>
      </c>
      <c r="J269" s="338" t="str">
        <f>IFERROR(VLOOKUP(I269,'Chart of accounts'!A:H,2,FALSE),"")</f>
        <v>50201010 00</v>
      </c>
      <c r="K269" s="338" t="str">
        <f>IFERROR(VLOOKUP(I269,'Chart of accounts'!A:H,3,FALSE),"")</f>
        <v>Traveling Expenses - Local</v>
      </c>
      <c r="L269" s="338" t="str">
        <f>IFERROR(VLOOKUP(I269,'Chart of accounts'!A:H,4,FALSE),"")</f>
        <v>50201010 00 - Traveling Expenses - Local (751)</v>
      </c>
      <c r="M269" s="361">
        <v>2</v>
      </c>
      <c r="N269" s="420" t="s">
        <v>818</v>
      </c>
      <c r="O269" s="420" t="s">
        <v>1074</v>
      </c>
      <c r="P269" s="420"/>
      <c r="Q269" s="420">
        <v>1383.33</v>
      </c>
      <c r="R269" s="428">
        <f t="shared" si="3"/>
        <v>-1383.33</v>
      </c>
      <c r="S269" s="428" t="str">
        <f>VLOOKUP(H269,'Fund Utilization Report'!$A$4:$U$1800,13,FALSE)</f>
        <v>MOOE</v>
      </c>
      <c r="T269" s="428" t="str">
        <f>VLOOKUP(H269,'Fund Utilization Report'!$A$4:$U$1800,2,FALSE)</f>
        <v>GAA</v>
      </c>
      <c r="U269" s="428" t="str">
        <f>VLOOKUP(H269,'Fund Utilization Report'!$A$4:$U$1800,3,FALSE)</f>
        <v>FY2021, RA11518</v>
      </c>
      <c r="V269" s="428" t="str">
        <f>VLOOKUP(H269,'Fund Utilization Report'!$A$4:$U$1800,4,FALSE)</f>
        <v>GAS(GMS)</v>
      </c>
      <c r="W269" s="428" t="str">
        <f>VLOOKUP(H269,'Fund Utilization Report'!$A$4:$U$1800,5,FALSE)</f>
        <v>01101101</v>
      </c>
      <c r="X269" s="428" t="str">
        <f>VLOOKUP(H269,'Fund Utilization Report'!$A$4:$U$1800,6,FALSE)</f>
        <v>GOP</v>
      </c>
      <c r="Y269" s="320" t="str">
        <f>VLOOKUP(H269,'Fund Utilization Report'!$A$4:$U$1800,7,FALSE)</f>
        <v>MOOE</v>
      </c>
      <c r="Z269" s="425">
        <f>VLOOKUP(H269,'Fund Utilization Report'!$A$4:$U$1800,8,FALSE)</f>
        <v>5020000000</v>
      </c>
      <c r="AA269" s="428" t="str">
        <f>VLOOKUP(H269,'Fund Utilization Report'!$A$4:$U$1800,14,FALSE)</f>
        <v>100000100001000</v>
      </c>
      <c r="AB269" s="349" t="str">
        <f>VLOOKUP(H269,'Fund Utilization Report'!$A$4:$U$1800,15,FALSE)</f>
        <v>General Administration and Supervision - General Management and Supervision</v>
      </c>
      <c r="AC269" s="39"/>
      <c r="AD269" s="34"/>
      <c r="AE269" s="39"/>
      <c r="AF269" s="51"/>
      <c r="AG269" s="40"/>
      <c r="AH269" s="40"/>
    </row>
    <row r="270" spans="1:34" s="32" customFormat="1">
      <c r="A270" s="338" t="s">
        <v>942</v>
      </c>
      <c r="B270" s="338" t="s">
        <v>945</v>
      </c>
      <c r="C270" s="358">
        <v>44230</v>
      </c>
      <c r="D270" s="351" t="s">
        <v>1028</v>
      </c>
      <c r="E270" s="352" t="s">
        <v>1078</v>
      </c>
      <c r="F270" s="338">
        <v>0.62847222222222221</v>
      </c>
      <c r="G270" s="338">
        <v>0.63194444444444442</v>
      </c>
      <c r="H270" s="338" t="s">
        <v>961</v>
      </c>
      <c r="I270" s="353">
        <v>755</v>
      </c>
      <c r="J270" s="338" t="str">
        <f>IFERROR(VLOOKUP(I270,'Chart of accounts'!A:H,2,FALSE),"")</f>
        <v>50203010 00</v>
      </c>
      <c r="K270" s="338" t="str">
        <f>IFERROR(VLOOKUP(I270,'Chart of accounts'!A:H,3,FALSE),"")</f>
        <v>Office Supplies Expenses</v>
      </c>
      <c r="L270" s="338" t="str">
        <f>IFERROR(VLOOKUP(I270,'Chart of accounts'!A:H,4,FALSE),"")</f>
        <v>50203010 00 - Office Supplies Expenses (755)</v>
      </c>
      <c r="M270" s="361">
        <v>2</v>
      </c>
      <c r="N270" s="420" t="s">
        <v>818</v>
      </c>
      <c r="O270" s="420" t="s">
        <v>1074</v>
      </c>
      <c r="P270" s="420"/>
      <c r="Q270" s="420">
        <v>6916.67</v>
      </c>
      <c r="R270" s="428">
        <f t="shared" si="3"/>
        <v>-6916.67</v>
      </c>
      <c r="S270" s="428" t="str">
        <f>VLOOKUP(H270,'Fund Utilization Report'!$A$4:$U$1800,13,FALSE)</f>
        <v>MOOE</v>
      </c>
      <c r="T270" s="428" t="str">
        <f>VLOOKUP(H270,'Fund Utilization Report'!$A$4:$U$1800,2,FALSE)</f>
        <v>GAA</v>
      </c>
      <c r="U270" s="428" t="str">
        <f>VLOOKUP(H270,'Fund Utilization Report'!$A$4:$U$1800,3,FALSE)</f>
        <v>FY2021, RA11518</v>
      </c>
      <c r="V270" s="428" t="str">
        <f>VLOOKUP(H270,'Fund Utilization Report'!$A$4:$U$1800,4,FALSE)</f>
        <v>GAS(GMS)</v>
      </c>
      <c r="W270" s="428" t="str">
        <f>VLOOKUP(H270,'Fund Utilization Report'!$A$4:$U$1800,5,FALSE)</f>
        <v>01101101</v>
      </c>
      <c r="X270" s="428" t="str">
        <f>VLOOKUP(H270,'Fund Utilization Report'!$A$4:$U$1800,6,FALSE)</f>
        <v>GOP</v>
      </c>
      <c r="Y270" s="320" t="str">
        <f>VLOOKUP(H270,'Fund Utilization Report'!$A$4:$U$1800,7,FALSE)</f>
        <v>MOOE</v>
      </c>
      <c r="Z270" s="425">
        <f>VLOOKUP(H270,'Fund Utilization Report'!$A$4:$U$1800,8,FALSE)</f>
        <v>5020000000</v>
      </c>
      <c r="AA270" s="428" t="str">
        <f>VLOOKUP(H270,'Fund Utilization Report'!$A$4:$U$1800,14,FALSE)</f>
        <v>100000100001000</v>
      </c>
      <c r="AB270" s="349" t="str">
        <f>VLOOKUP(H270,'Fund Utilization Report'!$A$4:$U$1800,15,FALSE)</f>
        <v>General Administration and Supervision - General Management and Supervision</v>
      </c>
      <c r="AC270" s="39"/>
      <c r="AD270" s="34"/>
      <c r="AE270" s="39"/>
      <c r="AF270" s="51"/>
      <c r="AG270" s="40"/>
      <c r="AH270" s="40"/>
    </row>
    <row r="271" spans="1:34" s="32" customFormat="1">
      <c r="A271" s="338" t="s">
        <v>942</v>
      </c>
      <c r="B271" s="338" t="s">
        <v>945</v>
      </c>
      <c r="C271" s="358">
        <v>44230</v>
      </c>
      <c r="D271" s="351" t="s">
        <v>1028</v>
      </c>
      <c r="E271" s="352" t="s">
        <v>1078</v>
      </c>
      <c r="F271" s="338">
        <v>0.62847222222222221</v>
      </c>
      <c r="G271" s="338">
        <v>0.63194444444444442</v>
      </c>
      <c r="H271" s="338" t="s">
        <v>961</v>
      </c>
      <c r="I271" s="353">
        <v>781</v>
      </c>
      <c r="J271" s="338" t="str">
        <f>IFERROR(VLOOKUP(I271,'Chart of accounts'!A:H,2,FALSE),"")</f>
        <v>50299020 00</v>
      </c>
      <c r="K271" s="338" t="str">
        <f>IFERROR(VLOOKUP(I271,'Chart of accounts'!A:H,3,FALSE),"")</f>
        <v>Printing and Binding Expenses</v>
      </c>
      <c r="L271" s="338" t="str">
        <f>IFERROR(VLOOKUP(I271,'Chart of accounts'!A:H,4,FALSE),"")</f>
        <v>50299020 00 - Printing and Binding Expenses (781)</v>
      </c>
      <c r="M271" s="361">
        <v>2</v>
      </c>
      <c r="N271" s="420" t="s">
        <v>818</v>
      </c>
      <c r="O271" s="420" t="s">
        <v>1074</v>
      </c>
      <c r="P271" s="420"/>
      <c r="Q271" s="420">
        <v>4980</v>
      </c>
      <c r="R271" s="428">
        <f t="shared" si="3"/>
        <v>-4980</v>
      </c>
      <c r="S271" s="428" t="str">
        <f>VLOOKUP(H271,'Fund Utilization Report'!$A$4:$U$1800,13,FALSE)</f>
        <v>MOOE</v>
      </c>
      <c r="T271" s="428" t="str">
        <f>VLOOKUP(H271,'Fund Utilization Report'!$A$4:$U$1800,2,FALSE)</f>
        <v>GAA</v>
      </c>
      <c r="U271" s="428" t="str">
        <f>VLOOKUP(H271,'Fund Utilization Report'!$A$4:$U$1800,3,FALSE)</f>
        <v>FY2021, RA11518</v>
      </c>
      <c r="V271" s="428" t="str">
        <f>VLOOKUP(H271,'Fund Utilization Report'!$A$4:$U$1800,4,FALSE)</f>
        <v>GAS(GMS)</v>
      </c>
      <c r="W271" s="428" t="str">
        <f>VLOOKUP(H271,'Fund Utilization Report'!$A$4:$U$1800,5,FALSE)</f>
        <v>01101101</v>
      </c>
      <c r="X271" s="428" t="str">
        <f>VLOOKUP(H271,'Fund Utilization Report'!$A$4:$U$1800,6,FALSE)</f>
        <v>GOP</v>
      </c>
      <c r="Y271" s="320" t="str">
        <f>VLOOKUP(H271,'Fund Utilization Report'!$A$4:$U$1800,7,FALSE)</f>
        <v>MOOE</v>
      </c>
      <c r="Z271" s="425">
        <f>VLOOKUP(H271,'Fund Utilization Report'!$A$4:$U$1800,8,FALSE)</f>
        <v>5020000000</v>
      </c>
      <c r="AA271" s="428" t="str">
        <f>VLOOKUP(H271,'Fund Utilization Report'!$A$4:$U$1800,14,FALSE)</f>
        <v>100000100001000</v>
      </c>
      <c r="AB271" s="349" t="str">
        <f>VLOOKUP(H271,'Fund Utilization Report'!$A$4:$U$1800,15,FALSE)</f>
        <v>General Administration and Supervision - General Management and Supervision</v>
      </c>
      <c r="AC271" s="39"/>
      <c r="AD271" s="34"/>
      <c r="AE271" s="39"/>
      <c r="AF271" s="51"/>
      <c r="AG271" s="40"/>
      <c r="AH271" s="40"/>
    </row>
    <row r="272" spans="1:34" s="32" customFormat="1">
      <c r="A272" s="338" t="s">
        <v>942</v>
      </c>
      <c r="B272" s="338" t="s">
        <v>945</v>
      </c>
      <c r="C272" s="358">
        <v>44230</v>
      </c>
      <c r="D272" s="351" t="s">
        <v>1028</v>
      </c>
      <c r="E272" s="352" t="s">
        <v>1078</v>
      </c>
      <c r="F272" s="338">
        <v>0.62847222222222221</v>
      </c>
      <c r="G272" s="338">
        <v>0.63194444444444442</v>
      </c>
      <c r="H272" s="338" t="s">
        <v>961</v>
      </c>
      <c r="I272" s="353">
        <v>783</v>
      </c>
      <c r="J272" s="338" t="str">
        <f>IFERROR(VLOOKUP(I272,'Chart of accounts'!A:H,2,FALSE),"")</f>
        <v>50299030 00</v>
      </c>
      <c r="K272" s="338" t="str">
        <f>IFERROR(VLOOKUP(I272,'Chart of accounts'!A:H,3,FALSE),"")</f>
        <v>Representation Expenses</v>
      </c>
      <c r="L272" s="338" t="str">
        <f>IFERROR(VLOOKUP(I272,'Chart of accounts'!A:H,4,FALSE),"")</f>
        <v>50299030 00 - Representation Expenses (783)</v>
      </c>
      <c r="M272" s="361">
        <v>2</v>
      </c>
      <c r="N272" s="420" t="s">
        <v>818</v>
      </c>
      <c r="O272" s="420" t="s">
        <v>1074</v>
      </c>
      <c r="P272" s="420"/>
      <c r="Q272" s="420">
        <v>3541.33</v>
      </c>
      <c r="R272" s="428">
        <f t="shared" si="3"/>
        <v>-3541.33</v>
      </c>
      <c r="S272" s="428" t="str">
        <f>VLOOKUP(H272,'Fund Utilization Report'!$A$4:$U$1800,13,FALSE)</f>
        <v>MOOE</v>
      </c>
      <c r="T272" s="428" t="str">
        <f>VLOOKUP(H272,'Fund Utilization Report'!$A$4:$U$1800,2,FALSE)</f>
        <v>GAA</v>
      </c>
      <c r="U272" s="428" t="str">
        <f>VLOOKUP(H272,'Fund Utilization Report'!$A$4:$U$1800,3,FALSE)</f>
        <v>FY2021, RA11518</v>
      </c>
      <c r="V272" s="428" t="str">
        <f>VLOOKUP(H272,'Fund Utilization Report'!$A$4:$U$1800,4,FALSE)</f>
        <v>GAS(GMS)</v>
      </c>
      <c r="W272" s="428" t="str">
        <f>VLOOKUP(H272,'Fund Utilization Report'!$A$4:$U$1800,5,FALSE)</f>
        <v>01101101</v>
      </c>
      <c r="X272" s="428" t="str">
        <f>VLOOKUP(H272,'Fund Utilization Report'!$A$4:$U$1800,6,FALSE)</f>
        <v>GOP</v>
      </c>
      <c r="Y272" s="320" t="str">
        <f>VLOOKUP(H272,'Fund Utilization Report'!$A$4:$U$1800,7,FALSE)</f>
        <v>MOOE</v>
      </c>
      <c r="Z272" s="425">
        <f>VLOOKUP(H272,'Fund Utilization Report'!$A$4:$U$1800,8,FALSE)</f>
        <v>5020000000</v>
      </c>
      <c r="AA272" s="428" t="str">
        <f>VLOOKUP(H272,'Fund Utilization Report'!$A$4:$U$1800,14,FALSE)</f>
        <v>100000100001000</v>
      </c>
      <c r="AB272" s="349" t="str">
        <f>VLOOKUP(H272,'Fund Utilization Report'!$A$4:$U$1800,15,FALSE)</f>
        <v>General Administration and Supervision - General Management and Supervision</v>
      </c>
      <c r="AC272" s="39"/>
      <c r="AD272" s="34"/>
      <c r="AE272" s="39"/>
      <c r="AF272" s="51"/>
      <c r="AG272" s="40"/>
      <c r="AH272" s="40"/>
    </row>
    <row r="273" spans="1:34" s="32" customFormat="1">
      <c r="A273" s="338" t="s">
        <v>942</v>
      </c>
      <c r="B273" s="338" t="s">
        <v>945</v>
      </c>
      <c r="C273" s="358">
        <v>44230</v>
      </c>
      <c r="D273" s="351" t="s">
        <v>1028</v>
      </c>
      <c r="E273" s="352" t="s">
        <v>1078</v>
      </c>
      <c r="F273" s="338">
        <v>0.62847222222222221</v>
      </c>
      <c r="G273" s="338">
        <v>0.63194444444444442</v>
      </c>
      <c r="H273" s="338" t="s">
        <v>968</v>
      </c>
      <c r="I273" s="353">
        <v>784</v>
      </c>
      <c r="J273" s="338" t="str">
        <f>IFERROR(VLOOKUP(I273,'Chart of accounts'!A:H,2,FALSE),"")</f>
        <v>50299040 00</v>
      </c>
      <c r="K273" s="338" t="str">
        <f>IFERROR(VLOOKUP(I273,'Chart of accounts'!A:H,3,FALSE),"")</f>
        <v>Transportation and Delivery Expenses</v>
      </c>
      <c r="L273" s="338" t="str">
        <f>IFERROR(VLOOKUP(I273,'Chart of accounts'!A:H,4,FALSE),"")</f>
        <v>50299040 00 - Transportation and Delivery Expenses (784)</v>
      </c>
      <c r="M273" s="361">
        <v>2</v>
      </c>
      <c r="N273" s="420" t="s">
        <v>818</v>
      </c>
      <c r="O273" s="420" t="s">
        <v>1074</v>
      </c>
      <c r="P273" s="420"/>
      <c r="Q273" s="420">
        <v>3320</v>
      </c>
      <c r="R273" s="428">
        <f t="shared" si="3"/>
        <v>-3320</v>
      </c>
      <c r="S273" s="428" t="str">
        <f>VLOOKUP(H273,'Fund Utilization Report'!$A$4:$U$1800,13,FALSE)</f>
        <v>MOOE</v>
      </c>
      <c r="T273" s="428" t="str">
        <f>VLOOKUP(H273,'Fund Utilization Report'!$A$4:$U$1800,2,FALSE)</f>
        <v>GAA</v>
      </c>
      <c r="U273" s="428" t="str">
        <f>VLOOKUP(H273,'Fund Utilization Report'!$A$4:$U$1800,3,FALSE)</f>
        <v>FY2021, RA11518</v>
      </c>
      <c r="V273" s="428" t="str">
        <f>VLOOKUP(H273,'Fund Utilization Report'!$A$4:$U$1800,4,FALSE)</f>
        <v>OO2</v>
      </c>
      <c r="W273" s="428" t="str">
        <f>VLOOKUP(H273,'Fund Utilization Report'!$A$4:$U$1800,5,FALSE)</f>
        <v>01101101</v>
      </c>
      <c r="X273" s="428" t="str">
        <f>VLOOKUP(H273,'Fund Utilization Report'!$A$4:$U$1800,6,FALSE)</f>
        <v>GOP</v>
      </c>
      <c r="Y273" s="320" t="str">
        <f>VLOOKUP(H273,'Fund Utilization Report'!$A$4:$U$1800,7,FALSE)</f>
        <v>MOOE</v>
      </c>
      <c r="Z273" s="425">
        <f>VLOOKUP(H273,'Fund Utilization Report'!$A$4:$U$1800,8,FALSE)</f>
        <v>5020000000</v>
      </c>
      <c r="AA273" s="428" t="str">
        <f>VLOOKUP(H273,'Fund Utilization Report'!$A$4:$U$1800,14,FALSE)</f>
        <v>320100100001000</v>
      </c>
      <c r="AB273" s="349" t="str">
        <f>VLOOKUP(H273,'Fund Utilization Report'!$A$4:$U$1800,15,FALSE)</f>
        <v>Formulation of Strategic plans,programs, and policies to develop competitve industries</v>
      </c>
      <c r="AC273" s="39"/>
      <c r="AD273" s="34"/>
      <c r="AE273" s="39"/>
      <c r="AF273" s="51"/>
      <c r="AG273" s="40"/>
      <c r="AH273" s="40"/>
    </row>
    <row r="274" spans="1:34" s="32" customFormat="1">
      <c r="A274" s="338" t="s">
        <v>942</v>
      </c>
      <c r="B274" s="338" t="s">
        <v>945</v>
      </c>
      <c r="C274" s="358">
        <v>44230</v>
      </c>
      <c r="D274" s="351" t="s">
        <v>1028</v>
      </c>
      <c r="E274" s="352" t="s">
        <v>1078</v>
      </c>
      <c r="F274" s="338">
        <v>0.62847222222222221</v>
      </c>
      <c r="G274" s="338">
        <v>0.63194444444444442</v>
      </c>
      <c r="H274" s="338" t="s">
        <v>961</v>
      </c>
      <c r="I274" s="353">
        <v>969</v>
      </c>
      <c r="J274" s="338" t="str">
        <f>IFERROR(VLOOKUP(I274,'Chart of accounts'!A:H,2,FALSE),"")</f>
        <v>50299990 99</v>
      </c>
      <c r="K274" s="338" t="str">
        <f>IFERROR(VLOOKUP(I274,'Chart of accounts'!A:H,3,FALSE),"")</f>
        <v>Other Maintenance and Operating Expenses</v>
      </c>
      <c r="L274" s="338" t="str">
        <f>IFERROR(VLOOKUP(I274,'Chart of accounts'!A:H,4,FALSE),"")</f>
        <v>50299990 99 - Other Maintenance and Operating Expenses (969)</v>
      </c>
      <c r="M274" s="361">
        <v>2</v>
      </c>
      <c r="N274" s="420" t="s">
        <v>818</v>
      </c>
      <c r="O274" s="420" t="s">
        <v>1074</v>
      </c>
      <c r="P274" s="420"/>
      <c r="Q274" s="420">
        <v>9376.91</v>
      </c>
      <c r="R274" s="428">
        <f t="shared" si="3"/>
        <v>-9376.91</v>
      </c>
      <c r="S274" s="428" t="str">
        <f>VLOOKUP(H274,'Fund Utilization Report'!$A$4:$U$1800,13,FALSE)</f>
        <v>MOOE</v>
      </c>
      <c r="T274" s="428" t="str">
        <f>VLOOKUP(H274,'Fund Utilization Report'!$A$4:$U$1800,2,FALSE)</f>
        <v>GAA</v>
      </c>
      <c r="U274" s="428" t="str">
        <f>VLOOKUP(H274,'Fund Utilization Report'!$A$4:$U$1800,3,FALSE)</f>
        <v>FY2021, RA11518</v>
      </c>
      <c r="V274" s="428" t="str">
        <f>VLOOKUP(H274,'Fund Utilization Report'!$A$4:$U$1800,4,FALSE)</f>
        <v>GAS(GMS)</v>
      </c>
      <c r="W274" s="428" t="str">
        <f>VLOOKUP(H274,'Fund Utilization Report'!$A$4:$U$1800,5,FALSE)</f>
        <v>01101101</v>
      </c>
      <c r="X274" s="428" t="str">
        <f>VLOOKUP(H274,'Fund Utilization Report'!$A$4:$U$1800,6,FALSE)</f>
        <v>GOP</v>
      </c>
      <c r="Y274" s="320" t="str">
        <f>VLOOKUP(H274,'Fund Utilization Report'!$A$4:$U$1800,7,FALSE)</f>
        <v>MOOE</v>
      </c>
      <c r="Z274" s="425">
        <f>VLOOKUP(H274,'Fund Utilization Report'!$A$4:$U$1800,8,FALSE)</f>
        <v>5020000000</v>
      </c>
      <c r="AA274" s="428" t="str">
        <f>VLOOKUP(H274,'Fund Utilization Report'!$A$4:$U$1800,14,FALSE)</f>
        <v>100000100001000</v>
      </c>
      <c r="AB274" s="349" t="str">
        <f>VLOOKUP(H274,'Fund Utilization Report'!$A$4:$U$1800,15,FALSE)</f>
        <v>General Administration and Supervision - General Management and Supervision</v>
      </c>
      <c r="AC274" s="39"/>
      <c r="AD274" s="34"/>
      <c r="AE274" s="39"/>
      <c r="AF274" s="51"/>
      <c r="AG274" s="40"/>
      <c r="AH274" s="40"/>
    </row>
    <row r="275" spans="1:34" s="32" customFormat="1">
      <c r="A275" s="338" t="s">
        <v>942</v>
      </c>
      <c r="B275" s="338" t="s">
        <v>945</v>
      </c>
      <c r="C275" s="358">
        <v>44230</v>
      </c>
      <c r="D275" s="351" t="s">
        <v>1028</v>
      </c>
      <c r="E275" s="352" t="s">
        <v>1079</v>
      </c>
      <c r="F275" s="338">
        <v>0.63194444444444442</v>
      </c>
      <c r="G275" s="338">
        <v>0.63750000000000007</v>
      </c>
      <c r="H275" s="338" t="s">
        <v>961</v>
      </c>
      <c r="I275" s="353">
        <v>756</v>
      </c>
      <c r="J275" s="338" t="str">
        <f>IFERROR(VLOOKUP(I275,'Chart of accounts'!A:H,2,FALSE),"")</f>
        <v>50203020 00</v>
      </c>
      <c r="K275" s="338" t="str">
        <f>IFERROR(VLOOKUP(I275,'Chart of accounts'!A:H,3,FALSE),"")</f>
        <v xml:space="preserve">Accountable Forms Expenses </v>
      </c>
      <c r="L275" s="338" t="str">
        <f>IFERROR(VLOOKUP(I275,'Chart of accounts'!A:H,4,FALSE),"")</f>
        <v>50203020 00 - Accountable Forms Expenses  (756)</v>
      </c>
      <c r="M275" s="361">
        <v>3</v>
      </c>
      <c r="N275" s="420" t="s">
        <v>820</v>
      </c>
      <c r="O275" s="420" t="s">
        <v>1074</v>
      </c>
      <c r="P275" s="420"/>
      <c r="Q275" s="420">
        <v>1660</v>
      </c>
      <c r="R275" s="319">
        <f t="shared" si="3"/>
        <v>-1660</v>
      </c>
      <c r="S275" s="428" t="str">
        <f>VLOOKUP(H275,'Fund Utilization Report'!$A$4:$U$1800,13,FALSE)</f>
        <v>MOOE</v>
      </c>
      <c r="T275" s="428" t="str">
        <f>VLOOKUP(H275,'Fund Utilization Report'!$A$4:$U$1800,2,FALSE)</f>
        <v>GAA</v>
      </c>
      <c r="U275" s="428" t="str">
        <f>VLOOKUP(H275,'Fund Utilization Report'!$A$4:$U$1800,3,FALSE)</f>
        <v>FY2021, RA11518</v>
      </c>
      <c r="V275" s="428" t="str">
        <f>VLOOKUP(H275,'Fund Utilization Report'!$A$4:$U$1800,4,FALSE)</f>
        <v>GAS(GMS)</v>
      </c>
      <c r="W275" s="428" t="str">
        <f>VLOOKUP(H275,'Fund Utilization Report'!$A$4:$U$1800,5,FALSE)</f>
        <v>01101101</v>
      </c>
      <c r="X275" s="428" t="str">
        <f>VLOOKUP(H275,'Fund Utilization Report'!$A$4:$U$1800,6,FALSE)</f>
        <v>GOP</v>
      </c>
      <c r="Y275" s="320" t="str">
        <f>VLOOKUP(H275,'Fund Utilization Report'!$A$4:$U$1800,7,FALSE)</f>
        <v>MOOE</v>
      </c>
      <c r="Z275" s="425">
        <f>VLOOKUP(H275,'Fund Utilization Report'!$A$4:$U$1800,8,FALSE)</f>
        <v>5020000000</v>
      </c>
      <c r="AA275" s="428" t="str">
        <f>VLOOKUP(H275,'Fund Utilization Report'!$A$4:$U$1800,14,FALSE)</f>
        <v>100000100001000</v>
      </c>
      <c r="AB275" s="349" t="str">
        <f>VLOOKUP(H275,'Fund Utilization Report'!$A$4:$U$1800,15,FALSE)</f>
        <v>General Administration and Supervision - General Management and Supervision</v>
      </c>
      <c r="AC275" s="39"/>
      <c r="AD275" s="34"/>
      <c r="AE275" s="39"/>
      <c r="AF275" s="51"/>
      <c r="AG275" s="40"/>
      <c r="AH275" s="40"/>
    </row>
    <row r="276" spans="1:34" s="32" customFormat="1">
      <c r="A276" s="338" t="s">
        <v>942</v>
      </c>
      <c r="B276" s="338" t="s">
        <v>945</v>
      </c>
      <c r="C276" s="358">
        <v>44230</v>
      </c>
      <c r="D276" s="351" t="s">
        <v>1028</v>
      </c>
      <c r="E276" s="352" t="s">
        <v>1079</v>
      </c>
      <c r="F276" s="338">
        <v>0.63194444444444442</v>
      </c>
      <c r="G276" s="338">
        <v>0.63750000000000007</v>
      </c>
      <c r="H276" s="338" t="s">
        <v>961</v>
      </c>
      <c r="I276" s="353">
        <v>753</v>
      </c>
      <c r="J276" s="338" t="str">
        <f>IFERROR(VLOOKUP(I276,'Chart of accounts'!A:H,2,FALSE),"")</f>
        <v>50202010 00</v>
      </c>
      <c r="K276" s="338" t="str">
        <f>IFERROR(VLOOKUP(I276,'Chart of accounts'!A:H,3,FALSE),"")</f>
        <v>Training Expenses</v>
      </c>
      <c r="L276" s="338" t="str">
        <f>IFERROR(VLOOKUP(I276,'Chart of accounts'!A:H,4,FALSE),"")</f>
        <v>50202010 00 - Training Expenses (753)</v>
      </c>
      <c r="M276" s="361">
        <v>3</v>
      </c>
      <c r="N276" s="420" t="s">
        <v>820</v>
      </c>
      <c r="O276" s="420" t="s">
        <v>1074</v>
      </c>
      <c r="P276" s="420"/>
      <c r="Q276" s="420">
        <v>9960</v>
      </c>
      <c r="R276" s="428">
        <f t="shared" si="3"/>
        <v>-9960</v>
      </c>
      <c r="S276" s="428" t="str">
        <f>VLOOKUP(H276,'Fund Utilization Report'!$A$4:$U$1800,13,FALSE)</f>
        <v>MOOE</v>
      </c>
      <c r="T276" s="428" t="str">
        <f>VLOOKUP(H276,'Fund Utilization Report'!$A$4:$U$1800,2,FALSE)</f>
        <v>GAA</v>
      </c>
      <c r="U276" s="428" t="str">
        <f>VLOOKUP(H276,'Fund Utilization Report'!$A$4:$U$1800,3,FALSE)</f>
        <v>FY2021, RA11518</v>
      </c>
      <c r="V276" s="428" t="str">
        <f>VLOOKUP(H276,'Fund Utilization Report'!$A$4:$U$1800,4,FALSE)</f>
        <v>GAS(GMS)</v>
      </c>
      <c r="W276" s="428" t="str">
        <f>VLOOKUP(H276,'Fund Utilization Report'!$A$4:$U$1800,5,FALSE)</f>
        <v>01101101</v>
      </c>
      <c r="X276" s="428" t="str">
        <f>VLOOKUP(H276,'Fund Utilization Report'!$A$4:$U$1800,6,FALSE)</f>
        <v>GOP</v>
      </c>
      <c r="Y276" s="320" t="str">
        <f>VLOOKUP(H276,'Fund Utilization Report'!$A$4:$U$1800,7,FALSE)</f>
        <v>MOOE</v>
      </c>
      <c r="Z276" s="425">
        <f>VLOOKUP(H276,'Fund Utilization Report'!$A$4:$U$1800,8,FALSE)</f>
        <v>5020000000</v>
      </c>
      <c r="AA276" s="428" t="str">
        <f>VLOOKUP(H276,'Fund Utilization Report'!$A$4:$U$1800,14,FALSE)</f>
        <v>100000100001000</v>
      </c>
      <c r="AB276" s="349" t="str">
        <f>VLOOKUP(H276,'Fund Utilization Report'!$A$4:$U$1800,15,FALSE)</f>
        <v>General Administration and Supervision - General Management and Supervision</v>
      </c>
      <c r="AC276" s="39"/>
      <c r="AD276" s="34"/>
      <c r="AE276" s="39"/>
      <c r="AF276" s="51"/>
      <c r="AG276" s="40"/>
      <c r="AH276" s="40"/>
    </row>
    <row r="277" spans="1:34" s="32" customFormat="1">
      <c r="A277" s="338" t="s">
        <v>942</v>
      </c>
      <c r="B277" s="338" t="s">
        <v>945</v>
      </c>
      <c r="C277" s="358">
        <v>44230</v>
      </c>
      <c r="D277" s="351" t="s">
        <v>1028</v>
      </c>
      <c r="E277" s="352" t="s">
        <v>1079</v>
      </c>
      <c r="F277" s="338">
        <v>0.63194444444444442</v>
      </c>
      <c r="G277" s="338">
        <v>0.63750000000000007</v>
      </c>
      <c r="H277" s="338" t="s">
        <v>961</v>
      </c>
      <c r="I277" s="353">
        <v>761</v>
      </c>
      <c r="J277" s="338" t="str">
        <f>IFERROR(VLOOKUP(I277,'Chart of accounts'!A:H,2,FALSE),"")</f>
        <v>50203090 00</v>
      </c>
      <c r="K277" s="338" t="str">
        <f>IFERROR(VLOOKUP(I277,'Chart of accounts'!A:H,3,FALSE),"")</f>
        <v>Fuel, Oil and Lubricants Expenses</v>
      </c>
      <c r="L277" s="338" t="str">
        <f>IFERROR(VLOOKUP(I277,'Chart of accounts'!A:H,4,FALSE),"")</f>
        <v>50203090 00 - Fuel, Oil and Lubricants Expenses (761)</v>
      </c>
      <c r="M277" s="361">
        <v>3</v>
      </c>
      <c r="N277" s="420" t="s">
        <v>820</v>
      </c>
      <c r="O277" s="420" t="s">
        <v>1074</v>
      </c>
      <c r="P277" s="420"/>
      <c r="Q277" s="420">
        <v>11066.67</v>
      </c>
      <c r="R277" s="428">
        <f t="shared" si="3"/>
        <v>-11066.67</v>
      </c>
      <c r="S277" s="428" t="str">
        <f>VLOOKUP(H277,'Fund Utilization Report'!$A$4:$U$1800,13,FALSE)</f>
        <v>MOOE</v>
      </c>
      <c r="T277" s="428" t="str">
        <f>VLOOKUP(H277,'Fund Utilization Report'!$A$4:$U$1800,2,FALSE)</f>
        <v>GAA</v>
      </c>
      <c r="U277" s="428" t="str">
        <f>VLOOKUP(H277,'Fund Utilization Report'!$A$4:$U$1800,3,FALSE)</f>
        <v>FY2021, RA11518</v>
      </c>
      <c r="V277" s="428" t="str">
        <f>VLOOKUP(H277,'Fund Utilization Report'!$A$4:$U$1800,4,FALSE)</f>
        <v>GAS(GMS)</v>
      </c>
      <c r="W277" s="428" t="str">
        <f>VLOOKUP(H277,'Fund Utilization Report'!$A$4:$U$1800,5,FALSE)</f>
        <v>01101101</v>
      </c>
      <c r="X277" s="428" t="str">
        <f>VLOOKUP(H277,'Fund Utilization Report'!$A$4:$U$1800,6,FALSE)</f>
        <v>GOP</v>
      </c>
      <c r="Y277" s="320" t="str">
        <f>VLOOKUP(H277,'Fund Utilization Report'!$A$4:$U$1800,7,FALSE)</f>
        <v>MOOE</v>
      </c>
      <c r="Z277" s="425">
        <f>VLOOKUP(H277,'Fund Utilization Report'!$A$4:$U$1800,8,FALSE)</f>
        <v>5020000000</v>
      </c>
      <c r="AA277" s="428" t="str">
        <f>VLOOKUP(H277,'Fund Utilization Report'!$A$4:$U$1800,14,FALSE)</f>
        <v>100000100001000</v>
      </c>
      <c r="AB277" s="349" t="str">
        <f>VLOOKUP(H277,'Fund Utilization Report'!$A$4:$U$1800,15,FALSE)</f>
        <v>General Administration and Supervision - General Management and Supervision</v>
      </c>
      <c r="AC277" s="39"/>
      <c r="AD277" s="34"/>
      <c r="AE277" s="39"/>
      <c r="AF277" s="51"/>
      <c r="AG277" s="40"/>
      <c r="AH277" s="40"/>
    </row>
    <row r="278" spans="1:34" s="32" customFormat="1">
      <c r="A278" s="338" t="s">
        <v>942</v>
      </c>
      <c r="B278" s="338" t="s">
        <v>945</v>
      </c>
      <c r="C278" s="358">
        <v>44230</v>
      </c>
      <c r="D278" s="351" t="s">
        <v>1028</v>
      </c>
      <c r="E278" s="352" t="s">
        <v>1079</v>
      </c>
      <c r="F278" s="338">
        <v>0.63194444444444442</v>
      </c>
      <c r="G278" s="338">
        <v>0.63750000000000007</v>
      </c>
      <c r="H278" s="338" t="s">
        <v>961</v>
      </c>
      <c r="I278" s="353">
        <v>766</v>
      </c>
      <c r="J278" s="338" t="str">
        <f>IFERROR(VLOOKUP(I278,'Chart of accounts'!A:H,2,FALSE),"")</f>
        <v>50204010 00</v>
      </c>
      <c r="K278" s="338" t="str">
        <f>IFERROR(VLOOKUP(I278,'Chart of accounts'!A:H,3,FALSE),"")</f>
        <v>Water Expenses</v>
      </c>
      <c r="L278" s="338" t="str">
        <f>IFERROR(VLOOKUP(I278,'Chart of accounts'!A:H,4,FALSE),"")</f>
        <v>50204010 00 - Water Expenses (766)</v>
      </c>
      <c r="M278" s="361">
        <v>3</v>
      </c>
      <c r="N278" s="420" t="s">
        <v>820</v>
      </c>
      <c r="O278" s="420" t="s">
        <v>1074</v>
      </c>
      <c r="P278" s="420"/>
      <c r="Q278" s="420">
        <v>2158</v>
      </c>
      <c r="R278" s="428">
        <f t="shared" si="3"/>
        <v>-2158</v>
      </c>
      <c r="S278" s="428" t="str">
        <f>VLOOKUP(H278,'Fund Utilization Report'!$A$4:$U$1800,13,FALSE)</f>
        <v>MOOE</v>
      </c>
      <c r="T278" s="428" t="str">
        <f>VLOOKUP(H278,'Fund Utilization Report'!$A$4:$U$1800,2,FALSE)</f>
        <v>GAA</v>
      </c>
      <c r="U278" s="428" t="str">
        <f>VLOOKUP(H278,'Fund Utilization Report'!$A$4:$U$1800,3,FALSE)</f>
        <v>FY2021, RA11518</v>
      </c>
      <c r="V278" s="428" t="str">
        <f>VLOOKUP(H278,'Fund Utilization Report'!$A$4:$U$1800,4,FALSE)</f>
        <v>GAS(GMS)</v>
      </c>
      <c r="W278" s="428" t="str">
        <f>VLOOKUP(H278,'Fund Utilization Report'!$A$4:$U$1800,5,FALSE)</f>
        <v>01101101</v>
      </c>
      <c r="X278" s="428" t="str">
        <f>VLOOKUP(H278,'Fund Utilization Report'!$A$4:$U$1800,6,FALSE)</f>
        <v>GOP</v>
      </c>
      <c r="Y278" s="320" t="str">
        <f>VLOOKUP(H278,'Fund Utilization Report'!$A$4:$U$1800,7,FALSE)</f>
        <v>MOOE</v>
      </c>
      <c r="Z278" s="425">
        <f>VLOOKUP(H278,'Fund Utilization Report'!$A$4:$U$1800,8,FALSE)</f>
        <v>5020000000</v>
      </c>
      <c r="AA278" s="428" t="str">
        <f>VLOOKUP(H278,'Fund Utilization Report'!$A$4:$U$1800,14,FALSE)</f>
        <v>100000100001000</v>
      </c>
      <c r="AB278" s="349" t="str">
        <f>VLOOKUP(H278,'Fund Utilization Report'!$A$4:$U$1800,15,FALSE)</f>
        <v>General Administration and Supervision - General Management and Supervision</v>
      </c>
      <c r="AC278" s="39"/>
      <c r="AD278" s="34"/>
      <c r="AE278" s="39"/>
      <c r="AF278" s="51"/>
      <c r="AG278" s="40"/>
      <c r="AH278" s="40"/>
    </row>
    <row r="279" spans="1:34" s="32" customFormat="1">
      <c r="A279" s="338" t="s">
        <v>942</v>
      </c>
      <c r="B279" s="338" t="s">
        <v>945</v>
      </c>
      <c r="C279" s="358">
        <v>44230</v>
      </c>
      <c r="D279" s="351" t="s">
        <v>1028</v>
      </c>
      <c r="E279" s="352" t="s">
        <v>1079</v>
      </c>
      <c r="F279" s="338">
        <v>0.63194444444444442</v>
      </c>
      <c r="G279" s="338">
        <v>0.63750000000000007</v>
      </c>
      <c r="H279" s="338" t="s">
        <v>961</v>
      </c>
      <c r="I279" s="353">
        <v>767</v>
      </c>
      <c r="J279" s="338" t="str">
        <f>IFERROR(VLOOKUP(I279,'Chart of accounts'!A:H,2,FALSE),"")</f>
        <v>50204020 00</v>
      </c>
      <c r="K279" s="338" t="str">
        <f>IFERROR(VLOOKUP(I279,'Chart of accounts'!A:H,3,FALSE),"")</f>
        <v>Electricity Expense</v>
      </c>
      <c r="L279" s="338" t="str">
        <f>IFERROR(VLOOKUP(I279,'Chart of accounts'!A:H,4,FALSE),"")</f>
        <v>50204020 00 - Electricity Expense (767)</v>
      </c>
      <c r="M279" s="361">
        <v>3</v>
      </c>
      <c r="N279" s="420" t="s">
        <v>820</v>
      </c>
      <c r="O279" s="420" t="s">
        <v>1074</v>
      </c>
      <c r="P279" s="420"/>
      <c r="Q279" s="420">
        <v>38180</v>
      </c>
      <c r="R279" s="428">
        <f t="shared" si="3"/>
        <v>-38180</v>
      </c>
      <c r="S279" s="428" t="str">
        <f>VLOOKUP(H279,'Fund Utilization Report'!$A$4:$U$1800,13,FALSE)</f>
        <v>MOOE</v>
      </c>
      <c r="T279" s="428" t="str">
        <f>VLOOKUP(H279,'Fund Utilization Report'!$A$4:$U$1800,2,FALSE)</f>
        <v>GAA</v>
      </c>
      <c r="U279" s="428" t="str">
        <f>VLOOKUP(H279,'Fund Utilization Report'!$A$4:$U$1800,3,FALSE)</f>
        <v>FY2021, RA11518</v>
      </c>
      <c r="V279" s="428" t="str">
        <f>VLOOKUP(H279,'Fund Utilization Report'!$A$4:$U$1800,4,FALSE)</f>
        <v>GAS(GMS)</v>
      </c>
      <c r="W279" s="428" t="str">
        <f>VLOOKUP(H279,'Fund Utilization Report'!$A$4:$U$1800,5,FALSE)</f>
        <v>01101101</v>
      </c>
      <c r="X279" s="428" t="str">
        <f>VLOOKUP(H279,'Fund Utilization Report'!$A$4:$U$1800,6,FALSE)</f>
        <v>GOP</v>
      </c>
      <c r="Y279" s="320" t="str">
        <f>VLOOKUP(H279,'Fund Utilization Report'!$A$4:$U$1800,7,FALSE)</f>
        <v>MOOE</v>
      </c>
      <c r="Z279" s="425">
        <f>VLOOKUP(H279,'Fund Utilization Report'!$A$4:$U$1800,8,FALSE)</f>
        <v>5020000000</v>
      </c>
      <c r="AA279" s="428" t="str">
        <f>VLOOKUP(H279,'Fund Utilization Report'!$A$4:$U$1800,14,FALSE)</f>
        <v>100000100001000</v>
      </c>
      <c r="AB279" s="349" t="str">
        <f>VLOOKUP(H279,'Fund Utilization Report'!$A$4:$U$1800,15,FALSE)</f>
        <v>General Administration and Supervision - General Management and Supervision</v>
      </c>
      <c r="AC279" s="39"/>
      <c r="AD279" s="34"/>
      <c r="AE279" s="39"/>
      <c r="AF279" s="51"/>
      <c r="AG279" s="40"/>
      <c r="AH279" s="40"/>
    </row>
    <row r="280" spans="1:34" s="32" customFormat="1">
      <c r="A280" s="338" t="s">
        <v>942</v>
      </c>
      <c r="B280" s="338" t="s">
        <v>945</v>
      </c>
      <c r="C280" s="358">
        <v>44230</v>
      </c>
      <c r="D280" s="351" t="s">
        <v>1028</v>
      </c>
      <c r="E280" s="352" t="s">
        <v>1079</v>
      </c>
      <c r="F280" s="338">
        <v>0.63194444444444442</v>
      </c>
      <c r="G280" s="338">
        <v>0.63750000000000007</v>
      </c>
      <c r="H280" s="338" t="s">
        <v>961</v>
      </c>
      <c r="I280" s="353">
        <v>771</v>
      </c>
      <c r="J280" s="338" t="str">
        <f>IFERROR(VLOOKUP(I280,'Chart of accounts'!A:H,2,FALSE),"")</f>
        <v>50205010 00</v>
      </c>
      <c r="K280" s="338" t="str">
        <f>IFERROR(VLOOKUP(I280,'Chart of accounts'!A:H,3,FALSE),"")</f>
        <v>Postage and Courier Services</v>
      </c>
      <c r="L280" s="338" t="str">
        <f>IFERROR(VLOOKUP(I280,'Chart of accounts'!A:H,4,FALSE),"")</f>
        <v>50205010 00 - Postage and Courier Services (771)</v>
      </c>
      <c r="M280" s="361">
        <v>3</v>
      </c>
      <c r="N280" s="420" t="s">
        <v>820</v>
      </c>
      <c r="O280" s="420" t="s">
        <v>1074</v>
      </c>
      <c r="P280" s="420"/>
      <c r="Q280" s="420">
        <v>4150</v>
      </c>
      <c r="R280" s="428">
        <f t="shared" si="3"/>
        <v>-4150</v>
      </c>
      <c r="S280" s="428" t="str">
        <f>VLOOKUP(H280,'Fund Utilization Report'!$A$4:$U$1800,13,FALSE)</f>
        <v>MOOE</v>
      </c>
      <c r="T280" s="428" t="str">
        <f>VLOOKUP(H280,'Fund Utilization Report'!$A$4:$U$1800,2,FALSE)</f>
        <v>GAA</v>
      </c>
      <c r="U280" s="428" t="str">
        <f>VLOOKUP(H280,'Fund Utilization Report'!$A$4:$U$1800,3,FALSE)</f>
        <v>FY2021, RA11518</v>
      </c>
      <c r="V280" s="428" t="str">
        <f>VLOOKUP(H280,'Fund Utilization Report'!$A$4:$U$1800,4,FALSE)</f>
        <v>GAS(GMS)</v>
      </c>
      <c r="W280" s="428" t="str">
        <f>VLOOKUP(H280,'Fund Utilization Report'!$A$4:$U$1800,5,FALSE)</f>
        <v>01101101</v>
      </c>
      <c r="X280" s="428" t="str">
        <f>VLOOKUP(H280,'Fund Utilization Report'!$A$4:$U$1800,6,FALSE)</f>
        <v>GOP</v>
      </c>
      <c r="Y280" s="320" t="str">
        <f>VLOOKUP(H280,'Fund Utilization Report'!$A$4:$U$1800,7,FALSE)</f>
        <v>MOOE</v>
      </c>
      <c r="Z280" s="425">
        <f>VLOOKUP(H280,'Fund Utilization Report'!$A$4:$U$1800,8,FALSE)</f>
        <v>5020000000</v>
      </c>
      <c r="AA280" s="428" t="str">
        <f>VLOOKUP(H280,'Fund Utilization Report'!$A$4:$U$1800,14,FALSE)</f>
        <v>100000100001000</v>
      </c>
      <c r="AB280" s="349" t="str">
        <f>VLOOKUP(H280,'Fund Utilization Report'!$A$4:$U$1800,15,FALSE)</f>
        <v>General Administration and Supervision - General Management and Supervision</v>
      </c>
      <c r="AC280" s="39"/>
      <c r="AD280" s="34"/>
      <c r="AE280" s="39"/>
      <c r="AF280" s="51"/>
      <c r="AG280" s="40"/>
      <c r="AH280" s="40"/>
    </row>
    <row r="281" spans="1:34" s="32" customFormat="1">
      <c r="A281" s="338" t="s">
        <v>942</v>
      </c>
      <c r="B281" s="338" t="s">
        <v>945</v>
      </c>
      <c r="C281" s="358">
        <v>44230</v>
      </c>
      <c r="D281" s="351" t="s">
        <v>1028</v>
      </c>
      <c r="E281" s="352" t="s">
        <v>1079</v>
      </c>
      <c r="F281" s="338">
        <v>0.63194444444444442</v>
      </c>
      <c r="G281" s="338">
        <v>0.63750000000000007</v>
      </c>
      <c r="H281" s="338" t="s">
        <v>961</v>
      </c>
      <c r="I281" s="353">
        <v>773</v>
      </c>
      <c r="J281" s="338" t="str">
        <f>IFERROR(VLOOKUP(I281,'Chart of accounts'!A:H,2,FALSE),"")</f>
        <v>50205020 01</v>
      </c>
      <c r="K281" s="338" t="str">
        <f>IFERROR(VLOOKUP(I281,'Chart of accounts'!A:H,3,FALSE),"")</f>
        <v xml:space="preserve">Telephone Expenses - Mobile </v>
      </c>
      <c r="L281" s="338" t="str">
        <f>IFERROR(VLOOKUP(I281,'Chart of accounts'!A:H,4,FALSE),"")</f>
        <v>50205020 01 - Telephone Expenses - Mobile  (773)</v>
      </c>
      <c r="M281" s="361">
        <v>3</v>
      </c>
      <c r="N281" s="420" t="s">
        <v>820</v>
      </c>
      <c r="O281" s="420" t="s">
        <v>1074</v>
      </c>
      <c r="P281" s="420"/>
      <c r="Q281" s="420">
        <v>2988</v>
      </c>
      <c r="R281" s="428">
        <f t="shared" si="3"/>
        <v>-2988</v>
      </c>
      <c r="S281" s="428" t="str">
        <f>VLOOKUP(H281,'Fund Utilization Report'!$A$4:$U$1800,13,FALSE)</f>
        <v>MOOE</v>
      </c>
      <c r="T281" s="428" t="str">
        <f>VLOOKUP(H281,'Fund Utilization Report'!$A$4:$U$1800,2,FALSE)</f>
        <v>GAA</v>
      </c>
      <c r="U281" s="428" t="str">
        <f>VLOOKUP(H281,'Fund Utilization Report'!$A$4:$U$1800,3,FALSE)</f>
        <v>FY2021, RA11518</v>
      </c>
      <c r="V281" s="428" t="str">
        <f>VLOOKUP(H281,'Fund Utilization Report'!$A$4:$U$1800,4,FALSE)</f>
        <v>GAS(GMS)</v>
      </c>
      <c r="W281" s="428" t="str">
        <f>VLOOKUP(H281,'Fund Utilization Report'!$A$4:$U$1800,5,FALSE)</f>
        <v>01101101</v>
      </c>
      <c r="X281" s="428" t="str">
        <f>VLOOKUP(H281,'Fund Utilization Report'!$A$4:$U$1800,6,FALSE)</f>
        <v>GOP</v>
      </c>
      <c r="Y281" s="320" t="str">
        <f>VLOOKUP(H281,'Fund Utilization Report'!$A$4:$U$1800,7,FALSE)</f>
        <v>MOOE</v>
      </c>
      <c r="Z281" s="425">
        <f>VLOOKUP(H281,'Fund Utilization Report'!$A$4:$U$1800,8,FALSE)</f>
        <v>5020000000</v>
      </c>
      <c r="AA281" s="428" t="str">
        <f>VLOOKUP(H281,'Fund Utilization Report'!$A$4:$U$1800,14,FALSE)</f>
        <v>100000100001000</v>
      </c>
      <c r="AB281" s="349" t="str">
        <f>VLOOKUP(H281,'Fund Utilization Report'!$A$4:$U$1800,15,FALSE)</f>
        <v>General Administration and Supervision - General Management and Supervision</v>
      </c>
      <c r="AC281" s="39"/>
      <c r="AD281" s="34"/>
      <c r="AE281" s="39"/>
      <c r="AF281" s="51"/>
      <c r="AG281" s="40"/>
      <c r="AH281" s="40"/>
    </row>
    <row r="282" spans="1:34" s="32" customFormat="1">
      <c r="A282" s="338" t="s">
        <v>942</v>
      </c>
      <c r="B282" s="338" t="s">
        <v>945</v>
      </c>
      <c r="C282" s="358">
        <v>44230</v>
      </c>
      <c r="D282" s="351" t="s">
        <v>1028</v>
      </c>
      <c r="E282" s="352" t="s">
        <v>1079</v>
      </c>
      <c r="F282" s="338">
        <v>0.63194444444444442</v>
      </c>
      <c r="G282" s="338">
        <v>0.63750000000000007</v>
      </c>
      <c r="H282" s="338" t="s">
        <v>961</v>
      </c>
      <c r="I282" s="353">
        <v>775</v>
      </c>
      <c r="J282" s="338" t="str">
        <f>IFERROR(VLOOKUP(I282,'Chart of accounts'!A:H,2,FALSE),"")</f>
        <v>50205040 00</v>
      </c>
      <c r="K282" s="338" t="str">
        <f>IFERROR(VLOOKUP(I282,'Chart of accounts'!A:H,3,FALSE),"")</f>
        <v>Cable, Satellite, Telegraph, and Radio Expenses</v>
      </c>
      <c r="L282" s="338" t="str">
        <f>IFERROR(VLOOKUP(I282,'Chart of accounts'!A:H,4,FALSE),"")</f>
        <v>50205040 00 - Cable, Satellite, Telegraph, and Radio Expenses (775)</v>
      </c>
      <c r="M282" s="361">
        <v>3</v>
      </c>
      <c r="N282" s="420" t="s">
        <v>820</v>
      </c>
      <c r="O282" s="420" t="s">
        <v>1074</v>
      </c>
      <c r="P282" s="420"/>
      <c r="Q282" s="420">
        <v>830</v>
      </c>
      <c r="R282" s="428">
        <f t="shared" si="3"/>
        <v>-830</v>
      </c>
      <c r="S282" s="428" t="str">
        <f>VLOOKUP(H282,'Fund Utilization Report'!$A$4:$U$1800,13,FALSE)</f>
        <v>MOOE</v>
      </c>
      <c r="T282" s="428" t="str">
        <f>VLOOKUP(H282,'Fund Utilization Report'!$A$4:$U$1800,2,FALSE)</f>
        <v>GAA</v>
      </c>
      <c r="U282" s="428" t="str">
        <f>VLOOKUP(H282,'Fund Utilization Report'!$A$4:$U$1800,3,FALSE)</f>
        <v>FY2021, RA11518</v>
      </c>
      <c r="V282" s="428" t="str">
        <f>VLOOKUP(H282,'Fund Utilization Report'!$A$4:$U$1800,4,FALSE)</f>
        <v>GAS(GMS)</v>
      </c>
      <c r="W282" s="428" t="str">
        <f>VLOOKUP(H282,'Fund Utilization Report'!$A$4:$U$1800,5,FALSE)</f>
        <v>01101101</v>
      </c>
      <c r="X282" s="428" t="str">
        <f>VLOOKUP(H282,'Fund Utilization Report'!$A$4:$U$1800,6,FALSE)</f>
        <v>GOP</v>
      </c>
      <c r="Y282" s="320" t="str">
        <f>VLOOKUP(H282,'Fund Utilization Report'!$A$4:$U$1800,7,FALSE)</f>
        <v>MOOE</v>
      </c>
      <c r="Z282" s="425">
        <f>VLOOKUP(H282,'Fund Utilization Report'!$A$4:$U$1800,8,FALSE)</f>
        <v>5020000000</v>
      </c>
      <c r="AA282" s="428" t="str">
        <f>VLOOKUP(H282,'Fund Utilization Report'!$A$4:$U$1800,14,FALSE)</f>
        <v>100000100001000</v>
      </c>
      <c r="AB282" s="349" t="str">
        <f>VLOOKUP(H282,'Fund Utilization Report'!$A$4:$U$1800,15,FALSE)</f>
        <v>General Administration and Supervision - General Management and Supervision</v>
      </c>
      <c r="AC282" s="39"/>
      <c r="AD282" s="34"/>
      <c r="AE282" s="39"/>
      <c r="AF282" s="51"/>
      <c r="AG282" s="40"/>
      <c r="AH282" s="40"/>
    </row>
    <row r="283" spans="1:34" s="32" customFormat="1">
      <c r="A283" s="338" t="s">
        <v>942</v>
      </c>
      <c r="B283" s="338" t="s">
        <v>945</v>
      </c>
      <c r="C283" s="358">
        <v>44230</v>
      </c>
      <c r="D283" s="351" t="s">
        <v>1028</v>
      </c>
      <c r="E283" s="352" t="s">
        <v>1079</v>
      </c>
      <c r="F283" s="338">
        <v>0.63194444444444442</v>
      </c>
      <c r="G283" s="338">
        <v>0.63750000000000007</v>
      </c>
      <c r="H283" s="338" t="s">
        <v>961</v>
      </c>
      <c r="I283" s="353">
        <v>791</v>
      </c>
      <c r="J283" s="338" t="str">
        <f>IFERROR(VLOOKUP(I283,'Chart of accounts'!A:H,2,FALSE),"")</f>
        <v>50211010 00</v>
      </c>
      <c r="K283" s="338" t="str">
        <f>IFERROR(VLOOKUP(I283,'Chart of accounts'!A:H,3,FALSE),"")</f>
        <v>Legal Services</v>
      </c>
      <c r="L283" s="338" t="str">
        <f>IFERROR(VLOOKUP(I283,'Chart of accounts'!A:H,4,FALSE),"")</f>
        <v>50211010 00 - Legal Services (791)</v>
      </c>
      <c r="M283" s="361">
        <v>3</v>
      </c>
      <c r="N283" s="420" t="s">
        <v>820</v>
      </c>
      <c r="O283" s="420" t="s">
        <v>1074</v>
      </c>
      <c r="P283" s="420"/>
      <c r="Q283" s="420">
        <v>498</v>
      </c>
      <c r="R283" s="428">
        <f t="shared" si="3"/>
        <v>-498</v>
      </c>
      <c r="S283" s="428" t="str">
        <f>VLOOKUP(H283,'Fund Utilization Report'!$A$4:$U$1800,13,FALSE)</f>
        <v>MOOE</v>
      </c>
      <c r="T283" s="428" t="str">
        <f>VLOOKUP(H283,'Fund Utilization Report'!$A$4:$U$1800,2,FALSE)</f>
        <v>GAA</v>
      </c>
      <c r="U283" s="428" t="str">
        <f>VLOOKUP(H283,'Fund Utilization Report'!$A$4:$U$1800,3,FALSE)</f>
        <v>FY2021, RA11518</v>
      </c>
      <c r="V283" s="428" t="str">
        <f>VLOOKUP(H283,'Fund Utilization Report'!$A$4:$U$1800,4,FALSE)</f>
        <v>GAS(GMS)</v>
      </c>
      <c r="W283" s="428" t="str">
        <f>VLOOKUP(H283,'Fund Utilization Report'!$A$4:$U$1800,5,FALSE)</f>
        <v>01101101</v>
      </c>
      <c r="X283" s="428" t="str">
        <f>VLOOKUP(H283,'Fund Utilization Report'!$A$4:$U$1800,6,FALSE)</f>
        <v>GOP</v>
      </c>
      <c r="Y283" s="320" t="str">
        <f>VLOOKUP(H283,'Fund Utilization Report'!$A$4:$U$1800,7,FALSE)</f>
        <v>MOOE</v>
      </c>
      <c r="Z283" s="425">
        <f>VLOOKUP(H283,'Fund Utilization Report'!$A$4:$U$1800,8,FALSE)</f>
        <v>5020000000</v>
      </c>
      <c r="AA283" s="428" t="str">
        <f>VLOOKUP(H283,'Fund Utilization Report'!$A$4:$U$1800,14,FALSE)</f>
        <v>100000100001000</v>
      </c>
      <c r="AB283" s="349" t="str">
        <f>VLOOKUP(H283,'Fund Utilization Report'!$A$4:$U$1800,15,FALSE)</f>
        <v>General Administration and Supervision - General Management and Supervision</v>
      </c>
      <c r="AC283" s="39"/>
      <c r="AD283" s="34"/>
      <c r="AE283" s="39"/>
      <c r="AF283" s="51"/>
      <c r="AG283" s="40"/>
      <c r="AH283" s="40"/>
    </row>
    <row r="284" spans="1:34" s="32" customFormat="1">
      <c r="A284" s="338" t="s">
        <v>942</v>
      </c>
      <c r="B284" s="338" t="s">
        <v>945</v>
      </c>
      <c r="C284" s="358">
        <v>44230</v>
      </c>
      <c r="D284" s="351" t="s">
        <v>1028</v>
      </c>
      <c r="E284" s="352" t="s">
        <v>1079</v>
      </c>
      <c r="F284" s="338">
        <v>0.63194444444444442</v>
      </c>
      <c r="G284" s="338">
        <v>0.63750000000000007</v>
      </c>
      <c r="H284" s="338" t="s">
        <v>961</v>
      </c>
      <c r="I284" s="353">
        <v>796</v>
      </c>
      <c r="J284" s="338" t="str">
        <f>IFERROR(VLOOKUP(I284,'Chart of accounts'!A:H,2,FALSE),"")</f>
        <v>50212020 00</v>
      </c>
      <c r="K284" s="338" t="str">
        <f>IFERROR(VLOOKUP(I284,'Chart of accounts'!A:H,3,FALSE),"")</f>
        <v>Janitorial Services</v>
      </c>
      <c r="L284" s="338" t="str">
        <f>IFERROR(VLOOKUP(I284,'Chart of accounts'!A:H,4,FALSE),"")</f>
        <v>50212020 00 - Janitorial Services (796)</v>
      </c>
      <c r="M284" s="361">
        <v>3</v>
      </c>
      <c r="N284" s="420" t="s">
        <v>820</v>
      </c>
      <c r="O284" s="420" t="s">
        <v>1074</v>
      </c>
      <c r="P284" s="420"/>
      <c r="Q284" s="420">
        <v>13847.17</v>
      </c>
      <c r="R284" s="428">
        <f t="shared" si="3"/>
        <v>-13847.17</v>
      </c>
      <c r="S284" s="428" t="str">
        <f>VLOOKUP(H284,'Fund Utilization Report'!$A$4:$U$1800,13,FALSE)</f>
        <v>MOOE</v>
      </c>
      <c r="T284" s="428" t="str">
        <f>VLOOKUP(H284,'Fund Utilization Report'!$A$4:$U$1800,2,FALSE)</f>
        <v>GAA</v>
      </c>
      <c r="U284" s="428" t="str">
        <f>VLOOKUP(H284,'Fund Utilization Report'!$A$4:$U$1800,3,FALSE)</f>
        <v>FY2021, RA11518</v>
      </c>
      <c r="V284" s="428" t="str">
        <f>VLOOKUP(H284,'Fund Utilization Report'!$A$4:$U$1800,4,FALSE)</f>
        <v>GAS(GMS)</v>
      </c>
      <c r="W284" s="428" t="str">
        <f>VLOOKUP(H284,'Fund Utilization Report'!$A$4:$U$1800,5,FALSE)</f>
        <v>01101101</v>
      </c>
      <c r="X284" s="428" t="str">
        <f>VLOOKUP(H284,'Fund Utilization Report'!$A$4:$U$1800,6,FALSE)</f>
        <v>GOP</v>
      </c>
      <c r="Y284" s="320" t="str">
        <f>VLOOKUP(H284,'Fund Utilization Report'!$A$4:$U$1800,7,FALSE)</f>
        <v>MOOE</v>
      </c>
      <c r="Z284" s="425">
        <f>VLOOKUP(H284,'Fund Utilization Report'!$A$4:$U$1800,8,FALSE)</f>
        <v>5020000000</v>
      </c>
      <c r="AA284" s="428" t="str">
        <f>VLOOKUP(H284,'Fund Utilization Report'!$A$4:$U$1800,14,FALSE)</f>
        <v>100000100001000</v>
      </c>
      <c r="AB284" s="349" t="str">
        <f>VLOOKUP(H284,'Fund Utilization Report'!$A$4:$U$1800,15,FALSE)</f>
        <v>General Administration and Supervision - General Management and Supervision</v>
      </c>
      <c r="AC284" s="39"/>
      <c r="AD284" s="34"/>
      <c r="AE284" s="39"/>
      <c r="AF284" s="51"/>
      <c r="AG284" s="40"/>
      <c r="AH284" s="40"/>
    </row>
    <row r="285" spans="1:34" s="32" customFormat="1">
      <c r="A285" s="338" t="s">
        <v>942</v>
      </c>
      <c r="B285" s="338" t="s">
        <v>945</v>
      </c>
      <c r="C285" s="358">
        <v>44230</v>
      </c>
      <c r="D285" s="351" t="s">
        <v>1028</v>
      </c>
      <c r="E285" s="352" t="s">
        <v>1079</v>
      </c>
      <c r="F285" s="338">
        <v>0.63194444444444442</v>
      </c>
      <c r="G285" s="338">
        <v>0.63750000000000007</v>
      </c>
      <c r="H285" s="338" t="s">
        <v>961</v>
      </c>
      <c r="I285" s="353">
        <v>795</v>
      </c>
      <c r="J285" s="338" t="str">
        <f>IFERROR(VLOOKUP(I285,'Chart of accounts'!A:H,2,FALSE),"")</f>
        <v>50212990 00</v>
      </c>
      <c r="K285" s="338" t="str">
        <f>IFERROR(VLOOKUP(I285,'Chart of accounts'!A:H,3,FALSE),"")</f>
        <v>Other General Services</v>
      </c>
      <c r="L285" s="338" t="str">
        <f>IFERROR(VLOOKUP(I285,'Chart of accounts'!A:H,4,FALSE),"")</f>
        <v>50212990 00 - Other General Services (795)</v>
      </c>
      <c r="M285" s="361">
        <v>3</v>
      </c>
      <c r="N285" s="420" t="s">
        <v>820</v>
      </c>
      <c r="O285" s="420" t="s">
        <v>1074</v>
      </c>
      <c r="P285" s="420"/>
      <c r="Q285" s="420">
        <v>66782.91</v>
      </c>
      <c r="R285" s="428">
        <f t="shared" si="3"/>
        <v>-66782.91</v>
      </c>
      <c r="S285" s="428" t="str">
        <f>VLOOKUP(H285,'Fund Utilization Report'!$A$4:$U$1800,13,FALSE)</f>
        <v>MOOE</v>
      </c>
      <c r="T285" s="428" t="str">
        <f>VLOOKUP(H285,'Fund Utilization Report'!$A$4:$U$1800,2,FALSE)</f>
        <v>GAA</v>
      </c>
      <c r="U285" s="428" t="str">
        <f>VLOOKUP(H285,'Fund Utilization Report'!$A$4:$U$1800,3,FALSE)</f>
        <v>FY2021, RA11518</v>
      </c>
      <c r="V285" s="428" t="str">
        <f>VLOOKUP(H285,'Fund Utilization Report'!$A$4:$U$1800,4,FALSE)</f>
        <v>GAS(GMS)</v>
      </c>
      <c r="W285" s="428" t="str">
        <f>VLOOKUP(H285,'Fund Utilization Report'!$A$4:$U$1800,5,FALSE)</f>
        <v>01101101</v>
      </c>
      <c r="X285" s="428" t="str">
        <f>VLOOKUP(H285,'Fund Utilization Report'!$A$4:$U$1800,6,FALSE)</f>
        <v>GOP</v>
      </c>
      <c r="Y285" s="320" t="str">
        <f>VLOOKUP(H285,'Fund Utilization Report'!$A$4:$U$1800,7,FALSE)</f>
        <v>MOOE</v>
      </c>
      <c r="Z285" s="425">
        <f>VLOOKUP(H285,'Fund Utilization Report'!$A$4:$U$1800,8,FALSE)</f>
        <v>5020000000</v>
      </c>
      <c r="AA285" s="428" t="str">
        <f>VLOOKUP(H285,'Fund Utilization Report'!$A$4:$U$1800,14,FALSE)</f>
        <v>100000100001000</v>
      </c>
      <c r="AB285" s="349" t="str">
        <f>VLOOKUP(H285,'Fund Utilization Report'!$A$4:$U$1800,15,FALSE)</f>
        <v>General Administration and Supervision - General Management and Supervision</v>
      </c>
      <c r="AC285" s="39"/>
      <c r="AD285" s="34"/>
      <c r="AE285" s="39"/>
      <c r="AF285" s="51"/>
      <c r="AG285" s="40"/>
      <c r="AH285" s="40"/>
    </row>
    <row r="286" spans="1:34" s="32" customFormat="1">
      <c r="A286" s="338" t="s">
        <v>942</v>
      </c>
      <c r="B286" s="338" t="s">
        <v>945</v>
      </c>
      <c r="C286" s="358">
        <v>44230</v>
      </c>
      <c r="D286" s="351" t="s">
        <v>1028</v>
      </c>
      <c r="E286" s="352" t="s">
        <v>1079</v>
      </c>
      <c r="F286" s="338">
        <v>0.63194444444444442</v>
      </c>
      <c r="G286" s="338">
        <v>0.63750000000000007</v>
      </c>
      <c r="H286" s="338" t="s">
        <v>968</v>
      </c>
      <c r="I286" s="353">
        <v>820</v>
      </c>
      <c r="J286" s="338" t="str">
        <f>IFERROR(VLOOKUP(I286,'Chart of accounts'!A:H,2,FALSE),"")</f>
        <v>50213040 01</v>
      </c>
      <c r="K286" s="338" t="str">
        <f>IFERROR(VLOOKUP(I286,'Chart of accounts'!A:H,3,FALSE),"")</f>
        <v>Buildings</v>
      </c>
      <c r="L286" s="338" t="str">
        <f>IFERROR(VLOOKUP(I286,'Chart of accounts'!A:H,4,FALSE),"")</f>
        <v>50213040 01 - Buildings (820)</v>
      </c>
      <c r="M286" s="361">
        <v>3</v>
      </c>
      <c r="N286" s="420" t="s">
        <v>820</v>
      </c>
      <c r="O286" s="420" t="s">
        <v>1074</v>
      </c>
      <c r="P286" s="420"/>
      <c r="Q286" s="420">
        <v>39807.910000000003</v>
      </c>
      <c r="R286" s="428">
        <f t="shared" si="3"/>
        <v>-39807.910000000003</v>
      </c>
      <c r="S286" s="428" t="str">
        <f>VLOOKUP(H286,'Fund Utilization Report'!$A$4:$U$1800,13,FALSE)</f>
        <v>MOOE</v>
      </c>
      <c r="T286" s="428" t="str">
        <f>VLOOKUP(H286,'Fund Utilization Report'!$A$4:$U$1800,2,FALSE)</f>
        <v>GAA</v>
      </c>
      <c r="U286" s="428" t="str">
        <f>VLOOKUP(H286,'Fund Utilization Report'!$A$4:$U$1800,3,FALSE)</f>
        <v>FY2021, RA11518</v>
      </c>
      <c r="V286" s="428" t="str">
        <f>VLOOKUP(H286,'Fund Utilization Report'!$A$4:$U$1800,4,FALSE)</f>
        <v>OO2</v>
      </c>
      <c r="W286" s="428" t="str">
        <f>VLOOKUP(H286,'Fund Utilization Report'!$A$4:$U$1800,5,FALSE)</f>
        <v>01101101</v>
      </c>
      <c r="X286" s="428" t="str">
        <f>VLOOKUP(H286,'Fund Utilization Report'!$A$4:$U$1800,6,FALSE)</f>
        <v>GOP</v>
      </c>
      <c r="Y286" s="320" t="str">
        <f>VLOOKUP(H286,'Fund Utilization Report'!$A$4:$U$1800,7,FALSE)</f>
        <v>MOOE</v>
      </c>
      <c r="Z286" s="425">
        <f>VLOOKUP(H286,'Fund Utilization Report'!$A$4:$U$1800,8,FALSE)</f>
        <v>5020000000</v>
      </c>
      <c r="AA286" s="428" t="str">
        <f>VLOOKUP(H286,'Fund Utilization Report'!$A$4:$U$1800,14,FALSE)</f>
        <v>320100100001000</v>
      </c>
      <c r="AB286" s="349" t="str">
        <f>VLOOKUP(H286,'Fund Utilization Report'!$A$4:$U$1800,15,FALSE)</f>
        <v>Formulation of Strategic plans,programs, and policies to develop competitve industries</v>
      </c>
      <c r="AC286" s="39"/>
      <c r="AD286" s="34"/>
      <c r="AE286" s="39"/>
      <c r="AF286" s="51"/>
      <c r="AG286" s="40"/>
      <c r="AH286" s="40"/>
    </row>
    <row r="287" spans="1:34" s="32" customFormat="1">
      <c r="A287" s="338" t="s">
        <v>942</v>
      </c>
      <c r="B287" s="338" t="s">
        <v>945</v>
      </c>
      <c r="C287" s="358">
        <v>44230</v>
      </c>
      <c r="D287" s="351" t="s">
        <v>1028</v>
      </c>
      <c r="E287" s="352" t="s">
        <v>1079</v>
      </c>
      <c r="F287" s="338">
        <v>0.63194444444444442</v>
      </c>
      <c r="G287" s="338">
        <v>0.63750000000000007</v>
      </c>
      <c r="H287" s="338" t="s">
        <v>971</v>
      </c>
      <c r="I287" s="353">
        <v>821</v>
      </c>
      <c r="J287" s="338" t="str">
        <f>IFERROR(VLOOKUP(I287,'Chart of accounts'!A:H,2,FALSE),"")</f>
        <v>50213050 02</v>
      </c>
      <c r="K287" s="338" t="str">
        <f>IFERROR(VLOOKUP(I287,'Chart of accounts'!A:H,3,FALSE),"")</f>
        <v>Office Equipment</v>
      </c>
      <c r="L287" s="338" t="str">
        <f>IFERROR(VLOOKUP(I287,'Chart of accounts'!A:H,4,FALSE),"")</f>
        <v>50213050 02 - Office Equipment (821)</v>
      </c>
      <c r="M287" s="361">
        <v>3</v>
      </c>
      <c r="N287" s="420" t="s">
        <v>820</v>
      </c>
      <c r="O287" s="420" t="s">
        <v>1074</v>
      </c>
      <c r="P287" s="420"/>
      <c r="Q287" s="420">
        <v>2766.67</v>
      </c>
      <c r="R287" s="428">
        <f t="shared" si="3"/>
        <v>-2766.67</v>
      </c>
      <c r="S287" s="428" t="str">
        <f>VLOOKUP(H287,'Fund Utilization Report'!$A$4:$U$1800,13,FALSE)</f>
        <v>MOOE</v>
      </c>
      <c r="T287" s="428" t="str">
        <f>VLOOKUP(H287,'Fund Utilization Report'!$A$4:$U$1800,2,FALSE)</f>
        <v>GAA</v>
      </c>
      <c r="U287" s="428" t="str">
        <f>VLOOKUP(H287,'Fund Utilization Report'!$A$4:$U$1800,3,FALSE)</f>
        <v>FY2021, RA11518</v>
      </c>
      <c r="V287" s="428" t="str">
        <f>VLOOKUP(H287,'Fund Utilization Report'!$A$4:$U$1800,4,FALSE)</f>
        <v>OO3</v>
      </c>
      <c r="W287" s="428" t="str">
        <f>VLOOKUP(H287,'Fund Utilization Report'!$A$4:$U$1800,5,FALSE)</f>
        <v>01101101</v>
      </c>
      <c r="X287" s="428" t="str">
        <f>VLOOKUP(H287,'Fund Utilization Report'!$A$4:$U$1800,6,FALSE)</f>
        <v>GOP</v>
      </c>
      <c r="Y287" s="320" t="str">
        <f>VLOOKUP(H287,'Fund Utilization Report'!$A$4:$U$1800,7,FALSE)</f>
        <v>MOOE</v>
      </c>
      <c r="Z287" s="425">
        <f>VLOOKUP(H287,'Fund Utilization Report'!$A$4:$U$1800,8,FALSE)</f>
        <v>5020000000</v>
      </c>
      <c r="AA287" s="428" t="str">
        <f>VLOOKUP(H287,'Fund Utilization Report'!$A$4:$U$1800,14,FALSE)</f>
        <v>330100100002000</v>
      </c>
      <c r="AB287" s="349" t="str">
        <f>VLOOKUP(H287,'Fund Utilization Report'!$A$4:$U$1800,15,FALSE)</f>
        <v>Implementation of the MSME Development Plan and other initiatives to promote the growth of Micro, Small and Medium Enterprises</v>
      </c>
      <c r="AC287" s="39"/>
      <c r="AD287" s="34"/>
      <c r="AE287" s="39"/>
      <c r="AF287" s="51"/>
      <c r="AG287" s="40"/>
      <c r="AH287" s="40"/>
    </row>
    <row r="288" spans="1:34" s="32" customFormat="1">
      <c r="A288" s="338" t="s">
        <v>942</v>
      </c>
      <c r="B288" s="338" t="s">
        <v>945</v>
      </c>
      <c r="C288" s="358">
        <v>44230</v>
      </c>
      <c r="D288" s="351" t="s">
        <v>1028</v>
      </c>
      <c r="E288" s="352" t="s">
        <v>1079</v>
      </c>
      <c r="F288" s="338">
        <v>0.63194444444444442</v>
      </c>
      <c r="G288" s="338">
        <v>0.63750000000000007</v>
      </c>
      <c r="H288" s="338" t="s">
        <v>968</v>
      </c>
      <c r="I288" s="353">
        <v>823</v>
      </c>
      <c r="J288" s="338" t="str">
        <f>IFERROR(VLOOKUP(I288,'Chart of accounts'!A:H,2,FALSE),"")</f>
        <v>50213050 03</v>
      </c>
      <c r="K288" s="338" t="str">
        <f>IFERROR(VLOOKUP(I288,'Chart of accounts'!A:H,3,FALSE),"")</f>
        <v>ICT Equipment</v>
      </c>
      <c r="L288" s="338" t="str">
        <f>IFERROR(VLOOKUP(I288,'Chart of accounts'!A:H,4,FALSE),"")</f>
        <v>50213050 03 - ICT Equipment (823)</v>
      </c>
      <c r="M288" s="361">
        <v>3</v>
      </c>
      <c r="N288" s="420" t="s">
        <v>820</v>
      </c>
      <c r="O288" s="420" t="s">
        <v>1074</v>
      </c>
      <c r="P288" s="420"/>
      <c r="Q288" s="420">
        <v>2766.67</v>
      </c>
      <c r="R288" s="428">
        <f t="shared" si="3"/>
        <v>-2766.67</v>
      </c>
      <c r="S288" s="428" t="str">
        <f>VLOOKUP(H288,'Fund Utilization Report'!$A$4:$U$1800,13,FALSE)</f>
        <v>MOOE</v>
      </c>
      <c r="T288" s="428" t="str">
        <f>VLOOKUP(H288,'Fund Utilization Report'!$A$4:$U$1800,2,FALSE)</f>
        <v>GAA</v>
      </c>
      <c r="U288" s="428" t="str">
        <f>VLOOKUP(H288,'Fund Utilization Report'!$A$4:$U$1800,3,FALSE)</f>
        <v>FY2021, RA11518</v>
      </c>
      <c r="V288" s="428" t="str">
        <f>VLOOKUP(H288,'Fund Utilization Report'!$A$4:$U$1800,4,FALSE)</f>
        <v>OO2</v>
      </c>
      <c r="W288" s="428" t="str">
        <f>VLOOKUP(H288,'Fund Utilization Report'!$A$4:$U$1800,5,FALSE)</f>
        <v>01101101</v>
      </c>
      <c r="X288" s="428" t="str">
        <f>VLOOKUP(H288,'Fund Utilization Report'!$A$4:$U$1800,6,FALSE)</f>
        <v>GOP</v>
      </c>
      <c r="Y288" s="320" t="str">
        <f>VLOOKUP(H288,'Fund Utilization Report'!$A$4:$U$1800,7,FALSE)</f>
        <v>MOOE</v>
      </c>
      <c r="Z288" s="425">
        <f>VLOOKUP(H288,'Fund Utilization Report'!$A$4:$U$1800,8,FALSE)</f>
        <v>5020000000</v>
      </c>
      <c r="AA288" s="428" t="str">
        <f>VLOOKUP(H288,'Fund Utilization Report'!$A$4:$U$1800,14,FALSE)</f>
        <v>320100100001000</v>
      </c>
      <c r="AB288" s="349" t="str">
        <f>VLOOKUP(H288,'Fund Utilization Report'!$A$4:$U$1800,15,FALSE)</f>
        <v>Formulation of Strategic plans,programs, and policies to develop competitve industries</v>
      </c>
      <c r="AC288" s="39"/>
      <c r="AD288" s="34"/>
      <c r="AE288" s="39"/>
      <c r="AF288" s="51"/>
      <c r="AG288" s="40"/>
      <c r="AH288" s="40"/>
    </row>
    <row r="289" spans="1:34" s="32" customFormat="1">
      <c r="A289" s="338" t="s">
        <v>942</v>
      </c>
      <c r="B289" s="338" t="s">
        <v>945</v>
      </c>
      <c r="C289" s="358">
        <v>44230</v>
      </c>
      <c r="D289" s="351" t="s">
        <v>1028</v>
      </c>
      <c r="E289" s="352" t="s">
        <v>1079</v>
      </c>
      <c r="F289" s="338">
        <v>0.63194444444444442</v>
      </c>
      <c r="G289" s="338">
        <v>0.63750000000000007</v>
      </c>
      <c r="H289" s="338" t="s">
        <v>968</v>
      </c>
      <c r="I289" s="353">
        <v>822</v>
      </c>
      <c r="J289" s="338" t="str">
        <f>IFERROR(VLOOKUP(I289,'Chart of accounts'!A:H,2,FALSE),"")</f>
        <v>50213070 00</v>
      </c>
      <c r="K289" s="338" t="str">
        <f>IFERROR(VLOOKUP(I289,'Chart of accounts'!A:H,3,FALSE),"")</f>
        <v>Furniture and Fixture</v>
      </c>
      <c r="L289" s="338" t="str">
        <f>IFERROR(VLOOKUP(I289,'Chart of accounts'!A:H,4,FALSE),"")</f>
        <v>50213070 00 - Furniture and Fixture (822)</v>
      </c>
      <c r="M289" s="361">
        <v>3</v>
      </c>
      <c r="N289" s="420" t="s">
        <v>820</v>
      </c>
      <c r="O289" s="420" t="s">
        <v>1074</v>
      </c>
      <c r="P289" s="420"/>
      <c r="Q289" s="420">
        <v>1383.33</v>
      </c>
      <c r="R289" s="428">
        <f t="shared" si="3"/>
        <v>-1383.33</v>
      </c>
      <c r="S289" s="428" t="str">
        <f>VLOOKUP(H289,'Fund Utilization Report'!$A$4:$U$1800,13,FALSE)</f>
        <v>MOOE</v>
      </c>
      <c r="T289" s="428" t="str">
        <f>VLOOKUP(H289,'Fund Utilization Report'!$A$4:$U$1800,2,FALSE)</f>
        <v>GAA</v>
      </c>
      <c r="U289" s="428" t="str">
        <f>VLOOKUP(H289,'Fund Utilization Report'!$A$4:$U$1800,3,FALSE)</f>
        <v>FY2021, RA11518</v>
      </c>
      <c r="V289" s="428" t="str">
        <f>VLOOKUP(H289,'Fund Utilization Report'!$A$4:$U$1800,4,FALSE)</f>
        <v>OO2</v>
      </c>
      <c r="W289" s="428" t="str">
        <f>VLOOKUP(H289,'Fund Utilization Report'!$A$4:$U$1800,5,FALSE)</f>
        <v>01101101</v>
      </c>
      <c r="X289" s="428" t="str">
        <f>VLOOKUP(H289,'Fund Utilization Report'!$A$4:$U$1800,6,FALSE)</f>
        <v>GOP</v>
      </c>
      <c r="Y289" s="320" t="str">
        <f>VLOOKUP(H289,'Fund Utilization Report'!$A$4:$U$1800,7,FALSE)</f>
        <v>MOOE</v>
      </c>
      <c r="Z289" s="425">
        <f>VLOOKUP(H289,'Fund Utilization Report'!$A$4:$U$1800,8,FALSE)</f>
        <v>5020000000</v>
      </c>
      <c r="AA289" s="428" t="str">
        <f>VLOOKUP(H289,'Fund Utilization Report'!$A$4:$U$1800,14,FALSE)</f>
        <v>320100100001000</v>
      </c>
      <c r="AB289" s="349" t="str">
        <f>VLOOKUP(H289,'Fund Utilization Report'!$A$4:$U$1800,15,FALSE)</f>
        <v>Formulation of Strategic plans,programs, and policies to develop competitve industries</v>
      </c>
      <c r="AC289" s="39"/>
      <c r="AD289" s="34"/>
      <c r="AE289" s="39"/>
      <c r="AF289" s="51"/>
      <c r="AG289" s="40"/>
      <c r="AH289" s="40"/>
    </row>
    <row r="290" spans="1:34" s="32" customFormat="1">
      <c r="A290" s="338" t="s">
        <v>942</v>
      </c>
      <c r="B290" s="338" t="s">
        <v>945</v>
      </c>
      <c r="C290" s="358">
        <v>44230</v>
      </c>
      <c r="D290" s="351" t="s">
        <v>1028</v>
      </c>
      <c r="E290" s="352" t="s">
        <v>1079</v>
      </c>
      <c r="F290" s="338">
        <v>0.63194444444444442</v>
      </c>
      <c r="G290" s="338">
        <v>0.63750000000000007</v>
      </c>
      <c r="H290" s="338" t="s">
        <v>961</v>
      </c>
      <c r="I290" s="353">
        <v>841</v>
      </c>
      <c r="J290" s="338" t="str">
        <f>IFERROR(VLOOKUP(I290,'Chart of accounts'!A:H,2,FALSE),"")</f>
        <v>50213060 01</v>
      </c>
      <c r="K290" s="338" t="str">
        <f>IFERROR(VLOOKUP(I290,'Chart of accounts'!A:H,3,FALSE),"")</f>
        <v>Motor Vehicles</v>
      </c>
      <c r="L290" s="338" t="str">
        <f>IFERROR(VLOOKUP(I290,'Chart of accounts'!A:H,4,FALSE),"")</f>
        <v>50213060 01 - Motor Vehicles (841)</v>
      </c>
      <c r="M290" s="361">
        <v>3</v>
      </c>
      <c r="N290" s="420" t="s">
        <v>820</v>
      </c>
      <c r="O290" s="420" t="s">
        <v>1074</v>
      </c>
      <c r="P290" s="420"/>
      <c r="Q290" s="420">
        <v>13833.33</v>
      </c>
      <c r="R290" s="428">
        <f t="shared" si="3"/>
        <v>-13833.33</v>
      </c>
      <c r="S290" s="428" t="str">
        <f>VLOOKUP(H290,'Fund Utilization Report'!$A$4:$U$1800,13,FALSE)</f>
        <v>MOOE</v>
      </c>
      <c r="T290" s="428" t="str">
        <f>VLOOKUP(H290,'Fund Utilization Report'!$A$4:$U$1800,2,FALSE)</f>
        <v>GAA</v>
      </c>
      <c r="U290" s="428" t="str">
        <f>VLOOKUP(H290,'Fund Utilization Report'!$A$4:$U$1800,3,FALSE)</f>
        <v>FY2021, RA11518</v>
      </c>
      <c r="V290" s="428" t="str">
        <f>VLOOKUP(H290,'Fund Utilization Report'!$A$4:$U$1800,4,FALSE)</f>
        <v>GAS(GMS)</v>
      </c>
      <c r="W290" s="428" t="str">
        <f>VLOOKUP(H290,'Fund Utilization Report'!$A$4:$U$1800,5,FALSE)</f>
        <v>01101101</v>
      </c>
      <c r="X290" s="428" t="str">
        <f>VLOOKUP(H290,'Fund Utilization Report'!$A$4:$U$1800,6,FALSE)</f>
        <v>GOP</v>
      </c>
      <c r="Y290" s="320" t="str">
        <f>VLOOKUP(H290,'Fund Utilization Report'!$A$4:$U$1800,7,FALSE)</f>
        <v>MOOE</v>
      </c>
      <c r="Z290" s="425">
        <f>VLOOKUP(H290,'Fund Utilization Report'!$A$4:$U$1800,8,FALSE)</f>
        <v>5020000000</v>
      </c>
      <c r="AA290" s="428" t="str">
        <f>VLOOKUP(H290,'Fund Utilization Report'!$A$4:$U$1800,14,FALSE)</f>
        <v>100000100001000</v>
      </c>
      <c r="AB290" s="349" t="str">
        <f>VLOOKUP(H290,'Fund Utilization Report'!$A$4:$U$1800,15,FALSE)</f>
        <v>General Administration and Supervision - General Management and Supervision</v>
      </c>
      <c r="AC290" s="39"/>
      <c r="AD290" s="34"/>
      <c r="AE290" s="39"/>
      <c r="AF290" s="51"/>
      <c r="AG290" s="40"/>
      <c r="AH290" s="40"/>
    </row>
    <row r="291" spans="1:34" s="32" customFormat="1">
      <c r="A291" s="338" t="s">
        <v>942</v>
      </c>
      <c r="B291" s="338" t="s">
        <v>945</v>
      </c>
      <c r="C291" s="358">
        <v>44230</v>
      </c>
      <c r="D291" s="351" t="s">
        <v>1028</v>
      </c>
      <c r="E291" s="352" t="s">
        <v>1079</v>
      </c>
      <c r="F291" s="338">
        <v>0.63194444444444442</v>
      </c>
      <c r="G291" s="338">
        <v>0.63750000000000007</v>
      </c>
      <c r="H291" s="338" t="s">
        <v>961</v>
      </c>
      <c r="I291" s="353">
        <v>891</v>
      </c>
      <c r="J291" s="338" t="str">
        <f>IFERROR(VLOOKUP(I291,'Chart of accounts'!A:H,2,FALSE),"")</f>
        <v>50215010 01</v>
      </c>
      <c r="K291" s="338" t="str">
        <f>IFERROR(VLOOKUP(I291,'Chart of accounts'!A:H,3,FALSE),"")</f>
        <v>Taxes, Duties and Licenses</v>
      </c>
      <c r="L291" s="338" t="str">
        <f>IFERROR(VLOOKUP(I291,'Chart of accounts'!A:H,4,FALSE),"")</f>
        <v>50215010 01 - Taxes, Duties and Licenses (891)</v>
      </c>
      <c r="M291" s="361">
        <v>3</v>
      </c>
      <c r="N291" s="420" t="s">
        <v>820</v>
      </c>
      <c r="O291" s="420" t="s">
        <v>1074</v>
      </c>
      <c r="P291" s="420"/>
      <c r="Q291" s="420">
        <v>691.67</v>
      </c>
      <c r="R291" s="428">
        <f t="shared" si="3"/>
        <v>-691.67</v>
      </c>
      <c r="S291" s="428" t="str">
        <f>VLOOKUP(H291,'Fund Utilization Report'!$A$4:$U$1800,13,FALSE)</f>
        <v>MOOE</v>
      </c>
      <c r="T291" s="428" t="str">
        <f>VLOOKUP(H291,'Fund Utilization Report'!$A$4:$U$1800,2,FALSE)</f>
        <v>GAA</v>
      </c>
      <c r="U291" s="428" t="str">
        <f>VLOOKUP(H291,'Fund Utilization Report'!$A$4:$U$1800,3,FALSE)</f>
        <v>FY2021, RA11518</v>
      </c>
      <c r="V291" s="428" t="str">
        <f>VLOOKUP(H291,'Fund Utilization Report'!$A$4:$U$1800,4,FALSE)</f>
        <v>GAS(GMS)</v>
      </c>
      <c r="W291" s="428" t="str">
        <f>VLOOKUP(H291,'Fund Utilization Report'!$A$4:$U$1800,5,FALSE)</f>
        <v>01101101</v>
      </c>
      <c r="X291" s="428" t="str">
        <f>VLOOKUP(H291,'Fund Utilization Report'!$A$4:$U$1800,6,FALSE)</f>
        <v>GOP</v>
      </c>
      <c r="Y291" s="320" t="str">
        <f>VLOOKUP(H291,'Fund Utilization Report'!$A$4:$U$1800,7,FALSE)</f>
        <v>MOOE</v>
      </c>
      <c r="Z291" s="425">
        <f>VLOOKUP(H291,'Fund Utilization Report'!$A$4:$U$1800,8,FALSE)</f>
        <v>5020000000</v>
      </c>
      <c r="AA291" s="428" t="str">
        <f>VLOOKUP(H291,'Fund Utilization Report'!$A$4:$U$1800,14,FALSE)</f>
        <v>100000100001000</v>
      </c>
      <c r="AB291" s="349" t="str">
        <f>VLOOKUP(H291,'Fund Utilization Report'!$A$4:$U$1800,15,FALSE)</f>
        <v>General Administration and Supervision - General Management and Supervision</v>
      </c>
      <c r="AC291" s="39"/>
      <c r="AD291" s="34"/>
      <c r="AE291" s="39"/>
      <c r="AF291" s="51"/>
      <c r="AG291" s="40"/>
      <c r="AH291" s="40"/>
    </row>
    <row r="292" spans="1:34" s="32" customFormat="1">
      <c r="A292" s="338" t="s">
        <v>942</v>
      </c>
      <c r="B292" s="338" t="s">
        <v>945</v>
      </c>
      <c r="C292" s="358">
        <v>44230</v>
      </c>
      <c r="D292" s="351" t="s">
        <v>1028</v>
      </c>
      <c r="E292" s="352" t="s">
        <v>1079</v>
      </c>
      <c r="F292" s="338">
        <v>0.63194444444444442</v>
      </c>
      <c r="G292" s="338">
        <v>0.63750000000000007</v>
      </c>
      <c r="H292" s="338" t="s">
        <v>961</v>
      </c>
      <c r="I292" s="353">
        <v>892</v>
      </c>
      <c r="J292" s="338" t="str">
        <f>IFERROR(VLOOKUP(I292,'Chart of accounts'!A:H,2,FALSE),"")</f>
        <v>50215020 00</v>
      </c>
      <c r="K292" s="338" t="str">
        <f>IFERROR(VLOOKUP(I292,'Chart of accounts'!A:H,3,FALSE),"")</f>
        <v>Fidelity Bond Premiums</v>
      </c>
      <c r="L292" s="338" t="str">
        <f>IFERROR(VLOOKUP(I292,'Chart of accounts'!A:H,4,FALSE),"")</f>
        <v>50215020 00 - Fidelity Bond Premiums (892)</v>
      </c>
      <c r="M292" s="361">
        <v>3</v>
      </c>
      <c r="N292" s="420" t="s">
        <v>820</v>
      </c>
      <c r="O292" s="420" t="s">
        <v>1074</v>
      </c>
      <c r="P292" s="420"/>
      <c r="Q292" s="420">
        <v>1798.33</v>
      </c>
      <c r="R292" s="428">
        <f t="shared" si="3"/>
        <v>-1798.33</v>
      </c>
      <c r="S292" s="428" t="str">
        <f>VLOOKUP(H292,'Fund Utilization Report'!$A$4:$U$1800,13,FALSE)</f>
        <v>MOOE</v>
      </c>
      <c r="T292" s="428" t="str">
        <f>VLOOKUP(H292,'Fund Utilization Report'!$A$4:$U$1800,2,FALSE)</f>
        <v>GAA</v>
      </c>
      <c r="U292" s="428" t="str">
        <f>VLOOKUP(H292,'Fund Utilization Report'!$A$4:$U$1800,3,FALSE)</f>
        <v>FY2021, RA11518</v>
      </c>
      <c r="V292" s="428" t="str">
        <f>VLOOKUP(H292,'Fund Utilization Report'!$A$4:$U$1800,4,FALSE)</f>
        <v>GAS(GMS)</v>
      </c>
      <c r="W292" s="428" t="str">
        <f>VLOOKUP(H292,'Fund Utilization Report'!$A$4:$U$1800,5,FALSE)</f>
        <v>01101101</v>
      </c>
      <c r="X292" s="428" t="str">
        <f>VLOOKUP(H292,'Fund Utilization Report'!$A$4:$U$1800,6,FALSE)</f>
        <v>GOP</v>
      </c>
      <c r="Y292" s="320" t="str">
        <f>VLOOKUP(H292,'Fund Utilization Report'!$A$4:$U$1800,7,FALSE)</f>
        <v>MOOE</v>
      </c>
      <c r="Z292" s="425">
        <f>VLOOKUP(H292,'Fund Utilization Report'!$A$4:$U$1800,8,FALSE)</f>
        <v>5020000000</v>
      </c>
      <c r="AA292" s="428" t="str">
        <f>VLOOKUP(H292,'Fund Utilization Report'!$A$4:$U$1800,14,FALSE)</f>
        <v>100000100001000</v>
      </c>
      <c r="AB292" s="349" t="str">
        <f>VLOOKUP(H292,'Fund Utilization Report'!$A$4:$U$1800,15,FALSE)</f>
        <v>General Administration and Supervision - General Management and Supervision</v>
      </c>
      <c r="AC292" s="39"/>
      <c r="AD292" s="34"/>
      <c r="AE292" s="39"/>
      <c r="AF292" s="51"/>
      <c r="AG292" s="40"/>
      <c r="AH292" s="40"/>
    </row>
    <row r="293" spans="1:34" s="32" customFormat="1">
      <c r="A293" s="338" t="s">
        <v>942</v>
      </c>
      <c r="B293" s="338" t="s">
        <v>945</v>
      </c>
      <c r="C293" s="358">
        <v>44230</v>
      </c>
      <c r="D293" s="351" t="s">
        <v>1028</v>
      </c>
      <c r="E293" s="352" t="s">
        <v>1079</v>
      </c>
      <c r="F293" s="338">
        <v>0.63194444444444442</v>
      </c>
      <c r="G293" s="338">
        <v>0.63750000000000007</v>
      </c>
      <c r="H293" s="338" t="s">
        <v>961</v>
      </c>
      <c r="I293" s="353">
        <v>893</v>
      </c>
      <c r="J293" s="338" t="str">
        <f>IFERROR(VLOOKUP(I293,'Chart of accounts'!A:H,2,FALSE),"")</f>
        <v>50215030 00</v>
      </c>
      <c r="K293" s="338" t="str">
        <f>IFERROR(VLOOKUP(I293,'Chart of accounts'!A:H,3,FALSE),"")</f>
        <v>Insurance Expense</v>
      </c>
      <c r="L293" s="338" t="str">
        <f>IFERROR(VLOOKUP(I293,'Chart of accounts'!A:H,4,FALSE),"")</f>
        <v>50215030 00 - Insurance Expense (893)</v>
      </c>
      <c r="M293" s="361">
        <v>3</v>
      </c>
      <c r="N293" s="420" t="s">
        <v>820</v>
      </c>
      <c r="O293" s="420" t="s">
        <v>1074</v>
      </c>
      <c r="P293" s="420"/>
      <c r="Q293" s="420">
        <v>3609.82</v>
      </c>
      <c r="R293" s="428">
        <f t="shared" si="3"/>
        <v>-3609.82</v>
      </c>
      <c r="S293" s="428" t="str">
        <f>VLOOKUP(H293,'Fund Utilization Report'!$A$4:$U$1800,13,FALSE)</f>
        <v>MOOE</v>
      </c>
      <c r="T293" s="428" t="str">
        <f>VLOOKUP(H293,'Fund Utilization Report'!$A$4:$U$1800,2,FALSE)</f>
        <v>GAA</v>
      </c>
      <c r="U293" s="428" t="str">
        <f>VLOOKUP(H293,'Fund Utilization Report'!$A$4:$U$1800,3,FALSE)</f>
        <v>FY2021, RA11518</v>
      </c>
      <c r="V293" s="428" t="str">
        <f>VLOOKUP(H293,'Fund Utilization Report'!$A$4:$U$1800,4,FALSE)</f>
        <v>GAS(GMS)</v>
      </c>
      <c r="W293" s="428" t="str">
        <f>VLOOKUP(H293,'Fund Utilization Report'!$A$4:$U$1800,5,FALSE)</f>
        <v>01101101</v>
      </c>
      <c r="X293" s="428" t="str">
        <f>VLOOKUP(H293,'Fund Utilization Report'!$A$4:$U$1800,6,FALSE)</f>
        <v>GOP</v>
      </c>
      <c r="Y293" s="320" t="str">
        <f>VLOOKUP(H293,'Fund Utilization Report'!$A$4:$U$1800,7,FALSE)</f>
        <v>MOOE</v>
      </c>
      <c r="Z293" s="425">
        <f>VLOOKUP(H293,'Fund Utilization Report'!$A$4:$U$1800,8,FALSE)</f>
        <v>5020000000</v>
      </c>
      <c r="AA293" s="428" t="str">
        <f>VLOOKUP(H293,'Fund Utilization Report'!$A$4:$U$1800,14,FALSE)</f>
        <v>100000100001000</v>
      </c>
      <c r="AB293" s="349" t="str">
        <f>VLOOKUP(H293,'Fund Utilization Report'!$A$4:$U$1800,15,FALSE)</f>
        <v>General Administration and Supervision - General Management and Supervision</v>
      </c>
      <c r="AC293" s="39"/>
      <c r="AD293" s="34"/>
      <c r="AE293" s="39"/>
      <c r="AF293" s="51"/>
      <c r="AG293" s="40"/>
      <c r="AH293" s="40"/>
    </row>
    <row r="294" spans="1:34" s="32" customFormat="1">
      <c r="A294" s="338" t="s">
        <v>942</v>
      </c>
      <c r="B294" s="338" t="s">
        <v>945</v>
      </c>
      <c r="C294" s="358">
        <v>44230</v>
      </c>
      <c r="D294" s="351" t="s">
        <v>1028</v>
      </c>
      <c r="E294" s="352" t="s">
        <v>1079</v>
      </c>
      <c r="F294" s="338">
        <v>0.63194444444444442</v>
      </c>
      <c r="G294" s="338">
        <v>0.63750000000000007</v>
      </c>
      <c r="H294" s="338" t="s">
        <v>961</v>
      </c>
      <c r="I294" s="353">
        <v>751</v>
      </c>
      <c r="J294" s="338" t="str">
        <f>IFERROR(VLOOKUP(I294,'Chart of accounts'!A:H,2,FALSE),"")</f>
        <v>50201010 00</v>
      </c>
      <c r="K294" s="338" t="str">
        <f>IFERROR(VLOOKUP(I294,'Chart of accounts'!A:H,3,FALSE),"")</f>
        <v>Traveling Expenses - Local</v>
      </c>
      <c r="L294" s="338" t="str">
        <f>IFERROR(VLOOKUP(I294,'Chart of accounts'!A:H,4,FALSE),"")</f>
        <v>50201010 00 - Traveling Expenses - Local (751)</v>
      </c>
      <c r="M294" s="361">
        <v>3</v>
      </c>
      <c r="N294" s="420" t="s">
        <v>820</v>
      </c>
      <c r="O294" s="420" t="s">
        <v>1074</v>
      </c>
      <c r="P294" s="420"/>
      <c r="Q294" s="420">
        <v>1383.33</v>
      </c>
      <c r="R294" s="428">
        <f t="shared" si="3"/>
        <v>-1383.33</v>
      </c>
      <c r="S294" s="428" t="str">
        <f>VLOOKUP(H294,'Fund Utilization Report'!$A$4:$U$1800,13,FALSE)</f>
        <v>MOOE</v>
      </c>
      <c r="T294" s="428" t="str">
        <f>VLOOKUP(H294,'Fund Utilization Report'!$A$4:$U$1800,2,FALSE)</f>
        <v>GAA</v>
      </c>
      <c r="U294" s="428" t="str">
        <f>VLOOKUP(H294,'Fund Utilization Report'!$A$4:$U$1800,3,FALSE)</f>
        <v>FY2021, RA11518</v>
      </c>
      <c r="V294" s="428" t="str">
        <f>VLOOKUP(H294,'Fund Utilization Report'!$A$4:$U$1800,4,FALSE)</f>
        <v>GAS(GMS)</v>
      </c>
      <c r="W294" s="428" t="str">
        <f>VLOOKUP(H294,'Fund Utilization Report'!$A$4:$U$1800,5,FALSE)</f>
        <v>01101101</v>
      </c>
      <c r="X294" s="428" t="str">
        <f>VLOOKUP(H294,'Fund Utilization Report'!$A$4:$U$1800,6,FALSE)</f>
        <v>GOP</v>
      </c>
      <c r="Y294" s="320" t="str">
        <f>VLOOKUP(H294,'Fund Utilization Report'!$A$4:$U$1800,7,FALSE)</f>
        <v>MOOE</v>
      </c>
      <c r="Z294" s="425">
        <f>VLOOKUP(H294,'Fund Utilization Report'!$A$4:$U$1800,8,FALSE)</f>
        <v>5020000000</v>
      </c>
      <c r="AA294" s="428" t="str">
        <f>VLOOKUP(H294,'Fund Utilization Report'!$A$4:$U$1800,14,FALSE)</f>
        <v>100000100001000</v>
      </c>
      <c r="AB294" s="349" t="str">
        <f>VLOOKUP(H294,'Fund Utilization Report'!$A$4:$U$1800,15,FALSE)</f>
        <v>General Administration and Supervision - General Management and Supervision</v>
      </c>
      <c r="AC294" s="39"/>
      <c r="AD294" s="34"/>
      <c r="AE294" s="39"/>
      <c r="AF294" s="51"/>
      <c r="AG294" s="40"/>
      <c r="AH294" s="40"/>
    </row>
    <row r="295" spans="1:34" s="32" customFormat="1">
      <c r="A295" s="338" t="s">
        <v>942</v>
      </c>
      <c r="B295" s="338" t="s">
        <v>945</v>
      </c>
      <c r="C295" s="358">
        <v>44230</v>
      </c>
      <c r="D295" s="351" t="s">
        <v>1028</v>
      </c>
      <c r="E295" s="352" t="s">
        <v>1079</v>
      </c>
      <c r="F295" s="338">
        <v>0.63194444444444442</v>
      </c>
      <c r="G295" s="338">
        <v>0.63750000000000007</v>
      </c>
      <c r="H295" s="338" t="s">
        <v>961</v>
      </c>
      <c r="I295" s="353">
        <v>755</v>
      </c>
      <c r="J295" s="338" t="str">
        <f>IFERROR(VLOOKUP(I295,'Chart of accounts'!A:H,2,FALSE),"")</f>
        <v>50203010 00</v>
      </c>
      <c r="K295" s="338" t="str">
        <f>IFERROR(VLOOKUP(I295,'Chart of accounts'!A:H,3,FALSE),"")</f>
        <v>Office Supplies Expenses</v>
      </c>
      <c r="L295" s="338" t="str">
        <f>IFERROR(VLOOKUP(I295,'Chart of accounts'!A:H,4,FALSE),"")</f>
        <v>50203010 00 - Office Supplies Expenses (755)</v>
      </c>
      <c r="M295" s="361">
        <v>3</v>
      </c>
      <c r="N295" s="420" t="s">
        <v>820</v>
      </c>
      <c r="O295" s="420" t="s">
        <v>1074</v>
      </c>
      <c r="P295" s="420"/>
      <c r="Q295" s="420">
        <v>6916.67</v>
      </c>
      <c r="R295" s="428">
        <f t="shared" si="3"/>
        <v>-6916.67</v>
      </c>
      <c r="S295" s="428" t="str">
        <f>VLOOKUP(H295,'Fund Utilization Report'!$A$4:$U$1800,13,FALSE)</f>
        <v>MOOE</v>
      </c>
      <c r="T295" s="428" t="str">
        <f>VLOOKUP(H295,'Fund Utilization Report'!$A$4:$U$1800,2,FALSE)</f>
        <v>GAA</v>
      </c>
      <c r="U295" s="428" t="str">
        <f>VLOOKUP(H295,'Fund Utilization Report'!$A$4:$U$1800,3,FALSE)</f>
        <v>FY2021, RA11518</v>
      </c>
      <c r="V295" s="428" t="str">
        <f>VLOOKUP(H295,'Fund Utilization Report'!$A$4:$U$1800,4,FALSE)</f>
        <v>GAS(GMS)</v>
      </c>
      <c r="W295" s="428" t="str">
        <f>VLOOKUP(H295,'Fund Utilization Report'!$A$4:$U$1800,5,FALSE)</f>
        <v>01101101</v>
      </c>
      <c r="X295" s="428" t="str">
        <f>VLOOKUP(H295,'Fund Utilization Report'!$A$4:$U$1800,6,FALSE)</f>
        <v>GOP</v>
      </c>
      <c r="Y295" s="320" t="str">
        <f>VLOOKUP(H295,'Fund Utilization Report'!$A$4:$U$1800,7,FALSE)</f>
        <v>MOOE</v>
      </c>
      <c r="Z295" s="425">
        <f>VLOOKUP(H295,'Fund Utilization Report'!$A$4:$U$1800,8,FALSE)</f>
        <v>5020000000</v>
      </c>
      <c r="AA295" s="428" t="str">
        <f>VLOOKUP(H295,'Fund Utilization Report'!$A$4:$U$1800,14,FALSE)</f>
        <v>100000100001000</v>
      </c>
      <c r="AB295" s="349" t="str">
        <f>VLOOKUP(H295,'Fund Utilization Report'!$A$4:$U$1800,15,FALSE)</f>
        <v>General Administration and Supervision - General Management and Supervision</v>
      </c>
      <c r="AC295" s="39"/>
      <c r="AD295" s="34"/>
      <c r="AE295" s="39"/>
      <c r="AF295" s="51"/>
      <c r="AG295" s="40"/>
      <c r="AH295" s="40"/>
    </row>
    <row r="296" spans="1:34" s="32" customFormat="1">
      <c r="A296" s="338" t="s">
        <v>942</v>
      </c>
      <c r="B296" s="338" t="s">
        <v>945</v>
      </c>
      <c r="C296" s="358">
        <v>44230</v>
      </c>
      <c r="D296" s="351" t="s">
        <v>1028</v>
      </c>
      <c r="E296" s="352" t="s">
        <v>1079</v>
      </c>
      <c r="F296" s="338">
        <v>0.63194444444444442</v>
      </c>
      <c r="G296" s="338">
        <v>0.63750000000000007</v>
      </c>
      <c r="H296" s="338" t="s">
        <v>961</v>
      </c>
      <c r="I296" s="353">
        <v>781</v>
      </c>
      <c r="J296" s="338" t="str">
        <f>IFERROR(VLOOKUP(I296,'Chart of accounts'!A:H,2,FALSE),"")</f>
        <v>50299020 00</v>
      </c>
      <c r="K296" s="338" t="str">
        <f>IFERROR(VLOOKUP(I296,'Chart of accounts'!A:H,3,FALSE),"")</f>
        <v>Printing and Binding Expenses</v>
      </c>
      <c r="L296" s="338" t="str">
        <f>IFERROR(VLOOKUP(I296,'Chart of accounts'!A:H,4,FALSE),"")</f>
        <v>50299020 00 - Printing and Binding Expenses (781)</v>
      </c>
      <c r="M296" s="361">
        <v>3</v>
      </c>
      <c r="N296" s="420" t="s">
        <v>820</v>
      </c>
      <c r="O296" s="420" t="s">
        <v>1074</v>
      </c>
      <c r="P296" s="420"/>
      <c r="Q296" s="420">
        <v>2075</v>
      </c>
      <c r="R296" s="428">
        <f t="shared" si="3"/>
        <v>-2075</v>
      </c>
      <c r="S296" s="428" t="str">
        <f>VLOOKUP(H296,'Fund Utilization Report'!$A$4:$U$1800,13,FALSE)</f>
        <v>MOOE</v>
      </c>
      <c r="T296" s="428" t="str">
        <f>VLOOKUP(H296,'Fund Utilization Report'!$A$4:$U$1800,2,FALSE)</f>
        <v>GAA</v>
      </c>
      <c r="U296" s="428" t="str">
        <f>VLOOKUP(H296,'Fund Utilization Report'!$A$4:$U$1800,3,FALSE)</f>
        <v>FY2021, RA11518</v>
      </c>
      <c r="V296" s="428" t="str">
        <f>VLOOKUP(H296,'Fund Utilization Report'!$A$4:$U$1800,4,FALSE)</f>
        <v>GAS(GMS)</v>
      </c>
      <c r="W296" s="428" t="str">
        <f>VLOOKUP(H296,'Fund Utilization Report'!$A$4:$U$1800,5,FALSE)</f>
        <v>01101101</v>
      </c>
      <c r="X296" s="428" t="str">
        <f>VLOOKUP(H296,'Fund Utilization Report'!$A$4:$U$1800,6,FALSE)</f>
        <v>GOP</v>
      </c>
      <c r="Y296" s="320" t="str">
        <f>VLOOKUP(H296,'Fund Utilization Report'!$A$4:$U$1800,7,FALSE)</f>
        <v>MOOE</v>
      </c>
      <c r="Z296" s="425">
        <f>VLOOKUP(H296,'Fund Utilization Report'!$A$4:$U$1800,8,FALSE)</f>
        <v>5020000000</v>
      </c>
      <c r="AA296" s="428" t="str">
        <f>VLOOKUP(H296,'Fund Utilization Report'!$A$4:$U$1800,14,FALSE)</f>
        <v>100000100001000</v>
      </c>
      <c r="AB296" s="349" t="str">
        <f>VLOOKUP(H296,'Fund Utilization Report'!$A$4:$U$1800,15,FALSE)</f>
        <v>General Administration and Supervision - General Management and Supervision</v>
      </c>
      <c r="AC296" s="39"/>
      <c r="AD296" s="34"/>
      <c r="AE296" s="39"/>
      <c r="AF296" s="51"/>
      <c r="AG296" s="40"/>
      <c r="AH296" s="40"/>
    </row>
    <row r="297" spans="1:34" s="32" customFormat="1">
      <c r="A297" s="338" t="s">
        <v>942</v>
      </c>
      <c r="B297" s="338" t="s">
        <v>945</v>
      </c>
      <c r="C297" s="358">
        <v>44230</v>
      </c>
      <c r="D297" s="351" t="s">
        <v>1028</v>
      </c>
      <c r="E297" s="352" t="s">
        <v>1079</v>
      </c>
      <c r="F297" s="338">
        <v>0.63194444444444442</v>
      </c>
      <c r="G297" s="338">
        <v>0.63750000000000007</v>
      </c>
      <c r="H297" s="338" t="s">
        <v>961</v>
      </c>
      <c r="I297" s="353">
        <v>783</v>
      </c>
      <c r="J297" s="338" t="str">
        <f>IFERROR(VLOOKUP(I297,'Chart of accounts'!A:H,2,FALSE),"")</f>
        <v>50299030 00</v>
      </c>
      <c r="K297" s="338" t="str">
        <f>IFERROR(VLOOKUP(I297,'Chart of accounts'!A:H,3,FALSE),"")</f>
        <v>Representation Expenses</v>
      </c>
      <c r="L297" s="338" t="str">
        <f>IFERROR(VLOOKUP(I297,'Chart of accounts'!A:H,4,FALSE),"")</f>
        <v>50299030 00 - Representation Expenses (783)</v>
      </c>
      <c r="M297" s="361">
        <v>3</v>
      </c>
      <c r="N297" s="420" t="s">
        <v>820</v>
      </c>
      <c r="O297" s="420" t="s">
        <v>1074</v>
      </c>
      <c r="P297" s="420"/>
      <c r="Q297" s="420">
        <v>3375.33</v>
      </c>
      <c r="R297" s="428">
        <f t="shared" si="3"/>
        <v>-3375.33</v>
      </c>
      <c r="S297" s="428" t="str">
        <f>VLOOKUP(H297,'Fund Utilization Report'!$A$4:$U$1800,13,FALSE)</f>
        <v>MOOE</v>
      </c>
      <c r="T297" s="428" t="str">
        <f>VLOOKUP(H297,'Fund Utilization Report'!$A$4:$U$1800,2,FALSE)</f>
        <v>GAA</v>
      </c>
      <c r="U297" s="428" t="str">
        <f>VLOOKUP(H297,'Fund Utilization Report'!$A$4:$U$1800,3,FALSE)</f>
        <v>FY2021, RA11518</v>
      </c>
      <c r="V297" s="428" t="str">
        <f>VLOOKUP(H297,'Fund Utilization Report'!$A$4:$U$1800,4,FALSE)</f>
        <v>GAS(GMS)</v>
      </c>
      <c r="W297" s="428" t="str">
        <f>VLOOKUP(H297,'Fund Utilization Report'!$A$4:$U$1800,5,FALSE)</f>
        <v>01101101</v>
      </c>
      <c r="X297" s="428" t="str">
        <f>VLOOKUP(H297,'Fund Utilization Report'!$A$4:$U$1800,6,FALSE)</f>
        <v>GOP</v>
      </c>
      <c r="Y297" s="320" t="str">
        <f>VLOOKUP(H297,'Fund Utilization Report'!$A$4:$U$1800,7,FALSE)</f>
        <v>MOOE</v>
      </c>
      <c r="Z297" s="425">
        <f>VLOOKUP(H297,'Fund Utilization Report'!$A$4:$U$1800,8,FALSE)</f>
        <v>5020000000</v>
      </c>
      <c r="AA297" s="428" t="str">
        <f>VLOOKUP(H297,'Fund Utilization Report'!$A$4:$U$1800,14,FALSE)</f>
        <v>100000100001000</v>
      </c>
      <c r="AB297" s="349" t="str">
        <f>VLOOKUP(H297,'Fund Utilization Report'!$A$4:$U$1800,15,FALSE)</f>
        <v>General Administration and Supervision - General Management and Supervision</v>
      </c>
      <c r="AC297" s="39"/>
      <c r="AD297" s="34"/>
      <c r="AE297" s="39"/>
      <c r="AF297" s="51"/>
      <c r="AG297" s="40"/>
      <c r="AH297" s="40"/>
    </row>
    <row r="298" spans="1:34" s="32" customFormat="1">
      <c r="A298" s="338" t="s">
        <v>942</v>
      </c>
      <c r="B298" s="338" t="s">
        <v>945</v>
      </c>
      <c r="C298" s="358">
        <v>44230</v>
      </c>
      <c r="D298" s="351" t="s">
        <v>1028</v>
      </c>
      <c r="E298" s="352" t="s">
        <v>1079</v>
      </c>
      <c r="F298" s="338">
        <v>0.63194444444444442</v>
      </c>
      <c r="G298" s="338">
        <v>0.63750000000000007</v>
      </c>
      <c r="H298" s="338" t="s">
        <v>968</v>
      </c>
      <c r="I298" s="353">
        <v>784</v>
      </c>
      <c r="J298" s="338" t="str">
        <f>IFERROR(VLOOKUP(I298,'Chart of accounts'!A:H,2,FALSE),"")</f>
        <v>50299040 00</v>
      </c>
      <c r="K298" s="338" t="str">
        <f>IFERROR(VLOOKUP(I298,'Chart of accounts'!A:H,3,FALSE),"")</f>
        <v>Transportation and Delivery Expenses</v>
      </c>
      <c r="L298" s="338" t="str">
        <f>IFERROR(VLOOKUP(I298,'Chart of accounts'!A:H,4,FALSE),"")</f>
        <v>50299040 00 - Transportation and Delivery Expenses (784)</v>
      </c>
      <c r="M298" s="361">
        <v>3</v>
      </c>
      <c r="N298" s="420" t="s">
        <v>820</v>
      </c>
      <c r="O298" s="420" t="s">
        <v>1074</v>
      </c>
      <c r="P298" s="420"/>
      <c r="Q298" s="420">
        <v>691.67</v>
      </c>
      <c r="R298" s="428">
        <f t="shared" si="3"/>
        <v>-691.67</v>
      </c>
      <c r="S298" s="428" t="str">
        <f>VLOOKUP(H298,'Fund Utilization Report'!$A$4:$U$1800,13,FALSE)</f>
        <v>MOOE</v>
      </c>
      <c r="T298" s="428" t="str">
        <f>VLOOKUP(H298,'Fund Utilization Report'!$A$4:$U$1800,2,FALSE)</f>
        <v>GAA</v>
      </c>
      <c r="U298" s="428" t="str">
        <f>VLOOKUP(H298,'Fund Utilization Report'!$A$4:$U$1800,3,FALSE)</f>
        <v>FY2021, RA11518</v>
      </c>
      <c r="V298" s="428" t="str">
        <f>VLOOKUP(H298,'Fund Utilization Report'!$A$4:$U$1800,4,FALSE)</f>
        <v>OO2</v>
      </c>
      <c r="W298" s="428" t="str">
        <f>VLOOKUP(H298,'Fund Utilization Report'!$A$4:$U$1800,5,FALSE)</f>
        <v>01101101</v>
      </c>
      <c r="X298" s="428" t="str">
        <f>VLOOKUP(H298,'Fund Utilization Report'!$A$4:$U$1800,6,FALSE)</f>
        <v>GOP</v>
      </c>
      <c r="Y298" s="320" t="str">
        <f>VLOOKUP(H298,'Fund Utilization Report'!$A$4:$U$1800,7,FALSE)</f>
        <v>MOOE</v>
      </c>
      <c r="Z298" s="425">
        <f>VLOOKUP(H298,'Fund Utilization Report'!$A$4:$U$1800,8,FALSE)</f>
        <v>5020000000</v>
      </c>
      <c r="AA298" s="428" t="str">
        <f>VLOOKUP(H298,'Fund Utilization Report'!$A$4:$U$1800,14,FALSE)</f>
        <v>320100100001000</v>
      </c>
      <c r="AB298" s="349" t="str">
        <f>VLOOKUP(H298,'Fund Utilization Report'!$A$4:$U$1800,15,FALSE)</f>
        <v>Formulation of Strategic plans,programs, and policies to develop competitve industries</v>
      </c>
      <c r="AC298" s="39"/>
      <c r="AD298" s="34"/>
      <c r="AE298" s="39"/>
      <c r="AF298" s="51"/>
      <c r="AG298" s="40"/>
      <c r="AH298" s="40"/>
    </row>
    <row r="299" spans="1:34" s="32" customFormat="1">
      <c r="A299" s="338" t="s">
        <v>942</v>
      </c>
      <c r="B299" s="338" t="s">
        <v>945</v>
      </c>
      <c r="C299" s="358">
        <v>44230</v>
      </c>
      <c r="D299" s="351" t="s">
        <v>1028</v>
      </c>
      <c r="E299" s="352" t="s">
        <v>1079</v>
      </c>
      <c r="F299" s="338">
        <v>0.63194444444444442</v>
      </c>
      <c r="G299" s="338">
        <v>0.63750000000000007</v>
      </c>
      <c r="H299" s="338" t="s">
        <v>961</v>
      </c>
      <c r="I299" s="353">
        <v>969</v>
      </c>
      <c r="J299" s="338" t="str">
        <f>IFERROR(VLOOKUP(I299,'Chart of accounts'!A:H,2,FALSE),"")</f>
        <v>50299990 99</v>
      </c>
      <c r="K299" s="338" t="str">
        <f>IFERROR(VLOOKUP(I299,'Chart of accounts'!A:H,3,FALSE),"")</f>
        <v>Other Maintenance and Operating Expenses</v>
      </c>
      <c r="L299" s="338" t="str">
        <f>IFERROR(VLOOKUP(I299,'Chart of accounts'!A:H,4,FALSE),"")</f>
        <v>50299990 99 - Other Maintenance and Operating Expenses (969)</v>
      </c>
      <c r="M299" s="361">
        <v>3</v>
      </c>
      <c r="N299" s="420" t="s">
        <v>820</v>
      </c>
      <c r="O299" s="420" t="s">
        <v>1074</v>
      </c>
      <c r="P299" s="420"/>
      <c r="Q299" s="420">
        <v>8308.2099999999991</v>
      </c>
      <c r="R299" s="428">
        <f t="shared" si="3"/>
        <v>-8308.2099999999991</v>
      </c>
      <c r="S299" s="428" t="str">
        <f>VLOOKUP(H299,'Fund Utilization Report'!$A$4:$U$1800,13,FALSE)</f>
        <v>MOOE</v>
      </c>
      <c r="T299" s="428" t="str">
        <f>VLOOKUP(H299,'Fund Utilization Report'!$A$4:$U$1800,2,FALSE)</f>
        <v>GAA</v>
      </c>
      <c r="U299" s="428" t="str">
        <f>VLOOKUP(H299,'Fund Utilization Report'!$A$4:$U$1800,3,FALSE)</f>
        <v>FY2021, RA11518</v>
      </c>
      <c r="V299" s="428" t="str">
        <f>VLOOKUP(H299,'Fund Utilization Report'!$A$4:$U$1800,4,FALSE)</f>
        <v>GAS(GMS)</v>
      </c>
      <c r="W299" s="428" t="str">
        <f>VLOOKUP(H299,'Fund Utilization Report'!$A$4:$U$1800,5,FALSE)</f>
        <v>01101101</v>
      </c>
      <c r="X299" s="428" t="str">
        <f>VLOOKUP(H299,'Fund Utilization Report'!$A$4:$U$1800,6,FALSE)</f>
        <v>GOP</v>
      </c>
      <c r="Y299" s="320" t="str">
        <f>VLOOKUP(H299,'Fund Utilization Report'!$A$4:$U$1800,7,FALSE)</f>
        <v>MOOE</v>
      </c>
      <c r="Z299" s="425">
        <f>VLOOKUP(H299,'Fund Utilization Report'!$A$4:$U$1800,8,FALSE)</f>
        <v>5020000000</v>
      </c>
      <c r="AA299" s="428" t="str">
        <f>VLOOKUP(H299,'Fund Utilization Report'!$A$4:$U$1800,14,FALSE)</f>
        <v>100000100001000</v>
      </c>
      <c r="AB299" s="349" t="str">
        <f>VLOOKUP(H299,'Fund Utilization Report'!$A$4:$U$1800,15,FALSE)</f>
        <v>General Administration and Supervision - General Management and Supervision</v>
      </c>
      <c r="AC299" s="39"/>
      <c r="AD299" s="34"/>
      <c r="AE299" s="39"/>
      <c r="AF299" s="51"/>
      <c r="AG299" s="40"/>
      <c r="AH299" s="40"/>
    </row>
    <row r="300" spans="1:34" s="32" customFormat="1">
      <c r="A300" s="338" t="s">
        <v>942</v>
      </c>
      <c r="B300" s="338" t="s">
        <v>945</v>
      </c>
      <c r="C300" s="358">
        <v>44230</v>
      </c>
      <c r="D300" s="351" t="s">
        <v>1028</v>
      </c>
      <c r="E300" s="352" t="s">
        <v>1080</v>
      </c>
      <c r="F300" s="338">
        <v>0.63750000000000007</v>
      </c>
      <c r="G300" s="338">
        <v>0.63888888888888895</v>
      </c>
      <c r="H300" s="338" t="s">
        <v>961</v>
      </c>
      <c r="I300" s="353">
        <v>756</v>
      </c>
      <c r="J300" s="338" t="str">
        <f>IFERROR(VLOOKUP(I300,'Chart of accounts'!A:H,2,FALSE),"")</f>
        <v>50203020 00</v>
      </c>
      <c r="K300" s="338" t="str">
        <f>IFERROR(VLOOKUP(I300,'Chart of accounts'!A:H,3,FALSE),"")</f>
        <v xml:space="preserve">Accountable Forms Expenses </v>
      </c>
      <c r="L300" s="338" t="str">
        <f>IFERROR(VLOOKUP(I300,'Chart of accounts'!A:H,4,FALSE),"")</f>
        <v>50203020 00 - Accountable Forms Expenses  (756)</v>
      </c>
      <c r="M300" s="361">
        <v>68</v>
      </c>
      <c r="N300" s="420" t="s">
        <v>821</v>
      </c>
      <c r="O300" s="420" t="s">
        <v>1074</v>
      </c>
      <c r="P300" s="420"/>
      <c r="Q300" s="420">
        <v>1245</v>
      </c>
      <c r="R300" s="319">
        <f t="shared" si="3"/>
        <v>-1245</v>
      </c>
      <c r="S300" s="428" t="str">
        <f>VLOOKUP(H300,'Fund Utilization Report'!$A$4:$U$1800,13,FALSE)</f>
        <v>MOOE</v>
      </c>
      <c r="T300" s="428" t="str">
        <f>VLOOKUP(H300,'Fund Utilization Report'!$A$4:$U$1800,2,FALSE)</f>
        <v>GAA</v>
      </c>
      <c r="U300" s="428" t="str">
        <f>VLOOKUP(H300,'Fund Utilization Report'!$A$4:$U$1800,3,FALSE)</f>
        <v>FY2021, RA11518</v>
      </c>
      <c r="V300" s="428" t="str">
        <f>VLOOKUP(H300,'Fund Utilization Report'!$A$4:$U$1800,4,FALSE)</f>
        <v>GAS(GMS)</v>
      </c>
      <c r="W300" s="428" t="str">
        <f>VLOOKUP(H300,'Fund Utilization Report'!$A$4:$U$1800,5,FALSE)</f>
        <v>01101101</v>
      </c>
      <c r="X300" s="428" t="str">
        <f>VLOOKUP(H300,'Fund Utilization Report'!$A$4:$U$1800,6,FALSE)</f>
        <v>GOP</v>
      </c>
      <c r="Y300" s="320" t="str">
        <f>VLOOKUP(H300,'Fund Utilization Report'!$A$4:$U$1800,7,FALSE)</f>
        <v>MOOE</v>
      </c>
      <c r="Z300" s="425">
        <f>VLOOKUP(H300,'Fund Utilization Report'!$A$4:$U$1800,8,FALSE)</f>
        <v>5020000000</v>
      </c>
      <c r="AA300" s="428" t="str">
        <f>VLOOKUP(H300,'Fund Utilization Report'!$A$4:$U$1800,14,FALSE)</f>
        <v>100000100001000</v>
      </c>
      <c r="AB300" s="349" t="str">
        <f>VLOOKUP(H300,'Fund Utilization Report'!$A$4:$U$1800,15,FALSE)</f>
        <v>General Administration and Supervision - General Management and Supervision</v>
      </c>
      <c r="AC300" s="39"/>
      <c r="AD300" s="34"/>
      <c r="AE300" s="39"/>
      <c r="AF300" s="51"/>
      <c r="AG300" s="40"/>
      <c r="AH300" s="40"/>
    </row>
    <row r="301" spans="1:34" s="32" customFormat="1">
      <c r="A301" s="338" t="s">
        <v>942</v>
      </c>
      <c r="B301" s="338" t="s">
        <v>945</v>
      </c>
      <c r="C301" s="358">
        <v>44230</v>
      </c>
      <c r="D301" s="351" t="s">
        <v>1028</v>
      </c>
      <c r="E301" s="352" t="s">
        <v>1080</v>
      </c>
      <c r="F301" s="338">
        <v>0.63750000000000007</v>
      </c>
      <c r="G301" s="338">
        <v>0.63888888888888895</v>
      </c>
      <c r="H301" s="338" t="s">
        <v>961</v>
      </c>
      <c r="I301" s="353">
        <v>753</v>
      </c>
      <c r="J301" s="338" t="str">
        <f>IFERROR(VLOOKUP(I301,'Chart of accounts'!A:H,2,FALSE),"")</f>
        <v>50202010 00</v>
      </c>
      <c r="K301" s="338" t="str">
        <f>IFERROR(VLOOKUP(I301,'Chart of accounts'!A:H,3,FALSE),"")</f>
        <v>Training Expenses</v>
      </c>
      <c r="L301" s="338" t="str">
        <f>IFERROR(VLOOKUP(I301,'Chart of accounts'!A:H,4,FALSE),"")</f>
        <v>50202010 00 - Training Expenses (753)</v>
      </c>
      <c r="M301" s="361">
        <v>68</v>
      </c>
      <c r="N301" s="420" t="s">
        <v>821</v>
      </c>
      <c r="O301" s="420" t="s">
        <v>1074</v>
      </c>
      <c r="P301" s="420"/>
      <c r="Q301" s="420">
        <v>9960</v>
      </c>
      <c r="R301" s="428">
        <f t="shared" si="3"/>
        <v>-9960</v>
      </c>
      <c r="S301" s="428" t="str">
        <f>VLOOKUP(H301,'Fund Utilization Report'!$A$4:$U$1800,13,FALSE)</f>
        <v>MOOE</v>
      </c>
      <c r="T301" s="428" t="str">
        <f>VLOOKUP(H301,'Fund Utilization Report'!$A$4:$U$1800,2,FALSE)</f>
        <v>GAA</v>
      </c>
      <c r="U301" s="428" t="str">
        <f>VLOOKUP(H301,'Fund Utilization Report'!$A$4:$U$1800,3,FALSE)</f>
        <v>FY2021, RA11518</v>
      </c>
      <c r="V301" s="428" t="str">
        <f>VLOOKUP(H301,'Fund Utilization Report'!$A$4:$U$1800,4,FALSE)</f>
        <v>GAS(GMS)</v>
      </c>
      <c r="W301" s="428" t="str">
        <f>VLOOKUP(H301,'Fund Utilization Report'!$A$4:$U$1800,5,FALSE)</f>
        <v>01101101</v>
      </c>
      <c r="X301" s="428" t="str">
        <f>VLOOKUP(H301,'Fund Utilization Report'!$A$4:$U$1800,6,FALSE)</f>
        <v>GOP</v>
      </c>
      <c r="Y301" s="320" t="str">
        <f>VLOOKUP(H301,'Fund Utilization Report'!$A$4:$U$1800,7,FALSE)</f>
        <v>MOOE</v>
      </c>
      <c r="Z301" s="425">
        <f>VLOOKUP(H301,'Fund Utilization Report'!$A$4:$U$1800,8,FALSE)</f>
        <v>5020000000</v>
      </c>
      <c r="AA301" s="428" t="str">
        <f>VLOOKUP(H301,'Fund Utilization Report'!$A$4:$U$1800,14,FALSE)</f>
        <v>100000100001000</v>
      </c>
      <c r="AB301" s="349" t="str">
        <f>VLOOKUP(H301,'Fund Utilization Report'!$A$4:$U$1800,15,FALSE)</f>
        <v>General Administration and Supervision - General Management and Supervision</v>
      </c>
      <c r="AC301" s="39"/>
      <c r="AD301" s="34"/>
      <c r="AE301" s="39"/>
      <c r="AF301" s="51"/>
      <c r="AG301" s="40"/>
      <c r="AH301" s="40"/>
    </row>
    <row r="302" spans="1:34" s="32" customFormat="1">
      <c r="A302" s="338" t="s">
        <v>942</v>
      </c>
      <c r="B302" s="338" t="s">
        <v>945</v>
      </c>
      <c r="C302" s="358">
        <v>44230</v>
      </c>
      <c r="D302" s="351" t="s">
        <v>1028</v>
      </c>
      <c r="E302" s="352" t="s">
        <v>1080</v>
      </c>
      <c r="F302" s="338">
        <v>0.63750000000000007</v>
      </c>
      <c r="G302" s="338">
        <v>0.63888888888888895</v>
      </c>
      <c r="H302" s="338" t="s">
        <v>961</v>
      </c>
      <c r="I302" s="353">
        <v>761</v>
      </c>
      <c r="J302" s="338" t="str">
        <f>IFERROR(VLOOKUP(I302,'Chart of accounts'!A:H,2,FALSE),"")</f>
        <v>50203090 00</v>
      </c>
      <c r="K302" s="338" t="str">
        <f>IFERROR(VLOOKUP(I302,'Chart of accounts'!A:H,3,FALSE),"")</f>
        <v>Fuel, Oil and Lubricants Expenses</v>
      </c>
      <c r="L302" s="338" t="str">
        <f>IFERROR(VLOOKUP(I302,'Chart of accounts'!A:H,4,FALSE),"")</f>
        <v>50203090 00 - Fuel, Oil and Lubricants Expenses (761)</v>
      </c>
      <c r="M302" s="361">
        <v>68</v>
      </c>
      <c r="N302" s="420" t="s">
        <v>821</v>
      </c>
      <c r="O302" s="420" t="s">
        <v>1074</v>
      </c>
      <c r="P302" s="420"/>
      <c r="Q302" s="420">
        <v>7211.11</v>
      </c>
      <c r="R302" s="428">
        <f t="shared" si="3"/>
        <v>-7211.11</v>
      </c>
      <c r="S302" s="428" t="str">
        <f>VLOOKUP(H302,'Fund Utilization Report'!$A$4:$U$1800,13,FALSE)</f>
        <v>MOOE</v>
      </c>
      <c r="T302" s="428" t="str">
        <f>VLOOKUP(H302,'Fund Utilization Report'!$A$4:$U$1800,2,FALSE)</f>
        <v>GAA</v>
      </c>
      <c r="U302" s="428" t="str">
        <f>VLOOKUP(H302,'Fund Utilization Report'!$A$4:$U$1800,3,FALSE)</f>
        <v>FY2021, RA11518</v>
      </c>
      <c r="V302" s="428" t="str">
        <f>VLOOKUP(H302,'Fund Utilization Report'!$A$4:$U$1800,4,FALSE)</f>
        <v>GAS(GMS)</v>
      </c>
      <c r="W302" s="428" t="str">
        <f>VLOOKUP(H302,'Fund Utilization Report'!$A$4:$U$1800,5,FALSE)</f>
        <v>01101101</v>
      </c>
      <c r="X302" s="428" t="str">
        <f>VLOOKUP(H302,'Fund Utilization Report'!$A$4:$U$1800,6,FALSE)</f>
        <v>GOP</v>
      </c>
      <c r="Y302" s="320" t="str">
        <f>VLOOKUP(H302,'Fund Utilization Report'!$A$4:$U$1800,7,FALSE)</f>
        <v>MOOE</v>
      </c>
      <c r="Z302" s="425">
        <f>VLOOKUP(H302,'Fund Utilization Report'!$A$4:$U$1800,8,FALSE)</f>
        <v>5020000000</v>
      </c>
      <c r="AA302" s="428" t="str">
        <f>VLOOKUP(H302,'Fund Utilization Report'!$A$4:$U$1800,14,FALSE)</f>
        <v>100000100001000</v>
      </c>
      <c r="AB302" s="349" t="str">
        <f>VLOOKUP(H302,'Fund Utilization Report'!$A$4:$U$1800,15,FALSE)</f>
        <v>General Administration and Supervision - General Management and Supervision</v>
      </c>
      <c r="AC302" s="39"/>
      <c r="AD302" s="34"/>
      <c r="AE302" s="39"/>
      <c r="AF302" s="51"/>
      <c r="AG302" s="40"/>
      <c r="AH302" s="40"/>
    </row>
    <row r="303" spans="1:34" s="32" customFormat="1">
      <c r="A303" s="338" t="s">
        <v>942</v>
      </c>
      <c r="B303" s="338" t="s">
        <v>945</v>
      </c>
      <c r="C303" s="358">
        <v>44230</v>
      </c>
      <c r="D303" s="351" t="s">
        <v>1028</v>
      </c>
      <c r="E303" s="352" t="s">
        <v>1080</v>
      </c>
      <c r="F303" s="338">
        <v>0.63750000000000007</v>
      </c>
      <c r="G303" s="338">
        <v>0.63888888888888895</v>
      </c>
      <c r="H303" s="338" t="s">
        <v>961</v>
      </c>
      <c r="I303" s="353">
        <v>766</v>
      </c>
      <c r="J303" s="338" t="str">
        <f>IFERROR(VLOOKUP(I303,'Chart of accounts'!A:H,2,FALSE),"")</f>
        <v>50204010 00</v>
      </c>
      <c r="K303" s="338" t="str">
        <f>IFERROR(VLOOKUP(I303,'Chart of accounts'!A:H,3,FALSE),"")</f>
        <v>Water Expenses</v>
      </c>
      <c r="L303" s="338" t="str">
        <f>IFERROR(VLOOKUP(I303,'Chart of accounts'!A:H,4,FALSE),"")</f>
        <v>50204010 00 - Water Expenses (766)</v>
      </c>
      <c r="M303" s="361">
        <v>68</v>
      </c>
      <c r="N303" s="420" t="s">
        <v>821</v>
      </c>
      <c r="O303" s="420" t="s">
        <v>1074</v>
      </c>
      <c r="P303" s="420"/>
      <c r="Q303" s="420">
        <v>1412.1</v>
      </c>
      <c r="R303" s="428">
        <f t="shared" ref="R303:R366" si="4">P303-Q303</f>
        <v>-1412.1</v>
      </c>
      <c r="S303" s="428" t="str">
        <f>VLOOKUP(H303,'Fund Utilization Report'!$A$4:$U$1800,13,FALSE)</f>
        <v>MOOE</v>
      </c>
      <c r="T303" s="428" t="str">
        <f>VLOOKUP(H303,'Fund Utilization Report'!$A$4:$U$1800,2,FALSE)</f>
        <v>GAA</v>
      </c>
      <c r="U303" s="428" t="str">
        <f>VLOOKUP(H303,'Fund Utilization Report'!$A$4:$U$1800,3,FALSE)</f>
        <v>FY2021, RA11518</v>
      </c>
      <c r="V303" s="428" t="str">
        <f>VLOOKUP(H303,'Fund Utilization Report'!$A$4:$U$1800,4,FALSE)</f>
        <v>GAS(GMS)</v>
      </c>
      <c r="W303" s="428" t="str">
        <f>VLOOKUP(H303,'Fund Utilization Report'!$A$4:$U$1800,5,FALSE)</f>
        <v>01101101</v>
      </c>
      <c r="X303" s="428" t="str">
        <f>VLOOKUP(H303,'Fund Utilization Report'!$A$4:$U$1800,6,FALSE)</f>
        <v>GOP</v>
      </c>
      <c r="Y303" s="320" t="str">
        <f>VLOOKUP(H303,'Fund Utilization Report'!$A$4:$U$1800,7,FALSE)</f>
        <v>MOOE</v>
      </c>
      <c r="Z303" s="425">
        <f>VLOOKUP(H303,'Fund Utilization Report'!$A$4:$U$1800,8,FALSE)</f>
        <v>5020000000</v>
      </c>
      <c r="AA303" s="428" t="str">
        <f>VLOOKUP(H303,'Fund Utilization Report'!$A$4:$U$1800,14,FALSE)</f>
        <v>100000100001000</v>
      </c>
      <c r="AB303" s="349" t="str">
        <f>VLOOKUP(H303,'Fund Utilization Report'!$A$4:$U$1800,15,FALSE)</f>
        <v>General Administration and Supervision - General Management and Supervision</v>
      </c>
      <c r="AC303" s="39"/>
      <c r="AD303" s="34"/>
      <c r="AE303" s="39"/>
      <c r="AF303" s="51"/>
      <c r="AG303" s="40"/>
      <c r="AH303" s="40"/>
    </row>
    <row r="304" spans="1:34" s="32" customFormat="1">
      <c r="A304" s="338" t="s">
        <v>942</v>
      </c>
      <c r="B304" s="338" t="s">
        <v>945</v>
      </c>
      <c r="C304" s="358">
        <v>44230</v>
      </c>
      <c r="D304" s="351" t="s">
        <v>1028</v>
      </c>
      <c r="E304" s="352" t="s">
        <v>1080</v>
      </c>
      <c r="F304" s="338">
        <v>0.63750000000000007</v>
      </c>
      <c r="G304" s="338">
        <v>0.63888888888888895</v>
      </c>
      <c r="H304" s="338" t="s">
        <v>961</v>
      </c>
      <c r="I304" s="353">
        <v>767</v>
      </c>
      <c r="J304" s="338" t="str">
        <f>IFERROR(VLOOKUP(I304,'Chart of accounts'!A:H,2,FALSE),"")</f>
        <v>50204020 00</v>
      </c>
      <c r="K304" s="338" t="str">
        <f>IFERROR(VLOOKUP(I304,'Chart of accounts'!A:H,3,FALSE),"")</f>
        <v>Electricity Expense</v>
      </c>
      <c r="L304" s="338" t="str">
        <f>IFERROR(VLOOKUP(I304,'Chart of accounts'!A:H,4,FALSE),"")</f>
        <v>50204020 00 - Electricity Expense (767)</v>
      </c>
      <c r="M304" s="361">
        <v>68</v>
      </c>
      <c r="N304" s="420" t="s">
        <v>821</v>
      </c>
      <c r="O304" s="420" t="s">
        <v>1074</v>
      </c>
      <c r="P304" s="420"/>
      <c r="Q304" s="420">
        <v>31391.81</v>
      </c>
      <c r="R304" s="428">
        <f t="shared" si="4"/>
        <v>-31391.81</v>
      </c>
      <c r="S304" s="428" t="str">
        <f>VLOOKUP(H304,'Fund Utilization Report'!$A$4:$U$1800,13,FALSE)</f>
        <v>MOOE</v>
      </c>
      <c r="T304" s="428" t="str">
        <f>VLOOKUP(H304,'Fund Utilization Report'!$A$4:$U$1800,2,FALSE)</f>
        <v>GAA</v>
      </c>
      <c r="U304" s="428" t="str">
        <f>VLOOKUP(H304,'Fund Utilization Report'!$A$4:$U$1800,3,FALSE)</f>
        <v>FY2021, RA11518</v>
      </c>
      <c r="V304" s="428" t="str">
        <f>VLOOKUP(H304,'Fund Utilization Report'!$A$4:$U$1800,4,FALSE)</f>
        <v>GAS(GMS)</v>
      </c>
      <c r="W304" s="428" t="str">
        <f>VLOOKUP(H304,'Fund Utilization Report'!$A$4:$U$1800,5,FALSE)</f>
        <v>01101101</v>
      </c>
      <c r="X304" s="428" t="str">
        <f>VLOOKUP(H304,'Fund Utilization Report'!$A$4:$U$1800,6,FALSE)</f>
        <v>GOP</v>
      </c>
      <c r="Y304" s="320" t="str">
        <f>VLOOKUP(H304,'Fund Utilization Report'!$A$4:$U$1800,7,FALSE)</f>
        <v>MOOE</v>
      </c>
      <c r="Z304" s="425">
        <f>VLOOKUP(H304,'Fund Utilization Report'!$A$4:$U$1800,8,FALSE)</f>
        <v>5020000000</v>
      </c>
      <c r="AA304" s="428" t="str">
        <f>VLOOKUP(H304,'Fund Utilization Report'!$A$4:$U$1800,14,FALSE)</f>
        <v>100000100001000</v>
      </c>
      <c r="AB304" s="349" t="str">
        <f>VLOOKUP(H304,'Fund Utilization Report'!$A$4:$U$1800,15,FALSE)</f>
        <v>General Administration and Supervision - General Management and Supervision</v>
      </c>
      <c r="AC304" s="39"/>
      <c r="AD304" s="34"/>
      <c r="AE304" s="39"/>
      <c r="AF304" s="51"/>
      <c r="AG304" s="40"/>
      <c r="AH304" s="40"/>
    </row>
    <row r="305" spans="1:34" s="32" customFormat="1">
      <c r="A305" s="338" t="s">
        <v>942</v>
      </c>
      <c r="B305" s="338" t="s">
        <v>945</v>
      </c>
      <c r="C305" s="358">
        <v>44230</v>
      </c>
      <c r="D305" s="351" t="s">
        <v>1028</v>
      </c>
      <c r="E305" s="352" t="s">
        <v>1080</v>
      </c>
      <c r="F305" s="338">
        <v>0.63750000000000007</v>
      </c>
      <c r="G305" s="338">
        <v>0.63888888888888895</v>
      </c>
      <c r="H305" s="338" t="s">
        <v>961</v>
      </c>
      <c r="I305" s="353">
        <v>771</v>
      </c>
      <c r="J305" s="338" t="str">
        <f>IFERROR(VLOOKUP(I305,'Chart of accounts'!A:H,2,FALSE),"")</f>
        <v>50205010 00</v>
      </c>
      <c r="K305" s="338" t="str">
        <f>IFERROR(VLOOKUP(I305,'Chart of accounts'!A:H,3,FALSE),"")</f>
        <v>Postage and Courier Services</v>
      </c>
      <c r="L305" s="338" t="str">
        <f>IFERROR(VLOOKUP(I305,'Chart of accounts'!A:H,4,FALSE),"")</f>
        <v>50205010 00 - Postage and Courier Services (771)</v>
      </c>
      <c r="M305" s="361">
        <v>68</v>
      </c>
      <c r="N305" s="420" t="s">
        <v>821</v>
      </c>
      <c r="O305" s="420" t="s">
        <v>1074</v>
      </c>
      <c r="P305" s="420"/>
      <c r="Q305" s="420">
        <v>830</v>
      </c>
      <c r="R305" s="428">
        <f t="shared" si="4"/>
        <v>-830</v>
      </c>
      <c r="S305" s="428" t="str">
        <f>VLOOKUP(H305,'Fund Utilization Report'!$A$4:$U$1800,13,FALSE)</f>
        <v>MOOE</v>
      </c>
      <c r="T305" s="428" t="str">
        <f>VLOOKUP(H305,'Fund Utilization Report'!$A$4:$U$1800,2,FALSE)</f>
        <v>GAA</v>
      </c>
      <c r="U305" s="428" t="str">
        <f>VLOOKUP(H305,'Fund Utilization Report'!$A$4:$U$1800,3,FALSE)</f>
        <v>FY2021, RA11518</v>
      </c>
      <c r="V305" s="428" t="str">
        <f>VLOOKUP(H305,'Fund Utilization Report'!$A$4:$U$1800,4,FALSE)</f>
        <v>GAS(GMS)</v>
      </c>
      <c r="W305" s="428" t="str">
        <f>VLOOKUP(H305,'Fund Utilization Report'!$A$4:$U$1800,5,FALSE)</f>
        <v>01101101</v>
      </c>
      <c r="X305" s="428" t="str">
        <f>VLOOKUP(H305,'Fund Utilization Report'!$A$4:$U$1800,6,FALSE)</f>
        <v>GOP</v>
      </c>
      <c r="Y305" s="320" t="str">
        <f>VLOOKUP(H305,'Fund Utilization Report'!$A$4:$U$1800,7,FALSE)</f>
        <v>MOOE</v>
      </c>
      <c r="Z305" s="425">
        <f>VLOOKUP(H305,'Fund Utilization Report'!$A$4:$U$1800,8,FALSE)</f>
        <v>5020000000</v>
      </c>
      <c r="AA305" s="428" t="str">
        <f>VLOOKUP(H305,'Fund Utilization Report'!$A$4:$U$1800,14,FALSE)</f>
        <v>100000100001000</v>
      </c>
      <c r="AB305" s="349" t="str">
        <f>VLOOKUP(H305,'Fund Utilization Report'!$A$4:$U$1800,15,FALSE)</f>
        <v>General Administration and Supervision - General Management and Supervision</v>
      </c>
      <c r="AC305" s="39"/>
      <c r="AD305" s="34"/>
      <c r="AE305" s="39"/>
      <c r="AF305" s="51"/>
      <c r="AG305" s="40"/>
      <c r="AH305" s="40"/>
    </row>
    <row r="306" spans="1:34" s="32" customFormat="1">
      <c r="A306" s="338" t="s">
        <v>942</v>
      </c>
      <c r="B306" s="338" t="s">
        <v>945</v>
      </c>
      <c r="C306" s="358">
        <v>44230</v>
      </c>
      <c r="D306" s="351" t="s">
        <v>1028</v>
      </c>
      <c r="E306" s="352" t="s">
        <v>1080</v>
      </c>
      <c r="F306" s="338">
        <v>0.63750000000000007</v>
      </c>
      <c r="G306" s="338">
        <v>0.63888888888888895</v>
      </c>
      <c r="H306" s="338" t="s">
        <v>961</v>
      </c>
      <c r="I306" s="353">
        <v>772</v>
      </c>
      <c r="J306" s="338" t="str">
        <f>IFERROR(VLOOKUP(I306,'Chart of accounts'!A:H,2,FALSE),"")</f>
        <v>50205020 02</v>
      </c>
      <c r="K306" s="338" t="str">
        <f>IFERROR(VLOOKUP(I306,'Chart of accounts'!A:H,3,FALSE),"")</f>
        <v xml:space="preserve">Telephone Expenses - Landline </v>
      </c>
      <c r="L306" s="338" t="str">
        <f>IFERROR(VLOOKUP(I306,'Chart of accounts'!A:H,4,FALSE),"")</f>
        <v>50205020 02 - Telephone Expenses - Landline  (772)</v>
      </c>
      <c r="M306" s="361">
        <v>68</v>
      </c>
      <c r="N306" s="420" t="s">
        <v>821</v>
      </c>
      <c r="O306" s="420" t="s">
        <v>1074</v>
      </c>
      <c r="P306" s="420"/>
      <c r="Q306" s="420">
        <v>5057.87</v>
      </c>
      <c r="R306" s="428">
        <f t="shared" si="4"/>
        <v>-5057.87</v>
      </c>
      <c r="S306" s="428" t="str">
        <f>VLOOKUP(H306,'Fund Utilization Report'!$A$4:$U$1800,13,FALSE)</f>
        <v>MOOE</v>
      </c>
      <c r="T306" s="428" t="str">
        <f>VLOOKUP(H306,'Fund Utilization Report'!$A$4:$U$1800,2,FALSE)</f>
        <v>GAA</v>
      </c>
      <c r="U306" s="428" t="str">
        <f>VLOOKUP(H306,'Fund Utilization Report'!$A$4:$U$1800,3,FALSE)</f>
        <v>FY2021, RA11518</v>
      </c>
      <c r="V306" s="428" t="str">
        <f>VLOOKUP(H306,'Fund Utilization Report'!$A$4:$U$1800,4,FALSE)</f>
        <v>GAS(GMS)</v>
      </c>
      <c r="W306" s="428" t="str">
        <f>VLOOKUP(H306,'Fund Utilization Report'!$A$4:$U$1800,5,FALSE)</f>
        <v>01101101</v>
      </c>
      <c r="X306" s="428" t="str">
        <f>VLOOKUP(H306,'Fund Utilization Report'!$A$4:$U$1800,6,FALSE)</f>
        <v>GOP</v>
      </c>
      <c r="Y306" s="320" t="str">
        <f>VLOOKUP(H306,'Fund Utilization Report'!$A$4:$U$1800,7,FALSE)</f>
        <v>MOOE</v>
      </c>
      <c r="Z306" s="425">
        <f>VLOOKUP(H306,'Fund Utilization Report'!$A$4:$U$1800,8,FALSE)</f>
        <v>5020000000</v>
      </c>
      <c r="AA306" s="428" t="str">
        <f>VLOOKUP(H306,'Fund Utilization Report'!$A$4:$U$1800,14,FALSE)</f>
        <v>100000100001000</v>
      </c>
      <c r="AB306" s="349" t="str">
        <f>VLOOKUP(H306,'Fund Utilization Report'!$A$4:$U$1800,15,FALSE)</f>
        <v>General Administration and Supervision - General Management and Supervision</v>
      </c>
      <c r="AC306" s="39"/>
      <c r="AD306" s="34"/>
      <c r="AE306" s="39"/>
      <c r="AF306" s="51"/>
      <c r="AG306" s="40"/>
      <c r="AH306" s="40"/>
    </row>
    <row r="307" spans="1:34" s="32" customFormat="1">
      <c r="A307" s="338" t="s">
        <v>942</v>
      </c>
      <c r="B307" s="338" t="s">
        <v>945</v>
      </c>
      <c r="C307" s="358">
        <v>44230</v>
      </c>
      <c r="D307" s="351" t="s">
        <v>1028</v>
      </c>
      <c r="E307" s="352" t="s">
        <v>1080</v>
      </c>
      <c r="F307" s="338">
        <v>0.63750000000000007</v>
      </c>
      <c r="G307" s="338">
        <v>0.63888888888888895</v>
      </c>
      <c r="H307" s="338" t="s">
        <v>961</v>
      </c>
      <c r="I307" s="353">
        <v>773</v>
      </c>
      <c r="J307" s="338" t="str">
        <f>IFERROR(VLOOKUP(I307,'Chart of accounts'!A:H,2,FALSE),"")</f>
        <v>50205020 01</v>
      </c>
      <c r="K307" s="338" t="str">
        <f>IFERROR(VLOOKUP(I307,'Chart of accounts'!A:H,3,FALSE),"")</f>
        <v xml:space="preserve">Telephone Expenses - Mobile </v>
      </c>
      <c r="L307" s="338" t="str">
        <f>IFERROR(VLOOKUP(I307,'Chart of accounts'!A:H,4,FALSE),"")</f>
        <v>50205020 01 - Telephone Expenses - Mobile  (773)</v>
      </c>
      <c r="M307" s="361">
        <v>68</v>
      </c>
      <c r="N307" s="420" t="s">
        <v>821</v>
      </c>
      <c r="O307" s="420" t="s">
        <v>1074</v>
      </c>
      <c r="P307" s="420"/>
      <c r="Q307" s="420">
        <v>2988</v>
      </c>
      <c r="R307" s="428">
        <f t="shared" si="4"/>
        <v>-2988</v>
      </c>
      <c r="S307" s="428" t="str">
        <f>VLOOKUP(H307,'Fund Utilization Report'!$A$4:$U$1800,13,FALSE)</f>
        <v>MOOE</v>
      </c>
      <c r="T307" s="428" t="str">
        <f>VLOOKUP(H307,'Fund Utilization Report'!$A$4:$U$1800,2,FALSE)</f>
        <v>GAA</v>
      </c>
      <c r="U307" s="428" t="str">
        <f>VLOOKUP(H307,'Fund Utilization Report'!$A$4:$U$1800,3,FALSE)</f>
        <v>FY2021, RA11518</v>
      </c>
      <c r="V307" s="428" t="str">
        <f>VLOOKUP(H307,'Fund Utilization Report'!$A$4:$U$1800,4,FALSE)</f>
        <v>GAS(GMS)</v>
      </c>
      <c r="W307" s="428" t="str">
        <f>VLOOKUP(H307,'Fund Utilization Report'!$A$4:$U$1800,5,FALSE)</f>
        <v>01101101</v>
      </c>
      <c r="X307" s="428" t="str">
        <f>VLOOKUP(H307,'Fund Utilization Report'!$A$4:$U$1800,6,FALSE)</f>
        <v>GOP</v>
      </c>
      <c r="Y307" s="320" t="str">
        <f>VLOOKUP(H307,'Fund Utilization Report'!$A$4:$U$1800,7,FALSE)</f>
        <v>MOOE</v>
      </c>
      <c r="Z307" s="425">
        <f>VLOOKUP(H307,'Fund Utilization Report'!$A$4:$U$1800,8,FALSE)</f>
        <v>5020000000</v>
      </c>
      <c r="AA307" s="428" t="str">
        <f>VLOOKUP(H307,'Fund Utilization Report'!$A$4:$U$1800,14,FALSE)</f>
        <v>100000100001000</v>
      </c>
      <c r="AB307" s="349" t="str">
        <f>VLOOKUP(H307,'Fund Utilization Report'!$A$4:$U$1800,15,FALSE)</f>
        <v>General Administration and Supervision - General Management and Supervision</v>
      </c>
      <c r="AC307" s="39"/>
      <c r="AD307" s="34"/>
      <c r="AE307" s="39"/>
      <c r="AF307" s="51"/>
      <c r="AG307" s="40"/>
      <c r="AH307" s="40"/>
    </row>
    <row r="308" spans="1:34" s="32" customFormat="1">
      <c r="A308" s="338" t="s">
        <v>942</v>
      </c>
      <c r="B308" s="338" t="s">
        <v>945</v>
      </c>
      <c r="C308" s="358">
        <v>44230</v>
      </c>
      <c r="D308" s="351" t="s">
        <v>1028</v>
      </c>
      <c r="E308" s="352" t="s">
        <v>1080</v>
      </c>
      <c r="F308" s="338">
        <v>0.63750000000000007</v>
      </c>
      <c r="G308" s="338">
        <v>0.63888888888888895</v>
      </c>
      <c r="H308" s="338" t="s">
        <v>961</v>
      </c>
      <c r="I308" s="353">
        <v>775</v>
      </c>
      <c r="J308" s="338" t="str">
        <f>IFERROR(VLOOKUP(I308,'Chart of accounts'!A:H,2,FALSE),"")</f>
        <v>50205040 00</v>
      </c>
      <c r="K308" s="338" t="str">
        <f>IFERROR(VLOOKUP(I308,'Chart of accounts'!A:H,3,FALSE),"")</f>
        <v>Cable, Satellite, Telegraph, and Radio Expenses</v>
      </c>
      <c r="L308" s="338" t="str">
        <f>IFERROR(VLOOKUP(I308,'Chart of accounts'!A:H,4,FALSE),"")</f>
        <v>50205040 00 - Cable, Satellite, Telegraph, and Radio Expenses (775)</v>
      </c>
      <c r="M308" s="361">
        <v>68</v>
      </c>
      <c r="N308" s="420" t="s">
        <v>821</v>
      </c>
      <c r="O308" s="420" t="s">
        <v>1074</v>
      </c>
      <c r="P308" s="420"/>
      <c r="Q308" s="420">
        <v>581</v>
      </c>
      <c r="R308" s="428">
        <f t="shared" si="4"/>
        <v>-581</v>
      </c>
      <c r="S308" s="428" t="str">
        <f>VLOOKUP(H308,'Fund Utilization Report'!$A$4:$U$1800,13,FALSE)</f>
        <v>MOOE</v>
      </c>
      <c r="T308" s="428" t="str">
        <f>VLOOKUP(H308,'Fund Utilization Report'!$A$4:$U$1800,2,FALSE)</f>
        <v>GAA</v>
      </c>
      <c r="U308" s="428" t="str">
        <f>VLOOKUP(H308,'Fund Utilization Report'!$A$4:$U$1800,3,FALSE)</f>
        <v>FY2021, RA11518</v>
      </c>
      <c r="V308" s="428" t="str">
        <f>VLOOKUP(H308,'Fund Utilization Report'!$A$4:$U$1800,4,FALSE)</f>
        <v>GAS(GMS)</v>
      </c>
      <c r="W308" s="428" t="str">
        <f>VLOOKUP(H308,'Fund Utilization Report'!$A$4:$U$1800,5,FALSE)</f>
        <v>01101101</v>
      </c>
      <c r="X308" s="428" t="str">
        <f>VLOOKUP(H308,'Fund Utilization Report'!$A$4:$U$1800,6,FALSE)</f>
        <v>GOP</v>
      </c>
      <c r="Y308" s="320" t="str">
        <f>VLOOKUP(H308,'Fund Utilization Report'!$A$4:$U$1800,7,FALSE)</f>
        <v>MOOE</v>
      </c>
      <c r="Z308" s="425">
        <f>VLOOKUP(H308,'Fund Utilization Report'!$A$4:$U$1800,8,FALSE)</f>
        <v>5020000000</v>
      </c>
      <c r="AA308" s="428" t="str">
        <f>VLOOKUP(H308,'Fund Utilization Report'!$A$4:$U$1800,14,FALSE)</f>
        <v>100000100001000</v>
      </c>
      <c r="AB308" s="349" t="str">
        <f>VLOOKUP(H308,'Fund Utilization Report'!$A$4:$U$1800,15,FALSE)</f>
        <v>General Administration and Supervision - General Management and Supervision</v>
      </c>
      <c r="AC308" s="39"/>
      <c r="AD308" s="34"/>
      <c r="AE308" s="39"/>
      <c r="AF308" s="51"/>
      <c r="AG308" s="40"/>
      <c r="AH308" s="40"/>
    </row>
    <row r="309" spans="1:34" s="32" customFormat="1">
      <c r="A309" s="338" t="s">
        <v>942</v>
      </c>
      <c r="B309" s="338" t="s">
        <v>945</v>
      </c>
      <c r="C309" s="358">
        <v>44230</v>
      </c>
      <c r="D309" s="351" t="s">
        <v>1028</v>
      </c>
      <c r="E309" s="352" t="s">
        <v>1080</v>
      </c>
      <c r="F309" s="338">
        <v>0.63750000000000007</v>
      </c>
      <c r="G309" s="338">
        <v>0.63888888888888895</v>
      </c>
      <c r="H309" s="338" t="s">
        <v>961</v>
      </c>
      <c r="I309" s="353">
        <v>791</v>
      </c>
      <c r="J309" s="338" t="str">
        <f>IFERROR(VLOOKUP(I309,'Chart of accounts'!A:H,2,FALSE),"")</f>
        <v>50211010 00</v>
      </c>
      <c r="K309" s="338" t="str">
        <f>IFERROR(VLOOKUP(I309,'Chart of accounts'!A:H,3,FALSE),"")</f>
        <v>Legal Services</v>
      </c>
      <c r="L309" s="338" t="str">
        <f>IFERROR(VLOOKUP(I309,'Chart of accounts'!A:H,4,FALSE),"")</f>
        <v>50211010 00 - Legal Services (791)</v>
      </c>
      <c r="M309" s="361">
        <v>68</v>
      </c>
      <c r="N309" s="420" t="s">
        <v>821</v>
      </c>
      <c r="O309" s="420" t="s">
        <v>1074</v>
      </c>
      <c r="P309" s="420"/>
      <c r="Q309" s="420">
        <v>498</v>
      </c>
      <c r="R309" s="428">
        <f t="shared" si="4"/>
        <v>-498</v>
      </c>
      <c r="S309" s="428" t="str">
        <f>VLOOKUP(H309,'Fund Utilization Report'!$A$4:$U$1800,13,FALSE)</f>
        <v>MOOE</v>
      </c>
      <c r="T309" s="428" t="str">
        <f>VLOOKUP(H309,'Fund Utilization Report'!$A$4:$U$1800,2,FALSE)</f>
        <v>GAA</v>
      </c>
      <c r="U309" s="428" t="str">
        <f>VLOOKUP(H309,'Fund Utilization Report'!$A$4:$U$1800,3,FALSE)</f>
        <v>FY2021, RA11518</v>
      </c>
      <c r="V309" s="428" t="str">
        <f>VLOOKUP(H309,'Fund Utilization Report'!$A$4:$U$1800,4,FALSE)</f>
        <v>GAS(GMS)</v>
      </c>
      <c r="W309" s="428" t="str">
        <f>VLOOKUP(H309,'Fund Utilization Report'!$A$4:$U$1800,5,FALSE)</f>
        <v>01101101</v>
      </c>
      <c r="X309" s="428" t="str">
        <f>VLOOKUP(H309,'Fund Utilization Report'!$A$4:$U$1800,6,FALSE)</f>
        <v>GOP</v>
      </c>
      <c r="Y309" s="320" t="str">
        <f>VLOOKUP(H309,'Fund Utilization Report'!$A$4:$U$1800,7,FALSE)</f>
        <v>MOOE</v>
      </c>
      <c r="Z309" s="425">
        <f>VLOOKUP(H309,'Fund Utilization Report'!$A$4:$U$1800,8,FALSE)</f>
        <v>5020000000</v>
      </c>
      <c r="AA309" s="428" t="str">
        <f>VLOOKUP(H309,'Fund Utilization Report'!$A$4:$U$1800,14,FALSE)</f>
        <v>100000100001000</v>
      </c>
      <c r="AB309" s="349" t="str">
        <f>VLOOKUP(H309,'Fund Utilization Report'!$A$4:$U$1800,15,FALSE)</f>
        <v>General Administration and Supervision - General Management and Supervision</v>
      </c>
      <c r="AC309" s="39"/>
      <c r="AD309" s="34"/>
      <c r="AE309" s="39"/>
      <c r="AF309" s="51"/>
      <c r="AG309" s="40"/>
      <c r="AH309" s="40"/>
    </row>
    <row r="310" spans="1:34" s="32" customFormat="1">
      <c r="A310" s="338" t="s">
        <v>942</v>
      </c>
      <c r="B310" s="338" t="s">
        <v>945</v>
      </c>
      <c r="C310" s="358">
        <v>44230</v>
      </c>
      <c r="D310" s="351" t="s">
        <v>1028</v>
      </c>
      <c r="E310" s="352" t="s">
        <v>1080</v>
      </c>
      <c r="F310" s="338">
        <v>0.63750000000000007</v>
      </c>
      <c r="G310" s="338">
        <v>0.63888888888888895</v>
      </c>
      <c r="H310" s="338" t="s">
        <v>961</v>
      </c>
      <c r="I310" s="353">
        <v>796</v>
      </c>
      <c r="J310" s="338" t="str">
        <f>IFERROR(VLOOKUP(I310,'Chart of accounts'!A:H,2,FALSE),"")</f>
        <v>50212020 00</v>
      </c>
      <c r="K310" s="338" t="str">
        <f>IFERROR(VLOOKUP(I310,'Chart of accounts'!A:H,3,FALSE),"")</f>
        <v>Janitorial Services</v>
      </c>
      <c r="L310" s="338" t="str">
        <f>IFERROR(VLOOKUP(I310,'Chart of accounts'!A:H,4,FALSE),"")</f>
        <v>50212020 00 - Janitorial Services (796)</v>
      </c>
      <c r="M310" s="361">
        <v>68</v>
      </c>
      <c r="N310" s="420" t="s">
        <v>821</v>
      </c>
      <c r="O310" s="420" t="s">
        <v>1074</v>
      </c>
      <c r="P310" s="420"/>
      <c r="Q310" s="420">
        <v>14386.67</v>
      </c>
      <c r="R310" s="428">
        <f t="shared" si="4"/>
        <v>-14386.67</v>
      </c>
      <c r="S310" s="428" t="str">
        <f>VLOOKUP(H310,'Fund Utilization Report'!$A$4:$U$1800,13,FALSE)</f>
        <v>MOOE</v>
      </c>
      <c r="T310" s="428" t="str">
        <f>VLOOKUP(H310,'Fund Utilization Report'!$A$4:$U$1800,2,FALSE)</f>
        <v>GAA</v>
      </c>
      <c r="U310" s="428" t="str">
        <f>VLOOKUP(H310,'Fund Utilization Report'!$A$4:$U$1800,3,FALSE)</f>
        <v>FY2021, RA11518</v>
      </c>
      <c r="V310" s="428" t="str">
        <f>VLOOKUP(H310,'Fund Utilization Report'!$A$4:$U$1800,4,FALSE)</f>
        <v>GAS(GMS)</v>
      </c>
      <c r="W310" s="428" t="str">
        <f>VLOOKUP(H310,'Fund Utilization Report'!$A$4:$U$1800,5,FALSE)</f>
        <v>01101101</v>
      </c>
      <c r="X310" s="428" t="str">
        <f>VLOOKUP(H310,'Fund Utilization Report'!$A$4:$U$1800,6,FALSE)</f>
        <v>GOP</v>
      </c>
      <c r="Y310" s="320" t="str">
        <f>VLOOKUP(H310,'Fund Utilization Report'!$A$4:$U$1800,7,FALSE)</f>
        <v>MOOE</v>
      </c>
      <c r="Z310" s="425">
        <f>VLOOKUP(H310,'Fund Utilization Report'!$A$4:$U$1800,8,FALSE)</f>
        <v>5020000000</v>
      </c>
      <c r="AA310" s="428" t="str">
        <f>VLOOKUP(H310,'Fund Utilization Report'!$A$4:$U$1800,14,FALSE)</f>
        <v>100000100001000</v>
      </c>
      <c r="AB310" s="349" t="str">
        <f>VLOOKUP(H310,'Fund Utilization Report'!$A$4:$U$1800,15,FALSE)</f>
        <v>General Administration and Supervision - General Management and Supervision</v>
      </c>
      <c r="AC310" s="39"/>
      <c r="AD310" s="34"/>
      <c r="AE310" s="39"/>
      <c r="AF310" s="51"/>
      <c r="AG310" s="40"/>
      <c r="AH310" s="40"/>
    </row>
    <row r="311" spans="1:34" s="32" customFormat="1">
      <c r="A311" s="338" t="s">
        <v>942</v>
      </c>
      <c r="B311" s="338" t="s">
        <v>945</v>
      </c>
      <c r="C311" s="358">
        <v>44230</v>
      </c>
      <c r="D311" s="351" t="s">
        <v>1028</v>
      </c>
      <c r="E311" s="352" t="s">
        <v>1080</v>
      </c>
      <c r="F311" s="338">
        <v>0.63750000000000007</v>
      </c>
      <c r="G311" s="338">
        <v>0.63888888888888895</v>
      </c>
      <c r="H311" s="338" t="s">
        <v>961</v>
      </c>
      <c r="I311" s="353">
        <v>795</v>
      </c>
      <c r="J311" s="338" t="str">
        <f>IFERROR(VLOOKUP(I311,'Chart of accounts'!A:H,2,FALSE),"")</f>
        <v>50212990 00</v>
      </c>
      <c r="K311" s="338" t="str">
        <f>IFERROR(VLOOKUP(I311,'Chart of accounts'!A:H,3,FALSE),"")</f>
        <v>Other General Services</v>
      </c>
      <c r="L311" s="338" t="str">
        <f>IFERROR(VLOOKUP(I311,'Chart of accounts'!A:H,4,FALSE),"")</f>
        <v>50212990 00 - Other General Services (795)</v>
      </c>
      <c r="M311" s="361">
        <v>68</v>
      </c>
      <c r="N311" s="420" t="s">
        <v>821</v>
      </c>
      <c r="O311" s="420" t="s">
        <v>1074</v>
      </c>
      <c r="P311" s="420"/>
      <c r="Q311" s="420">
        <v>109583.24</v>
      </c>
      <c r="R311" s="428">
        <f t="shared" si="4"/>
        <v>-109583.24</v>
      </c>
      <c r="S311" s="428" t="str">
        <f>VLOOKUP(H311,'Fund Utilization Report'!$A$4:$U$1800,13,FALSE)</f>
        <v>MOOE</v>
      </c>
      <c r="T311" s="428" t="str">
        <f>VLOOKUP(H311,'Fund Utilization Report'!$A$4:$U$1800,2,FALSE)</f>
        <v>GAA</v>
      </c>
      <c r="U311" s="428" t="str">
        <f>VLOOKUP(H311,'Fund Utilization Report'!$A$4:$U$1800,3,FALSE)</f>
        <v>FY2021, RA11518</v>
      </c>
      <c r="V311" s="428" t="str">
        <f>VLOOKUP(H311,'Fund Utilization Report'!$A$4:$U$1800,4,FALSE)</f>
        <v>GAS(GMS)</v>
      </c>
      <c r="W311" s="428" t="str">
        <f>VLOOKUP(H311,'Fund Utilization Report'!$A$4:$U$1800,5,FALSE)</f>
        <v>01101101</v>
      </c>
      <c r="X311" s="428" t="str">
        <f>VLOOKUP(H311,'Fund Utilization Report'!$A$4:$U$1800,6,FALSE)</f>
        <v>GOP</v>
      </c>
      <c r="Y311" s="320" t="str">
        <f>VLOOKUP(H311,'Fund Utilization Report'!$A$4:$U$1800,7,FALSE)</f>
        <v>MOOE</v>
      </c>
      <c r="Z311" s="425">
        <f>VLOOKUP(H311,'Fund Utilization Report'!$A$4:$U$1800,8,FALSE)</f>
        <v>5020000000</v>
      </c>
      <c r="AA311" s="428" t="str">
        <f>VLOOKUP(H311,'Fund Utilization Report'!$A$4:$U$1800,14,FALSE)</f>
        <v>100000100001000</v>
      </c>
      <c r="AB311" s="349" t="str">
        <f>VLOOKUP(H311,'Fund Utilization Report'!$A$4:$U$1800,15,FALSE)</f>
        <v>General Administration and Supervision - General Management and Supervision</v>
      </c>
      <c r="AC311" s="39"/>
      <c r="AD311" s="34"/>
      <c r="AE311" s="39"/>
      <c r="AF311" s="51"/>
      <c r="AG311" s="40"/>
      <c r="AH311" s="40"/>
    </row>
    <row r="312" spans="1:34" s="32" customFormat="1">
      <c r="A312" s="338" t="s">
        <v>942</v>
      </c>
      <c r="B312" s="338" t="s">
        <v>945</v>
      </c>
      <c r="C312" s="358">
        <v>44230</v>
      </c>
      <c r="D312" s="351" t="s">
        <v>1028</v>
      </c>
      <c r="E312" s="352" t="s">
        <v>1080</v>
      </c>
      <c r="F312" s="338">
        <v>0.63750000000000007</v>
      </c>
      <c r="G312" s="338">
        <v>0.63888888888888895</v>
      </c>
      <c r="H312" s="338" t="s">
        <v>968</v>
      </c>
      <c r="I312" s="353">
        <v>820</v>
      </c>
      <c r="J312" s="338" t="str">
        <f>IFERROR(VLOOKUP(I312,'Chart of accounts'!A:H,2,FALSE),"")</f>
        <v>50213040 01</v>
      </c>
      <c r="K312" s="338" t="str">
        <f>IFERROR(VLOOKUP(I312,'Chart of accounts'!A:H,3,FALSE),"")</f>
        <v>Buildings</v>
      </c>
      <c r="L312" s="338" t="str">
        <f>IFERROR(VLOOKUP(I312,'Chart of accounts'!A:H,4,FALSE),"")</f>
        <v>50213040 01 - Buildings (820)</v>
      </c>
      <c r="M312" s="361">
        <v>68</v>
      </c>
      <c r="N312" s="420" t="s">
        <v>821</v>
      </c>
      <c r="O312" s="420" t="s">
        <v>1074</v>
      </c>
      <c r="P312" s="420"/>
      <c r="Q312" s="420">
        <v>16600</v>
      </c>
      <c r="R312" s="428">
        <f t="shared" si="4"/>
        <v>-16600</v>
      </c>
      <c r="S312" s="428" t="str">
        <f>VLOOKUP(H312,'Fund Utilization Report'!$A$4:$U$1800,13,FALSE)</f>
        <v>MOOE</v>
      </c>
      <c r="T312" s="428" t="str">
        <f>VLOOKUP(H312,'Fund Utilization Report'!$A$4:$U$1800,2,FALSE)</f>
        <v>GAA</v>
      </c>
      <c r="U312" s="428" t="str">
        <f>VLOOKUP(H312,'Fund Utilization Report'!$A$4:$U$1800,3,FALSE)</f>
        <v>FY2021, RA11518</v>
      </c>
      <c r="V312" s="428" t="str">
        <f>VLOOKUP(H312,'Fund Utilization Report'!$A$4:$U$1800,4,FALSE)</f>
        <v>OO2</v>
      </c>
      <c r="W312" s="428" t="str">
        <f>VLOOKUP(H312,'Fund Utilization Report'!$A$4:$U$1800,5,FALSE)</f>
        <v>01101101</v>
      </c>
      <c r="X312" s="428" t="str">
        <f>VLOOKUP(H312,'Fund Utilization Report'!$A$4:$U$1800,6,FALSE)</f>
        <v>GOP</v>
      </c>
      <c r="Y312" s="320" t="str">
        <f>VLOOKUP(H312,'Fund Utilization Report'!$A$4:$U$1800,7,FALSE)</f>
        <v>MOOE</v>
      </c>
      <c r="Z312" s="425">
        <f>VLOOKUP(H312,'Fund Utilization Report'!$A$4:$U$1800,8,FALSE)</f>
        <v>5020000000</v>
      </c>
      <c r="AA312" s="428" t="str">
        <f>VLOOKUP(H312,'Fund Utilization Report'!$A$4:$U$1800,14,FALSE)</f>
        <v>320100100001000</v>
      </c>
      <c r="AB312" s="349" t="str">
        <f>VLOOKUP(H312,'Fund Utilization Report'!$A$4:$U$1800,15,FALSE)</f>
        <v>Formulation of Strategic plans,programs, and policies to develop competitve industries</v>
      </c>
      <c r="AC312" s="39"/>
      <c r="AD312" s="34"/>
      <c r="AE312" s="39"/>
      <c r="AF312" s="51"/>
      <c r="AG312" s="40"/>
      <c r="AH312" s="40"/>
    </row>
    <row r="313" spans="1:34" s="32" customFormat="1">
      <c r="A313" s="338" t="s">
        <v>942</v>
      </c>
      <c r="B313" s="338" t="s">
        <v>945</v>
      </c>
      <c r="C313" s="358">
        <v>44230</v>
      </c>
      <c r="D313" s="351" t="s">
        <v>1028</v>
      </c>
      <c r="E313" s="352" t="s">
        <v>1080</v>
      </c>
      <c r="F313" s="338">
        <v>0.63750000000000007</v>
      </c>
      <c r="G313" s="338">
        <v>0.63888888888888895</v>
      </c>
      <c r="H313" s="338" t="s">
        <v>971</v>
      </c>
      <c r="I313" s="353">
        <v>821</v>
      </c>
      <c r="J313" s="338" t="str">
        <f>IFERROR(VLOOKUP(I313,'Chart of accounts'!A:H,2,FALSE),"")</f>
        <v>50213050 02</v>
      </c>
      <c r="K313" s="338" t="str">
        <f>IFERROR(VLOOKUP(I313,'Chart of accounts'!A:H,3,FALSE),"")</f>
        <v>Office Equipment</v>
      </c>
      <c r="L313" s="338" t="str">
        <f>IFERROR(VLOOKUP(I313,'Chart of accounts'!A:H,4,FALSE),"")</f>
        <v>50213050 02 - Office Equipment (821)</v>
      </c>
      <c r="M313" s="361">
        <v>68</v>
      </c>
      <c r="N313" s="420" t="s">
        <v>821</v>
      </c>
      <c r="O313" s="420" t="s">
        <v>1074</v>
      </c>
      <c r="P313" s="420"/>
      <c r="Q313" s="420">
        <v>2766.67</v>
      </c>
      <c r="R313" s="428">
        <f t="shared" si="4"/>
        <v>-2766.67</v>
      </c>
      <c r="S313" s="428" t="str">
        <f>VLOOKUP(H313,'Fund Utilization Report'!$A$4:$U$1800,13,FALSE)</f>
        <v>MOOE</v>
      </c>
      <c r="T313" s="428" t="str">
        <f>VLOOKUP(H313,'Fund Utilization Report'!$A$4:$U$1800,2,FALSE)</f>
        <v>GAA</v>
      </c>
      <c r="U313" s="428" t="str">
        <f>VLOOKUP(H313,'Fund Utilization Report'!$A$4:$U$1800,3,FALSE)</f>
        <v>FY2021, RA11518</v>
      </c>
      <c r="V313" s="428" t="str">
        <f>VLOOKUP(H313,'Fund Utilization Report'!$A$4:$U$1800,4,FALSE)</f>
        <v>OO3</v>
      </c>
      <c r="W313" s="428" t="str">
        <f>VLOOKUP(H313,'Fund Utilization Report'!$A$4:$U$1800,5,FALSE)</f>
        <v>01101101</v>
      </c>
      <c r="X313" s="428" t="str">
        <f>VLOOKUP(H313,'Fund Utilization Report'!$A$4:$U$1800,6,FALSE)</f>
        <v>GOP</v>
      </c>
      <c r="Y313" s="320" t="str">
        <f>VLOOKUP(H313,'Fund Utilization Report'!$A$4:$U$1800,7,FALSE)</f>
        <v>MOOE</v>
      </c>
      <c r="Z313" s="425">
        <f>VLOOKUP(H313,'Fund Utilization Report'!$A$4:$U$1800,8,FALSE)</f>
        <v>5020000000</v>
      </c>
      <c r="AA313" s="428" t="str">
        <f>VLOOKUP(H313,'Fund Utilization Report'!$A$4:$U$1800,14,FALSE)</f>
        <v>330100100002000</v>
      </c>
      <c r="AB313" s="349" t="str">
        <f>VLOOKUP(H313,'Fund Utilization Report'!$A$4:$U$1800,15,FALSE)</f>
        <v>Implementation of the MSME Development Plan and other initiatives to promote the growth of Micro, Small and Medium Enterprises</v>
      </c>
      <c r="AC313" s="39"/>
      <c r="AD313" s="34"/>
      <c r="AE313" s="39"/>
      <c r="AF313" s="51"/>
      <c r="AG313" s="40"/>
      <c r="AH313" s="40"/>
    </row>
    <row r="314" spans="1:34" s="32" customFormat="1">
      <c r="A314" s="338" t="s">
        <v>942</v>
      </c>
      <c r="B314" s="338" t="s">
        <v>945</v>
      </c>
      <c r="C314" s="358">
        <v>44230</v>
      </c>
      <c r="D314" s="351" t="s">
        <v>1028</v>
      </c>
      <c r="E314" s="352" t="s">
        <v>1080</v>
      </c>
      <c r="F314" s="338">
        <v>0.63750000000000007</v>
      </c>
      <c r="G314" s="338">
        <v>0.63888888888888895</v>
      </c>
      <c r="H314" s="338" t="s">
        <v>968</v>
      </c>
      <c r="I314" s="353">
        <v>823</v>
      </c>
      <c r="J314" s="338" t="str">
        <f>IFERROR(VLOOKUP(I314,'Chart of accounts'!A:H,2,FALSE),"")</f>
        <v>50213050 03</v>
      </c>
      <c r="K314" s="338" t="str">
        <f>IFERROR(VLOOKUP(I314,'Chart of accounts'!A:H,3,FALSE),"")</f>
        <v>ICT Equipment</v>
      </c>
      <c r="L314" s="338" t="str">
        <f>IFERROR(VLOOKUP(I314,'Chart of accounts'!A:H,4,FALSE),"")</f>
        <v>50213050 03 - ICT Equipment (823)</v>
      </c>
      <c r="M314" s="361">
        <v>68</v>
      </c>
      <c r="N314" s="420" t="s">
        <v>821</v>
      </c>
      <c r="O314" s="420" t="s">
        <v>1074</v>
      </c>
      <c r="P314" s="420"/>
      <c r="Q314" s="420">
        <v>2766.67</v>
      </c>
      <c r="R314" s="428">
        <f t="shared" si="4"/>
        <v>-2766.67</v>
      </c>
      <c r="S314" s="428" t="str">
        <f>VLOOKUP(H314,'Fund Utilization Report'!$A$4:$U$1800,13,FALSE)</f>
        <v>MOOE</v>
      </c>
      <c r="T314" s="428" t="str">
        <f>VLOOKUP(H314,'Fund Utilization Report'!$A$4:$U$1800,2,FALSE)</f>
        <v>GAA</v>
      </c>
      <c r="U314" s="428" t="str">
        <f>VLOOKUP(H314,'Fund Utilization Report'!$A$4:$U$1800,3,FALSE)</f>
        <v>FY2021, RA11518</v>
      </c>
      <c r="V314" s="428" t="str">
        <f>VLOOKUP(H314,'Fund Utilization Report'!$A$4:$U$1800,4,FALSE)</f>
        <v>OO2</v>
      </c>
      <c r="W314" s="428" t="str">
        <f>VLOOKUP(H314,'Fund Utilization Report'!$A$4:$U$1800,5,FALSE)</f>
        <v>01101101</v>
      </c>
      <c r="X314" s="428" t="str">
        <f>VLOOKUP(H314,'Fund Utilization Report'!$A$4:$U$1800,6,FALSE)</f>
        <v>GOP</v>
      </c>
      <c r="Y314" s="320" t="str">
        <f>VLOOKUP(H314,'Fund Utilization Report'!$A$4:$U$1800,7,FALSE)</f>
        <v>MOOE</v>
      </c>
      <c r="Z314" s="425">
        <f>VLOOKUP(H314,'Fund Utilization Report'!$A$4:$U$1800,8,FALSE)</f>
        <v>5020000000</v>
      </c>
      <c r="AA314" s="428" t="str">
        <f>VLOOKUP(H314,'Fund Utilization Report'!$A$4:$U$1800,14,FALSE)</f>
        <v>320100100001000</v>
      </c>
      <c r="AB314" s="349" t="str">
        <f>VLOOKUP(H314,'Fund Utilization Report'!$A$4:$U$1800,15,FALSE)</f>
        <v>Formulation of Strategic plans,programs, and policies to develop competitve industries</v>
      </c>
      <c r="AC314" s="39"/>
      <c r="AD314" s="34"/>
      <c r="AE314" s="39"/>
      <c r="AF314" s="51"/>
      <c r="AG314" s="40"/>
      <c r="AH314" s="40"/>
    </row>
    <row r="315" spans="1:34" s="32" customFormat="1">
      <c r="A315" s="338" t="s">
        <v>942</v>
      </c>
      <c r="B315" s="338" t="s">
        <v>945</v>
      </c>
      <c r="C315" s="358">
        <v>44230</v>
      </c>
      <c r="D315" s="351" t="s">
        <v>1028</v>
      </c>
      <c r="E315" s="352" t="s">
        <v>1080</v>
      </c>
      <c r="F315" s="338">
        <v>0.63750000000000007</v>
      </c>
      <c r="G315" s="338">
        <v>0.63888888888888895</v>
      </c>
      <c r="H315" s="338" t="s">
        <v>968</v>
      </c>
      <c r="I315" s="353">
        <v>822</v>
      </c>
      <c r="J315" s="338" t="str">
        <f>IFERROR(VLOOKUP(I315,'Chart of accounts'!A:H,2,FALSE),"")</f>
        <v>50213070 00</v>
      </c>
      <c r="K315" s="338" t="str">
        <f>IFERROR(VLOOKUP(I315,'Chart of accounts'!A:H,3,FALSE),"")</f>
        <v>Furniture and Fixture</v>
      </c>
      <c r="L315" s="338" t="str">
        <f>IFERROR(VLOOKUP(I315,'Chart of accounts'!A:H,4,FALSE),"")</f>
        <v>50213070 00 - Furniture and Fixture (822)</v>
      </c>
      <c r="M315" s="361">
        <v>68</v>
      </c>
      <c r="N315" s="420" t="s">
        <v>821</v>
      </c>
      <c r="O315" s="420" t="s">
        <v>1074</v>
      </c>
      <c r="P315" s="420"/>
      <c r="Q315" s="420">
        <v>1383.33</v>
      </c>
      <c r="R315" s="428">
        <f t="shared" si="4"/>
        <v>-1383.33</v>
      </c>
      <c r="S315" s="428" t="str">
        <f>VLOOKUP(H315,'Fund Utilization Report'!$A$4:$U$1800,13,FALSE)</f>
        <v>MOOE</v>
      </c>
      <c r="T315" s="428" t="str">
        <f>VLOOKUP(H315,'Fund Utilization Report'!$A$4:$U$1800,2,FALSE)</f>
        <v>GAA</v>
      </c>
      <c r="U315" s="428" t="str">
        <f>VLOOKUP(H315,'Fund Utilization Report'!$A$4:$U$1800,3,FALSE)</f>
        <v>FY2021, RA11518</v>
      </c>
      <c r="V315" s="428" t="str">
        <f>VLOOKUP(H315,'Fund Utilization Report'!$A$4:$U$1800,4,FALSE)</f>
        <v>OO2</v>
      </c>
      <c r="W315" s="428" t="str">
        <f>VLOOKUP(H315,'Fund Utilization Report'!$A$4:$U$1800,5,FALSE)</f>
        <v>01101101</v>
      </c>
      <c r="X315" s="428" t="str">
        <f>VLOOKUP(H315,'Fund Utilization Report'!$A$4:$U$1800,6,FALSE)</f>
        <v>GOP</v>
      </c>
      <c r="Y315" s="320" t="str">
        <f>VLOOKUP(H315,'Fund Utilization Report'!$A$4:$U$1800,7,FALSE)</f>
        <v>MOOE</v>
      </c>
      <c r="Z315" s="425">
        <f>VLOOKUP(H315,'Fund Utilization Report'!$A$4:$U$1800,8,FALSE)</f>
        <v>5020000000</v>
      </c>
      <c r="AA315" s="428" t="str">
        <f>VLOOKUP(H315,'Fund Utilization Report'!$A$4:$U$1800,14,FALSE)</f>
        <v>320100100001000</v>
      </c>
      <c r="AB315" s="349" t="str">
        <f>VLOOKUP(H315,'Fund Utilization Report'!$A$4:$U$1800,15,FALSE)</f>
        <v>Formulation of Strategic plans,programs, and policies to develop competitve industries</v>
      </c>
      <c r="AC315" s="39"/>
      <c r="AD315" s="34"/>
      <c r="AE315" s="39"/>
      <c r="AF315" s="51"/>
      <c r="AG315" s="40"/>
      <c r="AH315" s="40"/>
    </row>
    <row r="316" spans="1:34" s="32" customFormat="1">
      <c r="A316" s="338" t="s">
        <v>942</v>
      </c>
      <c r="B316" s="338" t="s">
        <v>945</v>
      </c>
      <c r="C316" s="358">
        <v>44230</v>
      </c>
      <c r="D316" s="351" t="s">
        <v>1028</v>
      </c>
      <c r="E316" s="352" t="s">
        <v>1080</v>
      </c>
      <c r="F316" s="338">
        <v>0.63750000000000007</v>
      </c>
      <c r="G316" s="338">
        <v>0.63888888888888895</v>
      </c>
      <c r="H316" s="338" t="s">
        <v>961</v>
      </c>
      <c r="I316" s="353">
        <v>841</v>
      </c>
      <c r="J316" s="338" t="str">
        <f>IFERROR(VLOOKUP(I316,'Chart of accounts'!A:H,2,FALSE),"")</f>
        <v>50213060 01</v>
      </c>
      <c r="K316" s="338" t="str">
        <f>IFERROR(VLOOKUP(I316,'Chart of accounts'!A:H,3,FALSE),"")</f>
        <v>Motor Vehicles</v>
      </c>
      <c r="L316" s="338" t="str">
        <f>IFERROR(VLOOKUP(I316,'Chart of accounts'!A:H,4,FALSE),"")</f>
        <v>50213060 01 - Motor Vehicles (841)</v>
      </c>
      <c r="M316" s="361">
        <v>68</v>
      </c>
      <c r="N316" s="420" t="s">
        <v>821</v>
      </c>
      <c r="O316" s="420" t="s">
        <v>1074</v>
      </c>
      <c r="P316" s="420"/>
      <c r="Q316" s="420">
        <v>13833.33</v>
      </c>
      <c r="R316" s="428">
        <f t="shared" si="4"/>
        <v>-13833.33</v>
      </c>
      <c r="S316" s="428" t="str">
        <f>VLOOKUP(H316,'Fund Utilization Report'!$A$4:$U$1800,13,FALSE)</f>
        <v>MOOE</v>
      </c>
      <c r="T316" s="428" t="str">
        <f>VLOOKUP(H316,'Fund Utilization Report'!$A$4:$U$1800,2,FALSE)</f>
        <v>GAA</v>
      </c>
      <c r="U316" s="428" t="str">
        <f>VLOOKUP(H316,'Fund Utilization Report'!$A$4:$U$1800,3,FALSE)</f>
        <v>FY2021, RA11518</v>
      </c>
      <c r="V316" s="428" t="str">
        <f>VLOOKUP(H316,'Fund Utilization Report'!$A$4:$U$1800,4,FALSE)</f>
        <v>GAS(GMS)</v>
      </c>
      <c r="W316" s="428" t="str">
        <f>VLOOKUP(H316,'Fund Utilization Report'!$A$4:$U$1800,5,FALSE)</f>
        <v>01101101</v>
      </c>
      <c r="X316" s="428" t="str">
        <f>VLOOKUP(H316,'Fund Utilization Report'!$A$4:$U$1800,6,FALSE)</f>
        <v>GOP</v>
      </c>
      <c r="Y316" s="320" t="str">
        <f>VLOOKUP(H316,'Fund Utilization Report'!$A$4:$U$1800,7,FALSE)</f>
        <v>MOOE</v>
      </c>
      <c r="Z316" s="425">
        <f>VLOOKUP(H316,'Fund Utilization Report'!$A$4:$U$1800,8,FALSE)</f>
        <v>5020000000</v>
      </c>
      <c r="AA316" s="428" t="str">
        <f>VLOOKUP(H316,'Fund Utilization Report'!$A$4:$U$1800,14,FALSE)</f>
        <v>100000100001000</v>
      </c>
      <c r="AB316" s="349" t="str">
        <f>VLOOKUP(H316,'Fund Utilization Report'!$A$4:$U$1800,15,FALSE)</f>
        <v>General Administration and Supervision - General Management and Supervision</v>
      </c>
      <c r="AC316" s="39"/>
      <c r="AD316" s="34"/>
      <c r="AE316" s="39"/>
      <c r="AF316" s="51"/>
      <c r="AG316" s="40"/>
      <c r="AH316" s="40"/>
    </row>
    <row r="317" spans="1:34" s="32" customFormat="1">
      <c r="A317" s="338" t="s">
        <v>942</v>
      </c>
      <c r="B317" s="338" t="s">
        <v>945</v>
      </c>
      <c r="C317" s="358">
        <v>44230</v>
      </c>
      <c r="D317" s="351" t="s">
        <v>1028</v>
      </c>
      <c r="E317" s="352" t="s">
        <v>1080</v>
      </c>
      <c r="F317" s="338">
        <v>0.63750000000000007</v>
      </c>
      <c r="G317" s="338">
        <v>0.63888888888888895</v>
      </c>
      <c r="H317" s="338" t="s">
        <v>961</v>
      </c>
      <c r="I317" s="353">
        <v>891</v>
      </c>
      <c r="J317" s="338" t="str">
        <f>IFERROR(VLOOKUP(I317,'Chart of accounts'!A:H,2,FALSE),"")</f>
        <v>50215010 01</v>
      </c>
      <c r="K317" s="338" t="str">
        <f>IFERROR(VLOOKUP(I317,'Chart of accounts'!A:H,3,FALSE),"")</f>
        <v>Taxes, Duties and Licenses</v>
      </c>
      <c r="L317" s="338" t="str">
        <f>IFERROR(VLOOKUP(I317,'Chart of accounts'!A:H,4,FALSE),"")</f>
        <v>50215010 01 - Taxes, Duties and Licenses (891)</v>
      </c>
      <c r="M317" s="361">
        <v>68</v>
      </c>
      <c r="N317" s="420" t="s">
        <v>821</v>
      </c>
      <c r="O317" s="420" t="s">
        <v>1074</v>
      </c>
      <c r="P317" s="420"/>
      <c r="Q317" s="420">
        <v>1037.5</v>
      </c>
      <c r="R317" s="428">
        <f t="shared" si="4"/>
        <v>-1037.5</v>
      </c>
      <c r="S317" s="428" t="str">
        <f>VLOOKUP(H317,'Fund Utilization Report'!$A$4:$U$1800,13,FALSE)</f>
        <v>MOOE</v>
      </c>
      <c r="T317" s="428" t="str">
        <f>VLOOKUP(H317,'Fund Utilization Report'!$A$4:$U$1800,2,FALSE)</f>
        <v>GAA</v>
      </c>
      <c r="U317" s="428" t="str">
        <f>VLOOKUP(H317,'Fund Utilization Report'!$A$4:$U$1800,3,FALSE)</f>
        <v>FY2021, RA11518</v>
      </c>
      <c r="V317" s="428" t="str">
        <f>VLOOKUP(H317,'Fund Utilization Report'!$A$4:$U$1800,4,FALSE)</f>
        <v>GAS(GMS)</v>
      </c>
      <c r="W317" s="428" t="str">
        <f>VLOOKUP(H317,'Fund Utilization Report'!$A$4:$U$1800,5,FALSE)</f>
        <v>01101101</v>
      </c>
      <c r="X317" s="428" t="str">
        <f>VLOOKUP(H317,'Fund Utilization Report'!$A$4:$U$1800,6,FALSE)</f>
        <v>GOP</v>
      </c>
      <c r="Y317" s="320" t="str">
        <f>VLOOKUP(H317,'Fund Utilization Report'!$A$4:$U$1800,7,FALSE)</f>
        <v>MOOE</v>
      </c>
      <c r="Z317" s="425">
        <f>VLOOKUP(H317,'Fund Utilization Report'!$A$4:$U$1800,8,FALSE)</f>
        <v>5020000000</v>
      </c>
      <c r="AA317" s="428" t="str">
        <f>VLOOKUP(H317,'Fund Utilization Report'!$A$4:$U$1800,14,FALSE)</f>
        <v>100000100001000</v>
      </c>
      <c r="AB317" s="349" t="str">
        <f>VLOOKUP(H317,'Fund Utilization Report'!$A$4:$U$1800,15,FALSE)</f>
        <v>General Administration and Supervision - General Management and Supervision</v>
      </c>
      <c r="AC317" s="39"/>
      <c r="AD317" s="34"/>
      <c r="AE317" s="39"/>
      <c r="AF317" s="51"/>
      <c r="AG317" s="40"/>
      <c r="AH317" s="40"/>
    </row>
    <row r="318" spans="1:34" s="32" customFormat="1">
      <c r="A318" s="338" t="s">
        <v>942</v>
      </c>
      <c r="B318" s="338" t="s">
        <v>945</v>
      </c>
      <c r="C318" s="358">
        <v>44230</v>
      </c>
      <c r="D318" s="351" t="s">
        <v>1028</v>
      </c>
      <c r="E318" s="352" t="s">
        <v>1080</v>
      </c>
      <c r="F318" s="338">
        <v>0.63750000000000007</v>
      </c>
      <c r="G318" s="338">
        <v>0.63888888888888895</v>
      </c>
      <c r="H318" s="338" t="s">
        <v>961</v>
      </c>
      <c r="I318" s="353">
        <v>892</v>
      </c>
      <c r="J318" s="338" t="str">
        <f>IFERROR(VLOOKUP(I318,'Chart of accounts'!A:H,2,FALSE),"")</f>
        <v>50215020 00</v>
      </c>
      <c r="K318" s="338" t="str">
        <f>IFERROR(VLOOKUP(I318,'Chart of accounts'!A:H,3,FALSE),"")</f>
        <v>Fidelity Bond Premiums</v>
      </c>
      <c r="L318" s="338" t="str">
        <f>IFERROR(VLOOKUP(I318,'Chart of accounts'!A:H,4,FALSE),"")</f>
        <v>50215020 00 - Fidelity Bond Premiums (892)</v>
      </c>
      <c r="M318" s="361">
        <v>68</v>
      </c>
      <c r="N318" s="420" t="s">
        <v>821</v>
      </c>
      <c r="O318" s="420" t="s">
        <v>1074</v>
      </c>
      <c r="P318" s="420"/>
      <c r="Q318" s="420">
        <v>1390.25</v>
      </c>
      <c r="R318" s="428">
        <f t="shared" si="4"/>
        <v>-1390.25</v>
      </c>
      <c r="S318" s="428" t="str">
        <f>VLOOKUP(H318,'Fund Utilization Report'!$A$4:$U$1800,13,FALSE)</f>
        <v>MOOE</v>
      </c>
      <c r="T318" s="428" t="str">
        <f>VLOOKUP(H318,'Fund Utilization Report'!$A$4:$U$1800,2,FALSE)</f>
        <v>GAA</v>
      </c>
      <c r="U318" s="428" t="str">
        <f>VLOOKUP(H318,'Fund Utilization Report'!$A$4:$U$1800,3,FALSE)</f>
        <v>FY2021, RA11518</v>
      </c>
      <c r="V318" s="428" t="str">
        <f>VLOOKUP(H318,'Fund Utilization Report'!$A$4:$U$1800,4,FALSE)</f>
        <v>GAS(GMS)</v>
      </c>
      <c r="W318" s="428" t="str">
        <f>VLOOKUP(H318,'Fund Utilization Report'!$A$4:$U$1800,5,FALSE)</f>
        <v>01101101</v>
      </c>
      <c r="X318" s="428" t="str">
        <f>VLOOKUP(H318,'Fund Utilization Report'!$A$4:$U$1800,6,FALSE)</f>
        <v>GOP</v>
      </c>
      <c r="Y318" s="320" t="str">
        <f>VLOOKUP(H318,'Fund Utilization Report'!$A$4:$U$1800,7,FALSE)</f>
        <v>MOOE</v>
      </c>
      <c r="Z318" s="425">
        <f>VLOOKUP(H318,'Fund Utilization Report'!$A$4:$U$1800,8,FALSE)</f>
        <v>5020000000</v>
      </c>
      <c r="AA318" s="428" t="str">
        <f>VLOOKUP(H318,'Fund Utilization Report'!$A$4:$U$1800,14,FALSE)</f>
        <v>100000100001000</v>
      </c>
      <c r="AB318" s="349" t="str">
        <f>VLOOKUP(H318,'Fund Utilization Report'!$A$4:$U$1800,15,FALSE)</f>
        <v>General Administration and Supervision - General Management and Supervision</v>
      </c>
      <c r="AC318" s="39"/>
      <c r="AD318" s="34"/>
      <c r="AE318" s="39"/>
      <c r="AF318" s="51"/>
      <c r="AG318" s="40"/>
      <c r="AH318" s="40"/>
    </row>
    <row r="319" spans="1:34" s="32" customFormat="1">
      <c r="A319" s="338" t="s">
        <v>942</v>
      </c>
      <c r="B319" s="338" t="s">
        <v>945</v>
      </c>
      <c r="C319" s="358">
        <v>44230</v>
      </c>
      <c r="D319" s="351" t="s">
        <v>1028</v>
      </c>
      <c r="E319" s="352" t="s">
        <v>1080</v>
      </c>
      <c r="F319" s="338">
        <v>0.63750000000000007</v>
      </c>
      <c r="G319" s="338">
        <v>0.63888888888888895</v>
      </c>
      <c r="H319" s="338" t="s">
        <v>961</v>
      </c>
      <c r="I319" s="353">
        <v>893</v>
      </c>
      <c r="J319" s="338" t="str">
        <f>IFERROR(VLOOKUP(I319,'Chart of accounts'!A:H,2,FALSE),"")</f>
        <v>50215030 00</v>
      </c>
      <c r="K319" s="338" t="str">
        <f>IFERROR(VLOOKUP(I319,'Chart of accounts'!A:H,3,FALSE),"")</f>
        <v>Insurance Expense</v>
      </c>
      <c r="L319" s="338" t="str">
        <f>IFERROR(VLOOKUP(I319,'Chart of accounts'!A:H,4,FALSE),"")</f>
        <v>50215030 00 - Insurance Expense (893)</v>
      </c>
      <c r="M319" s="361">
        <v>68</v>
      </c>
      <c r="N319" s="420" t="s">
        <v>821</v>
      </c>
      <c r="O319" s="420" t="s">
        <v>1074</v>
      </c>
      <c r="P319" s="420"/>
      <c r="Q319" s="420">
        <v>3043.33</v>
      </c>
      <c r="R319" s="428">
        <f t="shared" si="4"/>
        <v>-3043.33</v>
      </c>
      <c r="S319" s="428" t="str">
        <f>VLOOKUP(H319,'Fund Utilization Report'!$A$4:$U$1800,13,FALSE)</f>
        <v>MOOE</v>
      </c>
      <c r="T319" s="428" t="str">
        <f>VLOOKUP(H319,'Fund Utilization Report'!$A$4:$U$1800,2,FALSE)</f>
        <v>GAA</v>
      </c>
      <c r="U319" s="428" t="str">
        <f>VLOOKUP(H319,'Fund Utilization Report'!$A$4:$U$1800,3,FALSE)</f>
        <v>FY2021, RA11518</v>
      </c>
      <c r="V319" s="428" t="str">
        <f>VLOOKUP(H319,'Fund Utilization Report'!$A$4:$U$1800,4,FALSE)</f>
        <v>GAS(GMS)</v>
      </c>
      <c r="W319" s="428" t="str">
        <f>VLOOKUP(H319,'Fund Utilization Report'!$A$4:$U$1800,5,FALSE)</f>
        <v>01101101</v>
      </c>
      <c r="X319" s="428" t="str">
        <f>VLOOKUP(H319,'Fund Utilization Report'!$A$4:$U$1800,6,FALSE)</f>
        <v>GOP</v>
      </c>
      <c r="Y319" s="320" t="str">
        <f>VLOOKUP(H319,'Fund Utilization Report'!$A$4:$U$1800,7,FALSE)</f>
        <v>MOOE</v>
      </c>
      <c r="Z319" s="425">
        <f>VLOOKUP(H319,'Fund Utilization Report'!$A$4:$U$1800,8,FALSE)</f>
        <v>5020000000</v>
      </c>
      <c r="AA319" s="428" t="str">
        <f>VLOOKUP(H319,'Fund Utilization Report'!$A$4:$U$1800,14,FALSE)</f>
        <v>100000100001000</v>
      </c>
      <c r="AB319" s="349" t="str">
        <f>VLOOKUP(H319,'Fund Utilization Report'!$A$4:$U$1800,15,FALSE)</f>
        <v>General Administration and Supervision - General Management and Supervision</v>
      </c>
      <c r="AC319" s="39"/>
      <c r="AD319" s="34"/>
      <c r="AE319" s="39"/>
      <c r="AF319" s="51"/>
      <c r="AG319" s="40"/>
      <c r="AH319" s="40"/>
    </row>
    <row r="320" spans="1:34" s="32" customFormat="1">
      <c r="A320" s="338" t="s">
        <v>942</v>
      </c>
      <c r="B320" s="338" t="s">
        <v>945</v>
      </c>
      <c r="C320" s="358">
        <v>44230</v>
      </c>
      <c r="D320" s="351" t="s">
        <v>1028</v>
      </c>
      <c r="E320" s="352" t="s">
        <v>1080</v>
      </c>
      <c r="F320" s="338">
        <v>0.63750000000000007</v>
      </c>
      <c r="G320" s="338">
        <v>0.63888888888888895</v>
      </c>
      <c r="H320" s="338" t="s">
        <v>961</v>
      </c>
      <c r="I320" s="353">
        <v>782</v>
      </c>
      <c r="J320" s="338" t="str">
        <f>IFERROR(VLOOKUP(I320,'Chart of accounts'!A:H,2,FALSE),"")</f>
        <v>50299050 01</v>
      </c>
      <c r="K320" s="338" t="str">
        <f>IFERROR(VLOOKUP(I320,'Chart of accounts'!A:H,3,FALSE),"")</f>
        <v>Rent - Buildings and Structures</v>
      </c>
      <c r="L320" s="338" t="str">
        <f>IFERROR(VLOOKUP(I320,'Chart of accounts'!A:H,4,FALSE),"")</f>
        <v>50299050 01 - Rent - Buildings and Structures (782)</v>
      </c>
      <c r="M320" s="361">
        <v>68</v>
      </c>
      <c r="N320" s="420" t="s">
        <v>821</v>
      </c>
      <c r="O320" s="420" t="s">
        <v>1074</v>
      </c>
      <c r="P320" s="420"/>
      <c r="Q320" s="420">
        <v>85490</v>
      </c>
      <c r="R320" s="428">
        <f t="shared" si="4"/>
        <v>-85490</v>
      </c>
      <c r="S320" s="428" t="str">
        <f>VLOOKUP(H320,'Fund Utilization Report'!$A$4:$U$1800,13,FALSE)</f>
        <v>MOOE</v>
      </c>
      <c r="T320" s="428" t="str">
        <f>VLOOKUP(H320,'Fund Utilization Report'!$A$4:$U$1800,2,FALSE)</f>
        <v>GAA</v>
      </c>
      <c r="U320" s="428" t="str">
        <f>VLOOKUP(H320,'Fund Utilization Report'!$A$4:$U$1800,3,FALSE)</f>
        <v>FY2021, RA11518</v>
      </c>
      <c r="V320" s="428" t="str">
        <f>VLOOKUP(H320,'Fund Utilization Report'!$A$4:$U$1800,4,FALSE)</f>
        <v>GAS(GMS)</v>
      </c>
      <c r="W320" s="428" t="str">
        <f>VLOOKUP(H320,'Fund Utilization Report'!$A$4:$U$1800,5,FALSE)</f>
        <v>01101101</v>
      </c>
      <c r="X320" s="428" t="str">
        <f>VLOOKUP(H320,'Fund Utilization Report'!$A$4:$U$1800,6,FALSE)</f>
        <v>GOP</v>
      </c>
      <c r="Y320" s="320" t="str">
        <f>VLOOKUP(H320,'Fund Utilization Report'!$A$4:$U$1800,7,FALSE)</f>
        <v>MOOE</v>
      </c>
      <c r="Z320" s="425">
        <f>VLOOKUP(H320,'Fund Utilization Report'!$A$4:$U$1800,8,FALSE)</f>
        <v>5020000000</v>
      </c>
      <c r="AA320" s="428" t="str">
        <f>VLOOKUP(H320,'Fund Utilization Report'!$A$4:$U$1800,14,FALSE)</f>
        <v>100000100001000</v>
      </c>
      <c r="AB320" s="349" t="str">
        <f>VLOOKUP(H320,'Fund Utilization Report'!$A$4:$U$1800,15,FALSE)</f>
        <v>General Administration and Supervision - General Management and Supervision</v>
      </c>
      <c r="AC320" s="39"/>
      <c r="AD320" s="34"/>
      <c r="AE320" s="39"/>
      <c r="AF320" s="51"/>
      <c r="AG320" s="40"/>
      <c r="AH320" s="40"/>
    </row>
    <row r="321" spans="1:34" s="32" customFormat="1">
      <c r="A321" s="338" t="s">
        <v>942</v>
      </c>
      <c r="B321" s="338" t="s">
        <v>945</v>
      </c>
      <c r="C321" s="358">
        <v>44230</v>
      </c>
      <c r="D321" s="351" t="s">
        <v>1028</v>
      </c>
      <c r="E321" s="352" t="s">
        <v>1080</v>
      </c>
      <c r="F321" s="338">
        <v>0.63750000000000007</v>
      </c>
      <c r="G321" s="338">
        <v>0.63888888888888895</v>
      </c>
      <c r="H321" s="338" t="s">
        <v>961</v>
      </c>
      <c r="I321" s="353">
        <v>751</v>
      </c>
      <c r="J321" s="338" t="str">
        <f>IFERROR(VLOOKUP(I321,'Chart of accounts'!A:H,2,FALSE),"")</f>
        <v>50201010 00</v>
      </c>
      <c r="K321" s="338" t="str">
        <f>IFERROR(VLOOKUP(I321,'Chart of accounts'!A:H,3,FALSE),"")</f>
        <v>Traveling Expenses - Local</v>
      </c>
      <c r="L321" s="338" t="str">
        <f>IFERROR(VLOOKUP(I321,'Chart of accounts'!A:H,4,FALSE),"")</f>
        <v>50201010 00 - Traveling Expenses - Local (751)</v>
      </c>
      <c r="M321" s="361">
        <v>68</v>
      </c>
      <c r="N321" s="420" t="s">
        <v>821</v>
      </c>
      <c r="O321" s="420" t="s">
        <v>1074</v>
      </c>
      <c r="P321" s="420"/>
      <c r="Q321" s="420">
        <v>1383.33</v>
      </c>
      <c r="R321" s="428">
        <f t="shared" si="4"/>
        <v>-1383.33</v>
      </c>
      <c r="S321" s="428" t="str">
        <f>VLOOKUP(H321,'Fund Utilization Report'!$A$4:$U$1800,13,FALSE)</f>
        <v>MOOE</v>
      </c>
      <c r="T321" s="428" t="str">
        <f>VLOOKUP(H321,'Fund Utilization Report'!$A$4:$U$1800,2,FALSE)</f>
        <v>GAA</v>
      </c>
      <c r="U321" s="428" t="str">
        <f>VLOOKUP(H321,'Fund Utilization Report'!$A$4:$U$1800,3,FALSE)</f>
        <v>FY2021, RA11518</v>
      </c>
      <c r="V321" s="428" t="str">
        <f>VLOOKUP(H321,'Fund Utilization Report'!$A$4:$U$1800,4,FALSE)</f>
        <v>GAS(GMS)</v>
      </c>
      <c r="W321" s="428" t="str">
        <f>VLOOKUP(H321,'Fund Utilization Report'!$A$4:$U$1800,5,FALSE)</f>
        <v>01101101</v>
      </c>
      <c r="X321" s="428" t="str">
        <f>VLOOKUP(H321,'Fund Utilization Report'!$A$4:$U$1800,6,FALSE)</f>
        <v>GOP</v>
      </c>
      <c r="Y321" s="320" t="str">
        <f>VLOOKUP(H321,'Fund Utilization Report'!$A$4:$U$1800,7,FALSE)</f>
        <v>MOOE</v>
      </c>
      <c r="Z321" s="425">
        <f>VLOOKUP(H321,'Fund Utilization Report'!$A$4:$U$1800,8,FALSE)</f>
        <v>5020000000</v>
      </c>
      <c r="AA321" s="428" t="str">
        <f>VLOOKUP(H321,'Fund Utilization Report'!$A$4:$U$1800,14,FALSE)</f>
        <v>100000100001000</v>
      </c>
      <c r="AB321" s="349" t="str">
        <f>VLOOKUP(H321,'Fund Utilization Report'!$A$4:$U$1800,15,FALSE)</f>
        <v>General Administration and Supervision - General Management and Supervision</v>
      </c>
      <c r="AC321" s="39"/>
      <c r="AD321" s="34"/>
      <c r="AE321" s="39"/>
      <c r="AF321" s="51"/>
      <c r="AG321" s="40"/>
      <c r="AH321" s="40"/>
    </row>
    <row r="322" spans="1:34" s="32" customFormat="1">
      <c r="A322" s="338" t="s">
        <v>942</v>
      </c>
      <c r="B322" s="338" t="s">
        <v>945</v>
      </c>
      <c r="C322" s="358">
        <v>44230</v>
      </c>
      <c r="D322" s="351" t="s">
        <v>1028</v>
      </c>
      <c r="E322" s="352" t="s">
        <v>1080</v>
      </c>
      <c r="F322" s="338">
        <v>0.63750000000000007</v>
      </c>
      <c r="G322" s="338">
        <v>0.63888888888888895</v>
      </c>
      <c r="H322" s="338" t="s">
        <v>961</v>
      </c>
      <c r="I322" s="353">
        <v>755</v>
      </c>
      <c r="J322" s="338" t="str">
        <f>IFERROR(VLOOKUP(I322,'Chart of accounts'!A:H,2,FALSE),"")</f>
        <v>50203010 00</v>
      </c>
      <c r="K322" s="338" t="str">
        <f>IFERROR(VLOOKUP(I322,'Chart of accounts'!A:H,3,FALSE),"")</f>
        <v>Office Supplies Expenses</v>
      </c>
      <c r="L322" s="338" t="str">
        <f>IFERROR(VLOOKUP(I322,'Chart of accounts'!A:H,4,FALSE),"")</f>
        <v>50203010 00 - Office Supplies Expenses (755)</v>
      </c>
      <c r="M322" s="361">
        <v>68</v>
      </c>
      <c r="N322" s="420" t="s">
        <v>821</v>
      </c>
      <c r="O322" s="420" t="s">
        <v>1074</v>
      </c>
      <c r="P322" s="420"/>
      <c r="Q322" s="420">
        <v>6916.67</v>
      </c>
      <c r="R322" s="428">
        <f t="shared" si="4"/>
        <v>-6916.67</v>
      </c>
      <c r="S322" s="428" t="str">
        <f>VLOOKUP(H322,'Fund Utilization Report'!$A$4:$U$1800,13,FALSE)</f>
        <v>MOOE</v>
      </c>
      <c r="T322" s="428" t="str">
        <f>VLOOKUP(H322,'Fund Utilization Report'!$A$4:$U$1800,2,FALSE)</f>
        <v>GAA</v>
      </c>
      <c r="U322" s="428" t="str">
        <f>VLOOKUP(H322,'Fund Utilization Report'!$A$4:$U$1800,3,FALSE)</f>
        <v>FY2021, RA11518</v>
      </c>
      <c r="V322" s="428" t="str">
        <f>VLOOKUP(H322,'Fund Utilization Report'!$A$4:$U$1800,4,FALSE)</f>
        <v>GAS(GMS)</v>
      </c>
      <c r="W322" s="428" t="str">
        <f>VLOOKUP(H322,'Fund Utilization Report'!$A$4:$U$1800,5,FALSE)</f>
        <v>01101101</v>
      </c>
      <c r="X322" s="428" t="str">
        <f>VLOOKUP(H322,'Fund Utilization Report'!$A$4:$U$1800,6,FALSE)</f>
        <v>GOP</v>
      </c>
      <c r="Y322" s="320" t="str">
        <f>VLOOKUP(H322,'Fund Utilization Report'!$A$4:$U$1800,7,FALSE)</f>
        <v>MOOE</v>
      </c>
      <c r="Z322" s="425">
        <f>VLOOKUP(H322,'Fund Utilization Report'!$A$4:$U$1800,8,FALSE)</f>
        <v>5020000000</v>
      </c>
      <c r="AA322" s="428" t="str">
        <f>VLOOKUP(H322,'Fund Utilization Report'!$A$4:$U$1800,14,FALSE)</f>
        <v>100000100001000</v>
      </c>
      <c r="AB322" s="349" t="str">
        <f>VLOOKUP(H322,'Fund Utilization Report'!$A$4:$U$1800,15,FALSE)</f>
        <v>General Administration and Supervision - General Management and Supervision</v>
      </c>
      <c r="AC322" s="39"/>
      <c r="AD322" s="34"/>
      <c r="AE322" s="39"/>
      <c r="AF322" s="51"/>
      <c r="AG322" s="40"/>
      <c r="AH322" s="40"/>
    </row>
    <row r="323" spans="1:34" s="32" customFormat="1">
      <c r="A323" s="338" t="s">
        <v>942</v>
      </c>
      <c r="B323" s="338" t="s">
        <v>945</v>
      </c>
      <c r="C323" s="358">
        <v>44230</v>
      </c>
      <c r="D323" s="351" t="s">
        <v>1028</v>
      </c>
      <c r="E323" s="352" t="s">
        <v>1080</v>
      </c>
      <c r="F323" s="338">
        <v>0.63750000000000007</v>
      </c>
      <c r="G323" s="338">
        <v>0.63888888888888895</v>
      </c>
      <c r="H323" s="338" t="s">
        <v>961</v>
      </c>
      <c r="I323" s="353">
        <v>781</v>
      </c>
      <c r="J323" s="338" t="str">
        <f>IFERROR(VLOOKUP(I323,'Chart of accounts'!A:H,2,FALSE),"")</f>
        <v>50299020 00</v>
      </c>
      <c r="K323" s="338" t="str">
        <f>IFERROR(VLOOKUP(I323,'Chart of accounts'!A:H,3,FALSE),"")</f>
        <v>Printing and Binding Expenses</v>
      </c>
      <c r="L323" s="338" t="str">
        <f>IFERROR(VLOOKUP(I323,'Chart of accounts'!A:H,4,FALSE),"")</f>
        <v>50299020 00 - Printing and Binding Expenses (781)</v>
      </c>
      <c r="M323" s="361">
        <v>68</v>
      </c>
      <c r="N323" s="420" t="s">
        <v>821</v>
      </c>
      <c r="O323" s="420" t="s">
        <v>1074</v>
      </c>
      <c r="P323" s="420"/>
      <c r="Q323" s="420">
        <v>691.67</v>
      </c>
      <c r="R323" s="428">
        <f t="shared" si="4"/>
        <v>-691.67</v>
      </c>
      <c r="S323" s="428" t="str">
        <f>VLOOKUP(H323,'Fund Utilization Report'!$A$4:$U$1800,13,FALSE)</f>
        <v>MOOE</v>
      </c>
      <c r="T323" s="428" t="str">
        <f>VLOOKUP(H323,'Fund Utilization Report'!$A$4:$U$1800,2,FALSE)</f>
        <v>GAA</v>
      </c>
      <c r="U323" s="428" t="str">
        <f>VLOOKUP(H323,'Fund Utilization Report'!$A$4:$U$1800,3,FALSE)</f>
        <v>FY2021, RA11518</v>
      </c>
      <c r="V323" s="428" t="str">
        <f>VLOOKUP(H323,'Fund Utilization Report'!$A$4:$U$1800,4,FALSE)</f>
        <v>GAS(GMS)</v>
      </c>
      <c r="W323" s="428" t="str">
        <f>VLOOKUP(H323,'Fund Utilization Report'!$A$4:$U$1800,5,FALSE)</f>
        <v>01101101</v>
      </c>
      <c r="X323" s="428" t="str">
        <f>VLOOKUP(H323,'Fund Utilization Report'!$A$4:$U$1800,6,FALSE)</f>
        <v>GOP</v>
      </c>
      <c r="Y323" s="320" t="str">
        <f>VLOOKUP(H323,'Fund Utilization Report'!$A$4:$U$1800,7,FALSE)</f>
        <v>MOOE</v>
      </c>
      <c r="Z323" s="425">
        <f>VLOOKUP(H323,'Fund Utilization Report'!$A$4:$U$1800,8,FALSE)</f>
        <v>5020000000</v>
      </c>
      <c r="AA323" s="428" t="str">
        <f>VLOOKUP(H323,'Fund Utilization Report'!$A$4:$U$1800,14,FALSE)</f>
        <v>100000100001000</v>
      </c>
      <c r="AB323" s="349" t="str">
        <f>VLOOKUP(H323,'Fund Utilization Report'!$A$4:$U$1800,15,FALSE)</f>
        <v>General Administration and Supervision - General Management and Supervision</v>
      </c>
      <c r="AC323" s="39"/>
      <c r="AD323" s="34"/>
      <c r="AE323" s="39"/>
      <c r="AF323" s="51"/>
      <c r="AG323" s="40"/>
      <c r="AH323" s="40"/>
    </row>
    <row r="324" spans="1:34" s="32" customFormat="1">
      <c r="A324" s="338" t="s">
        <v>942</v>
      </c>
      <c r="B324" s="338" t="s">
        <v>945</v>
      </c>
      <c r="C324" s="358">
        <v>44230</v>
      </c>
      <c r="D324" s="351" t="s">
        <v>1028</v>
      </c>
      <c r="E324" s="352" t="s">
        <v>1080</v>
      </c>
      <c r="F324" s="338">
        <v>0.63750000000000007</v>
      </c>
      <c r="G324" s="338">
        <v>0.63888888888888895</v>
      </c>
      <c r="H324" s="338" t="s">
        <v>961</v>
      </c>
      <c r="I324" s="353">
        <v>783</v>
      </c>
      <c r="J324" s="338" t="str">
        <f>IFERROR(VLOOKUP(I324,'Chart of accounts'!A:H,2,FALSE),"")</f>
        <v>50299030 00</v>
      </c>
      <c r="K324" s="338" t="str">
        <f>IFERROR(VLOOKUP(I324,'Chart of accounts'!A:H,3,FALSE),"")</f>
        <v>Representation Expenses</v>
      </c>
      <c r="L324" s="338" t="str">
        <f>IFERROR(VLOOKUP(I324,'Chart of accounts'!A:H,4,FALSE),"")</f>
        <v>50299030 00 - Representation Expenses (783)</v>
      </c>
      <c r="M324" s="361">
        <v>68</v>
      </c>
      <c r="N324" s="420" t="s">
        <v>821</v>
      </c>
      <c r="O324" s="420" t="s">
        <v>1074</v>
      </c>
      <c r="P324" s="420"/>
      <c r="Q324" s="420">
        <v>3375.33</v>
      </c>
      <c r="R324" s="428">
        <f t="shared" si="4"/>
        <v>-3375.33</v>
      </c>
      <c r="S324" s="428" t="str">
        <f>VLOOKUP(H324,'Fund Utilization Report'!$A$4:$U$1800,13,FALSE)</f>
        <v>MOOE</v>
      </c>
      <c r="T324" s="428" t="str">
        <f>VLOOKUP(H324,'Fund Utilization Report'!$A$4:$U$1800,2,FALSE)</f>
        <v>GAA</v>
      </c>
      <c r="U324" s="428" t="str">
        <f>VLOOKUP(H324,'Fund Utilization Report'!$A$4:$U$1800,3,FALSE)</f>
        <v>FY2021, RA11518</v>
      </c>
      <c r="V324" s="428" t="str">
        <f>VLOOKUP(H324,'Fund Utilization Report'!$A$4:$U$1800,4,FALSE)</f>
        <v>GAS(GMS)</v>
      </c>
      <c r="W324" s="428" t="str">
        <f>VLOOKUP(H324,'Fund Utilization Report'!$A$4:$U$1800,5,FALSE)</f>
        <v>01101101</v>
      </c>
      <c r="X324" s="428" t="str">
        <f>VLOOKUP(H324,'Fund Utilization Report'!$A$4:$U$1800,6,FALSE)</f>
        <v>GOP</v>
      </c>
      <c r="Y324" s="320" t="str">
        <f>VLOOKUP(H324,'Fund Utilization Report'!$A$4:$U$1800,7,FALSE)</f>
        <v>MOOE</v>
      </c>
      <c r="Z324" s="425">
        <f>VLOOKUP(H324,'Fund Utilization Report'!$A$4:$U$1800,8,FALSE)</f>
        <v>5020000000</v>
      </c>
      <c r="AA324" s="428" t="str">
        <f>VLOOKUP(H324,'Fund Utilization Report'!$A$4:$U$1800,14,FALSE)</f>
        <v>100000100001000</v>
      </c>
      <c r="AB324" s="349" t="str">
        <f>VLOOKUP(H324,'Fund Utilization Report'!$A$4:$U$1800,15,FALSE)</f>
        <v>General Administration and Supervision - General Management and Supervision</v>
      </c>
      <c r="AC324" s="39"/>
      <c r="AD324" s="34"/>
      <c r="AE324" s="39"/>
      <c r="AF324" s="51"/>
      <c r="AG324" s="40"/>
      <c r="AH324" s="40"/>
    </row>
    <row r="325" spans="1:34" s="32" customFormat="1">
      <c r="A325" s="338" t="s">
        <v>942</v>
      </c>
      <c r="B325" s="338" t="s">
        <v>945</v>
      </c>
      <c r="C325" s="358">
        <v>44230</v>
      </c>
      <c r="D325" s="351" t="s">
        <v>1028</v>
      </c>
      <c r="E325" s="352" t="s">
        <v>1080</v>
      </c>
      <c r="F325" s="338">
        <v>0.63750000000000007</v>
      </c>
      <c r="G325" s="338">
        <v>0.63888888888888895</v>
      </c>
      <c r="H325" s="338" t="s">
        <v>968</v>
      </c>
      <c r="I325" s="353">
        <v>784</v>
      </c>
      <c r="J325" s="338" t="str">
        <f>IFERROR(VLOOKUP(I325,'Chart of accounts'!A:H,2,FALSE),"")</f>
        <v>50299040 00</v>
      </c>
      <c r="K325" s="338" t="str">
        <f>IFERROR(VLOOKUP(I325,'Chart of accounts'!A:H,3,FALSE),"")</f>
        <v>Transportation and Delivery Expenses</v>
      </c>
      <c r="L325" s="338" t="str">
        <f>IFERROR(VLOOKUP(I325,'Chart of accounts'!A:H,4,FALSE),"")</f>
        <v>50299040 00 - Transportation and Delivery Expenses (784)</v>
      </c>
      <c r="M325" s="361">
        <v>68</v>
      </c>
      <c r="N325" s="420" t="s">
        <v>821</v>
      </c>
      <c r="O325" s="420" t="s">
        <v>1074</v>
      </c>
      <c r="P325" s="420"/>
      <c r="Q325" s="420">
        <v>3320</v>
      </c>
      <c r="R325" s="428">
        <f t="shared" si="4"/>
        <v>-3320</v>
      </c>
      <c r="S325" s="428" t="str">
        <f>VLOOKUP(H325,'Fund Utilization Report'!$A$4:$U$1800,13,FALSE)</f>
        <v>MOOE</v>
      </c>
      <c r="T325" s="428" t="str">
        <f>VLOOKUP(H325,'Fund Utilization Report'!$A$4:$U$1800,2,FALSE)</f>
        <v>GAA</v>
      </c>
      <c r="U325" s="428" t="str">
        <f>VLOOKUP(H325,'Fund Utilization Report'!$A$4:$U$1800,3,FALSE)</f>
        <v>FY2021, RA11518</v>
      </c>
      <c r="V325" s="428" t="str">
        <f>VLOOKUP(H325,'Fund Utilization Report'!$A$4:$U$1800,4,FALSE)</f>
        <v>OO2</v>
      </c>
      <c r="W325" s="428" t="str">
        <f>VLOOKUP(H325,'Fund Utilization Report'!$A$4:$U$1800,5,FALSE)</f>
        <v>01101101</v>
      </c>
      <c r="X325" s="428" t="str">
        <f>VLOOKUP(H325,'Fund Utilization Report'!$A$4:$U$1800,6,FALSE)</f>
        <v>GOP</v>
      </c>
      <c r="Y325" s="320" t="str">
        <f>VLOOKUP(H325,'Fund Utilization Report'!$A$4:$U$1800,7,FALSE)</f>
        <v>MOOE</v>
      </c>
      <c r="Z325" s="425">
        <f>VLOOKUP(H325,'Fund Utilization Report'!$A$4:$U$1800,8,FALSE)</f>
        <v>5020000000</v>
      </c>
      <c r="AA325" s="428" t="str">
        <f>VLOOKUP(H325,'Fund Utilization Report'!$A$4:$U$1800,14,FALSE)</f>
        <v>320100100001000</v>
      </c>
      <c r="AB325" s="349" t="str">
        <f>VLOOKUP(H325,'Fund Utilization Report'!$A$4:$U$1800,15,FALSE)</f>
        <v>Formulation of Strategic plans,programs, and policies to develop competitve industries</v>
      </c>
      <c r="AC325" s="39"/>
      <c r="AD325" s="34"/>
      <c r="AE325" s="39"/>
      <c r="AF325" s="51"/>
      <c r="AG325" s="40"/>
      <c r="AH325" s="40"/>
    </row>
    <row r="326" spans="1:34" s="32" customFormat="1">
      <c r="A326" s="338" t="s">
        <v>942</v>
      </c>
      <c r="B326" s="338" t="s">
        <v>945</v>
      </c>
      <c r="C326" s="358">
        <v>44230</v>
      </c>
      <c r="D326" s="351" t="s">
        <v>1028</v>
      </c>
      <c r="E326" s="352" t="s">
        <v>1080</v>
      </c>
      <c r="F326" s="338">
        <v>0.63750000000000007</v>
      </c>
      <c r="G326" s="338">
        <v>0.63888888888888895</v>
      </c>
      <c r="H326" s="338" t="s">
        <v>961</v>
      </c>
      <c r="I326" s="353">
        <v>969</v>
      </c>
      <c r="J326" s="338" t="str">
        <f>IFERROR(VLOOKUP(I326,'Chart of accounts'!A:H,2,FALSE),"")</f>
        <v>50299990 99</v>
      </c>
      <c r="K326" s="338" t="str">
        <f>IFERROR(VLOOKUP(I326,'Chart of accounts'!A:H,3,FALSE),"")</f>
        <v>Other Maintenance and Operating Expenses</v>
      </c>
      <c r="L326" s="338" t="str">
        <f>IFERROR(VLOOKUP(I326,'Chart of accounts'!A:H,4,FALSE),"")</f>
        <v>50299990 99 - Other Maintenance and Operating Expenses (969)</v>
      </c>
      <c r="M326" s="361">
        <v>68</v>
      </c>
      <c r="N326" s="420" t="s">
        <v>821</v>
      </c>
      <c r="O326" s="420" t="s">
        <v>1074</v>
      </c>
      <c r="P326" s="420"/>
      <c r="Q326" s="420">
        <v>8443.52</v>
      </c>
      <c r="R326" s="428">
        <f t="shared" si="4"/>
        <v>-8443.52</v>
      </c>
      <c r="S326" s="428" t="str">
        <f>VLOOKUP(H326,'Fund Utilization Report'!$A$4:$U$1800,13,FALSE)</f>
        <v>MOOE</v>
      </c>
      <c r="T326" s="428" t="str">
        <f>VLOOKUP(H326,'Fund Utilization Report'!$A$4:$U$1800,2,FALSE)</f>
        <v>GAA</v>
      </c>
      <c r="U326" s="428" t="str">
        <f>VLOOKUP(H326,'Fund Utilization Report'!$A$4:$U$1800,3,FALSE)</f>
        <v>FY2021, RA11518</v>
      </c>
      <c r="V326" s="428" t="str">
        <f>VLOOKUP(H326,'Fund Utilization Report'!$A$4:$U$1800,4,FALSE)</f>
        <v>GAS(GMS)</v>
      </c>
      <c r="W326" s="428" t="str">
        <f>VLOOKUP(H326,'Fund Utilization Report'!$A$4:$U$1800,5,FALSE)</f>
        <v>01101101</v>
      </c>
      <c r="X326" s="428" t="str">
        <f>VLOOKUP(H326,'Fund Utilization Report'!$A$4:$U$1800,6,FALSE)</f>
        <v>GOP</v>
      </c>
      <c r="Y326" s="320" t="str">
        <f>VLOOKUP(H326,'Fund Utilization Report'!$A$4:$U$1800,7,FALSE)</f>
        <v>MOOE</v>
      </c>
      <c r="Z326" s="425">
        <f>VLOOKUP(H326,'Fund Utilization Report'!$A$4:$U$1800,8,FALSE)</f>
        <v>5020000000</v>
      </c>
      <c r="AA326" s="428" t="str">
        <f>VLOOKUP(H326,'Fund Utilization Report'!$A$4:$U$1800,14,FALSE)</f>
        <v>100000100001000</v>
      </c>
      <c r="AB326" s="349" t="str">
        <f>VLOOKUP(H326,'Fund Utilization Report'!$A$4:$U$1800,15,FALSE)</f>
        <v>General Administration and Supervision - General Management and Supervision</v>
      </c>
      <c r="AC326" s="39"/>
      <c r="AD326" s="34"/>
      <c r="AE326" s="39"/>
      <c r="AF326" s="51"/>
      <c r="AG326" s="40"/>
      <c r="AH326" s="40"/>
    </row>
    <row r="327" spans="1:34" s="32" customFormat="1">
      <c r="A327" s="338" t="s">
        <v>942</v>
      </c>
      <c r="B327" s="338" t="s">
        <v>945</v>
      </c>
      <c r="C327" s="358">
        <v>44230</v>
      </c>
      <c r="D327" s="351" t="s">
        <v>1028</v>
      </c>
      <c r="E327" s="352" t="s">
        <v>1081</v>
      </c>
      <c r="F327" s="338">
        <v>0.63888888888888895</v>
      </c>
      <c r="G327" s="338">
        <v>0.63958333333333328</v>
      </c>
      <c r="H327" s="338" t="s">
        <v>961</v>
      </c>
      <c r="I327" s="353">
        <v>756</v>
      </c>
      <c r="J327" s="338" t="str">
        <f>IFERROR(VLOOKUP(I327,'Chart of accounts'!A:H,2,FALSE),"")</f>
        <v>50203020 00</v>
      </c>
      <c r="K327" s="338" t="str">
        <f>IFERROR(VLOOKUP(I327,'Chart of accounts'!A:H,3,FALSE),"")</f>
        <v xml:space="preserve">Accountable Forms Expenses </v>
      </c>
      <c r="L327" s="338" t="str">
        <f>IFERROR(VLOOKUP(I327,'Chart of accounts'!A:H,4,FALSE),"")</f>
        <v>50203020 00 - Accountable Forms Expenses  (756)</v>
      </c>
      <c r="M327" s="361">
        <v>67</v>
      </c>
      <c r="N327" s="420" t="s">
        <v>822</v>
      </c>
      <c r="O327" s="420" t="s">
        <v>1074</v>
      </c>
      <c r="P327" s="420"/>
      <c r="Q327" s="420">
        <v>1660</v>
      </c>
      <c r="R327" s="319">
        <f t="shared" si="4"/>
        <v>-1660</v>
      </c>
      <c r="S327" s="428" t="str">
        <f>VLOOKUP(H327,'Fund Utilization Report'!$A$4:$U$1800,13,FALSE)</f>
        <v>MOOE</v>
      </c>
      <c r="T327" s="428" t="str">
        <f>VLOOKUP(H327,'Fund Utilization Report'!$A$4:$U$1800,2,FALSE)</f>
        <v>GAA</v>
      </c>
      <c r="U327" s="428" t="str">
        <f>VLOOKUP(H327,'Fund Utilization Report'!$A$4:$U$1800,3,FALSE)</f>
        <v>FY2021, RA11518</v>
      </c>
      <c r="V327" s="428" t="str">
        <f>VLOOKUP(H327,'Fund Utilization Report'!$A$4:$U$1800,4,FALSE)</f>
        <v>GAS(GMS)</v>
      </c>
      <c r="W327" s="428" t="str">
        <f>VLOOKUP(H327,'Fund Utilization Report'!$A$4:$U$1800,5,FALSE)</f>
        <v>01101101</v>
      </c>
      <c r="X327" s="428" t="str">
        <f>VLOOKUP(H327,'Fund Utilization Report'!$A$4:$U$1800,6,FALSE)</f>
        <v>GOP</v>
      </c>
      <c r="Y327" s="320" t="str">
        <f>VLOOKUP(H327,'Fund Utilization Report'!$A$4:$U$1800,7,FALSE)</f>
        <v>MOOE</v>
      </c>
      <c r="Z327" s="425">
        <f>VLOOKUP(H327,'Fund Utilization Report'!$A$4:$U$1800,8,FALSE)</f>
        <v>5020000000</v>
      </c>
      <c r="AA327" s="428" t="str">
        <f>VLOOKUP(H327,'Fund Utilization Report'!$A$4:$U$1800,14,FALSE)</f>
        <v>100000100001000</v>
      </c>
      <c r="AB327" s="349" t="str">
        <f>VLOOKUP(H327,'Fund Utilization Report'!$A$4:$U$1800,15,FALSE)</f>
        <v>General Administration and Supervision - General Management and Supervision</v>
      </c>
      <c r="AC327" s="39"/>
      <c r="AD327" s="34"/>
      <c r="AE327" s="39"/>
      <c r="AF327" s="51"/>
      <c r="AG327" s="40"/>
      <c r="AH327" s="40"/>
    </row>
    <row r="328" spans="1:34" s="32" customFormat="1">
      <c r="A328" s="338" t="s">
        <v>942</v>
      </c>
      <c r="B328" s="338" t="s">
        <v>945</v>
      </c>
      <c r="C328" s="358">
        <v>44230</v>
      </c>
      <c r="D328" s="351" t="s">
        <v>1028</v>
      </c>
      <c r="E328" s="352" t="s">
        <v>1081</v>
      </c>
      <c r="F328" s="338">
        <v>0.63888888888888895</v>
      </c>
      <c r="G328" s="338">
        <v>0.63958333333333328</v>
      </c>
      <c r="H328" s="338" t="s">
        <v>961</v>
      </c>
      <c r="I328" s="353">
        <v>753</v>
      </c>
      <c r="J328" s="338" t="str">
        <f>IFERROR(VLOOKUP(I328,'Chart of accounts'!A:H,2,FALSE),"")</f>
        <v>50202010 00</v>
      </c>
      <c r="K328" s="338" t="str">
        <f>IFERROR(VLOOKUP(I328,'Chart of accounts'!A:H,3,FALSE),"")</f>
        <v>Training Expenses</v>
      </c>
      <c r="L328" s="338" t="str">
        <f>IFERROR(VLOOKUP(I328,'Chart of accounts'!A:H,4,FALSE),"")</f>
        <v>50202010 00 - Training Expenses (753)</v>
      </c>
      <c r="M328" s="361">
        <v>67</v>
      </c>
      <c r="N328" s="420" t="s">
        <v>822</v>
      </c>
      <c r="O328" s="420" t="s">
        <v>1074</v>
      </c>
      <c r="P328" s="420"/>
      <c r="Q328" s="420">
        <v>9960</v>
      </c>
      <c r="R328" s="428">
        <f t="shared" si="4"/>
        <v>-9960</v>
      </c>
      <c r="S328" s="428" t="str">
        <f>VLOOKUP(H328,'Fund Utilization Report'!$A$4:$U$1800,13,FALSE)</f>
        <v>MOOE</v>
      </c>
      <c r="T328" s="428" t="str">
        <f>VLOOKUP(H328,'Fund Utilization Report'!$A$4:$U$1800,2,FALSE)</f>
        <v>GAA</v>
      </c>
      <c r="U328" s="428" t="str">
        <f>VLOOKUP(H328,'Fund Utilization Report'!$A$4:$U$1800,3,FALSE)</f>
        <v>FY2021, RA11518</v>
      </c>
      <c r="V328" s="428" t="str">
        <f>VLOOKUP(H328,'Fund Utilization Report'!$A$4:$U$1800,4,FALSE)</f>
        <v>GAS(GMS)</v>
      </c>
      <c r="W328" s="428" t="str">
        <f>VLOOKUP(H328,'Fund Utilization Report'!$A$4:$U$1800,5,FALSE)</f>
        <v>01101101</v>
      </c>
      <c r="X328" s="428" t="str">
        <f>VLOOKUP(H328,'Fund Utilization Report'!$A$4:$U$1800,6,FALSE)</f>
        <v>GOP</v>
      </c>
      <c r="Y328" s="320" t="str">
        <f>VLOOKUP(H328,'Fund Utilization Report'!$A$4:$U$1800,7,FALSE)</f>
        <v>MOOE</v>
      </c>
      <c r="Z328" s="425">
        <f>VLOOKUP(H328,'Fund Utilization Report'!$A$4:$U$1800,8,FALSE)</f>
        <v>5020000000</v>
      </c>
      <c r="AA328" s="428" t="str">
        <f>VLOOKUP(H328,'Fund Utilization Report'!$A$4:$U$1800,14,FALSE)</f>
        <v>100000100001000</v>
      </c>
      <c r="AB328" s="349" t="str">
        <f>VLOOKUP(H328,'Fund Utilization Report'!$A$4:$U$1800,15,FALSE)</f>
        <v>General Administration and Supervision - General Management and Supervision</v>
      </c>
      <c r="AC328" s="39"/>
      <c r="AD328" s="34"/>
      <c r="AE328" s="39"/>
      <c r="AF328" s="51"/>
      <c r="AG328" s="40"/>
      <c r="AH328" s="40"/>
    </row>
    <row r="329" spans="1:34" s="32" customFormat="1">
      <c r="A329" s="338" t="s">
        <v>942</v>
      </c>
      <c r="B329" s="338" t="s">
        <v>945</v>
      </c>
      <c r="C329" s="358">
        <v>44230</v>
      </c>
      <c r="D329" s="351" t="s">
        <v>1028</v>
      </c>
      <c r="E329" s="352" t="s">
        <v>1081</v>
      </c>
      <c r="F329" s="338">
        <v>0.63888888888888895</v>
      </c>
      <c r="G329" s="338">
        <v>0.63958333333333328</v>
      </c>
      <c r="H329" s="338" t="s">
        <v>961</v>
      </c>
      <c r="I329" s="353">
        <v>761</v>
      </c>
      <c r="J329" s="338" t="str">
        <f>IFERROR(VLOOKUP(I329,'Chart of accounts'!A:H,2,FALSE),"")</f>
        <v>50203090 00</v>
      </c>
      <c r="K329" s="338" t="str">
        <f>IFERROR(VLOOKUP(I329,'Chart of accounts'!A:H,3,FALSE),"")</f>
        <v>Fuel, Oil and Lubricants Expenses</v>
      </c>
      <c r="L329" s="338" t="str">
        <f>IFERROR(VLOOKUP(I329,'Chart of accounts'!A:H,4,FALSE),"")</f>
        <v>50203090 00 - Fuel, Oil and Lubricants Expenses (761)</v>
      </c>
      <c r="M329" s="361">
        <v>67</v>
      </c>
      <c r="N329" s="420" t="s">
        <v>822</v>
      </c>
      <c r="O329" s="420" t="s">
        <v>1074</v>
      </c>
      <c r="P329" s="420"/>
      <c r="Q329" s="420">
        <v>4980</v>
      </c>
      <c r="R329" s="428">
        <f t="shared" si="4"/>
        <v>-4980</v>
      </c>
      <c r="S329" s="428" t="str">
        <f>VLOOKUP(H329,'Fund Utilization Report'!$A$4:$U$1800,13,FALSE)</f>
        <v>MOOE</v>
      </c>
      <c r="T329" s="428" t="str">
        <f>VLOOKUP(H329,'Fund Utilization Report'!$A$4:$U$1800,2,FALSE)</f>
        <v>GAA</v>
      </c>
      <c r="U329" s="428" t="str">
        <f>VLOOKUP(H329,'Fund Utilization Report'!$A$4:$U$1800,3,FALSE)</f>
        <v>FY2021, RA11518</v>
      </c>
      <c r="V329" s="428" t="str">
        <f>VLOOKUP(H329,'Fund Utilization Report'!$A$4:$U$1800,4,FALSE)</f>
        <v>GAS(GMS)</v>
      </c>
      <c r="W329" s="428" t="str">
        <f>VLOOKUP(H329,'Fund Utilization Report'!$A$4:$U$1800,5,FALSE)</f>
        <v>01101101</v>
      </c>
      <c r="X329" s="428" t="str">
        <f>VLOOKUP(H329,'Fund Utilization Report'!$A$4:$U$1800,6,FALSE)</f>
        <v>GOP</v>
      </c>
      <c r="Y329" s="320" t="str">
        <f>VLOOKUP(H329,'Fund Utilization Report'!$A$4:$U$1800,7,FALSE)</f>
        <v>MOOE</v>
      </c>
      <c r="Z329" s="425">
        <f>VLOOKUP(H329,'Fund Utilization Report'!$A$4:$U$1800,8,FALSE)</f>
        <v>5020000000</v>
      </c>
      <c r="AA329" s="428" t="str">
        <f>VLOOKUP(H329,'Fund Utilization Report'!$A$4:$U$1800,14,FALSE)</f>
        <v>100000100001000</v>
      </c>
      <c r="AB329" s="349" t="str">
        <f>VLOOKUP(H329,'Fund Utilization Report'!$A$4:$U$1800,15,FALSE)</f>
        <v>General Administration and Supervision - General Management and Supervision</v>
      </c>
      <c r="AC329" s="39"/>
      <c r="AD329" s="34"/>
      <c r="AE329" s="39"/>
      <c r="AF329" s="51"/>
      <c r="AG329" s="40"/>
      <c r="AH329" s="40"/>
    </row>
    <row r="330" spans="1:34" s="32" customFormat="1">
      <c r="A330" s="338" t="s">
        <v>942</v>
      </c>
      <c r="B330" s="338" t="s">
        <v>945</v>
      </c>
      <c r="C330" s="358">
        <v>44230</v>
      </c>
      <c r="D330" s="351" t="s">
        <v>1028</v>
      </c>
      <c r="E330" s="352" t="s">
        <v>1081</v>
      </c>
      <c r="F330" s="338">
        <v>0.63888888888888895</v>
      </c>
      <c r="G330" s="338">
        <v>0.63958333333333328</v>
      </c>
      <c r="H330" s="338" t="s">
        <v>961</v>
      </c>
      <c r="I330" s="353">
        <v>766</v>
      </c>
      <c r="J330" s="338" t="str">
        <f>IFERROR(VLOOKUP(I330,'Chart of accounts'!A:H,2,FALSE),"")</f>
        <v>50204010 00</v>
      </c>
      <c r="K330" s="338" t="str">
        <f>IFERROR(VLOOKUP(I330,'Chart of accounts'!A:H,3,FALSE),"")</f>
        <v>Water Expenses</v>
      </c>
      <c r="L330" s="338" t="str">
        <f>IFERROR(VLOOKUP(I330,'Chart of accounts'!A:H,4,FALSE),"")</f>
        <v>50204010 00 - Water Expenses (766)</v>
      </c>
      <c r="M330" s="361">
        <v>67</v>
      </c>
      <c r="N330" s="420" t="s">
        <v>822</v>
      </c>
      <c r="O330" s="420" t="s">
        <v>1074</v>
      </c>
      <c r="P330" s="420"/>
      <c r="Q330" s="420">
        <v>1328</v>
      </c>
      <c r="R330" s="428">
        <f t="shared" si="4"/>
        <v>-1328</v>
      </c>
      <c r="S330" s="428" t="str">
        <f>VLOOKUP(H330,'Fund Utilization Report'!$A$4:$U$1800,13,FALSE)</f>
        <v>MOOE</v>
      </c>
      <c r="T330" s="428" t="str">
        <f>VLOOKUP(H330,'Fund Utilization Report'!$A$4:$U$1800,2,FALSE)</f>
        <v>GAA</v>
      </c>
      <c r="U330" s="428" t="str">
        <f>VLOOKUP(H330,'Fund Utilization Report'!$A$4:$U$1800,3,FALSE)</f>
        <v>FY2021, RA11518</v>
      </c>
      <c r="V330" s="428" t="str">
        <f>VLOOKUP(H330,'Fund Utilization Report'!$A$4:$U$1800,4,FALSE)</f>
        <v>GAS(GMS)</v>
      </c>
      <c r="W330" s="428" t="str">
        <f>VLOOKUP(H330,'Fund Utilization Report'!$A$4:$U$1800,5,FALSE)</f>
        <v>01101101</v>
      </c>
      <c r="X330" s="428" t="str">
        <f>VLOOKUP(H330,'Fund Utilization Report'!$A$4:$U$1800,6,FALSE)</f>
        <v>GOP</v>
      </c>
      <c r="Y330" s="320" t="str">
        <f>VLOOKUP(H330,'Fund Utilization Report'!$A$4:$U$1800,7,FALSE)</f>
        <v>MOOE</v>
      </c>
      <c r="Z330" s="425">
        <f>VLOOKUP(H330,'Fund Utilization Report'!$A$4:$U$1800,8,FALSE)</f>
        <v>5020000000</v>
      </c>
      <c r="AA330" s="428" t="str">
        <f>VLOOKUP(H330,'Fund Utilization Report'!$A$4:$U$1800,14,FALSE)</f>
        <v>100000100001000</v>
      </c>
      <c r="AB330" s="349" t="str">
        <f>VLOOKUP(H330,'Fund Utilization Report'!$A$4:$U$1800,15,FALSE)</f>
        <v>General Administration and Supervision - General Management and Supervision</v>
      </c>
      <c r="AC330" s="39"/>
      <c r="AD330" s="34"/>
      <c r="AE330" s="39"/>
      <c r="AF330" s="51"/>
      <c r="AG330" s="40"/>
      <c r="AH330" s="40"/>
    </row>
    <row r="331" spans="1:34" s="32" customFormat="1">
      <c r="A331" s="338" t="s">
        <v>942</v>
      </c>
      <c r="B331" s="338" t="s">
        <v>945</v>
      </c>
      <c r="C331" s="358">
        <v>44230</v>
      </c>
      <c r="D331" s="351" t="s">
        <v>1028</v>
      </c>
      <c r="E331" s="352" t="s">
        <v>1081</v>
      </c>
      <c r="F331" s="338">
        <v>0.63888888888888895</v>
      </c>
      <c r="G331" s="338">
        <v>0.63958333333333328</v>
      </c>
      <c r="H331" s="338" t="s">
        <v>961</v>
      </c>
      <c r="I331" s="353">
        <v>767</v>
      </c>
      <c r="J331" s="338" t="str">
        <f>IFERROR(VLOOKUP(I331,'Chart of accounts'!A:H,2,FALSE),"")</f>
        <v>50204020 00</v>
      </c>
      <c r="K331" s="338" t="str">
        <f>IFERROR(VLOOKUP(I331,'Chart of accounts'!A:H,3,FALSE),"")</f>
        <v>Electricity Expense</v>
      </c>
      <c r="L331" s="338" t="str">
        <f>IFERROR(VLOOKUP(I331,'Chart of accounts'!A:H,4,FALSE),"")</f>
        <v>50204020 00 - Electricity Expense (767)</v>
      </c>
      <c r="M331" s="361">
        <v>67</v>
      </c>
      <c r="N331" s="420" t="s">
        <v>822</v>
      </c>
      <c r="O331" s="420" t="s">
        <v>1074</v>
      </c>
      <c r="P331" s="420"/>
      <c r="Q331" s="420">
        <v>48416.67</v>
      </c>
      <c r="R331" s="428">
        <f t="shared" si="4"/>
        <v>-48416.67</v>
      </c>
      <c r="S331" s="428" t="str">
        <f>VLOOKUP(H331,'Fund Utilization Report'!$A$4:$U$1800,13,FALSE)</f>
        <v>MOOE</v>
      </c>
      <c r="T331" s="428" t="str">
        <f>VLOOKUP(H331,'Fund Utilization Report'!$A$4:$U$1800,2,FALSE)</f>
        <v>GAA</v>
      </c>
      <c r="U331" s="428" t="str">
        <f>VLOOKUP(H331,'Fund Utilization Report'!$A$4:$U$1800,3,FALSE)</f>
        <v>FY2021, RA11518</v>
      </c>
      <c r="V331" s="428" t="str">
        <f>VLOOKUP(H331,'Fund Utilization Report'!$A$4:$U$1800,4,FALSE)</f>
        <v>GAS(GMS)</v>
      </c>
      <c r="W331" s="428" t="str">
        <f>VLOOKUP(H331,'Fund Utilization Report'!$A$4:$U$1800,5,FALSE)</f>
        <v>01101101</v>
      </c>
      <c r="X331" s="428" t="str">
        <f>VLOOKUP(H331,'Fund Utilization Report'!$A$4:$U$1800,6,FALSE)</f>
        <v>GOP</v>
      </c>
      <c r="Y331" s="320" t="str">
        <f>VLOOKUP(H331,'Fund Utilization Report'!$A$4:$U$1800,7,FALSE)</f>
        <v>MOOE</v>
      </c>
      <c r="Z331" s="425">
        <f>VLOOKUP(H331,'Fund Utilization Report'!$A$4:$U$1800,8,FALSE)</f>
        <v>5020000000</v>
      </c>
      <c r="AA331" s="428" t="str">
        <f>VLOOKUP(H331,'Fund Utilization Report'!$A$4:$U$1800,14,FALSE)</f>
        <v>100000100001000</v>
      </c>
      <c r="AB331" s="349" t="str">
        <f>VLOOKUP(H331,'Fund Utilization Report'!$A$4:$U$1800,15,FALSE)</f>
        <v>General Administration and Supervision - General Management and Supervision</v>
      </c>
      <c r="AC331" s="39"/>
      <c r="AD331" s="34"/>
      <c r="AE331" s="39"/>
      <c r="AF331" s="51"/>
      <c r="AG331" s="40"/>
      <c r="AH331" s="40"/>
    </row>
    <row r="332" spans="1:34" s="32" customFormat="1">
      <c r="A332" s="338" t="s">
        <v>942</v>
      </c>
      <c r="B332" s="338" t="s">
        <v>945</v>
      </c>
      <c r="C332" s="358">
        <v>44230</v>
      </c>
      <c r="D332" s="351" t="s">
        <v>1028</v>
      </c>
      <c r="E332" s="352" t="s">
        <v>1081</v>
      </c>
      <c r="F332" s="338">
        <v>0.63888888888888895</v>
      </c>
      <c r="G332" s="338">
        <v>0.63958333333333328</v>
      </c>
      <c r="H332" s="338" t="s">
        <v>961</v>
      </c>
      <c r="I332" s="353">
        <v>771</v>
      </c>
      <c r="J332" s="338" t="str">
        <f>IFERROR(VLOOKUP(I332,'Chart of accounts'!A:H,2,FALSE),"")</f>
        <v>50205010 00</v>
      </c>
      <c r="K332" s="338" t="str">
        <f>IFERROR(VLOOKUP(I332,'Chart of accounts'!A:H,3,FALSE),"")</f>
        <v>Postage and Courier Services</v>
      </c>
      <c r="L332" s="338" t="str">
        <f>IFERROR(VLOOKUP(I332,'Chart of accounts'!A:H,4,FALSE),"")</f>
        <v>50205010 00 - Postage and Courier Services (771)</v>
      </c>
      <c r="M332" s="361">
        <v>67</v>
      </c>
      <c r="N332" s="420" t="s">
        <v>822</v>
      </c>
      <c r="O332" s="420" t="s">
        <v>1074</v>
      </c>
      <c r="P332" s="420"/>
      <c r="Q332" s="420">
        <v>8300</v>
      </c>
      <c r="R332" s="428">
        <f t="shared" si="4"/>
        <v>-8300</v>
      </c>
      <c r="S332" s="428" t="str">
        <f>VLOOKUP(H332,'Fund Utilization Report'!$A$4:$U$1800,13,FALSE)</f>
        <v>MOOE</v>
      </c>
      <c r="T332" s="428" t="str">
        <f>VLOOKUP(H332,'Fund Utilization Report'!$A$4:$U$1800,2,FALSE)</f>
        <v>GAA</v>
      </c>
      <c r="U332" s="428" t="str">
        <f>VLOOKUP(H332,'Fund Utilization Report'!$A$4:$U$1800,3,FALSE)</f>
        <v>FY2021, RA11518</v>
      </c>
      <c r="V332" s="428" t="str">
        <f>VLOOKUP(H332,'Fund Utilization Report'!$A$4:$U$1800,4,FALSE)</f>
        <v>GAS(GMS)</v>
      </c>
      <c r="W332" s="428" t="str">
        <f>VLOOKUP(H332,'Fund Utilization Report'!$A$4:$U$1800,5,FALSE)</f>
        <v>01101101</v>
      </c>
      <c r="X332" s="428" t="str">
        <f>VLOOKUP(H332,'Fund Utilization Report'!$A$4:$U$1800,6,FALSE)</f>
        <v>GOP</v>
      </c>
      <c r="Y332" s="320" t="str">
        <f>VLOOKUP(H332,'Fund Utilization Report'!$A$4:$U$1800,7,FALSE)</f>
        <v>MOOE</v>
      </c>
      <c r="Z332" s="425">
        <f>VLOOKUP(H332,'Fund Utilization Report'!$A$4:$U$1800,8,FALSE)</f>
        <v>5020000000</v>
      </c>
      <c r="AA332" s="428" t="str">
        <f>VLOOKUP(H332,'Fund Utilization Report'!$A$4:$U$1800,14,FALSE)</f>
        <v>100000100001000</v>
      </c>
      <c r="AB332" s="349" t="str">
        <f>VLOOKUP(H332,'Fund Utilization Report'!$A$4:$U$1800,15,FALSE)</f>
        <v>General Administration and Supervision - General Management and Supervision</v>
      </c>
      <c r="AC332" s="39"/>
      <c r="AD332" s="34"/>
      <c r="AE332" s="39"/>
      <c r="AF332" s="51"/>
      <c r="AG332" s="40"/>
      <c r="AH332" s="40"/>
    </row>
    <row r="333" spans="1:34" s="32" customFormat="1">
      <c r="A333" s="338" t="s">
        <v>942</v>
      </c>
      <c r="B333" s="338" t="s">
        <v>945</v>
      </c>
      <c r="C333" s="358">
        <v>44230</v>
      </c>
      <c r="D333" s="351" t="s">
        <v>1028</v>
      </c>
      <c r="E333" s="352" t="s">
        <v>1081</v>
      </c>
      <c r="F333" s="338">
        <v>0.63888888888888895</v>
      </c>
      <c r="G333" s="338">
        <v>0.63958333333333328</v>
      </c>
      <c r="H333" s="338" t="s">
        <v>961</v>
      </c>
      <c r="I333" s="353">
        <v>772</v>
      </c>
      <c r="J333" s="338" t="str">
        <f>IFERROR(VLOOKUP(I333,'Chart of accounts'!A:H,2,FALSE),"")</f>
        <v>50205020 02</v>
      </c>
      <c r="K333" s="338" t="str">
        <f>IFERROR(VLOOKUP(I333,'Chart of accounts'!A:H,3,FALSE),"")</f>
        <v xml:space="preserve">Telephone Expenses - Landline </v>
      </c>
      <c r="L333" s="338" t="str">
        <f>IFERROR(VLOOKUP(I333,'Chart of accounts'!A:H,4,FALSE),"")</f>
        <v>50205020 02 - Telephone Expenses - Landline  (772)</v>
      </c>
      <c r="M333" s="361">
        <v>67</v>
      </c>
      <c r="N333" s="420" t="s">
        <v>822</v>
      </c>
      <c r="O333" s="420" t="s">
        <v>1074</v>
      </c>
      <c r="P333" s="420"/>
      <c r="Q333" s="420">
        <v>2490</v>
      </c>
      <c r="R333" s="428">
        <f t="shared" si="4"/>
        <v>-2490</v>
      </c>
      <c r="S333" s="428" t="str">
        <f>VLOOKUP(H333,'Fund Utilization Report'!$A$4:$U$1800,13,FALSE)</f>
        <v>MOOE</v>
      </c>
      <c r="T333" s="428" t="str">
        <f>VLOOKUP(H333,'Fund Utilization Report'!$A$4:$U$1800,2,FALSE)</f>
        <v>GAA</v>
      </c>
      <c r="U333" s="428" t="str">
        <f>VLOOKUP(H333,'Fund Utilization Report'!$A$4:$U$1800,3,FALSE)</f>
        <v>FY2021, RA11518</v>
      </c>
      <c r="V333" s="428" t="str">
        <f>VLOOKUP(H333,'Fund Utilization Report'!$A$4:$U$1800,4,FALSE)</f>
        <v>GAS(GMS)</v>
      </c>
      <c r="W333" s="428" t="str">
        <f>VLOOKUP(H333,'Fund Utilization Report'!$A$4:$U$1800,5,FALSE)</f>
        <v>01101101</v>
      </c>
      <c r="X333" s="428" t="str">
        <f>VLOOKUP(H333,'Fund Utilization Report'!$A$4:$U$1800,6,FALSE)</f>
        <v>GOP</v>
      </c>
      <c r="Y333" s="320" t="str">
        <f>VLOOKUP(H333,'Fund Utilization Report'!$A$4:$U$1800,7,FALSE)</f>
        <v>MOOE</v>
      </c>
      <c r="Z333" s="425">
        <f>VLOOKUP(H333,'Fund Utilization Report'!$A$4:$U$1800,8,FALSE)</f>
        <v>5020000000</v>
      </c>
      <c r="AA333" s="428" t="str">
        <f>VLOOKUP(H333,'Fund Utilization Report'!$A$4:$U$1800,14,FALSE)</f>
        <v>100000100001000</v>
      </c>
      <c r="AB333" s="349" t="str">
        <f>VLOOKUP(H333,'Fund Utilization Report'!$A$4:$U$1800,15,FALSE)</f>
        <v>General Administration and Supervision - General Management and Supervision</v>
      </c>
      <c r="AC333" s="39"/>
      <c r="AD333" s="34"/>
      <c r="AE333" s="39"/>
      <c r="AF333" s="51"/>
      <c r="AG333" s="40"/>
      <c r="AH333" s="40"/>
    </row>
    <row r="334" spans="1:34" s="32" customFormat="1">
      <c r="A334" s="338" t="s">
        <v>942</v>
      </c>
      <c r="B334" s="338" t="s">
        <v>945</v>
      </c>
      <c r="C334" s="358">
        <v>44230</v>
      </c>
      <c r="D334" s="351" t="s">
        <v>1028</v>
      </c>
      <c r="E334" s="352" t="s">
        <v>1081</v>
      </c>
      <c r="F334" s="338">
        <v>0.63888888888888895</v>
      </c>
      <c r="G334" s="338">
        <v>0.63958333333333328</v>
      </c>
      <c r="H334" s="338" t="s">
        <v>961</v>
      </c>
      <c r="I334" s="353">
        <v>773</v>
      </c>
      <c r="J334" s="338" t="str">
        <f>IFERROR(VLOOKUP(I334,'Chart of accounts'!A:H,2,FALSE),"")</f>
        <v>50205020 01</v>
      </c>
      <c r="K334" s="338" t="str">
        <f>IFERROR(VLOOKUP(I334,'Chart of accounts'!A:H,3,FALSE),"")</f>
        <v xml:space="preserve">Telephone Expenses - Mobile </v>
      </c>
      <c r="L334" s="338" t="str">
        <f>IFERROR(VLOOKUP(I334,'Chart of accounts'!A:H,4,FALSE),"")</f>
        <v>50205020 01 - Telephone Expenses - Mobile  (773)</v>
      </c>
      <c r="M334" s="361">
        <v>67</v>
      </c>
      <c r="N334" s="420" t="s">
        <v>822</v>
      </c>
      <c r="O334" s="420" t="s">
        <v>1074</v>
      </c>
      <c r="P334" s="420"/>
      <c r="Q334" s="420">
        <v>4980</v>
      </c>
      <c r="R334" s="428">
        <f t="shared" si="4"/>
        <v>-4980</v>
      </c>
      <c r="S334" s="428" t="str">
        <f>VLOOKUP(H334,'Fund Utilization Report'!$A$4:$U$1800,13,FALSE)</f>
        <v>MOOE</v>
      </c>
      <c r="T334" s="428" t="str">
        <f>VLOOKUP(H334,'Fund Utilization Report'!$A$4:$U$1800,2,FALSE)</f>
        <v>GAA</v>
      </c>
      <c r="U334" s="428" t="str">
        <f>VLOOKUP(H334,'Fund Utilization Report'!$A$4:$U$1800,3,FALSE)</f>
        <v>FY2021, RA11518</v>
      </c>
      <c r="V334" s="428" t="str">
        <f>VLOOKUP(H334,'Fund Utilization Report'!$A$4:$U$1800,4,FALSE)</f>
        <v>GAS(GMS)</v>
      </c>
      <c r="W334" s="428" t="str">
        <f>VLOOKUP(H334,'Fund Utilization Report'!$A$4:$U$1800,5,FALSE)</f>
        <v>01101101</v>
      </c>
      <c r="X334" s="428" t="str">
        <f>VLOOKUP(H334,'Fund Utilization Report'!$A$4:$U$1800,6,FALSE)</f>
        <v>GOP</v>
      </c>
      <c r="Y334" s="320" t="str">
        <f>VLOOKUP(H334,'Fund Utilization Report'!$A$4:$U$1800,7,FALSE)</f>
        <v>MOOE</v>
      </c>
      <c r="Z334" s="425">
        <f>VLOOKUP(H334,'Fund Utilization Report'!$A$4:$U$1800,8,FALSE)</f>
        <v>5020000000</v>
      </c>
      <c r="AA334" s="428" t="str">
        <f>VLOOKUP(H334,'Fund Utilization Report'!$A$4:$U$1800,14,FALSE)</f>
        <v>100000100001000</v>
      </c>
      <c r="AB334" s="349" t="str">
        <f>VLOOKUP(H334,'Fund Utilization Report'!$A$4:$U$1800,15,FALSE)</f>
        <v>General Administration and Supervision - General Management and Supervision</v>
      </c>
      <c r="AC334" s="39"/>
      <c r="AD334" s="34"/>
      <c r="AE334" s="39"/>
      <c r="AF334" s="51"/>
      <c r="AG334" s="40"/>
      <c r="AH334" s="40"/>
    </row>
    <row r="335" spans="1:34" s="32" customFormat="1">
      <c r="A335" s="338" t="s">
        <v>942</v>
      </c>
      <c r="B335" s="338" t="s">
        <v>945</v>
      </c>
      <c r="C335" s="358">
        <v>44230</v>
      </c>
      <c r="D335" s="351" t="s">
        <v>1028</v>
      </c>
      <c r="E335" s="352" t="s">
        <v>1081</v>
      </c>
      <c r="F335" s="338">
        <v>0.63888888888888895</v>
      </c>
      <c r="G335" s="338">
        <v>0.63958333333333328</v>
      </c>
      <c r="H335" s="338" t="s">
        <v>961</v>
      </c>
      <c r="I335" s="353">
        <v>775</v>
      </c>
      <c r="J335" s="338" t="str">
        <f>IFERROR(VLOOKUP(I335,'Chart of accounts'!A:H,2,FALSE),"")</f>
        <v>50205040 00</v>
      </c>
      <c r="K335" s="338" t="str">
        <f>IFERROR(VLOOKUP(I335,'Chart of accounts'!A:H,3,FALSE),"")</f>
        <v>Cable, Satellite, Telegraph, and Radio Expenses</v>
      </c>
      <c r="L335" s="338" t="str">
        <f>IFERROR(VLOOKUP(I335,'Chart of accounts'!A:H,4,FALSE),"")</f>
        <v>50205040 00 - Cable, Satellite, Telegraph, and Radio Expenses (775)</v>
      </c>
      <c r="M335" s="361">
        <v>67</v>
      </c>
      <c r="N335" s="420" t="s">
        <v>822</v>
      </c>
      <c r="O335" s="420" t="s">
        <v>1074</v>
      </c>
      <c r="P335" s="420"/>
      <c r="Q335" s="420">
        <v>1668.3</v>
      </c>
      <c r="R335" s="428">
        <f t="shared" si="4"/>
        <v>-1668.3</v>
      </c>
      <c r="S335" s="428" t="str">
        <f>VLOOKUP(H335,'Fund Utilization Report'!$A$4:$U$1800,13,FALSE)</f>
        <v>MOOE</v>
      </c>
      <c r="T335" s="428" t="str">
        <f>VLOOKUP(H335,'Fund Utilization Report'!$A$4:$U$1800,2,FALSE)</f>
        <v>GAA</v>
      </c>
      <c r="U335" s="428" t="str">
        <f>VLOOKUP(H335,'Fund Utilization Report'!$A$4:$U$1800,3,FALSE)</f>
        <v>FY2021, RA11518</v>
      </c>
      <c r="V335" s="428" t="str">
        <f>VLOOKUP(H335,'Fund Utilization Report'!$A$4:$U$1800,4,FALSE)</f>
        <v>GAS(GMS)</v>
      </c>
      <c r="W335" s="428" t="str">
        <f>VLOOKUP(H335,'Fund Utilization Report'!$A$4:$U$1800,5,FALSE)</f>
        <v>01101101</v>
      </c>
      <c r="X335" s="428" t="str">
        <f>VLOOKUP(H335,'Fund Utilization Report'!$A$4:$U$1800,6,FALSE)</f>
        <v>GOP</v>
      </c>
      <c r="Y335" s="320" t="str">
        <f>VLOOKUP(H335,'Fund Utilization Report'!$A$4:$U$1800,7,FALSE)</f>
        <v>MOOE</v>
      </c>
      <c r="Z335" s="425">
        <f>VLOOKUP(H335,'Fund Utilization Report'!$A$4:$U$1800,8,FALSE)</f>
        <v>5020000000</v>
      </c>
      <c r="AA335" s="428" t="str">
        <f>VLOOKUP(H335,'Fund Utilization Report'!$A$4:$U$1800,14,FALSE)</f>
        <v>100000100001000</v>
      </c>
      <c r="AB335" s="349" t="str">
        <f>VLOOKUP(H335,'Fund Utilization Report'!$A$4:$U$1800,15,FALSE)</f>
        <v>General Administration and Supervision - General Management and Supervision</v>
      </c>
      <c r="AC335" s="39"/>
      <c r="AD335" s="34"/>
      <c r="AE335" s="39"/>
      <c r="AF335" s="51"/>
      <c r="AG335" s="40"/>
      <c r="AH335" s="40"/>
    </row>
    <row r="336" spans="1:34" s="32" customFormat="1">
      <c r="A336" s="338" t="s">
        <v>942</v>
      </c>
      <c r="B336" s="338" t="s">
        <v>945</v>
      </c>
      <c r="C336" s="358">
        <v>44230</v>
      </c>
      <c r="D336" s="351" t="s">
        <v>1028</v>
      </c>
      <c r="E336" s="352" t="s">
        <v>1081</v>
      </c>
      <c r="F336" s="338">
        <v>0.63888888888888895</v>
      </c>
      <c r="G336" s="338">
        <v>0.63958333333333328</v>
      </c>
      <c r="H336" s="338" t="s">
        <v>961</v>
      </c>
      <c r="I336" s="353">
        <v>791</v>
      </c>
      <c r="J336" s="338" t="str">
        <f>IFERROR(VLOOKUP(I336,'Chart of accounts'!A:H,2,FALSE),"")</f>
        <v>50211010 00</v>
      </c>
      <c r="K336" s="338" t="str">
        <f>IFERROR(VLOOKUP(I336,'Chart of accounts'!A:H,3,FALSE),"")</f>
        <v>Legal Services</v>
      </c>
      <c r="L336" s="338" t="str">
        <f>IFERROR(VLOOKUP(I336,'Chart of accounts'!A:H,4,FALSE),"")</f>
        <v>50211010 00 - Legal Services (791)</v>
      </c>
      <c r="M336" s="361">
        <v>67</v>
      </c>
      <c r="N336" s="420" t="s">
        <v>822</v>
      </c>
      <c r="O336" s="420" t="s">
        <v>1074</v>
      </c>
      <c r="P336" s="420"/>
      <c r="Q336" s="420">
        <v>332</v>
      </c>
      <c r="R336" s="428">
        <f t="shared" si="4"/>
        <v>-332</v>
      </c>
      <c r="S336" s="428" t="str">
        <f>VLOOKUP(H336,'Fund Utilization Report'!$A$4:$U$1800,13,FALSE)</f>
        <v>MOOE</v>
      </c>
      <c r="T336" s="428" t="str">
        <f>VLOOKUP(H336,'Fund Utilization Report'!$A$4:$U$1800,2,FALSE)</f>
        <v>GAA</v>
      </c>
      <c r="U336" s="428" t="str">
        <f>VLOOKUP(H336,'Fund Utilization Report'!$A$4:$U$1800,3,FALSE)</f>
        <v>FY2021, RA11518</v>
      </c>
      <c r="V336" s="428" t="str">
        <f>VLOOKUP(H336,'Fund Utilization Report'!$A$4:$U$1800,4,FALSE)</f>
        <v>GAS(GMS)</v>
      </c>
      <c r="W336" s="428" t="str">
        <f>VLOOKUP(H336,'Fund Utilization Report'!$A$4:$U$1800,5,FALSE)</f>
        <v>01101101</v>
      </c>
      <c r="X336" s="428" t="str">
        <f>VLOOKUP(H336,'Fund Utilization Report'!$A$4:$U$1800,6,FALSE)</f>
        <v>GOP</v>
      </c>
      <c r="Y336" s="320" t="str">
        <f>VLOOKUP(H336,'Fund Utilization Report'!$A$4:$U$1800,7,FALSE)</f>
        <v>MOOE</v>
      </c>
      <c r="Z336" s="425">
        <f>VLOOKUP(H336,'Fund Utilization Report'!$A$4:$U$1800,8,FALSE)</f>
        <v>5020000000</v>
      </c>
      <c r="AA336" s="428" t="str">
        <f>VLOOKUP(H336,'Fund Utilization Report'!$A$4:$U$1800,14,FALSE)</f>
        <v>100000100001000</v>
      </c>
      <c r="AB336" s="349" t="str">
        <f>VLOOKUP(H336,'Fund Utilization Report'!$A$4:$U$1800,15,FALSE)</f>
        <v>General Administration and Supervision - General Management and Supervision</v>
      </c>
      <c r="AC336" s="39"/>
      <c r="AD336" s="34"/>
      <c r="AE336" s="39"/>
      <c r="AF336" s="51"/>
      <c r="AG336" s="40"/>
      <c r="AH336" s="40"/>
    </row>
    <row r="337" spans="1:34" s="32" customFormat="1">
      <c r="A337" s="338" t="s">
        <v>942</v>
      </c>
      <c r="B337" s="338" t="s">
        <v>945</v>
      </c>
      <c r="C337" s="358">
        <v>44230</v>
      </c>
      <c r="D337" s="351" t="s">
        <v>1028</v>
      </c>
      <c r="E337" s="352" t="s">
        <v>1081</v>
      </c>
      <c r="F337" s="338">
        <v>0.63888888888888895</v>
      </c>
      <c r="G337" s="338">
        <v>0.63958333333333328</v>
      </c>
      <c r="H337" s="338" t="s">
        <v>961</v>
      </c>
      <c r="I337" s="353">
        <v>796</v>
      </c>
      <c r="J337" s="338" t="str">
        <f>IFERROR(VLOOKUP(I337,'Chart of accounts'!A:H,2,FALSE),"")</f>
        <v>50212020 00</v>
      </c>
      <c r="K337" s="338" t="str">
        <f>IFERROR(VLOOKUP(I337,'Chart of accounts'!A:H,3,FALSE),"")</f>
        <v>Janitorial Services</v>
      </c>
      <c r="L337" s="338" t="str">
        <f>IFERROR(VLOOKUP(I337,'Chart of accounts'!A:H,4,FALSE),"")</f>
        <v>50212020 00 - Janitorial Services (796)</v>
      </c>
      <c r="M337" s="361">
        <v>67</v>
      </c>
      <c r="N337" s="420" t="s">
        <v>822</v>
      </c>
      <c r="O337" s="420" t="s">
        <v>1074</v>
      </c>
      <c r="P337" s="420"/>
      <c r="Q337" s="420">
        <v>27694.33</v>
      </c>
      <c r="R337" s="428">
        <f t="shared" si="4"/>
        <v>-27694.33</v>
      </c>
      <c r="S337" s="428" t="str">
        <f>VLOOKUP(H337,'Fund Utilization Report'!$A$4:$U$1800,13,FALSE)</f>
        <v>MOOE</v>
      </c>
      <c r="T337" s="428" t="str">
        <f>VLOOKUP(H337,'Fund Utilization Report'!$A$4:$U$1800,2,FALSE)</f>
        <v>GAA</v>
      </c>
      <c r="U337" s="428" t="str">
        <f>VLOOKUP(H337,'Fund Utilization Report'!$A$4:$U$1800,3,FALSE)</f>
        <v>FY2021, RA11518</v>
      </c>
      <c r="V337" s="428" t="str">
        <f>VLOOKUP(H337,'Fund Utilization Report'!$A$4:$U$1800,4,FALSE)</f>
        <v>GAS(GMS)</v>
      </c>
      <c r="W337" s="428" t="str">
        <f>VLOOKUP(H337,'Fund Utilization Report'!$A$4:$U$1800,5,FALSE)</f>
        <v>01101101</v>
      </c>
      <c r="X337" s="428" t="str">
        <f>VLOOKUP(H337,'Fund Utilization Report'!$A$4:$U$1800,6,FALSE)</f>
        <v>GOP</v>
      </c>
      <c r="Y337" s="320" t="str">
        <f>VLOOKUP(H337,'Fund Utilization Report'!$A$4:$U$1800,7,FALSE)</f>
        <v>MOOE</v>
      </c>
      <c r="Z337" s="425">
        <f>VLOOKUP(H337,'Fund Utilization Report'!$A$4:$U$1800,8,FALSE)</f>
        <v>5020000000</v>
      </c>
      <c r="AA337" s="428" t="str">
        <f>VLOOKUP(H337,'Fund Utilization Report'!$A$4:$U$1800,14,FALSE)</f>
        <v>100000100001000</v>
      </c>
      <c r="AB337" s="349" t="str">
        <f>VLOOKUP(H337,'Fund Utilization Report'!$A$4:$U$1800,15,FALSE)</f>
        <v>General Administration and Supervision - General Management and Supervision</v>
      </c>
      <c r="AC337" s="39"/>
      <c r="AD337" s="34"/>
      <c r="AE337" s="39"/>
      <c r="AF337" s="51"/>
      <c r="AG337" s="40"/>
      <c r="AH337" s="40"/>
    </row>
    <row r="338" spans="1:34" s="32" customFormat="1">
      <c r="A338" s="338" t="s">
        <v>942</v>
      </c>
      <c r="B338" s="338" t="s">
        <v>945</v>
      </c>
      <c r="C338" s="358">
        <v>44230</v>
      </c>
      <c r="D338" s="351" t="s">
        <v>1028</v>
      </c>
      <c r="E338" s="352" t="s">
        <v>1081</v>
      </c>
      <c r="F338" s="338">
        <v>0.63888888888888895</v>
      </c>
      <c r="G338" s="338">
        <v>0.63958333333333328</v>
      </c>
      <c r="H338" s="338" t="s">
        <v>965</v>
      </c>
      <c r="I338" s="353">
        <v>795</v>
      </c>
      <c r="J338" s="338" t="str">
        <f>IFERROR(VLOOKUP(I338,'Chart of accounts'!A:H,2,FALSE),"")</f>
        <v>50212990 00</v>
      </c>
      <c r="K338" s="338" t="str">
        <f>IFERROR(VLOOKUP(I338,'Chart of accounts'!A:H,3,FALSE),"")</f>
        <v>Other General Services</v>
      </c>
      <c r="L338" s="338" t="str">
        <f>IFERROR(VLOOKUP(I338,'Chart of accounts'!A:H,4,FALSE),"")</f>
        <v>50212990 00 - Other General Services (795)</v>
      </c>
      <c r="M338" s="361">
        <v>67</v>
      </c>
      <c r="N338" s="420" t="s">
        <v>822</v>
      </c>
      <c r="O338" s="420" t="s">
        <v>1074</v>
      </c>
      <c r="P338" s="420"/>
      <c r="Q338" s="420">
        <v>111561.41</v>
      </c>
      <c r="R338" s="428">
        <f t="shared" si="4"/>
        <v>-111561.41</v>
      </c>
      <c r="S338" s="428" t="str">
        <f>VLOOKUP(H338,'Fund Utilization Report'!$A$4:$U$1800,13,FALSE)</f>
        <v>MOOE</v>
      </c>
      <c r="T338" s="428" t="str">
        <f>VLOOKUP(H338,'Fund Utilization Report'!$A$4:$U$1800,2,FALSE)</f>
        <v>GAA</v>
      </c>
      <c r="U338" s="428" t="str">
        <f>VLOOKUP(H338,'Fund Utilization Report'!$A$4:$U$1800,3,FALSE)</f>
        <v>FY2021, RA11518</v>
      </c>
      <c r="V338" s="428" t="str">
        <f>VLOOKUP(H338,'Fund Utilization Report'!$A$4:$U$1800,4,FALSE)</f>
        <v>OO1</v>
      </c>
      <c r="W338" s="428" t="str">
        <f>VLOOKUP(H338,'Fund Utilization Report'!$A$4:$U$1800,5,FALSE)</f>
        <v>01101101</v>
      </c>
      <c r="X338" s="428" t="str">
        <f>VLOOKUP(H338,'Fund Utilization Report'!$A$4:$U$1800,6,FALSE)</f>
        <v>GOP</v>
      </c>
      <c r="Y338" s="320" t="str">
        <f>VLOOKUP(H338,'Fund Utilization Report'!$A$4:$U$1800,7,FALSE)</f>
        <v>MOOE</v>
      </c>
      <c r="Z338" s="425">
        <f>VLOOKUP(H338,'Fund Utilization Report'!$A$4:$U$1800,8,FALSE)</f>
        <v>5020000000</v>
      </c>
      <c r="AA338" s="428" t="str">
        <f>VLOOKUP(H338,'Fund Utilization Report'!$A$4:$U$1800,14,FALSE)</f>
        <v>310100100002000</v>
      </c>
      <c r="AB338" s="349" t="str">
        <f>VLOOKUP(H338,'Fund Utilization Report'!$A$4:$U$1800,15,FALSE)</f>
        <v>Development,Facilitation, and promotion of exports and investment, domestic and foreign</v>
      </c>
      <c r="AC338" s="39"/>
      <c r="AD338" s="34"/>
      <c r="AE338" s="39"/>
      <c r="AF338" s="51"/>
      <c r="AG338" s="40"/>
      <c r="AH338" s="40"/>
    </row>
    <row r="339" spans="1:34" s="32" customFormat="1">
      <c r="A339" s="338" t="s">
        <v>942</v>
      </c>
      <c r="B339" s="338" t="s">
        <v>945</v>
      </c>
      <c r="C339" s="358">
        <v>44230</v>
      </c>
      <c r="D339" s="351" t="s">
        <v>1028</v>
      </c>
      <c r="E339" s="352" t="s">
        <v>1081</v>
      </c>
      <c r="F339" s="338">
        <v>0.63888888888888895</v>
      </c>
      <c r="G339" s="338">
        <v>0.63958333333333328</v>
      </c>
      <c r="H339" s="338" t="s">
        <v>971</v>
      </c>
      <c r="I339" s="353">
        <v>821</v>
      </c>
      <c r="J339" s="338" t="str">
        <f>IFERROR(VLOOKUP(I339,'Chart of accounts'!A:H,2,FALSE),"")</f>
        <v>50213050 02</v>
      </c>
      <c r="K339" s="338" t="str">
        <f>IFERROR(VLOOKUP(I339,'Chart of accounts'!A:H,3,FALSE),"")</f>
        <v>Office Equipment</v>
      </c>
      <c r="L339" s="338" t="str">
        <f>IFERROR(VLOOKUP(I339,'Chart of accounts'!A:H,4,FALSE),"")</f>
        <v>50213050 02 - Office Equipment (821)</v>
      </c>
      <c r="M339" s="361">
        <v>67</v>
      </c>
      <c r="N339" s="420" t="s">
        <v>822</v>
      </c>
      <c r="O339" s="420" t="s">
        <v>1074</v>
      </c>
      <c r="P339" s="420"/>
      <c r="Q339" s="420">
        <v>2766.67</v>
      </c>
      <c r="R339" s="428">
        <f t="shared" si="4"/>
        <v>-2766.67</v>
      </c>
      <c r="S339" s="428" t="str">
        <f>VLOOKUP(H339,'Fund Utilization Report'!$A$4:$U$1800,13,FALSE)</f>
        <v>MOOE</v>
      </c>
      <c r="T339" s="428" t="str">
        <f>VLOOKUP(H339,'Fund Utilization Report'!$A$4:$U$1800,2,FALSE)</f>
        <v>GAA</v>
      </c>
      <c r="U339" s="428" t="str">
        <f>VLOOKUP(H339,'Fund Utilization Report'!$A$4:$U$1800,3,FALSE)</f>
        <v>FY2021, RA11518</v>
      </c>
      <c r="V339" s="428" t="str">
        <f>VLOOKUP(H339,'Fund Utilization Report'!$A$4:$U$1800,4,FALSE)</f>
        <v>OO3</v>
      </c>
      <c r="W339" s="428" t="str">
        <f>VLOOKUP(H339,'Fund Utilization Report'!$A$4:$U$1800,5,FALSE)</f>
        <v>01101101</v>
      </c>
      <c r="X339" s="428" t="str">
        <f>VLOOKUP(H339,'Fund Utilization Report'!$A$4:$U$1800,6,FALSE)</f>
        <v>GOP</v>
      </c>
      <c r="Y339" s="320" t="str">
        <f>VLOOKUP(H339,'Fund Utilization Report'!$A$4:$U$1800,7,FALSE)</f>
        <v>MOOE</v>
      </c>
      <c r="Z339" s="425">
        <f>VLOOKUP(H339,'Fund Utilization Report'!$A$4:$U$1800,8,FALSE)</f>
        <v>5020000000</v>
      </c>
      <c r="AA339" s="428" t="str">
        <f>VLOOKUP(H339,'Fund Utilization Report'!$A$4:$U$1800,14,FALSE)</f>
        <v>330100100002000</v>
      </c>
      <c r="AB339" s="349" t="str">
        <f>VLOOKUP(H339,'Fund Utilization Report'!$A$4:$U$1800,15,FALSE)</f>
        <v>Implementation of the MSME Development Plan and other initiatives to promote the growth of Micro, Small and Medium Enterprises</v>
      </c>
      <c r="AC339" s="39"/>
      <c r="AD339" s="34"/>
      <c r="AE339" s="39"/>
      <c r="AF339" s="51"/>
      <c r="AG339" s="40"/>
      <c r="AH339" s="40"/>
    </row>
    <row r="340" spans="1:34" s="32" customFormat="1">
      <c r="A340" s="338" t="s">
        <v>942</v>
      </c>
      <c r="B340" s="338" t="s">
        <v>945</v>
      </c>
      <c r="C340" s="358">
        <v>44230</v>
      </c>
      <c r="D340" s="351" t="s">
        <v>1028</v>
      </c>
      <c r="E340" s="352" t="s">
        <v>1081</v>
      </c>
      <c r="F340" s="338">
        <v>0.63888888888888895</v>
      </c>
      <c r="G340" s="338">
        <v>0.63958333333333328</v>
      </c>
      <c r="H340" s="338" t="s">
        <v>968</v>
      </c>
      <c r="I340" s="353">
        <v>823</v>
      </c>
      <c r="J340" s="338" t="str">
        <f>IFERROR(VLOOKUP(I340,'Chart of accounts'!A:H,2,FALSE),"")</f>
        <v>50213050 03</v>
      </c>
      <c r="K340" s="338" t="str">
        <f>IFERROR(VLOOKUP(I340,'Chart of accounts'!A:H,3,FALSE),"")</f>
        <v>ICT Equipment</v>
      </c>
      <c r="L340" s="338" t="str">
        <f>IFERROR(VLOOKUP(I340,'Chart of accounts'!A:H,4,FALSE),"")</f>
        <v>50213050 03 - ICT Equipment (823)</v>
      </c>
      <c r="M340" s="361">
        <v>67</v>
      </c>
      <c r="N340" s="420" t="s">
        <v>822</v>
      </c>
      <c r="O340" s="420" t="s">
        <v>1074</v>
      </c>
      <c r="P340" s="420"/>
      <c r="Q340" s="420">
        <v>2766.67</v>
      </c>
      <c r="R340" s="428">
        <f t="shared" si="4"/>
        <v>-2766.67</v>
      </c>
      <c r="S340" s="428" t="str">
        <f>VLOOKUP(H340,'Fund Utilization Report'!$A$4:$U$1800,13,FALSE)</f>
        <v>MOOE</v>
      </c>
      <c r="T340" s="428" t="str">
        <f>VLOOKUP(H340,'Fund Utilization Report'!$A$4:$U$1800,2,FALSE)</f>
        <v>GAA</v>
      </c>
      <c r="U340" s="428" t="str">
        <f>VLOOKUP(H340,'Fund Utilization Report'!$A$4:$U$1800,3,FALSE)</f>
        <v>FY2021, RA11518</v>
      </c>
      <c r="V340" s="428" t="str">
        <f>VLOOKUP(H340,'Fund Utilization Report'!$A$4:$U$1800,4,FALSE)</f>
        <v>OO2</v>
      </c>
      <c r="W340" s="428" t="str">
        <f>VLOOKUP(H340,'Fund Utilization Report'!$A$4:$U$1800,5,FALSE)</f>
        <v>01101101</v>
      </c>
      <c r="X340" s="428" t="str">
        <f>VLOOKUP(H340,'Fund Utilization Report'!$A$4:$U$1800,6,FALSE)</f>
        <v>GOP</v>
      </c>
      <c r="Y340" s="320" t="str">
        <f>VLOOKUP(H340,'Fund Utilization Report'!$A$4:$U$1800,7,FALSE)</f>
        <v>MOOE</v>
      </c>
      <c r="Z340" s="425">
        <f>VLOOKUP(H340,'Fund Utilization Report'!$A$4:$U$1800,8,FALSE)</f>
        <v>5020000000</v>
      </c>
      <c r="AA340" s="428" t="str">
        <f>VLOOKUP(H340,'Fund Utilization Report'!$A$4:$U$1800,14,FALSE)</f>
        <v>320100100001000</v>
      </c>
      <c r="AB340" s="349" t="str">
        <f>VLOOKUP(H340,'Fund Utilization Report'!$A$4:$U$1800,15,FALSE)</f>
        <v>Formulation of Strategic plans,programs, and policies to develop competitve industries</v>
      </c>
      <c r="AC340" s="39"/>
      <c r="AD340" s="34"/>
      <c r="AE340" s="39"/>
      <c r="AF340" s="51"/>
      <c r="AG340" s="40"/>
      <c r="AH340" s="40"/>
    </row>
    <row r="341" spans="1:34" s="32" customFormat="1">
      <c r="A341" s="338" t="s">
        <v>942</v>
      </c>
      <c r="B341" s="338" t="s">
        <v>945</v>
      </c>
      <c r="C341" s="358">
        <v>44230</v>
      </c>
      <c r="D341" s="351" t="s">
        <v>1028</v>
      </c>
      <c r="E341" s="352" t="s">
        <v>1081</v>
      </c>
      <c r="F341" s="338">
        <v>0.63888888888888895</v>
      </c>
      <c r="G341" s="338">
        <v>0.63958333333333328</v>
      </c>
      <c r="H341" s="338" t="s">
        <v>968</v>
      </c>
      <c r="I341" s="353">
        <v>822</v>
      </c>
      <c r="J341" s="338" t="str">
        <f>IFERROR(VLOOKUP(I341,'Chart of accounts'!A:H,2,FALSE),"")</f>
        <v>50213070 00</v>
      </c>
      <c r="K341" s="338" t="str">
        <f>IFERROR(VLOOKUP(I341,'Chart of accounts'!A:H,3,FALSE),"")</f>
        <v>Furniture and Fixture</v>
      </c>
      <c r="L341" s="338" t="str">
        <f>IFERROR(VLOOKUP(I341,'Chart of accounts'!A:H,4,FALSE),"")</f>
        <v>50213070 00 - Furniture and Fixture (822)</v>
      </c>
      <c r="M341" s="361">
        <v>67</v>
      </c>
      <c r="N341" s="420" t="s">
        <v>822</v>
      </c>
      <c r="O341" s="420" t="s">
        <v>1074</v>
      </c>
      <c r="P341" s="420"/>
      <c r="Q341" s="420">
        <v>1383.33</v>
      </c>
      <c r="R341" s="428">
        <f t="shared" si="4"/>
        <v>-1383.33</v>
      </c>
      <c r="S341" s="428" t="str">
        <f>VLOOKUP(H341,'Fund Utilization Report'!$A$4:$U$1800,13,FALSE)</f>
        <v>MOOE</v>
      </c>
      <c r="T341" s="428" t="str">
        <f>VLOOKUP(H341,'Fund Utilization Report'!$A$4:$U$1800,2,FALSE)</f>
        <v>GAA</v>
      </c>
      <c r="U341" s="428" t="str">
        <f>VLOOKUP(H341,'Fund Utilization Report'!$A$4:$U$1800,3,FALSE)</f>
        <v>FY2021, RA11518</v>
      </c>
      <c r="V341" s="428" t="str">
        <f>VLOOKUP(H341,'Fund Utilization Report'!$A$4:$U$1800,4,FALSE)</f>
        <v>OO2</v>
      </c>
      <c r="W341" s="428" t="str">
        <f>VLOOKUP(H341,'Fund Utilization Report'!$A$4:$U$1800,5,FALSE)</f>
        <v>01101101</v>
      </c>
      <c r="X341" s="428" t="str">
        <f>VLOOKUP(H341,'Fund Utilization Report'!$A$4:$U$1800,6,FALSE)</f>
        <v>GOP</v>
      </c>
      <c r="Y341" s="320" t="str">
        <f>VLOOKUP(H341,'Fund Utilization Report'!$A$4:$U$1800,7,FALSE)</f>
        <v>MOOE</v>
      </c>
      <c r="Z341" s="425">
        <f>VLOOKUP(H341,'Fund Utilization Report'!$A$4:$U$1800,8,FALSE)</f>
        <v>5020000000</v>
      </c>
      <c r="AA341" s="428" t="str">
        <f>VLOOKUP(H341,'Fund Utilization Report'!$A$4:$U$1800,14,FALSE)</f>
        <v>320100100001000</v>
      </c>
      <c r="AB341" s="349" t="str">
        <f>VLOOKUP(H341,'Fund Utilization Report'!$A$4:$U$1800,15,FALSE)</f>
        <v>Formulation of Strategic plans,programs, and policies to develop competitve industries</v>
      </c>
      <c r="AC341" s="39"/>
      <c r="AD341" s="34"/>
      <c r="AE341" s="39"/>
      <c r="AF341" s="51"/>
      <c r="AG341" s="40"/>
      <c r="AH341" s="40"/>
    </row>
    <row r="342" spans="1:34" s="32" customFormat="1">
      <c r="A342" s="338" t="s">
        <v>942</v>
      </c>
      <c r="B342" s="338" t="s">
        <v>945</v>
      </c>
      <c r="C342" s="358">
        <v>44230</v>
      </c>
      <c r="D342" s="351" t="s">
        <v>1028</v>
      </c>
      <c r="E342" s="352" t="s">
        <v>1081</v>
      </c>
      <c r="F342" s="338">
        <v>0.63888888888888895</v>
      </c>
      <c r="G342" s="338">
        <v>0.63958333333333328</v>
      </c>
      <c r="H342" s="338" t="s">
        <v>961</v>
      </c>
      <c r="I342" s="353">
        <v>841</v>
      </c>
      <c r="J342" s="338" t="str">
        <f>IFERROR(VLOOKUP(I342,'Chart of accounts'!A:H,2,FALSE),"")</f>
        <v>50213060 01</v>
      </c>
      <c r="K342" s="338" t="str">
        <f>IFERROR(VLOOKUP(I342,'Chart of accounts'!A:H,3,FALSE),"")</f>
        <v>Motor Vehicles</v>
      </c>
      <c r="L342" s="338" t="str">
        <f>IFERROR(VLOOKUP(I342,'Chart of accounts'!A:H,4,FALSE),"")</f>
        <v>50213060 01 - Motor Vehicles (841)</v>
      </c>
      <c r="M342" s="361">
        <v>67</v>
      </c>
      <c r="N342" s="420" t="s">
        <v>822</v>
      </c>
      <c r="O342" s="420" t="s">
        <v>1074</v>
      </c>
      <c r="P342" s="420"/>
      <c r="Q342" s="420">
        <v>11066.67</v>
      </c>
      <c r="R342" s="428">
        <f t="shared" si="4"/>
        <v>-11066.67</v>
      </c>
      <c r="S342" s="428" t="str">
        <f>VLOOKUP(H342,'Fund Utilization Report'!$A$4:$U$1800,13,FALSE)</f>
        <v>MOOE</v>
      </c>
      <c r="T342" s="428" t="str">
        <f>VLOOKUP(H342,'Fund Utilization Report'!$A$4:$U$1800,2,FALSE)</f>
        <v>GAA</v>
      </c>
      <c r="U342" s="428" t="str">
        <f>VLOOKUP(H342,'Fund Utilization Report'!$A$4:$U$1800,3,FALSE)</f>
        <v>FY2021, RA11518</v>
      </c>
      <c r="V342" s="428" t="str">
        <f>VLOOKUP(H342,'Fund Utilization Report'!$A$4:$U$1800,4,FALSE)</f>
        <v>GAS(GMS)</v>
      </c>
      <c r="W342" s="428" t="str">
        <f>VLOOKUP(H342,'Fund Utilization Report'!$A$4:$U$1800,5,FALSE)</f>
        <v>01101101</v>
      </c>
      <c r="X342" s="428" t="str">
        <f>VLOOKUP(H342,'Fund Utilization Report'!$A$4:$U$1800,6,FALSE)</f>
        <v>GOP</v>
      </c>
      <c r="Y342" s="320" t="str">
        <f>VLOOKUP(H342,'Fund Utilization Report'!$A$4:$U$1800,7,FALSE)</f>
        <v>MOOE</v>
      </c>
      <c r="Z342" s="425">
        <f>VLOOKUP(H342,'Fund Utilization Report'!$A$4:$U$1800,8,FALSE)</f>
        <v>5020000000</v>
      </c>
      <c r="AA342" s="428" t="str">
        <f>VLOOKUP(H342,'Fund Utilization Report'!$A$4:$U$1800,14,FALSE)</f>
        <v>100000100001000</v>
      </c>
      <c r="AB342" s="349" t="str">
        <f>VLOOKUP(H342,'Fund Utilization Report'!$A$4:$U$1800,15,FALSE)</f>
        <v>General Administration and Supervision - General Management and Supervision</v>
      </c>
      <c r="AC342" s="39"/>
      <c r="AD342" s="34"/>
      <c r="AE342" s="39"/>
      <c r="AF342" s="51"/>
      <c r="AG342" s="40"/>
      <c r="AH342" s="40"/>
    </row>
    <row r="343" spans="1:34" s="32" customFormat="1">
      <c r="A343" s="338" t="s">
        <v>942</v>
      </c>
      <c r="B343" s="338" t="s">
        <v>945</v>
      </c>
      <c r="C343" s="358">
        <v>44230</v>
      </c>
      <c r="D343" s="351" t="s">
        <v>1028</v>
      </c>
      <c r="E343" s="352" t="s">
        <v>1081</v>
      </c>
      <c r="F343" s="338">
        <v>0.63888888888888895</v>
      </c>
      <c r="G343" s="338">
        <v>0.63958333333333328</v>
      </c>
      <c r="H343" s="338" t="s">
        <v>961</v>
      </c>
      <c r="I343" s="353">
        <v>891</v>
      </c>
      <c r="J343" s="338" t="str">
        <f>IFERROR(VLOOKUP(I343,'Chart of accounts'!A:H,2,FALSE),"")</f>
        <v>50215010 01</v>
      </c>
      <c r="K343" s="338" t="str">
        <f>IFERROR(VLOOKUP(I343,'Chart of accounts'!A:H,3,FALSE),"")</f>
        <v>Taxes, Duties and Licenses</v>
      </c>
      <c r="L343" s="338" t="str">
        <f>IFERROR(VLOOKUP(I343,'Chart of accounts'!A:H,4,FALSE),"")</f>
        <v>50215010 01 - Taxes, Duties and Licenses (891)</v>
      </c>
      <c r="M343" s="361">
        <v>67</v>
      </c>
      <c r="N343" s="420" t="s">
        <v>822</v>
      </c>
      <c r="O343" s="420" t="s">
        <v>1074</v>
      </c>
      <c r="P343" s="420"/>
      <c r="Q343" s="420">
        <v>691.67</v>
      </c>
      <c r="R343" s="428">
        <f t="shared" si="4"/>
        <v>-691.67</v>
      </c>
      <c r="S343" s="428" t="str">
        <f>VLOOKUP(H343,'Fund Utilization Report'!$A$4:$U$1800,13,FALSE)</f>
        <v>MOOE</v>
      </c>
      <c r="T343" s="428" t="str">
        <f>VLOOKUP(H343,'Fund Utilization Report'!$A$4:$U$1800,2,FALSE)</f>
        <v>GAA</v>
      </c>
      <c r="U343" s="428" t="str">
        <f>VLOOKUP(H343,'Fund Utilization Report'!$A$4:$U$1800,3,FALSE)</f>
        <v>FY2021, RA11518</v>
      </c>
      <c r="V343" s="428" t="str">
        <f>VLOOKUP(H343,'Fund Utilization Report'!$A$4:$U$1800,4,FALSE)</f>
        <v>GAS(GMS)</v>
      </c>
      <c r="W343" s="428" t="str">
        <f>VLOOKUP(H343,'Fund Utilization Report'!$A$4:$U$1800,5,FALSE)</f>
        <v>01101101</v>
      </c>
      <c r="X343" s="428" t="str">
        <f>VLOOKUP(H343,'Fund Utilization Report'!$A$4:$U$1800,6,FALSE)</f>
        <v>GOP</v>
      </c>
      <c r="Y343" s="320" t="str">
        <f>VLOOKUP(H343,'Fund Utilization Report'!$A$4:$U$1800,7,FALSE)</f>
        <v>MOOE</v>
      </c>
      <c r="Z343" s="425">
        <f>VLOOKUP(H343,'Fund Utilization Report'!$A$4:$U$1800,8,FALSE)</f>
        <v>5020000000</v>
      </c>
      <c r="AA343" s="428" t="str">
        <f>VLOOKUP(H343,'Fund Utilization Report'!$A$4:$U$1800,14,FALSE)</f>
        <v>100000100001000</v>
      </c>
      <c r="AB343" s="349" t="str">
        <f>VLOOKUP(H343,'Fund Utilization Report'!$A$4:$U$1800,15,FALSE)</f>
        <v>General Administration and Supervision - General Management and Supervision</v>
      </c>
      <c r="AC343" s="39"/>
      <c r="AD343" s="34"/>
      <c r="AE343" s="39"/>
      <c r="AF343" s="51"/>
      <c r="AG343" s="40"/>
      <c r="AH343" s="40"/>
    </row>
    <row r="344" spans="1:34" s="32" customFormat="1">
      <c r="A344" s="338" t="s">
        <v>942</v>
      </c>
      <c r="B344" s="338" t="s">
        <v>945</v>
      </c>
      <c r="C344" s="358">
        <v>44230</v>
      </c>
      <c r="D344" s="351" t="s">
        <v>1028</v>
      </c>
      <c r="E344" s="352" t="s">
        <v>1081</v>
      </c>
      <c r="F344" s="338">
        <v>0.63888888888888895</v>
      </c>
      <c r="G344" s="338">
        <v>0.63958333333333328</v>
      </c>
      <c r="H344" s="338" t="s">
        <v>961</v>
      </c>
      <c r="I344" s="353">
        <v>892</v>
      </c>
      <c r="J344" s="338" t="str">
        <f>IFERROR(VLOOKUP(I344,'Chart of accounts'!A:H,2,FALSE),"")</f>
        <v>50215020 00</v>
      </c>
      <c r="K344" s="338" t="str">
        <f>IFERROR(VLOOKUP(I344,'Chart of accounts'!A:H,3,FALSE),"")</f>
        <v>Fidelity Bond Premiums</v>
      </c>
      <c r="L344" s="338" t="str">
        <f>IFERROR(VLOOKUP(I344,'Chart of accounts'!A:H,4,FALSE),"")</f>
        <v>50215020 00 - Fidelity Bond Premiums (892)</v>
      </c>
      <c r="M344" s="361">
        <v>67</v>
      </c>
      <c r="N344" s="420" t="s">
        <v>822</v>
      </c>
      <c r="O344" s="420" t="s">
        <v>1074</v>
      </c>
      <c r="P344" s="420"/>
      <c r="Q344" s="420">
        <v>1383.33</v>
      </c>
      <c r="R344" s="428">
        <f t="shared" si="4"/>
        <v>-1383.33</v>
      </c>
      <c r="S344" s="428" t="str">
        <f>VLOOKUP(H344,'Fund Utilization Report'!$A$4:$U$1800,13,FALSE)</f>
        <v>MOOE</v>
      </c>
      <c r="T344" s="428" t="str">
        <f>VLOOKUP(H344,'Fund Utilization Report'!$A$4:$U$1800,2,FALSE)</f>
        <v>GAA</v>
      </c>
      <c r="U344" s="428" t="str">
        <f>VLOOKUP(H344,'Fund Utilization Report'!$A$4:$U$1800,3,FALSE)</f>
        <v>FY2021, RA11518</v>
      </c>
      <c r="V344" s="428" t="str">
        <f>VLOOKUP(H344,'Fund Utilization Report'!$A$4:$U$1800,4,FALSE)</f>
        <v>GAS(GMS)</v>
      </c>
      <c r="W344" s="428" t="str">
        <f>VLOOKUP(H344,'Fund Utilization Report'!$A$4:$U$1800,5,FALSE)</f>
        <v>01101101</v>
      </c>
      <c r="X344" s="428" t="str">
        <f>VLOOKUP(H344,'Fund Utilization Report'!$A$4:$U$1800,6,FALSE)</f>
        <v>GOP</v>
      </c>
      <c r="Y344" s="320" t="str">
        <f>VLOOKUP(H344,'Fund Utilization Report'!$A$4:$U$1800,7,FALSE)</f>
        <v>MOOE</v>
      </c>
      <c r="Z344" s="425">
        <f>VLOOKUP(H344,'Fund Utilization Report'!$A$4:$U$1800,8,FALSE)</f>
        <v>5020000000</v>
      </c>
      <c r="AA344" s="428" t="str">
        <f>VLOOKUP(H344,'Fund Utilization Report'!$A$4:$U$1800,14,FALSE)</f>
        <v>100000100001000</v>
      </c>
      <c r="AB344" s="349" t="str">
        <f>VLOOKUP(H344,'Fund Utilization Report'!$A$4:$U$1800,15,FALSE)</f>
        <v>General Administration and Supervision - General Management and Supervision</v>
      </c>
      <c r="AC344" s="39"/>
      <c r="AD344" s="34"/>
      <c r="AE344" s="39"/>
      <c r="AF344" s="51"/>
      <c r="AG344" s="40"/>
      <c r="AH344" s="40"/>
    </row>
    <row r="345" spans="1:34" s="32" customFormat="1">
      <c r="A345" s="338" t="s">
        <v>942</v>
      </c>
      <c r="B345" s="338" t="s">
        <v>945</v>
      </c>
      <c r="C345" s="358">
        <v>44230</v>
      </c>
      <c r="D345" s="351" t="s">
        <v>1028</v>
      </c>
      <c r="E345" s="352" t="s">
        <v>1081</v>
      </c>
      <c r="F345" s="338">
        <v>0.63888888888888895</v>
      </c>
      <c r="G345" s="338">
        <v>0.63958333333333328</v>
      </c>
      <c r="H345" s="338" t="s">
        <v>961</v>
      </c>
      <c r="I345" s="353">
        <v>893</v>
      </c>
      <c r="J345" s="338" t="str">
        <f>IFERROR(VLOOKUP(I345,'Chart of accounts'!A:H,2,FALSE),"")</f>
        <v>50215030 00</v>
      </c>
      <c r="K345" s="338" t="str">
        <f>IFERROR(VLOOKUP(I345,'Chart of accounts'!A:H,3,FALSE),"")</f>
        <v>Insurance Expense</v>
      </c>
      <c r="L345" s="338" t="str">
        <f>IFERROR(VLOOKUP(I345,'Chart of accounts'!A:H,4,FALSE),"")</f>
        <v>50215030 00 - Insurance Expense (893)</v>
      </c>
      <c r="M345" s="361">
        <v>67</v>
      </c>
      <c r="N345" s="420" t="s">
        <v>822</v>
      </c>
      <c r="O345" s="420" t="s">
        <v>1074</v>
      </c>
      <c r="P345" s="420"/>
      <c r="Q345" s="420">
        <v>3043.33</v>
      </c>
      <c r="R345" s="428">
        <f t="shared" si="4"/>
        <v>-3043.33</v>
      </c>
      <c r="S345" s="428" t="str">
        <f>VLOOKUP(H345,'Fund Utilization Report'!$A$4:$U$1800,13,FALSE)</f>
        <v>MOOE</v>
      </c>
      <c r="T345" s="428" t="str">
        <f>VLOOKUP(H345,'Fund Utilization Report'!$A$4:$U$1800,2,FALSE)</f>
        <v>GAA</v>
      </c>
      <c r="U345" s="428" t="str">
        <f>VLOOKUP(H345,'Fund Utilization Report'!$A$4:$U$1800,3,FALSE)</f>
        <v>FY2021, RA11518</v>
      </c>
      <c r="V345" s="428" t="str">
        <f>VLOOKUP(H345,'Fund Utilization Report'!$A$4:$U$1800,4,FALSE)</f>
        <v>GAS(GMS)</v>
      </c>
      <c r="W345" s="428" t="str">
        <f>VLOOKUP(H345,'Fund Utilization Report'!$A$4:$U$1800,5,FALSE)</f>
        <v>01101101</v>
      </c>
      <c r="X345" s="428" t="str">
        <f>VLOOKUP(H345,'Fund Utilization Report'!$A$4:$U$1800,6,FALSE)</f>
        <v>GOP</v>
      </c>
      <c r="Y345" s="320" t="str">
        <f>VLOOKUP(H345,'Fund Utilization Report'!$A$4:$U$1800,7,FALSE)</f>
        <v>MOOE</v>
      </c>
      <c r="Z345" s="425">
        <f>VLOOKUP(H345,'Fund Utilization Report'!$A$4:$U$1800,8,FALSE)</f>
        <v>5020000000</v>
      </c>
      <c r="AA345" s="428" t="str">
        <f>VLOOKUP(H345,'Fund Utilization Report'!$A$4:$U$1800,14,FALSE)</f>
        <v>100000100001000</v>
      </c>
      <c r="AB345" s="349" t="str">
        <f>VLOOKUP(H345,'Fund Utilization Report'!$A$4:$U$1800,15,FALSE)</f>
        <v>General Administration and Supervision - General Management and Supervision</v>
      </c>
      <c r="AC345" s="39"/>
      <c r="AD345" s="34"/>
      <c r="AE345" s="39"/>
      <c r="AF345" s="51"/>
      <c r="AG345" s="40"/>
      <c r="AH345" s="40"/>
    </row>
    <row r="346" spans="1:34" s="32" customFormat="1">
      <c r="A346" s="338" t="s">
        <v>942</v>
      </c>
      <c r="B346" s="338" t="s">
        <v>945</v>
      </c>
      <c r="C346" s="358">
        <v>44230</v>
      </c>
      <c r="D346" s="351" t="s">
        <v>1028</v>
      </c>
      <c r="E346" s="352" t="s">
        <v>1081</v>
      </c>
      <c r="F346" s="338">
        <v>0.63888888888888895</v>
      </c>
      <c r="G346" s="338">
        <v>0.63958333333333328</v>
      </c>
      <c r="H346" s="338" t="s">
        <v>961</v>
      </c>
      <c r="I346" s="353">
        <v>782</v>
      </c>
      <c r="J346" s="338" t="str">
        <f>IFERROR(VLOOKUP(I346,'Chart of accounts'!A:H,2,FALSE),"")</f>
        <v>50299050 01</v>
      </c>
      <c r="K346" s="338" t="str">
        <f>IFERROR(VLOOKUP(I346,'Chart of accounts'!A:H,3,FALSE),"")</f>
        <v>Rent - Buildings and Structures</v>
      </c>
      <c r="L346" s="338" t="str">
        <f>IFERROR(VLOOKUP(I346,'Chart of accounts'!A:H,4,FALSE),"")</f>
        <v>50299050 01 - Rent - Buildings and Structures (782)</v>
      </c>
      <c r="M346" s="361">
        <v>67</v>
      </c>
      <c r="N346" s="420" t="s">
        <v>822</v>
      </c>
      <c r="O346" s="420" t="s">
        <v>1074</v>
      </c>
      <c r="P346" s="420"/>
      <c r="Q346" s="420">
        <v>82446.67</v>
      </c>
      <c r="R346" s="428">
        <f t="shared" si="4"/>
        <v>-82446.67</v>
      </c>
      <c r="S346" s="428" t="str">
        <f>VLOOKUP(H346,'Fund Utilization Report'!$A$4:$U$1800,13,FALSE)</f>
        <v>MOOE</v>
      </c>
      <c r="T346" s="428" t="str">
        <f>VLOOKUP(H346,'Fund Utilization Report'!$A$4:$U$1800,2,FALSE)</f>
        <v>GAA</v>
      </c>
      <c r="U346" s="428" t="str">
        <f>VLOOKUP(H346,'Fund Utilization Report'!$A$4:$U$1800,3,FALSE)</f>
        <v>FY2021, RA11518</v>
      </c>
      <c r="V346" s="428" t="str">
        <f>VLOOKUP(H346,'Fund Utilization Report'!$A$4:$U$1800,4,FALSE)</f>
        <v>GAS(GMS)</v>
      </c>
      <c r="W346" s="428" t="str">
        <f>VLOOKUP(H346,'Fund Utilization Report'!$A$4:$U$1800,5,FALSE)</f>
        <v>01101101</v>
      </c>
      <c r="X346" s="428" t="str">
        <f>VLOOKUP(H346,'Fund Utilization Report'!$A$4:$U$1800,6,FALSE)</f>
        <v>GOP</v>
      </c>
      <c r="Y346" s="320" t="str">
        <f>VLOOKUP(H346,'Fund Utilization Report'!$A$4:$U$1800,7,FALSE)</f>
        <v>MOOE</v>
      </c>
      <c r="Z346" s="425">
        <f>VLOOKUP(H346,'Fund Utilization Report'!$A$4:$U$1800,8,FALSE)</f>
        <v>5020000000</v>
      </c>
      <c r="AA346" s="428" t="str">
        <f>VLOOKUP(H346,'Fund Utilization Report'!$A$4:$U$1800,14,FALSE)</f>
        <v>100000100001000</v>
      </c>
      <c r="AB346" s="349" t="str">
        <f>VLOOKUP(H346,'Fund Utilization Report'!$A$4:$U$1800,15,FALSE)</f>
        <v>General Administration and Supervision - General Management and Supervision</v>
      </c>
      <c r="AC346" s="39"/>
      <c r="AD346" s="34"/>
      <c r="AE346" s="39"/>
      <c r="AF346" s="51"/>
      <c r="AG346" s="40"/>
      <c r="AH346" s="40"/>
    </row>
    <row r="347" spans="1:34" s="32" customFormat="1">
      <c r="A347" s="338" t="s">
        <v>942</v>
      </c>
      <c r="B347" s="338" t="s">
        <v>945</v>
      </c>
      <c r="C347" s="358">
        <v>44230</v>
      </c>
      <c r="D347" s="351" t="s">
        <v>1028</v>
      </c>
      <c r="E347" s="352" t="s">
        <v>1081</v>
      </c>
      <c r="F347" s="338">
        <v>0.63888888888888895</v>
      </c>
      <c r="G347" s="338">
        <v>0.63958333333333328</v>
      </c>
      <c r="H347" s="338" t="s">
        <v>961</v>
      </c>
      <c r="I347" s="459">
        <v>786</v>
      </c>
      <c r="J347" s="458" t="str">
        <f>IFERROR(VLOOKUP(I347,'Chart of accounts'!A:H,2,FALSE),"")</f>
        <v>50299070 00</v>
      </c>
      <c r="K347" s="458" t="str">
        <f>IFERROR(VLOOKUP(I347,'Chart of accounts'!A:H,3,FALSE),"")</f>
        <v>Subscriptions Expenses</v>
      </c>
      <c r="L347" s="458" t="str">
        <f>IFERROR(VLOOKUP(I347,'Chart of accounts'!A:H,4,FALSE),"")</f>
        <v>50299070 00 - Subscriptions Expenses (786)</v>
      </c>
      <c r="M347" s="361">
        <v>67</v>
      </c>
      <c r="N347" s="420" t="s">
        <v>822</v>
      </c>
      <c r="O347" s="420" t="s">
        <v>1074</v>
      </c>
      <c r="P347" s="460"/>
      <c r="Q347" s="461">
        <v>1660</v>
      </c>
      <c r="R347" s="462">
        <f t="shared" si="4"/>
        <v>-1660</v>
      </c>
      <c r="S347" s="428" t="str">
        <f>VLOOKUP(H347,'Fund Utilization Report'!$A$4:$U$1800,13,FALSE)</f>
        <v>MOOE</v>
      </c>
      <c r="T347" s="428" t="str">
        <f>VLOOKUP(H347,'Fund Utilization Report'!$A$4:$U$1800,2,FALSE)</f>
        <v>GAA</v>
      </c>
      <c r="U347" s="428" t="str">
        <f>VLOOKUP(H347,'Fund Utilization Report'!$A$4:$U$1800,3,FALSE)</f>
        <v>FY2021, RA11518</v>
      </c>
      <c r="V347" s="428" t="str">
        <f>VLOOKUP(H347,'Fund Utilization Report'!$A$4:$U$1800,4,FALSE)</f>
        <v>GAS(GMS)</v>
      </c>
      <c r="W347" s="428" t="str">
        <f>VLOOKUP(H347,'Fund Utilization Report'!$A$4:$U$1800,5,FALSE)</f>
        <v>01101101</v>
      </c>
      <c r="X347" s="428" t="str">
        <f>VLOOKUP(H347,'Fund Utilization Report'!$A$4:$U$1800,6,FALSE)</f>
        <v>GOP</v>
      </c>
      <c r="Y347" s="320" t="str">
        <f>VLOOKUP(H347,'Fund Utilization Report'!$A$4:$U$1800,7,FALSE)</f>
        <v>MOOE</v>
      </c>
      <c r="Z347" s="425">
        <f>VLOOKUP(H347,'Fund Utilization Report'!$A$4:$U$1800,8,FALSE)</f>
        <v>5020000000</v>
      </c>
      <c r="AA347" s="428" t="str">
        <f>VLOOKUP(H347,'Fund Utilization Report'!$A$4:$U$1800,14,FALSE)</f>
        <v>100000100001000</v>
      </c>
      <c r="AB347" s="349" t="str">
        <f>VLOOKUP(H347,'Fund Utilization Report'!$A$4:$U$1800,15,FALSE)</f>
        <v>General Administration and Supervision - General Management and Supervision</v>
      </c>
      <c r="AC347" s="39"/>
      <c r="AD347" s="34"/>
      <c r="AE347" s="39"/>
      <c r="AF347" s="51"/>
      <c r="AG347" s="40"/>
      <c r="AH347" s="40"/>
    </row>
    <row r="348" spans="1:34" s="32" customFormat="1">
      <c r="A348" s="338" t="s">
        <v>942</v>
      </c>
      <c r="B348" s="338" t="s">
        <v>945</v>
      </c>
      <c r="C348" s="358">
        <v>44230</v>
      </c>
      <c r="D348" s="351" t="s">
        <v>1028</v>
      </c>
      <c r="E348" s="352" t="s">
        <v>1081</v>
      </c>
      <c r="F348" s="338">
        <v>0.63888888888888895</v>
      </c>
      <c r="G348" s="338">
        <v>0.63958333333333328</v>
      </c>
      <c r="H348" s="338" t="s">
        <v>961</v>
      </c>
      <c r="I348" s="353">
        <v>751</v>
      </c>
      <c r="J348" s="338" t="str">
        <f>IFERROR(VLOOKUP(I348,'Chart of accounts'!A:H,2,FALSE),"")</f>
        <v>50201010 00</v>
      </c>
      <c r="K348" s="338" t="str">
        <f>IFERROR(VLOOKUP(I348,'Chart of accounts'!A:H,3,FALSE),"")</f>
        <v>Traveling Expenses - Local</v>
      </c>
      <c r="L348" s="338" t="str">
        <f>IFERROR(VLOOKUP(I348,'Chart of accounts'!A:H,4,FALSE),"")</f>
        <v>50201010 00 - Traveling Expenses - Local (751)</v>
      </c>
      <c r="M348" s="361">
        <v>67</v>
      </c>
      <c r="N348" s="420" t="s">
        <v>822</v>
      </c>
      <c r="O348" s="420" t="s">
        <v>1074</v>
      </c>
      <c r="P348" s="420"/>
      <c r="Q348" s="420">
        <v>1383.33</v>
      </c>
      <c r="R348" s="428">
        <f t="shared" si="4"/>
        <v>-1383.33</v>
      </c>
      <c r="S348" s="428" t="str">
        <f>VLOOKUP(H348,'Fund Utilization Report'!$A$4:$U$1800,13,FALSE)</f>
        <v>MOOE</v>
      </c>
      <c r="T348" s="428" t="str">
        <f>VLOOKUP(H348,'Fund Utilization Report'!$A$4:$U$1800,2,FALSE)</f>
        <v>GAA</v>
      </c>
      <c r="U348" s="428" t="str">
        <f>VLOOKUP(H348,'Fund Utilization Report'!$A$4:$U$1800,3,FALSE)</f>
        <v>FY2021, RA11518</v>
      </c>
      <c r="V348" s="428" t="str">
        <f>VLOOKUP(H348,'Fund Utilization Report'!$A$4:$U$1800,4,FALSE)</f>
        <v>GAS(GMS)</v>
      </c>
      <c r="W348" s="428" t="str">
        <f>VLOOKUP(H348,'Fund Utilization Report'!$A$4:$U$1800,5,FALSE)</f>
        <v>01101101</v>
      </c>
      <c r="X348" s="428" t="str">
        <f>VLOOKUP(H348,'Fund Utilization Report'!$A$4:$U$1800,6,FALSE)</f>
        <v>GOP</v>
      </c>
      <c r="Y348" s="320" t="str">
        <f>VLOOKUP(H348,'Fund Utilization Report'!$A$4:$U$1800,7,FALSE)</f>
        <v>MOOE</v>
      </c>
      <c r="Z348" s="425">
        <f>VLOOKUP(H348,'Fund Utilization Report'!$A$4:$U$1800,8,FALSE)</f>
        <v>5020000000</v>
      </c>
      <c r="AA348" s="428" t="str">
        <f>VLOOKUP(H348,'Fund Utilization Report'!$A$4:$U$1800,14,FALSE)</f>
        <v>100000100001000</v>
      </c>
      <c r="AB348" s="349" t="str">
        <f>VLOOKUP(H348,'Fund Utilization Report'!$A$4:$U$1800,15,FALSE)</f>
        <v>General Administration and Supervision - General Management and Supervision</v>
      </c>
      <c r="AC348" s="39"/>
      <c r="AD348" s="34"/>
      <c r="AE348" s="39"/>
      <c r="AF348" s="51"/>
      <c r="AG348" s="40"/>
      <c r="AH348" s="40"/>
    </row>
    <row r="349" spans="1:34" s="32" customFormat="1">
      <c r="A349" s="338" t="s">
        <v>942</v>
      </c>
      <c r="B349" s="338" t="s">
        <v>945</v>
      </c>
      <c r="C349" s="358">
        <v>44230</v>
      </c>
      <c r="D349" s="351" t="s">
        <v>1028</v>
      </c>
      <c r="E349" s="352" t="s">
        <v>1081</v>
      </c>
      <c r="F349" s="338">
        <v>0.63888888888888895</v>
      </c>
      <c r="G349" s="338">
        <v>0.63958333333333328</v>
      </c>
      <c r="H349" s="338" t="s">
        <v>961</v>
      </c>
      <c r="I349" s="353">
        <v>755</v>
      </c>
      <c r="J349" s="338" t="str">
        <f>IFERROR(VLOOKUP(I349,'Chart of accounts'!A:H,2,FALSE),"")</f>
        <v>50203010 00</v>
      </c>
      <c r="K349" s="338" t="str">
        <f>IFERROR(VLOOKUP(I349,'Chart of accounts'!A:H,3,FALSE),"")</f>
        <v>Office Supplies Expenses</v>
      </c>
      <c r="L349" s="338" t="str">
        <f>IFERROR(VLOOKUP(I349,'Chart of accounts'!A:H,4,FALSE),"")</f>
        <v>50203010 00 - Office Supplies Expenses (755)</v>
      </c>
      <c r="M349" s="361">
        <v>67</v>
      </c>
      <c r="N349" s="420" t="s">
        <v>822</v>
      </c>
      <c r="O349" s="420" t="s">
        <v>1074</v>
      </c>
      <c r="P349" s="420"/>
      <c r="Q349" s="420">
        <v>6916.67</v>
      </c>
      <c r="R349" s="428">
        <f t="shared" si="4"/>
        <v>-6916.67</v>
      </c>
      <c r="S349" s="428" t="str">
        <f>VLOOKUP(H349,'Fund Utilization Report'!$A$4:$U$1800,13,FALSE)</f>
        <v>MOOE</v>
      </c>
      <c r="T349" s="428" t="str">
        <f>VLOOKUP(H349,'Fund Utilization Report'!$A$4:$U$1800,2,FALSE)</f>
        <v>GAA</v>
      </c>
      <c r="U349" s="428" t="str">
        <f>VLOOKUP(H349,'Fund Utilization Report'!$A$4:$U$1800,3,FALSE)</f>
        <v>FY2021, RA11518</v>
      </c>
      <c r="V349" s="428" t="str">
        <f>VLOOKUP(H349,'Fund Utilization Report'!$A$4:$U$1800,4,FALSE)</f>
        <v>GAS(GMS)</v>
      </c>
      <c r="W349" s="428" t="str">
        <f>VLOOKUP(H349,'Fund Utilization Report'!$A$4:$U$1800,5,FALSE)</f>
        <v>01101101</v>
      </c>
      <c r="X349" s="428" t="str">
        <f>VLOOKUP(H349,'Fund Utilization Report'!$A$4:$U$1800,6,FALSE)</f>
        <v>GOP</v>
      </c>
      <c r="Y349" s="320" t="str">
        <f>VLOOKUP(H349,'Fund Utilization Report'!$A$4:$U$1800,7,FALSE)</f>
        <v>MOOE</v>
      </c>
      <c r="Z349" s="425">
        <f>VLOOKUP(H349,'Fund Utilization Report'!$A$4:$U$1800,8,FALSE)</f>
        <v>5020000000</v>
      </c>
      <c r="AA349" s="428" t="str">
        <f>VLOOKUP(H349,'Fund Utilization Report'!$A$4:$U$1800,14,FALSE)</f>
        <v>100000100001000</v>
      </c>
      <c r="AB349" s="349" t="str">
        <f>VLOOKUP(H349,'Fund Utilization Report'!$A$4:$U$1800,15,FALSE)</f>
        <v>General Administration and Supervision - General Management and Supervision</v>
      </c>
      <c r="AC349" s="39"/>
      <c r="AD349" s="34"/>
      <c r="AE349" s="39"/>
      <c r="AF349" s="51"/>
      <c r="AG349" s="40"/>
      <c r="AH349" s="40"/>
    </row>
    <row r="350" spans="1:34" s="32" customFormat="1">
      <c r="A350" s="338" t="s">
        <v>942</v>
      </c>
      <c r="B350" s="338" t="s">
        <v>945</v>
      </c>
      <c r="C350" s="358">
        <v>44230</v>
      </c>
      <c r="D350" s="351" t="s">
        <v>1028</v>
      </c>
      <c r="E350" s="352" t="s">
        <v>1081</v>
      </c>
      <c r="F350" s="338">
        <v>0.63888888888888895</v>
      </c>
      <c r="G350" s="338">
        <v>0.63958333333333328</v>
      </c>
      <c r="H350" s="338" t="s">
        <v>961</v>
      </c>
      <c r="I350" s="353">
        <v>781</v>
      </c>
      <c r="J350" s="338" t="str">
        <f>IFERROR(VLOOKUP(I350,'Chart of accounts'!A:H,2,FALSE),"")</f>
        <v>50299020 00</v>
      </c>
      <c r="K350" s="338" t="str">
        <f>IFERROR(VLOOKUP(I350,'Chart of accounts'!A:H,3,FALSE),"")</f>
        <v>Printing and Binding Expenses</v>
      </c>
      <c r="L350" s="338" t="str">
        <f>IFERROR(VLOOKUP(I350,'Chart of accounts'!A:H,4,FALSE),"")</f>
        <v>50299020 00 - Printing and Binding Expenses (781)</v>
      </c>
      <c r="M350" s="361">
        <v>67</v>
      </c>
      <c r="N350" s="420" t="s">
        <v>822</v>
      </c>
      <c r="O350" s="420" t="s">
        <v>1074</v>
      </c>
      <c r="P350" s="420"/>
      <c r="Q350" s="420">
        <v>1383.33</v>
      </c>
      <c r="R350" s="428">
        <f t="shared" si="4"/>
        <v>-1383.33</v>
      </c>
      <c r="S350" s="428" t="str">
        <f>VLOOKUP(H350,'Fund Utilization Report'!$A$4:$U$1800,13,FALSE)</f>
        <v>MOOE</v>
      </c>
      <c r="T350" s="428" t="str">
        <f>VLOOKUP(H350,'Fund Utilization Report'!$A$4:$U$1800,2,FALSE)</f>
        <v>GAA</v>
      </c>
      <c r="U350" s="428" t="str">
        <f>VLOOKUP(H350,'Fund Utilization Report'!$A$4:$U$1800,3,FALSE)</f>
        <v>FY2021, RA11518</v>
      </c>
      <c r="V350" s="428" t="str">
        <f>VLOOKUP(H350,'Fund Utilization Report'!$A$4:$U$1800,4,FALSE)</f>
        <v>GAS(GMS)</v>
      </c>
      <c r="W350" s="428" t="str">
        <f>VLOOKUP(H350,'Fund Utilization Report'!$A$4:$U$1800,5,FALSE)</f>
        <v>01101101</v>
      </c>
      <c r="X350" s="428" t="str">
        <f>VLOOKUP(H350,'Fund Utilization Report'!$A$4:$U$1800,6,FALSE)</f>
        <v>GOP</v>
      </c>
      <c r="Y350" s="320" t="str">
        <f>VLOOKUP(H350,'Fund Utilization Report'!$A$4:$U$1800,7,FALSE)</f>
        <v>MOOE</v>
      </c>
      <c r="Z350" s="425">
        <f>VLOOKUP(H350,'Fund Utilization Report'!$A$4:$U$1800,8,FALSE)</f>
        <v>5020000000</v>
      </c>
      <c r="AA350" s="428" t="str">
        <f>VLOOKUP(H350,'Fund Utilization Report'!$A$4:$U$1800,14,FALSE)</f>
        <v>100000100001000</v>
      </c>
      <c r="AB350" s="349" t="str">
        <f>VLOOKUP(H350,'Fund Utilization Report'!$A$4:$U$1800,15,FALSE)</f>
        <v>General Administration and Supervision - General Management and Supervision</v>
      </c>
      <c r="AC350" s="39"/>
      <c r="AD350" s="34"/>
      <c r="AE350" s="39"/>
      <c r="AF350" s="51"/>
      <c r="AG350" s="40"/>
      <c r="AH350" s="40"/>
    </row>
    <row r="351" spans="1:34" s="32" customFormat="1">
      <c r="A351" s="338" t="s">
        <v>942</v>
      </c>
      <c r="B351" s="338" t="s">
        <v>945</v>
      </c>
      <c r="C351" s="358">
        <v>44230</v>
      </c>
      <c r="D351" s="351" t="s">
        <v>1028</v>
      </c>
      <c r="E351" s="352" t="s">
        <v>1081</v>
      </c>
      <c r="F351" s="338">
        <v>0.63888888888888895</v>
      </c>
      <c r="G351" s="338">
        <v>0.63958333333333328</v>
      </c>
      <c r="H351" s="338" t="s">
        <v>961</v>
      </c>
      <c r="I351" s="353">
        <v>783</v>
      </c>
      <c r="J351" s="338" t="str">
        <f>IFERROR(VLOOKUP(I351,'Chart of accounts'!A:H,2,FALSE),"")</f>
        <v>50299030 00</v>
      </c>
      <c r="K351" s="338" t="str">
        <f>IFERROR(VLOOKUP(I351,'Chart of accounts'!A:H,3,FALSE),"")</f>
        <v>Representation Expenses</v>
      </c>
      <c r="L351" s="338" t="str">
        <f>IFERROR(VLOOKUP(I351,'Chart of accounts'!A:H,4,FALSE),"")</f>
        <v>50299030 00 - Representation Expenses (783)</v>
      </c>
      <c r="M351" s="361">
        <v>67</v>
      </c>
      <c r="N351" s="420" t="s">
        <v>822</v>
      </c>
      <c r="O351" s="420" t="s">
        <v>1074</v>
      </c>
      <c r="P351" s="420"/>
      <c r="Q351" s="420">
        <v>3375.33</v>
      </c>
      <c r="R351" s="428">
        <f t="shared" si="4"/>
        <v>-3375.33</v>
      </c>
      <c r="S351" s="428" t="str">
        <f>VLOOKUP(H351,'Fund Utilization Report'!$A$4:$U$1800,13,FALSE)</f>
        <v>MOOE</v>
      </c>
      <c r="T351" s="428" t="str">
        <f>VLOOKUP(H351,'Fund Utilization Report'!$A$4:$U$1800,2,FALSE)</f>
        <v>GAA</v>
      </c>
      <c r="U351" s="428" t="str">
        <f>VLOOKUP(H351,'Fund Utilization Report'!$A$4:$U$1800,3,FALSE)</f>
        <v>FY2021, RA11518</v>
      </c>
      <c r="V351" s="428" t="str">
        <f>VLOOKUP(H351,'Fund Utilization Report'!$A$4:$U$1800,4,FALSE)</f>
        <v>GAS(GMS)</v>
      </c>
      <c r="W351" s="428" t="str">
        <f>VLOOKUP(H351,'Fund Utilization Report'!$A$4:$U$1800,5,FALSE)</f>
        <v>01101101</v>
      </c>
      <c r="X351" s="428" t="str">
        <f>VLOOKUP(H351,'Fund Utilization Report'!$A$4:$U$1800,6,FALSE)</f>
        <v>GOP</v>
      </c>
      <c r="Y351" s="320" t="str">
        <f>VLOOKUP(H351,'Fund Utilization Report'!$A$4:$U$1800,7,FALSE)</f>
        <v>MOOE</v>
      </c>
      <c r="Z351" s="425">
        <f>VLOOKUP(H351,'Fund Utilization Report'!$A$4:$U$1800,8,FALSE)</f>
        <v>5020000000</v>
      </c>
      <c r="AA351" s="428" t="str">
        <f>VLOOKUP(H351,'Fund Utilization Report'!$A$4:$U$1800,14,FALSE)</f>
        <v>100000100001000</v>
      </c>
      <c r="AB351" s="349" t="str">
        <f>VLOOKUP(H351,'Fund Utilization Report'!$A$4:$U$1800,15,FALSE)</f>
        <v>General Administration and Supervision - General Management and Supervision</v>
      </c>
      <c r="AC351" s="39"/>
      <c r="AD351" s="34"/>
      <c r="AE351" s="39"/>
      <c r="AF351" s="51"/>
      <c r="AG351" s="40"/>
      <c r="AH351" s="40"/>
    </row>
    <row r="352" spans="1:34" s="32" customFormat="1">
      <c r="A352" s="338" t="s">
        <v>942</v>
      </c>
      <c r="B352" s="338" t="s">
        <v>945</v>
      </c>
      <c r="C352" s="358">
        <v>44230</v>
      </c>
      <c r="D352" s="351" t="s">
        <v>1028</v>
      </c>
      <c r="E352" s="352" t="s">
        <v>1081</v>
      </c>
      <c r="F352" s="338">
        <v>0.63888888888888895</v>
      </c>
      <c r="G352" s="338">
        <v>0.63958333333333328</v>
      </c>
      <c r="H352" s="338" t="s">
        <v>968</v>
      </c>
      <c r="I352" s="353">
        <v>784</v>
      </c>
      <c r="J352" s="338" t="str">
        <f>IFERROR(VLOOKUP(I352,'Chart of accounts'!A:H,2,FALSE),"")</f>
        <v>50299040 00</v>
      </c>
      <c r="K352" s="338" t="str">
        <f>IFERROR(VLOOKUP(I352,'Chart of accounts'!A:H,3,FALSE),"")</f>
        <v>Transportation and Delivery Expenses</v>
      </c>
      <c r="L352" s="338" t="str">
        <f>IFERROR(VLOOKUP(I352,'Chart of accounts'!A:H,4,FALSE),"")</f>
        <v>50299040 00 - Transportation and Delivery Expenses (784)</v>
      </c>
      <c r="M352" s="361">
        <v>67</v>
      </c>
      <c r="N352" s="420" t="s">
        <v>822</v>
      </c>
      <c r="O352" s="420" t="s">
        <v>1074</v>
      </c>
      <c r="P352" s="420"/>
      <c r="Q352" s="420">
        <v>3320</v>
      </c>
      <c r="R352" s="428">
        <f t="shared" si="4"/>
        <v>-3320</v>
      </c>
      <c r="S352" s="428" t="str">
        <f>VLOOKUP(H352,'Fund Utilization Report'!$A$4:$U$1800,13,FALSE)</f>
        <v>MOOE</v>
      </c>
      <c r="T352" s="428" t="str">
        <f>VLOOKUP(H352,'Fund Utilization Report'!$A$4:$U$1800,2,FALSE)</f>
        <v>GAA</v>
      </c>
      <c r="U352" s="428" t="str">
        <f>VLOOKUP(H352,'Fund Utilization Report'!$A$4:$U$1800,3,FALSE)</f>
        <v>FY2021, RA11518</v>
      </c>
      <c r="V352" s="428" t="str">
        <f>VLOOKUP(H352,'Fund Utilization Report'!$A$4:$U$1800,4,FALSE)</f>
        <v>OO2</v>
      </c>
      <c r="W352" s="428" t="str">
        <f>VLOOKUP(H352,'Fund Utilization Report'!$A$4:$U$1800,5,FALSE)</f>
        <v>01101101</v>
      </c>
      <c r="X352" s="428" t="str">
        <f>VLOOKUP(H352,'Fund Utilization Report'!$A$4:$U$1800,6,FALSE)</f>
        <v>GOP</v>
      </c>
      <c r="Y352" s="320" t="str">
        <f>VLOOKUP(H352,'Fund Utilization Report'!$A$4:$U$1800,7,FALSE)</f>
        <v>MOOE</v>
      </c>
      <c r="Z352" s="425">
        <f>VLOOKUP(H352,'Fund Utilization Report'!$A$4:$U$1800,8,FALSE)</f>
        <v>5020000000</v>
      </c>
      <c r="AA352" s="428" t="str">
        <f>VLOOKUP(H352,'Fund Utilization Report'!$A$4:$U$1800,14,FALSE)</f>
        <v>320100100001000</v>
      </c>
      <c r="AB352" s="349" t="str">
        <f>VLOOKUP(H352,'Fund Utilization Report'!$A$4:$U$1800,15,FALSE)</f>
        <v>Formulation of Strategic plans,programs, and policies to develop competitve industries</v>
      </c>
      <c r="AC352" s="39"/>
      <c r="AD352" s="34"/>
      <c r="AE352" s="39"/>
      <c r="AF352" s="51"/>
      <c r="AG352" s="40"/>
      <c r="AH352" s="40"/>
    </row>
    <row r="353" spans="1:34" s="32" customFormat="1">
      <c r="A353" s="338" t="s">
        <v>942</v>
      </c>
      <c r="B353" s="338" t="s">
        <v>945</v>
      </c>
      <c r="C353" s="358">
        <v>44230</v>
      </c>
      <c r="D353" s="351" t="s">
        <v>1028</v>
      </c>
      <c r="E353" s="352" t="s">
        <v>1081</v>
      </c>
      <c r="F353" s="338">
        <v>0.63888888888888895</v>
      </c>
      <c r="G353" s="338">
        <v>0.63958333333333328</v>
      </c>
      <c r="H353" s="338" t="s">
        <v>961</v>
      </c>
      <c r="I353" s="353">
        <v>969</v>
      </c>
      <c r="J353" s="338" t="str">
        <f>IFERROR(VLOOKUP(I353,'Chart of accounts'!A:H,2,FALSE),"")</f>
        <v>50299990 99</v>
      </c>
      <c r="K353" s="338" t="str">
        <f>IFERROR(VLOOKUP(I353,'Chart of accounts'!A:H,3,FALSE),"")</f>
        <v>Other Maintenance and Operating Expenses</v>
      </c>
      <c r="L353" s="338" t="str">
        <f>IFERROR(VLOOKUP(I353,'Chart of accounts'!A:H,4,FALSE),"")</f>
        <v>50299990 99 - Other Maintenance and Operating Expenses (969)</v>
      </c>
      <c r="M353" s="361">
        <v>67</v>
      </c>
      <c r="N353" s="420" t="s">
        <v>822</v>
      </c>
      <c r="O353" s="420" t="s">
        <v>1074</v>
      </c>
      <c r="P353" s="420"/>
      <c r="Q353" s="420">
        <v>8468.65</v>
      </c>
      <c r="R353" s="428">
        <f t="shared" si="4"/>
        <v>-8468.65</v>
      </c>
      <c r="S353" s="428" t="str">
        <f>VLOOKUP(H353,'Fund Utilization Report'!$A$4:$U$1800,13,FALSE)</f>
        <v>MOOE</v>
      </c>
      <c r="T353" s="428" t="str">
        <f>VLOOKUP(H353,'Fund Utilization Report'!$A$4:$U$1800,2,FALSE)</f>
        <v>GAA</v>
      </c>
      <c r="U353" s="428" t="str">
        <f>VLOOKUP(H353,'Fund Utilization Report'!$A$4:$U$1800,3,FALSE)</f>
        <v>FY2021, RA11518</v>
      </c>
      <c r="V353" s="428" t="str">
        <f>VLOOKUP(H353,'Fund Utilization Report'!$A$4:$U$1800,4,FALSE)</f>
        <v>GAS(GMS)</v>
      </c>
      <c r="W353" s="428" t="str">
        <f>VLOOKUP(H353,'Fund Utilization Report'!$A$4:$U$1800,5,FALSE)</f>
        <v>01101101</v>
      </c>
      <c r="X353" s="428" t="str">
        <f>VLOOKUP(H353,'Fund Utilization Report'!$A$4:$U$1800,6,FALSE)</f>
        <v>GOP</v>
      </c>
      <c r="Y353" s="320" t="str">
        <f>VLOOKUP(H353,'Fund Utilization Report'!$A$4:$U$1800,7,FALSE)</f>
        <v>MOOE</v>
      </c>
      <c r="Z353" s="425">
        <f>VLOOKUP(H353,'Fund Utilization Report'!$A$4:$U$1800,8,FALSE)</f>
        <v>5020000000</v>
      </c>
      <c r="AA353" s="428" t="str">
        <f>VLOOKUP(H353,'Fund Utilization Report'!$A$4:$U$1800,14,FALSE)</f>
        <v>100000100001000</v>
      </c>
      <c r="AB353" s="349" t="str">
        <f>VLOOKUP(H353,'Fund Utilization Report'!$A$4:$U$1800,15,FALSE)</f>
        <v>General Administration and Supervision - General Management and Supervision</v>
      </c>
      <c r="AC353" s="39"/>
      <c r="AD353" s="34"/>
      <c r="AE353" s="39"/>
      <c r="AF353" s="51"/>
      <c r="AG353" s="40"/>
      <c r="AH353" s="40"/>
    </row>
    <row r="354" spans="1:34" s="32" customFormat="1">
      <c r="A354" s="338" t="s">
        <v>942</v>
      </c>
      <c r="B354" s="338" t="s">
        <v>945</v>
      </c>
      <c r="C354" s="358">
        <v>44230</v>
      </c>
      <c r="D354" s="351" t="s">
        <v>1028</v>
      </c>
      <c r="E354" s="352" t="s">
        <v>1082</v>
      </c>
      <c r="F354" s="338">
        <v>0.63958333333333328</v>
      </c>
      <c r="G354" s="338">
        <v>0.64166666666666672</v>
      </c>
      <c r="H354" s="338" t="s">
        <v>961</v>
      </c>
      <c r="I354" s="353">
        <v>756</v>
      </c>
      <c r="J354" s="338" t="str">
        <f>IFERROR(VLOOKUP(I354,'Chart of accounts'!A:H,2,FALSE),"")</f>
        <v>50203020 00</v>
      </c>
      <c r="K354" s="338" t="str">
        <f>IFERROR(VLOOKUP(I354,'Chart of accounts'!A:H,3,FALSE),"")</f>
        <v xml:space="preserve">Accountable Forms Expenses </v>
      </c>
      <c r="L354" s="338" t="str">
        <f>IFERROR(VLOOKUP(I354,'Chart of accounts'!A:H,4,FALSE),"")</f>
        <v>50203020 00 - Accountable Forms Expenses  (756)</v>
      </c>
      <c r="M354" s="361">
        <v>85</v>
      </c>
      <c r="N354" s="420" t="s">
        <v>823</v>
      </c>
      <c r="O354" s="420" t="s">
        <v>1074</v>
      </c>
      <c r="P354" s="420"/>
      <c r="Q354" s="420">
        <v>996</v>
      </c>
      <c r="R354" s="319">
        <f t="shared" si="4"/>
        <v>-996</v>
      </c>
      <c r="S354" s="428" t="str">
        <f>VLOOKUP(H354,'Fund Utilization Report'!$A$4:$U$1800,13,FALSE)</f>
        <v>MOOE</v>
      </c>
      <c r="T354" s="428" t="str">
        <f>VLOOKUP(H354,'Fund Utilization Report'!$A$4:$U$1800,2,FALSE)</f>
        <v>GAA</v>
      </c>
      <c r="U354" s="428" t="str">
        <f>VLOOKUP(H354,'Fund Utilization Report'!$A$4:$U$1800,3,FALSE)</f>
        <v>FY2021, RA11518</v>
      </c>
      <c r="V354" s="428" t="str">
        <f>VLOOKUP(H354,'Fund Utilization Report'!$A$4:$U$1800,4,FALSE)</f>
        <v>GAS(GMS)</v>
      </c>
      <c r="W354" s="428" t="str">
        <f>VLOOKUP(H354,'Fund Utilization Report'!$A$4:$U$1800,5,FALSE)</f>
        <v>01101101</v>
      </c>
      <c r="X354" s="428" t="str">
        <f>VLOOKUP(H354,'Fund Utilization Report'!$A$4:$U$1800,6,FALSE)</f>
        <v>GOP</v>
      </c>
      <c r="Y354" s="320" t="str">
        <f>VLOOKUP(H354,'Fund Utilization Report'!$A$4:$U$1800,7,FALSE)</f>
        <v>MOOE</v>
      </c>
      <c r="Z354" s="425">
        <f>VLOOKUP(H354,'Fund Utilization Report'!$A$4:$U$1800,8,FALSE)</f>
        <v>5020000000</v>
      </c>
      <c r="AA354" s="428" t="str">
        <f>VLOOKUP(H354,'Fund Utilization Report'!$A$4:$U$1800,14,FALSE)</f>
        <v>100000100001000</v>
      </c>
      <c r="AB354" s="349" t="str">
        <f>VLOOKUP(H354,'Fund Utilization Report'!$A$4:$U$1800,15,FALSE)</f>
        <v>General Administration and Supervision - General Management and Supervision</v>
      </c>
      <c r="AC354" s="39"/>
      <c r="AD354" s="34"/>
      <c r="AE354" s="39"/>
      <c r="AF354" s="51"/>
      <c r="AG354" s="40"/>
      <c r="AH354" s="40"/>
    </row>
    <row r="355" spans="1:34" s="32" customFormat="1">
      <c r="A355" s="338" t="s">
        <v>942</v>
      </c>
      <c r="B355" s="338" t="s">
        <v>945</v>
      </c>
      <c r="C355" s="358">
        <v>44230</v>
      </c>
      <c r="D355" s="351" t="s">
        <v>1028</v>
      </c>
      <c r="E355" s="352" t="s">
        <v>1082</v>
      </c>
      <c r="F355" s="338">
        <v>0.63958333333333328</v>
      </c>
      <c r="G355" s="338">
        <v>0.64166666666666672</v>
      </c>
      <c r="H355" s="338" t="s">
        <v>961</v>
      </c>
      <c r="I355" s="353">
        <v>753</v>
      </c>
      <c r="J355" s="338" t="str">
        <f>IFERROR(VLOOKUP(I355,'Chart of accounts'!A:H,2,FALSE),"")</f>
        <v>50202010 00</v>
      </c>
      <c r="K355" s="338" t="str">
        <f>IFERROR(VLOOKUP(I355,'Chart of accounts'!A:H,3,FALSE),"")</f>
        <v>Training Expenses</v>
      </c>
      <c r="L355" s="338" t="str">
        <f>IFERROR(VLOOKUP(I355,'Chart of accounts'!A:H,4,FALSE),"")</f>
        <v>50202010 00 - Training Expenses (753)</v>
      </c>
      <c r="M355" s="361">
        <v>85</v>
      </c>
      <c r="N355" s="420" t="s">
        <v>823</v>
      </c>
      <c r="O355" s="420" t="s">
        <v>1074</v>
      </c>
      <c r="P355" s="420"/>
      <c r="Q355" s="420">
        <v>7470</v>
      </c>
      <c r="R355" s="428">
        <f t="shared" si="4"/>
        <v>-7470</v>
      </c>
      <c r="S355" s="428" t="str">
        <f>VLOOKUP(H355,'Fund Utilization Report'!$A$4:$U$1800,13,FALSE)</f>
        <v>MOOE</v>
      </c>
      <c r="T355" s="428" t="str">
        <f>VLOOKUP(H355,'Fund Utilization Report'!$A$4:$U$1800,2,FALSE)</f>
        <v>GAA</v>
      </c>
      <c r="U355" s="428" t="str">
        <f>VLOOKUP(H355,'Fund Utilization Report'!$A$4:$U$1800,3,FALSE)</f>
        <v>FY2021, RA11518</v>
      </c>
      <c r="V355" s="428" t="str">
        <f>VLOOKUP(H355,'Fund Utilization Report'!$A$4:$U$1800,4,FALSE)</f>
        <v>GAS(GMS)</v>
      </c>
      <c r="W355" s="428" t="str">
        <f>VLOOKUP(H355,'Fund Utilization Report'!$A$4:$U$1800,5,FALSE)</f>
        <v>01101101</v>
      </c>
      <c r="X355" s="428" t="str">
        <f>VLOOKUP(H355,'Fund Utilization Report'!$A$4:$U$1800,6,FALSE)</f>
        <v>GOP</v>
      </c>
      <c r="Y355" s="320" t="str">
        <f>VLOOKUP(H355,'Fund Utilization Report'!$A$4:$U$1800,7,FALSE)</f>
        <v>MOOE</v>
      </c>
      <c r="Z355" s="425">
        <f>VLOOKUP(H355,'Fund Utilization Report'!$A$4:$U$1800,8,FALSE)</f>
        <v>5020000000</v>
      </c>
      <c r="AA355" s="428" t="str">
        <f>VLOOKUP(H355,'Fund Utilization Report'!$A$4:$U$1800,14,FALSE)</f>
        <v>100000100001000</v>
      </c>
      <c r="AB355" s="349" t="str">
        <f>VLOOKUP(H355,'Fund Utilization Report'!$A$4:$U$1800,15,FALSE)</f>
        <v>General Administration and Supervision - General Management and Supervision</v>
      </c>
      <c r="AC355" s="39"/>
      <c r="AD355" s="34"/>
      <c r="AE355" s="39"/>
      <c r="AF355" s="51"/>
      <c r="AG355" s="40"/>
      <c r="AH355" s="40"/>
    </row>
    <row r="356" spans="1:34" s="32" customFormat="1">
      <c r="A356" s="338" t="s">
        <v>942</v>
      </c>
      <c r="B356" s="338" t="s">
        <v>945</v>
      </c>
      <c r="C356" s="358">
        <v>44230</v>
      </c>
      <c r="D356" s="351" t="s">
        <v>1028</v>
      </c>
      <c r="E356" s="352" t="s">
        <v>1082</v>
      </c>
      <c r="F356" s="338">
        <v>0.63958333333333328</v>
      </c>
      <c r="G356" s="338">
        <v>0.64166666666666672</v>
      </c>
      <c r="H356" s="338" t="s">
        <v>961</v>
      </c>
      <c r="I356" s="353">
        <v>761</v>
      </c>
      <c r="J356" s="338" t="str">
        <f>IFERROR(VLOOKUP(I356,'Chart of accounts'!A:H,2,FALSE),"")</f>
        <v>50203090 00</v>
      </c>
      <c r="K356" s="338" t="str">
        <f>IFERROR(VLOOKUP(I356,'Chart of accounts'!A:H,3,FALSE),"")</f>
        <v>Fuel, Oil and Lubricants Expenses</v>
      </c>
      <c r="L356" s="338" t="str">
        <f>IFERROR(VLOOKUP(I356,'Chart of accounts'!A:H,4,FALSE),"")</f>
        <v>50203090 00 - Fuel, Oil and Lubricants Expenses (761)</v>
      </c>
      <c r="M356" s="361">
        <v>85</v>
      </c>
      <c r="N356" s="420" t="s">
        <v>823</v>
      </c>
      <c r="O356" s="420" t="s">
        <v>1074</v>
      </c>
      <c r="P356" s="420"/>
      <c r="Q356" s="420">
        <v>4150</v>
      </c>
      <c r="R356" s="428">
        <f t="shared" si="4"/>
        <v>-4150</v>
      </c>
      <c r="S356" s="428" t="str">
        <f>VLOOKUP(H356,'Fund Utilization Report'!$A$4:$U$1800,13,FALSE)</f>
        <v>MOOE</v>
      </c>
      <c r="T356" s="428" t="str">
        <f>VLOOKUP(H356,'Fund Utilization Report'!$A$4:$U$1800,2,FALSE)</f>
        <v>GAA</v>
      </c>
      <c r="U356" s="428" t="str">
        <f>VLOOKUP(H356,'Fund Utilization Report'!$A$4:$U$1800,3,FALSE)</f>
        <v>FY2021, RA11518</v>
      </c>
      <c r="V356" s="428" t="str">
        <f>VLOOKUP(H356,'Fund Utilization Report'!$A$4:$U$1800,4,FALSE)</f>
        <v>GAS(GMS)</v>
      </c>
      <c r="W356" s="428" t="str">
        <f>VLOOKUP(H356,'Fund Utilization Report'!$A$4:$U$1800,5,FALSE)</f>
        <v>01101101</v>
      </c>
      <c r="X356" s="428" t="str">
        <f>VLOOKUP(H356,'Fund Utilization Report'!$A$4:$U$1800,6,FALSE)</f>
        <v>GOP</v>
      </c>
      <c r="Y356" s="320" t="str">
        <f>VLOOKUP(H356,'Fund Utilization Report'!$A$4:$U$1800,7,FALSE)</f>
        <v>MOOE</v>
      </c>
      <c r="Z356" s="425">
        <f>VLOOKUP(H356,'Fund Utilization Report'!$A$4:$U$1800,8,FALSE)</f>
        <v>5020000000</v>
      </c>
      <c r="AA356" s="428" t="str">
        <f>VLOOKUP(H356,'Fund Utilization Report'!$A$4:$U$1800,14,FALSE)</f>
        <v>100000100001000</v>
      </c>
      <c r="AB356" s="349" t="str">
        <f>VLOOKUP(H356,'Fund Utilization Report'!$A$4:$U$1800,15,FALSE)</f>
        <v>General Administration and Supervision - General Management and Supervision</v>
      </c>
      <c r="AC356" s="39"/>
      <c r="AD356" s="34"/>
      <c r="AE356" s="39"/>
      <c r="AF356" s="51"/>
      <c r="AG356" s="40"/>
      <c r="AH356" s="40"/>
    </row>
    <row r="357" spans="1:34" s="32" customFormat="1">
      <c r="A357" s="338" t="s">
        <v>942</v>
      </c>
      <c r="B357" s="338" t="s">
        <v>945</v>
      </c>
      <c r="C357" s="358">
        <v>44230</v>
      </c>
      <c r="D357" s="351" t="s">
        <v>1028</v>
      </c>
      <c r="E357" s="352" t="s">
        <v>1082</v>
      </c>
      <c r="F357" s="338">
        <v>0.63958333333333328</v>
      </c>
      <c r="G357" s="338">
        <v>0.64166666666666672</v>
      </c>
      <c r="H357" s="338" t="s">
        <v>961</v>
      </c>
      <c r="I357" s="353">
        <v>766</v>
      </c>
      <c r="J357" s="338" t="str">
        <f>IFERROR(VLOOKUP(I357,'Chart of accounts'!A:H,2,FALSE),"")</f>
        <v>50204010 00</v>
      </c>
      <c r="K357" s="338" t="str">
        <f>IFERROR(VLOOKUP(I357,'Chart of accounts'!A:H,3,FALSE),"")</f>
        <v>Water Expenses</v>
      </c>
      <c r="L357" s="338" t="str">
        <f>IFERROR(VLOOKUP(I357,'Chart of accounts'!A:H,4,FALSE),"")</f>
        <v>50204010 00 - Water Expenses (766)</v>
      </c>
      <c r="M357" s="361">
        <v>85</v>
      </c>
      <c r="N357" s="420" t="s">
        <v>823</v>
      </c>
      <c r="O357" s="420" t="s">
        <v>1074</v>
      </c>
      <c r="P357" s="420"/>
      <c r="Q357" s="420">
        <v>1660</v>
      </c>
      <c r="R357" s="428">
        <f t="shared" si="4"/>
        <v>-1660</v>
      </c>
      <c r="S357" s="428" t="str">
        <f>VLOOKUP(H357,'Fund Utilization Report'!$A$4:$U$1800,13,FALSE)</f>
        <v>MOOE</v>
      </c>
      <c r="T357" s="428" t="str">
        <f>VLOOKUP(H357,'Fund Utilization Report'!$A$4:$U$1800,2,FALSE)</f>
        <v>GAA</v>
      </c>
      <c r="U357" s="428" t="str">
        <f>VLOOKUP(H357,'Fund Utilization Report'!$A$4:$U$1800,3,FALSE)</f>
        <v>FY2021, RA11518</v>
      </c>
      <c r="V357" s="428" t="str">
        <f>VLOOKUP(H357,'Fund Utilization Report'!$A$4:$U$1800,4,FALSE)</f>
        <v>GAS(GMS)</v>
      </c>
      <c r="W357" s="428" t="str">
        <f>VLOOKUP(H357,'Fund Utilization Report'!$A$4:$U$1800,5,FALSE)</f>
        <v>01101101</v>
      </c>
      <c r="X357" s="428" t="str">
        <f>VLOOKUP(H357,'Fund Utilization Report'!$A$4:$U$1800,6,FALSE)</f>
        <v>GOP</v>
      </c>
      <c r="Y357" s="320" t="str">
        <f>VLOOKUP(H357,'Fund Utilization Report'!$A$4:$U$1800,7,FALSE)</f>
        <v>MOOE</v>
      </c>
      <c r="Z357" s="425">
        <f>VLOOKUP(H357,'Fund Utilization Report'!$A$4:$U$1800,8,FALSE)</f>
        <v>5020000000</v>
      </c>
      <c r="AA357" s="428" t="str">
        <f>VLOOKUP(H357,'Fund Utilization Report'!$A$4:$U$1800,14,FALSE)</f>
        <v>100000100001000</v>
      </c>
      <c r="AB357" s="349" t="str">
        <f>VLOOKUP(H357,'Fund Utilization Report'!$A$4:$U$1800,15,FALSE)</f>
        <v>General Administration and Supervision - General Management and Supervision</v>
      </c>
      <c r="AC357" s="39"/>
      <c r="AD357" s="34"/>
      <c r="AE357" s="39"/>
      <c r="AF357" s="51"/>
      <c r="AG357" s="40"/>
      <c r="AH357" s="40"/>
    </row>
    <row r="358" spans="1:34" s="32" customFormat="1">
      <c r="A358" s="338" t="s">
        <v>942</v>
      </c>
      <c r="B358" s="338" t="s">
        <v>945</v>
      </c>
      <c r="C358" s="358">
        <v>44230</v>
      </c>
      <c r="D358" s="351" t="s">
        <v>1028</v>
      </c>
      <c r="E358" s="352" t="s">
        <v>1082</v>
      </c>
      <c r="F358" s="338">
        <v>0.63958333333333328</v>
      </c>
      <c r="G358" s="338">
        <v>0.64166666666666672</v>
      </c>
      <c r="H358" s="338" t="s">
        <v>961</v>
      </c>
      <c r="I358" s="353">
        <v>767</v>
      </c>
      <c r="J358" s="338" t="str">
        <f>IFERROR(VLOOKUP(I358,'Chart of accounts'!A:H,2,FALSE),"")</f>
        <v>50204020 00</v>
      </c>
      <c r="K358" s="338" t="str">
        <f>IFERROR(VLOOKUP(I358,'Chart of accounts'!A:H,3,FALSE),"")</f>
        <v>Electricity Expense</v>
      </c>
      <c r="L358" s="338" t="str">
        <f>IFERROR(VLOOKUP(I358,'Chart of accounts'!A:H,4,FALSE),"")</f>
        <v>50204020 00 - Electricity Expense (767)</v>
      </c>
      <c r="M358" s="361">
        <v>85</v>
      </c>
      <c r="N358" s="420" t="s">
        <v>823</v>
      </c>
      <c r="O358" s="420" t="s">
        <v>1074</v>
      </c>
      <c r="P358" s="420"/>
      <c r="Q358" s="420">
        <v>6640</v>
      </c>
      <c r="R358" s="428">
        <f t="shared" si="4"/>
        <v>-6640</v>
      </c>
      <c r="S358" s="428" t="str">
        <f>VLOOKUP(H358,'Fund Utilization Report'!$A$4:$U$1800,13,FALSE)</f>
        <v>MOOE</v>
      </c>
      <c r="T358" s="428" t="str">
        <f>VLOOKUP(H358,'Fund Utilization Report'!$A$4:$U$1800,2,FALSE)</f>
        <v>GAA</v>
      </c>
      <c r="U358" s="428" t="str">
        <f>VLOOKUP(H358,'Fund Utilization Report'!$A$4:$U$1800,3,FALSE)</f>
        <v>FY2021, RA11518</v>
      </c>
      <c r="V358" s="428" t="str">
        <f>VLOOKUP(H358,'Fund Utilization Report'!$A$4:$U$1800,4,FALSE)</f>
        <v>GAS(GMS)</v>
      </c>
      <c r="W358" s="428" t="str">
        <f>VLOOKUP(H358,'Fund Utilization Report'!$A$4:$U$1800,5,FALSE)</f>
        <v>01101101</v>
      </c>
      <c r="X358" s="428" t="str">
        <f>VLOOKUP(H358,'Fund Utilization Report'!$A$4:$U$1800,6,FALSE)</f>
        <v>GOP</v>
      </c>
      <c r="Y358" s="320" t="str">
        <f>VLOOKUP(H358,'Fund Utilization Report'!$A$4:$U$1800,7,FALSE)</f>
        <v>MOOE</v>
      </c>
      <c r="Z358" s="425">
        <f>VLOOKUP(H358,'Fund Utilization Report'!$A$4:$U$1800,8,FALSE)</f>
        <v>5020000000</v>
      </c>
      <c r="AA358" s="428" t="str">
        <f>VLOOKUP(H358,'Fund Utilization Report'!$A$4:$U$1800,14,FALSE)</f>
        <v>100000100001000</v>
      </c>
      <c r="AB358" s="349" t="str">
        <f>VLOOKUP(H358,'Fund Utilization Report'!$A$4:$U$1800,15,FALSE)</f>
        <v>General Administration and Supervision - General Management and Supervision</v>
      </c>
      <c r="AC358" s="39"/>
      <c r="AD358" s="34"/>
      <c r="AE358" s="39"/>
      <c r="AF358" s="51"/>
      <c r="AG358" s="40"/>
      <c r="AH358" s="40"/>
    </row>
    <row r="359" spans="1:34" s="32" customFormat="1">
      <c r="A359" s="338" t="s">
        <v>942</v>
      </c>
      <c r="B359" s="338" t="s">
        <v>945</v>
      </c>
      <c r="C359" s="358">
        <v>44230</v>
      </c>
      <c r="D359" s="351" t="s">
        <v>1028</v>
      </c>
      <c r="E359" s="352" t="s">
        <v>1082</v>
      </c>
      <c r="F359" s="338">
        <v>0.63958333333333328</v>
      </c>
      <c r="G359" s="338">
        <v>0.64166666666666672</v>
      </c>
      <c r="H359" s="338" t="s">
        <v>961</v>
      </c>
      <c r="I359" s="353">
        <v>771</v>
      </c>
      <c r="J359" s="338" t="str">
        <f>IFERROR(VLOOKUP(I359,'Chart of accounts'!A:H,2,FALSE),"")</f>
        <v>50205010 00</v>
      </c>
      <c r="K359" s="338" t="str">
        <f>IFERROR(VLOOKUP(I359,'Chart of accounts'!A:H,3,FALSE),"")</f>
        <v>Postage and Courier Services</v>
      </c>
      <c r="L359" s="338" t="str">
        <f>IFERROR(VLOOKUP(I359,'Chart of accounts'!A:H,4,FALSE),"")</f>
        <v>50205010 00 - Postage and Courier Services (771)</v>
      </c>
      <c r="M359" s="361">
        <v>85</v>
      </c>
      <c r="N359" s="420" t="s">
        <v>823</v>
      </c>
      <c r="O359" s="420" t="s">
        <v>1074</v>
      </c>
      <c r="P359" s="420"/>
      <c r="Q359" s="420">
        <v>3320</v>
      </c>
      <c r="R359" s="428">
        <f t="shared" si="4"/>
        <v>-3320</v>
      </c>
      <c r="S359" s="428" t="str">
        <f>VLOOKUP(H359,'Fund Utilization Report'!$A$4:$U$1800,13,FALSE)</f>
        <v>MOOE</v>
      </c>
      <c r="T359" s="428" t="str">
        <f>VLOOKUP(H359,'Fund Utilization Report'!$A$4:$U$1800,2,FALSE)</f>
        <v>GAA</v>
      </c>
      <c r="U359" s="428" t="str">
        <f>VLOOKUP(H359,'Fund Utilization Report'!$A$4:$U$1800,3,FALSE)</f>
        <v>FY2021, RA11518</v>
      </c>
      <c r="V359" s="428" t="str">
        <f>VLOOKUP(H359,'Fund Utilization Report'!$A$4:$U$1800,4,FALSE)</f>
        <v>GAS(GMS)</v>
      </c>
      <c r="W359" s="428" t="str">
        <f>VLOOKUP(H359,'Fund Utilization Report'!$A$4:$U$1800,5,FALSE)</f>
        <v>01101101</v>
      </c>
      <c r="X359" s="428" t="str">
        <f>VLOOKUP(H359,'Fund Utilization Report'!$A$4:$U$1800,6,FALSE)</f>
        <v>GOP</v>
      </c>
      <c r="Y359" s="320" t="str">
        <f>VLOOKUP(H359,'Fund Utilization Report'!$A$4:$U$1800,7,FALSE)</f>
        <v>MOOE</v>
      </c>
      <c r="Z359" s="425">
        <f>VLOOKUP(H359,'Fund Utilization Report'!$A$4:$U$1800,8,FALSE)</f>
        <v>5020000000</v>
      </c>
      <c r="AA359" s="428" t="str">
        <f>VLOOKUP(H359,'Fund Utilization Report'!$A$4:$U$1800,14,FALSE)</f>
        <v>100000100001000</v>
      </c>
      <c r="AB359" s="349" t="str">
        <f>VLOOKUP(H359,'Fund Utilization Report'!$A$4:$U$1800,15,FALSE)</f>
        <v>General Administration and Supervision - General Management and Supervision</v>
      </c>
      <c r="AC359" s="39"/>
      <c r="AD359" s="34"/>
      <c r="AE359" s="39"/>
      <c r="AF359" s="51"/>
      <c r="AG359" s="40"/>
      <c r="AH359" s="40"/>
    </row>
    <row r="360" spans="1:34" s="32" customFormat="1">
      <c r="A360" s="338" t="s">
        <v>942</v>
      </c>
      <c r="B360" s="338" t="s">
        <v>945</v>
      </c>
      <c r="C360" s="358">
        <v>44230</v>
      </c>
      <c r="D360" s="351" t="s">
        <v>1028</v>
      </c>
      <c r="E360" s="352" t="s">
        <v>1082</v>
      </c>
      <c r="F360" s="338">
        <v>0.63958333333333328</v>
      </c>
      <c r="G360" s="338">
        <v>0.64166666666666672</v>
      </c>
      <c r="H360" s="338" t="s">
        <v>961</v>
      </c>
      <c r="I360" s="353">
        <v>772</v>
      </c>
      <c r="J360" s="338" t="str">
        <f>IFERROR(VLOOKUP(I360,'Chart of accounts'!A:H,2,FALSE),"")</f>
        <v>50205020 02</v>
      </c>
      <c r="K360" s="338" t="str">
        <f>IFERROR(VLOOKUP(I360,'Chart of accounts'!A:H,3,FALSE),"")</f>
        <v xml:space="preserve">Telephone Expenses - Landline </v>
      </c>
      <c r="L360" s="338" t="str">
        <f>IFERROR(VLOOKUP(I360,'Chart of accounts'!A:H,4,FALSE),"")</f>
        <v>50205020 02 - Telephone Expenses - Landline  (772)</v>
      </c>
      <c r="M360" s="361">
        <v>85</v>
      </c>
      <c r="N360" s="420" t="s">
        <v>823</v>
      </c>
      <c r="O360" s="420" t="s">
        <v>1074</v>
      </c>
      <c r="P360" s="420"/>
      <c r="Q360" s="420">
        <v>1660</v>
      </c>
      <c r="R360" s="428">
        <f t="shared" si="4"/>
        <v>-1660</v>
      </c>
      <c r="S360" s="428" t="str">
        <f>VLOOKUP(H360,'Fund Utilization Report'!$A$4:$U$1800,13,FALSE)</f>
        <v>MOOE</v>
      </c>
      <c r="T360" s="428" t="str">
        <f>VLOOKUP(H360,'Fund Utilization Report'!$A$4:$U$1800,2,FALSE)</f>
        <v>GAA</v>
      </c>
      <c r="U360" s="428" t="str">
        <f>VLOOKUP(H360,'Fund Utilization Report'!$A$4:$U$1800,3,FALSE)</f>
        <v>FY2021, RA11518</v>
      </c>
      <c r="V360" s="428" t="str">
        <f>VLOOKUP(H360,'Fund Utilization Report'!$A$4:$U$1800,4,FALSE)</f>
        <v>GAS(GMS)</v>
      </c>
      <c r="W360" s="428" t="str">
        <f>VLOOKUP(H360,'Fund Utilization Report'!$A$4:$U$1800,5,FALSE)</f>
        <v>01101101</v>
      </c>
      <c r="X360" s="428" t="str">
        <f>VLOOKUP(H360,'Fund Utilization Report'!$A$4:$U$1800,6,FALSE)</f>
        <v>GOP</v>
      </c>
      <c r="Y360" s="320" t="str">
        <f>VLOOKUP(H360,'Fund Utilization Report'!$A$4:$U$1800,7,FALSE)</f>
        <v>MOOE</v>
      </c>
      <c r="Z360" s="425">
        <f>VLOOKUP(H360,'Fund Utilization Report'!$A$4:$U$1800,8,FALSE)</f>
        <v>5020000000</v>
      </c>
      <c r="AA360" s="428" t="str">
        <f>VLOOKUP(H360,'Fund Utilization Report'!$A$4:$U$1800,14,FALSE)</f>
        <v>100000100001000</v>
      </c>
      <c r="AB360" s="349" t="str">
        <f>VLOOKUP(H360,'Fund Utilization Report'!$A$4:$U$1800,15,FALSE)</f>
        <v>General Administration and Supervision - General Management and Supervision</v>
      </c>
      <c r="AC360" s="39"/>
      <c r="AD360" s="34"/>
      <c r="AE360" s="39"/>
      <c r="AF360" s="51"/>
      <c r="AG360" s="40"/>
      <c r="AH360" s="40"/>
    </row>
    <row r="361" spans="1:34" s="32" customFormat="1">
      <c r="A361" s="338" t="s">
        <v>942</v>
      </c>
      <c r="B361" s="338" t="s">
        <v>945</v>
      </c>
      <c r="C361" s="358">
        <v>44230</v>
      </c>
      <c r="D361" s="351" t="s">
        <v>1028</v>
      </c>
      <c r="E361" s="352" t="s">
        <v>1082</v>
      </c>
      <c r="F361" s="338">
        <v>0.63958333333333328</v>
      </c>
      <c r="G361" s="338">
        <v>0.64166666666666672</v>
      </c>
      <c r="H361" s="338" t="s">
        <v>961</v>
      </c>
      <c r="I361" s="353">
        <v>773</v>
      </c>
      <c r="J361" s="338" t="str">
        <f>IFERROR(VLOOKUP(I361,'Chart of accounts'!A:H,2,FALSE),"")</f>
        <v>50205020 01</v>
      </c>
      <c r="K361" s="338" t="str">
        <f>IFERROR(VLOOKUP(I361,'Chart of accounts'!A:H,3,FALSE),"")</f>
        <v xml:space="preserve">Telephone Expenses - Mobile </v>
      </c>
      <c r="L361" s="338" t="str">
        <f>IFERROR(VLOOKUP(I361,'Chart of accounts'!A:H,4,FALSE),"")</f>
        <v>50205020 01 - Telephone Expenses - Mobile  (773)</v>
      </c>
      <c r="M361" s="361">
        <v>85</v>
      </c>
      <c r="N361" s="420" t="s">
        <v>823</v>
      </c>
      <c r="O361" s="420" t="s">
        <v>1074</v>
      </c>
      <c r="P361" s="420"/>
      <c r="Q361" s="420">
        <v>2988</v>
      </c>
      <c r="R361" s="428">
        <f t="shared" si="4"/>
        <v>-2988</v>
      </c>
      <c r="S361" s="428" t="str">
        <f>VLOOKUP(H361,'Fund Utilization Report'!$A$4:$U$1800,13,FALSE)</f>
        <v>MOOE</v>
      </c>
      <c r="T361" s="428" t="str">
        <f>VLOOKUP(H361,'Fund Utilization Report'!$A$4:$U$1800,2,FALSE)</f>
        <v>GAA</v>
      </c>
      <c r="U361" s="428" t="str">
        <f>VLOOKUP(H361,'Fund Utilization Report'!$A$4:$U$1800,3,FALSE)</f>
        <v>FY2021, RA11518</v>
      </c>
      <c r="V361" s="428" t="str">
        <f>VLOOKUP(H361,'Fund Utilization Report'!$A$4:$U$1800,4,FALSE)</f>
        <v>GAS(GMS)</v>
      </c>
      <c r="W361" s="428" t="str">
        <f>VLOOKUP(H361,'Fund Utilization Report'!$A$4:$U$1800,5,FALSE)</f>
        <v>01101101</v>
      </c>
      <c r="X361" s="428" t="str">
        <f>VLOOKUP(H361,'Fund Utilization Report'!$A$4:$U$1800,6,FALSE)</f>
        <v>GOP</v>
      </c>
      <c r="Y361" s="320" t="str">
        <f>VLOOKUP(H361,'Fund Utilization Report'!$A$4:$U$1800,7,FALSE)</f>
        <v>MOOE</v>
      </c>
      <c r="Z361" s="425">
        <f>VLOOKUP(H361,'Fund Utilization Report'!$A$4:$U$1800,8,FALSE)</f>
        <v>5020000000</v>
      </c>
      <c r="AA361" s="428" t="str">
        <f>VLOOKUP(H361,'Fund Utilization Report'!$A$4:$U$1800,14,FALSE)</f>
        <v>100000100001000</v>
      </c>
      <c r="AB361" s="349" t="str">
        <f>VLOOKUP(H361,'Fund Utilization Report'!$A$4:$U$1800,15,FALSE)</f>
        <v>General Administration and Supervision - General Management and Supervision</v>
      </c>
      <c r="AC361" s="39"/>
      <c r="AD361" s="34"/>
      <c r="AE361" s="39"/>
      <c r="AF361" s="51"/>
      <c r="AG361" s="40"/>
      <c r="AH361" s="40"/>
    </row>
    <row r="362" spans="1:34" s="32" customFormat="1">
      <c r="A362" s="338" t="s">
        <v>942</v>
      </c>
      <c r="B362" s="338" t="s">
        <v>945</v>
      </c>
      <c r="C362" s="358">
        <v>44230</v>
      </c>
      <c r="D362" s="351" t="s">
        <v>1028</v>
      </c>
      <c r="E362" s="352" t="s">
        <v>1082</v>
      </c>
      <c r="F362" s="338">
        <v>0.63958333333333328</v>
      </c>
      <c r="G362" s="338">
        <v>0.64166666666666672</v>
      </c>
      <c r="H362" s="338" t="s">
        <v>961</v>
      </c>
      <c r="I362" s="353">
        <v>775</v>
      </c>
      <c r="J362" s="338" t="str">
        <f>IFERROR(VLOOKUP(I362,'Chart of accounts'!A:H,2,FALSE),"")</f>
        <v>50205040 00</v>
      </c>
      <c r="K362" s="338" t="str">
        <f>IFERROR(VLOOKUP(I362,'Chart of accounts'!A:H,3,FALSE),"")</f>
        <v>Cable, Satellite, Telegraph, and Radio Expenses</v>
      </c>
      <c r="L362" s="338" t="str">
        <f>IFERROR(VLOOKUP(I362,'Chart of accounts'!A:H,4,FALSE),"")</f>
        <v>50205040 00 - Cable, Satellite, Telegraph, and Radio Expenses (775)</v>
      </c>
      <c r="M362" s="361">
        <v>85</v>
      </c>
      <c r="N362" s="420" t="s">
        <v>823</v>
      </c>
      <c r="O362" s="420" t="s">
        <v>1074</v>
      </c>
      <c r="P362" s="420"/>
      <c r="Q362" s="420">
        <v>581</v>
      </c>
      <c r="R362" s="428">
        <f t="shared" si="4"/>
        <v>-581</v>
      </c>
      <c r="S362" s="428" t="str">
        <f>VLOOKUP(H362,'Fund Utilization Report'!$A$4:$U$1800,13,FALSE)</f>
        <v>MOOE</v>
      </c>
      <c r="T362" s="428" t="str">
        <f>VLOOKUP(H362,'Fund Utilization Report'!$A$4:$U$1800,2,FALSE)</f>
        <v>GAA</v>
      </c>
      <c r="U362" s="428" t="str">
        <f>VLOOKUP(H362,'Fund Utilization Report'!$A$4:$U$1800,3,FALSE)</f>
        <v>FY2021, RA11518</v>
      </c>
      <c r="V362" s="428" t="str">
        <f>VLOOKUP(H362,'Fund Utilization Report'!$A$4:$U$1800,4,FALSE)</f>
        <v>GAS(GMS)</v>
      </c>
      <c r="W362" s="428" t="str">
        <f>VLOOKUP(H362,'Fund Utilization Report'!$A$4:$U$1800,5,FALSE)</f>
        <v>01101101</v>
      </c>
      <c r="X362" s="428" t="str">
        <f>VLOOKUP(H362,'Fund Utilization Report'!$A$4:$U$1800,6,FALSE)</f>
        <v>GOP</v>
      </c>
      <c r="Y362" s="320" t="str">
        <f>VLOOKUP(H362,'Fund Utilization Report'!$A$4:$U$1800,7,FALSE)</f>
        <v>MOOE</v>
      </c>
      <c r="Z362" s="425">
        <f>VLOOKUP(H362,'Fund Utilization Report'!$A$4:$U$1800,8,FALSE)</f>
        <v>5020000000</v>
      </c>
      <c r="AA362" s="428" t="str">
        <f>VLOOKUP(H362,'Fund Utilization Report'!$A$4:$U$1800,14,FALSE)</f>
        <v>100000100001000</v>
      </c>
      <c r="AB362" s="349" t="str">
        <f>VLOOKUP(H362,'Fund Utilization Report'!$A$4:$U$1800,15,FALSE)</f>
        <v>General Administration and Supervision - General Management and Supervision</v>
      </c>
      <c r="AC362" s="39"/>
      <c r="AD362" s="34"/>
      <c r="AE362" s="39"/>
      <c r="AF362" s="51"/>
      <c r="AG362" s="40"/>
      <c r="AH362" s="40"/>
    </row>
    <row r="363" spans="1:34" s="32" customFormat="1">
      <c r="A363" s="338" t="s">
        <v>942</v>
      </c>
      <c r="B363" s="338" t="s">
        <v>945</v>
      </c>
      <c r="C363" s="358">
        <v>44230</v>
      </c>
      <c r="D363" s="351" t="s">
        <v>1028</v>
      </c>
      <c r="E363" s="352" t="s">
        <v>1082</v>
      </c>
      <c r="F363" s="338">
        <v>0.63958333333333328</v>
      </c>
      <c r="G363" s="338">
        <v>0.64166666666666672</v>
      </c>
      <c r="H363" s="338" t="s">
        <v>961</v>
      </c>
      <c r="I363" s="353">
        <v>791</v>
      </c>
      <c r="J363" s="338" t="str">
        <f>IFERROR(VLOOKUP(I363,'Chart of accounts'!A:H,2,FALSE),"")</f>
        <v>50211010 00</v>
      </c>
      <c r="K363" s="338" t="str">
        <f>IFERROR(VLOOKUP(I363,'Chart of accounts'!A:H,3,FALSE),"")</f>
        <v>Legal Services</v>
      </c>
      <c r="L363" s="338" t="str">
        <f>IFERROR(VLOOKUP(I363,'Chart of accounts'!A:H,4,FALSE),"")</f>
        <v>50211010 00 - Legal Services (791)</v>
      </c>
      <c r="M363" s="361">
        <v>85</v>
      </c>
      <c r="N363" s="420" t="s">
        <v>823</v>
      </c>
      <c r="O363" s="420" t="s">
        <v>1074</v>
      </c>
      <c r="P363" s="420"/>
      <c r="Q363" s="420">
        <v>1590.83</v>
      </c>
      <c r="R363" s="428">
        <f t="shared" si="4"/>
        <v>-1590.83</v>
      </c>
      <c r="S363" s="428" t="str">
        <f>VLOOKUP(H363,'Fund Utilization Report'!$A$4:$U$1800,13,FALSE)</f>
        <v>MOOE</v>
      </c>
      <c r="T363" s="428" t="str">
        <f>VLOOKUP(H363,'Fund Utilization Report'!$A$4:$U$1800,2,FALSE)</f>
        <v>GAA</v>
      </c>
      <c r="U363" s="428" t="str">
        <f>VLOOKUP(H363,'Fund Utilization Report'!$A$4:$U$1800,3,FALSE)</f>
        <v>FY2021, RA11518</v>
      </c>
      <c r="V363" s="428" t="str">
        <f>VLOOKUP(H363,'Fund Utilization Report'!$A$4:$U$1800,4,FALSE)</f>
        <v>GAS(GMS)</v>
      </c>
      <c r="W363" s="428" t="str">
        <f>VLOOKUP(H363,'Fund Utilization Report'!$A$4:$U$1800,5,FALSE)</f>
        <v>01101101</v>
      </c>
      <c r="X363" s="428" t="str">
        <f>VLOOKUP(H363,'Fund Utilization Report'!$A$4:$U$1800,6,FALSE)</f>
        <v>GOP</v>
      </c>
      <c r="Y363" s="320" t="str">
        <f>VLOOKUP(H363,'Fund Utilization Report'!$A$4:$U$1800,7,FALSE)</f>
        <v>MOOE</v>
      </c>
      <c r="Z363" s="425">
        <f>VLOOKUP(H363,'Fund Utilization Report'!$A$4:$U$1800,8,FALSE)</f>
        <v>5020000000</v>
      </c>
      <c r="AA363" s="428" t="str">
        <f>VLOOKUP(H363,'Fund Utilization Report'!$A$4:$U$1800,14,FALSE)</f>
        <v>100000100001000</v>
      </c>
      <c r="AB363" s="349" t="str">
        <f>VLOOKUP(H363,'Fund Utilization Report'!$A$4:$U$1800,15,FALSE)</f>
        <v>General Administration and Supervision - General Management and Supervision</v>
      </c>
      <c r="AC363" s="39"/>
      <c r="AD363" s="34"/>
      <c r="AE363" s="39"/>
      <c r="AF363" s="51"/>
      <c r="AG363" s="40"/>
      <c r="AH363" s="40"/>
    </row>
    <row r="364" spans="1:34" s="32" customFormat="1">
      <c r="A364" s="338" t="s">
        <v>942</v>
      </c>
      <c r="B364" s="338" t="s">
        <v>945</v>
      </c>
      <c r="C364" s="358">
        <v>44230</v>
      </c>
      <c r="D364" s="351" t="s">
        <v>1028</v>
      </c>
      <c r="E364" s="352" t="s">
        <v>1082</v>
      </c>
      <c r="F364" s="338">
        <v>0.63958333333333328</v>
      </c>
      <c r="G364" s="338">
        <v>0.64166666666666672</v>
      </c>
      <c r="H364" s="338" t="s">
        <v>961</v>
      </c>
      <c r="I364" s="353">
        <v>796</v>
      </c>
      <c r="J364" s="338" t="str">
        <f>IFERROR(VLOOKUP(I364,'Chart of accounts'!A:H,2,FALSE),"")</f>
        <v>50212020 00</v>
      </c>
      <c r="K364" s="338" t="str">
        <f>IFERROR(VLOOKUP(I364,'Chart of accounts'!A:H,3,FALSE),"")</f>
        <v>Janitorial Services</v>
      </c>
      <c r="L364" s="338" t="str">
        <f>IFERROR(VLOOKUP(I364,'Chart of accounts'!A:H,4,FALSE),"")</f>
        <v>50212020 00 - Janitorial Services (796)</v>
      </c>
      <c r="M364" s="361">
        <v>85</v>
      </c>
      <c r="N364" s="420" t="s">
        <v>823</v>
      </c>
      <c r="O364" s="420" t="s">
        <v>1074</v>
      </c>
      <c r="P364" s="420"/>
      <c r="Q364" s="420">
        <v>15825.33</v>
      </c>
      <c r="R364" s="428">
        <f t="shared" si="4"/>
        <v>-15825.33</v>
      </c>
      <c r="S364" s="428" t="str">
        <f>VLOOKUP(H364,'Fund Utilization Report'!$A$4:$U$1800,13,FALSE)</f>
        <v>MOOE</v>
      </c>
      <c r="T364" s="428" t="str">
        <f>VLOOKUP(H364,'Fund Utilization Report'!$A$4:$U$1800,2,FALSE)</f>
        <v>GAA</v>
      </c>
      <c r="U364" s="428" t="str">
        <f>VLOOKUP(H364,'Fund Utilization Report'!$A$4:$U$1800,3,FALSE)</f>
        <v>FY2021, RA11518</v>
      </c>
      <c r="V364" s="428" t="str">
        <f>VLOOKUP(H364,'Fund Utilization Report'!$A$4:$U$1800,4,FALSE)</f>
        <v>GAS(GMS)</v>
      </c>
      <c r="W364" s="428" t="str">
        <f>VLOOKUP(H364,'Fund Utilization Report'!$A$4:$U$1800,5,FALSE)</f>
        <v>01101101</v>
      </c>
      <c r="X364" s="428" t="str">
        <f>VLOOKUP(H364,'Fund Utilization Report'!$A$4:$U$1800,6,FALSE)</f>
        <v>GOP</v>
      </c>
      <c r="Y364" s="320" t="str">
        <f>VLOOKUP(H364,'Fund Utilization Report'!$A$4:$U$1800,7,FALSE)</f>
        <v>MOOE</v>
      </c>
      <c r="Z364" s="425">
        <f>VLOOKUP(H364,'Fund Utilization Report'!$A$4:$U$1800,8,FALSE)</f>
        <v>5020000000</v>
      </c>
      <c r="AA364" s="428" t="str">
        <f>VLOOKUP(H364,'Fund Utilization Report'!$A$4:$U$1800,14,FALSE)</f>
        <v>100000100001000</v>
      </c>
      <c r="AB364" s="349" t="str">
        <f>VLOOKUP(H364,'Fund Utilization Report'!$A$4:$U$1800,15,FALSE)</f>
        <v>General Administration and Supervision - General Management and Supervision</v>
      </c>
      <c r="AC364" s="39"/>
      <c r="AD364" s="34"/>
      <c r="AE364" s="39"/>
      <c r="AF364" s="51"/>
      <c r="AG364" s="40"/>
      <c r="AH364" s="40"/>
    </row>
    <row r="365" spans="1:34" s="32" customFormat="1">
      <c r="A365" s="338" t="s">
        <v>942</v>
      </c>
      <c r="B365" s="338" t="s">
        <v>945</v>
      </c>
      <c r="C365" s="358">
        <v>44230</v>
      </c>
      <c r="D365" s="351" t="s">
        <v>1028</v>
      </c>
      <c r="E365" s="352" t="s">
        <v>1082</v>
      </c>
      <c r="F365" s="338">
        <v>0.63958333333333328</v>
      </c>
      <c r="G365" s="338">
        <v>0.64166666666666672</v>
      </c>
      <c r="H365" s="338" t="s">
        <v>965</v>
      </c>
      <c r="I365" s="353">
        <v>795</v>
      </c>
      <c r="J365" s="338" t="str">
        <f>IFERROR(VLOOKUP(I365,'Chart of accounts'!A:H,2,FALSE),"")</f>
        <v>50212990 00</v>
      </c>
      <c r="K365" s="338" t="str">
        <f>IFERROR(VLOOKUP(I365,'Chart of accounts'!A:H,3,FALSE),"")</f>
        <v>Other General Services</v>
      </c>
      <c r="L365" s="338" t="str">
        <f>IFERROR(VLOOKUP(I365,'Chart of accounts'!A:H,4,FALSE),"")</f>
        <v>50212990 00 - Other General Services (795)</v>
      </c>
      <c r="M365" s="361">
        <v>85</v>
      </c>
      <c r="N365" s="420" t="s">
        <v>823</v>
      </c>
      <c r="O365" s="420" t="s">
        <v>1074</v>
      </c>
      <c r="P365" s="420"/>
      <c r="Q365" s="420">
        <v>86564.57</v>
      </c>
      <c r="R365" s="428">
        <f t="shared" si="4"/>
        <v>-86564.57</v>
      </c>
      <c r="S365" s="428" t="str">
        <f>VLOOKUP(H365,'Fund Utilization Report'!$A$4:$U$1800,13,FALSE)</f>
        <v>MOOE</v>
      </c>
      <c r="T365" s="428" t="str">
        <f>VLOOKUP(H365,'Fund Utilization Report'!$A$4:$U$1800,2,FALSE)</f>
        <v>GAA</v>
      </c>
      <c r="U365" s="428" t="str">
        <f>VLOOKUP(H365,'Fund Utilization Report'!$A$4:$U$1800,3,FALSE)</f>
        <v>FY2021, RA11518</v>
      </c>
      <c r="V365" s="428" t="str">
        <f>VLOOKUP(H365,'Fund Utilization Report'!$A$4:$U$1800,4,FALSE)</f>
        <v>OO1</v>
      </c>
      <c r="W365" s="428" t="str">
        <f>VLOOKUP(H365,'Fund Utilization Report'!$A$4:$U$1800,5,FALSE)</f>
        <v>01101101</v>
      </c>
      <c r="X365" s="428" t="str">
        <f>VLOOKUP(H365,'Fund Utilization Report'!$A$4:$U$1800,6,FALSE)</f>
        <v>GOP</v>
      </c>
      <c r="Y365" s="320" t="str">
        <f>VLOOKUP(H365,'Fund Utilization Report'!$A$4:$U$1800,7,FALSE)</f>
        <v>MOOE</v>
      </c>
      <c r="Z365" s="425">
        <f>VLOOKUP(H365,'Fund Utilization Report'!$A$4:$U$1800,8,FALSE)</f>
        <v>5020000000</v>
      </c>
      <c r="AA365" s="428" t="str">
        <f>VLOOKUP(H365,'Fund Utilization Report'!$A$4:$U$1800,14,FALSE)</f>
        <v>310100100002000</v>
      </c>
      <c r="AB365" s="349" t="str">
        <f>VLOOKUP(H365,'Fund Utilization Report'!$A$4:$U$1800,15,FALSE)</f>
        <v>Development,Facilitation, and promotion of exports and investment, domestic and foreign</v>
      </c>
      <c r="AC365" s="39"/>
      <c r="AD365" s="34"/>
      <c r="AE365" s="39"/>
      <c r="AF365" s="51"/>
      <c r="AG365" s="40"/>
      <c r="AH365" s="40"/>
    </row>
    <row r="366" spans="1:34" s="32" customFormat="1">
      <c r="A366" s="338" t="s">
        <v>942</v>
      </c>
      <c r="B366" s="338" t="s">
        <v>945</v>
      </c>
      <c r="C366" s="358">
        <v>44230</v>
      </c>
      <c r="D366" s="351" t="s">
        <v>1028</v>
      </c>
      <c r="E366" s="352" t="s">
        <v>1082</v>
      </c>
      <c r="F366" s="338">
        <v>0.63958333333333328</v>
      </c>
      <c r="G366" s="338">
        <v>0.64166666666666672</v>
      </c>
      <c r="H366" s="338" t="s">
        <v>971</v>
      </c>
      <c r="I366" s="353">
        <v>821</v>
      </c>
      <c r="J366" s="338" t="str">
        <f>IFERROR(VLOOKUP(I366,'Chart of accounts'!A:H,2,FALSE),"")</f>
        <v>50213050 02</v>
      </c>
      <c r="K366" s="338" t="str">
        <f>IFERROR(VLOOKUP(I366,'Chart of accounts'!A:H,3,FALSE),"")</f>
        <v>Office Equipment</v>
      </c>
      <c r="L366" s="338" t="str">
        <f>IFERROR(VLOOKUP(I366,'Chart of accounts'!A:H,4,FALSE),"")</f>
        <v>50213050 02 - Office Equipment (821)</v>
      </c>
      <c r="M366" s="361">
        <v>85</v>
      </c>
      <c r="N366" s="420" t="s">
        <v>823</v>
      </c>
      <c r="O366" s="420" t="s">
        <v>1074</v>
      </c>
      <c r="P366" s="420"/>
      <c r="Q366" s="420">
        <v>6916.67</v>
      </c>
      <c r="R366" s="428">
        <f t="shared" si="4"/>
        <v>-6916.67</v>
      </c>
      <c r="S366" s="428" t="str">
        <f>VLOOKUP(H366,'Fund Utilization Report'!$A$4:$U$1800,13,FALSE)</f>
        <v>MOOE</v>
      </c>
      <c r="T366" s="428" t="str">
        <f>VLOOKUP(H366,'Fund Utilization Report'!$A$4:$U$1800,2,FALSE)</f>
        <v>GAA</v>
      </c>
      <c r="U366" s="428" t="str">
        <f>VLOOKUP(H366,'Fund Utilization Report'!$A$4:$U$1800,3,FALSE)</f>
        <v>FY2021, RA11518</v>
      </c>
      <c r="V366" s="428" t="str">
        <f>VLOOKUP(H366,'Fund Utilization Report'!$A$4:$U$1800,4,FALSE)</f>
        <v>OO3</v>
      </c>
      <c r="W366" s="428" t="str">
        <f>VLOOKUP(H366,'Fund Utilization Report'!$A$4:$U$1800,5,FALSE)</f>
        <v>01101101</v>
      </c>
      <c r="X366" s="428" t="str">
        <f>VLOOKUP(H366,'Fund Utilization Report'!$A$4:$U$1800,6,FALSE)</f>
        <v>GOP</v>
      </c>
      <c r="Y366" s="320" t="str">
        <f>VLOOKUP(H366,'Fund Utilization Report'!$A$4:$U$1800,7,FALSE)</f>
        <v>MOOE</v>
      </c>
      <c r="Z366" s="425">
        <f>VLOOKUP(H366,'Fund Utilization Report'!$A$4:$U$1800,8,FALSE)</f>
        <v>5020000000</v>
      </c>
      <c r="AA366" s="428" t="str">
        <f>VLOOKUP(H366,'Fund Utilization Report'!$A$4:$U$1800,14,FALSE)</f>
        <v>330100100002000</v>
      </c>
      <c r="AB366" s="349" t="str">
        <f>VLOOKUP(H366,'Fund Utilization Report'!$A$4:$U$1800,15,FALSE)</f>
        <v>Implementation of the MSME Development Plan and other initiatives to promote the growth of Micro, Small and Medium Enterprises</v>
      </c>
      <c r="AC366" s="39"/>
      <c r="AD366" s="34"/>
      <c r="AE366" s="39"/>
      <c r="AF366" s="51"/>
      <c r="AG366" s="40"/>
      <c r="AH366" s="40"/>
    </row>
    <row r="367" spans="1:34" s="32" customFormat="1">
      <c r="A367" s="338" t="s">
        <v>942</v>
      </c>
      <c r="B367" s="338" t="s">
        <v>945</v>
      </c>
      <c r="C367" s="358">
        <v>44230</v>
      </c>
      <c r="D367" s="351" t="s">
        <v>1028</v>
      </c>
      <c r="E367" s="352" t="s">
        <v>1082</v>
      </c>
      <c r="F367" s="338">
        <v>0.63958333333333328</v>
      </c>
      <c r="G367" s="338">
        <v>0.64166666666666672</v>
      </c>
      <c r="H367" s="338" t="s">
        <v>968</v>
      </c>
      <c r="I367" s="353">
        <v>823</v>
      </c>
      <c r="J367" s="338" t="str">
        <f>IFERROR(VLOOKUP(I367,'Chart of accounts'!A:H,2,FALSE),"")</f>
        <v>50213050 03</v>
      </c>
      <c r="K367" s="338" t="str">
        <f>IFERROR(VLOOKUP(I367,'Chart of accounts'!A:H,3,FALSE),"")</f>
        <v>ICT Equipment</v>
      </c>
      <c r="L367" s="338" t="str">
        <f>IFERROR(VLOOKUP(I367,'Chart of accounts'!A:H,4,FALSE),"")</f>
        <v>50213050 03 - ICT Equipment (823)</v>
      </c>
      <c r="M367" s="361">
        <v>85</v>
      </c>
      <c r="N367" s="420" t="s">
        <v>823</v>
      </c>
      <c r="O367" s="420" t="s">
        <v>1074</v>
      </c>
      <c r="P367" s="420"/>
      <c r="Q367" s="420">
        <v>2766.67</v>
      </c>
      <c r="R367" s="428">
        <f t="shared" ref="R367:R386" si="5">P367-Q367</f>
        <v>-2766.67</v>
      </c>
      <c r="S367" s="428" t="str">
        <f>VLOOKUP(H367,'Fund Utilization Report'!$A$4:$U$1800,13,FALSE)</f>
        <v>MOOE</v>
      </c>
      <c r="T367" s="428" t="str">
        <f>VLOOKUP(H367,'Fund Utilization Report'!$A$4:$U$1800,2,FALSE)</f>
        <v>GAA</v>
      </c>
      <c r="U367" s="428" t="str">
        <f>VLOOKUP(H367,'Fund Utilization Report'!$A$4:$U$1800,3,FALSE)</f>
        <v>FY2021, RA11518</v>
      </c>
      <c r="V367" s="428" t="str">
        <f>VLOOKUP(H367,'Fund Utilization Report'!$A$4:$U$1800,4,FALSE)</f>
        <v>OO2</v>
      </c>
      <c r="W367" s="428" t="str">
        <f>VLOOKUP(H367,'Fund Utilization Report'!$A$4:$U$1800,5,FALSE)</f>
        <v>01101101</v>
      </c>
      <c r="X367" s="428" t="str">
        <f>VLOOKUP(H367,'Fund Utilization Report'!$A$4:$U$1800,6,FALSE)</f>
        <v>GOP</v>
      </c>
      <c r="Y367" s="320" t="str">
        <f>VLOOKUP(H367,'Fund Utilization Report'!$A$4:$U$1800,7,FALSE)</f>
        <v>MOOE</v>
      </c>
      <c r="Z367" s="425">
        <f>VLOOKUP(H367,'Fund Utilization Report'!$A$4:$U$1800,8,FALSE)</f>
        <v>5020000000</v>
      </c>
      <c r="AA367" s="428" t="str">
        <f>VLOOKUP(H367,'Fund Utilization Report'!$A$4:$U$1800,14,FALSE)</f>
        <v>320100100001000</v>
      </c>
      <c r="AB367" s="349" t="str">
        <f>VLOOKUP(H367,'Fund Utilization Report'!$A$4:$U$1800,15,FALSE)</f>
        <v>Formulation of Strategic plans,programs, and policies to develop competitve industries</v>
      </c>
      <c r="AC367" s="39"/>
      <c r="AD367" s="34"/>
      <c r="AE367" s="39"/>
      <c r="AF367" s="51"/>
      <c r="AG367" s="40"/>
      <c r="AH367" s="40"/>
    </row>
    <row r="368" spans="1:34" s="32" customFormat="1">
      <c r="A368" s="338" t="s">
        <v>942</v>
      </c>
      <c r="B368" s="338" t="s">
        <v>945</v>
      </c>
      <c r="C368" s="358">
        <v>44230</v>
      </c>
      <c r="D368" s="351" t="s">
        <v>1028</v>
      </c>
      <c r="E368" s="352" t="s">
        <v>1082</v>
      </c>
      <c r="F368" s="338">
        <v>0.63958333333333328</v>
      </c>
      <c r="G368" s="338">
        <v>0.64166666666666672</v>
      </c>
      <c r="H368" s="338" t="s">
        <v>968</v>
      </c>
      <c r="I368" s="353">
        <v>822</v>
      </c>
      <c r="J368" s="338" t="str">
        <f>IFERROR(VLOOKUP(I368,'Chart of accounts'!A:H,2,FALSE),"")</f>
        <v>50213070 00</v>
      </c>
      <c r="K368" s="338" t="str">
        <f>IFERROR(VLOOKUP(I368,'Chart of accounts'!A:H,3,FALSE),"")</f>
        <v>Furniture and Fixture</v>
      </c>
      <c r="L368" s="338" t="str">
        <f>IFERROR(VLOOKUP(I368,'Chart of accounts'!A:H,4,FALSE),"")</f>
        <v>50213070 00 - Furniture and Fixture (822)</v>
      </c>
      <c r="M368" s="361">
        <v>85</v>
      </c>
      <c r="N368" s="420" t="s">
        <v>823</v>
      </c>
      <c r="O368" s="420" t="s">
        <v>1074</v>
      </c>
      <c r="P368" s="420"/>
      <c r="Q368" s="420">
        <v>1383.33</v>
      </c>
      <c r="R368" s="428">
        <f t="shared" si="5"/>
        <v>-1383.33</v>
      </c>
      <c r="S368" s="428" t="str">
        <f>VLOOKUP(H368,'Fund Utilization Report'!$A$4:$U$1800,13,FALSE)</f>
        <v>MOOE</v>
      </c>
      <c r="T368" s="428" t="str">
        <f>VLOOKUP(H368,'Fund Utilization Report'!$A$4:$U$1800,2,FALSE)</f>
        <v>GAA</v>
      </c>
      <c r="U368" s="428" t="str">
        <f>VLOOKUP(H368,'Fund Utilization Report'!$A$4:$U$1800,3,FALSE)</f>
        <v>FY2021, RA11518</v>
      </c>
      <c r="V368" s="428" t="str">
        <f>VLOOKUP(H368,'Fund Utilization Report'!$A$4:$U$1800,4,FALSE)</f>
        <v>OO2</v>
      </c>
      <c r="W368" s="428" t="str">
        <f>VLOOKUP(H368,'Fund Utilization Report'!$A$4:$U$1800,5,FALSE)</f>
        <v>01101101</v>
      </c>
      <c r="X368" s="428" t="str">
        <f>VLOOKUP(H368,'Fund Utilization Report'!$A$4:$U$1800,6,FALSE)</f>
        <v>GOP</v>
      </c>
      <c r="Y368" s="320" t="str">
        <f>VLOOKUP(H368,'Fund Utilization Report'!$A$4:$U$1800,7,FALSE)</f>
        <v>MOOE</v>
      </c>
      <c r="Z368" s="425">
        <f>VLOOKUP(H368,'Fund Utilization Report'!$A$4:$U$1800,8,FALSE)</f>
        <v>5020000000</v>
      </c>
      <c r="AA368" s="428" t="str">
        <f>VLOOKUP(H368,'Fund Utilization Report'!$A$4:$U$1800,14,FALSE)</f>
        <v>320100100001000</v>
      </c>
      <c r="AB368" s="349" t="str">
        <f>VLOOKUP(H368,'Fund Utilization Report'!$A$4:$U$1800,15,FALSE)</f>
        <v>Formulation of Strategic plans,programs, and policies to develop competitve industries</v>
      </c>
      <c r="AC368" s="39"/>
      <c r="AD368" s="34"/>
      <c r="AE368" s="39"/>
      <c r="AF368" s="51"/>
      <c r="AG368" s="40"/>
      <c r="AH368" s="40"/>
    </row>
    <row r="369" spans="1:34" s="32" customFormat="1">
      <c r="A369" s="338" t="s">
        <v>942</v>
      </c>
      <c r="B369" s="338" t="s">
        <v>945</v>
      </c>
      <c r="C369" s="358">
        <v>44230</v>
      </c>
      <c r="D369" s="351" t="s">
        <v>1028</v>
      </c>
      <c r="E369" s="352" t="s">
        <v>1082</v>
      </c>
      <c r="F369" s="338">
        <v>0.63958333333333328</v>
      </c>
      <c r="G369" s="338">
        <v>0.64166666666666672</v>
      </c>
      <c r="H369" s="338" t="s">
        <v>961</v>
      </c>
      <c r="I369" s="353">
        <v>841</v>
      </c>
      <c r="J369" s="338" t="str">
        <f>IFERROR(VLOOKUP(I369,'Chart of accounts'!A:H,2,FALSE),"")</f>
        <v>50213060 01</v>
      </c>
      <c r="K369" s="338" t="str">
        <f>IFERROR(VLOOKUP(I369,'Chart of accounts'!A:H,3,FALSE),"")</f>
        <v>Motor Vehicles</v>
      </c>
      <c r="L369" s="338" t="str">
        <f>IFERROR(VLOOKUP(I369,'Chart of accounts'!A:H,4,FALSE),"")</f>
        <v>50213060 01 - Motor Vehicles (841)</v>
      </c>
      <c r="M369" s="361">
        <v>85</v>
      </c>
      <c r="N369" s="420" t="s">
        <v>823</v>
      </c>
      <c r="O369" s="420" t="s">
        <v>1074</v>
      </c>
      <c r="P369" s="420"/>
      <c r="Q369" s="420">
        <v>20750</v>
      </c>
      <c r="R369" s="428">
        <f t="shared" si="5"/>
        <v>-20750</v>
      </c>
      <c r="S369" s="428" t="str">
        <f>VLOOKUP(H369,'Fund Utilization Report'!$A$4:$U$1800,13,FALSE)</f>
        <v>MOOE</v>
      </c>
      <c r="T369" s="428" t="str">
        <f>VLOOKUP(H369,'Fund Utilization Report'!$A$4:$U$1800,2,FALSE)</f>
        <v>GAA</v>
      </c>
      <c r="U369" s="428" t="str">
        <f>VLOOKUP(H369,'Fund Utilization Report'!$A$4:$U$1800,3,FALSE)</f>
        <v>FY2021, RA11518</v>
      </c>
      <c r="V369" s="428" t="str">
        <f>VLOOKUP(H369,'Fund Utilization Report'!$A$4:$U$1800,4,FALSE)</f>
        <v>GAS(GMS)</v>
      </c>
      <c r="W369" s="428" t="str">
        <f>VLOOKUP(H369,'Fund Utilization Report'!$A$4:$U$1800,5,FALSE)</f>
        <v>01101101</v>
      </c>
      <c r="X369" s="428" t="str">
        <f>VLOOKUP(H369,'Fund Utilization Report'!$A$4:$U$1800,6,FALSE)</f>
        <v>GOP</v>
      </c>
      <c r="Y369" s="320" t="str">
        <f>VLOOKUP(H369,'Fund Utilization Report'!$A$4:$U$1800,7,FALSE)</f>
        <v>MOOE</v>
      </c>
      <c r="Z369" s="425">
        <f>VLOOKUP(H369,'Fund Utilization Report'!$A$4:$U$1800,8,FALSE)</f>
        <v>5020000000</v>
      </c>
      <c r="AA369" s="428" t="str">
        <f>VLOOKUP(H369,'Fund Utilization Report'!$A$4:$U$1800,14,FALSE)</f>
        <v>100000100001000</v>
      </c>
      <c r="AB369" s="349" t="str">
        <f>VLOOKUP(H369,'Fund Utilization Report'!$A$4:$U$1800,15,FALSE)</f>
        <v>General Administration and Supervision - General Management and Supervision</v>
      </c>
      <c r="AC369" s="39"/>
      <c r="AD369" s="34"/>
      <c r="AE369" s="39"/>
      <c r="AF369" s="51"/>
      <c r="AG369" s="40"/>
      <c r="AH369" s="40"/>
    </row>
    <row r="370" spans="1:34" s="32" customFormat="1">
      <c r="A370" s="338" t="s">
        <v>942</v>
      </c>
      <c r="B370" s="338" t="s">
        <v>945</v>
      </c>
      <c r="C370" s="358">
        <v>44230</v>
      </c>
      <c r="D370" s="351" t="s">
        <v>1028</v>
      </c>
      <c r="E370" s="352" t="s">
        <v>1082</v>
      </c>
      <c r="F370" s="338">
        <v>0.63958333333333328</v>
      </c>
      <c r="G370" s="338">
        <v>0.64166666666666672</v>
      </c>
      <c r="H370" s="338" t="s">
        <v>961</v>
      </c>
      <c r="I370" s="353">
        <v>891</v>
      </c>
      <c r="J370" s="338" t="str">
        <f>IFERROR(VLOOKUP(I370,'Chart of accounts'!A:H,2,FALSE),"")</f>
        <v>50215010 01</v>
      </c>
      <c r="K370" s="338" t="str">
        <f>IFERROR(VLOOKUP(I370,'Chart of accounts'!A:H,3,FALSE),"")</f>
        <v>Taxes, Duties and Licenses</v>
      </c>
      <c r="L370" s="338" t="str">
        <f>IFERROR(VLOOKUP(I370,'Chart of accounts'!A:H,4,FALSE),"")</f>
        <v>50215010 01 - Taxes, Duties and Licenses (891)</v>
      </c>
      <c r="M370" s="361">
        <v>85</v>
      </c>
      <c r="N370" s="420" t="s">
        <v>823</v>
      </c>
      <c r="O370" s="420" t="s">
        <v>1074</v>
      </c>
      <c r="P370" s="420"/>
      <c r="Q370" s="420">
        <v>691.67</v>
      </c>
      <c r="R370" s="428">
        <f t="shared" si="5"/>
        <v>-691.67</v>
      </c>
      <c r="S370" s="428" t="str">
        <f>VLOOKUP(H370,'Fund Utilization Report'!$A$4:$U$1800,13,FALSE)</f>
        <v>MOOE</v>
      </c>
      <c r="T370" s="428" t="str">
        <f>VLOOKUP(H370,'Fund Utilization Report'!$A$4:$U$1800,2,FALSE)</f>
        <v>GAA</v>
      </c>
      <c r="U370" s="428" t="str">
        <f>VLOOKUP(H370,'Fund Utilization Report'!$A$4:$U$1800,3,FALSE)</f>
        <v>FY2021, RA11518</v>
      </c>
      <c r="V370" s="428" t="str">
        <f>VLOOKUP(H370,'Fund Utilization Report'!$A$4:$U$1800,4,FALSE)</f>
        <v>GAS(GMS)</v>
      </c>
      <c r="W370" s="428" t="str">
        <f>VLOOKUP(H370,'Fund Utilization Report'!$A$4:$U$1800,5,FALSE)</f>
        <v>01101101</v>
      </c>
      <c r="X370" s="428" t="str">
        <f>VLOOKUP(H370,'Fund Utilization Report'!$A$4:$U$1800,6,FALSE)</f>
        <v>GOP</v>
      </c>
      <c r="Y370" s="320" t="str">
        <f>VLOOKUP(H370,'Fund Utilization Report'!$A$4:$U$1800,7,FALSE)</f>
        <v>MOOE</v>
      </c>
      <c r="Z370" s="425">
        <f>VLOOKUP(H370,'Fund Utilization Report'!$A$4:$U$1800,8,FALSE)</f>
        <v>5020000000</v>
      </c>
      <c r="AA370" s="428" t="str">
        <f>VLOOKUP(H370,'Fund Utilization Report'!$A$4:$U$1800,14,FALSE)</f>
        <v>100000100001000</v>
      </c>
      <c r="AB370" s="349" t="str">
        <f>VLOOKUP(H370,'Fund Utilization Report'!$A$4:$U$1800,15,FALSE)</f>
        <v>General Administration and Supervision - General Management and Supervision</v>
      </c>
      <c r="AC370" s="39"/>
      <c r="AD370" s="34"/>
      <c r="AE370" s="39"/>
      <c r="AF370" s="51"/>
      <c r="AG370" s="40"/>
      <c r="AH370" s="40"/>
    </row>
    <row r="371" spans="1:34" s="32" customFormat="1">
      <c r="A371" s="338" t="s">
        <v>942</v>
      </c>
      <c r="B371" s="338" t="s">
        <v>945</v>
      </c>
      <c r="C371" s="358">
        <v>44230</v>
      </c>
      <c r="D371" s="351" t="s">
        <v>1028</v>
      </c>
      <c r="E371" s="352" t="s">
        <v>1082</v>
      </c>
      <c r="F371" s="338">
        <v>0.63958333333333328</v>
      </c>
      <c r="G371" s="338">
        <v>0.64166666666666672</v>
      </c>
      <c r="H371" s="338" t="s">
        <v>961</v>
      </c>
      <c r="I371" s="353">
        <v>892</v>
      </c>
      <c r="J371" s="338" t="str">
        <f>IFERROR(VLOOKUP(I371,'Chart of accounts'!A:H,2,FALSE),"")</f>
        <v>50215020 00</v>
      </c>
      <c r="K371" s="338" t="str">
        <f>IFERROR(VLOOKUP(I371,'Chart of accounts'!A:H,3,FALSE),"")</f>
        <v>Fidelity Bond Premiums</v>
      </c>
      <c r="L371" s="338" t="str">
        <f>IFERROR(VLOOKUP(I371,'Chart of accounts'!A:H,4,FALSE),"")</f>
        <v>50215020 00 - Fidelity Bond Premiums (892)</v>
      </c>
      <c r="M371" s="361">
        <v>85</v>
      </c>
      <c r="N371" s="420" t="s">
        <v>823</v>
      </c>
      <c r="O371" s="420" t="s">
        <v>1074</v>
      </c>
      <c r="P371" s="420"/>
      <c r="Q371" s="420">
        <v>1746.46</v>
      </c>
      <c r="R371" s="428">
        <f t="shared" si="5"/>
        <v>-1746.46</v>
      </c>
      <c r="S371" s="428" t="str">
        <f>VLOOKUP(H371,'Fund Utilization Report'!$A$4:$U$1800,13,FALSE)</f>
        <v>MOOE</v>
      </c>
      <c r="T371" s="428" t="str">
        <f>VLOOKUP(H371,'Fund Utilization Report'!$A$4:$U$1800,2,FALSE)</f>
        <v>GAA</v>
      </c>
      <c r="U371" s="428" t="str">
        <f>VLOOKUP(H371,'Fund Utilization Report'!$A$4:$U$1800,3,FALSE)</f>
        <v>FY2021, RA11518</v>
      </c>
      <c r="V371" s="428" t="str">
        <f>VLOOKUP(H371,'Fund Utilization Report'!$A$4:$U$1800,4,FALSE)</f>
        <v>GAS(GMS)</v>
      </c>
      <c r="W371" s="428" t="str">
        <f>VLOOKUP(H371,'Fund Utilization Report'!$A$4:$U$1800,5,FALSE)</f>
        <v>01101101</v>
      </c>
      <c r="X371" s="428" t="str">
        <f>VLOOKUP(H371,'Fund Utilization Report'!$A$4:$U$1800,6,FALSE)</f>
        <v>GOP</v>
      </c>
      <c r="Y371" s="320" t="str">
        <f>VLOOKUP(H371,'Fund Utilization Report'!$A$4:$U$1800,7,FALSE)</f>
        <v>MOOE</v>
      </c>
      <c r="Z371" s="425">
        <f>VLOOKUP(H371,'Fund Utilization Report'!$A$4:$U$1800,8,FALSE)</f>
        <v>5020000000</v>
      </c>
      <c r="AA371" s="428" t="str">
        <f>VLOOKUP(H371,'Fund Utilization Report'!$A$4:$U$1800,14,FALSE)</f>
        <v>100000100001000</v>
      </c>
      <c r="AB371" s="349" t="str">
        <f>VLOOKUP(H371,'Fund Utilization Report'!$A$4:$U$1800,15,FALSE)</f>
        <v>General Administration and Supervision - General Management and Supervision</v>
      </c>
      <c r="AC371" s="39"/>
      <c r="AD371" s="34"/>
      <c r="AE371" s="39"/>
      <c r="AF371" s="51"/>
      <c r="AG371" s="40"/>
      <c r="AH371" s="40"/>
    </row>
    <row r="372" spans="1:34" s="32" customFormat="1">
      <c r="A372" s="338" t="s">
        <v>942</v>
      </c>
      <c r="B372" s="338" t="s">
        <v>945</v>
      </c>
      <c r="C372" s="358">
        <v>44230</v>
      </c>
      <c r="D372" s="351" t="s">
        <v>1028</v>
      </c>
      <c r="E372" s="352" t="s">
        <v>1082</v>
      </c>
      <c r="F372" s="338">
        <v>0.63958333333333328</v>
      </c>
      <c r="G372" s="338">
        <v>0.64166666666666672</v>
      </c>
      <c r="H372" s="338" t="s">
        <v>961</v>
      </c>
      <c r="I372" s="353">
        <v>893</v>
      </c>
      <c r="J372" s="338" t="str">
        <f>IFERROR(VLOOKUP(I372,'Chart of accounts'!A:H,2,FALSE),"")</f>
        <v>50215030 00</v>
      </c>
      <c r="K372" s="338" t="str">
        <f>IFERROR(VLOOKUP(I372,'Chart of accounts'!A:H,3,FALSE),"")</f>
        <v>Insurance Expense</v>
      </c>
      <c r="L372" s="338" t="str">
        <f>IFERROR(VLOOKUP(I372,'Chart of accounts'!A:H,4,FALSE),"")</f>
        <v>50215030 00 - Insurance Expense (893)</v>
      </c>
      <c r="M372" s="361">
        <v>85</v>
      </c>
      <c r="N372" s="420" t="s">
        <v>823</v>
      </c>
      <c r="O372" s="420" t="s">
        <v>1074</v>
      </c>
      <c r="P372" s="420"/>
      <c r="Q372" s="420">
        <v>3043.33</v>
      </c>
      <c r="R372" s="428">
        <f t="shared" si="5"/>
        <v>-3043.33</v>
      </c>
      <c r="S372" s="428" t="str">
        <f>VLOOKUP(H372,'Fund Utilization Report'!$A$4:$U$1800,13,FALSE)</f>
        <v>MOOE</v>
      </c>
      <c r="T372" s="428" t="str">
        <f>VLOOKUP(H372,'Fund Utilization Report'!$A$4:$U$1800,2,FALSE)</f>
        <v>GAA</v>
      </c>
      <c r="U372" s="428" t="str">
        <f>VLOOKUP(H372,'Fund Utilization Report'!$A$4:$U$1800,3,FALSE)</f>
        <v>FY2021, RA11518</v>
      </c>
      <c r="V372" s="428" t="str">
        <f>VLOOKUP(H372,'Fund Utilization Report'!$A$4:$U$1800,4,FALSE)</f>
        <v>GAS(GMS)</v>
      </c>
      <c r="W372" s="428" t="str">
        <f>VLOOKUP(H372,'Fund Utilization Report'!$A$4:$U$1800,5,FALSE)</f>
        <v>01101101</v>
      </c>
      <c r="X372" s="428" t="str">
        <f>VLOOKUP(H372,'Fund Utilization Report'!$A$4:$U$1800,6,FALSE)</f>
        <v>GOP</v>
      </c>
      <c r="Y372" s="320" t="str">
        <f>VLOOKUP(H372,'Fund Utilization Report'!$A$4:$U$1800,7,FALSE)</f>
        <v>MOOE</v>
      </c>
      <c r="Z372" s="425">
        <f>VLOOKUP(H372,'Fund Utilization Report'!$A$4:$U$1800,8,FALSE)</f>
        <v>5020000000</v>
      </c>
      <c r="AA372" s="428" t="str">
        <f>VLOOKUP(H372,'Fund Utilization Report'!$A$4:$U$1800,14,FALSE)</f>
        <v>100000100001000</v>
      </c>
      <c r="AB372" s="349" t="str">
        <f>VLOOKUP(H372,'Fund Utilization Report'!$A$4:$U$1800,15,FALSE)</f>
        <v>General Administration and Supervision - General Management and Supervision</v>
      </c>
      <c r="AC372" s="39"/>
      <c r="AD372" s="34"/>
      <c r="AE372" s="39"/>
      <c r="AF372" s="51"/>
      <c r="AG372" s="40"/>
      <c r="AH372" s="40"/>
    </row>
    <row r="373" spans="1:34" s="32" customFormat="1">
      <c r="A373" s="338" t="s">
        <v>942</v>
      </c>
      <c r="B373" s="338" t="s">
        <v>945</v>
      </c>
      <c r="C373" s="358">
        <v>44230</v>
      </c>
      <c r="D373" s="351" t="s">
        <v>1028</v>
      </c>
      <c r="E373" s="352" t="s">
        <v>1082</v>
      </c>
      <c r="F373" s="338">
        <v>0.63958333333333328</v>
      </c>
      <c r="G373" s="338">
        <v>0.64166666666666672</v>
      </c>
      <c r="H373" s="338" t="s">
        <v>961</v>
      </c>
      <c r="I373" s="353">
        <v>782</v>
      </c>
      <c r="J373" s="338" t="str">
        <f>IFERROR(VLOOKUP(I373,'Chart of accounts'!A:H,2,FALSE),"")</f>
        <v>50299050 01</v>
      </c>
      <c r="K373" s="338" t="str">
        <f>IFERROR(VLOOKUP(I373,'Chart of accounts'!A:H,3,FALSE),"")</f>
        <v>Rent - Buildings and Structures</v>
      </c>
      <c r="L373" s="338" t="str">
        <f>IFERROR(VLOOKUP(I373,'Chart of accounts'!A:H,4,FALSE),"")</f>
        <v>50299050 01 - Rent - Buildings and Structures (782)</v>
      </c>
      <c r="M373" s="361">
        <v>85</v>
      </c>
      <c r="N373" s="420" t="s">
        <v>823</v>
      </c>
      <c r="O373" s="420" t="s">
        <v>1074</v>
      </c>
      <c r="P373" s="420"/>
      <c r="Q373" s="420">
        <v>36520</v>
      </c>
      <c r="R373" s="428">
        <f t="shared" si="5"/>
        <v>-36520</v>
      </c>
      <c r="S373" s="428" t="str">
        <f>VLOOKUP(H373,'Fund Utilization Report'!$A$4:$U$1800,13,FALSE)</f>
        <v>MOOE</v>
      </c>
      <c r="T373" s="428" t="str">
        <f>VLOOKUP(H373,'Fund Utilization Report'!$A$4:$U$1800,2,FALSE)</f>
        <v>GAA</v>
      </c>
      <c r="U373" s="428" t="str">
        <f>VLOOKUP(H373,'Fund Utilization Report'!$A$4:$U$1800,3,FALSE)</f>
        <v>FY2021, RA11518</v>
      </c>
      <c r="V373" s="428" t="str">
        <f>VLOOKUP(H373,'Fund Utilization Report'!$A$4:$U$1800,4,FALSE)</f>
        <v>GAS(GMS)</v>
      </c>
      <c r="W373" s="428" t="str">
        <f>VLOOKUP(H373,'Fund Utilization Report'!$A$4:$U$1800,5,FALSE)</f>
        <v>01101101</v>
      </c>
      <c r="X373" s="428" t="str">
        <f>VLOOKUP(H373,'Fund Utilization Report'!$A$4:$U$1800,6,FALSE)</f>
        <v>GOP</v>
      </c>
      <c r="Y373" s="320" t="str">
        <f>VLOOKUP(H373,'Fund Utilization Report'!$A$4:$U$1800,7,FALSE)</f>
        <v>MOOE</v>
      </c>
      <c r="Z373" s="425">
        <f>VLOOKUP(H373,'Fund Utilization Report'!$A$4:$U$1800,8,FALSE)</f>
        <v>5020000000</v>
      </c>
      <c r="AA373" s="428" t="str">
        <f>VLOOKUP(H373,'Fund Utilization Report'!$A$4:$U$1800,14,FALSE)</f>
        <v>100000100001000</v>
      </c>
      <c r="AB373" s="349" t="str">
        <f>VLOOKUP(H373,'Fund Utilization Report'!$A$4:$U$1800,15,FALSE)</f>
        <v>General Administration and Supervision - General Management and Supervision</v>
      </c>
      <c r="AC373" s="39"/>
      <c r="AD373" s="34"/>
      <c r="AE373" s="39"/>
      <c r="AF373" s="51"/>
      <c r="AG373" s="40"/>
      <c r="AH373" s="40"/>
    </row>
    <row r="374" spans="1:34" s="32" customFormat="1">
      <c r="A374" s="338" t="s">
        <v>942</v>
      </c>
      <c r="B374" s="338" t="s">
        <v>945</v>
      </c>
      <c r="C374" s="358">
        <v>44230</v>
      </c>
      <c r="D374" s="351" t="s">
        <v>1028</v>
      </c>
      <c r="E374" s="352" t="s">
        <v>1082</v>
      </c>
      <c r="F374" s="338">
        <v>0.63958333333333328</v>
      </c>
      <c r="G374" s="338">
        <v>0.64166666666666672</v>
      </c>
      <c r="H374" s="338" t="s">
        <v>961</v>
      </c>
      <c r="I374" s="353">
        <v>751</v>
      </c>
      <c r="J374" s="338" t="str">
        <f>IFERROR(VLOOKUP(I374,'Chart of accounts'!A:H,2,FALSE),"")</f>
        <v>50201010 00</v>
      </c>
      <c r="K374" s="338" t="str">
        <f>IFERROR(VLOOKUP(I374,'Chart of accounts'!A:H,3,FALSE),"")</f>
        <v>Traveling Expenses - Local</v>
      </c>
      <c r="L374" s="338" t="str">
        <f>IFERROR(VLOOKUP(I374,'Chart of accounts'!A:H,4,FALSE),"")</f>
        <v>50201010 00 - Traveling Expenses - Local (751)</v>
      </c>
      <c r="M374" s="361">
        <v>85</v>
      </c>
      <c r="N374" s="420" t="s">
        <v>823</v>
      </c>
      <c r="O374" s="420" t="s">
        <v>1074</v>
      </c>
      <c r="P374" s="420"/>
      <c r="Q374" s="420">
        <v>1383.33</v>
      </c>
      <c r="R374" s="428">
        <f t="shared" si="5"/>
        <v>-1383.33</v>
      </c>
      <c r="S374" s="428" t="str">
        <f>VLOOKUP(H374,'Fund Utilization Report'!$A$4:$U$1800,13,FALSE)</f>
        <v>MOOE</v>
      </c>
      <c r="T374" s="428" t="str">
        <f>VLOOKUP(H374,'Fund Utilization Report'!$A$4:$U$1800,2,FALSE)</f>
        <v>GAA</v>
      </c>
      <c r="U374" s="428" t="str">
        <f>VLOOKUP(H374,'Fund Utilization Report'!$A$4:$U$1800,3,FALSE)</f>
        <v>FY2021, RA11518</v>
      </c>
      <c r="V374" s="428" t="str">
        <f>VLOOKUP(H374,'Fund Utilization Report'!$A$4:$U$1800,4,FALSE)</f>
        <v>GAS(GMS)</v>
      </c>
      <c r="W374" s="428" t="str">
        <f>VLOOKUP(H374,'Fund Utilization Report'!$A$4:$U$1800,5,FALSE)</f>
        <v>01101101</v>
      </c>
      <c r="X374" s="428" t="str">
        <f>VLOOKUP(H374,'Fund Utilization Report'!$A$4:$U$1800,6,FALSE)</f>
        <v>GOP</v>
      </c>
      <c r="Y374" s="320" t="str">
        <f>VLOOKUP(H374,'Fund Utilization Report'!$A$4:$U$1800,7,FALSE)</f>
        <v>MOOE</v>
      </c>
      <c r="Z374" s="425">
        <f>VLOOKUP(H374,'Fund Utilization Report'!$A$4:$U$1800,8,FALSE)</f>
        <v>5020000000</v>
      </c>
      <c r="AA374" s="428" t="str">
        <f>VLOOKUP(H374,'Fund Utilization Report'!$A$4:$U$1800,14,FALSE)</f>
        <v>100000100001000</v>
      </c>
      <c r="AB374" s="349" t="str">
        <f>VLOOKUP(H374,'Fund Utilization Report'!$A$4:$U$1800,15,FALSE)</f>
        <v>General Administration and Supervision - General Management and Supervision</v>
      </c>
      <c r="AC374" s="39"/>
      <c r="AD374" s="34"/>
      <c r="AE374" s="39"/>
      <c r="AF374" s="51"/>
      <c r="AG374" s="40"/>
      <c r="AH374" s="40"/>
    </row>
    <row r="375" spans="1:34" s="32" customFormat="1">
      <c r="A375" s="338" t="s">
        <v>942</v>
      </c>
      <c r="B375" s="338" t="s">
        <v>945</v>
      </c>
      <c r="C375" s="358">
        <v>44230</v>
      </c>
      <c r="D375" s="351" t="s">
        <v>1028</v>
      </c>
      <c r="E375" s="352" t="s">
        <v>1082</v>
      </c>
      <c r="F375" s="338">
        <v>0.63958333333333328</v>
      </c>
      <c r="G375" s="338">
        <v>0.64166666666666672</v>
      </c>
      <c r="H375" s="338" t="s">
        <v>961</v>
      </c>
      <c r="I375" s="353">
        <v>755</v>
      </c>
      <c r="J375" s="338" t="str">
        <f>IFERROR(VLOOKUP(I375,'Chart of accounts'!A:H,2,FALSE),"")</f>
        <v>50203010 00</v>
      </c>
      <c r="K375" s="338" t="str">
        <f>IFERROR(VLOOKUP(I375,'Chart of accounts'!A:H,3,FALSE),"")</f>
        <v>Office Supplies Expenses</v>
      </c>
      <c r="L375" s="338" t="str">
        <f>IFERROR(VLOOKUP(I375,'Chart of accounts'!A:H,4,FALSE),"")</f>
        <v>50203010 00 - Office Supplies Expenses (755)</v>
      </c>
      <c r="M375" s="361">
        <v>85</v>
      </c>
      <c r="N375" s="420" t="s">
        <v>823</v>
      </c>
      <c r="O375" s="420" t="s">
        <v>1074</v>
      </c>
      <c r="P375" s="420"/>
      <c r="Q375" s="420">
        <v>6916.67</v>
      </c>
      <c r="R375" s="428">
        <f t="shared" si="5"/>
        <v>-6916.67</v>
      </c>
      <c r="S375" s="428" t="str">
        <f>VLOOKUP(H375,'Fund Utilization Report'!$A$4:$U$1800,13,FALSE)</f>
        <v>MOOE</v>
      </c>
      <c r="T375" s="428" t="str">
        <f>VLOOKUP(H375,'Fund Utilization Report'!$A$4:$U$1800,2,FALSE)</f>
        <v>GAA</v>
      </c>
      <c r="U375" s="428" t="str">
        <f>VLOOKUP(H375,'Fund Utilization Report'!$A$4:$U$1800,3,FALSE)</f>
        <v>FY2021, RA11518</v>
      </c>
      <c r="V375" s="428" t="str">
        <f>VLOOKUP(H375,'Fund Utilization Report'!$A$4:$U$1800,4,FALSE)</f>
        <v>GAS(GMS)</v>
      </c>
      <c r="W375" s="428" t="str">
        <f>VLOOKUP(H375,'Fund Utilization Report'!$A$4:$U$1800,5,FALSE)</f>
        <v>01101101</v>
      </c>
      <c r="X375" s="428" t="str">
        <f>VLOOKUP(H375,'Fund Utilization Report'!$A$4:$U$1800,6,FALSE)</f>
        <v>GOP</v>
      </c>
      <c r="Y375" s="320" t="str">
        <f>VLOOKUP(H375,'Fund Utilization Report'!$A$4:$U$1800,7,FALSE)</f>
        <v>MOOE</v>
      </c>
      <c r="Z375" s="425">
        <f>VLOOKUP(H375,'Fund Utilization Report'!$A$4:$U$1800,8,FALSE)</f>
        <v>5020000000</v>
      </c>
      <c r="AA375" s="428" t="str">
        <f>VLOOKUP(H375,'Fund Utilization Report'!$A$4:$U$1800,14,FALSE)</f>
        <v>100000100001000</v>
      </c>
      <c r="AB375" s="349" t="str">
        <f>VLOOKUP(H375,'Fund Utilization Report'!$A$4:$U$1800,15,FALSE)</f>
        <v>General Administration and Supervision - General Management and Supervision</v>
      </c>
      <c r="AC375" s="39"/>
      <c r="AD375" s="34"/>
      <c r="AE375" s="39"/>
      <c r="AF375" s="51"/>
      <c r="AG375" s="40"/>
      <c r="AH375" s="40"/>
    </row>
    <row r="376" spans="1:34" s="32" customFormat="1">
      <c r="A376" s="338" t="s">
        <v>942</v>
      </c>
      <c r="B376" s="338" t="s">
        <v>945</v>
      </c>
      <c r="C376" s="358">
        <v>44230</v>
      </c>
      <c r="D376" s="351" t="s">
        <v>1028</v>
      </c>
      <c r="E376" s="352" t="s">
        <v>1082</v>
      </c>
      <c r="F376" s="338">
        <v>0.63958333333333328</v>
      </c>
      <c r="G376" s="338">
        <v>0.64166666666666672</v>
      </c>
      <c r="H376" s="338" t="s">
        <v>961</v>
      </c>
      <c r="I376" s="353">
        <v>781</v>
      </c>
      <c r="J376" s="338" t="str">
        <f>IFERROR(VLOOKUP(I376,'Chart of accounts'!A:H,2,FALSE),"")</f>
        <v>50299020 00</v>
      </c>
      <c r="K376" s="338" t="str">
        <f>IFERROR(VLOOKUP(I376,'Chart of accounts'!A:H,3,FALSE),"")</f>
        <v>Printing and Binding Expenses</v>
      </c>
      <c r="L376" s="338" t="str">
        <f>IFERROR(VLOOKUP(I376,'Chart of accounts'!A:H,4,FALSE),"")</f>
        <v>50299020 00 - Printing and Binding Expenses (781)</v>
      </c>
      <c r="M376" s="361">
        <v>85</v>
      </c>
      <c r="N376" s="420" t="s">
        <v>823</v>
      </c>
      <c r="O376" s="420" t="s">
        <v>1074</v>
      </c>
      <c r="P376" s="420"/>
      <c r="Q376" s="420">
        <v>691.67</v>
      </c>
      <c r="R376" s="428">
        <f t="shared" si="5"/>
        <v>-691.67</v>
      </c>
      <c r="S376" s="428" t="str">
        <f>VLOOKUP(H376,'Fund Utilization Report'!$A$4:$U$1800,13,FALSE)</f>
        <v>MOOE</v>
      </c>
      <c r="T376" s="428" t="str">
        <f>VLOOKUP(H376,'Fund Utilization Report'!$A$4:$U$1800,2,FALSE)</f>
        <v>GAA</v>
      </c>
      <c r="U376" s="428" t="str">
        <f>VLOOKUP(H376,'Fund Utilization Report'!$A$4:$U$1800,3,FALSE)</f>
        <v>FY2021, RA11518</v>
      </c>
      <c r="V376" s="428" t="str">
        <f>VLOOKUP(H376,'Fund Utilization Report'!$A$4:$U$1800,4,FALSE)</f>
        <v>GAS(GMS)</v>
      </c>
      <c r="W376" s="428" t="str">
        <f>VLOOKUP(H376,'Fund Utilization Report'!$A$4:$U$1800,5,FALSE)</f>
        <v>01101101</v>
      </c>
      <c r="X376" s="428" t="str">
        <f>VLOOKUP(H376,'Fund Utilization Report'!$A$4:$U$1800,6,FALSE)</f>
        <v>GOP</v>
      </c>
      <c r="Y376" s="320" t="str">
        <f>VLOOKUP(H376,'Fund Utilization Report'!$A$4:$U$1800,7,FALSE)</f>
        <v>MOOE</v>
      </c>
      <c r="Z376" s="425">
        <f>VLOOKUP(H376,'Fund Utilization Report'!$A$4:$U$1800,8,FALSE)</f>
        <v>5020000000</v>
      </c>
      <c r="AA376" s="428" t="str">
        <f>VLOOKUP(H376,'Fund Utilization Report'!$A$4:$U$1800,14,FALSE)</f>
        <v>100000100001000</v>
      </c>
      <c r="AB376" s="349" t="str">
        <f>VLOOKUP(H376,'Fund Utilization Report'!$A$4:$U$1800,15,FALSE)</f>
        <v>General Administration and Supervision - General Management and Supervision</v>
      </c>
      <c r="AC376" s="39"/>
      <c r="AD376" s="34"/>
      <c r="AE376" s="39"/>
      <c r="AF376" s="51"/>
      <c r="AG376" s="40"/>
      <c r="AH376" s="40"/>
    </row>
    <row r="377" spans="1:34" s="32" customFormat="1">
      <c r="A377" s="338" t="s">
        <v>942</v>
      </c>
      <c r="B377" s="338" t="s">
        <v>945</v>
      </c>
      <c r="C377" s="358">
        <v>44230</v>
      </c>
      <c r="D377" s="351" t="s">
        <v>1028</v>
      </c>
      <c r="E377" s="352" t="s">
        <v>1082</v>
      </c>
      <c r="F377" s="338">
        <v>0.63958333333333328</v>
      </c>
      <c r="G377" s="338">
        <v>0.64166666666666672</v>
      </c>
      <c r="H377" s="338" t="s">
        <v>961</v>
      </c>
      <c r="I377" s="353">
        <v>783</v>
      </c>
      <c r="J377" s="338" t="str">
        <f>IFERROR(VLOOKUP(I377,'Chart of accounts'!A:H,2,FALSE),"")</f>
        <v>50299030 00</v>
      </c>
      <c r="K377" s="338" t="str">
        <f>IFERROR(VLOOKUP(I377,'Chart of accounts'!A:H,3,FALSE),"")</f>
        <v>Representation Expenses</v>
      </c>
      <c r="L377" s="338" t="str">
        <f>IFERROR(VLOOKUP(I377,'Chart of accounts'!A:H,4,FALSE),"")</f>
        <v>50299030 00 - Representation Expenses (783)</v>
      </c>
      <c r="M377" s="361">
        <v>85</v>
      </c>
      <c r="N377" s="420" t="s">
        <v>823</v>
      </c>
      <c r="O377" s="420" t="s">
        <v>1074</v>
      </c>
      <c r="P377" s="420"/>
      <c r="Q377" s="420">
        <v>2877.33</v>
      </c>
      <c r="R377" s="428">
        <f t="shared" si="5"/>
        <v>-2877.33</v>
      </c>
      <c r="S377" s="428" t="str">
        <f>VLOOKUP(H377,'Fund Utilization Report'!$A$4:$U$1800,13,FALSE)</f>
        <v>MOOE</v>
      </c>
      <c r="T377" s="428" t="str">
        <f>VLOOKUP(H377,'Fund Utilization Report'!$A$4:$U$1800,2,FALSE)</f>
        <v>GAA</v>
      </c>
      <c r="U377" s="428" t="str">
        <f>VLOOKUP(H377,'Fund Utilization Report'!$A$4:$U$1800,3,FALSE)</f>
        <v>FY2021, RA11518</v>
      </c>
      <c r="V377" s="428" t="str">
        <f>VLOOKUP(H377,'Fund Utilization Report'!$A$4:$U$1800,4,FALSE)</f>
        <v>GAS(GMS)</v>
      </c>
      <c r="W377" s="428" t="str">
        <f>VLOOKUP(H377,'Fund Utilization Report'!$A$4:$U$1800,5,FALSE)</f>
        <v>01101101</v>
      </c>
      <c r="X377" s="428" t="str">
        <f>VLOOKUP(H377,'Fund Utilization Report'!$A$4:$U$1800,6,FALSE)</f>
        <v>GOP</v>
      </c>
      <c r="Y377" s="320" t="str">
        <f>VLOOKUP(H377,'Fund Utilization Report'!$A$4:$U$1800,7,FALSE)</f>
        <v>MOOE</v>
      </c>
      <c r="Z377" s="425">
        <f>VLOOKUP(H377,'Fund Utilization Report'!$A$4:$U$1800,8,FALSE)</f>
        <v>5020000000</v>
      </c>
      <c r="AA377" s="428" t="str">
        <f>VLOOKUP(H377,'Fund Utilization Report'!$A$4:$U$1800,14,FALSE)</f>
        <v>100000100001000</v>
      </c>
      <c r="AB377" s="349" t="str">
        <f>VLOOKUP(H377,'Fund Utilization Report'!$A$4:$U$1800,15,FALSE)</f>
        <v>General Administration and Supervision - General Management and Supervision</v>
      </c>
      <c r="AC377" s="39"/>
      <c r="AD377" s="34"/>
      <c r="AE377" s="39"/>
      <c r="AF377" s="51"/>
      <c r="AG377" s="40"/>
      <c r="AH377" s="40"/>
    </row>
    <row r="378" spans="1:34" s="32" customFormat="1">
      <c r="A378" s="338" t="s">
        <v>942</v>
      </c>
      <c r="B378" s="338" t="s">
        <v>945</v>
      </c>
      <c r="C378" s="358">
        <v>44230</v>
      </c>
      <c r="D378" s="351" t="s">
        <v>1028</v>
      </c>
      <c r="E378" s="352" t="s">
        <v>1082</v>
      </c>
      <c r="F378" s="338">
        <v>0.63958333333333328</v>
      </c>
      <c r="G378" s="338">
        <v>0.64166666666666672</v>
      </c>
      <c r="H378" s="338" t="s">
        <v>968</v>
      </c>
      <c r="I378" s="353">
        <v>784</v>
      </c>
      <c r="J378" s="338" t="str">
        <f>IFERROR(VLOOKUP(I378,'Chart of accounts'!A:H,2,FALSE),"")</f>
        <v>50299040 00</v>
      </c>
      <c r="K378" s="338" t="str">
        <f>IFERROR(VLOOKUP(I378,'Chart of accounts'!A:H,3,FALSE),"")</f>
        <v>Transportation and Delivery Expenses</v>
      </c>
      <c r="L378" s="338" t="str">
        <f>IFERROR(VLOOKUP(I378,'Chart of accounts'!A:H,4,FALSE),"")</f>
        <v>50299040 00 - Transportation and Delivery Expenses (784)</v>
      </c>
      <c r="M378" s="361">
        <v>85</v>
      </c>
      <c r="N378" s="420" t="s">
        <v>823</v>
      </c>
      <c r="O378" s="420" t="s">
        <v>1074</v>
      </c>
      <c r="P378" s="420"/>
      <c r="Q378" s="420">
        <v>5533.33</v>
      </c>
      <c r="R378" s="428">
        <f t="shared" si="5"/>
        <v>-5533.33</v>
      </c>
      <c r="S378" s="428" t="str">
        <f>VLOOKUP(H378,'Fund Utilization Report'!$A$4:$U$1800,13,FALSE)</f>
        <v>MOOE</v>
      </c>
      <c r="T378" s="428" t="str">
        <f>VLOOKUP(H378,'Fund Utilization Report'!$A$4:$U$1800,2,FALSE)</f>
        <v>GAA</v>
      </c>
      <c r="U378" s="428" t="str">
        <f>VLOOKUP(H378,'Fund Utilization Report'!$A$4:$U$1800,3,FALSE)</f>
        <v>FY2021, RA11518</v>
      </c>
      <c r="V378" s="428" t="str">
        <f>VLOOKUP(H378,'Fund Utilization Report'!$A$4:$U$1800,4,FALSE)</f>
        <v>OO2</v>
      </c>
      <c r="W378" s="428" t="str">
        <f>VLOOKUP(H378,'Fund Utilization Report'!$A$4:$U$1800,5,FALSE)</f>
        <v>01101101</v>
      </c>
      <c r="X378" s="428" t="str">
        <f>VLOOKUP(H378,'Fund Utilization Report'!$A$4:$U$1800,6,FALSE)</f>
        <v>GOP</v>
      </c>
      <c r="Y378" s="320" t="str">
        <f>VLOOKUP(H378,'Fund Utilization Report'!$A$4:$U$1800,7,FALSE)</f>
        <v>MOOE</v>
      </c>
      <c r="Z378" s="425">
        <f>VLOOKUP(H378,'Fund Utilization Report'!$A$4:$U$1800,8,FALSE)</f>
        <v>5020000000</v>
      </c>
      <c r="AA378" s="428" t="str">
        <f>VLOOKUP(H378,'Fund Utilization Report'!$A$4:$U$1800,14,FALSE)</f>
        <v>320100100001000</v>
      </c>
      <c r="AB378" s="349" t="str">
        <f>VLOOKUP(H378,'Fund Utilization Report'!$A$4:$U$1800,15,FALSE)</f>
        <v>Formulation of Strategic plans,programs, and policies to develop competitve industries</v>
      </c>
      <c r="AC378" s="39"/>
      <c r="AD378" s="34"/>
      <c r="AE378" s="39"/>
      <c r="AF378" s="51"/>
      <c r="AG378" s="40"/>
      <c r="AH378" s="40"/>
    </row>
    <row r="379" spans="1:34" s="32" customFormat="1">
      <c r="A379" s="338" t="s">
        <v>942</v>
      </c>
      <c r="B379" s="338" t="s">
        <v>945</v>
      </c>
      <c r="C379" s="358">
        <v>44230</v>
      </c>
      <c r="D379" s="351" t="s">
        <v>1028</v>
      </c>
      <c r="E379" s="352" t="s">
        <v>1082</v>
      </c>
      <c r="F379" s="338">
        <v>0.63958333333333328</v>
      </c>
      <c r="G379" s="338">
        <v>0.64166666666666672</v>
      </c>
      <c r="H379" s="338" t="s">
        <v>961</v>
      </c>
      <c r="I379" s="353">
        <v>969</v>
      </c>
      <c r="J379" s="338" t="str">
        <f>IFERROR(VLOOKUP(I379,'Chart of accounts'!A:H,2,FALSE),"")</f>
        <v>50299990 99</v>
      </c>
      <c r="K379" s="338" t="str">
        <f>IFERROR(VLOOKUP(I379,'Chart of accounts'!A:H,3,FALSE),"")</f>
        <v>Other Maintenance and Operating Expenses</v>
      </c>
      <c r="L379" s="338" t="str">
        <f>IFERROR(VLOOKUP(I379,'Chart of accounts'!A:H,4,FALSE),"")</f>
        <v>50299990 99 - Other Maintenance and Operating Expenses (969)</v>
      </c>
      <c r="M379" s="361">
        <v>85</v>
      </c>
      <c r="N379" s="420" t="s">
        <v>823</v>
      </c>
      <c r="O379" s="420" t="s">
        <v>1074</v>
      </c>
      <c r="P379" s="420"/>
      <c r="Q379" s="420">
        <v>6301.33</v>
      </c>
      <c r="R379" s="428">
        <f t="shared" si="5"/>
        <v>-6301.33</v>
      </c>
      <c r="S379" s="428" t="str">
        <f>VLOOKUP(H379,'Fund Utilization Report'!$A$4:$U$1800,13,FALSE)</f>
        <v>MOOE</v>
      </c>
      <c r="T379" s="428" t="str">
        <f>VLOOKUP(H379,'Fund Utilization Report'!$A$4:$U$1800,2,FALSE)</f>
        <v>GAA</v>
      </c>
      <c r="U379" s="428" t="str">
        <f>VLOOKUP(H379,'Fund Utilization Report'!$A$4:$U$1800,3,FALSE)</f>
        <v>FY2021, RA11518</v>
      </c>
      <c r="V379" s="428" t="str">
        <f>VLOOKUP(H379,'Fund Utilization Report'!$A$4:$U$1800,4,FALSE)</f>
        <v>GAS(GMS)</v>
      </c>
      <c r="W379" s="428" t="str">
        <f>VLOOKUP(H379,'Fund Utilization Report'!$A$4:$U$1800,5,FALSE)</f>
        <v>01101101</v>
      </c>
      <c r="X379" s="428" t="str">
        <f>VLOOKUP(H379,'Fund Utilization Report'!$A$4:$U$1800,6,FALSE)</f>
        <v>GOP</v>
      </c>
      <c r="Y379" s="320" t="str">
        <f>VLOOKUP(H379,'Fund Utilization Report'!$A$4:$U$1800,7,FALSE)</f>
        <v>MOOE</v>
      </c>
      <c r="Z379" s="425">
        <f>VLOOKUP(H379,'Fund Utilization Report'!$A$4:$U$1800,8,FALSE)</f>
        <v>5020000000</v>
      </c>
      <c r="AA379" s="428" t="str">
        <f>VLOOKUP(H379,'Fund Utilization Report'!$A$4:$U$1800,14,FALSE)</f>
        <v>100000100001000</v>
      </c>
      <c r="AB379" s="349" t="str">
        <f>VLOOKUP(H379,'Fund Utilization Report'!$A$4:$U$1800,15,FALSE)</f>
        <v>General Administration and Supervision - General Management and Supervision</v>
      </c>
      <c r="AC379" s="39"/>
      <c r="AD379" s="34"/>
      <c r="AE379" s="39"/>
      <c r="AF379" s="51"/>
      <c r="AG379" s="40"/>
      <c r="AH379" s="40"/>
    </row>
    <row r="380" spans="1:34" s="32" customFormat="1" ht="27.6">
      <c r="A380" s="338" t="s">
        <v>942</v>
      </c>
      <c r="B380" s="338" t="s">
        <v>945</v>
      </c>
      <c r="C380" s="358">
        <v>44230</v>
      </c>
      <c r="D380" s="351" t="s">
        <v>1028</v>
      </c>
      <c r="E380" s="352" t="s">
        <v>1083</v>
      </c>
      <c r="F380" s="338">
        <v>0.64166666666666672</v>
      </c>
      <c r="G380" s="338">
        <v>0.64374999999999993</v>
      </c>
      <c r="H380" s="338" t="s">
        <v>971</v>
      </c>
      <c r="I380" s="353">
        <v>795</v>
      </c>
      <c r="J380" s="338" t="str">
        <f>IFERROR(VLOOKUP(I380,'Chart of accounts'!A:H,2,FALSE),"")</f>
        <v>50212990 00</v>
      </c>
      <c r="K380" s="338" t="str">
        <f>IFERROR(VLOOKUP(I380,'Chart of accounts'!A:H,3,FALSE),"")</f>
        <v>Other General Services</v>
      </c>
      <c r="L380" s="338" t="str">
        <f>IFERROR(VLOOKUP(I380,'Chart of accounts'!A:H,4,FALSE),"")</f>
        <v>50212990 00 - Other General Services (795)</v>
      </c>
      <c r="M380" s="361" t="s">
        <v>812</v>
      </c>
      <c r="N380" s="355" t="s">
        <v>1075</v>
      </c>
      <c r="O380" s="355" t="s">
        <v>1076</v>
      </c>
      <c r="P380" s="355"/>
      <c r="Q380" s="427">
        <f>5534+5534</f>
        <v>11068</v>
      </c>
      <c r="R380" s="319">
        <f t="shared" si="5"/>
        <v>-11068</v>
      </c>
      <c r="S380" s="428" t="str">
        <f>VLOOKUP(H380,'Fund Utilization Report'!$A$4:$U$1800,13,FALSE)</f>
        <v>MOOE</v>
      </c>
      <c r="T380" s="428" t="str">
        <f>VLOOKUP(H380,'Fund Utilization Report'!$A$4:$U$1800,2,FALSE)</f>
        <v>GAA</v>
      </c>
      <c r="U380" s="428" t="str">
        <f>VLOOKUP(H380,'Fund Utilization Report'!$A$4:$U$1800,3,FALSE)</f>
        <v>FY2021, RA11518</v>
      </c>
      <c r="V380" s="428" t="str">
        <f>VLOOKUP(H380,'Fund Utilization Report'!$A$4:$U$1800,4,FALSE)</f>
        <v>OO3</v>
      </c>
      <c r="W380" s="428" t="str">
        <f>VLOOKUP(H380,'Fund Utilization Report'!$A$4:$U$1800,5,FALSE)</f>
        <v>01101101</v>
      </c>
      <c r="X380" s="428" t="str">
        <f>VLOOKUP(H380,'Fund Utilization Report'!$A$4:$U$1800,6,FALSE)</f>
        <v>GOP</v>
      </c>
      <c r="Y380" s="320" t="str">
        <f>VLOOKUP(H380,'Fund Utilization Report'!$A$4:$U$1800,7,FALSE)</f>
        <v>MOOE</v>
      </c>
      <c r="Z380" s="425">
        <f>VLOOKUP(H380,'Fund Utilization Report'!$A$4:$U$1800,8,FALSE)</f>
        <v>5020000000</v>
      </c>
      <c r="AA380" s="428" t="str">
        <f>VLOOKUP(H380,'Fund Utilization Report'!$A$4:$U$1800,14,FALSE)</f>
        <v>330100100002000</v>
      </c>
      <c r="AB380" s="349" t="str">
        <f>VLOOKUP(H380,'Fund Utilization Report'!$A$4:$U$1800,15,FALSE)</f>
        <v>Implementation of the MSME Development Plan and other initiatives to promote the growth of Micro, Small and Medium Enterprises</v>
      </c>
      <c r="AC380" s="39"/>
      <c r="AD380" s="34"/>
      <c r="AE380" s="39"/>
      <c r="AF380" s="51"/>
      <c r="AG380" s="40"/>
      <c r="AH380" s="40"/>
    </row>
    <row r="381" spans="1:34" s="32" customFormat="1" ht="27.6">
      <c r="A381" s="338" t="s">
        <v>942</v>
      </c>
      <c r="B381" s="338" t="s">
        <v>945</v>
      </c>
      <c r="C381" s="358">
        <v>44230</v>
      </c>
      <c r="D381" s="351" t="s">
        <v>1028</v>
      </c>
      <c r="E381" s="352" t="s">
        <v>1083</v>
      </c>
      <c r="F381" s="338">
        <v>0.64166666666666672</v>
      </c>
      <c r="G381" s="338">
        <v>0.64374999999999993</v>
      </c>
      <c r="H381" s="338" t="s">
        <v>983</v>
      </c>
      <c r="I381" s="353">
        <v>799</v>
      </c>
      <c r="J381" s="338" t="str">
        <f>IFERROR(VLOOKUP(I381,'Chart of accounts'!A:H,2,FALSE),"")</f>
        <v>50211990 00</v>
      </c>
      <c r="K381" s="338" t="str">
        <f>IFERROR(VLOOKUP(I381,'Chart of accounts'!A:H,3,FALSE),"")</f>
        <v>Other Professional Services</v>
      </c>
      <c r="L381" s="338" t="str">
        <f>IFERROR(VLOOKUP(I381,'Chart of accounts'!A:H,4,FALSE),"")</f>
        <v>50211990 00 - Other Professional Services (799)</v>
      </c>
      <c r="M381" s="361" t="s">
        <v>5</v>
      </c>
      <c r="N381" s="355" t="s">
        <v>1075</v>
      </c>
      <c r="O381" s="355" t="s">
        <v>1076</v>
      </c>
      <c r="P381" s="355"/>
      <c r="Q381" s="427">
        <f>5030.91+5534</f>
        <v>10564.91</v>
      </c>
      <c r="R381" s="319">
        <f t="shared" si="5"/>
        <v>-10564.91</v>
      </c>
      <c r="S381" s="428" t="str">
        <f>VLOOKUP(H381,'Fund Utilization Report'!$A$4:$U$1800,13,FALSE)</f>
        <v>MOOE</v>
      </c>
      <c r="T381" s="428" t="str">
        <f>VLOOKUP(H381,'Fund Utilization Report'!$A$4:$U$1800,2,FALSE)</f>
        <v>GAA</v>
      </c>
      <c r="U381" s="428" t="str">
        <f>VLOOKUP(H381,'Fund Utilization Report'!$A$4:$U$1800,3,FALSE)</f>
        <v>FY2021, RA11518</v>
      </c>
      <c r="V381" s="428" t="str">
        <f>VLOOKUP(H381,'Fund Utilization Report'!$A$4:$U$1800,4,FALSE)</f>
        <v>SSF</v>
      </c>
      <c r="W381" s="428" t="str">
        <f>VLOOKUP(H381,'Fund Utilization Report'!$A$4:$U$1800,5,FALSE)</f>
        <v>01101101</v>
      </c>
      <c r="X381" s="428" t="str">
        <f>VLOOKUP(H381,'Fund Utilization Report'!$A$4:$U$1800,6,FALSE)</f>
        <v>GOP</v>
      </c>
      <c r="Y381" s="320" t="str">
        <f>VLOOKUP(H381,'Fund Utilization Report'!$A$4:$U$1800,7,FALSE)</f>
        <v>MOOE</v>
      </c>
      <c r="Z381" s="425">
        <f>VLOOKUP(H381,'Fund Utilization Report'!$A$4:$U$1800,8,FALSE)</f>
        <v>5020000000</v>
      </c>
      <c r="AA381" s="428" t="str">
        <f>VLOOKUP(H381,'Fund Utilization Report'!$A$4:$U$1800,14,FALSE)</f>
        <v>330100200003000</v>
      </c>
      <c r="AB381" s="349" t="str">
        <f>VLOOKUP(H381,'Fund Utilization Report'!$A$4:$U$1800,15,FALSE)</f>
        <v>Shared Service Facilities Project</v>
      </c>
      <c r="AC381" s="39"/>
      <c r="AD381" s="34"/>
      <c r="AE381" s="39"/>
      <c r="AF381" s="51"/>
      <c r="AG381" s="40"/>
      <c r="AH381" s="40"/>
    </row>
    <row r="382" spans="1:34" s="32" customFormat="1" ht="27.6">
      <c r="A382" s="338" t="s">
        <v>942</v>
      </c>
      <c r="B382" s="338" t="s">
        <v>945</v>
      </c>
      <c r="C382" s="358">
        <v>44230</v>
      </c>
      <c r="D382" s="351" t="s">
        <v>1028</v>
      </c>
      <c r="E382" s="352" t="s">
        <v>1083</v>
      </c>
      <c r="F382" s="338">
        <v>0.64166666666666672</v>
      </c>
      <c r="G382" s="338">
        <v>0.64374999999999993</v>
      </c>
      <c r="H382" s="338" t="s">
        <v>961</v>
      </c>
      <c r="I382" s="353">
        <v>792</v>
      </c>
      <c r="J382" s="338" t="str">
        <f>IFERROR(VLOOKUP(I382,'Chart of accounts'!A:H,2,FALSE),"")</f>
        <v>50211020 00</v>
      </c>
      <c r="K382" s="338" t="str">
        <f>IFERROR(VLOOKUP(I382,'Chart of accounts'!A:H,3,FALSE),"")</f>
        <v>Auditing Services</v>
      </c>
      <c r="L382" s="338" t="str">
        <f>IFERROR(VLOOKUP(I382,'Chart of accounts'!A:H,4,FALSE),"")</f>
        <v>50211020 00 - Auditing Services (792)</v>
      </c>
      <c r="M382" s="361" t="s">
        <v>1404</v>
      </c>
      <c r="N382" s="355" t="s">
        <v>1075</v>
      </c>
      <c r="O382" s="355" t="s">
        <v>1076</v>
      </c>
      <c r="P382" s="355"/>
      <c r="Q382" s="427">
        <v>5534</v>
      </c>
      <c r="R382" s="319">
        <f t="shared" si="5"/>
        <v>-5534</v>
      </c>
      <c r="S382" s="428" t="str">
        <f>VLOOKUP(H382,'Fund Utilization Report'!$A$4:$U$1800,13,FALSE)</f>
        <v>MOOE</v>
      </c>
      <c r="T382" s="428" t="str">
        <f>VLOOKUP(H382,'Fund Utilization Report'!$A$4:$U$1800,2,FALSE)</f>
        <v>GAA</v>
      </c>
      <c r="U382" s="428" t="str">
        <f>VLOOKUP(H382,'Fund Utilization Report'!$A$4:$U$1800,3,FALSE)</f>
        <v>FY2021, RA11518</v>
      </c>
      <c r="V382" s="428" t="str">
        <f>VLOOKUP(H382,'Fund Utilization Report'!$A$4:$U$1800,4,FALSE)</f>
        <v>GAS(GMS)</v>
      </c>
      <c r="W382" s="428" t="str">
        <f>VLOOKUP(H382,'Fund Utilization Report'!$A$4:$U$1800,5,FALSE)</f>
        <v>01101101</v>
      </c>
      <c r="X382" s="428" t="str">
        <f>VLOOKUP(H382,'Fund Utilization Report'!$A$4:$U$1800,6,FALSE)</f>
        <v>GOP</v>
      </c>
      <c r="Y382" s="320" t="str">
        <f>VLOOKUP(H382,'Fund Utilization Report'!$A$4:$U$1800,7,FALSE)</f>
        <v>MOOE</v>
      </c>
      <c r="Z382" s="425">
        <f>VLOOKUP(H382,'Fund Utilization Report'!$A$4:$U$1800,8,FALSE)</f>
        <v>5020000000</v>
      </c>
      <c r="AA382" s="428" t="str">
        <f>VLOOKUP(H382,'Fund Utilization Report'!$A$4:$U$1800,14,FALSE)</f>
        <v>100000100001000</v>
      </c>
      <c r="AB382" s="349" t="str">
        <f>VLOOKUP(H382,'Fund Utilization Report'!$A$4:$U$1800,15,FALSE)</f>
        <v>General Administration and Supervision - General Management and Supervision</v>
      </c>
      <c r="AC382" s="39"/>
      <c r="AD382" s="34"/>
      <c r="AE382" s="39"/>
      <c r="AF382" s="51"/>
      <c r="AG382" s="40"/>
      <c r="AH382" s="40"/>
    </row>
    <row r="383" spans="1:34" s="32" customFormat="1" ht="27.6">
      <c r="A383" s="338" t="s">
        <v>942</v>
      </c>
      <c r="B383" s="338" t="s">
        <v>945</v>
      </c>
      <c r="C383" s="358">
        <v>44230</v>
      </c>
      <c r="D383" s="351" t="s">
        <v>1028</v>
      </c>
      <c r="E383" s="352" t="s">
        <v>1083</v>
      </c>
      <c r="F383" s="338">
        <v>0.64166666666666672</v>
      </c>
      <c r="G383" s="338">
        <v>0.64374999999999993</v>
      </c>
      <c r="H383" s="338" t="s">
        <v>971</v>
      </c>
      <c r="I383" s="353">
        <v>795</v>
      </c>
      <c r="J383" s="338" t="str">
        <f>IFERROR(VLOOKUP(I383,'Chart of accounts'!A:H,2,FALSE),"")</f>
        <v>50212990 00</v>
      </c>
      <c r="K383" s="338" t="str">
        <f>IFERROR(VLOOKUP(I383,'Chart of accounts'!A:H,3,FALSE),"")</f>
        <v>Other General Services</v>
      </c>
      <c r="L383" s="338" t="str">
        <f>IFERROR(VLOOKUP(I383,'Chart of accounts'!A:H,4,FALSE),"")</f>
        <v>50212990 00 - Other General Services (795)</v>
      </c>
      <c r="M383" s="361" t="s">
        <v>816</v>
      </c>
      <c r="N383" s="355" t="s">
        <v>1075</v>
      </c>
      <c r="O383" s="355" t="s">
        <v>1076</v>
      </c>
      <c r="P383" s="355"/>
      <c r="Q383" s="427">
        <f>11158+11158</f>
        <v>22316</v>
      </c>
      <c r="R383" s="319">
        <f t="shared" si="5"/>
        <v>-22316</v>
      </c>
      <c r="S383" s="428" t="str">
        <f>VLOOKUP(H383,'Fund Utilization Report'!$A$4:$U$1800,13,FALSE)</f>
        <v>MOOE</v>
      </c>
      <c r="T383" s="428" t="str">
        <f>VLOOKUP(H383,'Fund Utilization Report'!$A$4:$U$1800,2,FALSE)</f>
        <v>GAA</v>
      </c>
      <c r="U383" s="428" t="str">
        <f>VLOOKUP(H383,'Fund Utilization Report'!$A$4:$U$1800,3,FALSE)</f>
        <v>FY2021, RA11518</v>
      </c>
      <c r="V383" s="428" t="str">
        <f>VLOOKUP(H383,'Fund Utilization Report'!$A$4:$U$1800,4,FALSE)</f>
        <v>OO3</v>
      </c>
      <c r="W383" s="428" t="str">
        <f>VLOOKUP(H383,'Fund Utilization Report'!$A$4:$U$1800,5,FALSE)</f>
        <v>01101101</v>
      </c>
      <c r="X383" s="428" t="str">
        <f>VLOOKUP(H383,'Fund Utilization Report'!$A$4:$U$1800,6,FALSE)</f>
        <v>GOP</v>
      </c>
      <c r="Y383" s="320" t="str">
        <f>VLOOKUP(H383,'Fund Utilization Report'!$A$4:$U$1800,7,FALSE)</f>
        <v>MOOE</v>
      </c>
      <c r="Z383" s="425">
        <f>VLOOKUP(H383,'Fund Utilization Report'!$A$4:$U$1800,8,FALSE)</f>
        <v>5020000000</v>
      </c>
      <c r="AA383" s="428" t="str">
        <f>VLOOKUP(H383,'Fund Utilization Report'!$A$4:$U$1800,14,FALSE)</f>
        <v>330100100002000</v>
      </c>
      <c r="AB383" s="349" t="str">
        <f>VLOOKUP(H383,'Fund Utilization Report'!$A$4:$U$1800,15,FALSE)</f>
        <v>Implementation of the MSME Development Plan and other initiatives to promote the growth of Micro, Small and Medium Enterprises</v>
      </c>
      <c r="AC383" s="39"/>
      <c r="AD383" s="34"/>
      <c r="AE383" s="39"/>
      <c r="AF383" s="51"/>
      <c r="AG383" s="40"/>
      <c r="AH383" s="40"/>
    </row>
    <row r="384" spans="1:34" s="32" customFormat="1" ht="27.6">
      <c r="A384" s="338" t="s">
        <v>942</v>
      </c>
      <c r="B384" s="338" t="s">
        <v>945</v>
      </c>
      <c r="C384" s="358">
        <v>44230</v>
      </c>
      <c r="D384" s="351" t="s">
        <v>1028</v>
      </c>
      <c r="E384" s="352" t="s">
        <v>1083</v>
      </c>
      <c r="F384" s="338">
        <v>0.64166666666666672</v>
      </c>
      <c r="G384" s="338">
        <v>0.64374999999999993</v>
      </c>
      <c r="H384" s="338" t="s">
        <v>983</v>
      </c>
      <c r="I384" s="353">
        <v>799</v>
      </c>
      <c r="J384" s="338" t="str">
        <f>IFERROR(VLOOKUP(I384,'Chart of accounts'!A:H,2,FALSE),"")</f>
        <v>50211990 00</v>
      </c>
      <c r="K384" s="338" t="str">
        <f>IFERROR(VLOOKUP(I384,'Chart of accounts'!A:H,3,FALSE),"")</f>
        <v>Other Professional Services</v>
      </c>
      <c r="L384" s="338" t="str">
        <f>IFERROR(VLOOKUP(I384,'Chart of accounts'!A:H,4,FALSE),"")</f>
        <v>50211990 00 - Other Professional Services (799)</v>
      </c>
      <c r="M384" s="361" t="s">
        <v>5</v>
      </c>
      <c r="N384" s="355" t="s">
        <v>1075</v>
      </c>
      <c r="O384" s="355" t="s">
        <v>1076</v>
      </c>
      <c r="P384" s="355"/>
      <c r="Q384" s="427">
        <v>10000</v>
      </c>
      <c r="R384" s="319">
        <f t="shared" si="5"/>
        <v>-10000</v>
      </c>
      <c r="S384" s="428" t="str">
        <f>VLOOKUP(H384,'Fund Utilization Report'!$A$4:$U$1800,13,FALSE)</f>
        <v>MOOE</v>
      </c>
      <c r="T384" s="428" t="str">
        <f>VLOOKUP(H384,'Fund Utilization Report'!$A$4:$U$1800,2,FALSE)</f>
        <v>GAA</v>
      </c>
      <c r="U384" s="428" t="str">
        <f>VLOOKUP(H384,'Fund Utilization Report'!$A$4:$U$1800,3,FALSE)</f>
        <v>FY2021, RA11518</v>
      </c>
      <c r="V384" s="428" t="str">
        <f>VLOOKUP(H384,'Fund Utilization Report'!$A$4:$U$1800,4,FALSE)</f>
        <v>SSF</v>
      </c>
      <c r="W384" s="428" t="str">
        <f>VLOOKUP(H384,'Fund Utilization Report'!$A$4:$U$1800,5,FALSE)</f>
        <v>01101101</v>
      </c>
      <c r="X384" s="428" t="str">
        <f>VLOOKUP(H384,'Fund Utilization Report'!$A$4:$U$1800,6,FALSE)</f>
        <v>GOP</v>
      </c>
      <c r="Y384" s="320" t="str">
        <f>VLOOKUP(H384,'Fund Utilization Report'!$A$4:$U$1800,7,FALSE)</f>
        <v>MOOE</v>
      </c>
      <c r="Z384" s="425">
        <f>VLOOKUP(H384,'Fund Utilization Report'!$A$4:$U$1800,8,FALSE)</f>
        <v>5020000000</v>
      </c>
      <c r="AA384" s="428" t="str">
        <f>VLOOKUP(H384,'Fund Utilization Report'!$A$4:$U$1800,14,FALSE)</f>
        <v>330100200003000</v>
      </c>
      <c r="AB384" s="349" t="str">
        <f>VLOOKUP(H384,'Fund Utilization Report'!$A$4:$U$1800,15,FALSE)</f>
        <v>Shared Service Facilities Project</v>
      </c>
      <c r="AC384" s="39"/>
      <c r="AD384" s="34"/>
      <c r="AE384" s="39"/>
      <c r="AF384" s="51"/>
      <c r="AG384" s="40"/>
      <c r="AH384" s="40"/>
    </row>
    <row r="385" spans="1:34" s="32" customFormat="1" ht="27.6">
      <c r="A385" s="338" t="s">
        <v>942</v>
      </c>
      <c r="B385" s="338" t="s">
        <v>945</v>
      </c>
      <c r="C385" s="358">
        <v>44230</v>
      </c>
      <c r="D385" s="351" t="s">
        <v>1028</v>
      </c>
      <c r="E385" s="352" t="s">
        <v>1083</v>
      </c>
      <c r="F385" s="338">
        <v>0.64166666666666672</v>
      </c>
      <c r="G385" s="338">
        <v>0.64374999999999993</v>
      </c>
      <c r="H385" s="338" t="s">
        <v>961</v>
      </c>
      <c r="I385" s="353">
        <v>795</v>
      </c>
      <c r="J385" s="338" t="str">
        <f>IFERROR(VLOOKUP(I385,'Chart of accounts'!A:H,2,FALSE),"")</f>
        <v>50212990 00</v>
      </c>
      <c r="K385" s="338" t="str">
        <f>IFERROR(VLOOKUP(I385,'Chart of accounts'!A:H,3,FALSE),"")</f>
        <v>Other General Services</v>
      </c>
      <c r="L385" s="338" t="str">
        <f>IFERROR(VLOOKUP(I385,'Chart of accounts'!A:H,4,FALSE),"")</f>
        <v>50212990 00 - Other General Services (795)</v>
      </c>
      <c r="M385" s="361" t="s">
        <v>816</v>
      </c>
      <c r="N385" s="355" t="s">
        <v>1075</v>
      </c>
      <c r="O385" s="355" t="s">
        <v>1076</v>
      </c>
      <c r="P385" s="355"/>
      <c r="Q385" s="427">
        <v>5534</v>
      </c>
      <c r="R385" s="319">
        <f t="shared" si="5"/>
        <v>-5534</v>
      </c>
      <c r="S385" s="428" t="str">
        <f>VLOOKUP(H385,'Fund Utilization Report'!$A$4:$U$1800,13,FALSE)</f>
        <v>MOOE</v>
      </c>
      <c r="T385" s="428" t="str">
        <f>VLOOKUP(H385,'Fund Utilization Report'!$A$4:$U$1800,2,FALSE)</f>
        <v>GAA</v>
      </c>
      <c r="U385" s="428" t="str">
        <f>VLOOKUP(H385,'Fund Utilization Report'!$A$4:$U$1800,3,FALSE)</f>
        <v>FY2021, RA11518</v>
      </c>
      <c r="V385" s="428" t="str">
        <f>VLOOKUP(H385,'Fund Utilization Report'!$A$4:$U$1800,4,FALSE)</f>
        <v>GAS(GMS)</v>
      </c>
      <c r="W385" s="428" t="str">
        <f>VLOOKUP(H385,'Fund Utilization Report'!$A$4:$U$1800,5,FALSE)</f>
        <v>01101101</v>
      </c>
      <c r="X385" s="428" t="str">
        <f>VLOOKUP(H385,'Fund Utilization Report'!$A$4:$U$1800,6,FALSE)</f>
        <v>GOP</v>
      </c>
      <c r="Y385" s="320" t="str">
        <f>VLOOKUP(H385,'Fund Utilization Report'!$A$4:$U$1800,7,FALSE)</f>
        <v>MOOE</v>
      </c>
      <c r="Z385" s="425">
        <f>VLOOKUP(H385,'Fund Utilization Report'!$A$4:$U$1800,8,FALSE)</f>
        <v>5020000000</v>
      </c>
      <c r="AA385" s="428" t="str">
        <f>VLOOKUP(H385,'Fund Utilization Report'!$A$4:$U$1800,14,FALSE)</f>
        <v>100000100001000</v>
      </c>
      <c r="AB385" s="349" t="str">
        <f>VLOOKUP(H385,'Fund Utilization Report'!$A$4:$U$1800,15,FALSE)</f>
        <v>General Administration and Supervision - General Management and Supervision</v>
      </c>
      <c r="AC385" s="39"/>
      <c r="AD385" s="34"/>
      <c r="AE385" s="39"/>
      <c r="AF385" s="51"/>
      <c r="AG385" s="40"/>
      <c r="AH385" s="40"/>
    </row>
    <row r="386" spans="1:34" s="32" customFormat="1" ht="27.6">
      <c r="A386" s="338" t="s">
        <v>942</v>
      </c>
      <c r="B386" s="338" t="s">
        <v>945</v>
      </c>
      <c r="C386" s="358">
        <v>44230</v>
      </c>
      <c r="D386" s="351" t="s">
        <v>1028</v>
      </c>
      <c r="E386" s="352" t="s">
        <v>1084</v>
      </c>
      <c r="F386" s="338">
        <v>0.64374999999999993</v>
      </c>
      <c r="G386" s="338">
        <v>0.65486111111111112</v>
      </c>
      <c r="H386" s="338" t="s">
        <v>971</v>
      </c>
      <c r="I386" s="353">
        <v>799</v>
      </c>
      <c r="J386" s="338" t="str">
        <f>IFERROR(VLOOKUP(I386,'Chart of accounts'!A:H,2,FALSE),"")</f>
        <v>50211990 00</v>
      </c>
      <c r="K386" s="338" t="str">
        <f>IFERROR(VLOOKUP(I386,'Chart of accounts'!A:H,3,FALSE),"")</f>
        <v>Other Professional Services</v>
      </c>
      <c r="L386" s="338" t="str">
        <f>IFERROR(VLOOKUP(I386,'Chart of accounts'!A:H,4,FALSE),"")</f>
        <v>50211990 00 - Other Professional Services (799)</v>
      </c>
      <c r="M386" s="361" t="s">
        <v>816</v>
      </c>
      <c r="N386" s="355" t="s">
        <v>1075</v>
      </c>
      <c r="O386" s="355" t="s">
        <v>1076</v>
      </c>
      <c r="P386" s="355"/>
      <c r="Q386" s="427">
        <v>5000</v>
      </c>
      <c r="R386" s="319">
        <f t="shared" si="5"/>
        <v>-5000</v>
      </c>
      <c r="S386" s="428" t="str">
        <f>VLOOKUP(H386,'Fund Utilization Report'!$A$4:$U$1800,13,FALSE)</f>
        <v>MOOE</v>
      </c>
      <c r="T386" s="428" t="str">
        <f>VLOOKUP(H386,'Fund Utilization Report'!$A$4:$U$1800,2,FALSE)</f>
        <v>GAA</v>
      </c>
      <c r="U386" s="428" t="str">
        <f>VLOOKUP(H386,'Fund Utilization Report'!$A$4:$U$1800,3,FALSE)</f>
        <v>FY2021, RA11518</v>
      </c>
      <c r="V386" s="428" t="str">
        <f>VLOOKUP(H386,'Fund Utilization Report'!$A$4:$U$1800,4,FALSE)</f>
        <v>OO3</v>
      </c>
      <c r="W386" s="428" t="str">
        <f>VLOOKUP(H386,'Fund Utilization Report'!$A$4:$U$1800,5,FALSE)</f>
        <v>01101101</v>
      </c>
      <c r="X386" s="428" t="str">
        <f>VLOOKUP(H386,'Fund Utilization Report'!$A$4:$U$1800,6,FALSE)</f>
        <v>GOP</v>
      </c>
      <c r="Y386" s="320" t="str">
        <f>VLOOKUP(H386,'Fund Utilization Report'!$A$4:$U$1800,7,FALSE)</f>
        <v>MOOE</v>
      </c>
      <c r="Z386" s="425">
        <f>VLOOKUP(H386,'Fund Utilization Report'!$A$4:$U$1800,8,FALSE)</f>
        <v>5020000000</v>
      </c>
      <c r="AA386" s="428" t="str">
        <f>VLOOKUP(H386,'Fund Utilization Report'!$A$4:$U$1800,14,FALSE)</f>
        <v>330100100002000</v>
      </c>
      <c r="AB386" s="349" t="str">
        <f>VLOOKUP(H386,'Fund Utilization Report'!$A$4:$U$1800,15,FALSE)</f>
        <v>Implementation of the MSME Development Plan and other initiatives to promote the growth of Micro, Small and Medium Enterprises</v>
      </c>
      <c r="AC386" s="39"/>
      <c r="AD386" s="34"/>
      <c r="AE386" s="39"/>
      <c r="AF386" s="51"/>
      <c r="AG386" s="40"/>
      <c r="AH386" s="40"/>
    </row>
    <row r="387" spans="1:34" s="32" customFormat="1" ht="27.6">
      <c r="A387" s="338" t="s">
        <v>942</v>
      </c>
      <c r="B387" s="338" t="s">
        <v>945</v>
      </c>
      <c r="C387" s="358">
        <v>44230</v>
      </c>
      <c r="D387" s="351" t="s">
        <v>1028</v>
      </c>
      <c r="E387" s="352" t="s">
        <v>1084</v>
      </c>
      <c r="F387" s="338">
        <v>0.64374999999999993</v>
      </c>
      <c r="G387" s="338">
        <v>0.65486111111111112</v>
      </c>
      <c r="H387" s="338" t="s">
        <v>961</v>
      </c>
      <c r="I387" s="353">
        <v>796</v>
      </c>
      <c r="J387" s="338" t="str">
        <f>IFERROR(VLOOKUP(I387,'Chart of accounts'!A:H,2,FALSE),"")</f>
        <v>50212020 00</v>
      </c>
      <c r="K387" s="338" t="str">
        <f>IFERROR(VLOOKUP(I387,'Chart of accounts'!A:H,3,FALSE),"")</f>
        <v>Janitorial Services</v>
      </c>
      <c r="L387" s="338" t="str">
        <f>IFERROR(VLOOKUP(I387,'Chart of accounts'!A:H,4,FALSE),"")</f>
        <v>50212020 00 - Janitorial Services (796)</v>
      </c>
      <c r="M387" s="361" t="s">
        <v>816</v>
      </c>
      <c r="N387" s="355" t="s">
        <v>1075</v>
      </c>
      <c r="O387" s="355" t="s">
        <v>1076</v>
      </c>
      <c r="P387" s="355"/>
      <c r="Q387" s="428">
        <f>4111.33+2170</f>
        <v>6281.33</v>
      </c>
      <c r="R387" s="319">
        <f t="shared" ref="R387:R470" si="6">P387-Q387</f>
        <v>-6281.33</v>
      </c>
      <c r="S387" s="428" t="str">
        <f>VLOOKUP(H387,'Fund Utilization Report'!$A$4:$U$1800,13,FALSE)</f>
        <v>MOOE</v>
      </c>
      <c r="T387" s="428" t="str">
        <f>VLOOKUP(H387,'Fund Utilization Report'!$A$4:$U$1800,2,FALSE)</f>
        <v>GAA</v>
      </c>
      <c r="U387" s="428" t="str">
        <f>VLOOKUP(H387,'Fund Utilization Report'!$A$4:$U$1800,3,FALSE)</f>
        <v>FY2021, RA11518</v>
      </c>
      <c r="V387" s="428" t="str">
        <f>VLOOKUP(H387,'Fund Utilization Report'!$A$4:$U$1800,4,FALSE)</f>
        <v>GAS(GMS)</v>
      </c>
      <c r="W387" s="428" t="str">
        <f>VLOOKUP(H387,'Fund Utilization Report'!$A$4:$U$1800,5,FALSE)</f>
        <v>01101101</v>
      </c>
      <c r="X387" s="428" t="str">
        <f>VLOOKUP(H387,'Fund Utilization Report'!$A$4:$U$1800,6,FALSE)</f>
        <v>GOP</v>
      </c>
      <c r="Y387" s="320" t="str">
        <f>VLOOKUP(H387,'Fund Utilization Report'!$A$4:$U$1800,7,FALSE)</f>
        <v>MOOE</v>
      </c>
      <c r="Z387" s="425">
        <f>VLOOKUP(H387,'Fund Utilization Report'!$A$4:$U$1800,8,FALSE)</f>
        <v>5020000000</v>
      </c>
      <c r="AA387" s="428" t="str">
        <f>VLOOKUP(H387,'Fund Utilization Report'!$A$4:$U$1800,14,FALSE)</f>
        <v>100000100001000</v>
      </c>
      <c r="AB387" s="349" t="str">
        <f>VLOOKUP(H387,'Fund Utilization Report'!$A$4:$U$1800,15,FALSE)</f>
        <v>General Administration and Supervision - General Management and Supervision</v>
      </c>
      <c r="AC387" s="39"/>
      <c r="AD387" s="34"/>
      <c r="AE387" s="39"/>
      <c r="AF387" s="51"/>
      <c r="AG387" s="40"/>
      <c r="AH387" s="40"/>
    </row>
    <row r="388" spans="1:34" s="32" customFormat="1" ht="27.6">
      <c r="A388" s="338" t="s">
        <v>942</v>
      </c>
      <c r="B388" s="338" t="s">
        <v>945</v>
      </c>
      <c r="C388" s="358">
        <v>44230</v>
      </c>
      <c r="D388" s="351" t="s">
        <v>1028</v>
      </c>
      <c r="E388" s="352" t="s">
        <v>1084</v>
      </c>
      <c r="F388" s="338">
        <v>0.64374999999999993</v>
      </c>
      <c r="G388" s="338">
        <v>0.65486111111111112</v>
      </c>
      <c r="H388" s="338" t="s">
        <v>961</v>
      </c>
      <c r="I388" s="353">
        <v>795</v>
      </c>
      <c r="J388" s="338" t="str">
        <f>IFERROR(VLOOKUP(I388,'Chart of accounts'!A:H,2,FALSE),"")</f>
        <v>50212990 00</v>
      </c>
      <c r="K388" s="338" t="str">
        <f>IFERROR(VLOOKUP(I388,'Chart of accounts'!A:H,3,FALSE),"")</f>
        <v>Other General Services</v>
      </c>
      <c r="L388" s="338" t="str">
        <f>IFERROR(VLOOKUP(I388,'Chart of accounts'!A:H,4,FALSE),"")</f>
        <v>50212990 00 - Other General Services (795)</v>
      </c>
      <c r="M388" s="361" t="s">
        <v>816</v>
      </c>
      <c r="N388" s="355" t="s">
        <v>1075</v>
      </c>
      <c r="O388" s="355" t="s">
        <v>1076</v>
      </c>
      <c r="P388" s="355"/>
      <c r="Q388" s="428">
        <v>5600</v>
      </c>
      <c r="R388" s="319">
        <f t="shared" si="6"/>
        <v>-5600</v>
      </c>
      <c r="S388" s="428" t="str">
        <f>VLOOKUP(H388,'Fund Utilization Report'!$A$4:$U$1800,13,FALSE)</f>
        <v>MOOE</v>
      </c>
      <c r="T388" s="428" t="str">
        <f>VLOOKUP(H388,'Fund Utilization Report'!$A$4:$U$1800,2,FALSE)</f>
        <v>GAA</v>
      </c>
      <c r="U388" s="428" t="str">
        <f>VLOOKUP(H388,'Fund Utilization Report'!$A$4:$U$1800,3,FALSE)</f>
        <v>FY2021, RA11518</v>
      </c>
      <c r="V388" s="428" t="str">
        <f>VLOOKUP(H388,'Fund Utilization Report'!$A$4:$U$1800,4,FALSE)</f>
        <v>GAS(GMS)</v>
      </c>
      <c r="W388" s="428" t="str">
        <f>VLOOKUP(H388,'Fund Utilization Report'!$A$4:$U$1800,5,FALSE)</f>
        <v>01101101</v>
      </c>
      <c r="X388" s="428" t="str">
        <f>VLOOKUP(H388,'Fund Utilization Report'!$A$4:$U$1800,6,FALSE)</f>
        <v>GOP</v>
      </c>
      <c r="Y388" s="320" t="str">
        <f>VLOOKUP(H388,'Fund Utilization Report'!$A$4:$U$1800,7,FALSE)</f>
        <v>MOOE</v>
      </c>
      <c r="Z388" s="425">
        <f>VLOOKUP(H388,'Fund Utilization Report'!$A$4:$U$1800,8,FALSE)</f>
        <v>5020000000</v>
      </c>
      <c r="AA388" s="428" t="str">
        <f>VLOOKUP(H388,'Fund Utilization Report'!$A$4:$U$1800,14,FALSE)</f>
        <v>100000100001000</v>
      </c>
      <c r="AB388" s="349" t="str">
        <f>VLOOKUP(H388,'Fund Utilization Report'!$A$4:$U$1800,15,FALSE)</f>
        <v>General Administration and Supervision - General Management and Supervision</v>
      </c>
      <c r="AC388" s="39"/>
      <c r="AD388" s="34"/>
      <c r="AE388" s="39"/>
      <c r="AF388" s="51"/>
      <c r="AG388" s="40"/>
      <c r="AH388" s="40"/>
    </row>
    <row r="389" spans="1:34" s="32" customFormat="1" ht="27.6">
      <c r="A389" s="338" t="s">
        <v>942</v>
      </c>
      <c r="B389" s="338" t="s">
        <v>945</v>
      </c>
      <c r="C389" s="358">
        <v>44231</v>
      </c>
      <c r="D389" s="351" t="s">
        <v>1028</v>
      </c>
      <c r="E389" s="352" t="s">
        <v>1085</v>
      </c>
      <c r="F389" s="338">
        <v>0.65138888888888891</v>
      </c>
      <c r="G389" s="338">
        <v>0.65486111111111112</v>
      </c>
      <c r="H389" s="338" t="s">
        <v>960</v>
      </c>
      <c r="I389" s="353">
        <v>701</v>
      </c>
      <c r="J389" s="338" t="str">
        <f>IFERROR(VLOOKUP(I389,'Chart of accounts'!A:H,2,FALSE),"")</f>
        <v>50101010 01</v>
      </c>
      <c r="K389" s="338" t="str">
        <f>IFERROR(VLOOKUP(I389,'Chart of accounts'!A:H,3,FALSE),"")</f>
        <v>Basic Salary - Civilian</v>
      </c>
      <c r="L389" s="338" t="str">
        <f>IFERROR(VLOOKUP(I389,'Chart of accounts'!A:H,4,FALSE),"")</f>
        <v>50101010 01 - Basic Salary - Civilian (701)</v>
      </c>
      <c r="M389" s="361">
        <v>1</v>
      </c>
      <c r="N389" s="355" t="s">
        <v>796</v>
      </c>
      <c r="O389" s="355" t="s">
        <v>1086</v>
      </c>
      <c r="P389" s="355"/>
      <c r="Q389" s="363">
        <v>3952.09</v>
      </c>
      <c r="R389" s="319">
        <f t="shared" si="6"/>
        <v>-3952.09</v>
      </c>
      <c r="S389" s="428" t="str">
        <f>VLOOKUP(H389,'Fund Utilization Report'!$A$4:$U$1800,13,FALSE)</f>
        <v>PS</v>
      </c>
      <c r="T389" s="428" t="str">
        <f>VLOOKUP(H389,'Fund Utilization Report'!$A$4:$U$1800,2,FALSE)</f>
        <v>GAA</v>
      </c>
      <c r="U389" s="428" t="str">
        <f>VLOOKUP(H389,'Fund Utilization Report'!$A$4:$U$1800,3,FALSE)</f>
        <v>FY2021, RA11518</v>
      </c>
      <c r="V389" s="428" t="str">
        <f>VLOOKUP(H389,'Fund Utilization Report'!$A$4:$U$1800,4,FALSE)</f>
        <v>GAS(GMS)</v>
      </c>
      <c r="W389" s="428" t="str">
        <f>VLOOKUP(H389,'Fund Utilization Report'!$A$4:$U$1800,5,FALSE)</f>
        <v>01101101</v>
      </c>
      <c r="X389" s="428" t="str">
        <f>VLOOKUP(H389,'Fund Utilization Report'!$A$4:$U$1800,6,FALSE)</f>
        <v>GOP</v>
      </c>
      <c r="Y389" s="320" t="str">
        <f>VLOOKUP(H389,'Fund Utilization Report'!$A$4:$U$1800,7,FALSE)</f>
        <v>PS</v>
      </c>
      <c r="Z389" s="425">
        <f>VLOOKUP(H389,'Fund Utilization Report'!$A$4:$U$1800,8,FALSE)</f>
        <v>5010000000</v>
      </c>
      <c r="AA389" s="428" t="str">
        <f>VLOOKUP(H389,'Fund Utilization Report'!$A$4:$U$1800,14,FALSE)</f>
        <v>100000100001000</v>
      </c>
      <c r="AB389" s="349" t="str">
        <f>VLOOKUP(H389,'Fund Utilization Report'!$A$4:$U$1800,15,FALSE)</f>
        <v>General Administration and Supervision - General Management and Supervision</v>
      </c>
      <c r="AC389" s="39"/>
      <c r="AD389" s="34"/>
      <c r="AE389" s="39"/>
      <c r="AF389" s="51"/>
      <c r="AG389" s="40"/>
      <c r="AH389" s="40"/>
    </row>
    <row r="390" spans="1:34" s="32" customFormat="1" ht="27.6">
      <c r="A390" s="338" t="s">
        <v>942</v>
      </c>
      <c r="B390" s="338" t="s">
        <v>945</v>
      </c>
      <c r="C390" s="358">
        <v>44231</v>
      </c>
      <c r="D390" s="351" t="s">
        <v>1028</v>
      </c>
      <c r="E390" s="352" t="s">
        <v>1085</v>
      </c>
      <c r="F390" s="338">
        <v>0.65138888888888891</v>
      </c>
      <c r="G390" s="338">
        <v>0.65486111111111112</v>
      </c>
      <c r="H390" s="338" t="s">
        <v>962</v>
      </c>
      <c r="I390" s="353">
        <v>731</v>
      </c>
      <c r="J390" s="338" t="str">
        <f>IFERROR(VLOOKUP(I390,'Chart of accounts'!A:H,2,FALSE),"")</f>
        <v>50103010 00</v>
      </c>
      <c r="K390" s="338" t="str">
        <f>IFERROR(VLOOKUP(I390,'Chart of accounts'!A:H,3,FALSE),"")</f>
        <v>Retirement and Life Insurance Premiums</v>
      </c>
      <c r="L390" s="338" t="str">
        <f>IFERROR(VLOOKUP(I390,'Chart of accounts'!A:H,4,FALSE),"")</f>
        <v>50103010 00 - Retirement and Life Insurance Premiums (731)</v>
      </c>
      <c r="M390" s="361">
        <v>1</v>
      </c>
      <c r="N390" s="355" t="s">
        <v>796</v>
      </c>
      <c r="O390" s="355" t="s">
        <v>1086</v>
      </c>
      <c r="P390" s="355"/>
      <c r="Q390" s="363">
        <v>242.64</v>
      </c>
      <c r="R390" s="319">
        <f t="shared" si="6"/>
        <v>-242.64</v>
      </c>
      <c r="S390" s="428" t="str">
        <f>VLOOKUP(H390,'Fund Utilization Report'!$A$4:$U$1800,13,FALSE)</f>
        <v>PS</v>
      </c>
      <c r="T390" s="428" t="str">
        <f>VLOOKUP(H390,'Fund Utilization Report'!$A$4:$U$1800,2,FALSE)</f>
        <v>GAA</v>
      </c>
      <c r="U390" s="428" t="str">
        <f>VLOOKUP(H390,'Fund Utilization Report'!$A$4:$U$1800,3,FALSE)</f>
        <v>FY2021, RA11518</v>
      </c>
      <c r="V390" s="428" t="str">
        <f>VLOOKUP(H390,'Fund Utilization Report'!$A$4:$U$1800,4,FALSE)</f>
        <v>GAS(GMS)</v>
      </c>
      <c r="W390" s="428" t="str">
        <f>VLOOKUP(H390,'Fund Utilization Report'!$A$4:$U$1800,5,FALSE)</f>
        <v>01101101</v>
      </c>
      <c r="X390" s="428" t="str">
        <f>VLOOKUP(H390,'Fund Utilization Report'!$A$4:$U$1800,6,FALSE)</f>
        <v>GOP</v>
      </c>
      <c r="Y390" s="320" t="str">
        <f>VLOOKUP(H390,'Fund Utilization Report'!$A$4:$U$1800,7,FALSE)</f>
        <v>RLIP</v>
      </c>
      <c r="Z390" s="425" t="str">
        <f>VLOOKUP(H390,'Fund Utilization Report'!$A$4:$U$1800,8,FALSE)</f>
        <v>50103010-00</v>
      </c>
      <c r="AA390" s="428" t="str">
        <f>VLOOKUP(H390,'Fund Utilization Report'!$A$4:$U$1800,14,FALSE)</f>
        <v>100000100001000</v>
      </c>
      <c r="AB390" s="349" t="str">
        <f>VLOOKUP(H390,'Fund Utilization Report'!$A$4:$U$1800,15,FALSE)</f>
        <v>General Administration and Supervision - General Management and Supervision</v>
      </c>
      <c r="AC390" s="39"/>
      <c r="AD390" s="34"/>
      <c r="AE390" s="39"/>
      <c r="AF390" s="51"/>
      <c r="AG390" s="40"/>
      <c r="AH390" s="40"/>
    </row>
    <row r="391" spans="1:34" s="32" customFormat="1" ht="27.6">
      <c r="A391" s="338" t="s">
        <v>942</v>
      </c>
      <c r="B391" s="338" t="s">
        <v>945</v>
      </c>
      <c r="C391" s="358">
        <v>44231</v>
      </c>
      <c r="D391" s="351" t="s">
        <v>1028</v>
      </c>
      <c r="E391" s="352" t="s">
        <v>1087</v>
      </c>
      <c r="F391" s="338">
        <v>0.65486111111111112</v>
      </c>
      <c r="G391" s="338">
        <v>0.65625</v>
      </c>
      <c r="H391" s="338" t="s">
        <v>982</v>
      </c>
      <c r="I391" s="353">
        <v>799</v>
      </c>
      <c r="J391" s="338" t="str">
        <f>IFERROR(VLOOKUP(I391,'Chart of accounts'!A:H,2,FALSE),"")</f>
        <v>50211990 00</v>
      </c>
      <c r="K391" s="338" t="str">
        <f>IFERROR(VLOOKUP(I391,'Chart of accounts'!A:H,3,FALSE),"")</f>
        <v>Other Professional Services</v>
      </c>
      <c r="L391" s="338" t="str">
        <f>IFERROR(VLOOKUP(I391,'Chart of accounts'!A:H,4,FALSE),"")</f>
        <v>50211990 00 - Other Professional Services (799)</v>
      </c>
      <c r="M391" s="361" t="s">
        <v>905</v>
      </c>
      <c r="N391" s="355" t="s">
        <v>843</v>
      </c>
      <c r="O391" s="355" t="s">
        <v>1076</v>
      </c>
      <c r="P391" s="355"/>
      <c r="Q391" s="428">
        <v>11158</v>
      </c>
      <c r="R391" s="319">
        <f t="shared" si="6"/>
        <v>-11158</v>
      </c>
      <c r="S391" s="428" t="str">
        <f>VLOOKUP(H391,'Fund Utilization Report'!$A$4:$U$1800,13,FALSE)</f>
        <v>MOOE</v>
      </c>
      <c r="T391" s="428" t="str">
        <f>VLOOKUP(H391,'Fund Utilization Report'!$A$4:$U$1800,2,FALSE)</f>
        <v>GAA</v>
      </c>
      <c r="U391" s="428" t="str">
        <f>VLOOKUP(H391,'Fund Utilization Report'!$A$4:$U$1800,3,FALSE)</f>
        <v>FY2021, RA11518</v>
      </c>
      <c r="V391" s="428" t="str">
        <f>VLOOKUP(H391,'Fund Utilization Report'!$A$4:$U$1800,4,FALSE)</f>
        <v>OTOP</v>
      </c>
      <c r="W391" s="428" t="str">
        <f>VLOOKUP(H391,'Fund Utilization Report'!$A$4:$U$1800,5,FALSE)</f>
        <v>01101101</v>
      </c>
      <c r="X391" s="428" t="str">
        <f>VLOOKUP(H391,'Fund Utilization Report'!$A$4:$U$1800,6,FALSE)</f>
        <v>GOP</v>
      </c>
      <c r="Y391" s="320" t="str">
        <f>VLOOKUP(H391,'Fund Utilization Report'!$A$4:$U$1800,7,FALSE)</f>
        <v>MOOE</v>
      </c>
      <c r="Z391" s="425">
        <f>VLOOKUP(H391,'Fund Utilization Report'!$A$4:$U$1800,8,FALSE)</f>
        <v>5020000000</v>
      </c>
      <c r="AA391" s="428" t="str">
        <f>VLOOKUP(H391,'Fund Utilization Report'!$A$4:$U$1800,14,FALSE)</f>
        <v>330100200002000</v>
      </c>
      <c r="AB391" s="349" t="str">
        <f>VLOOKUP(H391,'Fund Utilization Report'!$A$4:$U$1800,15,FALSE)</f>
        <v>OTOP - Next Generation</v>
      </c>
      <c r="AC391" s="39"/>
      <c r="AD391" s="34"/>
      <c r="AE391" s="39"/>
      <c r="AF391" s="51"/>
      <c r="AG391" s="40"/>
      <c r="AH391" s="40"/>
    </row>
    <row r="392" spans="1:34" s="32" customFormat="1" ht="27.6">
      <c r="A392" s="338" t="s">
        <v>942</v>
      </c>
      <c r="B392" s="338" t="s">
        <v>945</v>
      </c>
      <c r="C392" s="358">
        <v>44231</v>
      </c>
      <c r="D392" s="351" t="s">
        <v>1028</v>
      </c>
      <c r="E392" s="352" t="s">
        <v>1087</v>
      </c>
      <c r="F392" s="338">
        <v>0.65486111111111112</v>
      </c>
      <c r="G392" s="338">
        <v>0.65625</v>
      </c>
      <c r="H392" s="338" t="s">
        <v>985</v>
      </c>
      <c r="I392" s="353">
        <v>799</v>
      </c>
      <c r="J392" s="338" t="str">
        <f>IFERROR(VLOOKUP(I392,'Chart of accounts'!A:H,2,FALSE),"")</f>
        <v>50211990 00</v>
      </c>
      <c r="K392" s="338" t="str">
        <f>IFERROR(VLOOKUP(I392,'Chart of accounts'!A:H,3,FALSE),"")</f>
        <v>Other Professional Services</v>
      </c>
      <c r="L392" s="338" t="str">
        <f>IFERROR(VLOOKUP(I392,'Chart of accounts'!A:H,4,FALSE),"")</f>
        <v>50211990 00 - Other Professional Services (799)</v>
      </c>
      <c r="M392" s="361" t="s">
        <v>7</v>
      </c>
      <c r="N392" s="355" t="s">
        <v>843</v>
      </c>
      <c r="O392" s="355" t="s">
        <v>1076</v>
      </c>
      <c r="P392" s="355"/>
      <c r="Q392" s="428">
        <v>10000</v>
      </c>
      <c r="R392" s="319">
        <f t="shared" si="6"/>
        <v>-10000</v>
      </c>
      <c r="S392" s="428" t="str">
        <f>VLOOKUP(H392,'Fund Utilization Report'!$A$4:$U$1800,13,FALSE)</f>
        <v>MOOE</v>
      </c>
      <c r="T392" s="428" t="str">
        <f>VLOOKUP(H392,'Fund Utilization Report'!$A$4:$U$1800,2,FALSE)</f>
        <v>GAA</v>
      </c>
      <c r="U392" s="428" t="str">
        <f>VLOOKUP(H392,'Fund Utilization Report'!$A$4:$U$1800,3,FALSE)</f>
        <v>FY2021, RA11518</v>
      </c>
      <c r="V392" s="428" t="str">
        <f>VLOOKUP(H392,'Fund Utilization Report'!$A$4:$U$1800,4,FALSE)</f>
        <v>LSP-PBG</v>
      </c>
      <c r="W392" s="428" t="str">
        <f>VLOOKUP(H392,'Fund Utilization Report'!$A$4:$U$1800,5,FALSE)</f>
        <v>01101101</v>
      </c>
      <c r="X392" s="428" t="str">
        <f>VLOOKUP(H392,'Fund Utilization Report'!$A$4:$U$1800,6,FALSE)</f>
        <v>GOP</v>
      </c>
      <c r="Y392" s="320" t="str">
        <f>VLOOKUP(H392,'Fund Utilization Report'!$A$4:$U$1800,7,FALSE)</f>
        <v>MOOE</v>
      </c>
      <c r="Z392" s="425">
        <f>VLOOKUP(H392,'Fund Utilization Report'!$A$4:$U$1800,8,FALSE)</f>
        <v>5020000000</v>
      </c>
      <c r="AA392" s="428" t="str">
        <f>VLOOKUP(H392,'Fund Utilization Report'!$A$4:$U$1800,14,FALSE)</f>
        <v>330100200004000</v>
      </c>
      <c r="AB392" s="349" t="str">
        <f>VLOOKUP(H392,'Fund Utilization Report'!$A$4:$U$1800,15,FALSE)</f>
        <v>MSME Development Program : Livelihood Seeding Program and Pangkabuhayan sa Pagbangon at Ginhawa</v>
      </c>
      <c r="AC392" s="39"/>
      <c r="AD392" s="34"/>
      <c r="AE392" s="39"/>
      <c r="AF392" s="51"/>
      <c r="AG392" s="40"/>
      <c r="AH392" s="40"/>
    </row>
    <row r="393" spans="1:34" s="32" customFormat="1" ht="27.6">
      <c r="A393" s="338" t="s">
        <v>942</v>
      </c>
      <c r="B393" s="338" t="s">
        <v>945</v>
      </c>
      <c r="C393" s="358">
        <v>44231</v>
      </c>
      <c r="D393" s="351" t="s">
        <v>1028</v>
      </c>
      <c r="E393" s="352" t="s">
        <v>1087</v>
      </c>
      <c r="F393" s="338">
        <v>0.65486111111111112</v>
      </c>
      <c r="G393" s="338">
        <v>0.65625</v>
      </c>
      <c r="H393" s="338" t="s">
        <v>971</v>
      </c>
      <c r="I393" s="353">
        <v>795</v>
      </c>
      <c r="J393" s="338" t="str">
        <f>IFERROR(VLOOKUP(I393,'Chart of accounts'!A:H,2,FALSE),"")</f>
        <v>50212990 00</v>
      </c>
      <c r="K393" s="338" t="str">
        <f>IFERROR(VLOOKUP(I393,'Chart of accounts'!A:H,3,FALSE),"")</f>
        <v>Other General Services</v>
      </c>
      <c r="L393" s="338" t="str">
        <f>IFERROR(VLOOKUP(I393,'Chart of accounts'!A:H,4,FALSE),"")</f>
        <v>50212990 00 - Other General Services (795)</v>
      </c>
      <c r="M393" s="361" t="s">
        <v>812</v>
      </c>
      <c r="N393" s="355" t="s">
        <v>843</v>
      </c>
      <c r="O393" s="355" t="s">
        <v>1076</v>
      </c>
      <c r="P393" s="355"/>
      <c r="Q393" s="428">
        <v>15000</v>
      </c>
      <c r="R393" s="319">
        <f t="shared" si="6"/>
        <v>-15000</v>
      </c>
      <c r="S393" s="428" t="str">
        <f>VLOOKUP(H393,'Fund Utilization Report'!$A$4:$U$1800,13,FALSE)</f>
        <v>MOOE</v>
      </c>
      <c r="T393" s="428" t="str">
        <f>VLOOKUP(H393,'Fund Utilization Report'!$A$4:$U$1800,2,FALSE)</f>
        <v>GAA</v>
      </c>
      <c r="U393" s="428" t="str">
        <f>VLOOKUP(H393,'Fund Utilization Report'!$A$4:$U$1800,3,FALSE)</f>
        <v>FY2021, RA11518</v>
      </c>
      <c r="V393" s="428" t="str">
        <f>VLOOKUP(H393,'Fund Utilization Report'!$A$4:$U$1800,4,FALSE)</f>
        <v>OO3</v>
      </c>
      <c r="W393" s="428" t="str">
        <f>VLOOKUP(H393,'Fund Utilization Report'!$A$4:$U$1800,5,FALSE)</f>
        <v>01101101</v>
      </c>
      <c r="X393" s="428" t="str">
        <f>VLOOKUP(H393,'Fund Utilization Report'!$A$4:$U$1800,6,FALSE)</f>
        <v>GOP</v>
      </c>
      <c r="Y393" s="320" t="str">
        <f>VLOOKUP(H393,'Fund Utilization Report'!$A$4:$U$1800,7,FALSE)</f>
        <v>MOOE</v>
      </c>
      <c r="Z393" s="425">
        <f>VLOOKUP(H393,'Fund Utilization Report'!$A$4:$U$1800,8,FALSE)</f>
        <v>5020000000</v>
      </c>
      <c r="AA393" s="428" t="str">
        <f>VLOOKUP(H393,'Fund Utilization Report'!$A$4:$U$1800,14,FALSE)</f>
        <v>330100100002000</v>
      </c>
      <c r="AB393" s="349" t="str">
        <f>VLOOKUP(H393,'Fund Utilization Report'!$A$4:$U$1800,15,FALSE)</f>
        <v>Implementation of the MSME Development Plan and other initiatives to promote the growth of Micro, Small and Medium Enterprises</v>
      </c>
      <c r="AC393" s="39"/>
      <c r="AD393" s="34"/>
      <c r="AE393" s="39"/>
      <c r="AF393" s="51"/>
      <c r="AG393" s="40"/>
      <c r="AH393" s="40"/>
    </row>
    <row r="394" spans="1:34" s="32" customFormat="1">
      <c r="A394" s="338" t="s">
        <v>942</v>
      </c>
      <c r="B394" s="338" t="s">
        <v>945</v>
      </c>
      <c r="C394" s="358">
        <v>44231</v>
      </c>
      <c r="D394" s="351" t="s">
        <v>1028</v>
      </c>
      <c r="E394" s="352" t="s">
        <v>1088</v>
      </c>
      <c r="F394" s="338">
        <v>0.70277777777777783</v>
      </c>
      <c r="G394" s="338">
        <v>0.70624999999999993</v>
      </c>
      <c r="H394" s="338" t="s">
        <v>980</v>
      </c>
      <c r="I394" s="353">
        <v>799</v>
      </c>
      <c r="J394" s="338" t="str">
        <f>IFERROR(VLOOKUP(I394,'Chart of accounts'!A:H,2,FALSE),"")</f>
        <v>50211990 00</v>
      </c>
      <c r="K394" s="338" t="str">
        <f>IFERROR(VLOOKUP(I394,'Chart of accounts'!A:H,3,FALSE),"")</f>
        <v>Other Professional Services</v>
      </c>
      <c r="L394" s="338" t="str">
        <f>IFERROR(VLOOKUP(I394,'Chart of accounts'!A:H,4,FALSE),"")</f>
        <v>50211990 00 - Other Professional Services (799)</v>
      </c>
      <c r="M394" s="361">
        <v>2</v>
      </c>
      <c r="N394" s="355" t="s">
        <v>818</v>
      </c>
      <c r="O394" s="355" t="s">
        <v>1089</v>
      </c>
      <c r="P394" s="355"/>
      <c r="Q394" s="363">
        <v>546300</v>
      </c>
      <c r="R394" s="319">
        <f t="shared" si="6"/>
        <v>-546300</v>
      </c>
      <c r="S394" s="428" t="str">
        <f>VLOOKUP(H394,'Fund Utilization Report'!$A$4:$U$1800,13,FALSE)</f>
        <v>MOOE</v>
      </c>
      <c r="T394" s="428" t="str">
        <f>VLOOKUP(H394,'Fund Utilization Report'!$A$4:$U$1800,2,FALSE)</f>
        <v>GAA</v>
      </c>
      <c r="U394" s="428" t="str">
        <f>VLOOKUP(H394,'Fund Utilization Report'!$A$4:$U$1800,3,FALSE)</f>
        <v>FY2021, RA11518</v>
      </c>
      <c r="V394" s="428" t="str">
        <f>VLOOKUP(H394,'Fund Utilization Report'!$A$4:$U$1800,4,FALSE)</f>
        <v>NC</v>
      </c>
      <c r="W394" s="428" t="str">
        <f>VLOOKUP(H394,'Fund Utilization Report'!$A$4:$U$1800,5,FALSE)</f>
        <v>01101101</v>
      </c>
      <c r="X394" s="428" t="str">
        <f>VLOOKUP(H394,'Fund Utilization Report'!$A$4:$U$1800,6,FALSE)</f>
        <v>GOP</v>
      </c>
      <c r="Y394" s="320" t="str">
        <f>VLOOKUP(H394,'Fund Utilization Report'!$A$4:$U$1800,7,FALSE)</f>
        <v>MOOE</v>
      </c>
      <c r="Z394" s="425">
        <f>VLOOKUP(H394,'Fund Utilization Report'!$A$4:$U$1800,8,FALSE)</f>
        <v>5020000000</v>
      </c>
      <c r="AA394" s="428" t="str">
        <f>VLOOKUP(H394,'Fund Utilization Report'!$A$4:$U$1800,14,FALSE)</f>
        <v>330100200001000</v>
      </c>
      <c r="AB394" s="349" t="str">
        <f>VLOOKUP(H394,'Fund Utilization Report'!$A$4:$U$1800,15,FALSE)</f>
        <v>Establishment of Negosyo Centers</v>
      </c>
      <c r="AC394" s="39"/>
      <c r="AD394" s="34"/>
      <c r="AE394" s="39"/>
      <c r="AF394" s="51"/>
      <c r="AG394" s="40"/>
      <c r="AH394" s="40"/>
    </row>
    <row r="395" spans="1:34" s="32" customFormat="1">
      <c r="A395" s="338" t="s">
        <v>942</v>
      </c>
      <c r="B395" s="338" t="s">
        <v>945</v>
      </c>
      <c r="C395" s="358">
        <v>44231</v>
      </c>
      <c r="D395" s="351" t="s">
        <v>1028</v>
      </c>
      <c r="E395" s="352" t="s">
        <v>1088</v>
      </c>
      <c r="F395" s="338">
        <v>0.70277777777777783</v>
      </c>
      <c r="G395" s="338">
        <v>0.70624999999999993</v>
      </c>
      <c r="H395" s="338" t="s">
        <v>981</v>
      </c>
      <c r="I395" s="353">
        <v>221</v>
      </c>
      <c r="J395" s="338" t="str">
        <f>IFERROR(VLOOKUP(I395,'Chart of accounts'!A:H,2,FALSE),"")</f>
        <v>10605020 00</v>
      </c>
      <c r="K395" s="338" t="str">
        <f>IFERROR(VLOOKUP(I395,'Chart of accounts'!A:H,3,FALSE),"")</f>
        <v>Office Equipment</v>
      </c>
      <c r="L395" s="338" t="str">
        <f>IFERROR(VLOOKUP(I395,'Chart of accounts'!A:H,4,FALSE),"")</f>
        <v>10605020 00 - Office Equipment (221)</v>
      </c>
      <c r="M395" s="361">
        <v>2</v>
      </c>
      <c r="N395" s="355" t="s">
        <v>818</v>
      </c>
      <c r="O395" s="355" t="s">
        <v>1089</v>
      </c>
      <c r="P395" s="355"/>
      <c r="Q395" s="363">
        <v>500000</v>
      </c>
      <c r="R395" s="319">
        <f t="shared" si="6"/>
        <v>-500000</v>
      </c>
      <c r="S395" s="428" t="str">
        <f>VLOOKUP(H395,'Fund Utilization Report'!$A$4:$U$1800,13,FALSE)</f>
        <v>CO</v>
      </c>
      <c r="T395" s="428" t="str">
        <f>VLOOKUP(H395,'Fund Utilization Report'!$A$4:$U$1800,2,FALSE)</f>
        <v>GAA</v>
      </c>
      <c r="U395" s="428" t="str">
        <f>VLOOKUP(H395,'Fund Utilization Report'!$A$4:$U$1800,3,FALSE)</f>
        <v>FY2021, RA11518</v>
      </c>
      <c r="V395" s="428" t="str">
        <f>VLOOKUP(H395,'Fund Utilization Report'!$A$4:$U$1800,4,FALSE)</f>
        <v>NC</v>
      </c>
      <c r="W395" s="428" t="str">
        <f>VLOOKUP(H395,'Fund Utilization Report'!$A$4:$U$1800,5,FALSE)</f>
        <v>01101101</v>
      </c>
      <c r="X395" s="428" t="str">
        <f>VLOOKUP(H395,'Fund Utilization Report'!$A$4:$U$1800,6,FALSE)</f>
        <v>GOP</v>
      </c>
      <c r="Y395" s="320" t="str">
        <f>VLOOKUP(H395,'Fund Utilization Report'!$A$4:$U$1800,7,FALSE)</f>
        <v>CO</v>
      </c>
      <c r="Z395" s="425">
        <f>VLOOKUP(H395,'Fund Utilization Report'!$A$4:$U$1800,8,FALSE)</f>
        <v>5060000000</v>
      </c>
      <c r="AA395" s="428" t="str">
        <f>VLOOKUP(H395,'Fund Utilization Report'!$A$4:$U$1800,14,FALSE)</f>
        <v>330100200001000</v>
      </c>
      <c r="AB395" s="349" t="str">
        <f>VLOOKUP(H395,'Fund Utilization Report'!$A$4:$U$1800,15,FALSE)</f>
        <v>Establishment of Negosyo Centers</v>
      </c>
      <c r="AC395" s="39"/>
      <c r="AD395" s="34"/>
      <c r="AE395" s="39"/>
      <c r="AF395" s="51"/>
      <c r="AG395" s="40"/>
      <c r="AH395" s="40"/>
    </row>
    <row r="396" spans="1:34" s="32" customFormat="1">
      <c r="A396" s="338" t="s">
        <v>942</v>
      </c>
      <c r="B396" s="338" t="s">
        <v>945</v>
      </c>
      <c r="C396" s="358">
        <v>44231</v>
      </c>
      <c r="D396" s="351" t="s">
        <v>1028</v>
      </c>
      <c r="E396" s="352" t="s">
        <v>1090</v>
      </c>
      <c r="F396" s="338">
        <v>0.70624999999999993</v>
      </c>
      <c r="G396" s="338">
        <v>0.70624999999999993</v>
      </c>
      <c r="H396" s="338" t="s">
        <v>980</v>
      </c>
      <c r="I396" s="353">
        <v>799</v>
      </c>
      <c r="J396" s="338" t="str">
        <f>IFERROR(VLOOKUP(I396,'Chart of accounts'!A:H,2,FALSE),"")</f>
        <v>50211990 00</v>
      </c>
      <c r="K396" s="338" t="str">
        <f>IFERROR(VLOOKUP(I396,'Chart of accounts'!A:H,3,FALSE),"")</f>
        <v>Other Professional Services</v>
      </c>
      <c r="L396" s="338" t="str">
        <f>IFERROR(VLOOKUP(I396,'Chart of accounts'!A:H,4,FALSE),"")</f>
        <v>50211990 00 - Other Professional Services (799)</v>
      </c>
      <c r="M396" s="361">
        <v>3</v>
      </c>
      <c r="N396" s="355" t="s">
        <v>820</v>
      </c>
      <c r="O396" s="355" t="s">
        <v>1089</v>
      </c>
      <c r="P396" s="355"/>
      <c r="Q396" s="363">
        <v>535050</v>
      </c>
      <c r="R396" s="319">
        <f t="shared" si="6"/>
        <v>-535050</v>
      </c>
      <c r="S396" s="428" t="str">
        <f>VLOOKUP(H396,'Fund Utilization Report'!$A$4:$U$1800,13,FALSE)</f>
        <v>MOOE</v>
      </c>
      <c r="T396" s="428" t="str">
        <f>VLOOKUP(H396,'Fund Utilization Report'!$A$4:$U$1800,2,FALSE)</f>
        <v>GAA</v>
      </c>
      <c r="U396" s="428" t="str">
        <f>VLOOKUP(H396,'Fund Utilization Report'!$A$4:$U$1800,3,FALSE)</f>
        <v>FY2021, RA11518</v>
      </c>
      <c r="V396" s="428" t="str">
        <f>VLOOKUP(H396,'Fund Utilization Report'!$A$4:$U$1800,4,FALSE)</f>
        <v>NC</v>
      </c>
      <c r="W396" s="428" t="str">
        <f>VLOOKUP(H396,'Fund Utilization Report'!$A$4:$U$1800,5,FALSE)</f>
        <v>01101101</v>
      </c>
      <c r="X396" s="428" t="str">
        <f>VLOOKUP(H396,'Fund Utilization Report'!$A$4:$U$1800,6,FALSE)</f>
        <v>GOP</v>
      </c>
      <c r="Y396" s="320" t="str">
        <f>VLOOKUP(H396,'Fund Utilization Report'!$A$4:$U$1800,7,FALSE)</f>
        <v>MOOE</v>
      </c>
      <c r="Z396" s="425">
        <f>VLOOKUP(H396,'Fund Utilization Report'!$A$4:$U$1800,8,FALSE)</f>
        <v>5020000000</v>
      </c>
      <c r="AA396" s="428" t="str">
        <f>VLOOKUP(H396,'Fund Utilization Report'!$A$4:$U$1800,14,FALSE)</f>
        <v>330100200001000</v>
      </c>
      <c r="AB396" s="349" t="str">
        <f>VLOOKUP(H396,'Fund Utilization Report'!$A$4:$U$1800,15,FALSE)</f>
        <v>Establishment of Negosyo Centers</v>
      </c>
      <c r="AC396" s="39"/>
      <c r="AD396" s="34"/>
      <c r="AE396" s="39"/>
      <c r="AF396" s="51"/>
      <c r="AG396" s="40"/>
      <c r="AH396" s="40"/>
    </row>
    <row r="397" spans="1:34" s="32" customFormat="1">
      <c r="A397" s="338" t="s">
        <v>942</v>
      </c>
      <c r="B397" s="338" t="s">
        <v>945</v>
      </c>
      <c r="C397" s="358">
        <v>44231</v>
      </c>
      <c r="D397" s="351" t="s">
        <v>1028</v>
      </c>
      <c r="E397" s="352" t="s">
        <v>1091</v>
      </c>
      <c r="F397" s="338">
        <v>0.70624999999999993</v>
      </c>
      <c r="G397" s="338">
        <v>0.70694444444444438</v>
      </c>
      <c r="H397" s="338" t="s">
        <v>980</v>
      </c>
      <c r="I397" s="353">
        <v>799</v>
      </c>
      <c r="J397" s="338" t="str">
        <f>IFERROR(VLOOKUP(I397,'Chart of accounts'!A:H,2,FALSE),"")</f>
        <v>50211990 00</v>
      </c>
      <c r="K397" s="338" t="str">
        <f>IFERROR(VLOOKUP(I397,'Chart of accounts'!A:H,3,FALSE),"")</f>
        <v>Other Professional Services</v>
      </c>
      <c r="L397" s="338" t="str">
        <f>IFERROR(VLOOKUP(I397,'Chart of accounts'!A:H,4,FALSE),"")</f>
        <v>50211990 00 - Other Professional Services (799)</v>
      </c>
      <c r="M397" s="361">
        <v>68</v>
      </c>
      <c r="N397" s="355" t="s">
        <v>821</v>
      </c>
      <c r="O397" s="355" t="s">
        <v>1089</v>
      </c>
      <c r="P397" s="355"/>
      <c r="Q397" s="363">
        <v>463500</v>
      </c>
      <c r="R397" s="319">
        <f t="shared" si="6"/>
        <v>-463500</v>
      </c>
      <c r="S397" s="428" t="str">
        <f>VLOOKUP(H397,'Fund Utilization Report'!$A$4:$U$1800,13,FALSE)</f>
        <v>MOOE</v>
      </c>
      <c r="T397" s="428" t="str">
        <f>VLOOKUP(H397,'Fund Utilization Report'!$A$4:$U$1800,2,FALSE)</f>
        <v>GAA</v>
      </c>
      <c r="U397" s="428" t="str">
        <f>VLOOKUP(H397,'Fund Utilization Report'!$A$4:$U$1800,3,FALSE)</f>
        <v>FY2021, RA11518</v>
      </c>
      <c r="V397" s="428" t="str">
        <f>VLOOKUP(H397,'Fund Utilization Report'!$A$4:$U$1800,4,FALSE)</f>
        <v>NC</v>
      </c>
      <c r="W397" s="428" t="str">
        <f>VLOOKUP(H397,'Fund Utilization Report'!$A$4:$U$1800,5,FALSE)</f>
        <v>01101101</v>
      </c>
      <c r="X397" s="428" t="str">
        <f>VLOOKUP(H397,'Fund Utilization Report'!$A$4:$U$1800,6,FALSE)</f>
        <v>GOP</v>
      </c>
      <c r="Y397" s="320" t="str">
        <f>VLOOKUP(H397,'Fund Utilization Report'!$A$4:$U$1800,7,FALSE)</f>
        <v>MOOE</v>
      </c>
      <c r="Z397" s="425">
        <f>VLOOKUP(H397,'Fund Utilization Report'!$A$4:$U$1800,8,FALSE)</f>
        <v>5020000000</v>
      </c>
      <c r="AA397" s="428" t="str">
        <f>VLOOKUP(H397,'Fund Utilization Report'!$A$4:$U$1800,14,FALSE)</f>
        <v>330100200001000</v>
      </c>
      <c r="AB397" s="349" t="str">
        <f>VLOOKUP(H397,'Fund Utilization Report'!$A$4:$U$1800,15,FALSE)</f>
        <v>Establishment of Negosyo Centers</v>
      </c>
      <c r="AC397" s="39"/>
      <c r="AD397" s="34"/>
      <c r="AE397" s="39"/>
      <c r="AF397" s="51"/>
      <c r="AG397" s="40"/>
      <c r="AH397" s="40"/>
    </row>
    <row r="398" spans="1:34" s="32" customFormat="1">
      <c r="A398" s="338" t="s">
        <v>942</v>
      </c>
      <c r="B398" s="338" t="s">
        <v>945</v>
      </c>
      <c r="C398" s="358">
        <v>44231</v>
      </c>
      <c r="D398" s="351" t="s">
        <v>1028</v>
      </c>
      <c r="E398" s="352" t="s">
        <v>1091</v>
      </c>
      <c r="F398" s="338">
        <v>0.70624999999999993</v>
      </c>
      <c r="G398" s="338">
        <v>0.70694444444444438</v>
      </c>
      <c r="H398" s="338" t="s">
        <v>981</v>
      </c>
      <c r="I398" s="353">
        <v>221</v>
      </c>
      <c r="J398" s="338" t="str">
        <f>IFERROR(VLOOKUP(I398,'Chart of accounts'!A:H,2,FALSE),"")</f>
        <v>10605020 00</v>
      </c>
      <c r="K398" s="338" t="str">
        <f>IFERROR(VLOOKUP(I398,'Chart of accounts'!A:H,3,FALSE),"")</f>
        <v>Office Equipment</v>
      </c>
      <c r="L398" s="338" t="str">
        <f>IFERROR(VLOOKUP(I398,'Chart of accounts'!A:H,4,FALSE),"")</f>
        <v>10605020 00 - Office Equipment (221)</v>
      </c>
      <c r="M398" s="361">
        <v>68</v>
      </c>
      <c r="N398" s="355" t="s">
        <v>821</v>
      </c>
      <c r="O398" s="355" t="s">
        <v>1089</v>
      </c>
      <c r="P398" s="355"/>
      <c r="Q398" s="363">
        <v>500000</v>
      </c>
      <c r="R398" s="319">
        <f t="shared" si="6"/>
        <v>-500000</v>
      </c>
      <c r="S398" s="428" t="str">
        <f>VLOOKUP(H398,'Fund Utilization Report'!$A$4:$U$1800,13,FALSE)</f>
        <v>CO</v>
      </c>
      <c r="T398" s="428" t="str">
        <f>VLOOKUP(H398,'Fund Utilization Report'!$A$4:$U$1800,2,FALSE)</f>
        <v>GAA</v>
      </c>
      <c r="U398" s="428" t="str">
        <f>VLOOKUP(H398,'Fund Utilization Report'!$A$4:$U$1800,3,FALSE)</f>
        <v>FY2021, RA11518</v>
      </c>
      <c r="V398" s="428" t="str">
        <f>VLOOKUP(H398,'Fund Utilization Report'!$A$4:$U$1800,4,FALSE)</f>
        <v>NC</v>
      </c>
      <c r="W398" s="428" t="str">
        <f>VLOOKUP(H398,'Fund Utilization Report'!$A$4:$U$1800,5,FALSE)</f>
        <v>01101101</v>
      </c>
      <c r="X398" s="428" t="str">
        <f>VLOOKUP(H398,'Fund Utilization Report'!$A$4:$U$1800,6,FALSE)</f>
        <v>GOP</v>
      </c>
      <c r="Y398" s="320" t="str">
        <f>VLOOKUP(H398,'Fund Utilization Report'!$A$4:$U$1800,7,FALSE)</f>
        <v>CO</v>
      </c>
      <c r="Z398" s="425">
        <f>VLOOKUP(H398,'Fund Utilization Report'!$A$4:$U$1800,8,FALSE)</f>
        <v>5060000000</v>
      </c>
      <c r="AA398" s="428" t="str">
        <f>VLOOKUP(H398,'Fund Utilization Report'!$A$4:$U$1800,14,FALSE)</f>
        <v>330100200001000</v>
      </c>
      <c r="AB398" s="349" t="str">
        <f>VLOOKUP(H398,'Fund Utilization Report'!$A$4:$U$1800,15,FALSE)</f>
        <v>Establishment of Negosyo Centers</v>
      </c>
      <c r="AC398" s="39"/>
      <c r="AD398" s="34"/>
      <c r="AE398" s="39"/>
      <c r="AF398" s="51"/>
      <c r="AG398" s="40"/>
      <c r="AH398" s="40"/>
    </row>
    <row r="399" spans="1:34" s="32" customFormat="1">
      <c r="A399" s="338" t="s">
        <v>942</v>
      </c>
      <c r="B399" s="338" t="s">
        <v>945</v>
      </c>
      <c r="C399" s="358">
        <v>44231</v>
      </c>
      <c r="D399" s="351" t="s">
        <v>1028</v>
      </c>
      <c r="E399" s="352" t="s">
        <v>1092</v>
      </c>
      <c r="F399" s="338">
        <v>0.70694444444444438</v>
      </c>
      <c r="G399" s="338">
        <v>0.70833333333333337</v>
      </c>
      <c r="H399" s="338" t="s">
        <v>980</v>
      </c>
      <c r="I399" s="353">
        <v>799</v>
      </c>
      <c r="J399" s="338" t="str">
        <f>IFERROR(VLOOKUP(I399,'Chart of accounts'!A:H,2,FALSE),"")</f>
        <v>50211990 00</v>
      </c>
      <c r="K399" s="338" t="str">
        <f>IFERROR(VLOOKUP(I399,'Chart of accounts'!A:H,3,FALSE),"")</f>
        <v>Other Professional Services</v>
      </c>
      <c r="L399" s="338" t="str">
        <f>IFERROR(VLOOKUP(I399,'Chart of accounts'!A:H,4,FALSE),"")</f>
        <v>50211990 00 - Other Professional Services (799)</v>
      </c>
      <c r="M399" s="361">
        <v>67</v>
      </c>
      <c r="N399" s="355" t="s">
        <v>822</v>
      </c>
      <c r="O399" s="355" t="s">
        <v>1089</v>
      </c>
      <c r="P399" s="355"/>
      <c r="Q399" s="363">
        <v>370350</v>
      </c>
      <c r="R399" s="319">
        <f t="shared" si="6"/>
        <v>-370350</v>
      </c>
      <c r="S399" s="428" t="str">
        <f>VLOOKUP(H399,'Fund Utilization Report'!$A$4:$U$1800,13,FALSE)</f>
        <v>MOOE</v>
      </c>
      <c r="T399" s="428" t="str">
        <f>VLOOKUP(H399,'Fund Utilization Report'!$A$4:$U$1800,2,FALSE)</f>
        <v>GAA</v>
      </c>
      <c r="U399" s="428" t="str">
        <f>VLOOKUP(H399,'Fund Utilization Report'!$A$4:$U$1800,3,FALSE)</f>
        <v>FY2021, RA11518</v>
      </c>
      <c r="V399" s="428" t="str">
        <f>VLOOKUP(H399,'Fund Utilization Report'!$A$4:$U$1800,4,FALSE)</f>
        <v>NC</v>
      </c>
      <c r="W399" s="428" t="str">
        <f>VLOOKUP(H399,'Fund Utilization Report'!$A$4:$U$1800,5,FALSE)</f>
        <v>01101101</v>
      </c>
      <c r="X399" s="428" t="str">
        <f>VLOOKUP(H399,'Fund Utilization Report'!$A$4:$U$1800,6,FALSE)</f>
        <v>GOP</v>
      </c>
      <c r="Y399" s="320" t="str">
        <f>VLOOKUP(H399,'Fund Utilization Report'!$A$4:$U$1800,7,FALSE)</f>
        <v>MOOE</v>
      </c>
      <c r="Z399" s="425">
        <f>VLOOKUP(H399,'Fund Utilization Report'!$A$4:$U$1800,8,FALSE)</f>
        <v>5020000000</v>
      </c>
      <c r="AA399" s="428" t="str">
        <f>VLOOKUP(H399,'Fund Utilization Report'!$A$4:$U$1800,14,FALSE)</f>
        <v>330100200001000</v>
      </c>
      <c r="AB399" s="349" t="str">
        <f>VLOOKUP(H399,'Fund Utilization Report'!$A$4:$U$1800,15,FALSE)</f>
        <v>Establishment of Negosyo Centers</v>
      </c>
      <c r="AC399" s="39"/>
      <c r="AD399" s="34"/>
      <c r="AE399" s="39"/>
      <c r="AF399" s="51"/>
      <c r="AG399" s="40"/>
      <c r="AH399" s="40"/>
    </row>
    <row r="400" spans="1:34" s="32" customFormat="1">
      <c r="A400" s="338" t="s">
        <v>942</v>
      </c>
      <c r="B400" s="338" t="s">
        <v>945</v>
      </c>
      <c r="C400" s="358">
        <v>44231</v>
      </c>
      <c r="D400" s="351" t="s">
        <v>1028</v>
      </c>
      <c r="E400" s="352" t="s">
        <v>1092</v>
      </c>
      <c r="F400" s="338">
        <v>0.70694444444444438</v>
      </c>
      <c r="G400" s="338">
        <v>0.70833333333333337</v>
      </c>
      <c r="H400" s="338" t="s">
        <v>981</v>
      </c>
      <c r="I400" s="353">
        <v>221</v>
      </c>
      <c r="J400" s="338" t="str">
        <f>IFERROR(VLOOKUP(I400,'Chart of accounts'!A:H,2,FALSE),"")</f>
        <v>10605020 00</v>
      </c>
      <c r="K400" s="338" t="str">
        <f>IFERROR(VLOOKUP(I400,'Chart of accounts'!A:H,3,FALSE),"")</f>
        <v>Office Equipment</v>
      </c>
      <c r="L400" s="338" t="str">
        <f>IFERROR(VLOOKUP(I400,'Chart of accounts'!A:H,4,FALSE),"")</f>
        <v>10605020 00 - Office Equipment (221)</v>
      </c>
      <c r="M400" s="361">
        <v>67</v>
      </c>
      <c r="N400" s="355" t="s">
        <v>822</v>
      </c>
      <c r="O400" s="355" t="s">
        <v>1089</v>
      </c>
      <c r="P400" s="355"/>
      <c r="Q400" s="363">
        <v>500000</v>
      </c>
      <c r="R400" s="319">
        <f t="shared" si="6"/>
        <v>-500000</v>
      </c>
      <c r="S400" s="428" t="str">
        <f>VLOOKUP(H400,'Fund Utilization Report'!$A$4:$U$1800,13,FALSE)</f>
        <v>CO</v>
      </c>
      <c r="T400" s="428" t="str">
        <f>VLOOKUP(H400,'Fund Utilization Report'!$A$4:$U$1800,2,FALSE)</f>
        <v>GAA</v>
      </c>
      <c r="U400" s="428" t="str">
        <f>VLOOKUP(H400,'Fund Utilization Report'!$A$4:$U$1800,3,FALSE)</f>
        <v>FY2021, RA11518</v>
      </c>
      <c r="V400" s="428" t="str">
        <f>VLOOKUP(H400,'Fund Utilization Report'!$A$4:$U$1800,4,FALSE)</f>
        <v>NC</v>
      </c>
      <c r="W400" s="428" t="str">
        <f>VLOOKUP(H400,'Fund Utilization Report'!$A$4:$U$1800,5,FALSE)</f>
        <v>01101101</v>
      </c>
      <c r="X400" s="428" t="str">
        <f>VLOOKUP(H400,'Fund Utilization Report'!$A$4:$U$1800,6,FALSE)</f>
        <v>GOP</v>
      </c>
      <c r="Y400" s="320" t="str">
        <f>VLOOKUP(H400,'Fund Utilization Report'!$A$4:$U$1800,7,FALSE)</f>
        <v>CO</v>
      </c>
      <c r="Z400" s="425">
        <f>VLOOKUP(H400,'Fund Utilization Report'!$A$4:$U$1800,8,FALSE)</f>
        <v>5060000000</v>
      </c>
      <c r="AA400" s="428" t="str">
        <f>VLOOKUP(H400,'Fund Utilization Report'!$A$4:$U$1800,14,FALSE)</f>
        <v>330100200001000</v>
      </c>
      <c r="AB400" s="349" t="str">
        <f>VLOOKUP(H400,'Fund Utilization Report'!$A$4:$U$1800,15,FALSE)</f>
        <v>Establishment of Negosyo Centers</v>
      </c>
      <c r="AC400" s="39"/>
      <c r="AD400" s="34"/>
      <c r="AE400" s="39"/>
      <c r="AF400" s="51"/>
      <c r="AG400" s="40"/>
      <c r="AH400" s="40"/>
    </row>
    <row r="401" spans="1:34" s="32" customFormat="1">
      <c r="A401" s="338" t="s">
        <v>942</v>
      </c>
      <c r="B401" s="338" t="s">
        <v>945</v>
      </c>
      <c r="C401" s="358">
        <v>44231</v>
      </c>
      <c r="D401" s="351" t="s">
        <v>1028</v>
      </c>
      <c r="E401" s="352" t="s">
        <v>1093</v>
      </c>
      <c r="F401" s="338">
        <v>0.70833333333333337</v>
      </c>
      <c r="G401" s="338">
        <v>0.7090277777777777</v>
      </c>
      <c r="H401" s="338" t="s">
        <v>980</v>
      </c>
      <c r="I401" s="353">
        <v>799</v>
      </c>
      <c r="J401" s="338" t="str">
        <f>IFERROR(VLOOKUP(I401,'Chart of accounts'!A:H,2,FALSE),"")</f>
        <v>50211990 00</v>
      </c>
      <c r="K401" s="338" t="str">
        <f>IFERROR(VLOOKUP(I401,'Chart of accounts'!A:H,3,FALSE),"")</f>
        <v>Other Professional Services</v>
      </c>
      <c r="L401" s="338" t="str">
        <f>IFERROR(VLOOKUP(I401,'Chart of accounts'!A:H,4,FALSE),"")</f>
        <v>50211990 00 - Other Professional Services (799)</v>
      </c>
      <c r="M401" s="361">
        <v>85</v>
      </c>
      <c r="N401" s="355" t="s">
        <v>823</v>
      </c>
      <c r="O401" s="355" t="s">
        <v>1089</v>
      </c>
      <c r="P401" s="355"/>
      <c r="Q401" s="363">
        <v>315900</v>
      </c>
      <c r="R401" s="319">
        <f t="shared" si="6"/>
        <v>-315900</v>
      </c>
      <c r="S401" s="428" t="str">
        <f>VLOOKUP(H401,'Fund Utilization Report'!$A$4:$U$1800,13,FALSE)</f>
        <v>MOOE</v>
      </c>
      <c r="T401" s="428" t="str">
        <f>VLOOKUP(H401,'Fund Utilization Report'!$A$4:$U$1800,2,FALSE)</f>
        <v>GAA</v>
      </c>
      <c r="U401" s="428" t="str">
        <f>VLOOKUP(H401,'Fund Utilization Report'!$A$4:$U$1800,3,FALSE)</f>
        <v>FY2021, RA11518</v>
      </c>
      <c r="V401" s="428" t="str">
        <f>VLOOKUP(H401,'Fund Utilization Report'!$A$4:$U$1800,4,FALSE)</f>
        <v>NC</v>
      </c>
      <c r="W401" s="428" t="str">
        <f>VLOOKUP(H401,'Fund Utilization Report'!$A$4:$U$1800,5,FALSE)</f>
        <v>01101101</v>
      </c>
      <c r="X401" s="428" t="str">
        <f>VLOOKUP(H401,'Fund Utilization Report'!$A$4:$U$1800,6,FALSE)</f>
        <v>GOP</v>
      </c>
      <c r="Y401" s="320" t="str">
        <f>VLOOKUP(H401,'Fund Utilization Report'!$A$4:$U$1800,7,FALSE)</f>
        <v>MOOE</v>
      </c>
      <c r="Z401" s="425">
        <f>VLOOKUP(H401,'Fund Utilization Report'!$A$4:$U$1800,8,FALSE)</f>
        <v>5020000000</v>
      </c>
      <c r="AA401" s="428" t="str">
        <f>VLOOKUP(H401,'Fund Utilization Report'!$A$4:$U$1800,14,FALSE)</f>
        <v>330100200001000</v>
      </c>
      <c r="AB401" s="349" t="str">
        <f>VLOOKUP(H401,'Fund Utilization Report'!$A$4:$U$1800,15,FALSE)</f>
        <v>Establishment of Negosyo Centers</v>
      </c>
      <c r="AC401" s="39"/>
      <c r="AD401" s="34"/>
      <c r="AE401" s="39"/>
      <c r="AF401" s="51"/>
      <c r="AG401" s="40"/>
      <c r="AH401" s="40"/>
    </row>
    <row r="402" spans="1:34" s="32" customFormat="1">
      <c r="A402" s="338" t="s">
        <v>942</v>
      </c>
      <c r="B402" s="338" t="s">
        <v>945</v>
      </c>
      <c r="C402" s="358">
        <v>44231</v>
      </c>
      <c r="D402" s="351" t="s">
        <v>1028</v>
      </c>
      <c r="E402" s="352" t="s">
        <v>1093</v>
      </c>
      <c r="F402" s="338">
        <v>0.70833333333333337</v>
      </c>
      <c r="G402" s="338">
        <v>0.7090277777777777</v>
      </c>
      <c r="H402" s="338" t="s">
        <v>981</v>
      </c>
      <c r="I402" s="353">
        <v>221</v>
      </c>
      <c r="J402" s="338" t="str">
        <f>IFERROR(VLOOKUP(I402,'Chart of accounts'!A:H,2,FALSE),"")</f>
        <v>10605020 00</v>
      </c>
      <c r="K402" s="338" t="str">
        <f>IFERROR(VLOOKUP(I402,'Chart of accounts'!A:H,3,FALSE),"")</f>
        <v>Office Equipment</v>
      </c>
      <c r="L402" s="338" t="str">
        <f>IFERROR(VLOOKUP(I402,'Chart of accounts'!A:H,4,FALSE),"")</f>
        <v>10605020 00 - Office Equipment (221)</v>
      </c>
      <c r="M402" s="361">
        <v>85</v>
      </c>
      <c r="N402" s="355" t="s">
        <v>823</v>
      </c>
      <c r="O402" s="355" t="s">
        <v>1089</v>
      </c>
      <c r="P402" s="355"/>
      <c r="Q402" s="363">
        <v>500000</v>
      </c>
      <c r="R402" s="319">
        <f t="shared" si="6"/>
        <v>-500000</v>
      </c>
      <c r="S402" s="428" t="str">
        <f>VLOOKUP(H402,'Fund Utilization Report'!$A$4:$U$1800,13,FALSE)</f>
        <v>CO</v>
      </c>
      <c r="T402" s="428" t="str">
        <f>VLOOKUP(H402,'Fund Utilization Report'!$A$4:$U$1800,2,FALSE)</f>
        <v>GAA</v>
      </c>
      <c r="U402" s="428" t="str">
        <f>VLOOKUP(H402,'Fund Utilization Report'!$A$4:$U$1800,3,FALSE)</f>
        <v>FY2021, RA11518</v>
      </c>
      <c r="V402" s="428" t="str">
        <f>VLOOKUP(H402,'Fund Utilization Report'!$A$4:$U$1800,4,FALSE)</f>
        <v>NC</v>
      </c>
      <c r="W402" s="428" t="str">
        <f>VLOOKUP(H402,'Fund Utilization Report'!$A$4:$U$1800,5,FALSE)</f>
        <v>01101101</v>
      </c>
      <c r="X402" s="428" t="str">
        <f>VLOOKUP(H402,'Fund Utilization Report'!$A$4:$U$1800,6,FALSE)</f>
        <v>GOP</v>
      </c>
      <c r="Y402" s="320" t="str">
        <f>VLOOKUP(H402,'Fund Utilization Report'!$A$4:$U$1800,7,FALSE)</f>
        <v>CO</v>
      </c>
      <c r="Z402" s="425">
        <f>VLOOKUP(H402,'Fund Utilization Report'!$A$4:$U$1800,8,FALSE)</f>
        <v>5060000000</v>
      </c>
      <c r="AA402" s="428" t="str">
        <f>VLOOKUP(H402,'Fund Utilization Report'!$A$4:$U$1800,14,FALSE)</f>
        <v>330100200001000</v>
      </c>
      <c r="AB402" s="349" t="str">
        <f>VLOOKUP(H402,'Fund Utilization Report'!$A$4:$U$1800,15,FALSE)</f>
        <v>Establishment of Negosyo Centers</v>
      </c>
      <c r="AC402" s="39"/>
      <c r="AD402" s="34"/>
      <c r="AE402" s="39"/>
      <c r="AF402" s="51"/>
      <c r="AG402" s="40"/>
      <c r="AH402" s="40"/>
    </row>
    <row r="403" spans="1:34" s="32" customFormat="1" ht="27.6">
      <c r="A403" s="338" t="s">
        <v>942</v>
      </c>
      <c r="B403" s="338" t="s">
        <v>945</v>
      </c>
      <c r="C403" s="358">
        <v>44235</v>
      </c>
      <c r="D403" s="351" t="s">
        <v>1028</v>
      </c>
      <c r="E403" s="352" t="s">
        <v>1094</v>
      </c>
      <c r="F403" s="338">
        <v>0.62291666666666667</v>
      </c>
      <c r="G403" s="338">
        <v>0.625</v>
      </c>
      <c r="H403" s="338" t="s">
        <v>960</v>
      </c>
      <c r="I403" s="353">
        <v>701</v>
      </c>
      <c r="J403" s="338" t="str">
        <f>IFERROR(VLOOKUP(I403,'Chart of accounts'!A:H,2,FALSE),"")</f>
        <v>50101010 01</v>
      </c>
      <c r="K403" s="338" t="str">
        <f>IFERROR(VLOOKUP(I403,'Chart of accounts'!A:H,3,FALSE),"")</f>
        <v>Basic Salary - Civilian</v>
      </c>
      <c r="L403" s="338" t="str">
        <f>IFERROR(VLOOKUP(I403,'Chart of accounts'!A:H,4,FALSE),"")</f>
        <v>50101010 01 - Basic Salary - Civilian (701)</v>
      </c>
      <c r="M403" s="360" t="s">
        <v>2</v>
      </c>
      <c r="N403" s="355" t="s">
        <v>10</v>
      </c>
      <c r="O403" s="355" t="s">
        <v>1095</v>
      </c>
      <c r="P403" s="355"/>
      <c r="Q403" s="363">
        <v>54795</v>
      </c>
      <c r="R403" s="319">
        <f t="shared" si="6"/>
        <v>-54795</v>
      </c>
      <c r="S403" s="428" t="str">
        <f>VLOOKUP(H403,'Fund Utilization Report'!$A$4:$U$1800,13,FALSE)</f>
        <v>PS</v>
      </c>
      <c r="T403" s="428" t="str">
        <f>VLOOKUP(H403,'Fund Utilization Report'!$A$4:$U$1800,2,FALSE)</f>
        <v>GAA</v>
      </c>
      <c r="U403" s="428" t="str">
        <f>VLOOKUP(H403,'Fund Utilization Report'!$A$4:$U$1800,3,FALSE)</f>
        <v>FY2021, RA11518</v>
      </c>
      <c r="V403" s="428" t="str">
        <f>VLOOKUP(H403,'Fund Utilization Report'!$A$4:$U$1800,4,FALSE)</f>
        <v>GAS(GMS)</v>
      </c>
      <c r="W403" s="428" t="str">
        <f>VLOOKUP(H403,'Fund Utilization Report'!$A$4:$U$1800,5,FALSE)</f>
        <v>01101101</v>
      </c>
      <c r="X403" s="428" t="str">
        <f>VLOOKUP(H403,'Fund Utilization Report'!$A$4:$U$1800,6,FALSE)</f>
        <v>GOP</v>
      </c>
      <c r="Y403" s="320" t="str">
        <f>VLOOKUP(H403,'Fund Utilization Report'!$A$4:$U$1800,7,FALSE)</f>
        <v>PS</v>
      </c>
      <c r="Z403" s="425">
        <f>VLOOKUP(H403,'Fund Utilization Report'!$A$4:$U$1800,8,FALSE)</f>
        <v>5010000000</v>
      </c>
      <c r="AA403" s="428" t="str">
        <f>VLOOKUP(H403,'Fund Utilization Report'!$A$4:$U$1800,14,FALSE)</f>
        <v>100000100001000</v>
      </c>
      <c r="AB403" s="349" t="str">
        <f>VLOOKUP(H403,'Fund Utilization Report'!$A$4:$U$1800,15,FALSE)</f>
        <v>General Administration and Supervision - General Management and Supervision</v>
      </c>
      <c r="AC403" s="39"/>
      <c r="AD403" s="34"/>
      <c r="AE403" s="39"/>
      <c r="AF403" s="51"/>
      <c r="AG403" s="40"/>
      <c r="AH403" s="40"/>
    </row>
    <row r="404" spans="1:34" s="32" customFormat="1" ht="27.6">
      <c r="A404" s="338" t="s">
        <v>942</v>
      </c>
      <c r="B404" s="338" t="s">
        <v>945</v>
      </c>
      <c r="C404" s="358">
        <v>44235</v>
      </c>
      <c r="D404" s="351" t="s">
        <v>1028</v>
      </c>
      <c r="E404" s="352" t="s">
        <v>1094</v>
      </c>
      <c r="F404" s="338">
        <v>0.62291666666666667</v>
      </c>
      <c r="G404" s="338">
        <v>0.625</v>
      </c>
      <c r="H404" s="338" t="s">
        <v>962</v>
      </c>
      <c r="I404" s="353">
        <v>731</v>
      </c>
      <c r="J404" s="338" t="str">
        <f>IFERROR(VLOOKUP(I404,'Chart of accounts'!A:H,2,FALSE),"")</f>
        <v>50103010 00</v>
      </c>
      <c r="K404" s="338" t="str">
        <f>IFERROR(VLOOKUP(I404,'Chart of accounts'!A:H,3,FALSE),"")</f>
        <v>Retirement and Life Insurance Premiums</v>
      </c>
      <c r="L404" s="338" t="str">
        <f>IFERROR(VLOOKUP(I404,'Chart of accounts'!A:H,4,FALSE),"")</f>
        <v>50103010 00 - Retirement and Life Insurance Premiums (731)</v>
      </c>
      <c r="M404" s="360" t="s">
        <v>2</v>
      </c>
      <c r="N404" s="355" t="s">
        <v>10</v>
      </c>
      <c r="O404" s="355" t="s">
        <v>1095</v>
      </c>
      <c r="P404" s="355"/>
      <c r="Q404" s="363">
        <v>6575.4</v>
      </c>
      <c r="R404" s="319">
        <f t="shared" si="6"/>
        <v>-6575.4</v>
      </c>
      <c r="S404" s="428" t="str">
        <f>VLOOKUP(H404,'Fund Utilization Report'!$A$4:$U$1800,13,FALSE)</f>
        <v>PS</v>
      </c>
      <c r="T404" s="428" t="str">
        <f>VLOOKUP(H404,'Fund Utilization Report'!$A$4:$U$1800,2,FALSE)</f>
        <v>GAA</v>
      </c>
      <c r="U404" s="428" t="str">
        <f>VLOOKUP(H404,'Fund Utilization Report'!$A$4:$U$1800,3,FALSE)</f>
        <v>FY2021, RA11518</v>
      </c>
      <c r="V404" s="428" t="str">
        <f>VLOOKUP(H404,'Fund Utilization Report'!$A$4:$U$1800,4,FALSE)</f>
        <v>GAS(GMS)</v>
      </c>
      <c r="W404" s="428" t="str">
        <f>VLOOKUP(H404,'Fund Utilization Report'!$A$4:$U$1800,5,FALSE)</f>
        <v>01101101</v>
      </c>
      <c r="X404" s="428" t="str">
        <f>VLOOKUP(H404,'Fund Utilization Report'!$A$4:$U$1800,6,FALSE)</f>
        <v>GOP</v>
      </c>
      <c r="Y404" s="320" t="str">
        <f>VLOOKUP(H404,'Fund Utilization Report'!$A$4:$U$1800,7,FALSE)</f>
        <v>RLIP</v>
      </c>
      <c r="Z404" s="425" t="str">
        <f>VLOOKUP(H404,'Fund Utilization Report'!$A$4:$U$1800,8,FALSE)</f>
        <v>50103010-00</v>
      </c>
      <c r="AA404" s="428" t="str">
        <f>VLOOKUP(H404,'Fund Utilization Report'!$A$4:$U$1800,14,FALSE)</f>
        <v>100000100001000</v>
      </c>
      <c r="AB404" s="349" t="str">
        <f>VLOOKUP(H404,'Fund Utilization Report'!$A$4:$U$1800,15,FALSE)</f>
        <v>General Administration and Supervision - General Management and Supervision</v>
      </c>
      <c r="AC404" s="39"/>
      <c r="AD404" s="34"/>
      <c r="AE404" s="39"/>
      <c r="AF404" s="51"/>
      <c r="AG404" s="40"/>
      <c r="AH404" s="40"/>
    </row>
    <row r="405" spans="1:34" s="32" customFormat="1" ht="27.6">
      <c r="A405" s="338" t="s">
        <v>942</v>
      </c>
      <c r="B405" s="338" t="s">
        <v>945</v>
      </c>
      <c r="C405" s="358">
        <v>44235</v>
      </c>
      <c r="D405" s="351" t="s">
        <v>1028</v>
      </c>
      <c r="E405" s="352" t="s">
        <v>1094</v>
      </c>
      <c r="F405" s="338">
        <v>0.62291666666666667</v>
      </c>
      <c r="G405" s="338">
        <v>0.625</v>
      </c>
      <c r="H405" s="338" t="s">
        <v>960</v>
      </c>
      <c r="I405" s="353">
        <v>733</v>
      </c>
      <c r="J405" s="338" t="str">
        <f>IFERROR(VLOOKUP(I405,'Chart of accounts'!A:H,2,FALSE),"")</f>
        <v>50103030 01</v>
      </c>
      <c r="K405" s="338" t="str">
        <f>IFERROR(VLOOKUP(I405,'Chart of accounts'!A:H,3,FALSE),"")</f>
        <v>PhilHealth - Civilian</v>
      </c>
      <c r="L405" s="338" t="str">
        <f>IFERROR(VLOOKUP(I405,'Chart of accounts'!A:H,4,FALSE),"")</f>
        <v>50103030 01 - PhilHealth - Civilian (733)</v>
      </c>
      <c r="M405" s="360" t="s">
        <v>2</v>
      </c>
      <c r="N405" s="355" t="s">
        <v>10</v>
      </c>
      <c r="O405" s="355" t="s">
        <v>1095</v>
      </c>
      <c r="P405" s="355"/>
      <c r="Q405" s="363">
        <v>643.82000000000005</v>
      </c>
      <c r="R405" s="319">
        <f t="shared" si="6"/>
        <v>-643.82000000000005</v>
      </c>
      <c r="S405" s="428" t="str">
        <f>VLOOKUP(H405,'Fund Utilization Report'!$A$4:$U$1800,13,FALSE)</f>
        <v>PS</v>
      </c>
      <c r="T405" s="428" t="str">
        <f>VLOOKUP(H405,'Fund Utilization Report'!$A$4:$U$1800,2,FALSE)</f>
        <v>GAA</v>
      </c>
      <c r="U405" s="428" t="str">
        <f>VLOOKUP(H405,'Fund Utilization Report'!$A$4:$U$1800,3,FALSE)</f>
        <v>FY2021, RA11518</v>
      </c>
      <c r="V405" s="428" t="str">
        <f>VLOOKUP(H405,'Fund Utilization Report'!$A$4:$U$1800,4,FALSE)</f>
        <v>GAS(GMS)</v>
      </c>
      <c r="W405" s="428" t="str">
        <f>VLOOKUP(H405,'Fund Utilization Report'!$A$4:$U$1800,5,FALSE)</f>
        <v>01101101</v>
      </c>
      <c r="X405" s="428" t="str">
        <f>VLOOKUP(H405,'Fund Utilization Report'!$A$4:$U$1800,6,FALSE)</f>
        <v>GOP</v>
      </c>
      <c r="Y405" s="320" t="str">
        <f>VLOOKUP(H405,'Fund Utilization Report'!$A$4:$U$1800,7,FALSE)</f>
        <v>PS</v>
      </c>
      <c r="Z405" s="425">
        <f>VLOOKUP(H405,'Fund Utilization Report'!$A$4:$U$1800,8,FALSE)</f>
        <v>5010000000</v>
      </c>
      <c r="AA405" s="428" t="str">
        <f>VLOOKUP(H405,'Fund Utilization Report'!$A$4:$U$1800,14,FALSE)</f>
        <v>100000100001000</v>
      </c>
      <c r="AB405" s="349" t="str">
        <f>VLOOKUP(H405,'Fund Utilization Report'!$A$4:$U$1800,15,FALSE)</f>
        <v>General Administration and Supervision - General Management and Supervision</v>
      </c>
      <c r="AC405" s="39"/>
      <c r="AD405" s="34"/>
      <c r="AE405" s="39"/>
      <c r="AF405" s="51"/>
      <c r="AG405" s="40"/>
      <c r="AH405" s="40"/>
    </row>
    <row r="406" spans="1:34" s="32" customFormat="1" ht="27.6">
      <c r="A406" s="338" t="s">
        <v>942</v>
      </c>
      <c r="B406" s="338" t="s">
        <v>945</v>
      </c>
      <c r="C406" s="358">
        <v>44235</v>
      </c>
      <c r="D406" s="351" t="s">
        <v>1028</v>
      </c>
      <c r="E406" s="352" t="s">
        <v>1096</v>
      </c>
      <c r="F406" s="338">
        <v>0.625</v>
      </c>
      <c r="G406" s="338">
        <v>0.62847222222222221</v>
      </c>
      <c r="H406" s="338" t="s">
        <v>960</v>
      </c>
      <c r="I406" s="353">
        <v>701</v>
      </c>
      <c r="J406" s="338" t="str">
        <f>IFERROR(VLOOKUP(I406,'Chart of accounts'!A:H,2,FALSE),"")</f>
        <v>50101010 01</v>
      </c>
      <c r="K406" s="338" t="str">
        <f>IFERROR(VLOOKUP(I406,'Chart of accounts'!A:H,3,FALSE),"")</f>
        <v>Basic Salary - Civilian</v>
      </c>
      <c r="L406" s="338" t="str">
        <f>IFERROR(VLOOKUP(I406,'Chart of accounts'!A:H,4,FALSE),"")</f>
        <v>50101010 01 - Basic Salary - Civilian (701)</v>
      </c>
      <c r="M406" s="361">
        <v>2</v>
      </c>
      <c r="N406" s="355" t="s">
        <v>789</v>
      </c>
      <c r="O406" s="355" t="s">
        <v>1095</v>
      </c>
      <c r="P406" s="355"/>
      <c r="Q406" s="363">
        <v>15120</v>
      </c>
      <c r="R406" s="319">
        <f t="shared" si="6"/>
        <v>-15120</v>
      </c>
      <c r="S406" s="428" t="str">
        <f>VLOOKUP(H406,'Fund Utilization Report'!$A$4:$U$1800,13,FALSE)</f>
        <v>PS</v>
      </c>
      <c r="T406" s="428" t="str">
        <f>VLOOKUP(H406,'Fund Utilization Report'!$A$4:$U$1800,2,FALSE)</f>
        <v>GAA</v>
      </c>
      <c r="U406" s="428" t="str">
        <f>VLOOKUP(H406,'Fund Utilization Report'!$A$4:$U$1800,3,FALSE)</f>
        <v>FY2021, RA11518</v>
      </c>
      <c r="V406" s="428" t="str">
        <f>VLOOKUP(H406,'Fund Utilization Report'!$A$4:$U$1800,4,FALSE)</f>
        <v>GAS(GMS)</v>
      </c>
      <c r="W406" s="428" t="str">
        <f>VLOOKUP(H406,'Fund Utilization Report'!$A$4:$U$1800,5,FALSE)</f>
        <v>01101101</v>
      </c>
      <c r="X406" s="428" t="str">
        <f>VLOOKUP(H406,'Fund Utilization Report'!$A$4:$U$1800,6,FALSE)</f>
        <v>GOP</v>
      </c>
      <c r="Y406" s="320" t="str">
        <f>VLOOKUP(H406,'Fund Utilization Report'!$A$4:$U$1800,7,FALSE)</f>
        <v>PS</v>
      </c>
      <c r="Z406" s="425">
        <f>VLOOKUP(H406,'Fund Utilization Report'!$A$4:$U$1800,8,FALSE)</f>
        <v>5010000000</v>
      </c>
      <c r="AA406" s="428" t="str">
        <f>VLOOKUP(H406,'Fund Utilization Report'!$A$4:$U$1800,14,FALSE)</f>
        <v>100000100001000</v>
      </c>
      <c r="AB406" s="349" t="str">
        <f>VLOOKUP(H406,'Fund Utilization Report'!$A$4:$U$1800,15,FALSE)</f>
        <v>General Administration and Supervision - General Management and Supervision</v>
      </c>
      <c r="AC406" s="39"/>
      <c r="AD406" s="34"/>
      <c r="AE406" s="39"/>
      <c r="AF406" s="51"/>
      <c r="AG406" s="40"/>
      <c r="AH406" s="40"/>
    </row>
    <row r="407" spans="1:34" s="32" customFormat="1" ht="27.6">
      <c r="A407" s="338" t="s">
        <v>942</v>
      </c>
      <c r="B407" s="338" t="s">
        <v>945</v>
      </c>
      <c r="C407" s="358">
        <v>44235</v>
      </c>
      <c r="D407" s="351" t="s">
        <v>1028</v>
      </c>
      <c r="E407" s="352" t="s">
        <v>1096</v>
      </c>
      <c r="F407" s="338">
        <v>0.625</v>
      </c>
      <c r="G407" s="338">
        <v>0.62847222222222221</v>
      </c>
      <c r="H407" s="338" t="s">
        <v>962</v>
      </c>
      <c r="I407" s="353">
        <v>731</v>
      </c>
      <c r="J407" s="338" t="str">
        <f>IFERROR(VLOOKUP(I407,'Chart of accounts'!A:H,2,FALSE),"")</f>
        <v>50103010 00</v>
      </c>
      <c r="K407" s="338" t="str">
        <f>IFERROR(VLOOKUP(I407,'Chart of accounts'!A:H,3,FALSE),"")</f>
        <v>Retirement and Life Insurance Premiums</v>
      </c>
      <c r="L407" s="338" t="str">
        <f>IFERROR(VLOOKUP(I407,'Chart of accounts'!A:H,4,FALSE),"")</f>
        <v>50103010 00 - Retirement and Life Insurance Premiums (731)</v>
      </c>
      <c r="M407" s="361">
        <v>2</v>
      </c>
      <c r="N407" s="355" t="s">
        <v>789</v>
      </c>
      <c r="O407" s="355" t="s">
        <v>1095</v>
      </c>
      <c r="P407" s="355"/>
      <c r="Q407" s="363">
        <v>1878.6</v>
      </c>
      <c r="R407" s="319">
        <f t="shared" si="6"/>
        <v>-1878.6</v>
      </c>
      <c r="S407" s="319" t="str">
        <f>VLOOKUP(H407,'Fund Utilization Report'!$A$4:$U$1800,13,FALSE)</f>
        <v>PS</v>
      </c>
      <c r="T407" s="319" t="str">
        <f>VLOOKUP(H407,'Fund Utilization Report'!$A$4:$U$1800,2,FALSE)</f>
        <v>GAA</v>
      </c>
      <c r="U407" s="319" t="str">
        <f>VLOOKUP(H407,'Fund Utilization Report'!$A$4:$U$1800,3,FALSE)</f>
        <v>FY2021, RA11518</v>
      </c>
      <c r="V407" s="319" t="str">
        <f>VLOOKUP(H407,'Fund Utilization Report'!$A$4:$U$1800,4,FALSE)</f>
        <v>GAS(GMS)</v>
      </c>
      <c r="W407" s="319" t="str">
        <f>VLOOKUP(H407,'Fund Utilization Report'!$A$4:$U$1800,5,FALSE)</f>
        <v>01101101</v>
      </c>
      <c r="X407" s="319" t="str">
        <f>VLOOKUP(H407,'Fund Utilization Report'!$A$4:$U$1800,6,FALSE)</f>
        <v>GOP</v>
      </c>
      <c r="Y407" s="320" t="str">
        <f>VLOOKUP(H407,'Fund Utilization Report'!$A$4:$U$1800,7,FALSE)</f>
        <v>RLIP</v>
      </c>
      <c r="Z407" s="321" t="str">
        <f>VLOOKUP(H407,'Fund Utilization Report'!$A$4:$U$1800,8,FALSE)</f>
        <v>50103010-00</v>
      </c>
      <c r="AA407" s="319" t="str">
        <f>VLOOKUP(H407,'Fund Utilization Report'!$A$4:$U$1800,14,FALSE)</f>
        <v>100000100001000</v>
      </c>
      <c r="AB407" s="349" t="str">
        <f>VLOOKUP(H407,'Fund Utilization Report'!$A$4:$U$1800,15,FALSE)</f>
        <v>General Administration and Supervision - General Management and Supervision</v>
      </c>
      <c r="AC407" s="39"/>
      <c r="AD407" s="34"/>
      <c r="AE407" s="39"/>
      <c r="AF407" s="51"/>
      <c r="AG407" s="40"/>
      <c r="AH407" s="40"/>
    </row>
    <row r="408" spans="1:34" s="32" customFormat="1" ht="27.6">
      <c r="A408" s="338" t="s">
        <v>942</v>
      </c>
      <c r="B408" s="338" t="s">
        <v>945</v>
      </c>
      <c r="C408" s="358">
        <v>44235</v>
      </c>
      <c r="D408" s="351" t="s">
        <v>1028</v>
      </c>
      <c r="E408" s="352" t="s">
        <v>1096</v>
      </c>
      <c r="F408" s="338">
        <v>0.625</v>
      </c>
      <c r="G408" s="338">
        <v>0.62847222222222221</v>
      </c>
      <c r="H408" s="338" t="s">
        <v>960</v>
      </c>
      <c r="I408" s="353">
        <v>733</v>
      </c>
      <c r="J408" s="338" t="str">
        <f>IFERROR(VLOOKUP(I408,'Chart of accounts'!A:H,2,FALSE),"")</f>
        <v>50103030 01</v>
      </c>
      <c r="K408" s="338" t="str">
        <f>IFERROR(VLOOKUP(I408,'Chart of accounts'!A:H,3,FALSE),"")</f>
        <v>PhilHealth - Civilian</v>
      </c>
      <c r="L408" s="338" t="str">
        <f>IFERROR(VLOOKUP(I408,'Chart of accounts'!A:H,4,FALSE),"")</f>
        <v>50103030 01 - PhilHealth - Civilian (733)</v>
      </c>
      <c r="M408" s="361">
        <v>2</v>
      </c>
      <c r="N408" s="355" t="s">
        <v>789</v>
      </c>
      <c r="O408" s="355" t="s">
        <v>1095</v>
      </c>
      <c r="P408" s="355"/>
      <c r="Q408" s="363">
        <v>169.13</v>
      </c>
      <c r="R408" s="319">
        <f t="shared" si="6"/>
        <v>-169.13</v>
      </c>
      <c r="S408" s="319" t="str">
        <f>VLOOKUP(H408,'Fund Utilization Report'!$A$4:$U$1800,13,FALSE)</f>
        <v>PS</v>
      </c>
      <c r="T408" s="319" t="str">
        <f>VLOOKUP(H408,'Fund Utilization Report'!$A$4:$U$1800,2,FALSE)</f>
        <v>GAA</v>
      </c>
      <c r="U408" s="319" t="str">
        <f>VLOOKUP(H408,'Fund Utilization Report'!$A$4:$U$1800,3,FALSE)</f>
        <v>FY2021, RA11518</v>
      </c>
      <c r="V408" s="319" t="str">
        <f>VLOOKUP(H408,'Fund Utilization Report'!$A$4:$U$1800,4,FALSE)</f>
        <v>GAS(GMS)</v>
      </c>
      <c r="W408" s="319" t="str">
        <f>VLOOKUP(H408,'Fund Utilization Report'!$A$4:$U$1800,5,FALSE)</f>
        <v>01101101</v>
      </c>
      <c r="X408" s="319" t="str">
        <f>VLOOKUP(H408,'Fund Utilization Report'!$A$4:$U$1800,6,FALSE)</f>
        <v>GOP</v>
      </c>
      <c r="Y408" s="320" t="str">
        <f>VLOOKUP(H408,'Fund Utilization Report'!$A$4:$U$1800,7,FALSE)</f>
        <v>PS</v>
      </c>
      <c r="Z408" s="321">
        <f>VLOOKUP(H408,'Fund Utilization Report'!$A$4:$U$1800,8,FALSE)</f>
        <v>5010000000</v>
      </c>
      <c r="AA408" s="319" t="str">
        <f>VLOOKUP(H408,'Fund Utilization Report'!$A$4:$U$1800,14,FALSE)</f>
        <v>100000100001000</v>
      </c>
      <c r="AB408" s="349" t="str">
        <f>VLOOKUP(H408,'Fund Utilization Report'!$A$4:$U$1800,15,FALSE)</f>
        <v>General Administration and Supervision - General Management and Supervision</v>
      </c>
      <c r="AC408" s="39"/>
      <c r="AD408" s="34"/>
      <c r="AE408" s="39"/>
      <c r="AF408" s="51"/>
      <c r="AG408" s="40"/>
      <c r="AH408" s="40"/>
    </row>
    <row r="409" spans="1:34" s="32" customFormat="1" ht="27.6">
      <c r="A409" s="338" t="s">
        <v>942</v>
      </c>
      <c r="B409" s="338" t="s">
        <v>945</v>
      </c>
      <c r="C409" s="358">
        <v>44235</v>
      </c>
      <c r="D409" s="351" t="s">
        <v>1028</v>
      </c>
      <c r="E409" s="352" t="s">
        <v>1097</v>
      </c>
      <c r="F409" s="338">
        <v>0.62847222222222221</v>
      </c>
      <c r="G409" s="338">
        <v>0.6333333333333333</v>
      </c>
      <c r="H409" s="338" t="s">
        <v>960</v>
      </c>
      <c r="I409" s="353">
        <v>701</v>
      </c>
      <c r="J409" s="338" t="str">
        <f>IFERROR(VLOOKUP(I409,'Chart of accounts'!A:H,2,FALSE),"")</f>
        <v>50101010 01</v>
      </c>
      <c r="K409" s="338" t="str">
        <f>IFERROR(VLOOKUP(I409,'Chart of accounts'!A:H,3,FALSE),"")</f>
        <v>Basic Salary - Civilian</v>
      </c>
      <c r="L409" s="338" t="str">
        <f>IFERROR(VLOOKUP(I409,'Chart of accounts'!A:H,4,FALSE),"")</f>
        <v>50101010 01 - Basic Salary - Civilian (701)</v>
      </c>
      <c r="M409" s="361">
        <v>3</v>
      </c>
      <c r="N409" s="355" t="s">
        <v>777</v>
      </c>
      <c r="O409" s="355" t="s">
        <v>1095</v>
      </c>
      <c r="P409" s="355"/>
      <c r="Q409" s="363">
        <v>15614</v>
      </c>
      <c r="R409" s="319">
        <f t="shared" si="6"/>
        <v>-15614</v>
      </c>
      <c r="S409" s="319" t="str">
        <f>VLOOKUP(H409,'Fund Utilization Report'!$A$4:$U$1800,13,FALSE)</f>
        <v>PS</v>
      </c>
      <c r="T409" s="319" t="str">
        <f>VLOOKUP(H409,'Fund Utilization Report'!$A$4:$U$1800,2,FALSE)</f>
        <v>GAA</v>
      </c>
      <c r="U409" s="319" t="str">
        <f>VLOOKUP(H409,'Fund Utilization Report'!$A$4:$U$1800,3,FALSE)</f>
        <v>FY2021, RA11518</v>
      </c>
      <c r="V409" s="319" t="str">
        <f>VLOOKUP(H409,'Fund Utilization Report'!$A$4:$U$1800,4,FALSE)</f>
        <v>GAS(GMS)</v>
      </c>
      <c r="W409" s="319" t="str">
        <f>VLOOKUP(H409,'Fund Utilization Report'!$A$4:$U$1800,5,FALSE)</f>
        <v>01101101</v>
      </c>
      <c r="X409" s="319" t="str">
        <f>VLOOKUP(H409,'Fund Utilization Report'!$A$4:$U$1800,6,FALSE)</f>
        <v>GOP</v>
      </c>
      <c r="Y409" s="320" t="str">
        <f>VLOOKUP(H409,'Fund Utilization Report'!$A$4:$U$1800,7,FALSE)</f>
        <v>PS</v>
      </c>
      <c r="Z409" s="321">
        <f>VLOOKUP(H409,'Fund Utilization Report'!$A$4:$U$1800,8,FALSE)</f>
        <v>5010000000</v>
      </c>
      <c r="AA409" s="319" t="str">
        <f>VLOOKUP(H409,'Fund Utilization Report'!$A$4:$U$1800,14,FALSE)</f>
        <v>100000100001000</v>
      </c>
      <c r="AB409" s="349" t="str">
        <f>VLOOKUP(H409,'Fund Utilization Report'!$A$4:$U$1800,15,FALSE)</f>
        <v>General Administration and Supervision - General Management and Supervision</v>
      </c>
      <c r="AC409" s="39"/>
      <c r="AD409" s="34"/>
      <c r="AE409" s="39"/>
      <c r="AF409" s="51"/>
      <c r="AG409" s="40"/>
      <c r="AH409" s="40"/>
    </row>
    <row r="410" spans="1:34" s="32" customFormat="1" ht="27.6">
      <c r="A410" s="338" t="s">
        <v>942</v>
      </c>
      <c r="B410" s="338" t="s">
        <v>945</v>
      </c>
      <c r="C410" s="358">
        <v>44235</v>
      </c>
      <c r="D410" s="351" t="s">
        <v>1028</v>
      </c>
      <c r="E410" s="352" t="s">
        <v>1097</v>
      </c>
      <c r="F410" s="338">
        <v>0.62847222222222221</v>
      </c>
      <c r="G410" s="338">
        <v>0.6333333333333333</v>
      </c>
      <c r="H410" s="338" t="s">
        <v>962</v>
      </c>
      <c r="I410" s="353">
        <v>731</v>
      </c>
      <c r="J410" s="338" t="str">
        <f>IFERROR(VLOOKUP(I410,'Chart of accounts'!A:H,2,FALSE),"")</f>
        <v>50103010 00</v>
      </c>
      <c r="K410" s="338" t="str">
        <f>IFERROR(VLOOKUP(I410,'Chart of accounts'!A:H,3,FALSE),"")</f>
        <v>Retirement and Life Insurance Premiums</v>
      </c>
      <c r="L410" s="338" t="str">
        <f>IFERROR(VLOOKUP(I410,'Chart of accounts'!A:H,4,FALSE),"")</f>
        <v>50103010 00 - Retirement and Life Insurance Premiums (731)</v>
      </c>
      <c r="M410" s="361">
        <v>3</v>
      </c>
      <c r="N410" s="355" t="s">
        <v>777</v>
      </c>
      <c r="O410" s="355" t="s">
        <v>1095</v>
      </c>
      <c r="P410" s="355"/>
      <c r="Q410" s="363">
        <v>1873.68</v>
      </c>
      <c r="R410" s="319">
        <f t="shared" si="6"/>
        <v>-1873.68</v>
      </c>
      <c r="S410" s="319" t="str">
        <f>VLOOKUP(H410,'Fund Utilization Report'!$A$4:$U$1800,13,FALSE)</f>
        <v>PS</v>
      </c>
      <c r="T410" s="319" t="str">
        <f>VLOOKUP(H410,'Fund Utilization Report'!$A$4:$U$1800,2,FALSE)</f>
        <v>GAA</v>
      </c>
      <c r="U410" s="319" t="str">
        <f>VLOOKUP(H410,'Fund Utilization Report'!$A$4:$U$1800,3,FALSE)</f>
        <v>FY2021, RA11518</v>
      </c>
      <c r="V410" s="319" t="str">
        <f>VLOOKUP(H410,'Fund Utilization Report'!$A$4:$U$1800,4,FALSE)</f>
        <v>GAS(GMS)</v>
      </c>
      <c r="W410" s="319" t="str">
        <f>VLOOKUP(H410,'Fund Utilization Report'!$A$4:$U$1800,5,FALSE)</f>
        <v>01101101</v>
      </c>
      <c r="X410" s="319" t="str">
        <f>VLOOKUP(H410,'Fund Utilization Report'!$A$4:$U$1800,6,FALSE)</f>
        <v>GOP</v>
      </c>
      <c r="Y410" s="320" t="str">
        <f>VLOOKUP(H410,'Fund Utilization Report'!$A$4:$U$1800,7,FALSE)</f>
        <v>RLIP</v>
      </c>
      <c r="Z410" s="321" t="str">
        <f>VLOOKUP(H410,'Fund Utilization Report'!$A$4:$U$1800,8,FALSE)</f>
        <v>50103010-00</v>
      </c>
      <c r="AA410" s="319" t="str">
        <f>VLOOKUP(H410,'Fund Utilization Report'!$A$4:$U$1800,14,FALSE)</f>
        <v>100000100001000</v>
      </c>
      <c r="AB410" s="349" t="str">
        <f>VLOOKUP(H410,'Fund Utilization Report'!$A$4:$U$1800,15,FALSE)</f>
        <v>General Administration and Supervision - General Management and Supervision</v>
      </c>
      <c r="AC410" s="39"/>
      <c r="AD410" s="34"/>
      <c r="AE410" s="39"/>
      <c r="AF410" s="51"/>
      <c r="AG410" s="40"/>
      <c r="AH410" s="40"/>
    </row>
    <row r="411" spans="1:34" s="32" customFormat="1" ht="27.6">
      <c r="A411" s="338" t="s">
        <v>942</v>
      </c>
      <c r="B411" s="338" t="s">
        <v>945</v>
      </c>
      <c r="C411" s="358">
        <v>44235</v>
      </c>
      <c r="D411" s="351" t="s">
        <v>1028</v>
      </c>
      <c r="E411" s="352" t="s">
        <v>1097</v>
      </c>
      <c r="F411" s="338">
        <v>0.62847222222222221</v>
      </c>
      <c r="G411" s="338">
        <v>0.6333333333333333</v>
      </c>
      <c r="H411" s="338" t="s">
        <v>960</v>
      </c>
      <c r="I411" s="353">
        <v>733</v>
      </c>
      <c r="J411" s="338" t="str">
        <f>IFERROR(VLOOKUP(I411,'Chart of accounts'!A:H,2,FALSE),"")</f>
        <v>50103030 01</v>
      </c>
      <c r="K411" s="338" t="str">
        <f>IFERROR(VLOOKUP(I411,'Chart of accounts'!A:H,3,FALSE),"")</f>
        <v>PhilHealth - Civilian</v>
      </c>
      <c r="L411" s="338" t="str">
        <f>IFERROR(VLOOKUP(I411,'Chart of accounts'!A:H,4,FALSE),"")</f>
        <v>50103030 01 - PhilHealth - Civilian (733)</v>
      </c>
      <c r="M411" s="361">
        <v>3</v>
      </c>
      <c r="N411" s="355" t="s">
        <v>777</v>
      </c>
      <c r="O411" s="355" t="s">
        <v>1095</v>
      </c>
      <c r="P411" s="355"/>
      <c r="Q411" s="363">
        <v>211</v>
      </c>
      <c r="R411" s="319">
        <f t="shared" si="6"/>
        <v>-211</v>
      </c>
      <c r="S411" s="319" t="str">
        <f>VLOOKUP(H411,'Fund Utilization Report'!$A$4:$U$1800,13,FALSE)</f>
        <v>PS</v>
      </c>
      <c r="T411" s="319" t="str">
        <f>VLOOKUP(H411,'Fund Utilization Report'!$A$4:$U$1800,2,FALSE)</f>
        <v>GAA</v>
      </c>
      <c r="U411" s="319" t="str">
        <f>VLOOKUP(H411,'Fund Utilization Report'!$A$4:$U$1800,3,FALSE)</f>
        <v>FY2021, RA11518</v>
      </c>
      <c r="V411" s="319" t="str">
        <f>VLOOKUP(H411,'Fund Utilization Report'!$A$4:$U$1800,4,FALSE)</f>
        <v>GAS(GMS)</v>
      </c>
      <c r="W411" s="319" t="str">
        <f>VLOOKUP(H411,'Fund Utilization Report'!$A$4:$U$1800,5,FALSE)</f>
        <v>01101101</v>
      </c>
      <c r="X411" s="319" t="str">
        <f>VLOOKUP(H411,'Fund Utilization Report'!$A$4:$U$1800,6,FALSE)</f>
        <v>GOP</v>
      </c>
      <c r="Y411" s="320" t="str">
        <f>VLOOKUP(H411,'Fund Utilization Report'!$A$4:$U$1800,7,FALSE)</f>
        <v>PS</v>
      </c>
      <c r="Z411" s="321">
        <f>VLOOKUP(H411,'Fund Utilization Report'!$A$4:$U$1800,8,FALSE)</f>
        <v>5010000000</v>
      </c>
      <c r="AA411" s="319" t="str">
        <f>VLOOKUP(H411,'Fund Utilization Report'!$A$4:$U$1800,14,FALSE)</f>
        <v>100000100001000</v>
      </c>
      <c r="AB411" s="349" t="str">
        <f>VLOOKUP(H411,'Fund Utilization Report'!$A$4:$U$1800,15,FALSE)</f>
        <v>General Administration and Supervision - General Management and Supervision</v>
      </c>
      <c r="AC411" s="39"/>
      <c r="AD411" s="34"/>
      <c r="AE411" s="39"/>
      <c r="AF411" s="51"/>
      <c r="AG411" s="40"/>
      <c r="AH411" s="40"/>
    </row>
    <row r="412" spans="1:34" s="32" customFormat="1" ht="27.6">
      <c r="A412" s="338" t="s">
        <v>942</v>
      </c>
      <c r="B412" s="338" t="s">
        <v>945</v>
      </c>
      <c r="C412" s="358">
        <v>44235</v>
      </c>
      <c r="D412" s="351" t="s">
        <v>1028</v>
      </c>
      <c r="E412" s="352" t="s">
        <v>1098</v>
      </c>
      <c r="F412" s="338">
        <v>0.6333333333333333</v>
      </c>
      <c r="G412" s="338">
        <v>0.63680555555555551</v>
      </c>
      <c r="H412" s="338" t="s">
        <v>960</v>
      </c>
      <c r="I412" s="353">
        <v>701</v>
      </c>
      <c r="J412" s="338" t="str">
        <f>IFERROR(VLOOKUP(I412,'Chart of accounts'!A:H,2,FALSE),"")</f>
        <v>50101010 01</v>
      </c>
      <c r="K412" s="338" t="str">
        <f>IFERROR(VLOOKUP(I412,'Chart of accounts'!A:H,3,FALSE),"")</f>
        <v>Basic Salary - Civilian</v>
      </c>
      <c r="L412" s="338" t="str">
        <f>IFERROR(VLOOKUP(I412,'Chart of accounts'!A:H,4,FALSE),"")</f>
        <v>50101010 01 - Basic Salary - Civilian (701)</v>
      </c>
      <c r="M412" s="361">
        <v>68</v>
      </c>
      <c r="N412" s="355" t="s">
        <v>764</v>
      </c>
      <c r="O412" s="355" t="s">
        <v>1095</v>
      </c>
      <c r="P412" s="355"/>
      <c r="Q412" s="363">
        <v>16027</v>
      </c>
      <c r="R412" s="319">
        <f t="shared" si="6"/>
        <v>-16027</v>
      </c>
      <c r="S412" s="319" t="str">
        <f>VLOOKUP(H412,'Fund Utilization Report'!$A$4:$U$1800,13,FALSE)</f>
        <v>PS</v>
      </c>
      <c r="T412" s="319" t="str">
        <f>VLOOKUP(H412,'Fund Utilization Report'!$A$4:$U$1800,2,FALSE)</f>
        <v>GAA</v>
      </c>
      <c r="U412" s="319" t="str">
        <f>VLOOKUP(H412,'Fund Utilization Report'!$A$4:$U$1800,3,FALSE)</f>
        <v>FY2021, RA11518</v>
      </c>
      <c r="V412" s="319" t="str">
        <f>VLOOKUP(H412,'Fund Utilization Report'!$A$4:$U$1800,4,FALSE)</f>
        <v>GAS(GMS)</v>
      </c>
      <c r="W412" s="319" t="str">
        <f>VLOOKUP(H412,'Fund Utilization Report'!$A$4:$U$1800,5,FALSE)</f>
        <v>01101101</v>
      </c>
      <c r="X412" s="319" t="str">
        <f>VLOOKUP(H412,'Fund Utilization Report'!$A$4:$U$1800,6,FALSE)</f>
        <v>GOP</v>
      </c>
      <c r="Y412" s="320" t="str">
        <f>VLOOKUP(H412,'Fund Utilization Report'!$A$4:$U$1800,7,FALSE)</f>
        <v>PS</v>
      </c>
      <c r="Z412" s="321">
        <f>VLOOKUP(H412,'Fund Utilization Report'!$A$4:$U$1800,8,FALSE)</f>
        <v>5010000000</v>
      </c>
      <c r="AA412" s="319" t="str">
        <f>VLOOKUP(H412,'Fund Utilization Report'!$A$4:$U$1800,14,FALSE)</f>
        <v>100000100001000</v>
      </c>
      <c r="AB412" s="349" t="str">
        <f>VLOOKUP(H412,'Fund Utilization Report'!$A$4:$U$1800,15,FALSE)</f>
        <v>General Administration and Supervision - General Management and Supervision</v>
      </c>
      <c r="AC412" s="39"/>
      <c r="AD412" s="34"/>
      <c r="AE412" s="39"/>
      <c r="AF412" s="51"/>
      <c r="AG412" s="40"/>
      <c r="AH412" s="40"/>
    </row>
    <row r="413" spans="1:34" s="32" customFormat="1" ht="27.6">
      <c r="A413" s="338" t="s">
        <v>942</v>
      </c>
      <c r="B413" s="338" t="s">
        <v>945</v>
      </c>
      <c r="C413" s="358">
        <v>44235</v>
      </c>
      <c r="D413" s="351" t="s">
        <v>1028</v>
      </c>
      <c r="E413" s="352" t="s">
        <v>1098</v>
      </c>
      <c r="F413" s="338">
        <v>0.6333333333333333</v>
      </c>
      <c r="G413" s="338">
        <v>0.63680555555555551</v>
      </c>
      <c r="H413" s="338" t="s">
        <v>962</v>
      </c>
      <c r="I413" s="353">
        <v>731</v>
      </c>
      <c r="J413" s="338" t="str">
        <f>IFERROR(VLOOKUP(I413,'Chart of accounts'!A:H,2,FALSE),"")</f>
        <v>50103010 00</v>
      </c>
      <c r="K413" s="338" t="str">
        <f>IFERROR(VLOOKUP(I413,'Chart of accounts'!A:H,3,FALSE),"")</f>
        <v>Retirement and Life Insurance Premiums</v>
      </c>
      <c r="L413" s="338" t="str">
        <f>IFERROR(VLOOKUP(I413,'Chart of accounts'!A:H,4,FALSE),"")</f>
        <v>50103010 00 - Retirement and Life Insurance Premiums (731)</v>
      </c>
      <c r="M413" s="361">
        <v>68</v>
      </c>
      <c r="N413" s="355" t="s">
        <v>764</v>
      </c>
      <c r="O413" s="355" t="s">
        <v>1095</v>
      </c>
      <c r="P413" s="355"/>
      <c r="Q413" s="363">
        <v>1923.24</v>
      </c>
      <c r="R413" s="319">
        <f t="shared" si="6"/>
        <v>-1923.24</v>
      </c>
      <c r="S413" s="319" t="str">
        <f>VLOOKUP(H413,'Fund Utilization Report'!$A$4:$U$1800,13,FALSE)</f>
        <v>PS</v>
      </c>
      <c r="T413" s="319" t="str">
        <f>VLOOKUP(H413,'Fund Utilization Report'!$A$4:$U$1800,2,FALSE)</f>
        <v>GAA</v>
      </c>
      <c r="U413" s="319" t="str">
        <f>VLOOKUP(H413,'Fund Utilization Report'!$A$4:$U$1800,3,FALSE)</f>
        <v>FY2021, RA11518</v>
      </c>
      <c r="V413" s="319" t="str">
        <f>VLOOKUP(H413,'Fund Utilization Report'!$A$4:$U$1800,4,FALSE)</f>
        <v>GAS(GMS)</v>
      </c>
      <c r="W413" s="319" t="str">
        <f>VLOOKUP(H413,'Fund Utilization Report'!$A$4:$U$1800,5,FALSE)</f>
        <v>01101101</v>
      </c>
      <c r="X413" s="319" t="str">
        <f>VLOOKUP(H413,'Fund Utilization Report'!$A$4:$U$1800,6,FALSE)</f>
        <v>GOP</v>
      </c>
      <c r="Y413" s="320" t="str">
        <f>VLOOKUP(H413,'Fund Utilization Report'!$A$4:$U$1800,7,FALSE)</f>
        <v>RLIP</v>
      </c>
      <c r="Z413" s="321" t="str">
        <f>VLOOKUP(H413,'Fund Utilization Report'!$A$4:$U$1800,8,FALSE)</f>
        <v>50103010-00</v>
      </c>
      <c r="AA413" s="319" t="str">
        <f>VLOOKUP(H413,'Fund Utilization Report'!$A$4:$U$1800,14,FALSE)</f>
        <v>100000100001000</v>
      </c>
      <c r="AB413" s="349" t="str">
        <f>VLOOKUP(H413,'Fund Utilization Report'!$A$4:$U$1800,15,FALSE)</f>
        <v>General Administration and Supervision - General Management and Supervision</v>
      </c>
      <c r="AC413" s="39"/>
      <c r="AD413" s="34"/>
      <c r="AE413" s="39"/>
      <c r="AF413" s="51"/>
      <c r="AG413" s="40"/>
      <c r="AH413" s="40"/>
    </row>
    <row r="414" spans="1:34" s="32" customFormat="1" ht="27.6">
      <c r="A414" s="338" t="s">
        <v>942</v>
      </c>
      <c r="B414" s="338" t="s">
        <v>945</v>
      </c>
      <c r="C414" s="358">
        <v>44235</v>
      </c>
      <c r="D414" s="351" t="s">
        <v>1028</v>
      </c>
      <c r="E414" s="352" t="s">
        <v>1098</v>
      </c>
      <c r="F414" s="338">
        <v>0.6333333333333333</v>
      </c>
      <c r="G414" s="338">
        <v>0.63680555555555551</v>
      </c>
      <c r="H414" s="338" t="s">
        <v>960</v>
      </c>
      <c r="I414" s="353">
        <v>733</v>
      </c>
      <c r="J414" s="338" t="str">
        <f>IFERROR(VLOOKUP(I414,'Chart of accounts'!A:H,2,FALSE),"")</f>
        <v>50103030 01</v>
      </c>
      <c r="K414" s="338" t="str">
        <f>IFERROR(VLOOKUP(I414,'Chart of accounts'!A:H,3,FALSE),"")</f>
        <v>PhilHealth - Civilian</v>
      </c>
      <c r="L414" s="338" t="str">
        <f>IFERROR(VLOOKUP(I414,'Chart of accounts'!A:H,4,FALSE),"")</f>
        <v>50103030 01 - PhilHealth - Civilian (733)</v>
      </c>
      <c r="M414" s="361">
        <v>68</v>
      </c>
      <c r="N414" s="355" t="s">
        <v>764</v>
      </c>
      <c r="O414" s="355" t="s">
        <v>1095</v>
      </c>
      <c r="P414" s="355"/>
      <c r="Q414" s="363">
        <v>217.2</v>
      </c>
      <c r="R414" s="319">
        <f t="shared" si="6"/>
        <v>-217.2</v>
      </c>
      <c r="S414" s="319" t="str">
        <f>VLOOKUP(H414,'Fund Utilization Report'!$A$4:$U$1800,13,FALSE)</f>
        <v>PS</v>
      </c>
      <c r="T414" s="319" t="str">
        <f>VLOOKUP(H414,'Fund Utilization Report'!$A$4:$U$1800,2,FALSE)</f>
        <v>GAA</v>
      </c>
      <c r="U414" s="319" t="str">
        <f>VLOOKUP(H414,'Fund Utilization Report'!$A$4:$U$1800,3,FALSE)</f>
        <v>FY2021, RA11518</v>
      </c>
      <c r="V414" s="319" t="str">
        <f>VLOOKUP(H414,'Fund Utilization Report'!$A$4:$U$1800,4,FALSE)</f>
        <v>GAS(GMS)</v>
      </c>
      <c r="W414" s="319" t="str">
        <f>VLOOKUP(H414,'Fund Utilization Report'!$A$4:$U$1800,5,FALSE)</f>
        <v>01101101</v>
      </c>
      <c r="X414" s="319" t="str">
        <f>VLOOKUP(H414,'Fund Utilization Report'!$A$4:$U$1800,6,FALSE)</f>
        <v>GOP</v>
      </c>
      <c r="Y414" s="320" t="str">
        <f>VLOOKUP(H414,'Fund Utilization Report'!$A$4:$U$1800,7,FALSE)</f>
        <v>PS</v>
      </c>
      <c r="Z414" s="321">
        <f>VLOOKUP(H414,'Fund Utilization Report'!$A$4:$U$1800,8,FALSE)</f>
        <v>5010000000</v>
      </c>
      <c r="AA414" s="319" t="str">
        <f>VLOOKUP(H414,'Fund Utilization Report'!$A$4:$U$1800,14,FALSE)</f>
        <v>100000100001000</v>
      </c>
      <c r="AB414" s="349" t="str">
        <f>VLOOKUP(H414,'Fund Utilization Report'!$A$4:$U$1800,15,FALSE)</f>
        <v>General Administration and Supervision - General Management and Supervision</v>
      </c>
      <c r="AC414" s="39"/>
      <c r="AD414" s="34"/>
      <c r="AE414" s="39"/>
      <c r="AF414" s="51"/>
      <c r="AG414" s="40"/>
      <c r="AH414" s="40"/>
    </row>
    <row r="415" spans="1:34" s="32" customFormat="1" ht="27.6">
      <c r="A415" s="338" t="s">
        <v>942</v>
      </c>
      <c r="B415" s="338" t="s">
        <v>945</v>
      </c>
      <c r="C415" s="358">
        <v>44235</v>
      </c>
      <c r="D415" s="351" t="s">
        <v>1028</v>
      </c>
      <c r="E415" s="352" t="s">
        <v>1099</v>
      </c>
      <c r="F415" s="338">
        <v>0.63680555555555551</v>
      </c>
      <c r="G415" s="338">
        <v>0.63888888888888895</v>
      </c>
      <c r="H415" s="338" t="s">
        <v>960</v>
      </c>
      <c r="I415" s="353">
        <v>701</v>
      </c>
      <c r="J415" s="338" t="str">
        <f>IFERROR(VLOOKUP(I415,'Chart of accounts'!A:H,2,FALSE),"")</f>
        <v>50101010 01</v>
      </c>
      <c r="K415" s="338" t="str">
        <f>IFERROR(VLOOKUP(I415,'Chart of accounts'!A:H,3,FALSE),"")</f>
        <v>Basic Salary - Civilian</v>
      </c>
      <c r="L415" s="338" t="str">
        <f>IFERROR(VLOOKUP(I415,'Chart of accounts'!A:H,4,FALSE),"")</f>
        <v>50101010 01 - Basic Salary - Civilian (701)</v>
      </c>
      <c r="M415" s="361">
        <v>67</v>
      </c>
      <c r="N415" s="355" t="s">
        <v>768</v>
      </c>
      <c r="O415" s="355" t="s">
        <v>1095</v>
      </c>
      <c r="P415" s="355"/>
      <c r="Q415" s="363">
        <v>19076</v>
      </c>
      <c r="R415" s="319">
        <f t="shared" si="6"/>
        <v>-19076</v>
      </c>
      <c r="S415" s="319" t="str">
        <f>VLOOKUP(H415,'Fund Utilization Report'!$A$4:$U$1800,13,FALSE)</f>
        <v>PS</v>
      </c>
      <c r="T415" s="319" t="str">
        <f>VLOOKUP(H415,'Fund Utilization Report'!$A$4:$U$1800,2,FALSE)</f>
        <v>GAA</v>
      </c>
      <c r="U415" s="319" t="str">
        <f>VLOOKUP(H415,'Fund Utilization Report'!$A$4:$U$1800,3,FALSE)</f>
        <v>FY2021, RA11518</v>
      </c>
      <c r="V415" s="319" t="str">
        <f>VLOOKUP(H415,'Fund Utilization Report'!$A$4:$U$1800,4,FALSE)</f>
        <v>GAS(GMS)</v>
      </c>
      <c r="W415" s="319" t="str">
        <f>VLOOKUP(H415,'Fund Utilization Report'!$A$4:$U$1800,5,FALSE)</f>
        <v>01101101</v>
      </c>
      <c r="X415" s="319" t="str">
        <f>VLOOKUP(H415,'Fund Utilization Report'!$A$4:$U$1800,6,FALSE)</f>
        <v>GOP</v>
      </c>
      <c r="Y415" s="320" t="str">
        <f>VLOOKUP(H415,'Fund Utilization Report'!$A$4:$U$1800,7,FALSE)</f>
        <v>PS</v>
      </c>
      <c r="Z415" s="321">
        <f>VLOOKUP(H415,'Fund Utilization Report'!$A$4:$U$1800,8,FALSE)</f>
        <v>5010000000</v>
      </c>
      <c r="AA415" s="319" t="str">
        <f>VLOOKUP(H415,'Fund Utilization Report'!$A$4:$U$1800,14,FALSE)</f>
        <v>100000100001000</v>
      </c>
      <c r="AB415" s="349" t="str">
        <f>VLOOKUP(H415,'Fund Utilization Report'!$A$4:$U$1800,15,FALSE)</f>
        <v>General Administration and Supervision - General Management and Supervision</v>
      </c>
      <c r="AC415" s="39"/>
      <c r="AD415" s="34"/>
      <c r="AE415" s="39"/>
      <c r="AF415" s="51"/>
      <c r="AG415" s="40"/>
      <c r="AH415" s="40"/>
    </row>
    <row r="416" spans="1:34" s="32" customFormat="1" ht="27.6">
      <c r="A416" s="338" t="s">
        <v>942</v>
      </c>
      <c r="B416" s="338" t="s">
        <v>945</v>
      </c>
      <c r="C416" s="358">
        <v>44235</v>
      </c>
      <c r="D416" s="351" t="s">
        <v>1028</v>
      </c>
      <c r="E416" s="352" t="s">
        <v>1099</v>
      </c>
      <c r="F416" s="338">
        <v>0.63680555555555551</v>
      </c>
      <c r="G416" s="338">
        <v>0.63888888888888895</v>
      </c>
      <c r="H416" s="338" t="s">
        <v>962</v>
      </c>
      <c r="I416" s="353">
        <v>731</v>
      </c>
      <c r="J416" s="338" t="str">
        <f>IFERROR(VLOOKUP(I416,'Chart of accounts'!A:H,2,FALSE),"")</f>
        <v>50103010 00</v>
      </c>
      <c r="K416" s="338" t="str">
        <f>IFERROR(VLOOKUP(I416,'Chart of accounts'!A:H,3,FALSE),"")</f>
        <v>Retirement and Life Insurance Premiums</v>
      </c>
      <c r="L416" s="338" t="str">
        <f>IFERROR(VLOOKUP(I416,'Chart of accounts'!A:H,4,FALSE),"")</f>
        <v>50103010 00 - Retirement and Life Insurance Premiums (731)</v>
      </c>
      <c r="M416" s="361">
        <v>67</v>
      </c>
      <c r="N416" s="355" t="s">
        <v>768</v>
      </c>
      <c r="O416" s="355" t="s">
        <v>1095</v>
      </c>
      <c r="P416" s="355"/>
      <c r="Q416" s="363">
        <v>2289.12</v>
      </c>
      <c r="R416" s="319">
        <f t="shared" si="6"/>
        <v>-2289.12</v>
      </c>
      <c r="S416" s="319" t="str">
        <f>VLOOKUP(H416,'Fund Utilization Report'!$A$4:$U$1800,13,FALSE)</f>
        <v>PS</v>
      </c>
      <c r="T416" s="319" t="str">
        <f>VLOOKUP(H416,'Fund Utilization Report'!$A$4:$U$1800,2,FALSE)</f>
        <v>GAA</v>
      </c>
      <c r="U416" s="319" t="str">
        <f>VLOOKUP(H416,'Fund Utilization Report'!$A$4:$U$1800,3,FALSE)</f>
        <v>FY2021, RA11518</v>
      </c>
      <c r="V416" s="319" t="str">
        <f>VLOOKUP(H416,'Fund Utilization Report'!$A$4:$U$1800,4,FALSE)</f>
        <v>GAS(GMS)</v>
      </c>
      <c r="W416" s="319" t="str">
        <f>VLOOKUP(H416,'Fund Utilization Report'!$A$4:$U$1800,5,FALSE)</f>
        <v>01101101</v>
      </c>
      <c r="X416" s="319" t="str">
        <f>VLOOKUP(H416,'Fund Utilization Report'!$A$4:$U$1800,6,FALSE)</f>
        <v>GOP</v>
      </c>
      <c r="Y416" s="320" t="str">
        <f>VLOOKUP(H416,'Fund Utilization Report'!$A$4:$U$1800,7,FALSE)</f>
        <v>RLIP</v>
      </c>
      <c r="Z416" s="321" t="str">
        <f>VLOOKUP(H416,'Fund Utilization Report'!$A$4:$U$1800,8,FALSE)</f>
        <v>50103010-00</v>
      </c>
      <c r="AA416" s="319" t="str">
        <f>VLOOKUP(H416,'Fund Utilization Report'!$A$4:$U$1800,14,FALSE)</f>
        <v>100000100001000</v>
      </c>
      <c r="AB416" s="349" t="str">
        <f>VLOOKUP(H416,'Fund Utilization Report'!$A$4:$U$1800,15,FALSE)</f>
        <v>General Administration and Supervision - General Management and Supervision</v>
      </c>
      <c r="AC416" s="39"/>
      <c r="AD416" s="34"/>
      <c r="AE416" s="39"/>
      <c r="AF416" s="51"/>
      <c r="AG416" s="40"/>
      <c r="AH416" s="40"/>
    </row>
    <row r="417" spans="1:34" s="32" customFormat="1" ht="27.6">
      <c r="A417" s="338" t="s">
        <v>942</v>
      </c>
      <c r="B417" s="338" t="s">
        <v>945</v>
      </c>
      <c r="C417" s="358">
        <v>44235</v>
      </c>
      <c r="D417" s="351" t="s">
        <v>1028</v>
      </c>
      <c r="E417" s="352" t="s">
        <v>1099</v>
      </c>
      <c r="F417" s="338">
        <v>0.63680555555555551</v>
      </c>
      <c r="G417" s="338">
        <v>0.63888888888888895</v>
      </c>
      <c r="H417" s="338" t="s">
        <v>960</v>
      </c>
      <c r="I417" s="353">
        <v>733</v>
      </c>
      <c r="J417" s="338" t="str">
        <f>IFERROR(VLOOKUP(I417,'Chart of accounts'!A:H,2,FALSE),"")</f>
        <v>50103030 01</v>
      </c>
      <c r="K417" s="338" t="str">
        <f>IFERROR(VLOOKUP(I417,'Chart of accounts'!A:H,3,FALSE),"")</f>
        <v>PhilHealth - Civilian</v>
      </c>
      <c r="L417" s="338" t="str">
        <f>IFERROR(VLOOKUP(I417,'Chart of accounts'!A:H,4,FALSE),"")</f>
        <v>50103030 01 - PhilHealth - Civilian (733)</v>
      </c>
      <c r="M417" s="361">
        <v>67</v>
      </c>
      <c r="N417" s="355" t="s">
        <v>768</v>
      </c>
      <c r="O417" s="355" t="s">
        <v>1095</v>
      </c>
      <c r="P417" s="355"/>
      <c r="Q417" s="363">
        <v>228.89</v>
      </c>
      <c r="R417" s="319">
        <f t="shared" si="6"/>
        <v>-228.89</v>
      </c>
      <c r="S417" s="319" t="str">
        <f>VLOOKUP(H417,'Fund Utilization Report'!$A$4:$U$1800,13,FALSE)</f>
        <v>PS</v>
      </c>
      <c r="T417" s="319" t="str">
        <f>VLOOKUP(H417,'Fund Utilization Report'!$A$4:$U$1800,2,FALSE)</f>
        <v>GAA</v>
      </c>
      <c r="U417" s="319" t="str">
        <f>VLOOKUP(H417,'Fund Utilization Report'!$A$4:$U$1800,3,FALSE)</f>
        <v>FY2021, RA11518</v>
      </c>
      <c r="V417" s="319" t="str">
        <f>VLOOKUP(H417,'Fund Utilization Report'!$A$4:$U$1800,4,FALSE)</f>
        <v>GAS(GMS)</v>
      </c>
      <c r="W417" s="319" t="str">
        <f>VLOOKUP(H417,'Fund Utilization Report'!$A$4:$U$1800,5,FALSE)</f>
        <v>01101101</v>
      </c>
      <c r="X417" s="319" t="str">
        <f>VLOOKUP(H417,'Fund Utilization Report'!$A$4:$U$1800,6,FALSE)</f>
        <v>GOP</v>
      </c>
      <c r="Y417" s="320" t="str">
        <f>VLOOKUP(H417,'Fund Utilization Report'!$A$4:$U$1800,7,FALSE)</f>
        <v>PS</v>
      </c>
      <c r="Z417" s="321">
        <f>VLOOKUP(H417,'Fund Utilization Report'!$A$4:$U$1800,8,FALSE)</f>
        <v>5010000000</v>
      </c>
      <c r="AA417" s="319" t="str">
        <f>VLOOKUP(H417,'Fund Utilization Report'!$A$4:$U$1800,14,FALSE)</f>
        <v>100000100001000</v>
      </c>
      <c r="AB417" s="349" t="str">
        <f>VLOOKUP(H417,'Fund Utilization Report'!$A$4:$U$1800,15,FALSE)</f>
        <v>General Administration and Supervision - General Management and Supervision</v>
      </c>
      <c r="AC417" s="39"/>
      <c r="AD417" s="34"/>
      <c r="AE417" s="39"/>
      <c r="AF417" s="51"/>
      <c r="AG417" s="40"/>
      <c r="AH417" s="40"/>
    </row>
    <row r="418" spans="1:34" s="32" customFormat="1" ht="27.6">
      <c r="A418" s="338" t="s">
        <v>942</v>
      </c>
      <c r="B418" s="338" t="s">
        <v>945</v>
      </c>
      <c r="C418" s="358">
        <v>44235</v>
      </c>
      <c r="D418" s="351" t="s">
        <v>1028</v>
      </c>
      <c r="E418" s="352" t="s">
        <v>1100</v>
      </c>
      <c r="F418" s="338">
        <v>0.63888888888888895</v>
      </c>
      <c r="G418" s="338">
        <v>0.64027777777777783</v>
      </c>
      <c r="H418" s="338" t="s">
        <v>960</v>
      </c>
      <c r="I418" s="353">
        <v>701</v>
      </c>
      <c r="J418" s="338" t="str">
        <f>IFERROR(VLOOKUP(I418,'Chart of accounts'!A:H,2,FALSE),"")</f>
        <v>50101010 01</v>
      </c>
      <c r="K418" s="338" t="str">
        <f>IFERROR(VLOOKUP(I418,'Chart of accounts'!A:H,3,FALSE),"")</f>
        <v>Basic Salary - Civilian</v>
      </c>
      <c r="L418" s="338" t="str">
        <f>IFERROR(VLOOKUP(I418,'Chart of accounts'!A:H,4,FALSE),"")</f>
        <v>50101010 01 - Basic Salary - Civilian (701)</v>
      </c>
      <c r="M418" s="361">
        <v>85</v>
      </c>
      <c r="N418" s="355" t="s">
        <v>765</v>
      </c>
      <c r="O418" s="355" t="s">
        <v>1095</v>
      </c>
      <c r="P418" s="355"/>
      <c r="Q418" s="363">
        <v>11398</v>
      </c>
      <c r="R418" s="319">
        <f t="shared" si="6"/>
        <v>-11398</v>
      </c>
      <c r="S418" s="319" t="str">
        <f>VLOOKUP(H418,'Fund Utilization Report'!$A$4:$U$1800,13,FALSE)</f>
        <v>PS</v>
      </c>
      <c r="T418" s="319" t="str">
        <f>VLOOKUP(H418,'Fund Utilization Report'!$A$4:$U$1800,2,FALSE)</f>
        <v>GAA</v>
      </c>
      <c r="U418" s="319" t="str">
        <f>VLOOKUP(H418,'Fund Utilization Report'!$A$4:$U$1800,3,FALSE)</f>
        <v>FY2021, RA11518</v>
      </c>
      <c r="V418" s="319" t="str">
        <f>VLOOKUP(H418,'Fund Utilization Report'!$A$4:$U$1800,4,FALSE)</f>
        <v>GAS(GMS)</v>
      </c>
      <c r="W418" s="319" t="str">
        <f>VLOOKUP(H418,'Fund Utilization Report'!$A$4:$U$1800,5,FALSE)</f>
        <v>01101101</v>
      </c>
      <c r="X418" s="319" t="str">
        <f>VLOOKUP(H418,'Fund Utilization Report'!$A$4:$U$1800,6,FALSE)</f>
        <v>GOP</v>
      </c>
      <c r="Y418" s="320" t="str">
        <f>VLOOKUP(H418,'Fund Utilization Report'!$A$4:$U$1800,7,FALSE)</f>
        <v>PS</v>
      </c>
      <c r="Z418" s="321">
        <f>VLOOKUP(H418,'Fund Utilization Report'!$A$4:$U$1800,8,FALSE)</f>
        <v>5010000000</v>
      </c>
      <c r="AA418" s="319" t="str">
        <f>VLOOKUP(H418,'Fund Utilization Report'!$A$4:$U$1800,14,FALSE)</f>
        <v>100000100001000</v>
      </c>
      <c r="AB418" s="349" t="str">
        <f>VLOOKUP(H418,'Fund Utilization Report'!$A$4:$U$1800,15,FALSE)</f>
        <v>General Administration and Supervision - General Management and Supervision</v>
      </c>
      <c r="AC418" s="39"/>
      <c r="AD418" s="34"/>
      <c r="AE418" s="39"/>
      <c r="AF418" s="51"/>
      <c r="AG418" s="40"/>
      <c r="AH418" s="40"/>
    </row>
    <row r="419" spans="1:34" s="32" customFormat="1" ht="27.6">
      <c r="A419" s="338" t="s">
        <v>942</v>
      </c>
      <c r="B419" s="338" t="s">
        <v>945</v>
      </c>
      <c r="C419" s="358">
        <v>44235</v>
      </c>
      <c r="D419" s="351" t="s">
        <v>1028</v>
      </c>
      <c r="E419" s="352" t="s">
        <v>1100</v>
      </c>
      <c r="F419" s="338">
        <v>0.63888888888888895</v>
      </c>
      <c r="G419" s="338">
        <v>0.64027777777777783</v>
      </c>
      <c r="H419" s="338" t="s">
        <v>962</v>
      </c>
      <c r="I419" s="353">
        <v>731</v>
      </c>
      <c r="J419" s="338" t="str">
        <f>IFERROR(VLOOKUP(I419,'Chart of accounts'!A:H,2,FALSE),"")</f>
        <v>50103010 00</v>
      </c>
      <c r="K419" s="338" t="str">
        <f>IFERROR(VLOOKUP(I419,'Chart of accounts'!A:H,3,FALSE),"")</f>
        <v>Retirement and Life Insurance Premiums</v>
      </c>
      <c r="L419" s="338" t="str">
        <f>IFERROR(VLOOKUP(I419,'Chart of accounts'!A:H,4,FALSE),"")</f>
        <v>50103010 00 - Retirement and Life Insurance Premiums (731)</v>
      </c>
      <c r="M419" s="361">
        <v>85</v>
      </c>
      <c r="N419" s="355" t="s">
        <v>765</v>
      </c>
      <c r="O419" s="355" t="s">
        <v>1095</v>
      </c>
      <c r="P419" s="355"/>
      <c r="Q419" s="363">
        <v>1367.76</v>
      </c>
      <c r="R419" s="319">
        <f t="shared" si="6"/>
        <v>-1367.76</v>
      </c>
      <c r="S419" s="319" t="str">
        <f>VLOOKUP(H419,'Fund Utilization Report'!$A$4:$U$1800,13,FALSE)</f>
        <v>PS</v>
      </c>
      <c r="T419" s="319" t="str">
        <f>VLOOKUP(H419,'Fund Utilization Report'!$A$4:$U$1800,2,FALSE)</f>
        <v>GAA</v>
      </c>
      <c r="U419" s="319" t="str">
        <f>VLOOKUP(H419,'Fund Utilization Report'!$A$4:$U$1800,3,FALSE)</f>
        <v>FY2021, RA11518</v>
      </c>
      <c r="V419" s="319" t="str">
        <f>VLOOKUP(H419,'Fund Utilization Report'!$A$4:$U$1800,4,FALSE)</f>
        <v>GAS(GMS)</v>
      </c>
      <c r="W419" s="319" t="str">
        <f>VLOOKUP(H419,'Fund Utilization Report'!$A$4:$U$1800,5,FALSE)</f>
        <v>01101101</v>
      </c>
      <c r="X419" s="319" t="str">
        <f>VLOOKUP(H419,'Fund Utilization Report'!$A$4:$U$1800,6,FALSE)</f>
        <v>GOP</v>
      </c>
      <c r="Y419" s="320" t="str">
        <f>VLOOKUP(H419,'Fund Utilization Report'!$A$4:$U$1800,7,FALSE)</f>
        <v>RLIP</v>
      </c>
      <c r="Z419" s="321" t="str">
        <f>VLOOKUP(H419,'Fund Utilization Report'!$A$4:$U$1800,8,FALSE)</f>
        <v>50103010-00</v>
      </c>
      <c r="AA419" s="319" t="str">
        <f>VLOOKUP(H419,'Fund Utilization Report'!$A$4:$U$1800,14,FALSE)</f>
        <v>100000100001000</v>
      </c>
      <c r="AB419" s="349" t="str">
        <f>VLOOKUP(H419,'Fund Utilization Report'!$A$4:$U$1800,15,FALSE)</f>
        <v>General Administration and Supervision - General Management and Supervision</v>
      </c>
      <c r="AC419" s="39"/>
      <c r="AD419" s="34"/>
      <c r="AE419" s="39"/>
      <c r="AF419" s="51"/>
      <c r="AG419" s="40"/>
      <c r="AH419" s="40"/>
    </row>
    <row r="420" spans="1:34" s="32" customFormat="1" ht="27.6">
      <c r="A420" s="338" t="s">
        <v>942</v>
      </c>
      <c r="B420" s="338" t="s">
        <v>945</v>
      </c>
      <c r="C420" s="358">
        <v>44235</v>
      </c>
      <c r="D420" s="351" t="s">
        <v>1028</v>
      </c>
      <c r="E420" s="352" t="s">
        <v>1100</v>
      </c>
      <c r="F420" s="338">
        <v>0.63888888888888895</v>
      </c>
      <c r="G420" s="338">
        <v>0.64027777777777783</v>
      </c>
      <c r="H420" s="338" t="s">
        <v>960</v>
      </c>
      <c r="I420" s="353">
        <v>733</v>
      </c>
      <c r="J420" s="338" t="str">
        <f>IFERROR(VLOOKUP(I420,'Chart of accounts'!A:H,2,FALSE),"")</f>
        <v>50103030 01</v>
      </c>
      <c r="K420" s="338" t="str">
        <f>IFERROR(VLOOKUP(I420,'Chart of accounts'!A:H,3,FALSE),"")</f>
        <v>PhilHealth - Civilian</v>
      </c>
      <c r="L420" s="338" t="str">
        <f>IFERROR(VLOOKUP(I420,'Chart of accounts'!A:H,4,FALSE),"")</f>
        <v>50103030 01 - PhilHealth - Civilian (733)</v>
      </c>
      <c r="M420" s="361">
        <v>85</v>
      </c>
      <c r="N420" s="355" t="s">
        <v>765</v>
      </c>
      <c r="O420" s="355" t="s">
        <v>1095</v>
      </c>
      <c r="P420" s="355"/>
      <c r="Q420" s="363">
        <v>138.75</v>
      </c>
      <c r="R420" s="319">
        <f t="shared" si="6"/>
        <v>-138.75</v>
      </c>
      <c r="S420" s="319" t="str">
        <f>VLOOKUP(H420,'Fund Utilization Report'!$A$4:$U$1800,13,FALSE)</f>
        <v>PS</v>
      </c>
      <c r="T420" s="319" t="str">
        <f>VLOOKUP(H420,'Fund Utilization Report'!$A$4:$U$1800,2,FALSE)</f>
        <v>GAA</v>
      </c>
      <c r="U420" s="319" t="str">
        <f>VLOOKUP(H420,'Fund Utilization Report'!$A$4:$U$1800,3,FALSE)</f>
        <v>FY2021, RA11518</v>
      </c>
      <c r="V420" s="319" t="str">
        <f>VLOOKUP(H420,'Fund Utilization Report'!$A$4:$U$1800,4,FALSE)</f>
        <v>GAS(GMS)</v>
      </c>
      <c r="W420" s="319" t="str">
        <f>VLOOKUP(H420,'Fund Utilization Report'!$A$4:$U$1800,5,FALSE)</f>
        <v>01101101</v>
      </c>
      <c r="X420" s="319" t="str">
        <f>VLOOKUP(H420,'Fund Utilization Report'!$A$4:$U$1800,6,FALSE)</f>
        <v>GOP</v>
      </c>
      <c r="Y420" s="320" t="str">
        <f>VLOOKUP(H420,'Fund Utilization Report'!$A$4:$U$1800,7,FALSE)</f>
        <v>PS</v>
      </c>
      <c r="Z420" s="321">
        <f>VLOOKUP(H420,'Fund Utilization Report'!$A$4:$U$1800,8,FALSE)</f>
        <v>5010000000</v>
      </c>
      <c r="AA420" s="319" t="str">
        <f>VLOOKUP(H420,'Fund Utilization Report'!$A$4:$U$1800,14,FALSE)</f>
        <v>100000100001000</v>
      </c>
      <c r="AB420" s="349" t="str">
        <f>VLOOKUP(H420,'Fund Utilization Report'!$A$4:$U$1800,15,FALSE)</f>
        <v>General Administration and Supervision - General Management and Supervision</v>
      </c>
      <c r="AC420" s="39"/>
      <c r="AD420" s="34"/>
      <c r="AE420" s="39"/>
      <c r="AF420" s="51"/>
      <c r="AG420" s="40"/>
      <c r="AH420" s="40"/>
    </row>
    <row r="421" spans="1:34" s="32" customFormat="1" ht="27.6">
      <c r="A421" s="338" t="s">
        <v>942</v>
      </c>
      <c r="B421" s="338" t="s">
        <v>945</v>
      </c>
      <c r="C421" s="358">
        <v>44235</v>
      </c>
      <c r="D421" s="351" t="s">
        <v>1028</v>
      </c>
      <c r="E421" s="352" t="s">
        <v>1101</v>
      </c>
      <c r="F421" s="338">
        <v>0.64513888888888882</v>
      </c>
      <c r="G421" s="338">
        <v>0.64652777777777781</v>
      </c>
      <c r="H421" s="338" t="s">
        <v>974</v>
      </c>
      <c r="I421" s="353">
        <v>773</v>
      </c>
      <c r="J421" s="338" t="str">
        <f>IFERROR(VLOOKUP(I421,'Chart of accounts'!A:H,2,FALSE),"")</f>
        <v>50205020 01</v>
      </c>
      <c r="K421" s="338" t="str">
        <f>IFERROR(VLOOKUP(I421,'Chart of accounts'!A:H,3,FALSE),"")</f>
        <v xml:space="preserve">Telephone Expenses - Mobile </v>
      </c>
      <c r="L421" s="338" t="str">
        <f>IFERROR(VLOOKUP(I421,'Chart of accounts'!A:H,4,FALSE),"")</f>
        <v>50205020 01 - Telephone Expenses - Mobile  (773)</v>
      </c>
      <c r="M421" s="361">
        <v>1</v>
      </c>
      <c r="N421" s="355" t="s">
        <v>1102</v>
      </c>
      <c r="O421" s="355" t="s">
        <v>1103</v>
      </c>
      <c r="P421" s="355"/>
      <c r="Q421" s="363">
        <v>1200</v>
      </c>
      <c r="R421" s="319">
        <f t="shared" si="6"/>
        <v>-1200</v>
      </c>
      <c r="S421" s="319" t="str">
        <f>VLOOKUP(H421,'Fund Utilization Report'!$A$4:$U$1800,13,FALSE)</f>
        <v>MOOE</v>
      </c>
      <c r="T421" s="319" t="str">
        <f>VLOOKUP(H421,'Fund Utilization Report'!$A$4:$U$1800,2,FALSE)</f>
        <v>GAA</v>
      </c>
      <c r="U421" s="319" t="str">
        <f>VLOOKUP(H421,'Fund Utilization Report'!$A$4:$U$1800,3,FALSE)</f>
        <v>FY2021, RA11518</v>
      </c>
      <c r="V421" s="319" t="str">
        <f>VLOOKUP(H421,'Fund Utilization Report'!$A$4:$U$1800,4,FALSE)</f>
        <v>OO4.1(FTL)</v>
      </c>
      <c r="W421" s="319" t="str">
        <f>VLOOKUP(H421,'Fund Utilization Report'!$A$4:$U$1800,5,FALSE)</f>
        <v>01101101</v>
      </c>
      <c r="X421" s="319" t="str">
        <f>VLOOKUP(H421,'Fund Utilization Report'!$A$4:$U$1800,6,FALSE)</f>
        <v>GOP</v>
      </c>
      <c r="Y421" s="320" t="str">
        <f>VLOOKUP(H421,'Fund Utilization Report'!$A$4:$U$1800,7,FALSE)</f>
        <v>MOOE</v>
      </c>
      <c r="Z421" s="321">
        <f>VLOOKUP(H421,'Fund Utilization Report'!$A$4:$U$1800,8,FALSE)</f>
        <v>5020000000</v>
      </c>
      <c r="AA421" s="319" t="str">
        <f>VLOOKUP(H421,'Fund Utilization Report'!$A$4:$U$1800,14,FALSE)</f>
        <v>340100100002000</v>
      </c>
      <c r="AB421" s="349" t="str">
        <f>VLOOKUP(H421,'Fund Utilization Report'!$A$4:$U$1800,15,FALSE)</f>
        <v>Monitoring and Enforcement of FTL including consumer complaints handling</v>
      </c>
      <c r="AC421" s="39"/>
      <c r="AD421" s="34"/>
      <c r="AE421" s="39"/>
      <c r="AF421" s="51"/>
      <c r="AG421" s="40"/>
      <c r="AH421" s="40"/>
    </row>
    <row r="422" spans="1:34" s="32" customFormat="1" ht="27.6">
      <c r="A422" s="338" t="s">
        <v>942</v>
      </c>
      <c r="B422" s="338" t="s">
        <v>945</v>
      </c>
      <c r="C422" s="358">
        <v>44235</v>
      </c>
      <c r="D422" s="351" t="s">
        <v>1028</v>
      </c>
      <c r="E422" s="352" t="s">
        <v>1104</v>
      </c>
      <c r="F422" s="338">
        <v>0.64652777777777781</v>
      </c>
      <c r="G422" s="338">
        <v>0.64722222222222225</v>
      </c>
      <c r="H422" s="338" t="s">
        <v>961</v>
      </c>
      <c r="I422" s="353">
        <v>893</v>
      </c>
      <c r="J422" s="338" t="str">
        <f>IFERROR(VLOOKUP(I422,'Chart of accounts'!A:H,2,FALSE),"")</f>
        <v>50215030 00</v>
      </c>
      <c r="K422" s="338" t="str">
        <f>IFERROR(VLOOKUP(I422,'Chart of accounts'!A:H,3,FALSE),"")</f>
        <v>Insurance Expense</v>
      </c>
      <c r="L422" s="338" t="str">
        <f>IFERROR(VLOOKUP(I422,'Chart of accounts'!A:H,4,FALSE),"")</f>
        <v>50215030 00 - Insurance Expense (893)</v>
      </c>
      <c r="M422" s="361">
        <v>1</v>
      </c>
      <c r="N422" s="355" t="s">
        <v>1105</v>
      </c>
      <c r="O422" s="355" t="s">
        <v>1106</v>
      </c>
      <c r="P422" s="355"/>
      <c r="Q422" s="363">
        <v>8885.08</v>
      </c>
      <c r="R422" s="319">
        <f t="shared" si="6"/>
        <v>-8885.08</v>
      </c>
      <c r="S422" s="319" t="str">
        <f>VLOOKUP(H422,'Fund Utilization Report'!$A$4:$U$1800,13,FALSE)</f>
        <v>MOOE</v>
      </c>
      <c r="T422" s="319" t="str">
        <f>VLOOKUP(H422,'Fund Utilization Report'!$A$4:$U$1800,2,FALSE)</f>
        <v>GAA</v>
      </c>
      <c r="U422" s="319" t="str">
        <f>VLOOKUP(H422,'Fund Utilization Report'!$A$4:$U$1800,3,FALSE)</f>
        <v>FY2021, RA11518</v>
      </c>
      <c r="V422" s="319" t="str">
        <f>VLOOKUP(H422,'Fund Utilization Report'!$A$4:$U$1800,4,FALSE)</f>
        <v>GAS(GMS)</v>
      </c>
      <c r="W422" s="319" t="str">
        <f>VLOOKUP(H422,'Fund Utilization Report'!$A$4:$U$1800,5,FALSE)</f>
        <v>01101101</v>
      </c>
      <c r="X422" s="319" t="str">
        <f>VLOOKUP(H422,'Fund Utilization Report'!$A$4:$U$1800,6,FALSE)</f>
        <v>GOP</v>
      </c>
      <c r="Y422" s="320" t="str">
        <f>VLOOKUP(H422,'Fund Utilization Report'!$A$4:$U$1800,7,FALSE)</f>
        <v>MOOE</v>
      </c>
      <c r="Z422" s="321">
        <f>VLOOKUP(H422,'Fund Utilization Report'!$A$4:$U$1800,8,FALSE)</f>
        <v>5020000000</v>
      </c>
      <c r="AA422" s="319" t="str">
        <f>VLOOKUP(H422,'Fund Utilization Report'!$A$4:$U$1800,14,FALSE)</f>
        <v>100000100001000</v>
      </c>
      <c r="AB422" s="349" t="str">
        <f>VLOOKUP(H422,'Fund Utilization Report'!$A$4:$U$1800,15,FALSE)</f>
        <v>General Administration and Supervision - General Management and Supervision</v>
      </c>
      <c r="AC422" s="39"/>
      <c r="AD422" s="34"/>
      <c r="AE422" s="39"/>
      <c r="AF422" s="51"/>
      <c r="AG422" s="40"/>
      <c r="AH422" s="40"/>
    </row>
    <row r="423" spans="1:34" s="32" customFormat="1" ht="27.6">
      <c r="A423" s="338" t="s">
        <v>942</v>
      </c>
      <c r="B423" s="338" t="s">
        <v>945</v>
      </c>
      <c r="C423" s="358">
        <v>44235</v>
      </c>
      <c r="D423" s="351" t="s">
        <v>1028</v>
      </c>
      <c r="E423" s="352" t="s">
        <v>1107</v>
      </c>
      <c r="F423" s="338">
        <v>0.64722222222222225</v>
      </c>
      <c r="G423" s="338">
        <v>0.64930555555555558</v>
      </c>
      <c r="H423" s="338" t="s">
        <v>971</v>
      </c>
      <c r="I423" s="353">
        <v>783</v>
      </c>
      <c r="J423" s="338" t="str">
        <f>IFERROR(VLOOKUP(I423,'Chart of accounts'!A:H,2,FALSE),"")</f>
        <v>50299030 00</v>
      </c>
      <c r="K423" s="338" t="str">
        <f>IFERROR(VLOOKUP(I423,'Chart of accounts'!A:H,3,FALSE),"")</f>
        <v>Representation Expenses</v>
      </c>
      <c r="L423" s="338" t="str">
        <f>IFERROR(VLOOKUP(I423,'Chart of accounts'!A:H,4,FALSE),"")</f>
        <v>50299030 00 - Representation Expenses (783)</v>
      </c>
      <c r="M423" s="361" t="s">
        <v>813</v>
      </c>
      <c r="N423" s="355" t="s">
        <v>1108</v>
      </c>
      <c r="O423" s="355" t="s">
        <v>1109</v>
      </c>
      <c r="P423" s="355"/>
      <c r="Q423" s="363">
        <v>10600</v>
      </c>
      <c r="R423" s="319">
        <f t="shared" si="6"/>
        <v>-10600</v>
      </c>
      <c r="S423" s="319" t="str">
        <f>VLOOKUP(H423,'Fund Utilization Report'!$A$4:$U$1800,13,FALSE)</f>
        <v>MOOE</v>
      </c>
      <c r="T423" s="319" t="str">
        <f>VLOOKUP(H423,'Fund Utilization Report'!$A$4:$U$1800,2,FALSE)</f>
        <v>GAA</v>
      </c>
      <c r="U423" s="319" t="str">
        <f>VLOOKUP(H423,'Fund Utilization Report'!$A$4:$U$1800,3,FALSE)</f>
        <v>FY2021, RA11518</v>
      </c>
      <c r="V423" s="319" t="str">
        <f>VLOOKUP(H423,'Fund Utilization Report'!$A$4:$U$1800,4,FALSE)</f>
        <v>OO3</v>
      </c>
      <c r="W423" s="319" t="str">
        <f>VLOOKUP(H423,'Fund Utilization Report'!$A$4:$U$1800,5,FALSE)</f>
        <v>01101101</v>
      </c>
      <c r="X423" s="319" t="str">
        <f>VLOOKUP(H423,'Fund Utilization Report'!$A$4:$U$1800,6,FALSE)</f>
        <v>GOP</v>
      </c>
      <c r="Y423" s="320" t="str">
        <f>VLOOKUP(H423,'Fund Utilization Report'!$A$4:$U$1800,7,FALSE)</f>
        <v>MOOE</v>
      </c>
      <c r="Z423" s="321">
        <f>VLOOKUP(H423,'Fund Utilization Report'!$A$4:$U$1800,8,FALSE)</f>
        <v>5020000000</v>
      </c>
      <c r="AA423" s="319" t="str">
        <f>VLOOKUP(H423,'Fund Utilization Report'!$A$4:$U$1800,14,FALSE)</f>
        <v>330100100002000</v>
      </c>
      <c r="AB423" s="349" t="str">
        <f>VLOOKUP(H423,'Fund Utilization Report'!$A$4:$U$1800,15,FALSE)</f>
        <v>Implementation of the MSME Development Plan and other initiatives to promote the growth of Micro, Small and Medium Enterprises</v>
      </c>
      <c r="AC423" s="39"/>
      <c r="AD423" s="34"/>
      <c r="AE423" s="39"/>
      <c r="AF423" s="51"/>
      <c r="AG423" s="40"/>
      <c r="AH423" s="40"/>
    </row>
    <row r="424" spans="1:34" s="32" customFormat="1" ht="41.4">
      <c r="A424" s="338" t="s">
        <v>942</v>
      </c>
      <c r="B424" s="338" t="s">
        <v>945</v>
      </c>
      <c r="C424" s="358">
        <v>44235</v>
      </c>
      <c r="D424" s="351" t="s">
        <v>1028</v>
      </c>
      <c r="E424" s="352" t="s">
        <v>1110</v>
      </c>
      <c r="F424" s="338">
        <v>0.64930555555555558</v>
      </c>
      <c r="G424" s="338">
        <v>0.65138888888888891</v>
      </c>
      <c r="H424" s="338" t="s">
        <v>971</v>
      </c>
      <c r="I424" s="353">
        <v>773</v>
      </c>
      <c r="J424" s="338" t="str">
        <f>IFERROR(VLOOKUP(I424,'Chart of accounts'!A:H,2,FALSE),"")</f>
        <v>50205020 01</v>
      </c>
      <c r="K424" s="338" t="str">
        <f>IFERROR(VLOOKUP(I424,'Chart of accounts'!A:H,3,FALSE),"")</f>
        <v xml:space="preserve">Telephone Expenses - Mobile </v>
      </c>
      <c r="L424" s="338" t="str">
        <f>IFERROR(VLOOKUP(I424,'Chart of accounts'!A:H,4,FALSE),"")</f>
        <v>50205020 01 - Telephone Expenses - Mobile  (773)</v>
      </c>
      <c r="M424" s="361">
        <v>1</v>
      </c>
      <c r="N424" s="355" t="s">
        <v>1102</v>
      </c>
      <c r="O424" s="355" t="s">
        <v>1111</v>
      </c>
      <c r="P424" s="355"/>
      <c r="Q424" s="363">
        <v>2400</v>
      </c>
      <c r="R424" s="319">
        <f t="shared" si="6"/>
        <v>-2400</v>
      </c>
      <c r="S424" s="319" t="str">
        <f>VLOOKUP(H424,'Fund Utilization Report'!$A$4:$U$1800,13,FALSE)</f>
        <v>MOOE</v>
      </c>
      <c r="T424" s="319" t="str">
        <f>VLOOKUP(H424,'Fund Utilization Report'!$A$4:$U$1800,2,FALSE)</f>
        <v>GAA</v>
      </c>
      <c r="U424" s="319" t="str">
        <f>VLOOKUP(H424,'Fund Utilization Report'!$A$4:$U$1800,3,FALSE)</f>
        <v>FY2021, RA11518</v>
      </c>
      <c r="V424" s="319" t="str">
        <f>VLOOKUP(H424,'Fund Utilization Report'!$A$4:$U$1800,4,FALSE)</f>
        <v>OO3</v>
      </c>
      <c r="W424" s="319" t="str">
        <f>VLOOKUP(H424,'Fund Utilization Report'!$A$4:$U$1800,5,FALSE)</f>
        <v>01101101</v>
      </c>
      <c r="X424" s="319" t="str">
        <f>VLOOKUP(H424,'Fund Utilization Report'!$A$4:$U$1800,6,FALSE)</f>
        <v>GOP</v>
      </c>
      <c r="Y424" s="320" t="str">
        <f>VLOOKUP(H424,'Fund Utilization Report'!$A$4:$U$1800,7,FALSE)</f>
        <v>MOOE</v>
      </c>
      <c r="Z424" s="321">
        <f>VLOOKUP(H424,'Fund Utilization Report'!$A$4:$U$1800,8,FALSE)</f>
        <v>5020000000</v>
      </c>
      <c r="AA424" s="319" t="str">
        <f>VLOOKUP(H424,'Fund Utilization Report'!$A$4:$U$1800,14,FALSE)</f>
        <v>330100100002000</v>
      </c>
      <c r="AB424" s="349" t="str">
        <f>VLOOKUP(H424,'Fund Utilization Report'!$A$4:$U$1800,15,FALSE)</f>
        <v>Implementation of the MSME Development Plan and other initiatives to promote the growth of Micro, Small and Medium Enterprises</v>
      </c>
      <c r="AC424" s="39"/>
      <c r="AD424" s="34"/>
      <c r="AE424" s="39"/>
      <c r="AF424" s="51"/>
      <c r="AG424" s="40"/>
      <c r="AH424" s="40"/>
    </row>
    <row r="425" spans="1:34" s="32" customFormat="1" ht="27.6">
      <c r="A425" s="338" t="s">
        <v>942</v>
      </c>
      <c r="B425" s="338" t="s">
        <v>945</v>
      </c>
      <c r="C425" s="358">
        <v>44237</v>
      </c>
      <c r="D425" s="351" t="s">
        <v>1028</v>
      </c>
      <c r="E425" s="352" t="s">
        <v>1112</v>
      </c>
      <c r="F425" s="338">
        <v>0.45416666666666666</v>
      </c>
      <c r="G425" s="338">
        <v>0.46111111111111108</v>
      </c>
      <c r="H425" s="338" t="s">
        <v>960</v>
      </c>
      <c r="I425" s="353">
        <v>701</v>
      </c>
      <c r="J425" s="338" t="str">
        <f>IFERROR(VLOOKUP(I425,'Chart of accounts'!A:H,2,FALSE),"")</f>
        <v>50101010 01</v>
      </c>
      <c r="K425" s="338" t="str">
        <f>IFERROR(VLOOKUP(I425,'Chart of accounts'!A:H,3,FALSE),"")</f>
        <v>Basic Salary - Civilian</v>
      </c>
      <c r="L425" s="338" t="str">
        <f>IFERROR(VLOOKUP(I425,'Chart of accounts'!A:H,4,FALSE),"")</f>
        <v>50101010 01 - Basic Salary - Civilian (701)</v>
      </c>
      <c r="M425" s="361">
        <v>1</v>
      </c>
      <c r="N425" s="355" t="s">
        <v>10</v>
      </c>
      <c r="O425" s="355" t="s">
        <v>1113</v>
      </c>
      <c r="P425" s="355"/>
      <c r="Q425" s="363">
        <v>1057756</v>
      </c>
      <c r="R425" s="319">
        <f t="shared" si="6"/>
        <v>-1057756</v>
      </c>
      <c r="S425" s="319" t="str">
        <f>VLOOKUP(H425,'Fund Utilization Report'!$A$4:$U$1800,13,FALSE)</f>
        <v>PS</v>
      </c>
      <c r="T425" s="319" t="str">
        <f>VLOOKUP(H425,'Fund Utilization Report'!$A$4:$U$1800,2,FALSE)</f>
        <v>GAA</v>
      </c>
      <c r="U425" s="319" t="str">
        <f>VLOOKUP(H425,'Fund Utilization Report'!$A$4:$U$1800,3,FALSE)</f>
        <v>FY2021, RA11518</v>
      </c>
      <c r="V425" s="319" t="str">
        <f>VLOOKUP(H425,'Fund Utilization Report'!$A$4:$U$1800,4,FALSE)</f>
        <v>GAS(GMS)</v>
      </c>
      <c r="W425" s="319" t="str">
        <f>VLOOKUP(H425,'Fund Utilization Report'!$A$4:$U$1800,5,FALSE)</f>
        <v>01101101</v>
      </c>
      <c r="X425" s="319" t="str">
        <f>VLOOKUP(H425,'Fund Utilization Report'!$A$4:$U$1800,6,FALSE)</f>
        <v>GOP</v>
      </c>
      <c r="Y425" s="320" t="str">
        <f>VLOOKUP(H425,'Fund Utilization Report'!$A$4:$U$1800,7,FALSE)</f>
        <v>PS</v>
      </c>
      <c r="Z425" s="321">
        <f>VLOOKUP(H425,'Fund Utilization Report'!$A$4:$U$1800,8,FALSE)</f>
        <v>5010000000</v>
      </c>
      <c r="AA425" s="319" t="str">
        <f>VLOOKUP(H425,'Fund Utilization Report'!$A$4:$U$1800,14,FALSE)</f>
        <v>100000100001000</v>
      </c>
      <c r="AB425" s="349" t="str">
        <f>VLOOKUP(H425,'Fund Utilization Report'!$A$4:$U$1800,15,FALSE)</f>
        <v>General Administration and Supervision - General Management and Supervision</v>
      </c>
      <c r="AC425" s="39"/>
      <c r="AD425" s="34"/>
      <c r="AE425" s="39"/>
      <c r="AF425" s="51"/>
      <c r="AG425" s="40"/>
      <c r="AH425" s="40"/>
    </row>
    <row r="426" spans="1:34" s="32" customFormat="1" ht="27.6">
      <c r="A426" s="338" t="s">
        <v>942</v>
      </c>
      <c r="B426" s="338" t="s">
        <v>945</v>
      </c>
      <c r="C426" s="358">
        <v>44237</v>
      </c>
      <c r="D426" s="351" t="s">
        <v>1028</v>
      </c>
      <c r="E426" s="352" t="s">
        <v>1112</v>
      </c>
      <c r="F426" s="338">
        <v>0.45416666666666666</v>
      </c>
      <c r="G426" s="338">
        <v>0.46111111111111108</v>
      </c>
      <c r="H426" s="338" t="s">
        <v>960</v>
      </c>
      <c r="I426" s="353">
        <v>711</v>
      </c>
      <c r="J426" s="338" t="str">
        <f>IFERROR(VLOOKUP(I426,'Chart of accounts'!A:H,2,FALSE),"")</f>
        <v>50102010 01</v>
      </c>
      <c r="K426" s="338" t="str">
        <f>IFERROR(VLOOKUP(I426,'Chart of accounts'!A:H,3,FALSE),"")</f>
        <v>PERA - Civilian</v>
      </c>
      <c r="L426" s="338" t="str">
        <f>IFERROR(VLOOKUP(I426,'Chart of accounts'!A:H,4,FALSE),"")</f>
        <v>50102010 01 - PERA - Civilian (711)</v>
      </c>
      <c r="M426" s="361">
        <v>1</v>
      </c>
      <c r="N426" s="355" t="s">
        <v>10</v>
      </c>
      <c r="O426" s="355" t="s">
        <v>1113</v>
      </c>
      <c r="P426" s="355"/>
      <c r="Q426" s="363">
        <v>44000</v>
      </c>
      <c r="R426" s="319">
        <f>P426-Q426</f>
        <v>-44000</v>
      </c>
      <c r="S426" s="319" t="str">
        <f>VLOOKUP(H426,'Fund Utilization Report'!$A$4:$U$1800,13,FALSE)</f>
        <v>PS</v>
      </c>
      <c r="T426" s="319" t="str">
        <f>VLOOKUP(H426,'Fund Utilization Report'!$A$4:$U$1800,2,FALSE)</f>
        <v>GAA</v>
      </c>
      <c r="U426" s="319" t="str">
        <f>VLOOKUP(H426,'Fund Utilization Report'!$A$4:$U$1800,3,FALSE)</f>
        <v>FY2021, RA11518</v>
      </c>
      <c r="V426" s="319" t="str">
        <f>VLOOKUP(H426,'Fund Utilization Report'!$A$4:$U$1800,4,FALSE)</f>
        <v>GAS(GMS)</v>
      </c>
      <c r="W426" s="319" t="str">
        <f>VLOOKUP(H426,'Fund Utilization Report'!$A$4:$U$1800,5,FALSE)</f>
        <v>01101101</v>
      </c>
      <c r="X426" s="319" t="str">
        <f>VLOOKUP(H426,'Fund Utilization Report'!$A$4:$U$1800,6,FALSE)</f>
        <v>GOP</v>
      </c>
      <c r="Y426" s="320" t="str">
        <f>VLOOKUP(H426,'Fund Utilization Report'!$A$4:$U$1800,7,FALSE)</f>
        <v>PS</v>
      </c>
      <c r="Z426" s="321">
        <f>VLOOKUP(H426,'Fund Utilization Report'!$A$4:$U$1800,8,FALSE)</f>
        <v>5010000000</v>
      </c>
      <c r="AA426" s="319" t="str">
        <f>VLOOKUP(H426,'Fund Utilization Report'!$A$4:$U$1800,14,FALSE)</f>
        <v>100000100001000</v>
      </c>
      <c r="AB426" s="349" t="str">
        <f>VLOOKUP(H426,'Fund Utilization Report'!$A$4:$U$1800,15,FALSE)</f>
        <v>General Administration and Supervision - General Management and Supervision</v>
      </c>
      <c r="AC426" s="39"/>
      <c r="AD426" s="34"/>
      <c r="AE426" s="39"/>
      <c r="AF426" s="51"/>
      <c r="AG426" s="40"/>
      <c r="AH426" s="40"/>
    </row>
    <row r="427" spans="1:34" s="32" customFormat="1" ht="27.6">
      <c r="A427" s="338" t="s">
        <v>942</v>
      </c>
      <c r="B427" s="338" t="s">
        <v>945</v>
      </c>
      <c r="C427" s="358">
        <v>44237</v>
      </c>
      <c r="D427" s="351" t="s">
        <v>1028</v>
      </c>
      <c r="E427" s="352" t="s">
        <v>1112</v>
      </c>
      <c r="F427" s="338">
        <v>0.45416666666666666</v>
      </c>
      <c r="G427" s="338">
        <v>0.46111111111111108</v>
      </c>
      <c r="H427" s="338" t="s">
        <v>962</v>
      </c>
      <c r="I427" s="353">
        <v>731</v>
      </c>
      <c r="J427" s="338" t="str">
        <f>IFERROR(VLOOKUP(I427,'Chart of accounts'!A:H,2,FALSE),"")</f>
        <v>50103010 00</v>
      </c>
      <c r="K427" s="338" t="str">
        <f>IFERROR(VLOOKUP(I427,'Chart of accounts'!A:H,3,FALSE),"")</f>
        <v>Retirement and Life Insurance Premiums</v>
      </c>
      <c r="L427" s="338" t="str">
        <f>IFERROR(VLOOKUP(I427,'Chart of accounts'!A:H,4,FALSE),"")</f>
        <v>50103010 00 - Retirement and Life Insurance Premiums (731)</v>
      </c>
      <c r="M427" s="361">
        <v>1</v>
      </c>
      <c r="N427" s="355" t="s">
        <v>10</v>
      </c>
      <c r="O427" s="355" t="s">
        <v>1113</v>
      </c>
      <c r="P427" s="355"/>
      <c r="Q427" s="363">
        <v>126930.72</v>
      </c>
      <c r="R427" s="319">
        <f>P427-Q427</f>
        <v>-126930.72</v>
      </c>
      <c r="S427" s="319" t="str">
        <f>VLOOKUP(H427,'Fund Utilization Report'!$A$4:$U$1800,13,FALSE)</f>
        <v>PS</v>
      </c>
      <c r="T427" s="319" t="str">
        <f>VLOOKUP(H427,'Fund Utilization Report'!$A$4:$U$1800,2,FALSE)</f>
        <v>GAA</v>
      </c>
      <c r="U427" s="319" t="str">
        <f>VLOOKUP(H427,'Fund Utilization Report'!$A$4:$U$1800,3,FALSE)</f>
        <v>FY2021, RA11518</v>
      </c>
      <c r="V427" s="319" t="str">
        <f>VLOOKUP(H427,'Fund Utilization Report'!$A$4:$U$1800,4,FALSE)</f>
        <v>GAS(GMS)</v>
      </c>
      <c r="W427" s="319" t="str">
        <f>VLOOKUP(H427,'Fund Utilization Report'!$A$4:$U$1800,5,FALSE)</f>
        <v>01101101</v>
      </c>
      <c r="X427" s="319" t="str">
        <f>VLOOKUP(H427,'Fund Utilization Report'!$A$4:$U$1800,6,FALSE)</f>
        <v>GOP</v>
      </c>
      <c r="Y427" s="320" t="str">
        <f>VLOOKUP(H427,'Fund Utilization Report'!$A$4:$U$1800,7,FALSE)</f>
        <v>RLIP</v>
      </c>
      <c r="Z427" s="321" t="str">
        <f>VLOOKUP(H427,'Fund Utilization Report'!$A$4:$U$1800,8,FALSE)</f>
        <v>50103010-00</v>
      </c>
      <c r="AA427" s="319" t="str">
        <f>VLOOKUP(H427,'Fund Utilization Report'!$A$4:$U$1800,14,FALSE)</f>
        <v>100000100001000</v>
      </c>
      <c r="AB427" s="349" t="str">
        <f>VLOOKUP(H427,'Fund Utilization Report'!$A$4:$U$1800,15,FALSE)</f>
        <v>General Administration and Supervision - General Management and Supervision</v>
      </c>
      <c r="AC427" s="39"/>
      <c r="AD427" s="34"/>
      <c r="AE427" s="39"/>
      <c r="AF427" s="51"/>
      <c r="AG427" s="40"/>
      <c r="AH427" s="40"/>
    </row>
    <row r="428" spans="1:34" s="32" customFormat="1" ht="27.6">
      <c r="A428" s="338" t="s">
        <v>942</v>
      </c>
      <c r="B428" s="338" t="s">
        <v>945</v>
      </c>
      <c r="C428" s="358">
        <v>44237</v>
      </c>
      <c r="D428" s="351" t="s">
        <v>1028</v>
      </c>
      <c r="E428" s="352" t="s">
        <v>1112</v>
      </c>
      <c r="F428" s="338">
        <v>0.45416666666666666</v>
      </c>
      <c r="G428" s="338">
        <v>0.46111111111111108</v>
      </c>
      <c r="H428" s="338" t="s">
        <v>960</v>
      </c>
      <c r="I428" s="353">
        <v>732</v>
      </c>
      <c r="J428" s="338" t="str">
        <f>IFERROR(VLOOKUP(I428,'Chart of accounts'!A:H,2,FALSE),"")</f>
        <v>50103020 01</v>
      </c>
      <c r="K428" s="338" t="str">
        <f>IFERROR(VLOOKUP(I428,'Chart of accounts'!A:H,3,FALSE),"")</f>
        <v>Pag-IBIG - Civilian</v>
      </c>
      <c r="L428" s="338" t="str">
        <f>IFERROR(VLOOKUP(I428,'Chart of accounts'!A:H,4,FALSE),"")</f>
        <v>50103020 01 - Pag-IBIG - Civilian (732)</v>
      </c>
      <c r="M428" s="361">
        <v>1</v>
      </c>
      <c r="N428" s="355" t="s">
        <v>10</v>
      </c>
      <c r="O428" s="355" t="s">
        <v>1113</v>
      </c>
      <c r="P428" s="355"/>
      <c r="Q428" s="363">
        <v>2200</v>
      </c>
      <c r="R428" s="319">
        <f>P428-Q428</f>
        <v>-2200</v>
      </c>
      <c r="S428" s="319" t="str">
        <f>VLOOKUP(H428,'Fund Utilization Report'!$A$4:$U$1800,13,FALSE)</f>
        <v>PS</v>
      </c>
      <c r="T428" s="319" t="str">
        <f>VLOOKUP(H428,'Fund Utilization Report'!$A$4:$U$1800,2,FALSE)</f>
        <v>GAA</v>
      </c>
      <c r="U428" s="319" t="str">
        <f>VLOOKUP(H428,'Fund Utilization Report'!$A$4:$U$1800,3,FALSE)</f>
        <v>FY2021, RA11518</v>
      </c>
      <c r="V428" s="319" t="str">
        <f>VLOOKUP(H428,'Fund Utilization Report'!$A$4:$U$1800,4,FALSE)</f>
        <v>GAS(GMS)</v>
      </c>
      <c r="W428" s="319" t="str">
        <f>VLOOKUP(H428,'Fund Utilization Report'!$A$4:$U$1800,5,FALSE)</f>
        <v>01101101</v>
      </c>
      <c r="X428" s="319" t="str">
        <f>VLOOKUP(H428,'Fund Utilization Report'!$A$4:$U$1800,6,FALSE)</f>
        <v>GOP</v>
      </c>
      <c r="Y428" s="320" t="str">
        <f>VLOOKUP(H428,'Fund Utilization Report'!$A$4:$U$1800,7,FALSE)</f>
        <v>PS</v>
      </c>
      <c r="Z428" s="321">
        <f>VLOOKUP(H428,'Fund Utilization Report'!$A$4:$U$1800,8,FALSE)</f>
        <v>5010000000</v>
      </c>
      <c r="AA428" s="319" t="str">
        <f>VLOOKUP(H428,'Fund Utilization Report'!$A$4:$U$1800,14,FALSE)</f>
        <v>100000100001000</v>
      </c>
      <c r="AB428" s="349" t="str">
        <f>VLOOKUP(H428,'Fund Utilization Report'!$A$4:$U$1800,15,FALSE)</f>
        <v>General Administration and Supervision - General Management and Supervision</v>
      </c>
      <c r="AC428" s="39"/>
      <c r="AD428" s="34"/>
      <c r="AE428" s="39"/>
      <c r="AF428" s="51"/>
      <c r="AG428" s="40"/>
      <c r="AH428" s="40"/>
    </row>
    <row r="429" spans="1:34" s="32" customFormat="1" ht="27.6">
      <c r="A429" s="338" t="s">
        <v>942</v>
      </c>
      <c r="B429" s="338" t="s">
        <v>945</v>
      </c>
      <c r="C429" s="358">
        <v>44237</v>
      </c>
      <c r="D429" s="351" t="s">
        <v>1028</v>
      </c>
      <c r="E429" s="352" t="s">
        <v>1112</v>
      </c>
      <c r="F429" s="338">
        <v>0.45416666666666666</v>
      </c>
      <c r="G429" s="338">
        <v>0.46111111111111108</v>
      </c>
      <c r="H429" s="338" t="s">
        <v>960</v>
      </c>
      <c r="I429" s="353">
        <v>733</v>
      </c>
      <c r="J429" s="338" t="str">
        <f>IFERROR(VLOOKUP(I429,'Chart of accounts'!A:H,2,FALSE),"")</f>
        <v>50103030 01</v>
      </c>
      <c r="K429" s="338" t="str">
        <f>IFERROR(VLOOKUP(I429,'Chart of accounts'!A:H,3,FALSE),"")</f>
        <v>PhilHealth - Civilian</v>
      </c>
      <c r="L429" s="338" t="str">
        <f>IFERROR(VLOOKUP(I429,'Chart of accounts'!A:H,4,FALSE),"")</f>
        <v>50103030 01 - PhilHealth - Civilian (733)</v>
      </c>
      <c r="M429" s="361">
        <v>1</v>
      </c>
      <c r="N429" s="355" t="s">
        <v>10</v>
      </c>
      <c r="O429" s="355" t="s">
        <v>1113</v>
      </c>
      <c r="P429" s="355"/>
      <c r="Q429" s="363">
        <v>12310.77</v>
      </c>
      <c r="R429" s="319">
        <f>P429-Q429</f>
        <v>-12310.77</v>
      </c>
      <c r="S429" s="319" t="str">
        <f>VLOOKUP(H429,'Fund Utilization Report'!$A$4:$U$1800,13,FALSE)</f>
        <v>PS</v>
      </c>
      <c r="T429" s="319" t="str">
        <f>VLOOKUP(H429,'Fund Utilization Report'!$A$4:$U$1800,2,FALSE)</f>
        <v>GAA</v>
      </c>
      <c r="U429" s="319" t="str">
        <f>VLOOKUP(H429,'Fund Utilization Report'!$A$4:$U$1800,3,FALSE)</f>
        <v>FY2021, RA11518</v>
      </c>
      <c r="V429" s="319" t="str">
        <f>VLOOKUP(H429,'Fund Utilization Report'!$A$4:$U$1800,4,FALSE)</f>
        <v>GAS(GMS)</v>
      </c>
      <c r="W429" s="319" t="str">
        <f>VLOOKUP(H429,'Fund Utilization Report'!$A$4:$U$1800,5,FALSE)</f>
        <v>01101101</v>
      </c>
      <c r="X429" s="319" t="str">
        <f>VLOOKUP(H429,'Fund Utilization Report'!$A$4:$U$1800,6,FALSE)</f>
        <v>GOP</v>
      </c>
      <c r="Y429" s="320" t="str">
        <f>VLOOKUP(H429,'Fund Utilization Report'!$A$4:$U$1800,7,FALSE)</f>
        <v>PS</v>
      </c>
      <c r="Z429" s="321">
        <f>VLOOKUP(H429,'Fund Utilization Report'!$A$4:$U$1800,8,FALSE)</f>
        <v>5010000000</v>
      </c>
      <c r="AA429" s="319" t="str">
        <f>VLOOKUP(H429,'Fund Utilization Report'!$A$4:$U$1800,14,FALSE)</f>
        <v>100000100001000</v>
      </c>
      <c r="AB429" s="349" t="str">
        <f>VLOOKUP(H429,'Fund Utilization Report'!$A$4:$U$1800,15,FALSE)</f>
        <v>General Administration and Supervision - General Management and Supervision</v>
      </c>
      <c r="AC429" s="39"/>
      <c r="AD429" s="34"/>
      <c r="AE429" s="39"/>
      <c r="AF429" s="51"/>
      <c r="AG429" s="40"/>
      <c r="AH429" s="40"/>
    </row>
    <row r="430" spans="1:34" s="32" customFormat="1" ht="27.6">
      <c r="A430" s="338" t="s">
        <v>942</v>
      </c>
      <c r="B430" s="338" t="s">
        <v>945</v>
      </c>
      <c r="C430" s="358">
        <v>44237</v>
      </c>
      <c r="D430" s="351" t="s">
        <v>1028</v>
      </c>
      <c r="E430" s="352" t="s">
        <v>1112</v>
      </c>
      <c r="F430" s="338">
        <v>0.45416666666666666</v>
      </c>
      <c r="G430" s="338">
        <v>0.46111111111111108</v>
      </c>
      <c r="H430" s="338" t="s">
        <v>960</v>
      </c>
      <c r="I430" s="353">
        <v>734</v>
      </c>
      <c r="J430" s="338" t="str">
        <f>IFERROR(VLOOKUP(I430,'Chart of accounts'!A:H,2,FALSE),"")</f>
        <v>50103040 01</v>
      </c>
      <c r="K430" s="338" t="str">
        <f>IFERROR(VLOOKUP(I430,'Chart of accounts'!A:H,3,FALSE),"")</f>
        <v>ECIP - Civilian</v>
      </c>
      <c r="L430" s="338" t="str">
        <f>IFERROR(VLOOKUP(I430,'Chart of accounts'!A:H,4,FALSE),"")</f>
        <v>50103040 01 - ECIP - Civilian (734)</v>
      </c>
      <c r="M430" s="361">
        <v>1</v>
      </c>
      <c r="N430" s="355" t="s">
        <v>10</v>
      </c>
      <c r="O430" s="355" t="s">
        <v>1113</v>
      </c>
      <c r="P430" s="355"/>
      <c r="Q430" s="363">
        <v>2200</v>
      </c>
      <c r="R430" s="319">
        <f>P430-Q430</f>
        <v>-2200</v>
      </c>
      <c r="S430" s="319" t="str">
        <f>VLOOKUP(H430,'Fund Utilization Report'!$A$4:$U$1800,13,FALSE)</f>
        <v>PS</v>
      </c>
      <c r="T430" s="319" t="str">
        <f>VLOOKUP(H430,'Fund Utilization Report'!$A$4:$U$1800,2,FALSE)</f>
        <v>GAA</v>
      </c>
      <c r="U430" s="319" t="str">
        <f>VLOOKUP(H430,'Fund Utilization Report'!$A$4:$U$1800,3,FALSE)</f>
        <v>FY2021, RA11518</v>
      </c>
      <c r="V430" s="319" t="str">
        <f>VLOOKUP(H430,'Fund Utilization Report'!$A$4:$U$1800,4,FALSE)</f>
        <v>GAS(GMS)</v>
      </c>
      <c r="W430" s="319" t="str">
        <f>VLOOKUP(H430,'Fund Utilization Report'!$A$4:$U$1800,5,FALSE)</f>
        <v>01101101</v>
      </c>
      <c r="X430" s="319" t="str">
        <f>VLOOKUP(H430,'Fund Utilization Report'!$A$4:$U$1800,6,FALSE)</f>
        <v>GOP</v>
      </c>
      <c r="Y430" s="320" t="str">
        <f>VLOOKUP(H430,'Fund Utilization Report'!$A$4:$U$1800,7,FALSE)</f>
        <v>PS</v>
      </c>
      <c r="Z430" s="321">
        <f>VLOOKUP(H430,'Fund Utilization Report'!$A$4:$U$1800,8,FALSE)</f>
        <v>5010000000</v>
      </c>
      <c r="AA430" s="319" t="str">
        <f>VLOOKUP(H430,'Fund Utilization Report'!$A$4:$U$1800,14,FALSE)</f>
        <v>100000100001000</v>
      </c>
      <c r="AB430" s="349" t="str">
        <f>VLOOKUP(H430,'Fund Utilization Report'!$A$4:$U$1800,15,FALSE)</f>
        <v>General Administration and Supervision - General Management and Supervision</v>
      </c>
      <c r="AC430" s="39"/>
      <c r="AD430" s="34"/>
      <c r="AE430" s="39"/>
      <c r="AF430" s="51"/>
      <c r="AG430" s="40"/>
      <c r="AH430" s="40"/>
    </row>
    <row r="431" spans="1:34" s="32" customFormat="1" ht="27.6">
      <c r="A431" s="338" t="s">
        <v>942</v>
      </c>
      <c r="B431" s="338" t="s">
        <v>945</v>
      </c>
      <c r="C431" s="358">
        <v>44237</v>
      </c>
      <c r="D431" s="351" t="s">
        <v>1028</v>
      </c>
      <c r="E431" s="352" t="s">
        <v>1112</v>
      </c>
      <c r="F431" s="338">
        <v>0.45416666666666666</v>
      </c>
      <c r="G431" s="338">
        <v>0.46111111111111108</v>
      </c>
      <c r="H431" s="338" t="s">
        <v>964</v>
      </c>
      <c r="I431" s="353">
        <v>701</v>
      </c>
      <c r="J431" s="338" t="str">
        <f>IFERROR(VLOOKUP(I431,'Chart of accounts'!A:H,2,FALSE),"")</f>
        <v>50101010 01</v>
      </c>
      <c r="K431" s="338" t="str">
        <f>IFERROR(VLOOKUP(I431,'Chart of accounts'!A:H,3,FALSE),"")</f>
        <v>Basic Salary - Civilian</v>
      </c>
      <c r="L431" s="338" t="str">
        <f>IFERROR(VLOOKUP(I431,'Chart of accounts'!A:H,4,FALSE),"")</f>
        <v>50101010 01 - Basic Salary - Civilian (701)</v>
      </c>
      <c r="M431" s="361">
        <v>1</v>
      </c>
      <c r="N431" s="355" t="s">
        <v>10</v>
      </c>
      <c r="O431" s="355" t="s">
        <v>1113</v>
      </c>
      <c r="P431" s="355"/>
      <c r="Q431" s="363">
        <v>80214</v>
      </c>
      <c r="R431" s="319">
        <f t="shared" si="6"/>
        <v>-80214</v>
      </c>
      <c r="S431" s="319" t="str">
        <f>VLOOKUP(H431,'Fund Utilization Report'!$A$4:$U$1800,13,FALSE)</f>
        <v>PS</v>
      </c>
      <c r="T431" s="319" t="str">
        <f>VLOOKUP(H431,'Fund Utilization Report'!$A$4:$U$1800,2,FALSE)</f>
        <v>GAA</v>
      </c>
      <c r="U431" s="319" t="str">
        <f>VLOOKUP(H431,'Fund Utilization Report'!$A$4:$U$1800,3,FALSE)</f>
        <v>FY2021, RA11518</v>
      </c>
      <c r="V431" s="319" t="str">
        <f>VLOOKUP(H431,'Fund Utilization Report'!$A$4:$U$1800,4,FALSE)</f>
        <v>OO1</v>
      </c>
      <c r="W431" s="319" t="str">
        <f>VLOOKUP(H431,'Fund Utilization Report'!$A$4:$U$1800,5,FALSE)</f>
        <v>01101101</v>
      </c>
      <c r="X431" s="319" t="str">
        <f>VLOOKUP(H431,'Fund Utilization Report'!$A$4:$U$1800,6,FALSE)</f>
        <v>GOP</v>
      </c>
      <c r="Y431" s="320" t="str">
        <f>VLOOKUP(H431,'Fund Utilization Report'!$A$4:$U$1800,7,FALSE)</f>
        <v>PS</v>
      </c>
      <c r="Z431" s="321">
        <f>VLOOKUP(H431,'Fund Utilization Report'!$A$4:$U$1800,8,FALSE)</f>
        <v>5010000000</v>
      </c>
      <c r="AA431" s="319" t="str">
        <f>VLOOKUP(H431,'Fund Utilization Report'!$A$4:$U$1800,14,FALSE)</f>
        <v>310100100002000</v>
      </c>
      <c r="AB431" s="349" t="str">
        <f>VLOOKUP(H431,'Fund Utilization Report'!$A$4:$U$1800,15,FALSE)</f>
        <v>Development,Facilitation, and promotion of exports and investment, domestic and foreign</v>
      </c>
      <c r="AC431" s="39"/>
      <c r="AD431" s="34"/>
      <c r="AE431" s="39"/>
      <c r="AF431" s="51"/>
      <c r="AG431" s="40"/>
      <c r="AH431" s="40"/>
    </row>
    <row r="432" spans="1:34" s="32" customFormat="1" ht="27.6">
      <c r="A432" s="338" t="s">
        <v>942</v>
      </c>
      <c r="B432" s="338" t="s">
        <v>945</v>
      </c>
      <c r="C432" s="358">
        <v>44237</v>
      </c>
      <c r="D432" s="351" t="s">
        <v>1028</v>
      </c>
      <c r="E432" s="352" t="s">
        <v>1112</v>
      </c>
      <c r="F432" s="338">
        <v>0.45416666666666666</v>
      </c>
      <c r="G432" s="338">
        <v>0.46111111111111108</v>
      </c>
      <c r="H432" s="338" t="s">
        <v>964</v>
      </c>
      <c r="I432" s="353">
        <v>711</v>
      </c>
      <c r="J432" s="338" t="str">
        <f>IFERROR(VLOOKUP(I432,'Chart of accounts'!A:H,2,FALSE),"")</f>
        <v>50102010 01</v>
      </c>
      <c r="K432" s="338" t="str">
        <f>IFERROR(VLOOKUP(I432,'Chart of accounts'!A:H,3,FALSE),"")</f>
        <v>PERA - Civilian</v>
      </c>
      <c r="L432" s="338" t="str">
        <f>IFERROR(VLOOKUP(I432,'Chart of accounts'!A:H,4,FALSE),"")</f>
        <v>50102010 01 - PERA - Civilian (711)</v>
      </c>
      <c r="M432" s="361">
        <v>1</v>
      </c>
      <c r="N432" s="355" t="s">
        <v>10</v>
      </c>
      <c r="O432" s="355" t="s">
        <v>1113</v>
      </c>
      <c r="P432" s="355"/>
      <c r="Q432" s="363">
        <v>4000</v>
      </c>
      <c r="R432" s="319">
        <f>P432-Q432</f>
        <v>-4000</v>
      </c>
      <c r="S432" s="319" t="str">
        <f>VLOOKUP(H432,'Fund Utilization Report'!$A$4:$U$1800,13,FALSE)</f>
        <v>PS</v>
      </c>
      <c r="T432" s="319" t="str">
        <f>VLOOKUP(H432,'Fund Utilization Report'!$A$4:$U$1800,2,FALSE)</f>
        <v>GAA</v>
      </c>
      <c r="U432" s="319" t="str">
        <f>VLOOKUP(H432,'Fund Utilization Report'!$A$4:$U$1800,3,FALSE)</f>
        <v>FY2021, RA11518</v>
      </c>
      <c r="V432" s="319" t="str">
        <f>VLOOKUP(H432,'Fund Utilization Report'!$A$4:$U$1800,4,FALSE)</f>
        <v>OO1</v>
      </c>
      <c r="W432" s="319" t="str">
        <f>VLOOKUP(H432,'Fund Utilization Report'!$A$4:$U$1800,5,FALSE)</f>
        <v>01101101</v>
      </c>
      <c r="X432" s="319" t="str">
        <f>VLOOKUP(H432,'Fund Utilization Report'!$A$4:$U$1800,6,FALSE)</f>
        <v>GOP</v>
      </c>
      <c r="Y432" s="320" t="str">
        <f>VLOOKUP(H432,'Fund Utilization Report'!$A$4:$U$1800,7,FALSE)</f>
        <v>PS</v>
      </c>
      <c r="Z432" s="321">
        <f>VLOOKUP(H432,'Fund Utilization Report'!$A$4:$U$1800,8,FALSE)</f>
        <v>5010000000</v>
      </c>
      <c r="AA432" s="319" t="str">
        <f>VLOOKUP(H432,'Fund Utilization Report'!$A$4:$U$1800,14,FALSE)</f>
        <v>310100100002000</v>
      </c>
      <c r="AB432" s="349" t="str">
        <f>VLOOKUP(H432,'Fund Utilization Report'!$A$4:$U$1800,15,FALSE)</f>
        <v>Development,Facilitation, and promotion of exports and investment, domestic and foreign</v>
      </c>
      <c r="AC432" s="39"/>
      <c r="AD432" s="34"/>
      <c r="AE432" s="39"/>
      <c r="AF432" s="51"/>
      <c r="AG432" s="40"/>
      <c r="AH432" s="40"/>
    </row>
    <row r="433" spans="1:34" s="32" customFormat="1" ht="27.6">
      <c r="A433" s="338" t="s">
        <v>942</v>
      </c>
      <c r="B433" s="338" t="s">
        <v>945</v>
      </c>
      <c r="C433" s="358">
        <v>44237</v>
      </c>
      <c r="D433" s="351" t="s">
        <v>1028</v>
      </c>
      <c r="E433" s="352" t="s">
        <v>1112</v>
      </c>
      <c r="F433" s="338">
        <v>0.45416666666666666</v>
      </c>
      <c r="G433" s="338">
        <v>0.46111111111111108</v>
      </c>
      <c r="H433" s="338" t="s">
        <v>966</v>
      </c>
      <c r="I433" s="353">
        <v>731</v>
      </c>
      <c r="J433" s="338" t="str">
        <f>IFERROR(VLOOKUP(I433,'Chart of accounts'!A:H,2,FALSE),"")</f>
        <v>50103010 00</v>
      </c>
      <c r="K433" s="338" t="str">
        <f>IFERROR(VLOOKUP(I433,'Chart of accounts'!A:H,3,FALSE),"")</f>
        <v>Retirement and Life Insurance Premiums</v>
      </c>
      <c r="L433" s="338" t="str">
        <f>IFERROR(VLOOKUP(I433,'Chart of accounts'!A:H,4,FALSE),"")</f>
        <v>50103010 00 - Retirement and Life Insurance Premiums (731)</v>
      </c>
      <c r="M433" s="361">
        <v>1</v>
      </c>
      <c r="N433" s="355" t="s">
        <v>10</v>
      </c>
      <c r="O433" s="355" t="s">
        <v>1113</v>
      </c>
      <c r="P433" s="355"/>
      <c r="Q433" s="363">
        <v>9625.68</v>
      </c>
      <c r="R433" s="319">
        <f>P433-Q433</f>
        <v>-9625.68</v>
      </c>
      <c r="S433" s="319" t="str">
        <f>VLOOKUP(H433,'Fund Utilization Report'!$A$4:$U$1800,13,FALSE)</f>
        <v>PS</v>
      </c>
      <c r="T433" s="319" t="str">
        <f>VLOOKUP(H433,'Fund Utilization Report'!$A$4:$U$1800,2,FALSE)</f>
        <v>GAA</v>
      </c>
      <c r="U433" s="319" t="str">
        <f>VLOOKUP(H433,'Fund Utilization Report'!$A$4:$U$1800,3,FALSE)</f>
        <v>FY2021, RA11518</v>
      </c>
      <c r="V433" s="319" t="str">
        <f>VLOOKUP(H433,'Fund Utilization Report'!$A$4:$U$1800,4,FALSE)</f>
        <v>OO1</v>
      </c>
      <c r="W433" s="319" t="str">
        <f>VLOOKUP(H433,'Fund Utilization Report'!$A$4:$U$1800,5,FALSE)</f>
        <v>01101101</v>
      </c>
      <c r="X433" s="319" t="str">
        <f>VLOOKUP(H433,'Fund Utilization Report'!$A$4:$U$1800,6,FALSE)</f>
        <v>GOP</v>
      </c>
      <c r="Y433" s="320" t="str">
        <f>VLOOKUP(H433,'Fund Utilization Report'!$A$4:$U$1800,7,FALSE)</f>
        <v>RLIP</v>
      </c>
      <c r="Z433" s="321" t="str">
        <f>VLOOKUP(H433,'Fund Utilization Report'!$A$4:$U$1800,8,FALSE)</f>
        <v>50103010-00</v>
      </c>
      <c r="AA433" s="319" t="str">
        <f>VLOOKUP(H433,'Fund Utilization Report'!$A$4:$U$1800,14,FALSE)</f>
        <v>310100100002000</v>
      </c>
      <c r="AB433" s="349" t="str">
        <f>VLOOKUP(H433,'Fund Utilization Report'!$A$4:$U$1800,15,FALSE)</f>
        <v>Development,Facilitation, and promotion of exports and investment, domestic and foreign</v>
      </c>
      <c r="AC433" s="39"/>
      <c r="AD433" s="34"/>
      <c r="AE433" s="39"/>
      <c r="AF433" s="51"/>
      <c r="AG433" s="40"/>
      <c r="AH433" s="40"/>
    </row>
    <row r="434" spans="1:34" s="32" customFormat="1" ht="27.6">
      <c r="A434" s="338" t="s">
        <v>942</v>
      </c>
      <c r="B434" s="338" t="s">
        <v>945</v>
      </c>
      <c r="C434" s="358">
        <v>44237</v>
      </c>
      <c r="D434" s="351" t="s">
        <v>1028</v>
      </c>
      <c r="E434" s="352" t="s">
        <v>1112</v>
      </c>
      <c r="F434" s="338">
        <v>0.45416666666666666</v>
      </c>
      <c r="G434" s="338">
        <v>0.46111111111111108</v>
      </c>
      <c r="H434" s="338" t="s">
        <v>964</v>
      </c>
      <c r="I434" s="353">
        <v>732</v>
      </c>
      <c r="J434" s="338" t="str">
        <f>IFERROR(VLOOKUP(I434,'Chart of accounts'!A:H,2,FALSE),"")</f>
        <v>50103020 01</v>
      </c>
      <c r="K434" s="338" t="str">
        <f>IFERROR(VLOOKUP(I434,'Chart of accounts'!A:H,3,FALSE),"")</f>
        <v>Pag-IBIG - Civilian</v>
      </c>
      <c r="L434" s="338" t="str">
        <f>IFERROR(VLOOKUP(I434,'Chart of accounts'!A:H,4,FALSE),"")</f>
        <v>50103020 01 - Pag-IBIG - Civilian (732)</v>
      </c>
      <c r="M434" s="361">
        <v>1</v>
      </c>
      <c r="N434" s="355" t="s">
        <v>10</v>
      </c>
      <c r="O434" s="355" t="s">
        <v>1113</v>
      </c>
      <c r="P434" s="355"/>
      <c r="Q434" s="363">
        <v>200</v>
      </c>
      <c r="R434" s="319">
        <f>P434-Q434</f>
        <v>-200</v>
      </c>
      <c r="S434" s="319" t="str">
        <f>VLOOKUP(H434,'Fund Utilization Report'!$A$4:$U$1800,13,FALSE)</f>
        <v>PS</v>
      </c>
      <c r="T434" s="319" t="str">
        <f>VLOOKUP(H434,'Fund Utilization Report'!$A$4:$U$1800,2,FALSE)</f>
        <v>GAA</v>
      </c>
      <c r="U434" s="319" t="str">
        <f>VLOOKUP(H434,'Fund Utilization Report'!$A$4:$U$1800,3,FALSE)</f>
        <v>FY2021, RA11518</v>
      </c>
      <c r="V434" s="319" t="str">
        <f>VLOOKUP(H434,'Fund Utilization Report'!$A$4:$U$1800,4,FALSE)</f>
        <v>OO1</v>
      </c>
      <c r="W434" s="319" t="str">
        <f>VLOOKUP(H434,'Fund Utilization Report'!$A$4:$U$1800,5,FALSE)</f>
        <v>01101101</v>
      </c>
      <c r="X434" s="319" t="str">
        <f>VLOOKUP(H434,'Fund Utilization Report'!$A$4:$U$1800,6,FALSE)</f>
        <v>GOP</v>
      </c>
      <c r="Y434" s="320" t="str">
        <f>VLOOKUP(H434,'Fund Utilization Report'!$A$4:$U$1800,7,FALSE)</f>
        <v>PS</v>
      </c>
      <c r="Z434" s="321">
        <f>VLOOKUP(H434,'Fund Utilization Report'!$A$4:$U$1800,8,FALSE)</f>
        <v>5010000000</v>
      </c>
      <c r="AA434" s="319" t="str">
        <f>VLOOKUP(H434,'Fund Utilization Report'!$A$4:$U$1800,14,FALSE)</f>
        <v>310100100002000</v>
      </c>
      <c r="AB434" s="349" t="str">
        <f>VLOOKUP(H434,'Fund Utilization Report'!$A$4:$U$1800,15,FALSE)</f>
        <v>Development,Facilitation, and promotion of exports and investment, domestic and foreign</v>
      </c>
      <c r="AC434" s="39"/>
      <c r="AD434" s="34"/>
      <c r="AE434" s="39"/>
      <c r="AF434" s="51"/>
      <c r="AG434" s="40"/>
      <c r="AH434" s="40"/>
    </row>
    <row r="435" spans="1:34" s="32" customFormat="1" ht="27.6">
      <c r="A435" s="338" t="s">
        <v>942</v>
      </c>
      <c r="B435" s="338" t="s">
        <v>945</v>
      </c>
      <c r="C435" s="358">
        <v>44237</v>
      </c>
      <c r="D435" s="351" t="s">
        <v>1028</v>
      </c>
      <c r="E435" s="352" t="s">
        <v>1112</v>
      </c>
      <c r="F435" s="338">
        <v>0.45416666666666666</v>
      </c>
      <c r="G435" s="338">
        <v>0.46111111111111108</v>
      </c>
      <c r="H435" s="338" t="s">
        <v>964</v>
      </c>
      <c r="I435" s="353">
        <v>733</v>
      </c>
      <c r="J435" s="338" t="str">
        <f>IFERROR(VLOOKUP(I435,'Chart of accounts'!A:H,2,FALSE),"")</f>
        <v>50103030 01</v>
      </c>
      <c r="K435" s="338" t="str">
        <f>IFERROR(VLOOKUP(I435,'Chart of accounts'!A:H,3,FALSE),"")</f>
        <v>PhilHealth - Civilian</v>
      </c>
      <c r="L435" s="338" t="str">
        <f>IFERROR(VLOOKUP(I435,'Chart of accounts'!A:H,4,FALSE),"")</f>
        <v>50103030 01 - PhilHealth - Civilian (733)</v>
      </c>
      <c r="M435" s="361">
        <v>1</v>
      </c>
      <c r="N435" s="355" t="s">
        <v>10</v>
      </c>
      <c r="O435" s="355" t="s">
        <v>1113</v>
      </c>
      <c r="P435" s="355"/>
      <c r="Q435" s="363">
        <v>1203.22</v>
      </c>
      <c r="R435" s="319">
        <f>P435-Q435</f>
        <v>-1203.22</v>
      </c>
      <c r="S435" s="319" t="str">
        <f>VLOOKUP(H435,'Fund Utilization Report'!$A$4:$U$1800,13,FALSE)</f>
        <v>PS</v>
      </c>
      <c r="T435" s="319" t="str">
        <f>VLOOKUP(H435,'Fund Utilization Report'!$A$4:$U$1800,2,FALSE)</f>
        <v>GAA</v>
      </c>
      <c r="U435" s="319" t="str">
        <f>VLOOKUP(H435,'Fund Utilization Report'!$A$4:$U$1800,3,FALSE)</f>
        <v>FY2021, RA11518</v>
      </c>
      <c r="V435" s="319" t="str">
        <f>VLOOKUP(H435,'Fund Utilization Report'!$A$4:$U$1800,4,FALSE)</f>
        <v>OO1</v>
      </c>
      <c r="W435" s="319" t="str">
        <f>VLOOKUP(H435,'Fund Utilization Report'!$A$4:$U$1800,5,FALSE)</f>
        <v>01101101</v>
      </c>
      <c r="X435" s="319" t="str">
        <f>VLOOKUP(H435,'Fund Utilization Report'!$A$4:$U$1800,6,FALSE)</f>
        <v>GOP</v>
      </c>
      <c r="Y435" s="320" t="str">
        <f>VLOOKUP(H435,'Fund Utilization Report'!$A$4:$U$1800,7,FALSE)</f>
        <v>PS</v>
      </c>
      <c r="Z435" s="321">
        <f>VLOOKUP(H435,'Fund Utilization Report'!$A$4:$U$1800,8,FALSE)</f>
        <v>5010000000</v>
      </c>
      <c r="AA435" s="319" t="str">
        <f>VLOOKUP(H435,'Fund Utilization Report'!$A$4:$U$1800,14,FALSE)</f>
        <v>310100100002000</v>
      </c>
      <c r="AB435" s="349" t="str">
        <f>VLOOKUP(H435,'Fund Utilization Report'!$A$4:$U$1800,15,FALSE)</f>
        <v>Development,Facilitation, and promotion of exports and investment, domestic and foreign</v>
      </c>
      <c r="AC435" s="39"/>
      <c r="AD435" s="34"/>
      <c r="AE435" s="39"/>
      <c r="AF435" s="51"/>
      <c r="AG435" s="40"/>
      <c r="AH435" s="40"/>
    </row>
    <row r="436" spans="1:34" s="32" customFormat="1" ht="27.6">
      <c r="A436" s="338" t="s">
        <v>942</v>
      </c>
      <c r="B436" s="338" t="s">
        <v>945</v>
      </c>
      <c r="C436" s="358">
        <v>44237</v>
      </c>
      <c r="D436" s="351" t="s">
        <v>1028</v>
      </c>
      <c r="E436" s="352" t="s">
        <v>1112</v>
      </c>
      <c r="F436" s="338">
        <v>0.45416666666666666</v>
      </c>
      <c r="G436" s="338">
        <v>0.46111111111111108</v>
      </c>
      <c r="H436" s="338" t="s">
        <v>964</v>
      </c>
      <c r="I436" s="353">
        <v>734</v>
      </c>
      <c r="J436" s="338" t="str">
        <f>IFERROR(VLOOKUP(I436,'Chart of accounts'!A:H,2,FALSE),"")</f>
        <v>50103040 01</v>
      </c>
      <c r="K436" s="338" t="str">
        <f>IFERROR(VLOOKUP(I436,'Chart of accounts'!A:H,3,FALSE),"")</f>
        <v>ECIP - Civilian</v>
      </c>
      <c r="L436" s="338" t="str">
        <f>IFERROR(VLOOKUP(I436,'Chart of accounts'!A:H,4,FALSE),"")</f>
        <v>50103040 01 - ECIP - Civilian (734)</v>
      </c>
      <c r="M436" s="361">
        <v>1</v>
      </c>
      <c r="N436" s="355" t="s">
        <v>10</v>
      </c>
      <c r="O436" s="355" t="s">
        <v>1113</v>
      </c>
      <c r="P436" s="355"/>
      <c r="Q436" s="363">
        <v>200</v>
      </c>
      <c r="R436" s="319">
        <f>P436-Q436</f>
        <v>-200</v>
      </c>
      <c r="S436" s="319" t="str">
        <f>VLOOKUP(H436,'Fund Utilization Report'!$A$4:$U$1800,13,FALSE)</f>
        <v>PS</v>
      </c>
      <c r="T436" s="319" t="str">
        <f>VLOOKUP(H436,'Fund Utilization Report'!$A$4:$U$1800,2,FALSE)</f>
        <v>GAA</v>
      </c>
      <c r="U436" s="319" t="str">
        <f>VLOOKUP(H436,'Fund Utilization Report'!$A$4:$U$1800,3,FALSE)</f>
        <v>FY2021, RA11518</v>
      </c>
      <c r="V436" s="319" t="str">
        <f>VLOOKUP(H436,'Fund Utilization Report'!$A$4:$U$1800,4,FALSE)</f>
        <v>OO1</v>
      </c>
      <c r="W436" s="319" t="str">
        <f>VLOOKUP(H436,'Fund Utilization Report'!$A$4:$U$1800,5,FALSE)</f>
        <v>01101101</v>
      </c>
      <c r="X436" s="319" t="str">
        <f>VLOOKUP(H436,'Fund Utilization Report'!$A$4:$U$1800,6,FALSE)</f>
        <v>GOP</v>
      </c>
      <c r="Y436" s="320" t="str">
        <f>VLOOKUP(H436,'Fund Utilization Report'!$A$4:$U$1800,7,FALSE)</f>
        <v>PS</v>
      </c>
      <c r="Z436" s="321">
        <f>VLOOKUP(H436,'Fund Utilization Report'!$A$4:$U$1800,8,FALSE)</f>
        <v>5010000000</v>
      </c>
      <c r="AA436" s="319" t="str">
        <f>VLOOKUP(H436,'Fund Utilization Report'!$A$4:$U$1800,14,FALSE)</f>
        <v>310100100002000</v>
      </c>
      <c r="AB436" s="349" t="str">
        <f>VLOOKUP(H436,'Fund Utilization Report'!$A$4:$U$1800,15,FALSE)</f>
        <v>Development,Facilitation, and promotion of exports and investment, domestic and foreign</v>
      </c>
      <c r="AC436" s="39"/>
      <c r="AD436" s="34"/>
      <c r="AE436" s="39"/>
      <c r="AF436" s="51"/>
      <c r="AG436" s="40"/>
      <c r="AH436" s="40"/>
    </row>
    <row r="437" spans="1:34" s="32" customFormat="1" ht="27.6">
      <c r="A437" s="338" t="s">
        <v>942</v>
      </c>
      <c r="B437" s="338" t="s">
        <v>945</v>
      </c>
      <c r="C437" s="358">
        <v>44237</v>
      </c>
      <c r="D437" s="351" t="s">
        <v>1028</v>
      </c>
      <c r="E437" s="352" t="s">
        <v>1112</v>
      </c>
      <c r="F437" s="338">
        <v>0.45416666666666666</v>
      </c>
      <c r="G437" s="338">
        <v>0.46111111111111108</v>
      </c>
      <c r="H437" s="338" t="s">
        <v>967</v>
      </c>
      <c r="I437" s="353">
        <v>701</v>
      </c>
      <c r="J437" s="338" t="str">
        <f>IFERROR(VLOOKUP(I437,'Chart of accounts'!A:H,2,FALSE),"")</f>
        <v>50101010 01</v>
      </c>
      <c r="K437" s="338" t="str">
        <f>IFERROR(VLOOKUP(I437,'Chart of accounts'!A:H,3,FALSE),"")</f>
        <v>Basic Salary - Civilian</v>
      </c>
      <c r="L437" s="338" t="str">
        <f>IFERROR(VLOOKUP(I437,'Chart of accounts'!A:H,4,FALSE),"")</f>
        <v>50101010 01 - Basic Salary - Civilian (701)</v>
      </c>
      <c r="M437" s="361">
        <v>1</v>
      </c>
      <c r="N437" s="355" t="s">
        <v>10</v>
      </c>
      <c r="O437" s="355" t="s">
        <v>1113</v>
      </c>
      <c r="P437" s="355"/>
      <c r="Q437" s="363">
        <v>199631</v>
      </c>
      <c r="R437" s="319">
        <f t="shared" si="6"/>
        <v>-199631</v>
      </c>
      <c r="S437" s="319" t="str">
        <f>VLOOKUP(H437,'Fund Utilization Report'!$A$4:$U$1800,13,FALSE)</f>
        <v>PS</v>
      </c>
      <c r="T437" s="319" t="str">
        <f>VLOOKUP(H437,'Fund Utilization Report'!$A$4:$U$1800,2,FALSE)</f>
        <v>GAA</v>
      </c>
      <c r="U437" s="319" t="str">
        <f>VLOOKUP(H437,'Fund Utilization Report'!$A$4:$U$1800,3,FALSE)</f>
        <v>FY2021, RA11518</v>
      </c>
      <c r="V437" s="319" t="str">
        <f>VLOOKUP(H437,'Fund Utilization Report'!$A$4:$U$1800,4,FALSE)</f>
        <v>OO2</v>
      </c>
      <c r="W437" s="319" t="str">
        <f>VLOOKUP(H437,'Fund Utilization Report'!$A$4:$U$1800,5,FALSE)</f>
        <v>01101101</v>
      </c>
      <c r="X437" s="319" t="str">
        <f>VLOOKUP(H437,'Fund Utilization Report'!$A$4:$U$1800,6,FALSE)</f>
        <v>GOP</v>
      </c>
      <c r="Y437" s="320" t="str">
        <f>VLOOKUP(H437,'Fund Utilization Report'!$A$4:$U$1800,7,FALSE)</f>
        <v>PS</v>
      </c>
      <c r="Z437" s="321">
        <f>VLOOKUP(H437,'Fund Utilization Report'!$A$4:$U$1800,8,FALSE)</f>
        <v>5010000000</v>
      </c>
      <c r="AA437" s="319" t="str">
        <f>VLOOKUP(H437,'Fund Utilization Report'!$A$4:$U$1800,14,FALSE)</f>
        <v>320100100001000</v>
      </c>
      <c r="AB437" s="349" t="str">
        <f>VLOOKUP(H437,'Fund Utilization Report'!$A$4:$U$1800,15,FALSE)</f>
        <v>Formulation of Strategic plans,programs, and policies to develop competitve industries</v>
      </c>
      <c r="AC437" s="39"/>
      <c r="AD437" s="34"/>
      <c r="AE437" s="39"/>
      <c r="AF437" s="51"/>
      <c r="AG437" s="40"/>
      <c r="AH437" s="40"/>
    </row>
    <row r="438" spans="1:34" s="32" customFormat="1" ht="27.6">
      <c r="A438" s="338" t="s">
        <v>942</v>
      </c>
      <c r="B438" s="338" t="s">
        <v>945</v>
      </c>
      <c r="C438" s="358">
        <v>44237</v>
      </c>
      <c r="D438" s="351" t="s">
        <v>1028</v>
      </c>
      <c r="E438" s="352" t="s">
        <v>1112</v>
      </c>
      <c r="F438" s="338">
        <v>0.45416666666666666</v>
      </c>
      <c r="G438" s="338">
        <v>0.46111111111111108</v>
      </c>
      <c r="H438" s="338" t="s">
        <v>967</v>
      </c>
      <c r="I438" s="353">
        <v>711</v>
      </c>
      <c r="J438" s="338" t="str">
        <f>IFERROR(VLOOKUP(I438,'Chart of accounts'!A:H,2,FALSE),"")</f>
        <v>50102010 01</v>
      </c>
      <c r="K438" s="338" t="str">
        <f>IFERROR(VLOOKUP(I438,'Chart of accounts'!A:H,3,FALSE),"")</f>
        <v>PERA - Civilian</v>
      </c>
      <c r="L438" s="338" t="str">
        <f>IFERROR(VLOOKUP(I438,'Chart of accounts'!A:H,4,FALSE),"")</f>
        <v>50102010 01 - PERA - Civilian (711)</v>
      </c>
      <c r="M438" s="361">
        <v>1</v>
      </c>
      <c r="N438" s="355" t="s">
        <v>10</v>
      </c>
      <c r="O438" s="355" t="s">
        <v>1113</v>
      </c>
      <c r="P438" s="355"/>
      <c r="Q438" s="363">
        <v>10000</v>
      </c>
      <c r="R438" s="319">
        <f>P438-Q438</f>
        <v>-10000</v>
      </c>
      <c r="S438" s="319" t="str">
        <f>VLOOKUP(H438,'Fund Utilization Report'!$A$4:$U$1800,13,FALSE)</f>
        <v>PS</v>
      </c>
      <c r="T438" s="319" t="str">
        <f>VLOOKUP(H438,'Fund Utilization Report'!$A$4:$U$1800,2,FALSE)</f>
        <v>GAA</v>
      </c>
      <c r="U438" s="319" t="str">
        <f>VLOOKUP(H438,'Fund Utilization Report'!$A$4:$U$1800,3,FALSE)</f>
        <v>FY2021, RA11518</v>
      </c>
      <c r="V438" s="319" t="str">
        <f>VLOOKUP(H438,'Fund Utilization Report'!$A$4:$U$1800,4,FALSE)</f>
        <v>OO2</v>
      </c>
      <c r="W438" s="319" t="str">
        <f>VLOOKUP(H438,'Fund Utilization Report'!$A$4:$U$1800,5,FALSE)</f>
        <v>01101101</v>
      </c>
      <c r="X438" s="319" t="str">
        <f>VLOOKUP(H438,'Fund Utilization Report'!$A$4:$U$1800,6,FALSE)</f>
        <v>GOP</v>
      </c>
      <c r="Y438" s="320" t="str">
        <f>VLOOKUP(H438,'Fund Utilization Report'!$A$4:$U$1800,7,FALSE)</f>
        <v>PS</v>
      </c>
      <c r="Z438" s="321">
        <f>VLOOKUP(H438,'Fund Utilization Report'!$A$4:$U$1800,8,FALSE)</f>
        <v>5010000000</v>
      </c>
      <c r="AA438" s="319" t="str">
        <f>VLOOKUP(H438,'Fund Utilization Report'!$A$4:$U$1800,14,FALSE)</f>
        <v>320100100001000</v>
      </c>
      <c r="AB438" s="349" t="str">
        <f>VLOOKUP(H438,'Fund Utilization Report'!$A$4:$U$1800,15,FALSE)</f>
        <v>Formulation of Strategic plans,programs, and policies to develop competitve industries</v>
      </c>
      <c r="AC438" s="39"/>
      <c r="AD438" s="34"/>
      <c r="AE438" s="39"/>
      <c r="AF438" s="51"/>
      <c r="AG438" s="40"/>
      <c r="AH438" s="40"/>
    </row>
    <row r="439" spans="1:34" s="32" customFormat="1" ht="27.6">
      <c r="A439" s="338" t="s">
        <v>942</v>
      </c>
      <c r="B439" s="338" t="s">
        <v>945</v>
      </c>
      <c r="C439" s="358">
        <v>44237</v>
      </c>
      <c r="D439" s="351" t="s">
        <v>1028</v>
      </c>
      <c r="E439" s="352" t="s">
        <v>1112</v>
      </c>
      <c r="F439" s="338">
        <v>0.45416666666666666</v>
      </c>
      <c r="G439" s="338">
        <v>0.46111111111111108</v>
      </c>
      <c r="H439" s="338" t="s">
        <v>969</v>
      </c>
      <c r="I439" s="353">
        <v>731</v>
      </c>
      <c r="J439" s="338" t="str">
        <f>IFERROR(VLOOKUP(I439,'Chart of accounts'!A:H,2,FALSE),"")</f>
        <v>50103010 00</v>
      </c>
      <c r="K439" s="338" t="str">
        <f>IFERROR(VLOOKUP(I439,'Chart of accounts'!A:H,3,FALSE),"")</f>
        <v>Retirement and Life Insurance Premiums</v>
      </c>
      <c r="L439" s="338" t="str">
        <f>IFERROR(VLOOKUP(I439,'Chart of accounts'!A:H,4,FALSE),"")</f>
        <v>50103010 00 - Retirement and Life Insurance Premiums (731)</v>
      </c>
      <c r="M439" s="361">
        <v>1</v>
      </c>
      <c r="N439" s="355" t="s">
        <v>10</v>
      </c>
      <c r="O439" s="355" t="s">
        <v>1113</v>
      </c>
      <c r="P439" s="355"/>
      <c r="Q439" s="363">
        <v>23955.72</v>
      </c>
      <c r="R439" s="319">
        <f>P439-Q439</f>
        <v>-23955.72</v>
      </c>
      <c r="S439" s="319" t="str">
        <f>VLOOKUP(H439,'Fund Utilization Report'!$A$4:$U$1800,13,FALSE)</f>
        <v>PS</v>
      </c>
      <c r="T439" s="319" t="str">
        <f>VLOOKUP(H439,'Fund Utilization Report'!$A$4:$U$1800,2,FALSE)</f>
        <v>GAA</v>
      </c>
      <c r="U439" s="319" t="str">
        <f>VLOOKUP(H439,'Fund Utilization Report'!$A$4:$U$1800,3,FALSE)</f>
        <v>FY2021, RA11518</v>
      </c>
      <c r="V439" s="319" t="str">
        <f>VLOOKUP(H439,'Fund Utilization Report'!$A$4:$U$1800,4,FALSE)</f>
        <v>OO2</v>
      </c>
      <c r="W439" s="319" t="str">
        <f>VLOOKUP(H439,'Fund Utilization Report'!$A$4:$U$1800,5,FALSE)</f>
        <v>01101101</v>
      </c>
      <c r="X439" s="319" t="str">
        <f>VLOOKUP(H439,'Fund Utilization Report'!$A$4:$U$1800,6,FALSE)</f>
        <v>GOP</v>
      </c>
      <c r="Y439" s="320" t="str">
        <f>VLOOKUP(H439,'Fund Utilization Report'!$A$4:$U$1800,7,FALSE)</f>
        <v>RLIP</v>
      </c>
      <c r="Z439" s="321" t="str">
        <f>VLOOKUP(H439,'Fund Utilization Report'!$A$4:$U$1800,8,FALSE)</f>
        <v>50103010-00</v>
      </c>
      <c r="AA439" s="319" t="str">
        <f>VLOOKUP(H439,'Fund Utilization Report'!$A$4:$U$1800,14,FALSE)</f>
        <v>320100100001000</v>
      </c>
      <c r="AB439" s="349" t="str">
        <f>VLOOKUP(H439,'Fund Utilization Report'!$A$4:$U$1800,15,FALSE)</f>
        <v>Formulation of Strategic plans,programs, and policies to develop competitve industries</v>
      </c>
      <c r="AC439" s="39"/>
      <c r="AD439" s="34"/>
      <c r="AE439" s="39"/>
      <c r="AF439" s="51"/>
      <c r="AG439" s="40"/>
      <c r="AH439" s="40"/>
    </row>
    <row r="440" spans="1:34" s="32" customFormat="1" ht="27.6">
      <c r="A440" s="338" t="s">
        <v>942</v>
      </c>
      <c r="B440" s="338" t="s">
        <v>945</v>
      </c>
      <c r="C440" s="358">
        <v>44237</v>
      </c>
      <c r="D440" s="351" t="s">
        <v>1028</v>
      </c>
      <c r="E440" s="352" t="s">
        <v>1112</v>
      </c>
      <c r="F440" s="338">
        <v>0.45416666666666666</v>
      </c>
      <c r="G440" s="338">
        <v>0.46111111111111108</v>
      </c>
      <c r="H440" s="338" t="s">
        <v>967</v>
      </c>
      <c r="I440" s="353">
        <v>732</v>
      </c>
      <c r="J440" s="338" t="str">
        <f>IFERROR(VLOOKUP(I440,'Chart of accounts'!A:H,2,FALSE),"")</f>
        <v>50103020 01</v>
      </c>
      <c r="K440" s="338" t="str">
        <f>IFERROR(VLOOKUP(I440,'Chart of accounts'!A:H,3,FALSE),"")</f>
        <v>Pag-IBIG - Civilian</v>
      </c>
      <c r="L440" s="338" t="str">
        <f>IFERROR(VLOOKUP(I440,'Chart of accounts'!A:H,4,FALSE),"")</f>
        <v>50103020 01 - Pag-IBIG - Civilian (732)</v>
      </c>
      <c r="M440" s="361">
        <v>1</v>
      </c>
      <c r="N440" s="355" t="s">
        <v>10</v>
      </c>
      <c r="O440" s="355" t="s">
        <v>1113</v>
      </c>
      <c r="P440" s="355"/>
      <c r="Q440" s="363">
        <v>500</v>
      </c>
      <c r="R440" s="319">
        <f>P440-Q440</f>
        <v>-500</v>
      </c>
      <c r="S440" s="319" t="str">
        <f>VLOOKUP(H440,'Fund Utilization Report'!$A$4:$U$1800,13,FALSE)</f>
        <v>PS</v>
      </c>
      <c r="T440" s="319" t="str">
        <f>VLOOKUP(H440,'Fund Utilization Report'!$A$4:$U$1800,2,FALSE)</f>
        <v>GAA</v>
      </c>
      <c r="U440" s="319" t="str">
        <f>VLOOKUP(H440,'Fund Utilization Report'!$A$4:$U$1800,3,FALSE)</f>
        <v>FY2021, RA11518</v>
      </c>
      <c r="V440" s="319" t="str">
        <f>VLOOKUP(H440,'Fund Utilization Report'!$A$4:$U$1800,4,FALSE)</f>
        <v>OO2</v>
      </c>
      <c r="W440" s="319" t="str">
        <f>VLOOKUP(H440,'Fund Utilization Report'!$A$4:$U$1800,5,FALSE)</f>
        <v>01101101</v>
      </c>
      <c r="X440" s="319" t="str">
        <f>VLOOKUP(H440,'Fund Utilization Report'!$A$4:$U$1800,6,FALSE)</f>
        <v>GOP</v>
      </c>
      <c r="Y440" s="320" t="str">
        <f>VLOOKUP(H440,'Fund Utilization Report'!$A$4:$U$1800,7,FALSE)</f>
        <v>PS</v>
      </c>
      <c r="Z440" s="321">
        <f>VLOOKUP(H440,'Fund Utilization Report'!$A$4:$U$1800,8,FALSE)</f>
        <v>5010000000</v>
      </c>
      <c r="AA440" s="319" t="str">
        <f>VLOOKUP(H440,'Fund Utilization Report'!$A$4:$U$1800,14,FALSE)</f>
        <v>320100100001000</v>
      </c>
      <c r="AB440" s="349" t="str">
        <f>VLOOKUP(H440,'Fund Utilization Report'!$A$4:$U$1800,15,FALSE)</f>
        <v>Formulation of Strategic plans,programs, and policies to develop competitve industries</v>
      </c>
      <c r="AC440" s="39"/>
      <c r="AD440" s="34"/>
      <c r="AE440" s="39"/>
      <c r="AF440" s="51"/>
      <c r="AG440" s="40"/>
      <c r="AH440" s="40"/>
    </row>
    <row r="441" spans="1:34" s="32" customFormat="1" ht="27.6">
      <c r="A441" s="338" t="s">
        <v>942</v>
      </c>
      <c r="B441" s="338" t="s">
        <v>945</v>
      </c>
      <c r="C441" s="358">
        <v>44237</v>
      </c>
      <c r="D441" s="351" t="s">
        <v>1028</v>
      </c>
      <c r="E441" s="352" t="s">
        <v>1112</v>
      </c>
      <c r="F441" s="338">
        <v>0.45416666666666666</v>
      </c>
      <c r="G441" s="338">
        <v>0.46111111111111108</v>
      </c>
      <c r="H441" s="338" t="s">
        <v>967</v>
      </c>
      <c r="I441" s="353">
        <v>733</v>
      </c>
      <c r="J441" s="338" t="str">
        <f>IFERROR(VLOOKUP(I441,'Chart of accounts'!A:H,2,FALSE),"")</f>
        <v>50103030 01</v>
      </c>
      <c r="K441" s="338" t="str">
        <f>IFERROR(VLOOKUP(I441,'Chart of accounts'!A:H,3,FALSE),"")</f>
        <v>PhilHealth - Civilian</v>
      </c>
      <c r="L441" s="338" t="str">
        <f>IFERROR(VLOOKUP(I441,'Chart of accounts'!A:H,4,FALSE),"")</f>
        <v>50103030 01 - PhilHealth - Civilian (733)</v>
      </c>
      <c r="M441" s="361">
        <v>1</v>
      </c>
      <c r="N441" s="355" t="s">
        <v>10</v>
      </c>
      <c r="O441" s="355" t="s">
        <v>1113</v>
      </c>
      <c r="P441" s="355"/>
      <c r="Q441" s="363">
        <v>2593.35</v>
      </c>
      <c r="R441" s="319">
        <f>P441-Q441</f>
        <v>-2593.35</v>
      </c>
      <c r="S441" s="319" t="str">
        <f>VLOOKUP(H441,'Fund Utilization Report'!$A$4:$U$1800,13,FALSE)</f>
        <v>PS</v>
      </c>
      <c r="T441" s="319" t="str">
        <f>VLOOKUP(H441,'Fund Utilization Report'!$A$4:$U$1800,2,FALSE)</f>
        <v>GAA</v>
      </c>
      <c r="U441" s="319" t="str">
        <f>VLOOKUP(H441,'Fund Utilization Report'!$A$4:$U$1800,3,FALSE)</f>
        <v>FY2021, RA11518</v>
      </c>
      <c r="V441" s="319" t="str">
        <f>VLOOKUP(H441,'Fund Utilization Report'!$A$4:$U$1800,4,FALSE)</f>
        <v>OO2</v>
      </c>
      <c r="W441" s="319" t="str">
        <f>VLOOKUP(H441,'Fund Utilization Report'!$A$4:$U$1800,5,FALSE)</f>
        <v>01101101</v>
      </c>
      <c r="X441" s="319" t="str">
        <f>VLOOKUP(H441,'Fund Utilization Report'!$A$4:$U$1800,6,FALSE)</f>
        <v>GOP</v>
      </c>
      <c r="Y441" s="320" t="str">
        <f>VLOOKUP(H441,'Fund Utilization Report'!$A$4:$U$1800,7,FALSE)</f>
        <v>PS</v>
      </c>
      <c r="Z441" s="321">
        <f>VLOOKUP(H441,'Fund Utilization Report'!$A$4:$U$1800,8,FALSE)</f>
        <v>5010000000</v>
      </c>
      <c r="AA441" s="319" t="str">
        <f>VLOOKUP(H441,'Fund Utilization Report'!$A$4:$U$1800,14,FALSE)</f>
        <v>320100100001000</v>
      </c>
      <c r="AB441" s="349" t="str">
        <f>VLOOKUP(H441,'Fund Utilization Report'!$A$4:$U$1800,15,FALSE)</f>
        <v>Formulation of Strategic plans,programs, and policies to develop competitve industries</v>
      </c>
      <c r="AC441" s="39"/>
      <c r="AD441" s="34"/>
      <c r="AE441" s="39"/>
      <c r="AF441" s="51"/>
      <c r="AG441" s="40"/>
      <c r="AH441" s="40"/>
    </row>
    <row r="442" spans="1:34" s="32" customFormat="1" ht="27.6">
      <c r="A442" s="338" t="s">
        <v>942</v>
      </c>
      <c r="B442" s="338" t="s">
        <v>945</v>
      </c>
      <c r="C442" s="358">
        <v>44237</v>
      </c>
      <c r="D442" s="351" t="s">
        <v>1028</v>
      </c>
      <c r="E442" s="352" t="s">
        <v>1112</v>
      </c>
      <c r="F442" s="338">
        <v>0.45416666666666666</v>
      </c>
      <c r="G442" s="338">
        <v>0.46111111111111108</v>
      </c>
      <c r="H442" s="338" t="s">
        <v>967</v>
      </c>
      <c r="I442" s="353">
        <v>734</v>
      </c>
      <c r="J442" s="338" t="str">
        <f>IFERROR(VLOOKUP(I442,'Chart of accounts'!A:H,2,FALSE),"")</f>
        <v>50103040 01</v>
      </c>
      <c r="K442" s="338" t="str">
        <f>IFERROR(VLOOKUP(I442,'Chart of accounts'!A:H,3,FALSE),"")</f>
        <v>ECIP - Civilian</v>
      </c>
      <c r="L442" s="338" t="str">
        <f>IFERROR(VLOOKUP(I442,'Chart of accounts'!A:H,4,FALSE),"")</f>
        <v>50103040 01 - ECIP - Civilian (734)</v>
      </c>
      <c r="M442" s="361">
        <v>1</v>
      </c>
      <c r="N442" s="355" t="s">
        <v>10</v>
      </c>
      <c r="O442" s="355" t="s">
        <v>1113</v>
      </c>
      <c r="P442" s="355"/>
      <c r="Q442" s="363">
        <v>500</v>
      </c>
      <c r="R442" s="319">
        <f>P442-Q442</f>
        <v>-500</v>
      </c>
      <c r="S442" s="319" t="str">
        <f>VLOOKUP(H442,'Fund Utilization Report'!$A$4:$U$1800,13,FALSE)</f>
        <v>PS</v>
      </c>
      <c r="T442" s="319" t="str">
        <f>VLOOKUP(H442,'Fund Utilization Report'!$A$4:$U$1800,2,FALSE)</f>
        <v>GAA</v>
      </c>
      <c r="U442" s="319" t="str">
        <f>VLOOKUP(H442,'Fund Utilization Report'!$A$4:$U$1800,3,FALSE)</f>
        <v>FY2021, RA11518</v>
      </c>
      <c r="V442" s="319" t="str">
        <f>VLOOKUP(H442,'Fund Utilization Report'!$A$4:$U$1800,4,FALSE)</f>
        <v>OO2</v>
      </c>
      <c r="W442" s="319" t="str">
        <f>VLOOKUP(H442,'Fund Utilization Report'!$A$4:$U$1800,5,FALSE)</f>
        <v>01101101</v>
      </c>
      <c r="X442" s="319" t="str">
        <f>VLOOKUP(H442,'Fund Utilization Report'!$A$4:$U$1800,6,FALSE)</f>
        <v>GOP</v>
      </c>
      <c r="Y442" s="320" t="str">
        <f>VLOOKUP(H442,'Fund Utilization Report'!$A$4:$U$1800,7,FALSE)</f>
        <v>PS</v>
      </c>
      <c r="Z442" s="321">
        <f>VLOOKUP(H442,'Fund Utilization Report'!$A$4:$U$1800,8,FALSE)</f>
        <v>5010000000</v>
      </c>
      <c r="AA442" s="319" t="str">
        <f>VLOOKUP(H442,'Fund Utilization Report'!$A$4:$U$1800,14,FALSE)</f>
        <v>320100100001000</v>
      </c>
      <c r="AB442" s="349" t="str">
        <f>VLOOKUP(H442,'Fund Utilization Report'!$A$4:$U$1800,15,FALSE)</f>
        <v>Formulation of Strategic plans,programs, and policies to develop competitve industries</v>
      </c>
      <c r="AC442" s="39"/>
      <c r="AD442" s="34"/>
      <c r="AE442" s="39"/>
      <c r="AF442" s="51"/>
      <c r="AG442" s="40"/>
      <c r="AH442" s="40"/>
    </row>
    <row r="443" spans="1:34" s="32" customFormat="1" ht="27.6">
      <c r="A443" s="338" t="s">
        <v>942</v>
      </c>
      <c r="B443" s="338" t="s">
        <v>945</v>
      </c>
      <c r="C443" s="358">
        <v>44237</v>
      </c>
      <c r="D443" s="351" t="s">
        <v>1028</v>
      </c>
      <c r="E443" s="352" t="s">
        <v>1112</v>
      </c>
      <c r="F443" s="338">
        <v>0.45416666666666666</v>
      </c>
      <c r="G443" s="338">
        <v>0.46111111111111108</v>
      </c>
      <c r="H443" s="338" t="s">
        <v>970</v>
      </c>
      <c r="I443" s="353">
        <v>701</v>
      </c>
      <c r="J443" s="338" t="str">
        <f>IFERROR(VLOOKUP(I443,'Chart of accounts'!A:H,2,FALSE),"")</f>
        <v>50101010 01</v>
      </c>
      <c r="K443" s="338" t="str">
        <f>IFERROR(VLOOKUP(I443,'Chart of accounts'!A:H,3,FALSE),"")</f>
        <v>Basic Salary - Civilian</v>
      </c>
      <c r="L443" s="338" t="str">
        <f>IFERROR(VLOOKUP(I443,'Chart of accounts'!A:H,4,FALSE),"")</f>
        <v>50101010 01 - Basic Salary - Civilian (701)</v>
      </c>
      <c r="M443" s="361">
        <v>1</v>
      </c>
      <c r="N443" s="355" t="s">
        <v>10</v>
      </c>
      <c r="O443" s="355" t="s">
        <v>1113</v>
      </c>
      <c r="P443" s="355"/>
      <c r="Q443" s="363">
        <v>190370</v>
      </c>
      <c r="R443" s="319">
        <f t="shared" si="6"/>
        <v>-190370</v>
      </c>
      <c r="S443" s="319" t="str">
        <f>VLOOKUP(H443,'Fund Utilization Report'!$A$4:$U$1800,13,FALSE)</f>
        <v>PS</v>
      </c>
      <c r="T443" s="319" t="str">
        <f>VLOOKUP(H443,'Fund Utilization Report'!$A$4:$U$1800,2,FALSE)</f>
        <v>GAA</v>
      </c>
      <c r="U443" s="319" t="str">
        <f>VLOOKUP(H443,'Fund Utilization Report'!$A$4:$U$1800,3,FALSE)</f>
        <v>FY2021, RA11518</v>
      </c>
      <c r="V443" s="319" t="str">
        <f>VLOOKUP(H443,'Fund Utilization Report'!$A$4:$U$1800,4,FALSE)</f>
        <v>OO3</v>
      </c>
      <c r="W443" s="319" t="str">
        <f>VLOOKUP(H443,'Fund Utilization Report'!$A$4:$U$1800,5,FALSE)</f>
        <v>01101101</v>
      </c>
      <c r="X443" s="319" t="str">
        <f>VLOOKUP(H443,'Fund Utilization Report'!$A$4:$U$1800,6,FALSE)</f>
        <v>GOP</v>
      </c>
      <c r="Y443" s="320" t="str">
        <f>VLOOKUP(H443,'Fund Utilization Report'!$A$4:$U$1800,7,FALSE)</f>
        <v>PS</v>
      </c>
      <c r="Z443" s="321">
        <f>VLOOKUP(H443,'Fund Utilization Report'!$A$4:$U$1800,8,FALSE)</f>
        <v>5010000000</v>
      </c>
      <c r="AA443" s="319" t="str">
        <f>VLOOKUP(H443,'Fund Utilization Report'!$A$4:$U$1800,14,FALSE)</f>
        <v>330100100002000</v>
      </c>
      <c r="AB443" s="349" t="str">
        <f>VLOOKUP(H443,'Fund Utilization Report'!$A$4:$U$1800,15,FALSE)</f>
        <v>Implementation of the MSME Development Plan and other initiatives to promote the growth of Micro, Small and Medium Enterprises</v>
      </c>
      <c r="AC443" s="39"/>
      <c r="AD443" s="34"/>
      <c r="AE443" s="39"/>
      <c r="AF443" s="51"/>
      <c r="AG443" s="40"/>
      <c r="AH443" s="40"/>
    </row>
    <row r="444" spans="1:34" s="32" customFormat="1" ht="27.6">
      <c r="A444" s="338" t="s">
        <v>942</v>
      </c>
      <c r="B444" s="338" t="s">
        <v>945</v>
      </c>
      <c r="C444" s="358">
        <v>44237</v>
      </c>
      <c r="D444" s="351" t="s">
        <v>1028</v>
      </c>
      <c r="E444" s="352" t="s">
        <v>1112</v>
      </c>
      <c r="F444" s="338">
        <v>0.45416666666666666</v>
      </c>
      <c r="G444" s="338">
        <v>0.46111111111111108</v>
      </c>
      <c r="H444" s="338" t="s">
        <v>970</v>
      </c>
      <c r="I444" s="353">
        <v>711</v>
      </c>
      <c r="J444" s="338" t="str">
        <f>IFERROR(VLOOKUP(I444,'Chart of accounts'!A:H,2,FALSE),"")</f>
        <v>50102010 01</v>
      </c>
      <c r="K444" s="338" t="str">
        <f>IFERROR(VLOOKUP(I444,'Chart of accounts'!A:H,3,FALSE),"")</f>
        <v>PERA - Civilian</v>
      </c>
      <c r="L444" s="338" t="str">
        <f>IFERROR(VLOOKUP(I444,'Chart of accounts'!A:H,4,FALSE),"")</f>
        <v>50102010 01 - PERA - Civilian (711)</v>
      </c>
      <c r="M444" s="361">
        <v>1</v>
      </c>
      <c r="N444" s="355" t="s">
        <v>10</v>
      </c>
      <c r="O444" s="355" t="s">
        <v>1113</v>
      </c>
      <c r="P444" s="355"/>
      <c r="Q444" s="363">
        <v>10000</v>
      </c>
      <c r="R444" s="319">
        <f>P444-Q444</f>
        <v>-10000</v>
      </c>
      <c r="S444" s="319" t="str">
        <f>VLOOKUP(H444,'Fund Utilization Report'!$A$4:$U$1800,13,FALSE)</f>
        <v>PS</v>
      </c>
      <c r="T444" s="319" t="str">
        <f>VLOOKUP(H444,'Fund Utilization Report'!$A$4:$U$1800,2,FALSE)</f>
        <v>GAA</v>
      </c>
      <c r="U444" s="319" t="str">
        <f>VLOOKUP(H444,'Fund Utilization Report'!$A$4:$U$1800,3,FALSE)</f>
        <v>FY2021, RA11518</v>
      </c>
      <c r="V444" s="319" t="str">
        <f>VLOOKUP(H444,'Fund Utilization Report'!$A$4:$U$1800,4,FALSE)</f>
        <v>OO3</v>
      </c>
      <c r="W444" s="319" t="str">
        <f>VLOOKUP(H444,'Fund Utilization Report'!$A$4:$U$1800,5,FALSE)</f>
        <v>01101101</v>
      </c>
      <c r="X444" s="319" t="str">
        <f>VLOOKUP(H444,'Fund Utilization Report'!$A$4:$U$1800,6,FALSE)</f>
        <v>GOP</v>
      </c>
      <c r="Y444" s="320" t="str">
        <f>VLOOKUP(H444,'Fund Utilization Report'!$A$4:$U$1800,7,FALSE)</f>
        <v>PS</v>
      </c>
      <c r="Z444" s="321">
        <f>VLOOKUP(H444,'Fund Utilization Report'!$A$4:$U$1800,8,FALSE)</f>
        <v>5010000000</v>
      </c>
      <c r="AA444" s="319" t="str">
        <f>VLOOKUP(H444,'Fund Utilization Report'!$A$4:$U$1800,14,FALSE)</f>
        <v>330100100002000</v>
      </c>
      <c r="AB444" s="349" t="str">
        <f>VLOOKUP(H444,'Fund Utilization Report'!$A$4:$U$1800,15,FALSE)</f>
        <v>Implementation of the MSME Development Plan and other initiatives to promote the growth of Micro, Small and Medium Enterprises</v>
      </c>
      <c r="AC444" s="39"/>
      <c r="AD444" s="34"/>
      <c r="AE444" s="39"/>
      <c r="AF444" s="51"/>
      <c r="AG444" s="40"/>
      <c r="AH444" s="40"/>
    </row>
    <row r="445" spans="1:34" s="32" customFormat="1" ht="27.6">
      <c r="A445" s="338" t="s">
        <v>942</v>
      </c>
      <c r="B445" s="338" t="s">
        <v>945</v>
      </c>
      <c r="C445" s="358">
        <v>44237</v>
      </c>
      <c r="D445" s="351" t="s">
        <v>1028</v>
      </c>
      <c r="E445" s="352" t="s">
        <v>1112</v>
      </c>
      <c r="F445" s="338">
        <v>0.45416666666666666</v>
      </c>
      <c r="G445" s="338">
        <v>0.46111111111111108</v>
      </c>
      <c r="H445" s="338" t="s">
        <v>972</v>
      </c>
      <c r="I445" s="353">
        <v>731</v>
      </c>
      <c r="J445" s="338" t="str">
        <f>IFERROR(VLOOKUP(I445,'Chart of accounts'!A:H,2,FALSE),"")</f>
        <v>50103010 00</v>
      </c>
      <c r="K445" s="338" t="str">
        <f>IFERROR(VLOOKUP(I445,'Chart of accounts'!A:H,3,FALSE),"")</f>
        <v>Retirement and Life Insurance Premiums</v>
      </c>
      <c r="L445" s="338" t="str">
        <f>IFERROR(VLOOKUP(I445,'Chart of accounts'!A:H,4,FALSE),"")</f>
        <v>50103010 00 - Retirement and Life Insurance Premiums (731)</v>
      </c>
      <c r="M445" s="361">
        <v>1</v>
      </c>
      <c r="N445" s="355" t="s">
        <v>10</v>
      </c>
      <c r="O445" s="355" t="s">
        <v>1113</v>
      </c>
      <c r="P445" s="355"/>
      <c r="Q445" s="363">
        <v>22844.400000000001</v>
      </c>
      <c r="R445" s="319">
        <f>P445-Q445</f>
        <v>-22844.400000000001</v>
      </c>
      <c r="S445" s="319" t="str">
        <f>VLOOKUP(H445,'Fund Utilization Report'!$A$4:$U$1800,13,FALSE)</f>
        <v>PS</v>
      </c>
      <c r="T445" s="319" t="str">
        <f>VLOOKUP(H445,'Fund Utilization Report'!$A$4:$U$1800,2,FALSE)</f>
        <v>GAA</v>
      </c>
      <c r="U445" s="319" t="str">
        <f>VLOOKUP(H445,'Fund Utilization Report'!$A$4:$U$1800,3,FALSE)</f>
        <v>FY2021, RA11518</v>
      </c>
      <c r="V445" s="319" t="str">
        <f>VLOOKUP(H445,'Fund Utilization Report'!$A$4:$U$1800,4,FALSE)</f>
        <v>OO3</v>
      </c>
      <c r="W445" s="319" t="str">
        <f>VLOOKUP(H445,'Fund Utilization Report'!$A$4:$U$1800,5,FALSE)</f>
        <v>01101101</v>
      </c>
      <c r="X445" s="319" t="str">
        <f>VLOOKUP(H445,'Fund Utilization Report'!$A$4:$U$1800,6,FALSE)</f>
        <v>GOP</v>
      </c>
      <c r="Y445" s="320" t="str">
        <f>VLOOKUP(H445,'Fund Utilization Report'!$A$4:$U$1800,7,FALSE)</f>
        <v>RLIP</v>
      </c>
      <c r="Z445" s="321" t="str">
        <f>VLOOKUP(H445,'Fund Utilization Report'!$A$4:$U$1800,8,FALSE)</f>
        <v>50103010-00</v>
      </c>
      <c r="AA445" s="319" t="str">
        <f>VLOOKUP(H445,'Fund Utilization Report'!$A$4:$U$1800,14,FALSE)</f>
        <v>330100100002000</v>
      </c>
      <c r="AB445" s="349" t="str">
        <f>VLOOKUP(H445,'Fund Utilization Report'!$A$4:$U$1800,15,FALSE)</f>
        <v>Implementation of the MSME Development Plan and other initiatives to promote the growth of Micro, Small and Medium Enterprises</v>
      </c>
      <c r="AC445" s="39"/>
      <c r="AD445" s="34"/>
      <c r="AE445" s="39"/>
      <c r="AF445" s="51"/>
      <c r="AG445" s="40"/>
      <c r="AH445" s="40"/>
    </row>
    <row r="446" spans="1:34" s="32" customFormat="1" ht="27.6">
      <c r="A446" s="338" t="s">
        <v>942</v>
      </c>
      <c r="B446" s="338" t="s">
        <v>945</v>
      </c>
      <c r="C446" s="358">
        <v>44237</v>
      </c>
      <c r="D446" s="351" t="s">
        <v>1028</v>
      </c>
      <c r="E446" s="352" t="s">
        <v>1112</v>
      </c>
      <c r="F446" s="338">
        <v>0.45416666666666666</v>
      </c>
      <c r="G446" s="338">
        <v>0.46111111111111108</v>
      </c>
      <c r="H446" s="338" t="s">
        <v>970</v>
      </c>
      <c r="I446" s="353">
        <v>732</v>
      </c>
      <c r="J446" s="338" t="str">
        <f>IFERROR(VLOOKUP(I446,'Chart of accounts'!A:H,2,FALSE),"")</f>
        <v>50103020 01</v>
      </c>
      <c r="K446" s="338" t="str">
        <f>IFERROR(VLOOKUP(I446,'Chart of accounts'!A:H,3,FALSE),"")</f>
        <v>Pag-IBIG - Civilian</v>
      </c>
      <c r="L446" s="338" t="str">
        <f>IFERROR(VLOOKUP(I446,'Chart of accounts'!A:H,4,FALSE),"")</f>
        <v>50103020 01 - Pag-IBIG - Civilian (732)</v>
      </c>
      <c r="M446" s="361">
        <v>1</v>
      </c>
      <c r="N446" s="355" t="s">
        <v>10</v>
      </c>
      <c r="O446" s="355" t="s">
        <v>1113</v>
      </c>
      <c r="P446" s="355"/>
      <c r="Q446" s="363">
        <v>500</v>
      </c>
      <c r="R446" s="319">
        <f>P446-Q446</f>
        <v>-500</v>
      </c>
      <c r="S446" s="319" t="str">
        <f>VLOOKUP(H446,'Fund Utilization Report'!$A$4:$U$1800,13,FALSE)</f>
        <v>PS</v>
      </c>
      <c r="T446" s="319" t="str">
        <f>VLOOKUP(H446,'Fund Utilization Report'!$A$4:$U$1800,2,FALSE)</f>
        <v>GAA</v>
      </c>
      <c r="U446" s="319" t="str">
        <f>VLOOKUP(H446,'Fund Utilization Report'!$A$4:$U$1800,3,FALSE)</f>
        <v>FY2021, RA11518</v>
      </c>
      <c r="V446" s="319" t="str">
        <f>VLOOKUP(H446,'Fund Utilization Report'!$A$4:$U$1800,4,FALSE)</f>
        <v>OO3</v>
      </c>
      <c r="W446" s="319" t="str">
        <f>VLOOKUP(H446,'Fund Utilization Report'!$A$4:$U$1800,5,FALSE)</f>
        <v>01101101</v>
      </c>
      <c r="X446" s="319" t="str">
        <f>VLOOKUP(H446,'Fund Utilization Report'!$A$4:$U$1800,6,FALSE)</f>
        <v>GOP</v>
      </c>
      <c r="Y446" s="320" t="str">
        <f>VLOOKUP(H446,'Fund Utilization Report'!$A$4:$U$1800,7,FALSE)</f>
        <v>PS</v>
      </c>
      <c r="Z446" s="321">
        <f>VLOOKUP(H446,'Fund Utilization Report'!$A$4:$U$1800,8,FALSE)</f>
        <v>5010000000</v>
      </c>
      <c r="AA446" s="319" t="str">
        <f>VLOOKUP(H446,'Fund Utilization Report'!$A$4:$U$1800,14,FALSE)</f>
        <v>330100100002000</v>
      </c>
      <c r="AB446" s="349" t="str">
        <f>VLOOKUP(H446,'Fund Utilization Report'!$A$4:$U$1800,15,FALSE)</f>
        <v>Implementation of the MSME Development Plan and other initiatives to promote the growth of Micro, Small and Medium Enterprises</v>
      </c>
      <c r="AC446" s="39"/>
      <c r="AD446" s="34"/>
      <c r="AE446" s="39"/>
      <c r="AF446" s="51"/>
      <c r="AG446" s="40"/>
      <c r="AH446" s="40"/>
    </row>
    <row r="447" spans="1:34" s="32" customFormat="1" ht="27.6">
      <c r="A447" s="338" t="s">
        <v>942</v>
      </c>
      <c r="B447" s="338" t="s">
        <v>945</v>
      </c>
      <c r="C447" s="358">
        <v>44237</v>
      </c>
      <c r="D447" s="351" t="s">
        <v>1028</v>
      </c>
      <c r="E447" s="352" t="s">
        <v>1112</v>
      </c>
      <c r="F447" s="338">
        <v>0.45416666666666666</v>
      </c>
      <c r="G447" s="338">
        <v>0.46111111111111108</v>
      </c>
      <c r="H447" s="338" t="s">
        <v>970</v>
      </c>
      <c r="I447" s="353">
        <v>733</v>
      </c>
      <c r="J447" s="338" t="str">
        <f>IFERROR(VLOOKUP(I447,'Chart of accounts'!A:H,2,FALSE),"")</f>
        <v>50103030 01</v>
      </c>
      <c r="K447" s="338" t="str">
        <f>IFERROR(VLOOKUP(I447,'Chart of accounts'!A:H,3,FALSE),"")</f>
        <v>PhilHealth - Civilian</v>
      </c>
      <c r="L447" s="338" t="str">
        <f>IFERROR(VLOOKUP(I447,'Chart of accounts'!A:H,4,FALSE),"")</f>
        <v>50103030 01 - PhilHealth - Civilian (733)</v>
      </c>
      <c r="M447" s="361">
        <v>1</v>
      </c>
      <c r="N447" s="355" t="s">
        <v>10</v>
      </c>
      <c r="O447" s="355" t="s">
        <v>1113</v>
      </c>
      <c r="P447" s="355"/>
      <c r="Q447" s="363">
        <v>2855.56</v>
      </c>
      <c r="R447" s="319">
        <f>P447-Q447</f>
        <v>-2855.56</v>
      </c>
      <c r="S447" s="319" t="str">
        <f>VLOOKUP(H447,'Fund Utilization Report'!$A$4:$U$1800,13,FALSE)</f>
        <v>PS</v>
      </c>
      <c r="T447" s="319" t="str">
        <f>VLOOKUP(H447,'Fund Utilization Report'!$A$4:$U$1800,2,FALSE)</f>
        <v>GAA</v>
      </c>
      <c r="U447" s="319" t="str">
        <f>VLOOKUP(H447,'Fund Utilization Report'!$A$4:$U$1800,3,FALSE)</f>
        <v>FY2021, RA11518</v>
      </c>
      <c r="V447" s="319" t="str">
        <f>VLOOKUP(H447,'Fund Utilization Report'!$A$4:$U$1800,4,FALSE)</f>
        <v>OO3</v>
      </c>
      <c r="W447" s="319" t="str">
        <f>VLOOKUP(H447,'Fund Utilization Report'!$A$4:$U$1800,5,FALSE)</f>
        <v>01101101</v>
      </c>
      <c r="X447" s="319" t="str">
        <f>VLOOKUP(H447,'Fund Utilization Report'!$A$4:$U$1800,6,FALSE)</f>
        <v>GOP</v>
      </c>
      <c r="Y447" s="320" t="str">
        <f>VLOOKUP(H447,'Fund Utilization Report'!$A$4:$U$1800,7,FALSE)</f>
        <v>PS</v>
      </c>
      <c r="Z447" s="321">
        <f>VLOOKUP(H447,'Fund Utilization Report'!$A$4:$U$1800,8,FALSE)</f>
        <v>5010000000</v>
      </c>
      <c r="AA447" s="319" t="str">
        <f>VLOOKUP(H447,'Fund Utilization Report'!$A$4:$U$1800,14,FALSE)</f>
        <v>330100100002000</v>
      </c>
      <c r="AB447" s="349" t="str">
        <f>VLOOKUP(H447,'Fund Utilization Report'!$A$4:$U$1800,15,FALSE)</f>
        <v>Implementation of the MSME Development Plan and other initiatives to promote the growth of Micro, Small and Medium Enterprises</v>
      </c>
      <c r="AC447" s="39"/>
      <c r="AD447" s="34"/>
      <c r="AE447" s="39"/>
      <c r="AF447" s="51"/>
      <c r="AG447" s="40"/>
      <c r="AH447" s="40"/>
    </row>
    <row r="448" spans="1:34" s="32" customFormat="1" ht="27.6">
      <c r="A448" s="338" t="s">
        <v>942</v>
      </c>
      <c r="B448" s="338" t="s">
        <v>945</v>
      </c>
      <c r="C448" s="358">
        <v>44237</v>
      </c>
      <c r="D448" s="351" t="s">
        <v>1028</v>
      </c>
      <c r="E448" s="352" t="s">
        <v>1112</v>
      </c>
      <c r="F448" s="338">
        <v>0.45416666666666666</v>
      </c>
      <c r="G448" s="338">
        <v>0.46111111111111108</v>
      </c>
      <c r="H448" s="338" t="s">
        <v>970</v>
      </c>
      <c r="I448" s="353">
        <v>734</v>
      </c>
      <c r="J448" s="338" t="str">
        <f>IFERROR(VLOOKUP(I448,'Chart of accounts'!A:H,2,FALSE),"")</f>
        <v>50103040 01</v>
      </c>
      <c r="K448" s="338" t="str">
        <f>IFERROR(VLOOKUP(I448,'Chart of accounts'!A:H,3,FALSE),"")</f>
        <v>ECIP - Civilian</v>
      </c>
      <c r="L448" s="338" t="str">
        <f>IFERROR(VLOOKUP(I448,'Chart of accounts'!A:H,4,FALSE),"")</f>
        <v>50103040 01 - ECIP - Civilian (734)</v>
      </c>
      <c r="M448" s="361">
        <v>1</v>
      </c>
      <c r="N448" s="355" t="s">
        <v>10</v>
      </c>
      <c r="O448" s="355" t="s">
        <v>1113</v>
      </c>
      <c r="P448" s="355"/>
      <c r="Q448" s="363">
        <v>500</v>
      </c>
      <c r="R448" s="319">
        <f>P448-Q448</f>
        <v>-500</v>
      </c>
      <c r="S448" s="319" t="str">
        <f>VLOOKUP(H448,'Fund Utilization Report'!$A$4:$U$1800,13,FALSE)</f>
        <v>PS</v>
      </c>
      <c r="T448" s="319" t="str">
        <f>VLOOKUP(H448,'Fund Utilization Report'!$A$4:$U$1800,2,FALSE)</f>
        <v>GAA</v>
      </c>
      <c r="U448" s="319" t="str">
        <f>VLOOKUP(H448,'Fund Utilization Report'!$A$4:$U$1800,3,FALSE)</f>
        <v>FY2021, RA11518</v>
      </c>
      <c r="V448" s="319" t="str">
        <f>VLOOKUP(H448,'Fund Utilization Report'!$A$4:$U$1800,4,FALSE)</f>
        <v>OO3</v>
      </c>
      <c r="W448" s="319" t="str">
        <f>VLOOKUP(H448,'Fund Utilization Report'!$A$4:$U$1800,5,FALSE)</f>
        <v>01101101</v>
      </c>
      <c r="X448" s="319" t="str">
        <f>VLOOKUP(H448,'Fund Utilization Report'!$A$4:$U$1800,6,FALSE)</f>
        <v>GOP</v>
      </c>
      <c r="Y448" s="320" t="str">
        <f>VLOOKUP(H448,'Fund Utilization Report'!$A$4:$U$1800,7,FALSE)</f>
        <v>PS</v>
      </c>
      <c r="Z448" s="321">
        <f>VLOOKUP(H448,'Fund Utilization Report'!$A$4:$U$1800,8,FALSE)</f>
        <v>5010000000</v>
      </c>
      <c r="AA448" s="319" t="str">
        <f>VLOOKUP(H448,'Fund Utilization Report'!$A$4:$U$1800,14,FALSE)</f>
        <v>330100100002000</v>
      </c>
      <c r="AB448" s="349" t="str">
        <f>VLOOKUP(H448,'Fund Utilization Report'!$A$4:$U$1800,15,FALSE)</f>
        <v>Implementation of the MSME Development Plan and other initiatives to promote the growth of Micro, Small and Medium Enterprises</v>
      </c>
      <c r="AC448" s="39"/>
      <c r="AD448" s="34"/>
      <c r="AE448" s="39"/>
      <c r="AF448" s="51"/>
      <c r="AG448" s="40"/>
      <c r="AH448" s="40"/>
    </row>
    <row r="449" spans="1:34" s="32" customFormat="1" ht="27.6">
      <c r="A449" s="338" t="s">
        <v>942</v>
      </c>
      <c r="B449" s="338" t="s">
        <v>945</v>
      </c>
      <c r="C449" s="358">
        <v>44237</v>
      </c>
      <c r="D449" s="351" t="s">
        <v>1028</v>
      </c>
      <c r="E449" s="352" t="s">
        <v>1112</v>
      </c>
      <c r="F449" s="338">
        <v>0.45416666666666666</v>
      </c>
      <c r="G449" s="338">
        <v>0.46111111111111108</v>
      </c>
      <c r="H449" s="338" t="s">
        <v>973</v>
      </c>
      <c r="I449" s="353">
        <v>701</v>
      </c>
      <c r="J449" s="338" t="str">
        <f>IFERROR(VLOOKUP(I449,'Chart of accounts'!A:H,2,FALSE),"")</f>
        <v>50101010 01</v>
      </c>
      <c r="K449" s="338" t="str">
        <f>IFERROR(VLOOKUP(I449,'Chart of accounts'!A:H,3,FALSE),"")</f>
        <v>Basic Salary - Civilian</v>
      </c>
      <c r="L449" s="338" t="str">
        <f>IFERROR(VLOOKUP(I449,'Chart of accounts'!A:H,4,FALSE),"")</f>
        <v>50101010 01 - Basic Salary - Civilian (701)</v>
      </c>
      <c r="M449" s="361">
        <v>1</v>
      </c>
      <c r="N449" s="355" t="s">
        <v>10</v>
      </c>
      <c r="O449" s="355" t="s">
        <v>1113</v>
      </c>
      <c r="P449" s="355"/>
      <c r="Q449" s="363">
        <v>206068</v>
      </c>
      <c r="R449" s="319">
        <f t="shared" si="6"/>
        <v>-206068</v>
      </c>
      <c r="S449" s="319" t="str">
        <f>VLOOKUP(H449,'Fund Utilization Report'!$A$4:$U$1800,13,FALSE)</f>
        <v>PS</v>
      </c>
      <c r="T449" s="319" t="str">
        <f>VLOOKUP(H449,'Fund Utilization Report'!$A$4:$U$1800,2,FALSE)</f>
        <v>GAA</v>
      </c>
      <c r="U449" s="319" t="str">
        <f>VLOOKUP(H449,'Fund Utilization Report'!$A$4:$U$1800,3,FALSE)</f>
        <v>FY2021, RA11518</v>
      </c>
      <c r="V449" s="319" t="str">
        <f>VLOOKUP(H449,'Fund Utilization Report'!$A$4:$U$1800,4,FALSE)</f>
        <v>OO4.1(FTL)</v>
      </c>
      <c r="W449" s="319" t="str">
        <f>VLOOKUP(H449,'Fund Utilization Report'!$A$4:$U$1800,5,FALSE)</f>
        <v>01101101</v>
      </c>
      <c r="X449" s="319" t="str">
        <f>VLOOKUP(H449,'Fund Utilization Report'!$A$4:$U$1800,6,FALSE)</f>
        <v>GOP</v>
      </c>
      <c r="Y449" s="320" t="str">
        <f>VLOOKUP(H449,'Fund Utilization Report'!$A$4:$U$1800,7,FALSE)</f>
        <v>PS</v>
      </c>
      <c r="Z449" s="321">
        <f>VLOOKUP(H449,'Fund Utilization Report'!$A$4:$U$1800,8,FALSE)</f>
        <v>5010000000</v>
      </c>
      <c r="AA449" s="319" t="str">
        <f>VLOOKUP(H449,'Fund Utilization Report'!$A$4:$U$1800,14,FALSE)</f>
        <v>340100100002000</v>
      </c>
      <c r="AB449" s="349" t="str">
        <f>VLOOKUP(H449,'Fund Utilization Report'!$A$4:$U$1800,15,FALSE)</f>
        <v>Monitoring and Enforcement of FTL including consumer complaints handling</v>
      </c>
      <c r="AC449" s="39"/>
      <c r="AD449" s="34"/>
      <c r="AE449" s="39"/>
      <c r="AF449" s="51"/>
      <c r="AG449" s="40"/>
      <c r="AH449" s="40"/>
    </row>
    <row r="450" spans="1:34" s="32" customFormat="1" ht="27.6">
      <c r="A450" s="338" t="s">
        <v>942</v>
      </c>
      <c r="B450" s="338" t="s">
        <v>945</v>
      </c>
      <c r="C450" s="358">
        <v>44237</v>
      </c>
      <c r="D450" s="351" t="s">
        <v>1028</v>
      </c>
      <c r="E450" s="352" t="s">
        <v>1112</v>
      </c>
      <c r="F450" s="338">
        <v>0.45416666666666666</v>
      </c>
      <c r="G450" s="338">
        <v>0.46111111111111108</v>
      </c>
      <c r="H450" s="338" t="s">
        <v>973</v>
      </c>
      <c r="I450" s="353">
        <v>711</v>
      </c>
      <c r="J450" s="338" t="str">
        <f>IFERROR(VLOOKUP(I450,'Chart of accounts'!A:H,2,FALSE),"")</f>
        <v>50102010 01</v>
      </c>
      <c r="K450" s="338" t="str">
        <f>IFERROR(VLOOKUP(I450,'Chart of accounts'!A:H,3,FALSE),"")</f>
        <v>PERA - Civilian</v>
      </c>
      <c r="L450" s="338" t="str">
        <f>IFERROR(VLOOKUP(I450,'Chart of accounts'!A:H,4,FALSE),"")</f>
        <v>50102010 01 - PERA - Civilian (711)</v>
      </c>
      <c r="M450" s="361">
        <v>1</v>
      </c>
      <c r="N450" s="355" t="s">
        <v>10</v>
      </c>
      <c r="O450" s="355" t="s">
        <v>1113</v>
      </c>
      <c r="P450" s="355"/>
      <c r="Q450" s="363">
        <v>10000</v>
      </c>
      <c r="R450" s="319">
        <f t="shared" si="6"/>
        <v>-10000</v>
      </c>
      <c r="S450" s="319" t="str">
        <f>VLOOKUP(H450,'Fund Utilization Report'!$A$4:$U$1800,13,FALSE)</f>
        <v>PS</v>
      </c>
      <c r="T450" s="319" t="str">
        <f>VLOOKUP(H450,'Fund Utilization Report'!$A$4:$U$1800,2,FALSE)</f>
        <v>GAA</v>
      </c>
      <c r="U450" s="319" t="str">
        <f>VLOOKUP(H450,'Fund Utilization Report'!$A$4:$U$1800,3,FALSE)</f>
        <v>FY2021, RA11518</v>
      </c>
      <c r="V450" s="319" t="str">
        <f>VLOOKUP(H450,'Fund Utilization Report'!$A$4:$U$1800,4,FALSE)</f>
        <v>OO4.1(FTL)</v>
      </c>
      <c r="W450" s="319" t="str">
        <f>VLOOKUP(H450,'Fund Utilization Report'!$A$4:$U$1800,5,FALSE)</f>
        <v>01101101</v>
      </c>
      <c r="X450" s="319" t="str">
        <f>VLOOKUP(H450,'Fund Utilization Report'!$A$4:$U$1800,6,FALSE)</f>
        <v>GOP</v>
      </c>
      <c r="Y450" s="320" t="str">
        <f>VLOOKUP(H450,'Fund Utilization Report'!$A$4:$U$1800,7,FALSE)</f>
        <v>PS</v>
      </c>
      <c r="Z450" s="321">
        <f>VLOOKUP(H450,'Fund Utilization Report'!$A$4:$U$1800,8,FALSE)</f>
        <v>5010000000</v>
      </c>
      <c r="AA450" s="319" t="str">
        <f>VLOOKUP(H450,'Fund Utilization Report'!$A$4:$U$1800,14,FALSE)</f>
        <v>340100100002000</v>
      </c>
      <c r="AB450" s="349" t="str">
        <f>VLOOKUP(H450,'Fund Utilization Report'!$A$4:$U$1800,15,FALSE)</f>
        <v>Monitoring and Enforcement of FTL including consumer complaints handling</v>
      </c>
      <c r="AC450" s="39"/>
      <c r="AD450" s="34"/>
      <c r="AE450" s="39"/>
      <c r="AF450" s="51"/>
      <c r="AG450" s="40"/>
      <c r="AH450" s="40"/>
    </row>
    <row r="451" spans="1:34" s="32" customFormat="1" ht="27.6">
      <c r="A451" s="338" t="s">
        <v>942</v>
      </c>
      <c r="B451" s="338" t="s">
        <v>945</v>
      </c>
      <c r="C451" s="358">
        <v>44237</v>
      </c>
      <c r="D451" s="351" t="s">
        <v>1028</v>
      </c>
      <c r="E451" s="352" t="s">
        <v>1112</v>
      </c>
      <c r="F451" s="338">
        <v>0.45416666666666666</v>
      </c>
      <c r="G451" s="338">
        <v>0.46111111111111108</v>
      </c>
      <c r="H451" s="338" t="s">
        <v>975</v>
      </c>
      <c r="I451" s="353">
        <v>731</v>
      </c>
      <c r="J451" s="338" t="str">
        <f>IFERROR(VLOOKUP(I451,'Chart of accounts'!A:H,2,FALSE),"")</f>
        <v>50103010 00</v>
      </c>
      <c r="K451" s="338" t="str">
        <f>IFERROR(VLOOKUP(I451,'Chart of accounts'!A:H,3,FALSE),"")</f>
        <v>Retirement and Life Insurance Premiums</v>
      </c>
      <c r="L451" s="338" t="str">
        <f>IFERROR(VLOOKUP(I451,'Chart of accounts'!A:H,4,FALSE),"")</f>
        <v>50103010 00 - Retirement and Life Insurance Premiums (731)</v>
      </c>
      <c r="M451" s="361">
        <v>1</v>
      </c>
      <c r="N451" s="355" t="s">
        <v>10</v>
      </c>
      <c r="O451" s="355" t="s">
        <v>1113</v>
      </c>
      <c r="P451" s="355"/>
      <c r="Q451" s="363">
        <v>24728.16</v>
      </c>
      <c r="R451" s="319">
        <f t="shared" si="6"/>
        <v>-24728.16</v>
      </c>
      <c r="S451" s="319" t="str">
        <f>VLOOKUP(H451,'Fund Utilization Report'!$A$4:$U$1800,13,FALSE)</f>
        <v>PS</v>
      </c>
      <c r="T451" s="319" t="str">
        <f>VLOOKUP(H451,'Fund Utilization Report'!$A$4:$U$1800,2,FALSE)</f>
        <v>GAA</v>
      </c>
      <c r="U451" s="319" t="str">
        <f>VLOOKUP(H451,'Fund Utilization Report'!$A$4:$U$1800,3,FALSE)</f>
        <v>FY2021, RA11518</v>
      </c>
      <c r="V451" s="319" t="str">
        <f>VLOOKUP(H451,'Fund Utilization Report'!$A$4:$U$1800,4,FALSE)</f>
        <v>OO4.1(FTL)</v>
      </c>
      <c r="W451" s="319" t="str">
        <f>VLOOKUP(H451,'Fund Utilization Report'!$A$4:$U$1800,5,FALSE)</f>
        <v>01101101</v>
      </c>
      <c r="X451" s="319" t="str">
        <f>VLOOKUP(H451,'Fund Utilization Report'!$A$4:$U$1800,6,FALSE)</f>
        <v>GOP</v>
      </c>
      <c r="Y451" s="320" t="str">
        <f>VLOOKUP(H451,'Fund Utilization Report'!$A$4:$U$1800,7,FALSE)</f>
        <v>RLIP</v>
      </c>
      <c r="Z451" s="321" t="str">
        <f>VLOOKUP(H451,'Fund Utilization Report'!$A$4:$U$1800,8,FALSE)</f>
        <v>50103010-00</v>
      </c>
      <c r="AA451" s="319" t="str">
        <f>VLOOKUP(H451,'Fund Utilization Report'!$A$4:$U$1800,14,FALSE)</f>
        <v>340100100002000</v>
      </c>
      <c r="AB451" s="349" t="str">
        <f>VLOOKUP(H451,'Fund Utilization Report'!$A$4:$U$1800,15,FALSE)</f>
        <v>Monitoring and Enforcement of FTL including consumer complaints handling</v>
      </c>
      <c r="AC451" s="39"/>
      <c r="AD451" s="34"/>
      <c r="AE451" s="39"/>
      <c r="AF451" s="51"/>
      <c r="AG451" s="40"/>
      <c r="AH451" s="40"/>
    </row>
    <row r="452" spans="1:34" s="32" customFormat="1" ht="27.6">
      <c r="A452" s="338" t="s">
        <v>942</v>
      </c>
      <c r="B452" s="338" t="s">
        <v>945</v>
      </c>
      <c r="C452" s="358">
        <v>44237</v>
      </c>
      <c r="D452" s="351" t="s">
        <v>1028</v>
      </c>
      <c r="E452" s="352" t="s">
        <v>1112</v>
      </c>
      <c r="F452" s="338">
        <v>0.45416666666666666</v>
      </c>
      <c r="G452" s="338">
        <v>0.46111111111111108</v>
      </c>
      <c r="H452" s="338" t="s">
        <v>973</v>
      </c>
      <c r="I452" s="353">
        <v>732</v>
      </c>
      <c r="J452" s="338" t="str">
        <f>IFERROR(VLOOKUP(I452,'Chart of accounts'!A:H,2,FALSE),"")</f>
        <v>50103020 01</v>
      </c>
      <c r="K452" s="338" t="str">
        <f>IFERROR(VLOOKUP(I452,'Chart of accounts'!A:H,3,FALSE),"")</f>
        <v>Pag-IBIG - Civilian</v>
      </c>
      <c r="L452" s="338" t="str">
        <f>IFERROR(VLOOKUP(I452,'Chart of accounts'!A:H,4,FALSE),"")</f>
        <v>50103020 01 - Pag-IBIG - Civilian (732)</v>
      </c>
      <c r="M452" s="361">
        <v>1</v>
      </c>
      <c r="N452" s="355" t="s">
        <v>10</v>
      </c>
      <c r="O452" s="355" t="s">
        <v>1113</v>
      </c>
      <c r="P452" s="355"/>
      <c r="Q452" s="363">
        <v>500</v>
      </c>
      <c r="R452" s="319">
        <f t="shared" si="6"/>
        <v>-500</v>
      </c>
      <c r="S452" s="319" t="str">
        <f>VLOOKUP(H452,'Fund Utilization Report'!$A$4:$U$1800,13,FALSE)</f>
        <v>PS</v>
      </c>
      <c r="T452" s="319" t="str">
        <f>VLOOKUP(H452,'Fund Utilization Report'!$A$4:$U$1800,2,FALSE)</f>
        <v>GAA</v>
      </c>
      <c r="U452" s="319" t="str">
        <f>VLOOKUP(H452,'Fund Utilization Report'!$A$4:$U$1800,3,FALSE)</f>
        <v>FY2021, RA11518</v>
      </c>
      <c r="V452" s="319" t="str">
        <f>VLOOKUP(H452,'Fund Utilization Report'!$A$4:$U$1800,4,FALSE)</f>
        <v>OO4.1(FTL)</v>
      </c>
      <c r="W452" s="319" t="str">
        <f>VLOOKUP(H452,'Fund Utilization Report'!$A$4:$U$1800,5,FALSE)</f>
        <v>01101101</v>
      </c>
      <c r="X452" s="319" t="str">
        <f>VLOOKUP(H452,'Fund Utilization Report'!$A$4:$U$1800,6,FALSE)</f>
        <v>GOP</v>
      </c>
      <c r="Y452" s="320" t="str">
        <f>VLOOKUP(H452,'Fund Utilization Report'!$A$4:$U$1800,7,FALSE)</f>
        <v>PS</v>
      </c>
      <c r="Z452" s="321">
        <f>VLOOKUP(H452,'Fund Utilization Report'!$A$4:$U$1800,8,FALSE)</f>
        <v>5010000000</v>
      </c>
      <c r="AA452" s="319" t="str">
        <f>VLOOKUP(H452,'Fund Utilization Report'!$A$4:$U$1800,14,FALSE)</f>
        <v>340100100002000</v>
      </c>
      <c r="AB452" s="349" t="str">
        <f>VLOOKUP(H452,'Fund Utilization Report'!$A$4:$U$1800,15,FALSE)</f>
        <v>Monitoring and Enforcement of FTL including consumer complaints handling</v>
      </c>
      <c r="AC452" s="39"/>
      <c r="AD452" s="34"/>
      <c r="AE452" s="39"/>
      <c r="AF452" s="51"/>
      <c r="AG452" s="40"/>
      <c r="AH452" s="40"/>
    </row>
    <row r="453" spans="1:34" s="32" customFormat="1" ht="27.6">
      <c r="A453" s="338" t="s">
        <v>942</v>
      </c>
      <c r="B453" s="338" t="s">
        <v>945</v>
      </c>
      <c r="C453" s="358">
        <v>44237</v>
      </c>
      <c r="D453" s="351" t="s">
        <v>1028</v>
      </c>
      <c r="E453" s="352" t="s">
        <v>1112</v>
      </c>
      <c r="F453" s="338">
        <v>0.45416666666666666</v>
      </c>
      <c r="G453" s="338">
        <v>0.46111111111111108</v>
      </c>
      <c r="H453" s="338" t="s">
        <v>973</v>
      </c>
      <c r="I453" s="353">
        <v>733</v>
      </c>
      <c r="J453" s="338" t="str">
        <f>IFERROR(VLOOKUP(I453,'Chart of accounts'!A:H,2,FALSE),"")</f>
        <v>50103030 01</v>
      </c>
      <c r="K453" s="338" t="str">
        <f>IFERROR(VLOOKUP(I453,'Chart of accounts'!A:H,3,FALSE),"")</f>
        <v>PhilHealth - Civilian</v>
      </c>
      <c r="L453" s="338" t="str">
        <f>IFERROR(VLOOKUP(I453,'Chart of accounts'!A:H,4,FALSE),"")</f>
        <v>50103030 01 - PhilHealth - Civilian (733)</v>
      </c>
      <c r="M453" s="361">
        <v>1</v>
      </c>
      <c r="N453" s="355" t="s">
        <v>10</v>
      </c>
      <c r="O453" s="355" t="s">
        <v>1113</v>
      </c>
      <c r="P453" s="355"/>
      <c r="Q453" s="363">
        <v>3077.52</v>
      </c>
      <c r="R453" s="319">
        <f t="shared" si="6"/>
        <v>-3077.52</v>
      </c>
      <c r="S453" s="319" t="str">
        <f>VLOOKUP(H453,'Fund Utilization Report'!$A$4:$U$1800,13,FALSE)</f>
        <v>PS</v>
      </c>
      <c r="T453" s="319" t="str">
        <f>VLOOKUP(H453,'Fund Utilization Report'!$A$4:$U$1800,2,FALSE)</f>
        <v>GAA</v>
      </c>
      <c r="U453" s="319" t="str">
        <f>VLOOKUP(H453,'Fund Utilization Report'!$A$4:$U$1800,3,FALSE)</f>
        <v>FY2021, RA11518</v>
      </c>
      <c r="V453" s="319" t="str">
        <f>VLOOKUP(H453,'Fund Utilization Report'!$A$4:$U$1800,4,FALSE)</f>
        <v>OO4.1(FTL)</v>
      </c>
      <c r="W453" s="319" t="str">
        <f>VLOOKUP(H453,'Fund Utilization Report'!$A$4:$U$1800,5,FALSE)</f>
        <v>01101101</v>
      </c>
      <c r="X453" s="319" t="str">
        <f>VLOOKUP(H453,'Fund Utilization Report'!$A$4:$U$1800,6,FALSE)</f>
        <v>GOP</v>
      </c>
      <c r="Y453" s="320" t="str">
        <f>VLOOKUP(H453,'Fund Utilization Report'!$A$4:$U$1800,7,FALSE)</f>
        <v>PS</v>
      </c>
      <c r="Z453" s="321">
        <f>VLOOKUP(H453,'Fund Utilization Report'!$A$4:$U$1800,8,FALSE)</f>
        <v>5010000000</v>
      </c>
      <c r="AA453" s="319" t="str">
        <f>VLOOKUP(H453,'Fund Utilization Report'!$A$4:$U$1800,14,FALSE)</f>
        <v>340100100002000</v>
      </c>
      <c r="AB453" s="349" t="str">
        <f>VLOOKUP(H453,'Fund Utilization Report'!$A$4:$U$1800,15,FALSE)</f>
        <v>Monitoring and Enforcement of FTL including consumer complaints handling</v>
      </c>
      <c r="AC453" s="39"/>
      <c r="AD453" s="34"/>
      <c r="AE453" s="39"/>
      <c r="AF453" s="51"/>
      <c r="AG453" s="40"/>
      <c r="AH453" s="40"/>
    </row>
    <row r="454" spans="1:34" s="32" customFormat="1" ht="27.6">
      <c r="A454" s="338" t="s">
        <v>942</v>
      </c>
      <c r="B454" s="338" t="s">
        <v>945</v>
      </c>
      <c r="C454" s="358">
        <v>44237</v>
      </c>
      <c r="D454" s="351" t="s">
        <v>1028</v>
      </c>
      <c r="E454" s="352" t="s">
        <v>1112</v>
      </c>
      <c r="F454" s="338">
        <v>0.45416666666666666</v>
      </c>
      <c r="G454" s="338">
        <v>0.46111111111111108</v>
      </c>
      <c r="H454" s="338" t="s">
        <v>973</v>
      </c>
      <c r="I454" s="353">
        <v>734</v>
      </c>
      <c r="J454" s="338" t="str">
        <f>IFERROR(VLOOKUP(I454,'Chart of accounts'!A:H,2,FALSE),"")</f>
        <v>50103040 01</v>
      </c>
      <c r="K454" s="338" t="str">
        <f>IFERROR(VLOOKUP(I454,'Chart of accounts'!A:H,3,FALSE),"")</f>
        <v>ECIP - Civilian</v>
      </c>
      <c r="L454" s="338" t="str">
        <f>IFERROR(VLOOKUP(I454,'Chart of accounts'!A:H,4,FALSE),"")</f>
        <v>50103040 01 - ECIP - Civilian (734)</v>
      </c>
      <c r="M454" s="361">
        <v>1</v>
      </c>
      <c r="N454" s="355" t="s">
        <v>10</v>
      </c>
      <c r="O454" s="355" t="s">
        <v>1113</v>
      </c>
      <c r="P454" s="355"/>
      <c r="Q454" s="363">
        <v>500</v>
      </c>
      <c r="R454" s="319">
        <f t="shared" si="6"/>
        <v>-500</v>
      </c>
      <c r="S454" s="319" t="str">
        <f>VLOOKUP(H454,'Fund Utilization Report'!$A$4:$U$1800,13,FALSE)</f>
        <v>PS</v>
      </c>
      <c r="T454" s="319" t="str">
        <f>VLOOKUP(H454,'Fund Utilization Report'!$A$4:$U$1800,2,FALSE)</f>
        <v>GAA</v>
      </c>
      <c r="U454" s="319" t="str">
        <f>VLOOKUP(H454,'Fund Utilization Report'!$A$4:$U$1800,3,FALSE)</f>
        <v>FY2021, RA11518</v>
      </c>
      <c r="V454" s="319" t="str">
        <f>VLOOKUP(H454,'Fund Utilization Report'!$A$4:$U$1800,4,FALSE)</f>
        <v>OO4.1(FTL)</v>
      </c>
      <c r="W454" s="319" t="str">
        <f>VLOOKUP(H454,'Fund Utilization Report'!$A$4:$U$1800,5,FALSE)</f>
        <v>01101101</v>
      </c>
      <c r="X454" s="319" t="str">
        <f>VLOOKUP(H454,'Fund Utilization Report'!$A$4:$U$1800,6,FALSE)</f>
        <v>GOP</v>
      </c>
      <c r="Y454" s="320" t="str">
        <f>VLOOKUP(H454,'Fund Utilization Report'!$A$4:$U$1800,7,FALSE)</f>
        <v>PS</v>
      </c>
      <c r="Z454" s="321">
        <f>VLOOKUP(H454,'Fund Utilization Report'!$A$4:$U$1800,8,FALSE)</f>
        <v>5010000000</v>
      </c>
      <c r="AA454" s="319" t="str">
        <f>VLOOKUP(H454,'Fund Utilization Report'!$A$4:$U$1800,14,FALSE)</f>
        <v>340100100002000</v>
      </c>
      <c r="AB454" s="349" t="str">
        <f>VLOOKUP(H454,'Fund Utilization Report'!$A$4:$U$1800,15,FALSE)</f>
        <v>Monitoring and Enforcement of FTL including consumer complaints handling</v>
      </c>
      <c r="AC454" s="39"/>
      <c r="AD454" s="34"/>
      <c r="AE454" s="39"/>
      <c r="AF454" s="51"/>
      <c r="AG454" s="40"/>
      <c r="AH454" s="40"/>
    </row>
    <row r="455" spans="1:34" s="32" customFormat="1" ht="27.6">
      <c r="A455" s="338" t="s">
        <v>942</v>
      </c>
      <c r="B455" s="338" t="s">
        <v>945</v>
      </c>
      <c r="C455" s="358">
        <v>44237</v>
      </c>
      <c r="D455" s="351" t="s">
        <v>1028</v>
      </c>
      <c r="E455" s="352" t="s">
        <v>1114</v>
      </c>
      <c r="F455" s="338">
        <v>0.46111111111111108</v>
      </c>
      <c r="G455" s="338">
        <v>0.46458333333333335</v>
      </c>
      <c r="H455" s="338" t="s">
        <v>960</v>
      </c>
      <c r="I455" s="353">
        <v>701</v>
      </c>
      <c r="J455" s="338" t="str">
        <f>IFERROR(VLOOKUP(I455,'Chart of accounts'!A:H,2,FALSE),"")</f>
        <v>50101010 01</v>
      </c>
      <c r="K455" s="338" t="str">
        <f>IFERROR(VLOOKUP(I455,'Chart of accounts'!A:H,3,FALSE),"")</f>
        <v>Basic Salary - Civilian</v>
      </c>
      <c r="L455" s="338" t="str">
        <f>IFERROR(VLOOKUP(I455,'Chart of accounts'!A:H,4,FALSE),"")</f>
        <v>50101010 01 - Basic Salary - Civilian (701)</v>
      </c>
      <c r="M455" s="361">
        <v>3</v>
      </c>
      <c r="N455" s="355" t="s">
        <v>777</v>
      </c>
      <c r="O455" s="355" t="s">
        <v>1113</v>
      </c>
      <c r="P455" s="355"/>
      <c r="Q455" s="363">
        <v>97270</v>
      </c>
      <c r="R455" s="319">
        <f t="shared" si="6"/>
        <v>-97270</v>
      </c>
      <c r="S455" s="319" t="str">
        <f>VLOOKUP(H455,'Fund Utilization Report'!$A$4:$U$1800,13,FALSE)</f>
        <v>PS</v>
      </c>
      <c r="T455" s="319" t="str">
        <f>VLOOKUP(H455,'Fund Utilization Report'!$A$4:$U$1800,2,FALSE)</f>
        <v>GAA</v>
      </c>
      <c r="U455" s="319" t="str">
        <f>VLOOKUP(H455,'Fund Utilization Report'!$A$4:$U$1800,3,FALSE)</f>
        <v>FY2021, RA11518</v>
      </c>
      <c r="V455" s="319" t="str">
        <f>VLOOKUP(H455,'Fund Utilization Report'!$A$4:$U$1800,4,FALSE)</f>
        <v>GAS(GMS)</v>
      </c>
      <c r="W455" s="319" t="str">
        <f>VLOOKUP(H455,'Fund Utilization Report'!$A$4:$U$1800,5,FALSE)</f>
        <v>01101101</v>
      </c>
      <c r="X455" s="319" t="str">
        <f>VLOOKUP(H455,'Fund Utilization Report'!$A$4:$U$1800,6,FALSE)</f>
        <v>GOP</v>
      </c>
      <c r="Y455" s="320" t="str">
        <f>VLOOKUP(H455,'Fund Utilization Report'!$A$4:$U$1800,7,FALSE)</f>
        <v>PS</v>
      </c>
      <c r="Z455" s="321">
        <f>VLOOKUP(H455,'Fund Utilization Report'!$A$4:$U$1800,8,FALSE)</f>
        <v>5010000000</v>
      </c>
      <c r="AA455" s="319" t="str">
        <f>VLOOKUP(H455,'Fund Utilization Report'!$A$4:$U$1800,14,FALSE)</f>
        <v>100000100001000</v>
      </c>
      <c r="AB455" s="349" t="str">
        <f>VLOOKUP(H455,'Fund Utilization Report'!$A$4:$U$1800,15,FALSE)</f>
        <v>General Administration and Supervision - General Management and Supervision</v>
      </c>
      <c r="AC455" s="39"/>
      <c r="AD455" s="34"/>
      <c r="AE455" s="39"/>
      <c r="AF455" s="51"/>
      <c r="AG455" s="40"/>
      <c r="AH455" s="40"/>
    </row>
    <row r="456" spans="1:34" s="32" customFormat="1" ht="27.6">
      <c r="A456" s="338" t="s">
        <v>942</v>
      </c>
      <c r="B456" s="338" t="s">
        <v>945</v>
      </c>
      <c r="C456" s="358">
        <v>44237</v>
      </c>
      <c r="D456" s="351" t="s">
        <v>1028</v>
      </c>
      <c r="E456" s="352" t="s">
        <v>1114</v>
      </c>
      <c r="F456" s="338">
        <v>0.46111111111111108</v>
      </c>
      <c r="G456" s="338">
        <v>0.46458333333333335</v>
      </c>
      <c r="H456" s="338" t="s">
        <v>960</v>
      </c>
      <c r="I456" s="353">
        <v>711</v>
      </c>
      <c r="J456" s="338" t="str">
        <f>IFERROR(VLOOKUP(I456,'Chart of accounts'!A:H,2,FALSE),"")</f>
        <v>50102010 01</v>
      </c>
      <c r="K456" s="338" t="str">
        <f>IFERROR(VLOOKUP(I456,'Chart of accounts'!A:H,3,FALSE),"")</f>
        <v>PERA - Civilian</v>
      </c>
      <c r="L456" s="338" t="str">
        <f>IFERROR(VLOOKUP(I456,'Chart of accounts'!A:H,4,FALSE),"")</f>
        <v>50102010 01 - PERA - Civilian (711)</v>
      </c>
      <c r="M456" s="361">
        <v>3</v>
      </c>
      <c r="N456" s="355" t="s">
        <v>777</v>
      </c>
      <c r="O456" s="355" t="s">
        <v>1113</v>
      </c>
      <c r="P456" s="355"/>
      <c r="Q456" s="363">
        <v>8000</v>
      </c>
      <c r="R456" s="319">
        <f t="shared" si="6"/>
        <v>-8000</v>
      </c>
      <c r="S456" s="319" t="str">
        <f>VLOOKUP(H456,'Fund Utilization Report'!$A$4:$U$1800,13,FALSE)</f>
        <v>PS</v>
      </c>
      <c r="T456" s="319" t="str">
        <f>VLOOKUP(H456,'Fund Utilization Report'!$A$4:$U$1800,2,FALSE)</f>
        <v>GAA</v>
      </c>
      <c r="U456" s="319" t="str">
        <f>VLOOKUP(H456,'Fund Utilization Report'!$A$4:$U$1800,3,FALSE)</f>
        <v>FY2021, RA11518</v>
      </c>
      <c r="V456" s="319" t="str">
        <f>VLOOKUP(H456,'Fund Utilization Report'!$A$4:$U$1800,4,FALSE)</f>
        <v>GAS(GMS)</v>
      </c>
      <c r="W456" s="319" t="str">
        <f>VLOOKUP(H456,'Fund Utilization Report'!$A$4:$U$1800,5,FALSE)</f>
        <v>01101101</v>
      </c>
      <c r="X456" s="319" t="str">
        <f>VLOOKUP(H456,'Fund Utilization Report'!$A$4:$U$1800,6,FALSE)</f>
        <v>GOP</v>
      </c>
      <c r="Y456" s="320" t="str">
        <f>VLOOKUP(H456,'Fund Utilization Report'!$A$4:$U$1800,7,FALSE)</f>
        <v>PS</v>
      </c>
      <c r="Z456" s="321">
        <f>VLOOKUP(H456,'Fund Utilization Report'!$A$4:$U$1800,8,FALSE)</f>
        <v>5010000000</v>
      </c>
      <c r="AA456" s="319" t="str">
        <f>VLOOKUP(H456,'Fund Utilization Report'!$A$4:$U$1800,14,FALSE)</f>
        <v>100000100001000</v>
      </c>
      <c r="AB456" s="349" t="str">
        <f>VLOOKUP(H456,'Fund Utilization Report'!$A$4:$U$1800,15,FALSE)</f>
        <v>General Administration and Supervision - General Management and Supervision</v>
      </c>
      <c r="AC456" s="39"/>
      <c r="AD456" s="34"/>
      <c r="AE456" s="39"/>
      <c r="AF456" s="51"/>
      <c r="AG456" s="40"/>
      <c r="AH456" s="40"/>
    </row>
    <row r="457" spans="1:34" s="32" customFormat="1" ht="27.6">
      <c r="A457" s="338" t="s">
        <v>942</v>
      </c>
      <c r="B457" s="338" t="s">
        <v>945</v>
      </c>
      <c r="C457" s="358">
        <v>44237</v>
      </c>
      <c r="D457" s="351" t="s">
        <v>1028</v>
      </c>
      <c r="E457" s="352" t="s">
        <v>1114</v>
      </c>
      <c r="F457" s="338">
        <v>0.46111111111111108</v>
      </c>
      <c r="G457" s="338">
        <v>0.46458333333333335</v>
      </c>
      <c r="H457" s="338" t="s">
        <v>962</v>
      </c>
      <c r="I457" s="353">
        <v>731</v>
      </c>
      <c r="J457" s="338" t="str">
        <f>IFERROR(VLOOKUP(I457,'Chart of accounts'!A:H,2,FALSE),"")</f>
        <v>50103010 00</v>
      </c>
      <c r="K457" s="338" t="str">
        <f>IFERROR(VLOOKUP(I457,'Chart of accounts'!A:H,3,FALSE),"")</f>
        <v>Retirement and Life Insurance Premiums</v>
      </c>
      <c r="L457" s="338" t="str">
        <f>IFERROR(VLOOKUP(I457,'Chart of accounts'!A:H,4,FALSE),"")</f>
        <v>50103010 00 - Retirement and Life Insurance Premiums (731)</v>
      </c>
      <c r="M457" s="361">
        <v>3</v>
      </c>
      <c r="N457" s="355" t="s">
        <v>777</v>
      </c>
      <c r="O457" s="355" t="s">
        <v>1113</v>
      </c>
      <c r="P457" s="355"/>
      <c r="Q457" s="363">
        <v>11672.4</v>
      </c>
      <c r="R457" s="319">
        <f t="shared" si="6"/>
        <v>-11672.4</v>
      </c>
      <c r="S457" s="319" t="str">
        <f>VLOOKUP(H457,'Fund Utilization Report'!$A$4:$U$1800,13,FALSE)</f>
        <v>PS</v>
      </c>
      <c r="T457" s="319" t="str">
        <f>VLOOKUP(H457,'Fund Utilization Report'!$A$4:$U$1800,2,FALSE)</f>
        <v>GAA</v>
      </c>
      <c r="U457" s="319" t="str">
        <f>VLOOKUP(H457,'Fund Utilization Report'!$A$4:$U$1800,3,FALSE)</f>
        <v>FY2021, RA11518</v>
      </c>
      <c r="V457" s="319" t="str">
        <f>VLOOKUP(H457,'Fund Utilization Report'!$A$4:$U$1800,4,FALSE)</f>
        <v>GAS(GMS)</v>
      </c>
      <c r="W457" s="319" t="str">
        <f>VLOOKUP(H457,'Fund Utilization Report'!$A$4:$U$1800,5,FALSE)</f>
        <v>01101101</v>
      </c>
      <c r="X457" s="319" t="str">
        <f>VLOOKUP(H457,'Fund Utilization Report'!$A$4:$U$1800,6,FALSE)</f>
        <v>GOP</v>
      </c>
      <c r="Y457" s="320" t="str">
        <f>VLOOKUP(H457,'Fund Utilization Report'!$A$4:$U$1800,7,FALSE)</f>
        <v>RLIP</v>
      </c>
      <c r="Z457" s="321" t="str">
        <f>VLOOKUP(H457,'Fund Utilization Report'!$A$4:$U$1800,8,FALSE)</f>
        <v>50103010-00</v>
      </c>
      <c r="AA457" s="319" t="str">
        <f>VLOOKUP(H457,'Fund Utilization Report'!$A$4:$U$1800,14,FALSE)</f>
        <v>100000100001000</v>
      </c>
      <c r="AB457" s="349" t="str">
        <f>VLOOKUP(H457,'Fund Utilization Report'!$A$4:$U$1800,15,FALSE)</f>
        <v>General Administration and Supervision - General Management and Supervision</v>
      </c>
      <c r="AC457" s="39"/>
      <c r="AD457" s="34"/>
      <c r="AE457" s="39"/>
      <c r="AF457" s="51"/>
      <c r="AG457" s="40"/>
      <c r="AH457" s="40"/>
    </row>
    <row r="458" spans="1:34" s="32" customFormat="1" ht="27.6">
      <c r="A458" s="338" t="s">
        <v>942</v>
      </c>
      <c r="B458" s="338" t="s">
        <v>945</v>
      </c>
      <c r="C458" s="358">
        <v>44237</v>
      </c>
      <c r="D458" s="351" t="s">
        <v>1028</v>
      </c>
      <c r="E458" s="352" t="s">
        <v>1114</v>
      </c>
      <c r="F458" s="338">
        <v>0.46111111111111108</v>
      </c>
      <c r="G458" s="338">
        <v>0.46458333333333335</v>
      </c>
      <c r="H458" s="338" t="s">
        <v>960</v>
      </c>
      <c r="I458" s="353">
        <v>732</v>
      </c>
      <c r="J458" s="338" t="str">
        <f>IFERROR(VLOOKUP(I458,'Chart of accounts'!A:H,2,FALSE),"")</f>
        <v>50103020 01</v>
      </c>
      <c r="K458" s="338" t="str">
        <f>IFERROR(VLOOKUP(I458,'Chart of accounts'!A:H,3,FALSE),"")</f>
        <v>Pag-IBIG - Civilian</v>
      </c>
      <c r="L458" s="338" t="str">
        <f>IFERROR(VLOOKUP(I458,'Chart of accounts'!A:H,4,FALSE),"")</f>
        <v>50103020 01 - Pag-IBIG - Civilian (732)</v>
      </c>
      <c r="M458" s="361">
        <v>3</v>
      </c>
      <c r="N458" s="355" t="s">
        <v>777</v>
      </c>
      <c r="O458" s="355" t="s">
        <v>1113</v>
      </c>
      <c r="P458" s="355"/>
      <c r="Q458" s="363">
        <v>400</v>
      </c>
      <c r="R458" s="319">
        <f t="shared" si="6"/>
        <v>-400</v>
      </c>
      <c r="S458" s="319" t="str">
        <f>VLOOKUP(H458,'Fund Utilization Report'!$A$4:$U$1800,13,FALSE)</f>
        <v>PS</v>
      </c>
      <c r="T458" s="319" t="str">
        <f>VLOOKUP(H458,'Fund Utilization Report'!$A$4:$U$1800,2,FALSE)</f>
        <v>GAA</v>
      </c>
      <c r="U458" s="319" t="str">
        <f>VLOOKUP(H458,'Fund Utilization Report'!$A$4:$U$1800,3,FALSE)</f>
        <v>FY2021, RA11518</v>
      </c>
      <c r="V458" s="319" t="str">
        <f>VLOOKUP(H458,'Fund Utilization Report'!$A$4:$U$1800,4,FALSE)</f>
        <v>GAS(GMS)</v>
      </c>
      <c r="W458" s="319" t="str">
        <f>VLOOKUP(H458,'Fund Utilization Report'!$A$4:$U$1800,5,FALSE)</f>
        <v>01101101</v>
      </c>
      <c r="X458" s="319" t="str">
        <f>VLOOKUP(H458,'Fund Utilization Report'!$A$4:$U$1800,6,FALSE)</f>
        <v>GOP</v>
      </c>
      <c r="Y458" s="320" t="str">
        <f>VLOOKUP(H458,'Fund Utilization Report'!$A$4:$U$1800,7,FALSE)</f>
        <v>PS</v>
      </c>
      <c r="Z458" s="321">
        <f>VLOOKUP(H458,'Fund Utilization Report'!$A$4:$U$1800,8,FALSE)</f>
        <v>5010000000</v>
      </c>
      <c r="AA458" s="319" t="str">
        <f>VLOOKUP(H458,'Fund Utilization Report'!$A$4:$U$1800,14,FALSE)</f>
        <v>100000100001000</v>
      </c>
      <c r="AB458" s="349" t="str">
        <f>VLOOKUP(H458,'Fund Utilization Report'!$A$4:$U$1800,15,FALSE)</f>
        <v>General Administration and Supervision - General Management and Supervision</v>
      </c>
      <c r="AC458" s="39"/>
      <c r="AD458" s="34"/>
      <c r="AE458" s="39"/>
      <c r="AF458" s="51"/>
      <c r="AG458" s="40"/>
      <c r="AH458" s="40"/>
    </row>
    <row r="459" spans="1:34" s="32" customFormat="1" ht="27.6">
      <c r="A459" s="338" t="s">
        <v>942</v>
      </c>
      <c r="B459" s="338" t="s">
        <v>945</v>
      </c>
      <c r="C459" s="358">
        <v>44237</v>
      </c>
      <c r="D459" s="351" t="s">
        <v>1028</v>
      </c>
      <c r="E459" s="352" t="s">
        <v>1114</v>
      </c>
      <c r="F459" s="338">
        <v>0.46111111111111108</v>
      </c>
      <c r="G459" s="338">
        <v>0.46458333333333335</v>
      </c>
      <c r="H459" s="338" t="s">
        <v>960</v>
      </c>
      <c r="I459" s="353">
        <v>733</v>
      </c>
      <c r="J459" s="338" t="str">
        <f>IFERROR(VLOOKUP(I459,'Chart of accounts'!A:H,2,FALSE),"")</f>
        <v>50103030 01</v>
      </c>
      <c r="K459" s="338" t="str">
        <f>IFERROR(VLOOKUP(I459,'Chart of accounts'!A:H,3,FALSE),"")</f>
        <v>PhilHealth - Civilian</v>
      </c>
      <c r="L459" s="338" t="str">
        <f>IFERROR(VLOOKUP(I459,'Chart of accounts'!A:H,4,FALSE),"")</f>
        <v>50103030 01 - PhilHealth - Civilian (733)</v>
      </c>
      <c r="M459" s="361">
        <v>3</v>
      </c>
      <c r="N459" s="355" t="s">
        <v>777</v>
      </c>
      <c r="O459" s="355" t="s">
        <v>1113</v>
      </c>
      <c r="P459" s="355"/>
      <c r="Q459" s="363">
        <v>1450.46</v>
      </c>
      <c r="R459" s="319">
        <f t="shared" si="6"/>
        <v>-1450.46</v>
      </c>
      <c r="S459" s="319" t="str">
        <f>VLOOKUP(H459,'Fund Utilization Report'!$A$4:$U$1800,13,FALSE)</f>
        <v>PS</v>
      </c>
      <c r="T459" s="319" t="str">
        <f>VLOOKUP(H459,'Fund Utilization Report'!$A$4:$U$1800,2,FALSE)</f>
        <v>GAA</v>
      </c>
      <c r="U459" s="319" t="str">
        <f>VLOOKUP(H459,'Fund Utilization Report'!$A$4:$U$1800,3,FALSE)</f>
        <v>FY2021, RA11518</v>
      </c>
      <c r="V459" s="319" t="str">
        <f>VLOOKUP(H459,'Fund Utilization Report'!$A$4:$U$1800,4,FALSE)</f>
        <v>GAS(GMS)</v>
      </c>
      <c r="W459" s="319" t="str">
        <f>VLOOKUP(H459,'Fund Utilization Report'!$A$4:$U$1800,5,FALSE)</f>
        <v>01101101</v>
      </c>
      <c r="X459" s="319" t="str">
        <f>VLOOKUP(H459,'Fund Utilization Report'!$A$4:$U$1800,6,FALSE)</f>
        <v>GOP</v>
      </c>
      <c r="Y459" s="320" t="str">
        <f>VLOOKUP(H459,'Fund Utilization Report'!$A$4:$U$1800,7,FALSE)</f>
        <v>PS</v>
      </c>
      <c r="Z459" s="321">
        <f>VLOOKUP(H459,'Fund Utilization Report'!$A$4:$U$1800,8,FALSE)</f>
        <v>5010000000</v>
      </c>
      <c r="AA459" s="319" t="str">
        <f>VLOOKUP(H459,'Fund Utilization Report'!$A$4:$U$1800,14,FALSE)</f>
        <v>100000100001000</v>
      </c>
      <c r="AB459" s="349" t="str">
        <f>VLOOKUP(H459,'Fund Utilization Report'!$A$4:$U$1800,15,FALSE)</f>
        <v>General Administration and Supervision - General Management and Supervision</v>
      </c>
      <c r="AC459" s="39"/>
      <c r="AD459" s="34"/>
      <c r="AE459" s="39"/>
      <c r="AF459" s="51"/>
      <c r="AG459" s="40"/>
      <c r="AH459" s="40"/>
    </row>
    <row r="460" spans="1:34" s="32" customFormat="1" ht="27.6">
      <c r="A460" s="338" t="s">
        <v>942</v>
      </c>
      <c r="B460" s="338" t="s">
        <v>945</v>
      </c>
      <c r="C460" s="358">
        <v>44237</v>
      </c>
      <c r="D460" s="351" t="s">
        <v>1028</v>
      </c>
      <c r="E460" s="352" t="s">
        <v>1114</v>
      </c>
      <c r="F460" s="338">
        <v>0.46111111111111108</v>
      </c>
      <c r="G460" s="338">
        <v>0.46458333333333335</v>
      </c>
      <c r="H460" s="338" t="s">
        <v>960</v>
      </c>
      <c r="I460" s="353">
        <v>734</v>
      </c>
      <c r="J460" s="338" t="str">
        <f>IFERROR(VLOOKUP(I460,'Chart of accounts'!A:H,2,FALSE),"")</f>
        <v>50103040 01</v>
      </c>
      <c r="K460" s="338" t="str">
        <f>IFERROR(VLOOKUP(I460,'Chart of accounts'!A:H,3,FALSE),"")</f>
        <v>ECIP - Civilian</v>
      </c>
      <c r="L460" s="338" t="str">
        <f>IFERROR(VLOOKUP(I460,'Chart of accounts'!A:H,4,FALSE),"")</f>
        <v>50103040 01 - ECIP - Civilian (734)</v>
      </c>
      <c r="M460" s="361">
        <v>3</v>
      </c>
      <c r="N460" s="355" t="s">
        <v>777</v>
      </c>
      <c r="O460" s="355" t="s">
        <v>1113</v>
      </c>
      <c r="P460" s="355"/>
      <c r="Q460" s="363">
        <v>400</v>
      </c>
      <c r="R460" s="319">
        <f t="shared" si="6"/>
        <v>-400</v>
      </c>
      <c r="S460" s="319" t="str">
        <f>VLOOKUP(H460,'Fund Utilization Report'!$A$4:$U$1800,13,FALSE)</f>
        <v>PS</v>
      </c>
      <c r="T460" s="319" t="str">
        <f>VLOOKUP(H460,'Fund Utilization Report'!$A$4:$U$1800,2,FALSE)</f>
        <v>GAA</v>
      </c>
      <c r="U460" s="319" t="str">
        <f>VLOOKUP(H460,'Fund Utilization Report'!$A$4:$U$1800,3,FALSE)</f>
        <v>FY2021, RA11518</v>
      </c>
      <c r="V460" s="319" t="str">
        <f>VLOOKUP(H460,'Fund Utilization Report'!$A$4:$U$1800,4,FALSE)</f>
        <v>GAS(GMS)</v>
      </c>
      <c r="W460" s="319" t="str">
        <f>VLOOKUP(H460,'Fund Utilization Report'!$A$4:$U$1800,5,FALSE)</f>
        <v>01101101</v>
      </c>
      <c r="X460" s="319" t="str">
        <f>VLOOKUP(H460,'Fund Utilization Report'!$A$4:$U$1800,6,FALSE)</f>
        <v>GOP</v>
      </c>
      <c r="Y460" s="320" t="str">
        <f>VLOOKUP(H460,'Fund Utilization Report'!$A$4:$U$1800,7,FALSE)</f>
        <v>PS</v>
      </c>
      <c r="Z460" s="321">
        <f>VLOOKUP(H460,'Fund Utilization Report'!$A$4:$U$1800,8,FALSE)</f>
        <v>5010000000</v>
      </c>
      <c r="AA460" s="319" t="str">
        <f>VLOOKUP(H460,'Fund Utilization Report'!$A$4:$U$1800,14,FALSE)</f>
        <v>100000100001000</v>
      </c>
      <c r="AB460" s="349" t="str">
        <f>VLOOKUP(H460,'Fund Utilization Report'!$A$4:$U$1800,15,FALSE)</f>
        <v>General Administration and Supervision - General Management and Supervision</v>
      </c>
      <c r="AC460" s="39"/>
      <c r="AD460" s="34"/>
      <c r="AE460" s="39"/>
      <c r="AF460" s="51"/>
      <c r="AG460" s="40"/>
      <c r="AH460" s="40"/>
    </row>
    <row r="461" spans="1:34" s="32" customFormat="1" ht="27.6">
      <c r="A461" s="338" t="s">
        <v>942</v>
      </c>
      <c r="B461" s="338" t="s">
        <v>945</v>
      </c>
      <c r="C461" s="358">
        <v>44237</v>
      </c>
      <c r="D461" s="351" t="s">
        <v>1028</v>
      </c>
      <c r="E461" s="352" t="s">
        <v>1114</v>
      </c>
      <c r="F461" s="338">
        <v>0.46111111111111108</v>
      </c>
      <c r="G461" s="338">
        <v>0.46458333333333335</v>
      </c>
      <c r="H461" s="338" t="s">
        <v>964</v>
      </c>
      <c r="I461" s="353">
        <v>701</v>
      </c>
      <c r="J461" s="338" t="str">
        <f>IFERROR(VLOOKUP(I461,'Chart of accounts'!A:H,2,FALSE),"")</f>
        <v>50101010 01</v>
      </c>
      <c r="K461" s="338" t="str">
        <f>IFERROR(VLOOKUP(I461,'Chart of accounts'!A:H,3,FALSE),"")</f>
        <v>Basic Salary - Civilian</v>
      </c>
      <c r="L461" s="338" t="str">
        <f>IFERROR(VLOOKUP(I461,'Chart of accounts'!A:H,4,FALSE),"")</f>
        <v>50101010 01 - Basic Salary - Civilian (701)</v>
      </c>
      <c r="M461" s="361">
        <v>3</v>
      </c>
      <c r="N461" s="355" t="s">
        <v>777</v>
      </c>
      <c r="O461" s="355" t="s">
        <v>1113</v>
      </c>
      <c r="P461" s="355"/>
      <c r="Q461" s="363">
        <v>44184</v>
      </c>
      <c r="R461" s="319">
        <f t="shared" si="6"/>
        <v>-44184</v>
      </c>
      <c r="S461" s="319" t="str">
        <f>VLOOKUP(H461,'Fund Utilization Report'!$A$4:$U$1800,13,FALSE)</f>
        <v>PS</v>
      </c>
      <c r="T461" s="319" t="str">
        <f>VLOOKUP(H461,'Fund Utilization Report'!$A$4:$U$1800,2,FALSE)</f>
        <v>GAA</v>
      </c>
      <c r="U461" s="319" t="str">
        <f>VLOOKUP(H461,'Fund Utilization Report'!$A$4:$U$1800,3,FALSE)</f>
        <v>FY2021, RA11518</v>
      </c>
      <c r="V461" s="319" t="str">
        <f>VLOOKUP(H461,'Fund Utilization Report'!$A$4:$U$1800,4,FALSE)</f>
        <v>OO1</v>
      </c>
      <c r="W461" s="319" t="str">
        <f>VLOOKUP(H461,'Fund Utilization Report'!$A$4:$U$1800,5,FALSE)</f>
        <v>01101101</v>
      </c>
      <c r="X461" s="319" t="str">
        <f>VLOOKUP(H461,'Fund Utilization Report'!$A$4:$U$1800,6,FALSE)</f>
        <v>GOP</v>
      </c>
      <c r="Y461" s="320" t="str">
        <f>VLOOKUP(H461,'Fund Utilization Report'!$A$4:$U$1800,7,FALSE)</f>
        <v>PS</v>
      </c>
      <c r="Z461" s="321">
        <f>VLOOKUP(H461,'Fund Utilization Report'!$A$4:$U$1800,8,FALSE)</f>
        <v>5010000000</v>
      </c>
      <c r="AA461" s="319" t="str">
        <f>VLOOKUP(H461,'Fund Utilization Report'!$A$4:$U$1800,14,FALSE)</f>
        <v>310100100002000</v>
      </c>
      <c r="AB461" s="349" t="str">
        <f>VLOOKUP(H461,'Fund Utilization Report'!$A$4:$U$1800,15,FALSE)</f>
        <v>Development,Facilitation, and promotion of exports and investment, domestic and foreign</v>
      </c>
      <c r="AC461" s="39"/>
      <c r="AD461" s="34"/>
      <c r="AE461" s="39"/>
      <c r="AF461" s="51"/>
      <c r="AG461" s="40"/>
      <c r="AH461" s="40"/>
    </row>
    <row r="462" spans="1:34" s="32" customFormat="1" ht="27.6">
      <c r="A462" s="338" t="s">
        <v>942</v>
      </c>
      <c r="B462" s="338" t="s">
        <v>945</v>
      </c>
      <c r="C462" s="358">
        <v>44237</v>
      </c>
      <c r="D462" s="351" t="s">
        <v>1028</v>
      </c>
      <c r="E462" s="352" t="s">
        <v>1114</v>
      </c>
      <c r="F462" s="338">
        <v>0.46111111111111108</v>
      </c>
      <c r="G462" s="338">
        <v>0.46458333333333335</v>
      </c>
      <c r="H462" s="338" t="s">
        <v>964</v>
      </c>
      <c r="I462" s="353">
        <v>711</v>
      </c>
      <c r="J462" s="338" t="str">
        <f>IFERROR(VLOOKUP(I462,'Chart of accounts'!A:H,2,FALSE),"")</f>
        <v>50102010 01</v>
      </c>
      <c r="K462" s="338" t="str">
        <f>IFERROR(VLOOKUP(I462,'Chart of accounts'!A:H,3,FALSE),"")</f>
        <v>PERA - Civilian</v>
      </c>
      <c r="L462" s="338" t="str">
        <f>IFERROR(VLOOKUP(I462,'Chart of accounts'!A:H,4,FALSE),"")</f>
        <v>50102010 01 - PERA - Civilian (711)</v>
      </c>
      <c r="M462" s="361">
        <v>3</v>
      </c>
      <c r="N462" s="355" t="s">
        <v>777</v>
      </c>
      <c r="O462" s="355" t="s">
        <v>1113</v>
      </c>
      <c r="P462" s="355"/>
      <c r="Q462" s="363">
        <v>2000</v>
      </c>
      <c r="R462" s="319">
        <f t="shared" si="6"/>
        <v>-2000</v>
      </c>
      <c r="S462" s="319" t="str">
        <f>VLOOKUP(H462,'Fund Utilization Report'!$A$4:$U$1800,13,FALSE)</f>
        <v>PS</v>
      </c>
      <c r="T462" s="319" t="str">
        <f>VLOOKUP(H462,'Fund Utilization Report'!$A$4:$U$1800,2,FALSE)</f>
        <v>GAA</v>
      </c>
      <c r="U462" s="319" t="str">
        <f>VLOOKUP(H462,'Fund Utilization Report'!$A$4:$U$1800,3,FALSE)</f>
        <v>FY2021, RA11518</v>
      </c>
      <c r="V462" s="319" t="str">
        <f>VLOOKUP(H462,'Fund Utilization Report'!$A$4:$U$1800,4,FALSE)</f>
        <v>OO1</v>
      </c>
      <c r="W462" s="319" t="str">
        <f>VLOOKUP(H462,'Fund Utilization Report'!$A$4:$U$1800,5,FALSE)</f>
        <v>01101101</v>
      </c>
      <c r="X462" s="319" t="str">
        <f>VLOOKUP(H462,'Fund Utilization Report'!$A$4:$U$1800,6,FALSE)</f>
        <v>GOP</v>
      </c>
      <c r="Y462" s="320" t="str">
        <f>VLOOKUP(H462,'Fund Utilization Report'!$A$4:$U$1800,7,FALSE)</f>
        <v>PS</v>
      </c>
      <c r="Z462" s="321">
        <f>VLOOKUP(H462,'Fund Utilization Report'!$A$4:$U$1800,8,FALSE)</f>
        <v>5010000000</v>
      </c>
      <c r="AA462" s="319" t="str">
        <f>VLOOKUP(H462,'Fund Utilization Report'!$A$4:$U$1800,14,FALSE)</f>
        <v>310100100002000</v>
      </c>
      <c r="AB462" s="349" t="str">
        <f>VLOOKUP(H462,'Fund Utilization Report'!$A$4:$U$1800,15,FALSE)</f>
        <v>Development,Facilitation, and promotion of exports and investment, domestic and foreign</v>
      </c>
      <c r="AC462" s="39"/>
      <c r="AD462" s="34"/>
      <c r="AE462" s="39"/>
      <c r="AF462" s="51"/>
      <c r="AG462" s="40"/>
      <c r="AH462" s="40"/>
    </row>
    <row r="463" spans="1:34" s="32" customFormat="1" ht="27.6">
      <c r="A463" s="338" t="s">
        <v>942</v>
      </c>
      <c r="B463" s="338" t="s">
        <v>945</v>
      </c>
      <c r="C463" s="358">
        <v>44237</v>
      </c>
      <c r="D463" s="351" t="s">
        <v>1028</v>
      </c>
      <c r="E463" s="352" t="s">
        <v>1114</v>
      </c>
      <c r="F463" s="338">
        <v>0.46111111111111108</v>
      </c>
      <c r="G463" s="338">
        <v>0.46458333333333335</v>
      </c>
      <c r="H463" s="338" t="s">
        <v>966</v>
      </c>
      <c r="I463" s="353">
        <v>731</v>
      </c>
      <c r="J463" s="338" t="str">
        <f>IFERROR(VLOOKUP(I463,'Chart of accounts'!A:H,2,FALSE),"")</f>
        <v>50103010 00</v>
      </c>
      <c r="K463" s="338" t="str">
        <f>IFERROR(VLOOKUP(I463,'Chart of accounts'!A:H,3,FALSE),"")</f>
        <v>Retirement and Life Insurance Premiums</v>
      </c>
      <c r="L463" s="338" t="str">
        <f>IFERROR(VLOOKUP(I463,'Chart of accounts'!A:H,4,FALSE),"")</f>
        <v>50103010 00 - Retirement and Life Insurance Premiums (731)</v>
      </c>
      <c r="M463" s="361">
        <v>3</v>
      </c>
      <c r="N463" s="355" t="s">
        <v>777</v>
      </c>
      <c r="O463" s="355" t="s">
        <v>1113</v>
      </c>
      <c r="P463" s="355"/>
      <c r="Q463" s="363">
        <v>5302.08</v>
      </c>
      <c r="R463" s="319">
        <f t="shared" si="6"/>
        <v>-5302.08</v>
      </c>
      <c r="S463" s="319" t="str">
        <f>VLOOKUP(H463,'Fund Utilization Report'!$A$4:$U$1800,13,FALSE)</f>
        <v>PS</v>
      </c>
      <c r="T463" s="319" t="str">
        <f>VLOOKUP(H463,'Fund Utilization Report'!$A$4:$U$1800,2,FALSE)</f>
        <v>GAA</v>
      </c>
      <c r="U463" s="319" t="str">
        <f>VLOOKUP(H463,'Fund Utilization Report'!$A$4:$U$1800,3,FALSE)</f>
        <v>FY2021, RA11518</v>
      </c>
      <c r="V463" s="319" t="str">
        <f>VLOOKUP(H463,'Fund Utilization Report'!$A$4:$U$1800,4,FALSE)</f>
        <v>OO1</v>
      </c>
      <c r="W463" s="319" t="str">
        <f>VLOOKUP(H463,'Fund Utilization Report'!$A$4:$U$1800,5,FALSE)</f>
        <v>01101101</v>
      </c>
      <c r="X463" s="319" t="str">
        <f>VLOOKUP(H463,'Fund Utilization Report'!$A$4:$U$1800,6,FALSE)</f>
        <v>GOP</v>
      </c>
      <c r="Y463" s="320" t="str">
        <f>VLOOKUP(H463,'Fund Utilization Report'!$A$4:$U$1800,7,FALSE)</f>
        <v>RLIP</v>
      </c>
      <c r="Z463" s="321" t="str">
        <f>VLOOKUP(H463,'Fund Utilization Report'!$A$4:$U$1800,8,FALSE)</f>
        <v>50103010-00</v>
      </c>
      <c r="AA463" s="319" t="str">
        <f>VLOOKUP(H463,'Fund Utilization Report'!$A$4:$U$1800,14,FALSE)</f>
        <v>310100100002000</v>
      </c>
      <c r="AB463" s="349" t="str">
        <f>VLOOKUP(H463,'Fund Utilization Report'!$A$4:$U$1800,15,FALSE)</f>
        <v>Development,Facilitation, and promotion of exports and investment, domestic and foreign</v>
      </c>
      <c r="AC463" s="39"/>
      <c r="AD463" s="34"/>
      <c r="AE463" s="39"/>
      <c r="AF463" s="51"/>
      <c r="AG463" s="40"/>
      <c r="AH463" s="40"/>
    </row>
    <row r="464" spans="1:34" s="32" customFormat="1" ht="27.6">
      <c r="A464" s="338" t="s">
        <v>942</v>
      </c>
      <c r="B464" s="338" t="s">
        <v>945</v>
      </c>
      <c r="C464" s="358">
        <v>44237</v>
      </c>
      <c r="D464" s="351" t="s">
        <v>1028</v>
      </c>
      <c r="E464" s="352" t="s">
        <v>1114</v>
      </c>
      <c r="F464" s="338">
        <v>0.46111111111111108</v>
      </c>
      <c r="G464" s="338">
        <v>0.46458333333333335</v>
      </c>
      <c r="H464" s="338" t="s">
        <v>964</v>
      </c>
      <c r="I464" s="353">
        <v>732</v>
      </c>
      <c r="J464" s="338" t="str">
        <f>IFERROR(VLOOKUP(I464,'Chart of accounts'!A:H,2,FALSE),"")</f>
        <v>50103020 01</v>
      </c>
      <c r="K464" s="338" t="str">
        <f>IFERROR(VLOOKUP(I464,'Chart of accounts'!A:H,3,FALSE),"")</f>
        <v>Pag-IBIG - Civilian</v>
      </c>
      <c r="L464" s="338" t="str">
        <f>IFERROR(VLOOKUP(I464,'Chart of accounts'!A:H,4,FALSE),"")</f>
        <v>50103020 01 - Pag-IBIG - Civilian (732)</v>
      </c>
      <c r="M464" s="361">
        <v>3</v>
      </c>
      <c r="N464" s="355" t="s">
        <v>777</v>
      </c>
      <c r="O464" s="355" t="s">
        <v>1113</v>
      </c>
      <c r="P464" s="355"/>
      <c r="Q464" s="363">
        <v>100</v>
      </c>
      <c r="R464" s="319">
        <f t="shared" si="6"/>
        <v>-100</v>
      </c>
      <c r="S464" s="319" t="str">
        <f>VLOOKUP(H464,'Fund Utilization Report'!$A$4:$U$1800,13,FALSE)</f>
        <v>PS</v>
      </c>
      <c r="T464" s="319" t="str">
        <f>VLOOKUP(H464,'Fund Utilization Report'!$A$4:$U$1800,2,FALSE)</f>
        <v>GAA</v>
      </c>
      <c r="U464" s="319" t="str">
        <f>VLOOKUP(H464,'Fund Utilization Report'!$A$4:$U$1800,3,FALSE)</f>
        <v>FY2021, RA11518</v>
      </c>
      <c r="V464" s="319" t="str">
        <f>VLOOKUP(H464,'Fund Utilization Report'!$A$4:$U$1800,4,FALSE)</f>
        <v>OO1</v>
      </c>
      <c r="W464" s="319" t="str">
        <f>VLOOKUP(H464,'Fund Utilization Report'!$A$4:$U$1800,5,FALSE)</f>
        <v>01101101</v>
      </c>
      <c r="X464" s="319" t="str">
        <f>VLOOKUP(H464,'Fund Utilization Report'!$A$4:$U$1800,6,FALSE)</f>
        <v>GOP</v>
      </c>
      <c r="Y464" s="320" t="str">
        <f>VLOOKUP(H464,'Fund Utilization Report'!$A$4:$U$1800,7,FALSE)</f>
        <v>PS</v>
      </c>
      <c r="Z464" s="321">
        <f>VLOOKUP(H464,'Fund Utilization Report'!$A$4:$U$1800,8,FALSE)</f>
        <v>5010000000</v>
      </c>
      <c r="AA464" s="319" t="str">
        <f>VLOOKUP(H464,'Fund Utilization Report'!$A$4:$U$1800,14,FALSE)</f>
        <v>310100100002000</v>
      </c>
      <c r="AB464" s="349" t="str">
        <f>VLOOKUP(H464,'Fund Utilization Report'!$A$4:$U$1800,15,FALSE)</f>
        <v>Development,Facilitation, and promotion of exports and investment, domestic and foreign</v>
      </c>
      <c r="AC464" s="39"/>
      <c r="AD464" s="34"/>
      <c r="AE464" s="39"/>
      <c r="AF464" s="51"/>
      <c r="AG464" s="40"/>
      <c r="AH464" s="40"/>
    </row>
    <row r="465" spans="1:34" s="32" customFormat="1" ht="27.6">
      <c r="A465" s="338" t="s">
        <v>942</v>
      </c>
      <c r="B465" s="338" t="s">
        <v>945</v>
      </c>
      <c r="C465" s="358">
        <v>44237</v>
      </c>
      <c r="D465" s="351" t="s">
        <v>1028</v>
      </c>
      <c r="E465" s="352" t="s">
        <v>1114</v>
      </c>
      <c r="F465" s="338">
        <v>0.46111111111111108</v>
      </c>
      <c r="G465" s="338">
        <v>0.46458333333333335</v>
      </c>
      <c r="H465" s="338" t="s">
        <v>964</v>
      </c>
      <c r="I465" s="353">
        <v>733</v>
      </c>
      <c r="J465" s="338" t="str">
        <f>IFERROR(VLOOKUP(I465,'Chart of accounts'!A:H,2,FALSE),"")</f>
        <v>50103030 01</v>
      </c>
      <c r="K465" s="338" t="str">
        <f>IFERROR(VLOOKUP(I465,'Chart of accounts'!A:H,3,FALSE),"")</f>
        <v>PhilHealth - Civilian</v>
      </c>
      <c r="L465" s="338" t="str">
        <f>IFERROR(VLOOKUP(I465,'Chart of accounts'!A:H,4,FALSE),"")</f>
        <v>50103030 01 - PhilHealth - Civilian (733)</v>
      </c>
      <c r="M465" s="361">
        <v>3</v>
      </c>
      <c r="N465" s="355" t="s">
        <v>777</v>
      </c>
      <c r="O465" s="355" t="s">
        <v>1113</v>
      </c>
      <c r="P465" s="355"/>
      <c r="Q465" s="363">
        <v>662.76</v>
      </c>
      <c r="R465" s="319">
        <f t="shared" si="6"/>
        <v>-662.76</v>
      </c>
      <c r="S465" s="319" t="str">
        <f>VLOOKUP(H465,'Fund Utilization Report'!$A$4:$U$1800,13,FALSE)</f>
        <v>PS</v>
      </c>
      <c r="T465" s="319" t="str">
        <f>VLOOKUP(H465,'Fund Utilization Report'!$A$4:$U$1800,2,FALSE)</f>
        <v>GAA</v>
      </c>
      <c r="U465" s="319" t="str">
        <f>VLOOKUP(H465,'Fund Utilization Report'!$A$4:$U$1800,3,FALSE)</f>
        <v>FY2021, RA11518</v>
      </c>
      <c r="V465" s="319" t="str">
        <f>VLOOKUP(H465,'Fund Utilization Report'!$A$4:$U$1800,4,FALSE)</f>
        <v>OO1</v>
      </c>
      <c r="W465" s="319" t="str">
        <f>VLOOKUP(H465,'Fund Utilization Report'!$A$4:$U$1800,5,FALSE)</f>
        <v>01101101</v>
      </c>
      <c r="X465" s="319" t="str">
        <f>VLOOKUP(H465,'Fund Utilization Report'!$A$4:$U$1800,6,FALSE)</f>
        <v>GOP</v>
      </c>
      <c r="Y465" s="320" t="str">
        <f>VLOOKUP(H465,'Fund Utilization Report'!$A$4:$U$1800,7,FALSE)</f>
        <v>PS</v>
      </c>
      <c r="Z465" s="321">
        <f>VLOOKUP(H465,'Fund Utilization Report'!$A$4:$U$1800,8,FALSE)</f>
        <v>5010000000</v>
      </c>
      <c r="AA465" s="319" t="str">
        <f>VLOOKUP(H465,'Fund Utilization Report'!$A$4:$U$1800,14,FALSE)</f>
        <v>310100100002000</v>
      </c>
      <c r="AB465" s="349" t="str">
        <f>VLOOKUP(H465,'Fund Utilization Report'!$A$4:$U$1800,15,FALSE)</f>
        <v>Development,Facilitation, and promotion of exports and investment, domestic and foreign</v>
      </c>
      <c r="AC465" s="39"/>
      <c r="AD465" s="34"/>
      <c r="AE465" s="39"/>
      <c r="AF465" s="51"/>
      <c r="AG465" s="40"/>
      <c r="AH465" s="40"/>
    </row>
    <row r="466" spans="1:34" s="32" customFormat="1" ht="27.6">
      <c r="A466" s="338" t="s">
        <v>942</v>
      </c>
      <c r="B466" s="338" t="s">
        <v>945</v>
      </c>
      <c r="C466" s="358">
        <v>44237</v>
      </c>
      <c r="D466" s="351" t="s">
        <v>1028</v>
      </c>
      <c r="E466" s="352" t="s">
        <v>1114</v>
      </c>
      <c r="F466" s="338">
        <v>0.46111111111111108</v>
      </c>
      <c r="G466" s="338">
        <v>0.46458333333333335</v>
      </c>
      <c r="H466" s="338" t="s">
        <v>964</v>
      </c>
      <c r="I466" s="353">
        <v>734</v>
      </c>
      <c r="J466" s="338" t="str">
        <f>IFERROR(VLOOKUP(I466,'Chart of accounts'!A:H,2,FALSE),"")</f>
        <v>50103040 01</v>
      </c>
      <c r="K466" s="338" t="str">
        <f>IFERROR(VLOOKUP(I466,'Chart of accounts'!A:H,3,FALSE),"")</f>
        <v>ECIP - Civilian</v>
      </c>
      <c r="L466" s="338" t="str">
        <f>IFERROR(VLOOKUP(I466,'Chart of accounts'!A:H,4,FALSE),"")</f>
        <v>50103040 01 - ECIP - Civilian (734)</v>
      </c>
      <c r="M466" s="361">
        <v>3</v>
      </c>
      <c r="N466" s="355" t="s">
        <v>777</v>
      </c>
      <c r="O466" s="355" t="s">
        <v>1113</v>
      </c>
      <c r="P466" s="355"/>
      <c r="Q466" s="363">
        <v>100</v>
      </c>
      <c r="R466" s="319">
        <f t="shared" si="6"/>
        <v>-100</v>
      </c>
      <c r="S466" s="319" t="str">
        <f>VLOOKUP(H466,'Fund Utilization Report'!$A$4:$U$1800,13,FALSE)</f>
        <v>PS</v>
      </c>
      <c r="T466" s="319" t="str">
        <f>VLOOKUP(H466,'Fund Utilization Report'!$A$4:$U$1800,2,FALSE)</f>
        <v>GAA</v>
      </c>
      <c r="U466" s="319" t="str">
        <f>VLOOKUP(H466,'Fund Utilization Report'!$A$4:$U$1800,3,FALSE)</f>
        <v>FY2021, RA11518</v>
      </c>
      <c r="V466" s="319" t="str">
        <f>VLOOKUP(H466,'Fund Utilization Report'!$A$4:$U$1800,4,FALSE)</f>
        <v>OO1</v>
      </c>
      <c r="W466" s="319" t="str">
        <f>VLOOKUP(H466,'Fund Utilization Report'!$A$4:$U$1800,5,FALSE)</f>
        <v>01101101</v>
      </c>
      <c r="X466" s="319" t="str">
        <f>VLOOKUP(H466,'Fund Utilization Report'!$A$4:$U$1800,6,FALSE)</f>
        <v>GOP</v>
      </c>
      <c r="Y466" s="320" t="str">
        <f>VLOOKUP(H466,'Fund Utilization Report'!$A$4:$U$1800,7,FALSE)</f>
        <v>PS</v>
      </c>
      <c r="Z466" s="321">
        <f>VLOOKUP(H466,'Fund Utilization Report'!$A$4:$U$1800,8,FALSE)</f>
        <v>5010000000</v>
      </c>
      <c r="AA466" s="319" t="str">
        <f>VLOOKUP(H466,'Fund Utilization Report'!$A$4:$U$1800,14,FALSE)</f>
        <v>310100100002000</v>
      </c>
      <c r="AB466" s="349" t="str">
        <f>VLOOKUP(H466,'Fund Utilization Report'!$A$4:$U$1800,15,FALSE)</f>
        <v>Development,Facilitation, and promotion of exports and investment, domestic and foreign</v>
      </c>
      <c r="AC466" s="39"/>
      <c r="AD466" s="34"/>
      <c r="AE466" s="39"/>
      <c r="AF466" s="51"/>
      <c r="AG466" s="40"/>
      <c r="AH466" s="40"/>
    </row>
    <row r="467" spans="1:34" s="32" customFormat="1" ht="27.6">
      <c r="A467" s="338" t="s">
        <v>942</v>
      </c>
      <c r="B467" s="338" t="s">
        <v>945</v>
      </c>
      <c r="C467" s="358">
        <v>44237</v>
      </c>
      <c r="D467" s="351" t="s">
        <v>1028</v>
      </c>
      <c r="E467" s="352" t="s">
        <v>1114</v>
      </c>
      <c r="F467" s="338">
        <v>0.46111111111111108</v>
      </c>
      <c r="G467" s="338">
        <v>0.46458333333333335</v>
      </c>
      <c r="H467" s="338" t="s">
        <v>970</v>
      </c>
      <c r="I467" s="353">
        <v>701</v>
      </c>
      <c r="J467" s="338" t="str">
        <f>IFERROR(VLOOKUP(I467,'Chart of accounts'!A:H,2,FALSE),"")</f>
        <v>50101010 01</v>
      </c>
      <c r="K467" s="338" t="str">
        <f>IFERROR(VLOOKUP(I467,'Chart of accounts'!A:H,3,FALSE),"")</f>
        <v>Basic Salary - Civilian</v>
      </c>
      <c r="L467" s="338" t="str">
        <f>IFERROR(VLOOKUP(I467,'Chart of accounts'!A:H,4,FALSE),"")</f>
        <v>50101010 01 - Basic Salary - Civilian (701)</v>
      </c>
      <c r="M467" s="361">
        <v>3</v>
      </c>
      <c r="N467" s="355" t="s">
        <v>777</v>
      </c>
      <c r="O467" s="355" t="s">
        <v>1113</v>
      </c>
      <c r="P467" s="355"/>
      <c r="Q467" s="363">
        <v>67911</v>
      </c>
      <c r="R467" s="319">
        <f t="shared" si="6"/>
        <v>-67911</v>
      </c>
      <c r="S467" s="319" t="str">
        <f>VLOOKUP(H467,'Fund Utilization Report'!$A$4:$U$1800,13,FALSE)</f>
        <v>PS</v>
      </c>
      <c r="T467" s="319" t="str">
        <f>VLOOKUP(H467,'Fund Utilization Report'!$A$4:$U$1800,2,FALSE)</f>
        <v>GAA</v>
      </c>
      <c r="U467" s="319" t="str">
        <f>VLOOKUP(H467,'Fund Utilization Report'!$A$4:$U$1800,3,FALSE)</f>
        <v>FY2021, RA11518</v>
      </c>
      <c r="V467" s="319" t="str">
        <f>VLOOKUP(H467,'Fund Utilization Report'!$A$4:$U$1800,4,FALSE)</f>
        <v>OO3</v>
      </c>
      <c r="W467" s="319" t="str">
        <f>VLOOKUP(H467,'Fund Utilization Report'!$A$4:$U$1800,5,FALSE)</f>
        <v>01101101</v>
      </c>
      <c r="X467" s="319" t="str">
        <f>VLOOKUP(H467,'Fund Utilization Report'!$A$4:$U$1800,6,FALSE)</f>
        <v>GOP</v>
      </c>
      <c r="Y467" s="320" t="str">
        <f>VLOOKUP(H467,'Fund Utilization Report'!$A$4:$U$1800,7,FALSE)</f>
        <v>PS</v>
      </c>
      <c r="Z467" s="321">
        <f>VLOOKUP(H467,'Fund Utilization Report'!$A$4:$U$1800,8,FALSE)</f>
        <v>5010000000</v>
      </c>
      <c r="AA467" s="319" t="str">
        <f>VLOOKUP(H467,'Fund Utilization Report'!$A$4:$U$1800,14,FALSE)</f>
        <v>330100100002000</v>
      </c>
      <c r="AB467" s="349" t="str">
        <f>VLOOKUP(H467,'Fund Utilization Report'!$A$4:$U$1800,15,FALSE)</f>
        <v>Implementation of the MSME Development Plan and other initiatives to promote the growth of Micro, Small and Medium Enterprises</v>
      </c>
      <c r="AC467" s="39"/>
      <c r="AD467" s="34"/>
      <c r="AE467" s="39"/>
      <c r="AF467" s="51"/>
      <c r="AG467" s="40"/>
      <c r="AH467" s="40"/>
    </row>
    <row r="468" spans="1:34" s="32" customFormat="1" ht="27.6">
      <c r="A468" s="338" t="s">
        <v>942</v>
      </c>
      <c r="B468" s="338" t="s">
        <v>945</v>
      </c>
      <c r="C468" s="358">
        <v>44237</v>
      </c>
      <c r="D468" s="351" t="s">
        <v>1028</v>
      </c>
      <c r="E468" s="352" t="s">
        <v>1114</v>
      </c>
      <c r="F468" s="338">
        <v>0.46111111111111108</v>
      </c>
      <c r="G468" s="338">
        <v>0.46458333333333335</v>
      </c>
      <c r="H468" s="338" t="s">
        <v>970</v>
      </c>
      <c r="I468" s="353">
        <v>711</v>
      </c>
      <c r="J468" s="338" t="str">
        <f>IFERROR(VLOOKUP(I468,'Chart of accounts'!A:H,2,FALSE),"")</f>
        <v>50102010 01</v>
      </c>
      <c r="K468" s="338" t="str">
        <f>IFERROR(VLOOKUP(I468,'Chart of accounts'!A:H,3,FALSE),"")</f>
        <v>PERA - Civilian</v>
      </c>
      <c r="L468" s="338" t="str">
        <f>IFERROR(VLOOKUP(I468,'Chart of accounts'!A:H,4,FALSE),"")</f>
        <v>50102010 01 - PERA - Civilian (711)</v>
      </c>
      <c r="M468" s="361">
        <v>3</v>
      </c>
      <c r="N468" s="355" t="s">
        <v>777</v>
      </c>
      <c r="O468" s="355" t="s">
        <v>1113</v>
      </c>
      <c r="P468" s="355"/>
      <c r="Q468" s="363">
        <v>4000</v>
      </c>
      <c r="R468" s="319">
        <f t="shared" si="6"/>
        <v>-4000</v>
      </c>
      <c r="S468" s="319" t="str">
        <f>VLOOKUP(H468,'Fund Utilization Report'!$A$4:$U$1800,13,FALSE)</f>
        <v>PS</v>
      </c>
      <c r="T468" s="319" t="str">
        <f>VLOOKUP(H468,'Fund Utilization Report'!$A$4:$U$1800,2,FALSE)</f>
        <v>GAA</v>
      </c>
      <c r="U468" s="319" t="str">
        <f>VLOOKUP(H468,'Fund Utilization Report'!$A$4:$U$1800,3,FALSE)</f>
        <v>FY2021, RA11518</v>
      </c>
      <c r="V468" s="319" t="str">
        <f>VLOOKUP(H468,'Fund Utilization Report'!$A$4:$U$1800,4,FALSE)</f>
        <v>OO3</v>
      </c>
      <c r="W468" s="319" t="str">
        <f>VLOOKUP(H468,'Fund Utilization Report'!$A$4:$U$1800,5,FALSE)</f>
        <v>01101101</v>
      </c>
      <c r="X468" s="319" t="str">
        <f>VLOOKUP(H468,'Fund Utilization Report'!$A$4:$U$1800,6,FALSE)</f>
        <v>GOP</v>
      </c>
      <c r="Y468" s="320" t="str">
        <f>VLOOKUP(H468,'Fund Utilization Report'!$A$4:$U$1800,7,FALSE)</f>
        <v>PS</v>
      </c>
      <c r="Z468" s="321">
        <f>VLOOKUP(H468,'Fund Utilization Report'!$A$4:$U$1800,8,FALSE)</f>
        <v>5010000000</v>
      </c>
      <c r="AA468" s="319" t="str">
        <f>VLOOKUP(H468,'Fund Utilization Report'!$A$4:$U$1800,14,FALSE)</f>
        <v>330100100002000</v>
      </c>
      <c r="AB468" s="349" t="str">
        <f>VLOOKUP(H468,'Fund Utilization Report'!$A$4:$U$1800,15,FALSE)</f>
        <v>Implementation of the MSME Development Plan and other initiatives to promote the growth of Micro, Small and Medium Enterprises</v>
      </c>
      <c r="AC468" s="39"/>
      <c r="AD468" s="34"/>
      <c r="AE468" s="39"/>
      <c r="AF468" s="51"/>
      <c r="AG468" s="40"/>
      <c r="AH468" s="40"/>
    </row>
    <row r="469" spans="1:34" s="32" customFormat="1" ht="27.6">
      <c r="A469" s="338" t="s">
        <v>942</v>
      </c>
      <c r="B469" s="338" t="s">
        <v>945</v>
      </c>
      <c r="C469" s="358">
        <v>44237</v>
      </c>
      <c r="D469" s="351" t="s">
        <v>1028</v>
      </c>
      <c r="E469" s="352" t="s">
        <v>1114</v>
      </c>
      <c r="F469" s="338">
        <v>0.46111111111111108</v>
      </c>
      <c r="G469" s="338">
        <v>0.46458333333333335</v>
      </c>
      <c r="H469" s="338" t="s">
        <v>972</v>
      </c>
      <c r="I469" s="353">
        <v>731</v>
      </c>
      <c r="J469" s="338" t="str">
        <f>IFERROR(VLOOKUP(I469,'Chart of accounts'!A:H,2,FALSE),"")</f>
        <v>50103010 00</v>
      </c>
      <c r="K469" s="338" t="str">
        <f>IFERROR(VLOOKUP(I469,'Chart of accounts'!A:H,3,FALSE),"")</f>
        <v>Retirement and Life Insurance Premiums</v>
      </c>
      <c r="L469" s="338" t="str">
        <f>IFERROR(VLOOKUP(I469,'Chart of accounts'!A:H,4,FALSE),"")</f>
        <v>50103010 00 - Retirement and Life Insurance Premiums (731)</v>
      </c>
      <c r="M469" s="361">
        <v>3</v>
      </c>
      <c r="N469" s="355" t="s">
        <v>777</v>
      </c>
      <c r="O469" s="355" t="s">
        <v>1113</v>
      </c>
      <c r="P469" s="355"/>
      <c r="Q469" s="363">
        <v>8149.32</v>
      </c>
      <c r="R469" s="319">
        <f t="shared" si="6"/>
        <v>-8149.32</v>
      </c>
      <c r="S469" s="319" t="str">
        <f>VLOOKUP(H469,'Fund Utilization Report'!$A$4:$U$1800,13,FALSE)</f>
        <v>PS</v>
      </c>
      <c r="T469" s="319" t="str">
        <f>VLOOKUP(H469,'Fund Utilization Report'!$A$4:$U$1800,2,FALSE)</f>
        <v>GAA</v>
      </c>
      <c r="U469" s="319" t="str">
        <f>VLOOKUP(H469,'Fund Utilization Report'!$A$4:$U$1800,3,FALSE)</f>
        <v>FY2021, RA11518</v>
      </c>
      <c r="V469" s="319" t="str">
        <f>VLOOKUP(H469,'Fund Utilization Report'!$A$4:$U$1800,4,FALSE)</f>
        <v>OO3</v>
      </c>
      <c r="W469" s="319" t="str">
        <f>VLOOKUP(H469,'Fund Utilization Report'!$A$4:$U$1800,5,FALSE)</f>
        <v>01101101</v>
      </c>
      <c r="X469" s="319" t="str">
        <f>VLOOKUP(H469,'Fund Utilization Report'!$A$4:$U$1800,6,FALSE)</f>
        <v>GOP</v>
      </c>
      <c r="Y469" s="320" t="str">
        <f>VLOOKUP(H469,'Fund Utilization Report'!$A$4:$U$1800,7,FALSE)</f>
        <v>RLIP</v>
      </c>
      <c r="Z469" s="321" t="str">
        <f>VLOOKUP(H469,'Fund Utilization Report'!$A$4:$U$1800,8,FALSE)</f>
        <v>50103010-00</v>
      </c>
      <c r="AA469" s="319" t="str">
        <f>VLOOKUP(H469,'Fund Utilization Report'!$A$4:$U$1800,14,FALSE)</f>
        <v>330100100002000</v>
      </c>
      <c r="AB469" s="349" t="str">
        <f>VLOOKUP(H469,'Fund Utilization Report'!$A$4:$U$1800,15,FALSE)</f>
        <v>Implementation of the MSME Development Plan and other initiatives to promote the growth of Micro, Small and Medium Enterprises</v>
      </c>
      <c r="AC469" s="39"/>
      <c r="AD469" s="34"/>
      <c r="AE469" s="39"/>
      <c r="AF469" s="51"/>
      <c r="AG469" s="40"/>
      <c r="AH469" s="40"/>
    </row>
    <row r="470" spans="1:34" s="32" customFormat="1" ht="27.6">
      <c r="A470" s="338" t="s">
        <v>942</v>
      </c>
      <c r="B470" s="338" t="s">
        <v>945</v>
      </c>
      <c r="C470" s="358">
        <v>44237</v>
      </c>
      <c r="D470" s="351" t="s">
        <v>1028</v>
      </c>
      <c r="E470" s="352" t="s">
        <v>1114</v>
      </c>
      <c r="F470" s="338">
        <v>0.46111111111111108</v>
      </c>
      <c r="G470" s="338">
        <v>0.46458333333333335</v>
      </c>
      <c r="H470" s="338" t="s">
        <v>970</v>
      </c>
      <c r="I470" s="353">
        <v>732</v>
      </c>
      <c r="J470" s="338" t="str">
        <f>IFERROR(VLOOKUP(I470,'Chart of accounts'!A:H,2,FALSE),"")</f>
        <v>50103020 01</v>
      </c>
      <c r="K470" s="338" t="str">
        <f>IFERROR(VLOOKUP(I470,'Chart of accounts'!A:H,3,FALSE),"")</f>
        <v>Pag-IBIG - Civilian</v>
      </c>
      <c r="L470" s="338" t="str">
        <f>IFERROR(VLOOKUP(I470,'Chart of accounts'!A:H,4,FALSE),"")</f>
        <v>50103020 01 - Pag-IBIG - Civilian (732)</v>
      </c>
      <c r="M470" s="361">
        <v>3</v>
      </c>
      <c r="N470" s="355" t="s">
        <v>777</v>
      </c>
      <c r="O470" s="355" t="s">
        <v>1113</v>
      </c>
      <c r="P470" s="355"/>
      <c r="Q470" s="363">
        <v>200</v>
      </c>
      <c r="R470" s="319">
        <f t="shared" si="6"/>
        <v>-200</v>
      </c>
      <c r="S470" s="319" t="str">
        <f>VLOOKUP(H470,'Fund Utilization Report'!$A$4:$U$1800,13,FALSE)</f>
        <v>PS</v>
      </c>
      <c r="T470" s="319" t="str">
        <f>VLOOKUP(H470,'Fund Utilization Report'!$A$4:$U$1800,2,FALSE)</f>
        <v>GAA</v>
      </c>
      <c r="U470" s="319" t="str">
        <f>VLOOKUP(H470,'Fund Utilization Report'!$A$4:$U$1800,3,FALSE)</f>
        <v>FY2021, RA11518</v>
      </c>
      <c r="V470" s="319" t="str">
        <f>VLOOKUP(H470,'Fund Utilization Report'!$A$4:$U$1800,4,FALSE)</f>
        <v>OO3</v>
      </c>
      <c r="W470" s="319" t="str">
        <f>VLOOKUP(H470,'Fund Utilization Report'!$A$4:$U$1800,5,FALSE)</f>
        <v>01101101</v>
      </c>
      <c r="X470" s="319" t="str">
        <f>VLOOKUP(H470,'Fund Utilization Report'!$A$4:$U$1800,6,FALSE)</f>
        <v>GOP</v>
      </c>
      <c r="Y470" s="320" t="str">
        <f>VLOOKUP(H470,'Fund Utilization Report'!$A$4:$U$1800,7,FALSE)</f>
        <v>PS</v>
      </c>
      <c r="Z470" s="321">
        <f>VLOOKUP(H470,'Fund Utilization Report'!$A$4:$U$1800,8,FALSE)</f>
        <v>5010000000</v>
      </c>
      <c r="AA470" s="319" t="str">
        <f>VLOOKUP(H470,'Fund Utilization Report'!$A$4:$U$1800,14,FALSE)</f>
        <v>330100100002000</v>
      </c>
      <c r="AB470" s="349" t="str">
        <f>VLOOKUP(H470,'Fund Utilization Report'!$A$4:$U$1800,15,FALSE)</f>
        <v>Implementation of the MSME Development Plan and other initiatives to promote the growth of Micro, Small and Medium Enterprises</v>
      </c>
      <c r="AC470" s="39"/>
      <c r="AD470" s="34"/>
      <c r="AE470" s="39"/>
      <c r="AF470" s="51"/>
      <c r="AG470" s="40"/>
      <c r="AH470" s="40"/>
    </row>
    <row r="471" spans="1:34" s="32" customFormat="1" ht="27.6">
      <c r="A471" s="338" t="s">
        <v>942</v>
      </c>
      <c r="B471" s="338" t="s">
        <v>945</v>
      </c>
      <c r="C471" s="358">
        <v>44237</v>
      </c>
      <c r="D471" s="351" t="s">
        <v>1028</v>
      </c>
      <c r="E471" s="352" t="s">
        <v>1114</v>
      </c>
      <c r="F471" s="338">
        <v>0.46111111111111108</v>
      </c>
      <c r="G471" s="338">
        <v>0.46458333333333335</v>
      </c>
      <c r="H471" s="338" t="s">
        <v>970</v>
      </c>
      <c r="I471" s="353">
        <v>733</v>
      </c>
      <c r="J471" s="338" t="str">
        <f>IFERROR(VLOOKUP(I471,'Chart of accounts'!A:H,2,FALSE),"")</f>
        <v>50103030 01</v>
      </c>
      <c r="K471" s="338" t="str">
        <f>IFERROR(VLOOKUP(I471,'Chart of accounts'!A:H,3,FALSE),"")</f>
        <v>PhilHealth - Civilian</v>
      </c>
      <c r="L471" s="338" t="str">
        <f>IFERROR(VLOOKUP(I471,'Chart of accounts'!A:H,4,FALSE),"")</f>
        <v>50103030 01 - PhilHealth - Civilian (733)</v>
      </c>
      <c r="M471" s="361">
        <v>3</v>
      </c>
      <c r="N471" s="355" t="s">
        <v>777</v>
      </c>
      <c r="O471" s="355" t="s">
        <v>1113</v>
      </c>
      <c r="P471" s="355"/>
      <c r="Q471" s="363">
        <v>1018.67</v>
      </c>
      <c r="R471" s="319">
        <f t="shared" ref="R471:R531" si="7">P471-Q471</f>
        <v>-1018.67</v>
      </c>
      <c r="S471" s="319" t="str">
        <f>VLOOKUP(H471,'Fund Utilization Report'!$A$4:$U$1800,13,FALSE)</f>
        <v>PS</v>
      </c>
      <c r="T471" s="319" t="str">
        <f>VLOOKUP(H471,'Fund Utilization Report'!$A$4:$U$1800,2,FALSE)</f>
        <v>GAA</v>
      </c>
      <c r="U471" s="319" t="str">
        <f>VLOOKUP(H471,'Fund Utilization Report'!$A$4:$U$1800,3,FALSE)</f>
        <v>FY2021, RA11518</v>
      </c>
      <c r="V471" s="319" t="str">
        <f>VLOOKUP(H471,'Fund Utilization Report'!$A$4:$U$1800,4,FALSE)</f>
        <v>OO3</v>
      </c>
      <c r="W471" s="319" t="str">
        <f>VLOOKUP(H471,'Fund Utilization Report'!$A$4:$U$1800,5,FALSE)</f>
        <v>01101101</v>
      </c>
      <c r="X471" s="319" t="str">
        <f>VLOOKUP(H471,'Fund Utilization Report'!$A$4:$U$1800,6,FALSE)</f>
        <v>GOP</v>
      </c>
      <c r="Y471" s="320" t="str">
        <f>VLOOKUP(H471,'Fund Utilization Report'!$A$4:$U$1800,7,FALSE)</f>
        <v>PS</v>
      </c>
      <c r="Z471" s="321">
        <f>VLOOKUP(H471,'Fund Utilization Report'!$A$4:$U$1800,8,FALSE)</f>
        <v>5010000000</v>
      </c>
      <c r="AA471" s="319" t="str">
        <f>VLOOKUP(H471,'Fund Utilization Report'!$A$4:$U$1800,14,FALSE)</f>
        <v>330100100002000</v>
      </c>
      <c r="AB471" s="349" t="str">
        <f>VLOOKUP(H471,'Fund Utilization Report'!$A$4:$U$1800,15,FALSE)</f>
        <v>Implementation of the MSME Development Plan and other initiatives to promote the growth of Micro, Small and Medium Enterprises</v>
      </c>
      <c r="AC471" s="39"/>
      <c r="AD471" s="34"/>
      <c r="AE471" s="39"/>
      <c r="AF471" s="51"/>
      <c r="AG471" s="40"/>
      <c r="AH471" s="40"/>
    </row>
    <row r="472" spans="1:34" s="32" customFormat="1" ht="27.6">
      <c r="A472" s="338" t="s">
        <v>942</v>
      </c>
      <c r="B472" s="338" t="s">
        <v>945</v>
      </c>
      <c r="C472" s="358">
        <v>44237</v>
      </c>
      <c r="D472" s="351" t="s">
        <v>1028</v>
      </c>
      <c r="E472" s="352" t="s">
        <v>1114</v>
      </c>
      <c r="F472" s="338">
        <v>0.46111111111111108</v>
      </c>
      <c r="G472" s="338">
        <v>0.46458333333333335</v>
      </c>
      <c r="H472" s="338" t="s">
        <v>970</v>
      </c>
      <c r="I472" s="353">
        <v>734</v>
      </c>
      <c r="J472" s="338" t="str">
        <f>IFERROR(VLOOKUP(I472,'Chart of accounts'!A:H,2,FALSE),"")</f>
        <v>50103040 01</v>
      </c>
      <c r="K472" s="338" t="str">
        <f>IFERROR(VLOOKUP(I472,'Chart of accounts'!A:H,3,FALSE),"")</f>
        <v>ECIP - Civilian</v>
      </c>
      <c r="L472" s="338" t="str">
        <f>IFERROR(VLOOKUP(I472,'Chart of accounts'!A:H,4,FALSE),"")</f>
        <v>50103040 01 - ECIP - Civilian (734)</v>
      </c>
      <c r="M472" s="361">
        <v>3</v>
      </c>
      <c r="N472" s="355" t="s">
        <v>777</v>
      </c>
      <c r="O472" s="355" t="s">
        <v>1113</v>
      </c>
      <c r="P472" s="355"/>
      <c r="Q472" s="363">
        <v>200</v>
      </c>
      <c r="R472" s="319">
        <f t="shared" si="7"/>
        <v>-200</v>
      </c>
      <c r="S472" s="319" t="str">
        <f>VLOOKUP(H472,'Fund Utilization Report'!$A$4:$U$1800,13,FALSE)</f>
        <v>PS</v>
      </c>
      <c r="T472" s="319" t="str">
        <f>VLOOKUP(H472,'Fund Utilization Report'!$A$4:$U$1800,2,FALSE)</f>
        <v>GAA</v>
      </c>
      <c r="U472" s="319" t="str">
        <f>VLOOKUP(H472,'Fund Utilization Report'!$A$4:$U$1800,3,FALSE)</f>
        <v>FY2021, RA11518</v>
      </c>
      <c r="V472" s="319" t="str">
        <f>VLOOKUP(H472,'Fund Utilization Report'!$A$4:$U$1800,4,FALSE)</f>
        <v>OO3</v>
      </c>
      <c r="W472" s="319" t="str">
        <f>VLOOKUP(H472,'Fund Utilization Report'!$A$4:$U$1800,5,FALSE)</f>
        <v>01101101</v>
      </c>
      <c r="X472" s="319" t="str">
        <f>VLOOKUP(H472,'Fund Utilization Report'!$A$4:$U$1800,6,FALSE)</f>
        <v>GOP</v>
      </c>
      <c r="Y472" s="320" t="str">
        <f>VLOOKUP(H472,'Fund Utilization Report'!$A$4:$U$1800,7,FALSE)</f>
        <v>PS</v>
      </c>
      <c r="Z472" s="321">
        <f>VLOOKUP(H472,'Fund Utilization Report'!$A$4:$U$1800,8,FALSE)</f>
        <v>5010000000</v>
      </c>
      <c r="AA472" s="319" t="str">
        <f>VLOOKUP(H472,'Fund Utilization Report'!$A$4:$U$1800,14,FALSE)</f>
        <v>330100100002000</v>
      </c>
      <c r="AB472" s="349" t="str">
        <f>VLOOKUP(H472,'Fund Utilization Report'!$A$4:$U$1800,15,FALSE)</f>
        <v>Implementation of the MSME Development Plan and other initiatives to promote the growth of Micro, Small and Medium Enterprises</v>
      </c>
      <c r="AC472" s="39"/>
      <c r="AD472" s="34"/>
      <c r="AE472" s="39"/>
      <c r="AF472" s="51"/>
      <c r="AG472" s="40"/>
      <c r="AH472" s="40"/>
    </row>
    <row r="473" spans="1:34" s="32" customFormat="1" ht="27.6">
      <c r="A473" s="338" t="s">
        <v>942</v>
      </c>
      <c r="B473" s="338" t="s">
        <v>945</v>
      </c>
      <c r="C473" s="358">
        <v>44237</v>
      </c>
      <c r="D473" s="351" t="s">
        <v>1028</v>
      </c>
      <c r="E473" s="352" t="s">
        <v>1114</v>
      </c>
      <c r="F473" s="338">
        <v>0.46111111111111108</v>
      </c>
      <c r="G473" s="338">
        <v>0.46458333333333335</v>
      </c>
      <c r="H473" s="338" t="s">
        <v>973</v>
      </c>
      <c r="I473" s="353">
        <v>701</v>
      </c>
      <c r="J473" s="338" t="str">
        <f>IFERROR(VLOOKUP(I473,'Chart of accounts'!A:H,2,FALSE),"")</f>
        <v>50101010 01</v>
      </c>
      <c r="K473" s="338" t="str">
        <f>IFERROR(VLOOKUP(I473,'Chart of accounts'!A:H,3,FALSE),"")</f>
        <v>Basic Salary - Civilian</v>
      </c>
      <c r="L473" s="338" t="str">
        <f>IFERROR(VLOOKUP(I473,'Chart of accounts'!A:H,4,FALSE),"")</f>
        <v>50101010 01 - Basic Salary - Civilian (701)</v>
      </c>
      <c r="M473" s="361">
        <v>3</v>
      </c>
      <c r="N473" s="355" t="s">
        <v>777</v>
      </c>
      <c r="O473" s="355" t="s">
        <v>1113</v>
      </c>
      <c r="P473" s="355"/>
      <c r="Q473" s="363">
        <v>149727</v>
      </c>
      <c r="R473" s="319">
        <f t="shared" si="7"/>
        <v>-149727</v>
      </c>
      <c r="S473" s="319" t="str">
        <f>VLOOKUP(H473,'Fund Utilization Report'!$A$4:$U$1800,13,FALSE)</f>
        <v>PS</v>
      </c>
      <c r="T473" s="319" t="str">
        <f>VLOOKUP(H473,'Fund Utilization Report'!$A$4:$U$1800,2,FALSE)</f>
        <v>GAA</v>
      </c>
      <c r="U473" s="319" t="str">
        <f>VLOOKUP(H473,'Fund Utilization Report'!$A$4:$U$1800,3,FALSE)</f>
        <v>FY2021, RA11518</v>
      </c>
      <c r="V473" s="319" t="str">
        <f>VLOOKUP(H473,'Fund Utilization Report'!$A$4:$U$1800,4,FALSE)</f>
        <v>OO4.1(FTL)</v>
      </c>
      <c r="W473" s="319" t="str">
        <f>VLOOKUP(H473,'Fund Utilization Report'!$A$4:$U$1800,5,FALSE)</f>
        <v>01101101</v>
      </c>
      <c r="X473" s="319" t="str">
        <f>VLOOKUP(H473,'Fund Utilization Report'!$A$4:$U$1800,6,FALSE)</f>
        <v>GOP</v>
      </c>
      <c r="Y473" s="320" t="str">
        <f>VLOOKUP(H473,'Fund Utilization Report'!$A$4:$U$1800,7,FALSE)</f>
        <v>PS</v>
      </c>
      <c r="Z473" s="321">
        <f>VLOOKUP(H473,'Fund Utilization Report'!$A$4:$U$1800,8,FALSE)</f>
        <v>5010000000</v>
      </c>
      <c r="AA473" s="319" t="str">
        <f>VLOOKUP(H473,'Fund Utilization Report'!$A$4:$U$1800,14,FALSE)</f>
        <v>340100100002000</v>
      </c>
      <c r="AB473" s="349" t="str">
        <f>VLOOKUP(H473,'Fund Utilization Report'!$A$4:$U$1800,15,FALSE)</f>
        <v>Monitoring and Enforcement of FTL including consumer complaints handling</v>
      </c>
      <c r="AC473" s="39"/>
      <c r="AD473" s="34"/>
      <c r="AE473" s="39"/>
      <c r="AF473" s="51"/>
      <c r="AG473" s="40"/>
      <c r="AH473" s="40"/>
    </row>
    <row r="474" spans="1:34" s="32" customFormat="1" ht="27.6">
      <c r="A474" s="338" t="s">
        <v>942</v>
      </c>
      <c r="B474" s="338" t="s">
        <v>945</v>
      </c>
      <c r="C474" s="358">
        <v>44237</v>
      </c>
      <c r="D474" s="351" t="s">
        <v>1028</v>
      </c>
      <c r="E474" s="352" t="s">
        <v>1114</v>
      </c>
      <c r="F474" s="338">
        <v>0.46111111111111108</v>
      </c>
      <c r="G474" s="338">
        <v>0.46458333333333335</v>
      </c>
      <c r="H474" s="338" t="s">
        <v>973</v>
      </c>
      <c r="I474" s="353">
        <v>711</v>
      </c>
      <c r="J474" s="338" t="str">
        <f>IFERROR(VLOOKUP(I474,'Chart of accounts'!A:H,2,FALSE),"")</f>
        <v>50102010 01</v>
      </c>
      <c r="K474" s="338" t="str">
        <f>IFERROR(VLOOKUP(I474,'Chart of accounts'!A:H,3,FALSE),"")</f>
        <v>PERA - Civilian</v>
      </c>
      <c r="L474" s="338" t="str">
        <f>IFERROR(VLOOKUP(I474,'Chart of accounts'!A:H,4,FALSE),"")</f>
        <v>50102010 01 - PERA - Civilian (711)</v>
      </c>
      <c r="M474" s="361">
        <v>3</v>
      </c>
      <c r="N474" s="355" t="s">
        <v>777</v>
      </c>
      <c r="O474" s="355" t="s">
        <v>1113</v>
      </c>
      <c r="P474" s="355"/>
      <c r="Q474" s="363">
        <v>6000</v>
      </c>
      <c r="R474" s="319">
        <f t="shared" si="7"/>
        <v>-6000</v>
      </c>
      <c r="S474" s="319" t="str">
        <f>VLOOKUP(H474,'Fund Utilization Report'!$A$4:$U$1800,13,FALSE)</f>
        <v>PS</v>
      </c>
      <c r="T474" s="319" t="str">
        <f>VLOOKUP(H474,'Fund Utilization Report'!$A$4:$U$1800,2,FALSE)</f>
        <v>GAA</v>
      </c>
      <c r="U474" s="319" t="str">
        <f>VLOOKUP(H474,'Fund Utilization Report'!$A$4:$U$1800,3,FALSE)</f>
        <v>FY2021, RA11518</v>
      </c>
      <c r="V474" s="319" t="str">
        <f>VLOOKUP(H474,'Fund Utilization Report'!$A$4:$U$1800,4,FALSE)</f>
        <v>OO4.1(FTL)</v>
      </c>
      <c r="W474" s="319" t="str">
        <f>VLOOKUP(H474,'Fund Utilization Report'!$A$4:$U$1800,5,FALSE)</f>
        <v>01101101</v>
      </c>
      <c r="X474" s="319" t="str">
        <f>VLOOKUP(H474,'Fund Utilization Report'!$A$4:$U$1800,6,FALSE)</f>
        <v>GOP</v>
      </c>
      <c r="Y474" s="320" t="str">
        <f>VLOOKUP(H474,'Fund Utilization Report'!$A$4:$U$1800,7,FALSE)</f>
        <v>PS</v>
      </c>
      <c r="Z474" s="321">
        <f>VLOOKUP(H474,'Fund Utilization Report'!$A$4:$U$1800,8,FALSE)</f>
        <v>5010000000</v>
      </c>
      <c r="AA474" s="319" t="str">
        <f>VLOOKUP(H474,'Fund Utilization Report'!$A$4:$U$1800,14,FALSE)</f>
        <v>340100100002000</v>
      </c>
      <c r="AB474" s="349" t="str">
        <f>VLOOKUP(H474,'Fund Utilization Report'!$A$4:$U$1800,15,FALSE)</f>
        <v>Monitoring and Enforcement of FTL including consumer complaints handling</v>
      </c>
      <c r="AC474" s="39"/>
      <c r="AD474" s="34"/>
      <c r="AE474" s="39"/>
      <c r="AF474" s="51"/>
      <c r="AG474" s="40"/>
      <c r="AH474" s="40"/>
    </row>
    <row r="475" spans="1:34" s="32" customFormat="1" ht="27.6">
      <c r="A475" s="338" t="s">
        <v>942</v>
      </c>
      <c r="B475" s="338" t="s">
        <v>945</v>
      </c>
      <c r="C475" s="358">
        <v>44237</v>
      </c>
      <c r="D475" s="351" t="s">
        <v>1028</v>
      </c>
      <c r="E475" s="352" t="s">
        <v>1114</v>
      </c>
      <c r="F475" s="338">
        <v>0.46111111111111108</v>
      </c>
      <c r="G475" s="338">
        <v>0.46458333333333335</v>
      </c>
      <c r="H475" s="338" t="s">
        <v>975</v>
      </c>
      <c r="I475" s="353">
        <v>731</v>
      </c>
      <c r="J475" s="338" t="str">
        <f>IFERROR(VLOOKUP(I475,'Chart of accounts'!A:H,2,FALSE),"")</f>
        <v>50103010 00</v>
      </c>
      <c r="K475" s="338" t="str">
        <f>IFERROR(VLOOKUP(I475,'Chart of accounts'!A:H,3,FALSE),"")</f>
        <v>Retirement and Life Insurance Premiums</v>
      </c>
      <c r="L475" s="338" t="str">
        <f>IFERROR(VLOOKUP(I475,'Chart of accounts'!A:H,4,FALSE),"")</f>
        <v>50103010 00 - Retirement and Life Insurance Premiums (731)</v>
      </c>
      <c r="M475" s="361">
        <v>3</v>
      </c>
      <c r="N475" s="355" t="s">
        <v>777</v>
      </c>
      <c r="O475" s="355" t="s">
        <v>1113</v>
      </c>
      <c r="P475" s="355"/>
      <c r="Q475" s="363">
        <v>17967.240000000002</v>
      </c>
      <c r="R475" s="319">
        <f t="shared" si="7"/>
        <v>-17967.240000000002</v>
      </c>
      <c r="S475" s="319" t="str">
        <f>VLOOKUP(H475,'Fund Utilization Report'!$A$4:$U$1800,13,FALSE)</f>
        <v>PS</v>
      </c>
      <c r="T475" s="319" t="str">
        <f>VLOOKUP(H475,'Fund Utilization Report'!$A$4:$U$1800,2,FALSE)</f>
        <v>GAA</v>
      </c>
      <c r="U475" s="319" t="str">
        <f>VLOOKUP(H475,'Fund Utilization Report'!$A$4:$U$1800,3,FALSE)</f>
        <v>FY2021, RA11518</v>
      </c>
      <c r="V475" s="319" t="str">
        <f>VLOOKUP(H475,'Fund Utilization Report'!$A$4:$U$1800,4,FALSE)</f>
        <v>OO4.1(FTL)</v>
      </c>
      <c r="W475" s="319" t="str">
        <f>VLOOKUP(H475,'Fund Utilization Report'!$A$4:$U$1800,5,FALSE)</f>
        <v>01101101</v>
      </c>
      <c r="X475" s="319" t="str">
        <f>VLOOKUP(H475,'Fund Utilization Report'!$A$4:$U$1800,6,FALSE)</f>
        <v>GOP</v>
      </c>
      <c r="Y475" s="320" t="str">
        <f>VLOOKUP(H475,'Fund Utilization Report'!$A$4:$U$1800,7,FALSE)</f>
        <v>RLIP</v>
      </c>
      <c r="Z475" s="321" t="str">
        <f>VLOOKUP(H475,'Fund Utilization Report'!$A$4:$U$1800,8,FALSE)</f>
        <v>50103010-00</v>
      </c>
      <c r="AA475" s="319" t="str">
        <f>VLOOKUP(H475,'Fund Utilization Report'!$A$4:$U$1800,14,FALSE)</f>
        <v>340100100002000</v>
      </c>
      <c r="AB475" s="349" t="str">
        <f>VLOOKUP(H475,'Fund Utilization Report'!$A$4:$U$1800,15,FALSE)</f>
        <v>Monitoring and Enforcement of FTL including consumer complaints handling</v>
      </c>
      <c r="AC475" s="39"/>
      <c r="AD475" s="34"/>
      <c r="AE475" s="39"/>
      <c r="AF475" s="51"/>
      <c r="AG475" s="40"/>
      <c r="AH475" s="40"/>
    </row>
    <row r="476" spans="1:34" s="32" customFormat="1" ht="27.6">
      <c r="A476" s="338" t="s">
        <v>942</v>
      </c>
      <c r="B476" s="338" t="s">
        <v>945</v>
      </c>
      <c r="C476" s="358">
        <v>44237</v>
      </c>
      <c r="D476" s="351" t="s">
        <v>1028</v>
      </c>
      <c r="E476" s="352" t="s">
        <v>1114</v>
      </c>
      <c r="F476" s="338">
        <v>0.46111111111111108</v>
      </c>
      <c r="G476" s="338">
        <v>0.46458333333333335</v>
      </c>
      <c r="H476" s="338" t="s">
        <v>973</v>
      </c>
      <c r="I476" s="353">
        <v>732</v>
      </c>
      <c r="J476" s="338" t="str">
        <f>IFERROR(VLOOKUP(I476,'Chart of accounts'!A:H,2,FALSE),"")</f>
        <v>50103020 01</v>
      </c>
      <c r="K476" s="338" t="str">
        <f>IFERROR(VLOOKUP(I476,'Chart of accounts'!A:H,3,FALSE),"")</f>
        <v>Pag-IBIG - Civilian</v>
      </c>
      <c r="L476" s="338" t="str">
        <f>IFERROR(VLOOKUP(I476,'Chart of accounts'!A:H,4,FALSE),"")</f>
        <v>50103020 01 - Pag-IBIG - Civilian (732)</v>
      </c>
      <c r="M476" s="361">
        <v>3</v>
      </c>
      <c r="N476" s="355" t="s">
        <v>777</v>
      </c>
      <c r="O476" s="355" t="s">
        <v>1113</v>
      </c>
      <c r="P476" s="355"/>
      <c r="Q476" s="363">
        <v>300</v>
      </c>
      <c r="R476" s="319">
        <f t="shared" si="7"/>
        <v>-300</v>
      </c>
      <c r="S476" s="319" t="str">
        <f>VLOOKUP(H476,'Fund Utilization Report'!$A$4:$U$1800,13,FALSE)</f>
        <v>PS</v>
      </c>
      <c r="T476" s="319" t="str">
        <f>VLOOKUP(H476,'Fund Utilization Report'!$A$4:$U$1800,2,FALSE)</f>
        <v>GAA</v>
      </c>
      <c r="U476" s="319" t="str">
        <f>VLOOKUP(H476,'Fund Utilization Report'!$A$4:$U$1800,3,FALSE)</f>
        <v>FY2021, RA11518</v>
      </c>
      <c r="V476" s="319" t="str">
        <f>VLOOKUP(H476,'Fund Utilization Report'!$A$4:$U$1800,4,FALSE)</f>
        <v>OO4.1(FTL)</v>
      </c>
      <c r="W476" s="319" t="str">
        <f>VLOOKUP(H476,'Fund Utilization Report'!$A$4:$U$1800,5,FALSE)</f>
        <v>01101101</v>
      </c>
      <c r="X476" s="319" t="str">
        <f>VLOOKUP(H476,'Fund Utilization Report'!$A$4:$U$1800,6,FALSE)</f>
        <v>GOP</v>
      </c>
      <c r="Y476" s="320" t="str">
        <f>VLOOKUP(H476,'Fund Utilization Report'!$A$4:$U$1800,7,FALSE)</f>
        <v>PS</v>
      </c>
      <c r="Z476" s="321">
        <f>VLOOKUP(H476,'Fund Utilization Report'!$A$4:$U$1800,8,FALSE)</f>
        <v>5010000000</v>
      </c>
      <c r="AA476" s="319" t="str">
        <f>VLOOKUP(H476,'Fund Utilization Report'!$A$4:$U$1800,14,FALSE)</f>
        <v>340100100002000</v>
      </c>
      <c r="AB476" s="349" t="str">
        <f>VLOOKUP(H476,'Fund Utilization Report'!$A$4:$U$1800,15,FALSE)</f>
        <v>Monitoring and Enforcement of FTL including consumer complaints handling</v>
      </c>
      <c r="AC476" s="39"/>
      <c r="AD476" s="34"/>
      <c r="AE476" s="39"/>
      <c r="AF476" s="51"/>
      <c r="AG476" s="40"/>
      <c r="AH476" s="40"/>
    </row>
    <row r="477" spans="1:34" s="32" customFormat="1" ht="27.6">
      <c r="A477" s="338" t="s">
        <v>942</v>
      </c>
      <c r="B477" s="338" t="s">
        <v>945</v>
      </c>
      <c r="C477" s="358">
        <v>44237</v>
      </c>
      <c r="D477" s="351" t="s">
        <v>1028</v>
      </c>
      <c r="E477" s="352" t="s">
        <v>1114</v>
      </c>
      <c r="F477" s="338">
        <v>0.46111111111111108</v>
      </c>
      <c r="G477" s="338">
        <v>0.46458333333333335</v>
      </c>
      <c r="H477" s="338" t="s">
        <v>973</v>
      </c>
      <c r="I477" s="353">
        <v>733</v>
      </c>
      <c r="J477" s="338" t="str">
        <f>IFERROR(VLOOKUP(I477,'Chart of accounts'!A:H,2,FALSE),"")</f>
        <v>50103030 01</v>
      </c>
      <c r="K477" s="338" t="str">
        <f>IFERROR(VLOOKUP(I477,'Chart of accounts'!A:H,3,FALSE),"")</f>
        <v>PhilHealth - Civilian</v>
      </c>
      <c r="L477" s="338" t="str">
        <f>IFERROR(VLOOKUP(I477,'Chart of accounts'!A:H,4,FALSE),"")</f>
        <v>50103030 01 - PhilHealth - Civilian (733)</v>
      </c>
      <c r="M477" s="361">
        <v>3</v>
      </c>
      <c r="N477" s="355" t="s">
        <v>777</v>
      </c>
      <c r="O477" s="355" t="s">
        <v>1113</v>
      </c>
      <c r="P477" s="355"/>
      <c r="Q477" s="363">
        <v>2087.44</v>
      </c>
      <c r="R477" s="319">
        <f t="shared" si="7"/>
        <v>-2087.44</v>
      </c>
      <c r="S477" s="319" t="str">
        <f>VLOOKUP(H477,'Fund Utilization Report'!$A$4:$U$1800,13,FALSE)</f>
        <v>PS</v>
      </c>
      <c r="T477" s="319" t="str">
        <f>VLOOKUP(H477,'Fund Utilization Report'!$A$4:$U$1800,2,FALSE)</f>
        <v>GAA</v>
      </c>
      <c r="U477" s="319" t="str">
        <f>VLOOKUP(H477,'Fund Utilization Report'!$A$4:$U$1800,3,FALSE)</f>
        <v>FY2021, RA11518</v>
      </c>
      <c r="V477" s="319" t="str">
        <f>VLOOKUP(H477,'Fund Utilization Report'!$A$4:$U$1800,4,FALSE)</f>
        <v>OO4.1(FTL)</v>
      </c>
      <c r="W477" s="319" t="str">
        <f>VLOOKUP(H477,'Fund Utilization Report'!$A$4:$U$1800,5,FALSE)</f>
        <v>01101101</v>
      </c>
      <c r="X477" s="319" t="str">
        <f>VLOOKUP(H477,'Fund Utilization Report'!$A$4:$U$1800,6,FALSE)</f>
        <v>GOP</v>
      </c>
      <c r="Y477" s="320" t="str">
        <f>VLOOKUP(H477,'Fund Utilization Report'!$A$4:$U$1800,7,FALSE)</f>
        <v>PS</v>
      </c>
      <c r="Z477" s="321">
        <f>VLOOKUP(H477,'Fund Utilization Report'!$A$4:$U$1800,8,FALSE)</f>
        <v>5010000000</v>
      </c>
      <c r="AA477" s="319" t="str">
        <f>VLOOKUP(H477,'Fund Utilization Report'!$A$4:$U$1800,14,FALSE)</f>
        <v>340100100002000</v>
      </c>
      <c r="AB477" s="349" t="str">
        <f>VLOOKUP(H477,'Fund Utilization Report'!$A$4:$U$1800,15,FALSE)</f>
        <v>Monitoring and Enforcement of FTL including consumer complaints handling</v>
      </c>
      <c r="AC477" s="39"/>
      <c r="AD477" s="34"/>
      <c r="AE477" s="39"/>
      <c r="AF477" s="51"/>
      <c r="AG477" s="40"/>
      <c r="AH477" s="40"/>
    </row>
    <row r="478" spans="1:34" s="32" customFormat="1" ht="27.6">
      <c r="A478" s="338" t="s">
        <v>942</v>
      </c>
      <c r="B478" s="338" t="s">
        <v>945</v>
      </c>
      <c r="C478" s="358">
        <v>44237</v>
      </c>
      <c r="D478" s="351" t="s">
        <v>1028</v>
      </c>
      <c r="E478" s="352" t="s">
        <v>1114</v>
      </c>
      <c r="F478" s="338">
        <v>0.46111111111111108</v>
      </c>
      <c r="G478" s="338">
        <v>0.46458333333333335</v>
      </c>
      <c r="H478" s="338" t="s">
        <v>973</v>
      </c>
      <c r="I478" s="353">
        <v>734</v>
      </c>
      <c r="J478" s="338" t="str">
        <f>IFERROR(VLOOKUP(I478,'Chart of accounts'!A:H,2,FALSE),"")</f>
        <v>50103040 01</v>
      </c>
      <c r="K478" s="338" t="str">
        <f>IFERROR(VLOOKUP(I478,'Chart of accounts'!A:H,3,FALSE),"")</f>
        <v>ECIP - Civilian</v>
      </c>
      <c r="L478" s="338" t="str">
        <f>IFERROR(VLOOKUP(I478,'Chart of accounts'!A:H,4,FALSE),"")</f>
        <v>50103040 01 - ECIP - Civilian (734)</v>
      </c>
      <c r="M478" s="361">
        <v>3</v>
      </c>
      <c r="N478" s="355" t="s">
        <v>777</v>
      </c>
      <c r="O478" s="355" t="s">
        <v>1113</v>
      </c>
      <c r="P478" s="355"/>
      <c r="Q478" s="363">
        <v>300</v>
      </c>
      <c r="R478" s="319">
        <f t="shared" si="7"/>
        <v>-300</v>
      </c>
      <c r="S478" s="319" t="str">
        <f>VLOOKUP(H478,'Fund Utilization Report'!$A$4:$U$1800,13,FALSE)</f>
        <v>PS</v>
      </c>
      <c r="T478" s="319" t="str">
        <f>VLOOKUP(H478,'Fund Utilization Report'!$A$4:$U$1800,2,FALSE)</f>
        <v>GAA</v>
      </c>
      <c r="U478" s="319" t="str">
        <f>VLOOKUP(H478,'Fund Utilization Report'!$A$4:$U$1800,3,FALSE)</f>
        <v>FY2021, RA11518</v>
      </c>
      <c r="V478" s="319" t="str">
        <f>VLOOKUP(H478,'Fund Utilization Report'!$A$4:$U$1800,4,FALSE)</f>
        <v>OO4.1(FTL)</v>
      </c>
      <c r="W478" s="319" t="str">
        <f>VLOOKUP(H478,'Fund Utilization Report'!$A$4:$U$1800,5,FALSE)</f>
        <v>01101101</v>
      </c>
      <c r="X478" s="319" t="str">
        <f>VLOOKUP(H478,'Fund Utilization Report'!$A$4:$U$1800,6,FALSE)</f>
        <v>GOP</v>
      </c>
      <c r="Y478" s="320" t="str">
        <f>VLOOKUP(H478,'Fund Utilization Report'!$A$4:$U$1800,7,FALSE)</f>
        <v>PS</v>
      </c>
      <c r="Z478" s="321">
        <f>VLOOKUP(H478,'Fund Utilization Report'!$A$4:$U$1800,8,FALSE)</f>
        <v>5010000000</v>
      </c>
      <c r="AA478" s="319" t="str">
        <f>VLOOKUP(H478,'Fund Utilization Report'!$A$4:$U$1800,14,FALSE)</f>
        <v>340100100002000</v>
      </c>
      <c r="AB478" s="349" t="str">
        <f>VLOOKUP(H478,'Fund Utilization Report'!$A$4:$U$1800,15,FALSE)</f>
        <v>Monitoring and Enforcement of FTL including consumer complaints handling</v>
      </c>
      <c r="AC478" s="39"/>
      <c r="AD478" s="34"/>
      <c r="AE478" s="39"/>
      <c r="AF478" s="51"/>
      <c r="AG478" s="40"/>
      <c r="AH478" s="40"/>
    </row>
    <row r="479" spans="1:34" s="32" customFormat="1" ht="27.6">
      <c r="A479" s="338" t="s">
        <v>942</v>
      </c>
      <c r="B479" s="338" t="s">
        <v>945</v>
      </c>
      <c r="C479" s="358">
        <v>44237</v>
      </c>
      <c r="D479" s="351" t="s">
        <v>1028</v>
      </c>
      <c r="E479" s="352" t="s">
        <v>1115</v>
      </c>
      <c r="F479" s="338">
        <v>0.46458333333333335</v>
      </c>
      <c r="G479" s="338">
        <v>0.46736111111111112</v>
      </c>
      <c r="H479" s="338" t="s">
        <v>960</v>
      </c>
      <c r="I479" s="353">
        <v>701</v>
      </c>
      <c r="J479" s="338" t="str">
        <f>IFERROR(VLOOKUP(I479,'Chart of accounts'!A:H,2,FALSE),"")</f>
        <v>50101010 01</v>
      </c>
      <c r="K479" s="338" t="str">
        <f>IFERROR(VLOOKUP(I479,'Chart of accounts'!A:H,3,FALSE),"")</f>
        <v>Basic Salary - Civilian</v>
      </c>
      <c r="L479" s="338" t="str">
        <f>IFERROR(VLOOKUP(I479,'Chart of accounts'!A:H,4,FALSE),"")</f>
        <v>50101010 01 - Basic Salary - Civilian (701)</v>
      </c>
      <c r="M479" s="361">
        <v>85</v>
      </c>
      <c r="N479" s="355" t="s">
        <v>765</v>
      </c>
      <c r="O479" s="355" t="s">
        <v>1113</v>
      </c>
      <c r="P479" s="355"/>
      <c r="Q479" s="363">
        <v>57452</v>
      </c>
      <c r="R479" s="319">
        <f t="shared" si="7"/>
        <v>-57452</v>
      </c>
      <c r="S479" s="319" t="str">
        <f>VLOOKUP(H479,'Fund Utilization Report'!$A$4:$U$1800,13,FALSE)</f>
        <v>PS</v>
      </c>
      <c r="T479" s="319" t="str">
        <f>VLOOKUP(H479,'Fund Utilization Report'!$A$4:$U$1800,2,FALSE)</f>
        <v>GAA</v>
      </c>
      <c r="U479" s="319" t="str">
        <f>VLOOKUP(H479,'Fund Utilization Report'!$A$4:$U$1800,3,FALSE)</f>
        <v>FY2021, RA11518</v>
      </c>
      <c r="V479" s="319" t="str">
        <f>VLOOKUP(H479,'Fund Utilization Report'!$A$4:$U$1800,4,FALSE)</f>
        <v>GAS(GMS)</v>
      </c>
      <c r="W479" s="319" t="str">
        <f>VLOOKUP(H479,'Fund Utilization Report'!$A$4:$U$1800,5,FALSE)</f>
        <v>01101101</v>
      </c>
      <c r="X479" s="319" t="str">
        <f>VLOOKUP(H479,'Fund Utilization Report'!$A$4:$U$1800,6,FALSE)</f>
        <v>GOP</v>
      </c>
      <c r="Y479" s="320" t="str">
        <f>VLOOKUP(H479,'Fund Utilization Report'!$A$4:$U$1800,7,FALSE)</f>
        <v>PS</v>
      </c>
      <c r="Z479" s="321">
        <f>VLOOKUP(H479,'Fund Utilization Report'!$A$4:$U$1800,8,FALSE)</f>
        <v>5010000000</v>
      </c>
      <c r="AA479" s="319" t="str">
        <f>VLOOKUP(H479,'Fund Utilization Report'!$A$4:$U$1800,14,FALSE)</f>
        <v>100000100001000</v>
      </c>
      <c r="AB479" s="349" t="str">
        <f>VLOOKUP(H479,'Fund Utilization Report'!$A$4:$U$1800,15,FALSE)</f>
        <v>General Administration and Supervision - General Management and Supervision</v>
      </c>
      <c r="AC479" s="39"/>
      <c r="AD479" s="34"/>
      <c r="AE479" s="39"/>
      <c r="AF479" s="51"/>
      <c r="AG479" s="40"/>
      <c r="AH479" s="40"/>
    </row>
    <row r="480" spans="1:34" s="32" customFormat="1" ht="27.6">
      <c r="A480" s="338" t="s">
        <v>942</v>
      </c>
      <c r="B480" s="338" t="s">
        <v>945</v>
      </c>
      <c r="C480" s="358">
        <v>44237</v>
      </c>
      <c r="D480" s="351" t="s">
        <v>1028</v>
      </c>
      <c r="E480" s="352" t="s">
        <v>1115</v>
      </c>
      <c r="F480" s="338">
        <v>0.46458333333333335</v>
      </c>
      <c r="G480" s="338">
        <v>0.46736111111111112</v>
      </c>
      <c r="H480" s="338" t="s">
        <v>960</v>
      </c>
      <c r="I480" s="353">
        <v>711</v>
      </c>
      <c r="J480" s="338" t="str">
        <f>IFERROR(VLOOKUP(I480,'Chart of accounts'!A:H,2,FALSE),"")</f>
        <v>50102010 01</v>
      </c>
      <c r="K480" s="338" t="str">
        <f>IFERROR(VLOOKUP(I480,'Chart of accounts'!A:H,3,FALSE),"")</f>
        <v>PERA - Civilian</v>
      </c>
      <c r="L480" s="338" t="str">
        <f>IFERROR(VLOOKUP(I480,'Chart of accounts'!A:H,4,FALSE),"")</f>
        <v>50102010 01 - PERA - Civilian (711)</v>
      </c>
      <c r="M480" s="361">
        <v>85</v>
      </c>
      <c r="N480" s="355" t="s">
        <v>765</v>
      </c>
      <c r="O480" s="355" t="s">
        <v>1113</v>
      </c>
      <c r="P480" s="355"/>
      <c r="Q480" s="363">
        <v>4000</v>
      </c>
      <c r="R480" s="319">
        <f t="shared" si="7"/>
        <v>-4000</v>
      </c>
      <c r="S480" s="319" t="str">
        <f>VLOOKUP(H480,'Fund Utilization Report'!$A$4:$U$1800,13,FALSE)</f>
        <v>PS</v>
      </c>
      <c r="T480" s="319" t="str">
        <f>VLOOKUP(H480,'Fund Utilization Report'!$A$4:$U$1800,2,FALSE)</f>
        <v>GAA</v>
      </c>
      <c r="U480" s="319" t="str">
        <f>VLOOKUP(H480,'Fund Utilization Report'!$A$4:$U$1800,3,FALSE)</f>
        <v>FY2021, RA11518</v>
      </c>
      <c r="V480" s="319" t="str">
        <f>VLOOKUP(H480,'Fund Utilization Report'!$A$4:$U$1800,4,FALSE)</f>
        <v>GAS(GMS)</v>
      </c>
      <c r="W480" s="319" t="str">
        <f>VLOOKUP(H480,'Fund Utilization Report'!$A$4:$U$1800,5,FALSE)</f>
        <v>01101101</v>
      </c>
      <c r="X480" s="319" t="str">
        <f>VLOOKUP(H480,'Fund Utilization Report'!$A$4:$U$1800,6,FALSE)</f>
        <v>GOP</v>
      </c>
      <c r="Y480" s="320" t="str">
        <f>VLOOKUP(H480,'Fund Utilization Report'!$A$4:$U$1800,7,FALSE)</f>
        <v>PS</v>
      </c>
      <c r="Z480" s="321">
        <f>VLOOKUP(H480,'Fund Utilization Report'!$A$4:$U$1800,8,FALSE)</f>
        <v>5010000000</v>
      </c>
      <c r="AA480" s="319" t="str">
        <f>VLOOKUP(H480,'Fund Utilization Report'!$A$4:$U$1800,14,FALSE)</f>
        <v>100000100001000</v>
      </c>
      <c r="AB480" s="349" t="str">
        <f>VLOOKUP(H480,'Fund Utilization Report'!$A$4:$U$1800,15,FALSE)</f>
        <v>General Administration and Supervision - General Management and Supervision</v>
      </c>
      <c r="AC480" s="39"/>
      <c r="AD480" s="34"/>
      <c r="AE480" s="39"/>
      <c r="AF480" s="51"/>
      <c r="AG480" s="40"/>
      <c r="AH480" s="40"/>
    </row>
    <row r="481" spans="1:34" s="32" customFormat="1" ht="27.6">
      <c r="A481" s="338" t="s">
        <v>942</v>
      </c>
      <c r="B481" s="338" t="s">
        <v>945</v>
      </c>
      <c r="C481" s="358">
        <v>44237</v>
      </c>
      <c r="D481" s="351" t="s">
        <v>1028</v>
      </c>
      <c r="E481" s="352" t="s">
        <v>1115</v>
      </c>
      <c r="F481" s="338">
        <v>0.46458333333333335</v>
      </c>
      <c r="G481" s="338">
        <v>0.46736111111111112</v>
      </c>
      <c r="H481" s="338" t="s">
        <v>962</v>
      </c>
      <c r="I481" s="353">
        <v>731</v>
      </c>
      <c r="J481" s="338" t="str">
        <f>IFERROR(VLOOKUP(I481,'Chart of accounts'!A:H,2,FALSE),"")</f>
        <v>50103010 00</v>
      </c>
      <c r="K481" s="338" t="str">
        <f>IFERROR(VLOOKUP(I481,'Chart of accounts'!A:H,3,FALSE),"")</f>
        <v>Retirement and Life Insurance Premiums</v>
      </c>
      <c r="L481" s="338" t="str">
        <f>IFERROR(VLOOKUP(I481,'Chart of accounts'!A:H,4,FALSE),"")</f>
        <v>50103010 00 - Retirement and Life Insurance Premiums (731)</v>
      </c>
      <c r="M481" s="361">
        <v>85</v>
      </c>
      <c r="N481" s="355" t="s">
        <v>765</v>
      </c>
      <c r="O481" s="355" t="s">
        <v>1113</v>
      </c>
      <c r="P481" s="355"/>
      <c r="Q481" s="363">
        <v>6894.24</v>
      </c>
      <c r="R481" s="319">
        <f t="shared" si="7"/>
        <v>-6894.24</v>
      </c>
      <c r="S481" s="319" t="str">
        <f>VLOOKUP(H481,'Fund Utilization Report'!$A$4:$U$1800,13,FALSE)</f>
        <v>PS</v>
      </c>
      <c r="T481" s="319" t="str">
        <f>VLOOKUP(H481,'Fund Utilization Report'!$A$4:$U$1800,2,FALSE)</f>
        <v>GAA</v>
      </c>
      <c r="U481" s="319" t="str">
        <f>VLOOKUP(H481,'Fund Utilization Report'!$A$4:$U$1800,3,FALSE)</f>
        <v>FY2021, RA11518</v>
      </c>
      <c r="V481" s="319" t="str">
        <f>VLOOKUP(H481,'Fund Utilization Report'!$A$4:$U$1800,4,FALSE)</f>
        <v>GAS(GMS)</v>
      </c>
      <c r="W481" s="319" t="str">
        <f>VLOOKUP(H481,'Fund Utilization Report'!$A$4:$U$1800,5,FALSE)</f>
        <v>01101101</v>
      </c>
      <c r="X481" s="319" t="str">
        <f>VLOOKUP(H481,'Fund Utilization Report'!$A$4:$U$1800,6,FALSE)</f>
        <v>GOP</v>
      </c>
      <c r="Y481" s="320" t="str">
        <f>VLOOKUP(H481,'Fund Utilization Report'!$A$4:$U$1800,7,FALSE)</f>
        <v>RLIP</v>
      </c>
      <c r="Z481" s="321" t="str">
        <f>VLOOKUP(H481,'Fund Utilization Report'!$A$4:$U$1800,8,FALSE)</f>
        <v>50103010-00</v>
      </c>
      <c r="AA481" s="319" t="str">
        <f>VLOOKUP(H481,'Fund Utilization Report'!$A$4:$U$1800,14,FALSE)</f>
        <v>100000100001000</v>
      </c>
      <c r="AB481" s="349" t="str">
        <f>VLOOKUP(H481,'Fund Utilization Report'!$A$4:$U$1800,15,FALSE)</f>
        <v>General Administration and Supervision - General Management and Supervision</v>
      </c>
      <c r="AC481" s="39"/>
      <c r="AD481" s="34"/>
      <c r="AE481" s="39"/>
      <c r="AF481" s="51"/>
      <c r="AG481" s="40"/>
      <c r="AH481" s="40"/>
    </row>
    <row r="482" spans="1:34" s="32" customFormat="1" ht="27.6">
      <c r="A482" s="338" t="s">
        <v>942</v>
      </c>
      <c r="B482" s="338" t="s">
        <v>945</v>
      </c>
      <c r="C482" s="358">
        <v>44237</v>
      </c>
      <c r="D482" s="351" t="s">
        <v>1028</v>
      </c>
      <c r="E482" s="352" t="s">
        <v>1115</v>
      </c>
      <c r="F482" s="338">
        <v>0.46458333333333335</v>
      </c>
      <c r="G482" s="338">
        <v>0.46736111111111112</v>
      </c>
      <c r="H482" s="338" t="s">
        <v>960</v>
      </c>
      <c r="I482" s="353">
        <v>732</v>
      </c>
      <c r="J482" s="338" t="str">
        <f>IFERROR(VLOOKUP(I482,'Chart of accounts'!A:H,2,FALSE),"")</f>
        <v>50103020 01</v>
      </c>
      <c r="K482" s="338" t="str">
        <f>IFERROR(VLOOKUP(I482,'Chart of accounts'!A:H,3,FALSE),"")</f>
        <v>Pag-IBIG - Civilian</v>
      </c>
      <c r="L482" s="338" t="str">
        <f>IFERROR(VLOOKUP(I482,'Chart of accounts'!A:H,4,FALSE),"")</f>
        <v>50103020 01 - Pag-IBIG - Civilian (732)</v>
      </c>
      <c r="M482" s="361">
        <v>85</v>
      </c>
      <c r="N482" s="355" t="s">
        <v>765</v>
      </c>
      <c r="O482" s="355" t="s">
        <v>1113</v>
      </c>
      <c r="P482" s="355"/>
      <c r="Q482" s="363">
        <v>200</v>
      </c>
      <c r="R482" s="319">
        <f t="shared" si="7"/>
        <v>-200</v>
      </c>
      <c r="S482" s="319" t="str">
        <f>VLOOKUP(H482,'Fund Utilization Report'!$A$4:$U$1800,13,FALSE)</f>
        <v>PS</v>
      </c>
      <c r="T482" s="319" t="str">
        <f>VLOOKUP(H482,'Fund Utilization Report'!$A$4:$U$1800,2,FALSE)</f>
        <v>GAA</v>
      </c>
      <c r="U482" s="319" t="str">
        <f>VLOOKUP(H482,'Fund Utilization Report'!$A$4:$U$1800,3,FALSE)</f>
        <v>FY2021, RA11518</v>
      </c>
      <c r="V482" s="319" t="str">
        <f>VLOOKUP(H482,'Fund Utilization Report'!$A$4:$U$1800,4,FALSE)</f>
        <v>GAS(GMS)</v>
      </c>
      <c r="W482" s="319" t="str">
        <f>VLOOKUP(H482,'Fund Utilization Report'!$A$4:$U$1800,5,FALSE)</f>
        <v>01101101</v>
      </c>
      <c r="X482" s="319" t="str">
        <f>VLOOKUP(H482,'Fund Utilization Report'!$A$4:$U$1800,6,FALSE)</f>
        <v>GOP</v>
      </c>
      <c r="Y482" s="320" t="str">
        <f>VLOOKUP(H482,'Fund Utilization Report'!$A$4:$U$1800,7,FALSE)</f>
        <v>PS</v>
      </c>
      <c r="Z482" s="321">
        <f>VLOOKUP(H482,'Fund Utilization Report'!$A$4:$U$1800,8,FALSE)</f>
        <v>5010000000</v>
      </c>
      <c r="AA482" s="319" t="str">
        <f>VLOOKUP(H482,'Fund Utilization Report'!$A$4:$U$1800,14,FALSE)</f>
        <v>100000100001000</v>
      </c>
      <c r="AB482" s="349" t="str">
        <f>VLOOKUP(H482,'Fund Utilization Report'!$A$4:$U$1800,15,FALSE)</f>
        <v>General Administration and Supervision - General Management and Supervision</v>
      </c>
      <c r="AC482" s="39"/>
      <c r="AD482" s="34"/>
      <c r="AE482" s="39"/>
      <c r="AF482" s="51"/>
      <c r="AG482" s="40"/>
      <c r="AH482" s="40"/>
    </row>
    <row r="483" spans="1:34" s="32" customFormat="1" ht="27.6">
      <c r="A483" s="338" t="s">
        <v>942</v>
      </c>
      <c r="B483" s="338" t="s">
        <v>945</v>
      </c>
      <c r="C483" s="358">
        <v>44237</v>
      </c>
      <c r="D483" s="351" t="s">
        <v>1028</v>
      </c>
      <c r="E483" s="352" t="s">
        <v>1115</v>
      </c>
      <c r="F483" s="338">
        <v>0.46458333333333335</v>
      </c>
      <c r="G483" s="338">
        <v>0.46736111111111112</v>
      </c>
      <c r="H483" s="338" t="s">
        <v>960</v>
      </c>
      <c r="I483" s="353">
        <v>733</v>
      </c>
      <c r="J483" s="338" t="str">
        <f>IFERROR(VLOOKUP(I483,'Chart of accounts'!A:H,2,FALSE),"")</f>
        <v>50103030 01</v>
      </c>
      <c r="K483" s="338" t="str">
        <f>IFERROR(VLOOKUP(I483,'Chart of accounts'!A:H,3,FALSE),"")</f>
        <v>PhilHealth - Civilian</v>
      </c>
      <c r="L483" s="338" t="str">
        <f>IFERROR(VLOOKUP(I483,'Chart of accounts'!A:H,4,FALSE),"")</f>
        <v>50103030 01 - PhilHealth - Civilian (733)</v>
      </c>
      <c r="M483" s="361">
        <v>85</v>
      </c>
      <c r="N483" s="355" t="s">
        <v>765</v>
      </c>
      <c r="O483" s="355" t="s">
        <v>1113</v>
      </c>
      <c r="P483" s="355"/>
      <c r="Q483" s="363">
        <v>861.79</v>
      </c>
      <c r="R483" s="319">
        <f t="shared" si="7"/>
        <v>-861.79</v>
      </c>
      <c r="S483" s="319" t="str">
        <f>VLOOKUP(H483,'Fund Utilization Report'!$A$4:$U$1800,13,FALSE)</f>
        <v>PS</v>
      </c>
      <c r="T483" s="319" t="str">
        <f>VLOOKUP(H483,'Fund Utilization Report'!$A$4:$U$1800,2,FALSE)</f>
        <v>GAA</v>
      </c>
      <c r="U483" s="319" t="str">
        <f>VLOOKUP(H483,'Fund Utilization Report'!$A$4:$U$1800,3,FALSE)</f>
        <v>FY2021, RA11518</v>
      </c>
      <c r="V483" s="319" t="str">
        <f>VLOOKUP(H483,'Fund Utilization Report'!$A$4:$U$1800,4,FALSE)</f>
        <v>GAS(GMS)</v>
      </c>
      <c r="W483" s="319" t="str">
        <f>VLOOKUP(H483,'Fund Utilization Report'!$A$4:$U$1800,5,FALSE)</f>
        <v>01101101</v>
      </c>
      <c r="X483" s="319" t="str">
        <f>VLOOKUP(H483,'Fund Utilization Report'!$A$4:$U$1800,6,FALSE)</f>
        <v>GOP</v>
      </c>
      <c r="Y483" s="320" t="str">
        <f>VLOOKUP(H483,'Fund Utilization Report'!$A$4:$U$1800,7,FALSE)</f>
        <v>PS</v>
      </c>
      <c r="Z483" s="321">
        <f>VLOOKUP(H483,'Fund Utilization Report'!$A$4:$U$1800,8,FALSE)</f>
        <v>5010000000</v>
      </c>
      <c r="AA483" s="319" t="str">
        <f>VLOOKUP(H483,'Fund Utilization Report'!$A$4:$U$1800,14,FALSE)</f>
        <v>100000100001000</v>
      </c>
      <c r="AB483" s="349" t="str">
        <f>VLOOKUP(H483,'Fund Utilization Report'!$A$4:$U$1800,15,FALSE)</f>
        <v>General Administration and Supervision - General Management and Supervision</v>
      </c>
      <c r="AC483" s="39"/>
      <c r="AD483" s="34"/>
      <c r="AE483" s="39"/>
      <c r="AF483" s="51"/>
      <c r="AG483" s="40"/>
      <c r="AH483" s="40"/>
    </row>
    <row r="484" spans="1:34" s="32" customFormat="1" ht="27.6">
      <c r="A484" s="338" t="s">
        <v>942</v>
      </c>
      <c r="B484" s="338" t="s">
        <v>945</v>
      </c>
      <c r="C484" s="358">
        <v>44237</v>
      </c>
      <c r="D484" s="351" t="s">
        <v>1028</v>
      </c>
      <c r="E484" s="352" t="s">
        <v>1115</v>
      </c>
      <c r="F484" s="338">
        <v>0.46458333333333335</v>
      </c>
      <c r="G484" s="338">
        <v>0.46736111111111112</v>
      </c>
      <c r="H484" s="338" t="s">
        <v>960</v>
      </c>
      <c r="I484" s="353">
        <v>734</v>
      </c>
      <c r="J484" s="338" t="str">
        <f>IFERROR(VLOOKUP(I484,'Chart of accounts'!A:H,2,FALSE),"")</f>
        <v>50103040 01</v>
      </c>
      <c r="K484" s="338" t="str">
        <f>IFERROR(VLOOKUP(I484,'Chart of accounts'!A:H,3,FALSE),"")</f>
        <v>ECIP - Civilian</v>
      </c>
      <c r="L484" s="338" t="str">
        <f>IFERROR(VLOOKUP(I484,'Chart of accounts'!A:H,4,FALSE),"")</f>
        <v>50103040 01 - ECIP - Civilian (734)</v>
      </c>
      <c r="M484" s="361">
        <v>85</v>
      </c>
      <c r="N484" s="355" t="s">
        <v>765</v>
      </c>
      <c r="O484" s="355" t="s">
        <v>1113</v>
      </c>
      <c r="P484" s="355"/>
      <c r="Q484" s="363">
        <v>200</v>
      </c>
      <c r="R484" s="319">
        <f t="shared" si="7"/>
        <v>-200</v>
      </c>
      <c r="S484" s="319" t="str">
        <f>VLOOKUP(H484,'Fund Utilization Report'!$A$4:$U$1800,13,FALSE)</f>
        <v>PS</v>
      </c>
      <c r="T484" s="319" t="str">
        <f>VLOOKUP(H484,'Fund Utilization Report'!$A$4:$U$1800,2,FALSE)</f>
        <v>GAA</v>
      </c>
      <c r="U484" s="319" t="str">
        <f>VLOOKUP(H484,'Fund Utilization Report'!$A$4:$U$1800,3,FALSE)</f>
        <v>FY2021, RA11518</v>
      </c>
      <c r="V484" s="319" t="str">
        <f>VLOOKUP(H484,'Fund Utilization Report'!$A$4:$U$1800,4,FALSE)</f>
        <v>GAS(GMS)</v>
      </c>
      <c r="W484" s="319" t="str">
        <f>VLOOKUP(H484,'Fund Utilization Report'!$A$4:$U$1800,5,FALSE)</f>
        <v>01101101</v>
      </c>
      <c r="X484" s="319" t="str">
        <f>VLOOKUP(H484,'Fund Utilization Report'!$A$4:$U$1800,6,FALSE)</f>
        <v>GOP</v>
      </c>
      <c r="Y484" s="320" t="str">
        <f>VLOOKUP(H484,'Fund Utilization Report'!$A$4:$U$1800,7,FALSE)</f>
        <v>PS</v>
      </c>
      <c r="Z484" s="321">
        <f>VLOOKUP(H484,'Fund Utilization Report'!$A$4:$U$1800,8,FALSE)</f>
        <v>5010000000</v>
      </c>
      <c r="AA484" s="319" t="str">
        <f>VLOOKUP(H484,'Fund Utilization Report'!$A$4:$U$1800,14,FALSE)</f>
        <v>100000100001000</v>
      </c>
      <c r="AB484" s="349" t="str">
        <f>VLOOKUP(H484,'Fund Utilization Report'!$A$4:$U$1800,15,FALSE)</f>
        <v>General Administration and Supervision - General Management and Supervision</v>
      </c>
      <c r="AC484" s="39"/>
      <c r="AD484" s="34"/>
      <c r="AE484" s="39"/>
      <c r="AF484" s="51"/>
      <c r="AG484" s="40"/>
      <c r="AH484" s="40"/>
    </row>
    <row r="485" spans="1:34" s="32" customFormat="1" ht="27.6">
      <c r="A485" s="338" t="s">
        <v>942</v>
      </c>
      <c r="B485" s="338" t="s">
        <v>945</v>
      </c>
      <c r="C485" s="358">
        <v>44237</v>
      </c>
      <c r="D485" s="351" t="s">
        <v>1028</v>
      </c>
      <c r="E485" s="352" t="s">
        <v>1115</v>
      </c>
      <c r="F485" s="338">
        <v>0.46458333333333335</v>
      </c>
      <c r="G485" s="338">
        <v>0.46736111111111112</v>
      </c>
      <c r="H485" s="338" t="s">
        <v>964</v>
      </c>
      <c r="I485" s="353">
        <v>701</v>
      </c>
      <c r="J485" s="338" t="str">
        <f>IFERROR(VLOOKUP(I485,'Chart of accounts'!A:H,2,FALSE),"")</f>
        <v>50101010 01</v>
      </c>
      <c r="K485" s="338" t="str">
        <f>IFERROR(VLOOKUP(I485,'Chart of accounts'!A:H,3,FALSE),"")</f>
        <v>Basic Salary - Civilian</v>
      </c>
      <c r="L485" s="338" t="str">
        <f>IFERROR(VLOOKUP(I485,'Chart of accounts'!A:H,4,FALSE),"")</f>
        <v>50101010 01 - Basic Salary - Civilian (701)</v>
      </c>
      <c r="M485" s="361">
        <v>85</v>
      </c>
      <c r="N485" s="355" t="s">
        <v>765</v>
      </c>
      <c r="O485" s="355" t="s">
        <v>1113</v>
      </c>
      <c r="P485" s="355"/>
      <c r="Q485" s="363">
        <v>111742</v>
      </c>
      <c r="R485" s="319">
        <f t="shared" si="7"/>
        <v>-111742</v>
      </c>
      <c r="S485" s="319" t="str">
        <f>VLOOKUP(H485,'Fund Utilization Report'!$A$4:$U$1800,13,FALSE)</f>
        <v>PS</v>
      </c>
      <c r="T485" s="319" t="str">
        <f>VLOOKUP(H485,'Fund Utilization Report'!$A$4:$U$1800,2,FALSE)</f>
        <v>GAA</v>
      </c>
      <c r="U485" s="319" t="str">
        <f>VLOOKUP(H485,'Fund Utilization Report'!$A$4:$U$1800,3,FALSE)</f>
        <v>FY2021, RA11518</v>
      </c>
      <c r="V485" s="319" t="str">
        <f>VLOOKUP(H485,'Fund Utilization Report'!$A$4:$U$1800,4,FALSE)</f>
        <v>OO1</v>
      </c>
      <c r="W485" s="319" t="str">
        <f>VLOOKUP(H485,'Fund Utilization Report'!$A$4:$U$1800,5,FALSE)</f>
        <v>01101101</v>
      </c>
      <c r="X485" s="319" t="str">
        <f>VLOOKUP(H485,'Fund Utilization Report'!$A$4:$U$1800,6,FALSE)</f>
        <v>GOP</v>
      </c>
      <c r="Y485" s="320" t="str">
        <f>VLOOKUP(H485,'Fund Utilization Report'!$A$4:$U$1800,7,FALSE)</f>
        <v>PS</v>
      </c>
      <c r="Z485" s="321">
        <f>VLOOKUP(H485,'Fund Utilization Report'!$A$4:$U$1800,8,FALSE)</f>
        <v>5010000000</v>
      </c>
      <c r="AA485" s="319" t="str">
        <f>VLOOKUP(H485,'Fund Utilization Report'!$A$4:$U$1800,14,FALSE)</f>
        <v>310100100002000</v>
      </c>
      <c r="AB485" s="349" t="str">
        <f>VLOOKUP(H485,'Fund Utilization Report'!$A$4:$U$1800,15,FALSE)</f>
        <v>Development,Facilitation, and promotion of exports and investment, domestic and foreign</v>
      </c>
      <c r="AC485" s="39"/>
      <c r="AD485" s="34"/>
      <c r="AE485" s="39"/>
      <c r="AF485" s="51"/>
      <c r="AG485" s="40"/>
      <c r="AH485" s="40"/>
    </row>
    <row r="486" spans="1:34" s="32" customFormat="1" ht="27.6">
      <c r="A486" s="338" t="s">
        <v>942</v>
      </c>
      <c r="B486" s="338" t="s">
        <v>945</v>
      </c>
      <c r="C486" s="358">
        <v>44237</v>
      </c>
      <c r="D486" s="351" t="s">
        <v>1028</v>
      </c>
      <c r="E486" s="352" t="s">
        <v>1115</v>
      </c>
      <c r="F486" s="338">
        <v>0.46458333333333335</v>
      </c>
      <c r="G486" s="338">
        <v>0.46736111111111112</v>
      </c>
      <c r="H486" s="338" t="s">
        <v>964</v>
      </c>
      <c r="I486" s="353">
        <v>711</v>
      </c>
      <c r="J486" s="338" t="str">
        <f>IFERROR(VLOOKUP(I486,'Chart of accounts'!A:H,2,FALSE),"")</f>
        <v>50102010 01</v>
      </c>
      <c r="K486" s="338" t="str">
        <f>IFERROR(VLOOKUP(I486,'Chart of accounts'!A:H,3,FALSE),"")</f>
        <v>PERA - Civilian</v>
      </c>
      <c r="L486" s="338" t="str">
        <f>IFERROR(VLOOKUP(I486,'Chart of accounts'!A:H,4,FALSE),"")</f>
        <v>50102010 01 - PERA - Civilian (711)</v>
      </c>
      <c r="M486" s="361">
        <v>85</v>
      </c>
      <c r="N486" s="355" t="s">
        <v>765</v>
      </c>
      <c r="O486" s="355" t="s">
        <v>1113</v>
      </c>
      <c r="P486" s="355"/>
      <c r="Q486" s="363">
        <v>2000</v>
      </c>
      <c r="R486" s="319">
        <f t="shared" si="7"/>
        <v>-2000</v>
      </c>
      <c r="S486" s="319" t="str">
        <f>VLOOKUP(H486,'Fund Utilization Report'!$A$4:$U$1800,13,FALSE)</f>
        <v>PS</v>
      </c>
      <c r="T486" s="319" t="str">
        <f>VLOOKUP(H486,'Fund Utilization Report'!$A$4:$U$1800,2,FALSE)</f>
        <v>GAA</v>
      </c>
      <c r="U486" s="319" t="str">
        <f>VLOOKUP(H486,'Fund Utilization Report'!$A$4:$U$1800,3,FALSE)</f>
        <v>FY2021, RA11518</v>
      </c>
      <c r="V486" s="319" t="str">
        <f>VLOOKUP(H486,'Fund Utilization Report'!$A$4:$U$1800,4,FALSE)</f>
        <v>OO1</v>
      </c>
      <c r="W486" s="319" t="str">
        <f>VLOOKUP(H486,'Fund Utilization Report'!$A$4:$U$1800,5,FALSE)</f>
        <v>01101101</v>
      </c>
      <c r="X486" s="319" t="str">
        <f>VLOOKUP(H486,'Fund Utilization Report'!$A$4:$U$1800,6,FALSE)</f>
        <v>GOP</v>
      </c>
      <c r="Y486" s="320" t="str">
        <f>VLOOKUP(H486,'Fund Utilization Report'!$A$4:$U$1800,7,FALSE)</f>
        <v>PS</v>
      </c>
      <c r="Z486" s="321">
        <f>VLOOKUP(H486,'Fund Utilization Report'!$A$4:$U$1800,8,FALSE)</f>
        <v>5010000000</v>
      </c>
      <c r="AA486" s="319" t="str">
        <f>VLOOKUP(H486,'Fund Utilization Report'!$A$4:$U$1800,14,FALSE)</f>
        <v>310100100002000</v>
      </c>
      <c r="AB486" s="349" t="str">
        <f>VLOOKUP(H486,'Fund Utilization Report'!$A$4:$U$1800,15,FALSE)</f>
        <v>Development,Facilitation, and promotion of exports and investment, domestic and foreign</v>
      </c>
      <c r="AC486" s="39"/>
      <c r="AD486" s="34"/>
      <c r="AE486" s="39"/>
      <c r="AF486" s="51"/>
      <c r="AG486" s="40"/>
      <c r="AH486" s="40"/>
    </row>
    <row r="487" spans="1:34" s="32" customFormat="1" ht="27.6">
      <c r="A487" s="338" t="s">
        <v>942</v>
      </c>
      <c r="B487" s="338" t="s">
        <v>945</v>
      </c>
      <c r="C487" s="358">
        <v>44237</v>
      </c>
      <c r="D487" s="351" t="s">
        <v>1028</v>
      </c>
      <c r="E487" s="352" t="s">
        <v>1115</v>
      </c>
      <c r="F487" s="338">
        <v>0.46458333333333335</v>
      </c>
      <c r="G487" s="338">
        <v>0.46736111111111112</v>
      </c>
      <c r="H487" s="338" t="s">
        <v>966</v>
      </c>
      <c r="I487" s="353">
        <v>731</v>
      </c>
      <c r="J487" s="338" t="str">
        <f>IFERROR(VLOOKUP(I487,'Chart of accounts'!A:H,2,FALSE),"")</f>
        <v>50103010 00</v>
      </c>
      <c r="K487" s="338" t="str">
        <f>IFERROR(VLOOKUP(I487,'Chart of accounts'!A:H,3,FALSE),"")</f>
        <v>Retirement and Life Insurance Premiums</v>
      </c>
      <c r="L487" s="338" t="str">
        <f>IFERROR(VLOOKUP(I487,'Chart of accounts'!A:H,4,FALSE),"")</f>
        <v>50103010 00 - Retirement and Life Insurance Premiums (731)</v>
      </c>
      <c r="M487" s="361">
        <v>85</v>
      </c>
      <c r="N487" s="355" t="s">
        <v>765</v>
      </c>
      <c r="O487" s="355" t="s">
        <v>1113</v>
      </c>
      <c r="P487" s="355"/>
      <c r="Q487" s="363">
        <v>13409.04</v>
      </c>
      <c r="R487" s="319">
        <f t="shared" si="7"/>
        <v>-13409.04</v>
      </c>
      <c r="S487" s="319" t="str">
        <f>VLOOKUP(H487,'Fund Utilization Report'!$A$4:$U$1800,13,FALSE)</f>
        <v>PS</v>
      </c>
      <c r="T487" s="319" t="str">
        <f>VLOOKUP(H487,'Fund Utilization Report'!$A$4:$U$1800,2,FALSE)</f>
        <v>GAA</v>
      </c>
      <c r="U487" s="319" t="str">
        <f>VLOOKUP(H487,'Fund Utilization Report'!$A$4:$U$1800,3,FALSE)</f>
        <v>FY2021, RA11518</v>
      </c>
      <c r="V487" s="319" t="str">
        <f>VLOOKUP(H487,'Fund Utilization Report'!$A$4:$U$1800,4,FALSE)</f>
        <v>OO1</v>
      </c>
      <c r="W487" s="319" t="str">
        <f>VLOOKUP(H487,'Fund Utilization Report'!$A$4:$U$1800,5,FALSE)</f>
        <v>01101101</v>
      </c>
      <c r="X487" s="319" t="str">
        <f>VLOOKUP(H487,'Fund Utilization Report'!$A$4:$U$1800,6,FALSE)</f>
        <v>GOP</v>
      </c>
      <c r="Y487" s="320" t="str">
        <f>VLOOKUP(H487,'Fund Utilization Report'!$A$4:$U$1800,7,FALSE)</f>
        <v>RLIP</v>
      </c>
      <c r="Z487" s="321" t="str">
        <f>VLOOKUP(H487,'Fund Utilization Report'!$A$4:$U$1800,8,FALSE)</f>
        <v>50103010-00</v>
      </c>
      <c r="AA487" s="319" t="str">
        <f>VLOOKUP(H487,'Fund Utilization Report'!$A$4:$U$1800,14,FALSE)</f>
        <v>310100100002000</v>
      </c>
      <c r="AB487" s="349" t="str">
        <f>VLOOKUP(H487,'Fund Utilization Report'!$A$4:$U$1800,15,FALSE)</f>
        <v>Development,Facilitation, and promotion of exports and investment, domestic and foreign</v>
      </c>
      <c r="AC487" s="39"/>
      <c r="AD487" s="34"/>
      <c r="AE487" s="39"/>
      <c r="AF487" s="51"/>
      <c r="AG487" s="40"/>
      <c r="AH487" s="40"/>
    </row>
    <row r="488" spans="1:34" s="32" customFormat="1" ht="27.6">
      <c r="A488" s="338" t="s">
        <v>942</v>
      </c>
      <c r="B488" s="338" t="s">
        <v>945</v>
      </c>
      <c r="C488" s="358">
        <v>44237</v>
      </c>
      <c r="D488" s="351" t="s">
        <v>1028</v>
      </c>
      <c r="E488" s="352" t="s">
        <v>1115</v>
      </c>
      <c r="F488" s="338">
        <v>0.46458333333333335</v>
      </c>
      <c r="G488" s="338">
        <v>0.46736111111111112</v>
      </c>
      <c r="H488" s="338" t="s">
        <v>964</v>
      </c>
      <c r="I488" s="353">
        <v>732</v>
      </c>
      <c r="J488" s="338" t="str">
        <f>IFERROR(VLOOKUP(I488,'Chart of accounts'!A:H,2,FALSE),"")</f>
        <v>50103020 01</v>
      </c>
      <c r="K488" s="338" t="str">
        <f>IFERROR(VLOOKUP(I488,'Chart of accounts'!A:H,3,FALSE),"")</f>
        <v>Pag-IBIG - Civilian</v>
      </c>
      <c r="L488" s="338" t="str">
        <f>IFERROR(VLOOKUP(I488,'Chart of accounts'!A:H,4,FALSE),"")</f>
        <v>50103020 01 - Pag-IBIG - Civilian (732)</v>
      </c>
      <c r="M488" s="361">
        <v>85</v>
      </c>
      <c r="N488" s="355" t="s">
        <v>765</v>
      </c>
      <c r="O488" s="355" t="s">
        <v>1113</v>
      </c>
      <c r="P488" s="355"/>
      <c r="Q488" s="363">
        <v>100</v>
      </c>
      <c r="R488" s="319">
        <f t="shared" si="7"/>
        <v>-100</v>
      </c>
      <c r="S488" s="319" t="str">
        <f>VLOOKUP(H488,'Fund Utilization Report'!$A$4:$U$1800,13,FALSE)</f>
        <v>PS</v>
      </c>
      <c r="T488" s="319" t="str">
        <f>VLOOKUP(H488,'Fund Utilization Report'!$A$4:$U$1800,2,FALSE)</f>
        <v>GAA</v>
      </c>
      <c r="U488" s="319" t="str">
        <f>VLOOKUP(H488,'Fund Utilization Report'!$A$4:$U$1800,3,FALSE)</f>
        <v>FY2021, RA11518</v>
      </c>
      <c r="V488" s="319" t="str">
        <f>VLOOKUP(H488,'Fund Utilization Report'!$A$4:$U$1800,4,FALSE)</f>
        <v>OO1</v>
      </c>
      <c r="W488" s="319" t="str">
        <f>VLOOKUP(H488,'Fund Utilization Report'!$A$4:$U$1800,5,FALSE)</f>
        <v>01101101</v>
      </c>
      <c r="X488" s="319" t="str">
        <f>VLOOKUP(H488,'Fund Utilization Report'!$A$4:$U$1800,6,FALSE)</f>
        <v>GOP</v>
      </c>
      <c r="Y488" s="320" t="str">
        <f>VLOOKUP(H488,'Fund Utilization Report'!$A$4:$U$1800,7,FALSE)</f>
        <v>PS</v>
      </c>
      <c r="Z488" s="321">
        <f>VLOOKUP(H488,'Fund Utilization Report'!$A$4:$U$1800,8,FALSE)</f>
        <v>5010000000</v>
      </c>
      <c r="AA488" s="319" t="str">
        <f>VLOOKUP(H488,'Fund Utilization Report'!$A$4:$U$1800,14,FALSE)</f>
        <v>310100100002000</v>
      </c>
      <c r="AB488" s="349" t="str">
        <f>VLOOKUP(H488,'Fund Utilization Report'!$A$4:$U$1800,15,FALSE)</f>
        <v>Development,Facilitation, and promotion of exports and investment, domestic and foreign</v>
      </c>
      <c r="AC488" s="39"/>
      <c r="AD488" s="34"/>
      <c r="AE488" s="39"/>
      <c r="AF488" s="51"/>
      <c r="AG488" s="40"/>
      <c r="AH488" s="40"/>
    </row>
    <row r="489" spans="1:34" s="32" customFormat="1" ht="27.6">
      <c r="A489" s="338" t="s">
        <v>942</v>
      </c>
      <c r="B489" s="338" t="s">
        <v>945</v>
      </c>
      <c r="C489" s="358">
        <v>44237</v>
      </c>
      <c r="D489" s="351" t="s">
        <v>1028</v>
      </c>
      <c r="E489" s="352" t="s">
        <v>1115</v>
      </c>
      <c r="F489" s="338">
        <v>0.46458333333333335</v>
      </c>
      <c r="G489" s="338">
        <v>0.46736111111111112</v>
      </c>
      <c r="H489" s="338" t="s">
        <v>964</v>
      </c>
      <c r="I489" s="353">
        <v>733</v>
      </c>
      <c r="J489" s="338" t="str">
        <f>IFERROR(VLOOKUP(I489,'Chart of accounts'!A:H,2,FALSE),"")</f>
        <v>50103030 01</v>
      </c>
      <c r="K489" s="338" t="str">
        <f>IFERROR(VLOOKUP(I489,'Chart of accounts'!A:H,3,FALSE),"")</f>
        <v>PhilHealth - Civilian</v>
      </c>
      <c r="L489" s="338" t="str">
        <f>IFERROR(VLOOKUP(I489,'Chart of accounts'!A:H,4,FALSE),"")</f>
        <v>50103030 01 - PhilHealth - Civilian (733)</v>
      </c>
      <c r="M489" s="361">
        <v>85</v>
      </c>
      <c r="N489" s="355" t="s">
        <v>765</v>
      </c>
      <c r="O489" s="355" t="s">
        <v>1113</v>
      </c>
      <c r="P489" s="355"/>
      <c r="Q489" s="363">
        <v>900</v>
      </c>
      <c r="R489" s="319">
        <f t="shared" si="7"/>
        <v>-900</v>
      </c>
      <c r="S489" s="319" t="str">
        <f>VLOOKUP(H489,'Fund Utilization Report'!$A$4:$U$1800,13,FALSE)</f>
        <v>PS</v>
      </c>
      <c r="T489" s="319" t="str">
        <f>VLOOKUP(H489,'Fund Utilization Report'!$A$4:$U$1800,2,FALSE)</f>
        <v>GAA</v>
      </c>
      <c r="U489" s="319" t="str">
        <f>VLOOKUP(H489,'Fund Utilization Report'!$A$4:$U$1800,3,FALSE)</f>
        <v>FY2021, RA11518</v>
      </c>
      <c r="V489" s="319" t="str">
        <f>VLOOKUP(H489,'Fund Utilization Report'!$A$4:$U$1800,4,FALSE)</f>
        <v>OO1</v>
      </c>
      <c r="W489" s="319" t="str">
        <f>VLOOKUP(H489,'Fund Utilization Report'!$A$4:$U$1800,5,FALSE)</f>
        <v>01101101</v>
      </c>
      <c r="X489" s="319" t="str">
        <f>VLOOKUP(H489,'Fund Utilization Report'!$A$4:$U$1800,6,FALSE)</f>
        <v>GOP</v>
      </c>
      <c r="Y489" s="320" t="str">
        <f>VLOOKUP(H489,'Fund Utilization Report'!$A$4:$U$1800,7,FALSE)</f>
        <v>PS</v>
      </c>
      <c r="Z489" s="321">
        <f>VLOOKUP(H489,'Fund Utilization Report'!$A$4:$U$1800,8,FALSE)</f>
        <v>5010000000</v>
      </c>
      <c r="AA489" s="319" t="str">
        <f>VLOOKUP(H489,'Fund Utilization Report'!$A$4:$U$1800,14,FALSE)</f>
        <v>310100100002000</v>
      </c>
      <c r="AB489" s="349" t="str">
        <f>VLOOKUP(H489,'Fund Utilization Report'!$A$4:$U$1800,15,FALSE)</f>
        <v>Development,Facilitation, and promotion of exports and investment, domestic and foreign</v>
      </c>
      <c r="AC489" s="39"/>
      <c r="AD489" s="34"/>
      <c r="AE489" s="39"/>
      <c r="AF489" s="51"/>
      <c r="AG489" s="40"/>
      <c r="AH489" s="40"/>
    </row>
    <row r="490" spans="1:34" s="32" customFormat="1" ht="27.6">
      <c r="A490" s="338" t="s">
        <v>942</v>
      </c>
      <c r="B490" s="338" t="s">
        <v>945</v>
      </c>
      <c r="C490" s="358">
        <v>44237</v>
      </c>
      <c r="D490" s="351" t="s">
        <v>1028</v>
      </c>
      <c r="E490" s="352" t="s">
        <v>1115</v>
      </c>
      <c r="F490" s="338">
        <v>0.46458333333333335</v>
      </c>
      <c r="G490" s="338">
        <v>0.46736111111111112</v>
      </c>
      <c r="H490" s="338" t="s">
        <v>964</v>
      </c>
      <c r="I490" s="353">
        <v>734</v>
      </c>
      <c r="J490" s="338" t="str">
        <f>IFERROR(VLOOKUP(I490,'Chart of accounts'!A:H,2,FALSE),"")</f>
        <v>50103040 01</v>
      </c>
      <c r="K490" s="338" t="str">
        <f>IFERROR(VLOOKUP(I490,'Chart of accounts'!A:H,3,FALSE),"")</f>
        <v>ECIP - Civilian</v>
      </c>
      <c r="L490" s="338" t="str">
        <f>IFERROR(VLOOKUP(I490,'Chart of accounts'!A:H,4,FALSE),"")</f>
        <v>50103040 01 - ECIP - Civilian (734)</v>
      </c>
      <c r="M490" s="361">
        <v>85</v>
      </c>
      <c r="N490" s="355" t="s">
        <v>765</v>
      </c>
      <c r="O490" s="355" t="s">
        <v>1113</v>
      </c>
      <c r="P490" s="355"/>
      <c r="Q490" s="363">
        <v>100</v>
      </c>
      <c r="R490" s="319">
        <f t="shared" si="7"/>
        <v>-100</v>
      </c>
      <c r="S490" s="319" t="str">
        <f>VLOOKUP(H490,'Fund Utilization Report'!$A$4:$U$1800,13,FALSE)</f>
        <v>PS</v>
      </c>
      <c r="T490" s="319" t="str">
        <f>VLOOKUP(H490,'Fund Utilization Report'!$A$4:$U$1800,2,FALSE)</f>
        <v>GAA</v>
      </c>
      <c r="U490" s="319" t="str">
        <f>VLOOKUP(H490,'Fund Utilization Report'!$A$4:$U$1800,3,FALSE)</f>
        <v>FY2021, RA11518</v>
      </c>
      <c r="V490" s="319" t="str">
        <f>VLOOKUP(H490,'Fund Utilization Report'!$A$4:$U$1800,4,FALSE)</f>
        <v>OO1</v>
      </c>
      <c r="W490" s="319" t="str">
        <f>VLOOKUP(H490,'Fund Utilization Report'!$A$4:$U$1800,5,FALSE)</f>
        <v>01101101</v>
      </c>
      <c r="X490" s="319" t="str">
        <f>VLOOKUP(H490,'Fund Utilization Report'!$A$4:$U$1800,6,FALSE)</f>
        <v>GOP</v>
      </c>
      <c r="Y490" s="320" t="str">
        <f>VLOOKUP(H490,'Fund Utilization Report'!$A$4:$U$1800,7,FALSE)</f>
        <v>PS</v>
      </c>
      <c r="Z490" s="321">
        <f>VLOOKUP(H490,'Fund Utilization Report'!$A$4:$U$1800,8,FALSE)</f>
        <v>5010000000</v>
      </c>
      <c r="AA490" s="319" t="str">
        <f>VLOOKUP(H490,'Fund Utilization Report'!$A$4:$U$1800,14,FALSE)</f>
        <v>310100100002000</v>
      </c>
      <c r="AB490" s="349" t="str">
        <f>VLOOKUP(H490,'Fund Utilization Report'!$A$4:$U$1800,15,FALSE)</f>
        <v>Development,Facilitation, and promotion of exports and investment, domestic and foreign</v>
      </c>
      <c r="AC490" s="39"/>
      <c r="AD490" s="34"/>
      <c r="AE490" s="39"/>
      <c r="AF490" s="51"/>
      <c r="AG490" s="40"/>
      <c r="AH490" s="40"/>
    </row>
    <row r="491" spans="1:34" s="32" customFormat="1" ht="27.6">
      <c r="A491" s="338" t="s">
        <v>942</v>
      </c>
      <c r="B491" s="338" t="s">
        <v>945</v>
      </c>
      <c r="C491" s="358">
        <v>44237</v>
      </c>
      <c r="D491" s="351" t="s">
        <v>1028</v>
      </c>
      <c r="E491" s="352" t="s">
        <v>1115</v>
      </c>
      <c r="F491" s="338">
        <v>0.46458333333333335</v>
      </c>
      <c r="G491" s="338">
        <v>0.46736111111111112</v>
      </c>
      <c r="H491" s="338" t="s">
        <v>967</v>
      </c>
      <c r="I491" s="353">
        <v>701</v>
      </c>
      <c r="J491" s="338" t="str">
        <f>IFERROR(VLOOKUP(I491,'Chart of accounts'!A:H,2,FALSE),"")</f>
        <v>50101010 01</v>
      </c>
      <c r="K491" s="338" t="str">
        <f>IFERROR(VLOOKUP(I491,'Chart of accounts'!A:H,3,FALSE),"")</f>
        <v>Basic Salary - Civilian</v>
      </c>
      <c r="L491" s="338" t="str">
        <f>IFERROR(VLOOKUP(I491,'Chart of accounts'!A:H,4,FALSE),"")</f>
        <v>50101010 01 - Basic Salary - Civilian (701)</v>
      </c>
      <c r="M491" s="361">
        <v>85</v>
      </c>
      <c r="N491" s="355" t="s">
        <v>765</v>
      </c>
      <c r="O491" s="355" t="s">
        <v>1113</v>
      </c>
      <c r="P491" s="355"/>
      <c r="Q491" s="363">
        <v>81329</v>
      </c>
      <c r="R491" s="319">
        <f t="shared" si="7"/>
        <v>-81329</v>
      </c>
      <c r="S491" s="319" t="str">
        <f>VLOOKUP(H491,'Fund Utilization Report'!$A$4:$U$1800,13,FALSE)</f>
        <v>PS</v>
      </c>
      <c r="T491" s="319" t="str">
        <f>VLOOKUP(H491,'Fund Utilization Report'!$A$4:$U$1800,2,FALSE)</f>
        <v>GAA</v>
      </c>
      <c r="U491" s="319" t="str">
        <f>VLOOKUP(H491,'Fund Utilization Report'!$A$4:$U$1800,3,FALSE)</f>
        <v>FY2021, RA11518</v>
      </c>
      <c r="V491" s="319" t="str">
        <f>VLOOKUP(H491,'Fund Utilization Report'!$A$4:$U$1800,4,FALSE)</f>
        <v>OO2</v>
      </c>
      <c r="W491" s="319" t="str">
        <f>VLOOKUP(H491,'Fund Utilization Report'!$A$4:$U$1800,5,FALSE)</f>
        <v>01101101</v>
      </c>
      <c r="X491" s="319" t="str">
        <f>VLOOKUP(H491,'Fund Utilization Report'!$A$4:$U$1800,6,FALSE)</f>
        <v>GOP</v>
      </c>
      <c r="Y491" s="320" t="str">
        <f>VLOOKUP(H491,'Fund Utilization Report'!$A$4:$U$1800,7,FALSE)</f>
        <v>PS</v>
      </c>
      <c r="Z491" s="321">
        <f>VLOOKUP(H491,'Fund Utilization Report'!$A$4:$U$1800,8,FALSE)</f>
        <v>5010000000</v>
      </c>
      <c r="AA491" s="319" t="str">
        <f>VLOOKUP(H491,'Fund Utilization Report'!$A$4:$U$1800,14,FALSE)</f>
        <v>320100100001000</v>
      </c>
      <c r="AB491" s="349" t="str">
        <f>VLOOKUP(H491,'Fund Utilization Report'!$A$4:$U$1800,15,FALSE)</f>
        <v>Formulation of Strategic plans,programs, and policies to develop competitve industries</v>
      </c>
      <c r="AC491" s="39"/>
      <c r="AD491" s="34"/>
      <c r="AE491" s="39"/>
      <c r="AF491" s="51"/>
      <c r="AG491" s="40"/>
      <c r="AH491" s="40"/>
    </row>
    <row r="492" spans="1:34" s="32" customFormat="1" ht="27.6">
      <c r="A492" s="338" t="s">
        <v>942</v>
      </c>
      <c r="B492" s="338" t="s">
        <v>945</v>
      </c>
      <c r="C492" s="358">
        <v>44237</v>
      </c>
      <c r="D492" s="351" t="s">
        <v>1028</v>
      </c>
      <c r="E492" s="352" t="s">
        <v>1115</v>
      </c>
      <c r="F492" s="338">
        <v>0.46458333333333335</v>
      </c>
      <c r="G492" s="338">
        <v>0.46736111111111112</v>
      </c>
      <c r="H492" s="338" t="s">
        <v>967</v>
      </c>
      <c r="I492" s="353">
        <v>711</v>
      </c>
      <c r="J492" s="338" t="str">
        <f>IFERROR(VLOOKUP(I492,'Chart of accounts'!A:H,2,FALSE),"")</f>
        <v>50102010 01</v>
      </c>
      <c r="K492" s="338" t="str">
        <f>IFERROR(VLOOKUP(I492,'Chart of accounts'!A:H,3,FALSE),"")</f>
        <v>PERA - Civilian</v>
      </c>
      <c r="L492" s="338" t="str">
        <f>IFERROR(VLOOKUP(I492,'Chart of accounts'!A:H,4,FALSE),"")</f>
        <v>50102010 01 - PERA - Civilian (711)</v>
      </c>
      <c r="M492" s="361">
        <v>85</v>
      </c>
      <c r="N492" s="355" t="s">
        <v>765</v>
      </c>
      <c r="O492" s="355" t="s">
        <v>1113</v>
      </c>
      <c r="P492" s="355"/>
      <c r="Q492" s="363">
        <v>6000</v>
      </c>
      <c r="R492" s="319">
        <f t="shared" si="7"/>
        <v>-6000</v>
      </c>
      <c r="S492" s="319" t="str">
        <f>VLOOKUP(H492,'Fund Utilization Report'!$A$4:$U$1800,13,FALSE)</f>
        <v>PS</v>
      </c>
      <c r="T492" s="319" t="str">
        <f>VLOOKUP(H492,'Fund Utilization Report'!$A$4:$U$1800,2,FALSE)</f>
        <v>GAA</v>
      </c>
      <c r="U492" s="319" t="str">
        <f>VLOOKUP(H492,'Fund Utilization Report'!$A$4:$U$1800,3,FALSE)</f>
        <v>FY2021, RA11518</v>
      </c>
      <c r="V492" s="319" t="str">
        <f>VLOOKUP(H492,'Fund Utilization Report'!$A$4:$U$1800,4,FALSE)</f>
        <v>OO2</v>
      </c>
      <c r="W492" s="319" t="str">
        <f>VLOOKUP(H492,'Fund Utilization Report'!$A$4:$U$1800,5,FALSE)</f>
        <v>01101101</v>
      </c>
      <c r="X492" s="319" t="str">
        <f>VLOOKUP(H492,'Fund Utilization Report'!$A$4:$U$1800,6,FALSE)</f>
        <v>GOP</v>
      </c>
      <c r="Y492" s="320" t="str">
        <f>VLOOKUP(H492,'Fund Utilization Report'!$A$4:$U$1800,7,FALSE)</f>
        <v>PS</v>
      </c>
      <c r="Z492" s="321">
        <f>VLOOKUP(H492,'Fund Utilization Report'!$A$4:$U$1800,8,FALSE)</f>
        <v>5010000000</v>
      </c>
      <c r="AA492" s="319" t="str">
        <f>VLOOKUP(H492,'Fund Utilization Report'!$A$4:$U$1800,14,FALSE)</f>
        <v>320100100001000</v>
      </c>
      <c r="AB492" s="349" t="str">
        <f>VLOOKUP(H492,'Fund Utilization Report'!$A$4:$U$1800,15,FALSE)</f>
        <v>Formulation of Strategic plans,programs, and policies to develop competitve industries</v>
      </c>
      <c r="AC492" s="39"/>
      <c r="AD492" s="34"/>
      <c r="AE492" s="39"/>
      <c r="AF492" s="51"/>
      <c r="AG492" s="40"/>
      <c r="AH492" s="40"/>
    </row>
    <row r="493" spans="1:34" s="32" customFormat="1" ht="27.6">
      <c r="A493" s="338" t="s">
        <v>942</v>
      </c>
      <c r="B493" s="338" t="s">
        <v>945</v>
      </c>
      <c r="C493" s="358">
        <v>44237</v>
      </c>
      <c r="D493" s="351" t="s">
        <v>1028</v>
      </c>
      <c r="E493" s="352" t="s">
        <v>1115</v>
      </c>
      <c r="F493" s="338">
        <v>0.46458333333333335</v>
      </c>
      <c r="G493" s="338">
        <v>0.46736111111111112</v>
      </c>
      <c r="H493" s="338" t="s">
        <v>969</v>
      </c>
      <c r="I493" s="353">
        <v>731</v>
      </c>
      <c r="J493" s="338" t="str">
        <f>IFERROR(VLOOKUP(I493,'Chart of accounts'!A:H,2,FALSE),"")</f>
        <v>50103010 00</v>
      </c>
      <c r="K493" s="338" t="str">
        <f>IFERROR(VLOOKUP(I493,'Chart of accounts'!A:H,3,FALSE),"")</f>
        <v>Retirement and Life Insurance Premiums</v>
      </c>
      <c r="L493" s="338" t="str">
        <f>IFERROR(VLOOKUP(I493,'Chart of accounts'!A:H,4,FALSE),"")</f>
        <v>50103010 00 - Retirement and Life Insurance Premiums (731)</v>
      </c>
      <c r="M493" s="361">
        <v>85</v>
      </c>
      <c r="N493" s="355" t="s">
        <v>765</v>
      </c>
      <c r="O493" s="355" t="s">
        <v>1113</v>
      </c>
      <c r="P493" s="355"/>
      <c r="Q493" s="363">
        <v>9759.48</v>
      </c>
      <c r="R493" s="319">
        <f t="shared" si="7"/>
        <v>-9759.48</v>
      </c>
      <c r="S493" s="319" t="str">
        <f>VLOOKUP(H493,'Fund Utilization Report'!$A$4:$U$1800,13,FALSE)</f>
        <v>PS</v>
      </c>
      <c r="T493" s="319" t="str">
        <f>VLOOKUP(H493,'Fund Utilization Report'!$A$4:$U$1800,2,FALSE)</f>
        <v>GAA</v>
      </c>
      <c r="U493" s="319" t="str">
        <f>VLOOKUP(H493,'Fund Utilization Report'!$A$4:$U$1800,3,FALSE)</f>
        <v>FY2021, RA11518</v>
      </c>
      <c r="V493" s="319" t="str">
        <f>VLOOKUP(H493,'Fund Utilization Report'!$A$4:$U$1800,4,FALSE)</f>
        <v>OO2</v>
      </c>
      <c r="W493" s="319" t="str">
        <f>VLOOKUP(H493,'Fund Utilization Report'!$A$4:$U$1800,5,FALSE)</f>
        <v>01101101</v>
      </c>
      <c r="X493" s="319" t="str">
        <f>VLOOKUP(H493,'Fund Utilization Report'!$A$4:$U$1800,6,FALSE)</f>
        <v>GOP</v>
      </c>
      <c r="Y493" s="320" t="str">
        <f>VLOOKUP(H493,'Fund Utilization Report'!$A$4:$U$1800,7,FALSE)</f>
        <v>RLIP</v>
      </c>
      <c r="Z493" s="321" t="str">
        <f>VLOOKUP(H493,'Fund Utilization Report'!$A$4:$U$1800,8,FALSE)</f>
        <v>50103010-00</v>
      </c>
      <c r="AA493" s="319" t="str">
        <f>VLOOKUP(H493,'Fund Utilization Report'!$A$4:$U$1800,14,FALSE)</f>
        <v>320100100001000</v>
      </c>
      <c r="AB493" s="349" t="str">
        <f>VLOOKUP(H493,'Fund Utilization Report'!$A$4:$U$1800,15,FALSE)</f>
        <v>Formulation of Strategic plans,programs, and policies to develop competitve industries</v>
      </c>
      <c r="AC493" s="39"/>
      <c r="AD493" s="34"/>
      <c r="AE493" s="39"/>
      <c r="AF493" s="51"/>
      <c r="AG493" s="40"/>
      <c r="AH493" s="40"/>
    </row>
    <row r="494" spans="1:34" s="32" customFormat="1" ht="27.6">
      <c r="A494" s="338" t="s">
        <v>942</v>
      </c>
      <c r="B494" s="338" t="s">
        <v>945</v>
      </c>
      <c r="C494" s="358">
        <v>44237</v>
      </c>
      <c r="D494" s="351" t="s">
        <v>1028</v>
      </c>
      <c r="E494" s="352" t="s">
        <v>1115</v>
      </c>
      <c r="F494" s="338">
        <v>0.46458333333333335</v>
      </c>
      <c r="G494" s="338">
        <v>0.46736111111111112</v>
      </c>
      <c r="H494" s="338" t="s">
        <v>967</v>
      </c>
      <c r="I494" s="353">
        <v>732</v>
      </c>
      <c r="J494" s="338" t="str">
        <f>IFERROR(VLOOKUP(I494,'Chart of accounts'!A:H,2,FALSE),"")</f>
        <v>50103020 01</v>
      </c>
      <c r="K494" s="338" t="str">
        <f>IFERROR(VLOOKUP(I494,'Chart of accounts'!A:H,3,FALSE),"")</f>
        <v>Pag-IBIG - Civilian</v>
      </c>
      <c r="L494" s="338" t="str">
        <f>IFERROR(VLOOKUP(I494,'Chart of accounts'!A:H,4,FALSE),"")</f>
        <v>50103020 01 - Pag-IBIG - Civilian (732)</v>
      </c>
      <c r="M494" s="361">
        <v>85</v>
      </c>
      <c r="N494" s="355" t="s">
        <v>765</v>
      </c>
      <c r="O494" s="355" t="s">
        <v>1113</v>
      </c>
      <c r="P494" s="355"/>
      <c r="Q494" s="363">
        <v>300</v>
      </c>
      <c r="R494" s="319">
        <f t="shared" si="7"/>
        <v>-300</v>
      </c>
      <c r="S494" s="319" t="str">
        <f>VLOOKUP(H494,'Fund Utilization Report'!$A$4:$U$1800,13,FALSE)</f>
        <v>PS</v>
      </c>
      <c r="T494" s="319" t="str">
        <f>VLOOKUP(H494,'Fund Utilization Report'!$A$4:$U$1800,2,FALSE)</f>
        <v>GAA</v>
      </c>
      <c r="U494" s="319" t="str">
        <f>VLOOKUP(H494,'Fund Utilization Report'!$A$4:$U$1800,3,FALSE)</f>
        <v>FY2021, RA11518</v>
      </c>
      <c r="V494" s="319" t="str">
        <f>VLOOKUP(H494,'Fund Utilization Report'!$A$4:$U$1800,4,FALSE)</f>
        <v>OO2</v>
      </c>
      <c r="W494" s="319" t="str">
        <f>VLOOKUP(H494,'Fund Utilization Report'!$A$4:$U$1800,5,FALSE)</f>
        <v>01101101</v>
      </c>
      <c r="X494" s="319" t="str">
        <f>VLOOKUP(H494,'Fund Utilization Report'!$A$4:$U$1800,6,FALSE)</f>
        <v>GOP</v>
      </c>
      <c r="Y494" s="320" t="str">
        <f>VLOOKUP(H494,'Fund Utilization Report'!$A$4:$U$1800,7,FALSE)</f>
        <v>PS</v>
      </c>
      <c r="Z494" s="321">
        <f>VLOOKUP(H494,'Fund Utilization Report'!$A$4:$U$1800,8,FALSE)</f>
        <v>5010000000</v>
      </c>
      <c r="AA494" s="319" t="str">
        <f>VLOOKUP(H494,'Fund Utilization Report'!$A$4:$U$1800,14,FALSE)</f>
        <v>320100100001000</v>
      </c>
      <c r="AB494" s="349" t="str">
        <f>VLOOKUP(H494,'Fund Utilization Report'!$A$4:$U$1800,15,FALSE)</f>
        <v>Formulation of Strategic plans,programs, and policies to develop competitve industries</v>
      </c>
      <c r="AC494" s="39"/>
      <c r="AD494" s="34"/>
      <c r="AE494" s="39"/>
      <c r="AF494" s="51"/>
      <c r="AG494" s="40"/>
      <c r="AH494" s="40"/>
    </row>
    <row r="495" spans="1:34" s="32" customFormat="1" ht="27.6">
      <c r="A495" s="338" t="s">
        <v>942</v>
      </c>
      <c r="B495" s="338" t="s">
        <v>945</v>
      </c>
      <c r="C495" s="358">
        <v>44237</v>
      </c>
      <c r="D495" s="351" t="s">
        <v>1028</v>
      </c>
      <c r="E495" s="352" t="s">
        <v>1115</v>
      </c>
      <c r="F495" s="338">
        <v>0.46458333333333335</v>
      </c>
      <c r="G495" s="338">
        <v>0.46736111111111112</v>
      </c>
      <c r="H495" s="338" t="s">
        <v>967</v>
      </c>
      <c r="I495" s="353">
        <v>733</v>
      </c>
      <c r="J495" s="338" t="str">
        <f>IFERROR(VLOOKUP(I495,'Chart of accounts'!A:H,2,FALSE),"")</f>
        <v>50103030 01</v>
      </c>
      <c r="K495" s="338" t="str">
        <f>IFERROR(VLOOKUP(I495,'Chart of accounts'!A:H,3,FALSE),"")</f>
        <v>PhilHealth - Civilian</v>
      </c>
      <c r="L495" s="338" t="str">
        <f>IFERROR(VLOOKUP(I495,'Chart of accounts'!A:H,4,FALSE),"")</f>
        <v>50103030 01 - PhilHealth - Civilian (733)</v>
      </c>
      <c r="M495" s="361">
        <v>85</v>
      </c>
      <c r="N495" s="355" t="s">
        <v>765</v>
      </c>
      <c r="O495" s="355" t="s">
        <v>1113</v>
      </c>
      <c r="P495" s="355"/>
      <c r="Q495" s="363">
        <v>1219.95</v>
      </c>
      <c r="R495" s="319">
        <f t="shared" si="7"/>
        <v>-1219.95</v>
      </c>
      <c r="S495" s="319" t="str">
        <f>VLOOKUP(H495,'Fund Utilization Report'!$A$4:$U$1800,13,FALSE)</f>
        <v>PS</v>
      </c>
      <c r="T495" s="319" t="str">
        <f>VLOOKUP(H495,'Fund Utilization Report'!$A$4:$U$1800,2,FALSE)</f>
        <v>GAA</v>
      </c>
      <c r="U495" s="319" t="str">
        <f>VLOOKUP(H495,'Fund Utilization Report'!$A$4:$U$1800,3,FALSE)</f>
        <v>FY2021, RA11518</v>
      </c>
      <c r="V495" s="319" t="str">
        <f>VLOOKUP(H495,'Fund Utilization Report'!$A$4:$U$1800,4,FALSE)</f>
        <v>OO2</v>
      </c>
      <c r="W495" s="319" t="str">
        <f>VLOOKUP(H495,'Fund Utilization Report'!$A$4:$U$1800,5,FALSE)</f>
        <v>01101101</v>
      </c>
      <c r="X495" s="319" t="str">
        <f>VLOOKUP(H495,'Fund Utilization Report'!$A$4:$U$1800,6,FALSE)</f>
        <v>GOP</v>
      </c>
      <c r="Y495" s="320" t="str">
        <f>VLOOKUP(H495,'Fund Utilization Report'!$A$4:$U$1800,7,FALSE)</f>
        <v>PS</v>
      </c>
      <c r="Z495" s="321">
        <f>VLOOKUP(H495,'Fund Utilization Report'!$A$4:$U$1800,8,FALSE)</f>
        <v>5010000000</v>
      </c>
      <c r="AA495" s="319" t="str">
        <f>VLOOKUP(H495,'Fund Utilization Report'!$A$4:$U$1800,14,FALSE)</f>
        <v>320100100001000</v>
      </c>
      <c r="AB495" s="349" t="str">
        <f>VLOOKUP(H495,'Fund Utilization Report'!$A$4:$U$1800,15,FALSE)</f>
        <v>Formulation of Strategic plans,programs, and policies to develop competitve industries</v>
      </c>
      <c r="AC495" s="39"/>
      <c r="AD495" s="34"/>
      <c r="AE495" s="39"/>
      <c r="AF495" s="51"/>
      <c r="AG495" s="40"/>
      <c r="AH495" s="40"/>
    </row>
    <row r="496" spans="1:34" s="32" customFormat="1" ht="27.6">
      <c r="A496" s="338" t="s">
        <v>942</v>
      </c>
      <c r="B496" s="338" t="s">
        <v>945</v>
      </c>
      <c r="C496" s="358">
        <v>44237</v>
      </c>
      <c r="D496" s="351" t="s">
        <v>1028</v>
      </c>
      <c r="E496" s="352" t="s">
        <v>1115</v>
      </c>
      <c r="F496" s="338">
        <v>0.46458333333333335</v>
      </c>
      <c r="G496" s="338">
        <v>0.46736111111111112</v>
      </c>
      <c r="H496" s="338" t="s">
        <v>967</v>
      </c>
      <c r="I496" s="353">
        <v>734</v>
      </c>
      <c r="J496" s="338" t="str">
        <f>IFERROR(VLOOKUP(I496,'Chart of accounts'!A:H,2,FALSE),"")</f>
        <v>50103040 01</v>
      </c>
      <c r="K496" s="338" t="str">
        <f>IFERROR(VLOOKUP(I496,'Chart of accounts'!A:H,3,FALSE),"")</f>
        <v>ECIP - Civilian</v>
      </c>
      <c r="L496" s="338" t="str">
        <f>IFERROR(VLOOKUP(I496,'Chart of accounts'!A:H,4,FALSE),"")</f>
        <v>50103040 01 - ECIP - Civilian (734)</v>
      </c>
      <c r="M496" s="361">
        <v>85</v>
      </c>
      <c r="N496" s="355" t="s">
        <v>765</v>
      </c>
      <c r="O496" s="355" t="s">
        <v>1113</v>
      </c>
      <c r="P496" s="355"/>
      <c r="Q496" s="363">
        <v>300</v>
      </c>
      <c r="R496" s="319">
        <f t="shared" si="7"/>
        <v>-300</v>
      </c>
      <c r="S496" s="319" t="str">
        <f>VLOOKUP(H496,'Fund Utilization Report'!$A$4:$U$1800,13,FALSE)</f>
        <v>PS</v>
      </c>
      <c r="T496" s="319" t="str">
        <f>VLOOKUP(H496,'Fund Utilization Report'!$A$4:$U$1800,2,FALSE)</f>
        <v>GAA</v>
      </c>
      <c r="U496" s="319" t="str">
        <f>VLOOKUP(H496,'Fund Utilization Report'!$A$4:$U$1800,3,FALSE)</f>
        <v>FY2021, RA11518</v>
      </c>
      <c r="V496" s="319" t="str">
        <f>VLOOKUP(H496,'Fund Utilization Report'!$A$4:$U$1800,4,FALSE)</f>
        <v>OO2</v>
      </c>
      <c r="W496" s="319" t="str">
        <f>VLOOKUP(H496,'Fund Utilization Report'!$A$4:$U$1800,5,FALSE)</f>
        <v>01101101</v>
      </c>
      <c r="X496" s="319" t="str">
        <f>VLOOKUP(H496,'Fund Utilization Report'!$A$4:$U$1800,6,FALSE)</f>
        <v>GOP</v>
      </c>
      <c r="Y496" s="320" t="str">
        <f>VLOOKUP(H496,'Fund Utilization Report'!$A$4:$U$1800,7,FALSE)</f>
        <v>PS</v>
      </c>
      <c r="Z496" s="321">
        <f>VLOOKUP(H496,'Fund Utilization Report'!$A$4:$U$1800,8,FALSE)</f>
        <v>5010000000</v>
      </c>
      <c r="AA496" s="319" t="str">
        <f>VLOOKUP(H496,'Fund Utilization Report'!$A$4:$U$1800,14,FALSE)</f>
        <v>320100100001000</v>
      </c>
      <c r="AB496" s="349" t="str">
        <f>VLOOKUP(H496,'Fund Utilization Report'!$A$4:$U$1800,15,FALSE)</f>
        <v>Formulation of Strategic plans,programs, and policies to develop competitve industries</v>
      </c>
      <c r="AC496" s="39"/>
      <c r="AD496" s="34"/>
      <c r="AE496" s="39"/>
      <c r="AF496" s="51"/>
      <c r="AG496" s="40"/>
      <c r="AH496" s="40"/>
    </row>
    <row r="497" spans="1:34" s="32" customFormat="1" ht="27.6">
      <c r="A497" s="338" t="s">
        <v>942</v>
      </c>
      <c r="B497" s="338" t="s">
        <v>945</v>
      </c>
      <c r="C497" s="358">
        <v>44237</v>
      </c>
      <c r="D497" s="351" t="s">
        <v>1028</v>
      </c>
      <c r="E497" s="352" t="s">
        <v>1115</v>
      </c>
      <c r="F497" s="338">
        <v>0.46458333333333335</v>
      </c>
      <c r="G497" s="338">
        <v>0.46736111111111112</v>
      </c>
      <c r="H497" s="338" t="s">
        <v>970</v>
      </c>
      <c r="I497" s="353">
        <v>701</v>
      </c>
      <c r="J497" s="338" t="str">
        <f>IFERROR(VLOOKUP(I497,'Chart of accounts'!A:H,2,FALSE),"")</f>
        <v>50101010 01</v>
      </c>
      <c r="K497" s="338" t="str">
        <f>IFERROR(VLOOKUP(I497,'Chart of accounts'!A:H,3,FALSE),"")</f>
        <v>Basic Salary - Civilian</v>
      </c>
      <c r="L497" s="338" t="str">
        <f>IFERROR(VLOOKUP(I497,'Chart of accounts'!A:H,4,FALSE),"")</f>
        <v>50101010 01 - Basic Salary - Civilian (701)</v>
      </c>
      <c r="M497" s="361">
        <v>85</v>
      </c>
      <c r="N497" s="355" t="s">
        <v>765</v>
      </c>
      <c r="O497" s="355" t="s">
        <v>1113</v>
      </c>
      <c r="P497" s="355"/>
      <c r="Q497" s="363">
        <v>78017</v>
      </c>
      <c r="R497" s="319">
        <f t="shared" si="7"/>
        <v>-78017</v>
      </c>
      <c r="S497" s="319" t="str">
        <f>VLOOKUP(H497,'Fund Utilization Report'!$A$4:$U$1800,13,FALSE)</f>
        <v>PS</v>
      </c>
      <c r="T497" s="319" t="str">
        <f>VLOOKUP(H497,'Fund Utilization Report'!$A$4:$U$1800,2,FALSE)</f>
        <v>GAA</v>
      </c>
      <c r="U497" s="319" t="str">
        <f>VLOOKUP(H497,'Fund Utilization Report'!$A$4:$U$1800,3,FALSE)</f>
        <v>FY2021, RA11518</v>
      </c>
      <c r="V497" s="319" t="str">
        <f>VLOOKUP(H497,'Fund Utilization Report'!$A$4:$U$1800,4,FALSE)</f>
        <v>OO3</v>
      </c>
      <c r="W497" s="319" t="str">
        <f>VLOOKUP(H497,'Fund Utilization Report'!$A$4:$U$1800,5,FALSE)</f>
        <v>01101101</v>
      </c>
      <c r="X497" s="319" t="str">
        <f>VLOOKUP(H497,'Fund Utilization Report'!$A$4:$U$1800,6,FALSE)</f>
        <v>GOP</v>
      </c>
      <c r="Y497" s="320" t="str">
        <f>VLOOKUP(H497,'Fund Utilization Report'!$A$4:$U$1800,7,FALSE)</f>
        <v>PS</v>
      </c>
      <c r="Z497" s="321">
        <f>VLOOKUP(H497,'Fund Utilization Report'!$A$4:$U$1800,8,FALSE)</f>
        <v>5010000000</v>
      </c>
      <c r="AA497" s="319" t="str">
        <f>VLOOKUP(H497,'Fund Utilization Report'!$A$4:$U$1800,14,FALSE)</f>
        <v>330100100002000</v>
      </c>
      <c r="AB497" s="349" t="str">
        <f>VLOOKUP(H497,'Fund Utilization Report'!$A$4:$U$1800,15,FALSE)</f>
        <v>Implementation of the MSME Development Plan and other initiatives to promote the growth of Micro, Small and Medium Enterprises</v>
      </c>
      <c r="AC497" s="39"/>
      <c r="AD497" s="34"/>
      <c r="AE497" s="39"/>
      <c r="AF497" s="51"/>
      <c r="AG497" s="40"/>
      <c r="AH497" s="40"/>
    </row>
    <row r="498" spans="1:34" s="32" customFormat="1" ht="27.6">
      <c r="A498" s="338" t="s">
        <v>942</v>
      </c>
      <c r="B498" s="338" t="s">
        <v>945</v>
      </c>
      <c r="C498" s="358">
        <v>44237</v>
      </c>
      <c r="D498" s="351" t="s">
        <v>1028</v>
      </c>
      <c r="E498" s="352" t="s">
        <v>1115</v>
      </c>
      <c r="F498" s="338">
        <v>0.46458333333333335</v>
      </c>
      <c r="G498" s="338">
        <v>0.46736111111111112</v>
      </c>
      <c r="H498" s="338" t="s">
        <v>970</v>
      </c>
      <c r="I498" s="353">
        <v>711</v>
      </c>
      <c r="J498" s="338" t="str">
        <f>IFERROR(VLOOKUP(I498,'Chart of accounts'!A:H,2,FALSE),"")</f>
        <v>50102010 01</v>
      </c>
      <c r="K498" s="338" t="str">
        <f>IFERROR(VLOOKUP(I498,'Chart of accounts'!A:H,3,FALSE),"")</f>
        <v>PERA - Civilian</v>
      </c>
      <c r="L498" s="338" t="str">
        <f>IFERROR(VLOOKUP(I498,'Chart of accounts'!A:H,4,FALSE),"")</f>
        <v>50102010 01 - PERA - Civilian (711)</v>
      </c>
      <c r="M498" s="361">
        <v>85</v>
      </c>
      <c r="N498" s="355" t="s">
        <v>765</v>
      </c>
      <c r="O498" s="355" t="s">
        <v>1113</v>
      </c>
      <c r="P498" s="355"/>
      <c r="Q498" s="363">
        <v>4000</v>
      </c>
      <c r="R498" s="319">
        <f t="shared" si="7"/>
        <v>-4000</v>
      </c>
      <c r="S498" s="319" t="str">
        <f>VLOOKUP(H498,'Fund Utilization Report'!$A$4:$U$1800,13,FALSE)</f>
        <v>PS</v>
      </c>
      <c r="T498" s="319" t="str">
        <f>VLOOKUP(H498,'Fund Utilization Report'!$A$4:$U$1800,2,FALSE)</f>
        <v>GAA</v>
      </c>
      <c r="U498" s="319" t="str">
        <f>VLOOKUP(H498,'Fund Utilization Report'!$A$4:$U$1800,3,FALSE)</f>
        <v>FY2021, RA11518</v>
      </c>
      <c r="V498" s="319" t="str">
        <f>VLOOKUP(H498,'Fund Utilization Report'!$A$4:$U$1800,4,FALSE)</f>
        <v>OO3</v>
      </c>
      <c r="W498" s="319" t="str">
        <f>VLOOKUP(H498,'Fund Utilization Report'!$A$4:$U$1800,5,FALSE)</f>
        <v>01101101</v>
      </c>
      <c r="X498" s="319" t="str">
        <f>VLOOKUP(H498,'Fund Utilization Report'!$A$4:$U$1800,6,FALSE)</f>
        <v>GOP</v>
      </c>
      <c r="Y498" s="320" t="str">
        <f>VLOOKUP(H498,'Fund Utilization Report'!$A$4:$U$1800,7,FALSE)</f>
        <v>PS</v>
      </c>
      <c r="Z498" s="321">
        <f>VLOOKUP(H498,'Fund Utilization Report'!$A$4:$U$1800,8,FALSE)</f>
        <v>5010000000</v>
      </c>
      <c r="AA498" s="319" t="str">
        <f>VLOOKUP(H498,'Fund Utilization Report'!$A$4:$U$1800,14,FALSE)</f>
        <v>330100100002000</v>
      </c>
      <c r="AB498" s="349" t="str">
        <f>VLOOKUP(H498,'Fund Utilization Report'!$A$4:$U$1800,15,FALSE)</f>
        <v>Implementation of the MSME Development Plan and other initiatives to promote the growth of Micro, Small and Medium Enterprises</v>
      </c>
      <c r="AC498" s="39"/>
      <c r="AD498" s="34"/>
      <c r="AE498" s="39"/>
      <c r="AF498" s="51"/>
      <c r="AG498" s="40"/>
      <c r="AH498" s="40"/>
    </row>
    <row r="499" spans="1:34" s="32" customFormat="1" ht="27.6">
      <c r="A499" s="338" t="s">
        <v>942</v>
      </c>
      <c r="B499" s="338" t="s">
        <v>945</v>
      </c>
      <c r="C499" s="358">
        <v>44237</v>
      </c>
      <c r="D499" s="351" t="s">
        <v>1028</v>
      </c>
      <c r="E499" s="352" t="s">
        <v>1115</v>
      </c>
      <c r="F499" s="338">
        <v>0.46458333333333335</v>
      </c>
      <c r="G499" s="338">
        <v>0.46736111111111112</v>
      </c>
      <c r="H499" s="338" t="s">
        <v>972</v>
      </c>
      <c r="I499" s="353">
        <v>731</v>
      </c>
      <c r="J499" s="338" t="str">
        <f>IFERROR(VLOOKUP(I499,'Chart of accounts'!A:H,2,FALSE),"")</f>
        <v>50103010 00</v>
      </c>
      <c r="K499" s="338" t="str">
        <f>IFERROR(VLOOKUP(I499,'Chart of accounts'!A:H,3,FALSE),"")</f>
        <v>Retirement and Life Insurance Premiums</v>
      </c>
      <c r="L499" s="338" t="str">
        <f>IFERROR(VLOOKUP(I499,'Chart of accounts'!A:H,4,FALSE),"")</f>
        <v>50103010 00 - Retirement and Life Insurance Premiums (731)</v>
      </c>
      <c r="M499" s="361">
        <v>85</v>
      </c>
      <c r="N499" s="355" t="s">
        <v>765</v>
      </c>
      <c r="O499" s="355" t="s">
        <v>1113</v>
      </c>
      <c r="P499" s="355"/>
      <c r="Q499" s="363">
        <v>9362.0400000000009</v>
      </c>
      <c r="R499" s="319">
        <f t="shared" si="7"/>
        <v>-9362.0400000000009</v>
      </c>
      <c r="S499" s="319" t="str">
        <f>VLOOKUP(H499,'Fund Utilization Report'!$A$4:$U$1800,13,FALSE)</f>
        <v>PS</v>
      </c>
      <c r="T499" s="319" t="str">
        <f>VLOOKUP(H499,'Fund Utilization Report'!$A$4:$U$1800,2,FALSE)</f>
        <v>GAA</v>
      </c>
      <c r="U499" s="319" t="str">
        <f>VLOOKUP(H499,'Fund Utilization Report'!$A$4:$U$1800,3,FALSE)</f>
        <v>FY2021, RA11518</v>
      </c>
      <c r="V499" s="319" t="str">
        <f>VLOOKUP(H499,'Fund Utilization Report'!$A$4:$U$1800,4,FALSE)</f>
        <v>OO3</v>
      </c>
      <c r="W499" s="319" t="str">
        <f>VLOOKUP(H499,'Fund Utilization Report'!$A$4:$U$1800,5,FALSE)</f>
        <v>01101101</v>
      </c>
      <c r="X499" s="319" t="str">
        <f>VLOOKUP(H499,'Fund Utilization Report'!$A$4:$U$1800,6,FALSE)</f>
        <v>GOP</v>
      </c>
      <c r="Y499" s="320" t="str">
        <f>VLOOKUP(H499,'Fund Utilization Report'!$A$4:$U$1800,7,FALSE)</f>
        <v>RLIP</v>
      </c>
      <c r="Z499" s="321" t="str">
        <f>VLOOKUP(H499,'Fund Utilization Report'!$A$4:$U$1800,8,FALSE)</f>
        <v>50103010-00</v>
      </c>
      <c r="AA499" s="319" t="str">
        <f>VLOOKUP(H499,'Fund Utilization Report'!$A$4:$U$1800,14,FALSE)</f>
        <v>330100100002000</v>
      </c>
      <c r="AB499" s="349" t="str">
        <f>VLOOKUP(H499,'Fund Utilization Report'!$A$4:$U$1800,15,FALSE)</f>
        <v>Implementation of the MSME Development Plan and other initiatives to promote the growth of Micro, Small and Medium Enterprises</v>
      </c>
      <c r="AC499" s="39"/>
      <c r="AD499" s="34"/>
      <c r="AE499" s="39"/>
      <c r="AF499" s="51"/>
      <c r="AG499" s="40"/>
      <c r="AH499" s="40"/>
    </row>
    <row r="500" spans="1:34" s="32" customFormat="1" ht="27.6">
      <c r="A500" s="338" t="s">
        <v>942</v>
      </c>
      <c r="B500" s="338" t="s">
        <v>945</v>
      </c>
      <c r="C500" s="358">
        <v>44237</v>
      </c>
      <c r="D500" s="351" t="s">
        <v>1028</v>
      </c>
      <c r="E500" s="352" t="s">
        <v>1115</v>
      </c>
      <c r="F500" s="338">
        <v>0.46458333333333335</v>
      </c>
      <c r="G500" s="338">
        <v>0.46736111111111112</v>
      </c>
      <c r="H500" s="338" t="s">
        <v>970</v>
      </c>
      <c r="I500" s="353">
        <v>732</v>
      </c>
      <c r="J500" s="338" t="str">
        <f>IFERROR(VLOOKUP(I500,'Chart of accounts'!A:H,2,FALSE),"")</f>
        <v>50103020 01</v>
      </c>
      <c r="K500" s="338" t="str">
        <f>IFERROR(VLOOKUP(I500,'Chart of accounts'!A:H,3,FALSE),"")</f>
        <v>Pag-IBIG - Civilian</v>
      </c>
      <c r="L500" s="338" t="str">
        <f>IFERROR(VLOOKUP(I500,'Chart of accounts'!A:H,4,FALSE),"")</f>
        <v>50103020 01 - Pag-IBIG - Civilian (732)</v>
      </c>
      <c r="M500" s="361">
        <v>85</v>
      </c>
      <c r="N500" s="355" t="s">
        <v>765</v>
      </c>
      <c r="O500" s="355" t="s">
        <v>1113</v>
      </c>
      <c r="P500" s="355"/>
      <c r="Q500" s="363">
        <v>200</v>
      </c>
      <c r="R500" s="319">
        <f t="shared" si="7"/>
        <v>-200</v>
      </c>
      <c r="S500" s="319" t="str">
        <f>VLOOKUP(H500,'Fund Utilization Report'!$A$4:$U$1800,13,FALSE)</f>
        <v>PS</v>
      </c>
      <c r="T500" s="319" t="str">
        <f>VLOOKUP(H500,'Fund Utilization Report'!$A$4:$U$1800,2,FALSE)</f>
        <v>GAA</v>
      </c>
      <c r="U500" s="319" t="str">
        <f>VLOOKUP(H500,'Fund Utilization Report'!$A$4:$U$1800,3,FALSE)</f>
        <v>FY2021, RA11518</v>
      </c>
      <c r="V500" s="319" t="str">
        <f>VLOOKUP(H500,'Fund Utilization Report'!$A$4:$U$1800,4,FALSE)</f>
        <v>OO3</v>
      </c>
      <c r="W500" s="319" t="str">
        <f>VLOOKUP(H500,'Fund Utilization Report'!$A$4:$U$1800,5,FALSE)</f>
        <v>01101101</v>
      </c>
      <c r="X500" s="319" t="str">
        <f>VLOOKUP(H500,'Fund Utilization Report'!$A$4:$U$1800,6,FALSE)</f>
        <v>GOP</v>
      </c>
      <c r="Y500" s="320" t="str">
        <f>VLOOKUP(H500,'Fund Utilization Report'!$A$4:$U$1800,7,FALSE)</f>
        <v>PS</v>
      </c>
      <c r="Z500" s="321">
        <f>VLOOKUP(H500,'Fund Utilization Report'!$A$4:$U$1800,8,FALSE)</f>
        <v>5010000000</v>
      </c>
      <c r="AA500" s="319" t="str">
        <f>VLOOKUP(H500,'Fund Utilization Report'!$A$4:$U$1800,14,FALSE)</f>
        <v>330100100002000</v>
      </c>
      <c r="AB500" s="349" t="str">
        <f>VLOOKUP(H500,'Fund Utilization Report'!$A$4:$U$1800,15,FALSE)</f>
        <v>Implementation of the MSME Development Plan and other initiatives to promote the growth of Micro, Small and Medium Enterprises</v>
      </c>
      <c r="AC500" s="39"/>
      <c r="AD500" s="34"/>
      <c r="AE500" s="39"/>
      <c r="AF500" s="51"/>
      <c r="AG500" s="40"/>
      <c r="AH500" s="40"/>
    </row>
    <row r="501" spans="1:34" s="32" customFormat="1" ht="27.6">
      <c r="A501" s="338" t="s">
        <v>942</v>
      </c>
      <c r="B501" s="338" t="s">
        <v>945</v>
      </c>
      <c r="C501" s="358">
        <v>44237</v>
      </c>
      <c r="D501" s="351" t="s">
        <v>1028</v>
      </c>
      <c r="E501" s="352" t="s">
        <v>1115</v>
      </c>
      <c r="F501" s="338">
        <v>0.46458333333333335</v>
      </c>
      <c r="G501" s="338">
        <v>0.46736111111111112</v>
      </c>
      <c r="H501" s="338" t="s">
        <v>970</v>
      </c>
      <c r="I501" s="353">
        <v>733</v>
      </c>
      <c r="J501" s="338" t="str">
        <f>IFERROR(VLOOKUP(I501,'Chart of accounts'!A:H,2,FALSE),"")</f>
        <v>50103030 01</v>
      </c>
      <c r="K501" s="338" t="str">
        <f>IFERROR(VLOOKUP(I501,'Chart of accounts'!A:H,3,FALSE),"")</f>
        <v>PhilHealth - Civilian</v>
      </c>
      <c r="L501" s="338" t="str">
        <f>IFERROR(VLOOKUP(I501,'Chart of accounts'!A:H,4,FALSE),"")</f>
        <v>50103030 01 - PhilHealth - Civilian (733)</v>
      </c>
      <c r="M501" s="361">
        <v>85</v>
      </c>
      <c r="N501" s="355" t="s">
        <v>765</v>
      </c>
      <c r="O501" s="355" t="s">
        <v>1113</v>
      </c>
      <c r="P501" s="355"/>
      <c r="Q501" s="363">
        <v>1170.26</v>
      </c>
      <c r="R501" s="319">
        <f t="shared" si="7"/>
        <v>-1170.26</v>
      </c>
      <c r="S501" s="319" t="str">
        <f>VLOOKUP(H501,'Fund Utilization Report'!$A$4:$U$1800,13,FALSE)</f>
        <v>PS</v>
      </c>
      <c r="T501" s="319" t="str">
        <f>VLOOKUP(H501,'Fund Utilization Report'!$A$4:$U$1800,2,FALSE)</f>
        <v>GAA</v>
      </c>
      <c r="U501" s="319" t="str">
        <f>VLOOKUP(H501,'Fund Utilization Report'!$A$4:$U$1800,3,FALSE)</f>
        <v>FY2021, RA11518</v>
      </c>
      <c r="V501" s="319" t="str">
        <f>VLOOKUP(H501,'Fund Utilization Report'!$A$4:$U$1800,4,FALSE)</f>
        <v>OO3</v>
      </c>
      <c r="W501" s="319" t="str">
        <f>VLOOKUP(H501,'Fund Utilization Report'!$A$4:$U$1800,5,FALSE)</f>
        <v>01101101</v>
      </c>
      <c r="X501" s="319" t="str">
        <f>VLOOKUP(H501,'Fund Utilization Report'!$A$4:$U$1800,6,FALSE)</f>
        <v>GOP</v>
      </c>
      <c r="Y501" s="320" t="str">
        <f>VLOOKUP(H501,'Fund Utilization Report'!$A$4:$U$1800,7,FALSE)</f>
        <v>PS</v>
      </c>
      <c r="Z501" s="321">
        <f>VLOOKUP(H501,'Fund Utilization Report'!$A$4:$U$1800,8,FALSE)</f>
        <v>5010000000</v>
      </c>
      <c r="AA501" s="319" t="str">
        <f>VLOOKUP(H501,'Fund Utilization Report'!$A$4:$U$1800,14,FALSE)</f>
        <v>330100100002000</v>
      </c>
      <c r="AB501" s="349" t="str">
        <f>VLOOKUP(H501,'Fund Utilization Report'!$A$4:$U$1800,15,FALSE)</f>
        <v>Implementation of the MSME Development Plan and other initiatives to promote the growth of Micro, Small and Medium Enterprises</v>
      </c>
      <c r="AC501" s="39"/>
      <c r="AD501" s="34"/>
      <c r="AE501" s="39"/>
      <c r="AF501" s="51"/>
      <c r="AG501" s="40"/>
      <c r="AH501" s="40"/>
    </row>
    <row r="502" spans="1:34" s="32" customFormat="1" ht="27.6">
      <c r="A502" s="338" t="s">
        <v>942</v>
      </c>
      <c r="B502" s="338" t="s">
        <v>945</v>
      </c>
      <c r="C502" s="358">
        <v>44237</v>
      </c>
      <c r="D502" s="351" t="s">
        <v>1028</v>
      </c>
      <c r="E502" s="352" t="s">
        <v>1115</v>
      </c>
      <c r="F502" s="338">
        <v>0.46458333333333335</v>
      </c>
      <c r="G502" s="338">
        <v>0.46736111111111112</v>
      </c>
      <c r="H502" s="338" t="s">
        <v>970</v>
      </c>
      <c r="I502" s="353">
        <v>734</v>
      </c>
      <c r="J502" s="338" t="str">
        <f>IFERROR(VLOOKUP(I502,'Chart of accounts'!A:H,2,FALSE),"")</f>
        <v>50103040 01</v>
      </c>
      <c r="K502" s="338" t="str">
        <f>IFERROR(VLOOKUP(I502,'Chart of accounts'!A:H,3,FALSE),"")</f>
        <v>ECIP - Civilian</v>
      </c>
      <c r="L502" s="338" t="str">
        <f>IFERROR(VLOOKUP(I502,'Chart of accounts'!A:H,4,FALSE),"")</f>
        <v>50103040 01 - ECIP - Civilian (734)</v>
      </c>
      <c r="M502" s="361">
        <v>85</v>
      </c>
      <c r="N502" s="355" t="s">
        <v>765</v>
      </c>
      <c r="O502" s="355" t="s">
        <v>1113</v>
      </c>
      <c r="P502" s="355"/>
      <c r="Q502" s="363">
        <v>200</v>
      </c>
      <c r="R502" s="319">
        <f t="shared" si="7"/>
        <v>-200</v>
      </c>
      <c r="S502" s="319" t="str">
        <f>VLOOKUP(H502,'Fund Utilization Report'!$A$4:$U$1800,13,FALSE)</f>
        <v>PS</v>
      </c>
      <c r="T502" s="319" t="str">
        <f>VLOOKUP(H502,'Fund Utilization Report'!$A$4:$U$1800,2,FALSE)</f>
        <v>GAA</v>
      </c>
      <c r="U502" s="319" t="str">
        <f>VLOOKUP(H502,'Fund Utilization Report'!$A$4:$U$1800,3,FALSE)</f>
        <v>FY2021, RA11518</v>
      </c>
      <c r="V502" s="319" t="str">
        <f>VLOOKUP(H502,'Fund Utilization Report'!$A$4:$U$1800,4,FALSE)</f>
        <v>OO3</v>
      </c>
      <c r="W502" s="319" t="str">
        <f>VLOOKUP(H502,'Fund Utilization Report'!$A$4:$U$1800,5,FALSE)</f>
        <v>01101101</v>
      </c>
      <c r="X502" s="319" t="str">
        <f>VLOOKUP(H502,'Fund Utilization Report'!$A$4:$U$1800,6,FALSE)</f>
        <v>GOP</v>
      </c>
      <c r="Y502" s="320" t="str">
        <f>VLOOKUP(H502,'Fund Utilization Report'!$A$4:$U$1800,7,FALSE)</f>
        <v>PS</v>
      </c>
      <c r="Z502" s="321">
        <f>VLOOKUP(H502,'Fund Utilization Report'!$A$4:$U$1800,8,FALSE)</f>
        <v>5010000000</v>
      </c>
      <c r="AA502" s="319" t="str">
        <f>VLOOKUP(H502,'Fund Utilization Report'!$A$4:$U$1800,14,FALSE)</f>
        <v>330100100002000</v>
      </c>
      <c r="AB502" s="349" t="str">
        <f>VLOOKUP(H502,'Fund Utilization Report'!$A$4:$U$1800,15,FALSE)</f>
        <v>Implementation of the MSME Development Plan and other initiatives to promote the growth of Micro, Small and Medium Enterprises</v>
      </c>
      <c r="AC502" s="39"/>
      <c r="AD502" s="34"/>
      <c r="AE502" s="39"/>
      <c r="AF502" s="51"/>
      <c r="AG502" s="40"/>
      <c r="AH502" s="40"/>
    </row>
    <row r="503" spans="1:34" s="32" customFormat="1" ht="27.6">
      <c r="A503" s="338" t="s">
        <v>942</v>
      </c>
      <c r="B503" s="338" t="s">
        <v>945</v>
      </c>
      <c r="C503" s="358">
        <v>44237</v>
      </c>
      <c r="D503" s="351" t="s">
        <v>1028</v>
      </c>
      <c r="E503" s="352" t="s">
        <v>1116</v>
      </c>
      <c r="F503" s="338">
        <v>0.46736111111111112</v>
      </c>
      <c r="G503" s="338">
        <v>0.47222222222222227</v>
      </c>
      <c r="H503" s="338" t="s">
        <v>960</v>
      </c>
      <c r="I503" s="353">
        <v>701</v>
      </c>
      <c r="J503" s="338" t="str">
        <f>IFERROR(VLOOKUP(I503,'Chart of accounts'!A:H,2,FALSE),"")</f>
        <v>50101010 01</v>
      </c>
      <c r="K503" s="338" t="str">
        <f>IFERROR(VLOOKUP(I503,'Chart of accounts'!A:H,3,FALSE),"")</f>
        <v>Basic Salary - Civilian</v>
      </c>
      <c r="L503" s="338" t="str">
        <f>IFERROR(VLOOKUP(I503,'Chart of accounts'!A:H,4,FALSE),"")</f>
        <v>50101010 01 - Basic Salary - Civilian (701)</v>
      </c>
      <c r="M503" s="361">
        <v>1</v>
      </c>
      <c r="N503" s="355" t="s">
        <v>847</v>
      </c>
      <c r="O503" s="355" t="s">
        <v>1117</v>
      </c>
      <c r="P503" s="355"/>
      <c r="Q503" s="363">
        <v>457.27</v>
      </c>
      <c r="R503" s="319">
        <f t="shared" si="7"/>
        <v>-457.27</v>
      </c>
      <c r="S503" s="319" t="str">
        <f>VLOOKUP(H503,'Fund Utilization Report'!$A$4:$U$1800,13,FALSE)</f>
        <v>PS</v>
      </c>
      <c r="T503" s="319" t="str">
        <f>VLOOKUP(H503,'Fund Utilization Report'!$A$4:$U$1800,2,FALSE)</f>
        <v>GAA</v>
      </c>
      <c r="U503" s="319" t="str">
        <f>VLOOKUP(H503,'Fund Utilization Report'!$A$4:$U$1800,3,FALSE)</f>
        <v>FY2021, RA11518</v>
      </c>
      <c r="V503" s="319" t="str">
        <f>VLOOKUP(H503,'Fund Utilization Report'!$A$4:$U$1800,4,FALSE)</f>
        <v>GAS(GMS)</v>
      </c>
      <c r="W503" s="319" t="str">
        <f>VLOOKUP(H503,'Fund Utilization Report'!$A$4:$U$1800,5,FALSE)</f>
        <v>01101101</v>
      </c>
      <c r="X503" s="319" t="str">
        <f>VLOOKUP(H503,'Fund Utilization Report'!$A$4:$U$1800,6,FALSE)</f>
        <v>GOP</v>
      </c>
      <c r="Y503" s="320" t="str">
        <f>VLOOKUP(H503,'Fund Utilization Report'!$A$4:$U$1800,7,FALSE)</f>
        <v>PS</v>
      </c>
      <c r="Z503" s="321">
        <f>VLOOKUP(H503,'Fund Utilization Report'!$A$4:$U$1800,8,FALSE)</f>
        <v>5010000000</v>
      </c>
      <c r="AA503" s="319" t="str">
        <f>VLOOKUP(H503,'Fund Utilization Report'!$A$4:$U$1800,14,FALSE)</f>
        <v>100000100001000</v>
      </c>
      <c r="AB503" s="349" t="str">
        <f>VLOOKUP(H503,'Fund Utilization Report'!$A$4:$U$1800,15,FALSE)</f>
        <v>General Administration and Supervision - General Management and Supervision</v>
      </c>
      <c r="AC503" s="39"/>
      <c r="AD503" s="34"/>
      <c r="AE503" s="39"/>
      <c r="AF503" s="51"/>
      <c r="AG503" s="40"/>
      <c r="AH503" s="40"/>
    </row>
    <row r="504" spans="1:34" s="32" customFormat="1" ht="27.6">
      <c r="A504" s="338" t="s">
        <v>942</v>
      </c>
      <c r="B504" s="338" t="s">
        <v>945</v>
      </c>
      <c r="C504" s="358">
        <v>44237</v>
      </c>
      <c r="D504" s="351" t="s">
        <v>1028</v>
      </c>
      <c r="E504" s="352" t="s">
        <v>1116</v>
      </c>
      <c r="F504" s="338">
        <v>0.46736111111111112</v>
      </c>
      <c r="G504" s="338">
        <v>0.47222222222222227</v>
      </c>
      <c r="H504" s="338" t="s">
        <v>962</v>
      </c>
      <c r="I504" s="353">
        <v>731</v>
      </c>
      <c r="J504" s="338" t="str">
        <f>IFERROR(VLOOKUP(I504,'Chart of accounts'!A:H,2,FALSE),"")</f>
        <v>50103010 00</v>
      </c>
      <c r="K504" s="338" t="str">
        <f>IFERROR(VLOOKUP(I504,'Chart of accounts'!A:H,3,FALSE),"")</f>
        <v>Retirement and Life Insurance Premiums</v>
      </c>
      <c r="L504" s="338" t="str">
        <f>IFERROR(VLOOKUP(I504,'Chart of accounts'!A:H,4,FALSE),"")</f>
        <v>50103010 00 - Retirement and Life Insurance Premiums (731)</v>
      </c>
      <c r="M504" s="361">
        <v>1</v>
      </c>
      <c r="N504" s="355" t="s">
        <v>847</v>
      </c>
      <c r="O504" s="355" t="s">
        <v>1117</v>
      </c>
      <c r="P504" s="355"/>
      <c r="Q504" s="363">
        <v>54.52</v>
      </c>
      <c r="R504" s="319">
        <f t="shared" si="7"/>
        <v>-54.52</v>
      </c>
      <c r="S504" s="319" t="str">
        <f>VLOOKUP(H504,'Fund Utilization Report'!$A$4:$U$1800,13,FALSE)</f>
        <v>PS</v>
      </c>
      <c r="T504" s="319" t="str">
        <f>VLOOKUP(H504,'Fund Utilization Report'!$A$4:$U$1800,2,FALSE)</f>
        <v>GAA</v>
      </c>
      <c r="U504" s="319" t="str">
        <f>VLOOKUP(H504,'Fund Utilization Report'!$A$4:$U$1800,3,FALSE)</f>
        <v>FY2021, RA11518</v>
      </c>
      <c r="V504" s="319" t="str">
        <f>VLOOKUP(H504,'Fund Utilization Report'!$A$4:$U$1800,4,FALSE)</f>
        <v>GAS(GMS)</v>
      </c>
      <c r="W504" s="319" t="str">
        <f>VLOOKUP(H504,'Fund Utilization Report'!$A$4:$U$1800,5,FALSE)</f>
        <v>01101101</v>
      </c>
      <c r="X504" s="319" t="str">
        <f>VLOOKUP(H504,'Fund Utilization Report'!$A$4:$U$1800,6,FALSE)</f>
        <v>GOP</v>
      </c>
      <c r="Y504" s="320" t="str">
        <f>VLOOKUP(H504,'Fund Utilization Report'!$A$4:$U$1800,7,FALSE)</f>
        <v>RLIP</v>
      </c>
      <c r="Z504" s="321" t="str">
        <f>VLOOKUP(H504,'Fund Utilization Report'!$A$4:$U$1800,8,FALSE)</f>
        <v>50103010-00</v>
      </c>
      <c r="AA504" s="319" t="str">
        <f>VLOOKUP(H504,'Fund Utilization Report'!$A$4:$U$1800,14,FALSE)</f>
        <v>100000100001000</v>
      </c>
      <c r="AB504" s="349" t="str">
        <f>VLOOKUP(H504,'Fund Utilization Report'!$A$4:$U$1800,15,FALSE)</f>
        <v>General Administration and Supervision - General Management and Supervision</v>
      </c>
      <c r="AC504" s="39"/>
      <c r="AD504" s="34"/>
      <c r="AE504" s="39"/>
      <c r="AF504" s="51"/>
      <c r="AG504" s="40"/>
      <c r="AH504" s="40"/>
    </row>
    <row r="505" spans="1:34" s="32" customFormat="1" ht="27.6">
      <c r="A505" s="338" t="s">
        <v>942</v>
      </c>
      <c r="B505" s="338" t="s">
        <v>945</v>
      </c>
      <c r="C505" s="358">
        <v>44237</v>
      </c>
      <c r="D505" s="351" t="s">
        <v>1028</v>
      </c>
      <c r="E505" s="352" t="s">
        <v>1118</v>
      </c>
      <c r="F505" s="338">
        <v>0.47222222222222227</v>
      </c>
      <c r="G505" s="338">
        <v>0.47361111111111115</v>
      </c>
      <c r="H505" s="338" t="s">
        <v>960</v>
      </c>
      <c r="I505" s="353">
        <v>701</v>
      </c>
      <c r="J505" s="338" t="str">
        <f>IFERROR(VLOOKUP(I505,'Chart of accounts'!A:H,2,FALSE),"")</f>
        <v>50101010 01</v>
      </c>
      <c r="K505" s="338" t="str">
        <f>IFERROR(VLOOKUP(I505,'Chart of accounts'!A:H,3,FALSE),"")</f>
        <v>Basic Salary - Civilian</v>
      </c>
      <c r="L505" s="338" t="str">
        <f>IFERROR(VLOOKUP(I505,'Chart of accounts'!A:H,4,FALSE),"")</f>
        <v>50101010 01 - Basic Salary - Civilian (701)</v>
      </c>
      <c r="M505" s="360">
        <v>3</v>
      </c>
      <c r="N505" s="355" t="s">
        <v>1119</v>
      </c>
      <c r="O505" s="355" t="s">
        <v>1117</v>
      </c>
      <c r="P505" s="355"/>
      <c r="Q505" s="363">
        <v>258.18</v>
      </c>
      <c r="R505" s="319">
        <f t="shared" si="7"/>
        <v>-258.18</v>
      </c>
      <c r="S505" s="319" t="str">
        <f>VLOOKUP(H505,'Fund Utilization Report'!$A$4:$U$1800,13,FALSE)</f>
        <v>PS</v>
      </c>
      <c r="T505" s="319" t="str">
        <f>VLOOKUP(H505,'Fund Utilization Report'!$A$4:$U$1800,2,FALSE)</f>
        <v>GAA</v>
      </c>
      <c r="U505" s="319" t="str">
        <f>VLOOKUP(H505,'Fund Utilization Report'!$A$4:$U$1800,3,FALSE)</f>
        <v>FY2021, RA11518</v>
      </c>
      <c r="V505" s="319" t="str">
        <f>VLOOKUP(H505,'Fund Utilization Report'!$A$4:$U$1800,4,FALSE)</f>
        <v>GAS(GMS)</v>
      </c>
      <c r="W505" s="319" t="str">
        <f>VLOOKUP(H505,'Fund Utilization Report'!$A$4:$U$1800,5,FALSE)</f>
        <v>01101101</v>
      </c>
      <c r="X505" s="319" t="str">
        <f>VLOOKUP(H505,'Fund Utilization Report'!$A$4:$U$1800,6,FALSE)</f>
        <v>GOP</v>
      </c>
      <c r="Y505" s="320" t="str">
        <f>VLOOKUP(H505,'Fund Utilization Report'!$A$4:$U$1800,7,FALSE)</f>
        <v>PS</v>
      </c>
      <c r="Z505" s="321">
        <f>VLOOKUP(H505,'Fund Utilization Report'!$A$4:$U$1800,8,FALSE)</f>
        <v>5010000000</v>
      </c>
      <c r="AA505" s="319" t="str">
        <f>VLOOKUP(H505,'Fund Utilization Report'!$A$4:$U$1800,14,FALSE)</f>
        <v>100000100001000</v>
      </c>
      <c r="AB505" s="349" t="str">
        <f>VLOOKUP(H505,'Fund Utilization Report'!$A$4:$U$1800,15,FALSE)</f>
        <v>General Administration and Supervision - General Management and Supervision</v>
      </c>
      <c r="AC505" s="39"/>
      <c r="AD505" s="34"/>
      <c r="AE505" s="39"/>
      <c r="AF505" s="51"/>
      <c r="AG505" s="40"/>
      <c r="AH505" s="40"/>
    </row>
    <row r="506" spans="1:34" s="32" customFormat="1" ht="27.6">
      <c r="A506" s="338" t="s">
        <v>942</v>
      </c>
      <c r="B506" s="338" t="s">
        <v>945</v>
      </c>
      <c r="C506" s="358">
        <v>44237</v>
      </c>
      <c r="D506" s="351" t="s">
        <v>1028</v>
      </c>
      <c r="E506" s="352" t="s">
        <v>1118</v>
      </c>
      <c r="F506" s="338">
        <v>0.47222222222222227</v>
      </c>
      <c r="G506" s="338">
        <v>0.47361111111111115</v>
      </c>
      <c r="H506" s="338" t="s">
        <v>962</v>
      </c>
      <c r="I506" s="353">
        <v>731</v>
      </c>
      <c r="J506" s="338" t="str">
        <f>IFERROR(VLOOKUP(I506,'Chart of accounts'!A:H,2,FALSE),"")</f>
        <v>50103010 00</v>
      </c>
      <c r="K506" s="338" t="str">
        <f>IFERROR(VLOOKUP(I506,'Chart of accounts'!A:H,3,FALSE),"")</f>
        <v>Retirement and Life Insurance Premiums</v>
      </c>
      <c r="L506" s="338" t="str">
        <f>IFERROR(VLOOKUP(I506,'Chart of accounts'!A:H,4,FALSE),"")</f>
        <v>50103010 00 - Retirement and Life Insurance Premiums (731)</v>
      </c>
      <c r="M506" s="361">
        <v>3</v>
      </c>
      <c r="N506" s="355" t="s">
        <v>1119</v>
      </c>
      <c r="O506" s="355" t="s">
        <v>1117</v>
      </c>
      <c r="P506" s="355"/>
      <c r="Q506" s="363">
        <v>30.78</v>
      </c>
      <c r="R506" s="319">
        <f t="shared" si="7"/>
        <v>-30.78</v>
      </c>
      <c r="S506" s="319" t="str">
        <f>VLOOKUP(H506,'Fund Utilization Report'!$A$4:$U$1800,13,FALSE)</f>
        <v>PS</v>
      </c>
      <c r="T506" s="319" t="str">
        <f>VLOOKUP(H506,'Fund Utilization Report'!$A$4:$U$1800,2,FALSE)</f>
        <v>GAA</v>
      </c>
      <c r="U506" s="319" t="str">
        <f>VLOOKUP(H506,'Fund Utilization Report'!$A$4:$U$1800,3,FALSE)</f>
        <v>FY2021, RA11518</v>
      </c>
      <c r="V506" s="319" t="str">
        <f>VLOOKUP(H506,'Fund Utilization Report'!$A$4:$U$1800,4,FALSE)</f>
        <v>GAS(GMS)</v>
      </c>
      <c r="W506" s="319" t="str">
        <f>VLOOKUP(H506,'Fund Utilization Report'!$A$4:$U$1800,5,FALSE)</f>
        <v>01101101</v>
      </c>
      <c r="X506" s="319" t="str">
        <f>VLOOKUP(H506,'Fund Utilization Report'!$A$4:$U$1800,6,FALSE)</f>
        <v>GOP</v>
      </c>
      <c r="Y506" s="320" t="str">
        <f>VLOOKUP(H506,'Fund Utilization Report'!$A$4:$U$1800,7,FALSE)</f>
        <v>RLIP</v>
      </c>
      <c r="Z506" s="321" t="str">
        <f>VLOOKUP(H506,'Fund Utilization Report'!$A$4:$U$1800,8,FALSE)</f>
        <v>50103010-00</v>
      </c>
      <c r="AA506" s="319" t="str">
        <f>VLOOKUP(H506,'Fund Utilization Report'!$A$4:$U$1800,14,FALSE)</f>
        <v>100000100001000</v>
      </c>
      <c r="AB506" s="349" t="str">
        <f>VLOOKUP(H506,'Fund Utilization Report'!$A$4:$U$1800,15,FALSE)</f>
        <v>General Administration and Supervision - General Management and Supervision</v>
      </c>
      <c r="AC506" s="39"/>
      <c r="AD506" s="34"/>
      <c r="AE506" s="39"/>
      <c r="AF506" s="51"/>
      <c r="AG506" s="40"/>
      <c r="AH506" s="40"/>
    </row>
    <row r="507" spans="1:34" s="32" customFormat="1" ht="27.6">
      <c r="A507" s="338" t="s">
        <v>942</v>
      </c>
      <c r="B507" s="338" t="s">
        <v>945</v>
      </c>
      <c r="C507" s="358">
        <v>44237</v>
      </c>
      <c r="D507" s="351" t="s">
        <v>1028</v>
      </c>
      <c r="E507" s="352" t="s">
        <v>1120</v>
      </c>
      <c r="F507" s="338">
        <v>0.47361111111111115</v>
      </c>
      <c r="G507" s="338">
        <v>0.47569444444444442</v>
      </c>
      <c r="H507" s="338" t="s">
        <v>960</v>
      </c>
      <c r="I507" s="353">
        <v>701</v>
      </c>
      <c r="J507" s="338" t="str">
        <f>IFERROR(VLOOKUP(I507,'Chart of accounts'!A:H,2,FALSE),"")</f>
        <v>50101010 01</v>
      </c>
      <c r="K507" s="338" t="str">
        <f>IFERROR(VLOOKUP(I507,'Chart of accounts'!A:H,3,FALSE),"")</f>
        <v>Basic Salary - Civilian</v>
      </c>
      <c r="L507" s="338" t="str">
        <f>IFERROR(VLOOKUP(I507,'Chart of accounts'!A:H,4,FALSE),"")</f>
        <v>50101010 01 - Basic Salary - Civilian (701)</v>
      </c>
      <c r="M507" s="361">
        <v>1</v>
      </c>
      <c r="N507" s="355" t="s">
        <v>833</v>
      </c>
      <c r="O507" s="355" t="s">
        <v>1121</v>
      </c>
      <c r="P507" s="355"/>
      <c r="Q507" s="363">
        <v>614.54999999999995</v>
      </c>
      <c r="R507" s="319">
        <f t="shared" si="7"/>
        <v>-614.54999999999995</v>
      </c>
      <c r="S507" s="319" t="str">
        <f>VLOOKUP(H507,'Fund Utilization Report'!$A$4:$U$1800,13,FALSE)</f>
        <v>PS</v>
      </c>
      <c r="T507" s="319" t="str">
        <f>VLOOKUP(H507,'Fund Utilization Report'!$A$4:$U$1800,2,FALSE)</f>
        <v>GAA</v>
      </c>
      <c r="U507" s="319" t="str">
        <f>VLOOKUP(H507,'Fund Utilization Report'!$A$4:$U$1800,3,FALSE)</f>
        <v>FY2021, RA11518</v>
      </c>
      <c r="V507" s="319" t="str">
        <f>VLOOKUP(H507,'Fund Utilization Report'!$A$4:$U$1800,4,FALSE)</f>
        <v>GAS(GMS)</v>
      </c>
      <c r="W507" s="319" t="str">
        <f>VLOOKUP(H507,'Fund Utilization Report'!$A$4:$U$1800,5,FALSE)</f>
        <v>01101101</v>
      </c>
      <c r="X507" s="319" t="str">
        <f>VLOOKUP(H507,'Fund Utilization Report'!$A$4:$U$1800,6,FALSE)</f>
        <v>GOP</v>
      </c>
      <c r="Y507" s="320" t="str">
        <f>VLOOKUP(H507,'Fund Utilization Report'!$A$4:$U$1800,7,FALSE)</f>
        <v>PS</v>
      </c>
      <c r="Z507" s="321">
        <f>VLOOKUP(H507,'Fund Utilization Report'!$A$4:$U$1800,8,FALSE)</f>
        <v>5010000000</v>
      </c>
      <c r="AA507" s="319" t="str">
        <f>VLOOKUP(H507,'Fund Utilization Report'!$A$4:$U$1800,14,FALSE)</f>
        <v>100000100001000</v>
      </c>
      <c r="AB507" s="349" t="str">
        <f>VLOOKUP(H507,'Fund Utilization Report'!$A$4:$U$1800,15,FALSE)</f>
        <v>General Administration and Supervision - General Management and Supervision</v>
      </c>
      <c r="AC507" s="39"/>
      <c r="AD507" s="34"/>
      <c r="AE507" s="39"/>
      <c r="AF507" s="51"/>
      <c r="AG507" s="40"/>
      <c r="AH507" s="40"/>
    </row>
    <row r="508" spans="1:34" s="32" customFormat="1" ht="27.6">
      <c r="A508" s="338" t="s">
        <v>942</v>
      </c>
      <c r="B508" s="338" t="s">
        <v>945</v>
      </c>
      <c r="C508" s="358">
        <v>44237</v>
      </c>
      <c r="D508" s="351" t="s">
        <v>1028</v>
      </c>
      <c r="E508" s="352" t="s">
        <v>1120</v>
      </c>
      <c r="F508" s="338">
        <v>0.47361111111111115</v>
      </c>
      <c r="G508" s="338">
        <v>0.47569444444444442</v>
      </c>
      <c r="H508" s="338" t="s">
        <v>962</v>
      </c>
      <c r="I508" s="353">
        <v>731</v>
      </c>
      <c r="J508" s="338" t="str">
        <f>IFERROR(VLOOKUP(I508,'Chart of accounts'!A:H,2,FALSE),"")</f>
        <v>50103010 00</v>
      </c>
      <c r="K508" s="338" t="str">
        <f>IFERROR(VLOOKUP(I508,'Chart of accounts'!A:H,3,FALSE),"")</f>
        <v>Retirement and Life Insurance Premiums</v>
      </c>
      <c r="L508" s="338" t="str">
        <f>IFERROR(VLOOKUP(I508,'Chart of accounts'!A:H,4,FALSE),"")</f>
        <v>50103010 00 - Retirement and Life Insurance Premiums (731)</v>
      </c>
      <c r="M508" s="361">
        <v>1</v>
      </c>
      <c r="N508" s="355" t="s">
        <v>833</v>
      </c>
      <c r="O508" s="355" t="s">
        <v>1121</v>
      </c>
      <c r="P508" s="355"/>
      <c r="Q508" s="363">
        <v>73.27</v>
      </c>
      <c r="R508" s="319">
        <f t="shared" si="7"/>
        <v>-73.27</v>
      </c>
      <c r="S508" s="319" t="str">
        <f>VLOOKUP(H508,'Fund Utilization Report'!$A$4:$U$1800,13,FALSE)</f>
        <v>PS</v>
      </c>
      <c r="T508" s="319" t="str">
        <f>VLOOKUP(H508,'Fund Utilization Report'!$A$4:$U$1800,2,FALSE)</f>
        <v>GAA</v>
      </c>
      <c r="U508" s="319" t="str">
        <f>VLOOKUP(H508,'Fund Utilization Report'!$A$4:$U$1800,3,FALSE)</f>
        <v>FY2021, RA11518</v>
      </c>
      <c r="V508" s="319" t="str">
        <f>VLOOKUP(H508,'Fund Utilization Report'!$A$4:$U$1800,4,FALSE)</f>
        <v>GAS(GMS)</v>
      </c>
      <c r="W508" s="319" t="str">
        <f>VLOOKUP(H508,'Fund Utilization Report'!$A$4:$U$1800,5,FALSE)</f>
        <v>01101101</v>
      </c>
      <c r="X508" s="319" t="str">
        <f>VLOOKUP(H508,'Fund Utilization Report'!$A$4:$U$1800,6,FALSE)</f>
        <v>GOP</v>
      </c>
      <c r="Y508" s="320" t="str">
        <f>VLOOKUP(H508,'Fund Utilization Report'!$A$4:$U$1800,7,FALSE)</f>
        <v>RLIP</v>
      </c>
      <c r="Z508" s="321" t="str">
        <f>VLOOKUP(H508,'Fund Utilization Report'!$A$4:$U$1800,8,FALSE)</f>
        <v>50103010-00</v>
      </c>
      <c r="AA508" s="319" t="str">
        <f>VLOOKUP(H508,'Fund Utilization Report'!$A$4:$U$1800,14,FALSE)</f>
        <v>100000100001000</v>
      </c>
      <c r="AB508" s="349" t="str">
        <f>VLOOKUP(H508,'Fund Utilization Report'!$A$4:$U$1800,15,FALSE)</f>
        <v>General Administration and Supervision - General Management and Supervision</v>
      </c>
      <c r="AC508" s="39"/>
      <c r="AD508" s="34"/>
      <c r="AE508" s="39"/>
      <c r="AF508" s="51"/>
      <c r="AG508" s="40"/>
      <c r="AH508" s="40"/>
    </row>
    <row r="509" spans="1:34" s="32" customFormat="1" ht="27.6">
      <c r="A509" s="338" t="s">
        <v>942</v>
      </c>
      <c r="B509" s="338" t="s">
        <v>945</v>
      </c>
      <c r="C509" s="358">
        <v>44237</v>
      </c>
      <c r="D509" s="351" t="s">
        <v>1028</v>
      </c>
      <c r="E509" s="352" t="s">
        <v>1122</v>
      </c>
      <c r="F509" s="338">
        <v>0.47569444444444442</v>
      </c>
      <c r="G509" s="338">
        <v>0.4770833333333333</v>
      </c>
      <c r="H509" s="338" t="s">
        <v>960</v>
      </c>
      <c r="I509" s="353">
        <v>701</v>
      </c>
      <c r="J509" s="338" t="str">
        <f>IFERROR(VLOOKUP(I509,'Chart of accounts'!A:H,2,FALSE),"")</f>
        <v>50101010 01</v>
      </c>
      <c r="K509" s="338" t="str">
        <f>IFERROR(VLOOKUP(I509,'Chart of accounts'!A:H,3,FALSE),"")</f>
        <v>Basic Salary - Civilian</v>
      </c>
      <c r="L509" s="338" t="str">
        <f>IFERROR(VLOOKUP(I509,'Chart of accounts'!A:H,4,FALSE),"")</f>
        <v>50101010 01 - Basic Salary - Civilian (701)</v>
      </c>
      <c r="M509" s="361">
        <v>1</v>
      </c>
      <c r="N509" s="355" t="s">
        <v>1030</v>
      </c>
      <c r="O509" s="355" t="s">
        <v>1123</v>
      </c>
      <c r="P509" s="355"/>
      <c r="Q509" s="363">
        <v>93091.81</v>
      </c>
      <c r="R509" s="319">
        <f t="shared" si="7"/>
        <v>-93091.81</v>
      </c>
      <c r="S509" s="319" t="str">
        <f>VLOOKUP(H509,'Fund Utilization Report'!$A$4:$U$1800,13,FALSE)</f>
        <v>PS</v>
      </c>
      <c r="T509" s="319" t="str">
        <f>VLOOKUP(H509,'Fund Utilization Report'!$A$4:$U$1800,2,FALSE)</f>
        <v>GAA</v>
      </c>
      <c r="U509" s="319" t="str">
        <f>VLOOKUP(H509,'Fund Utilization Report'!$A$4:$U$1800,3,FALSE)</f>
        <v>FY2021, RA11518</v>
      </c>
      <c r="V509" s="319" t="str">
        <f>VLOOKUP(H509,'Fund Utilization Report'!$A$4:$U$1800,4,FALSE)</f>
        <v>GAS(GMS)</v>
      </c>
      <c r="W509" s="319" t="str">
        <f>VLOOKUP(H509,'Fund Utilization Report'!$A$4:$U$1800,5,FALSE)</f>
        <v>01101101</v>
      </c>
      <c r="X509" s="319" t="str">
        <f>VLOOKUP(H509,'Fund Utilization Report'!$A$4:$U$1800,6,FALSE)</f>
        <v>GOP</v>
      </c>
      <c r="Y509" s="320" t="str">
        <f>VLOOKUP(H509,'Fund Utilization Report'!$A$4:$U$1800,7,FALSE)</f>
        <v>PS</v>
      </c>
      <c r="Z509" s="321">
        <f>VLOOKUP(H509,'Fund Utilization Report'!$A$4:$U$1800,8,FALSE)</f>
        <v>5010000000</v>
      </c>
      <c r="AA509" s="319" t="str">
        <f>VLOOKUP(H509,'Fund Utilization Report'!$A$4:$U$1800,14,FALSE)</f>
        <v>100000100001000</v>
      </c>
      <c r="AB509" s="349" t="str">
        <f>VLOOKUP(H509,'Fund Utilization Report'!$A$4:$U$1800,15,FALSE)</f>
        <v>General Administration and Supervision - General Management and Supervision</v>
      </c>
      <c r="AC509" s="39"/>
      <c r="AD509" s="34"/>
      <c r="AE509" s="39"/>
      <c r="AF509" s="51"/>
      <c r="AG509" s="40"/>
      <c r="AH509" s="40"/>
    </row>
    <row r="510" spans="1:34" s="32" customFormat="1" ht="27.6">
      <c r="A510" s="338" t="s">
        <v>942</v>
      </c>
      <c r="B510" s="338" t="s">
        <v>945</v>
      </c>
      <c r="C510" s="358">
        <v>44237</v>
      </c>
      <c r="D510" s="351" t="s">
        <v>1028</v>
      </c>
      <c r="E510" s="352" t="s">
        <v>1122</v>
      </c>
      <c r="F510" s="338">
        <v>0.47569444444444442</v>
      </c>
      <c r="G510" s="338">
        <v>0.4770833333333333</v>
      </c>
      <c r="H510" s="338" t="s">
        <v>962</v>
      </c>
      <c r="I510" s="353">
        <v>731</v>
      </c>
      <c r="J510" s="338" t="str">
        <f>IFERROR(VLOOKUP(I510,'Chart of accounts'!A:H,2,FALSE),"")</f>
        <v>50103010 00</v>
      </c>
      <c r="K510" s="338" t="str">
        <f>IFERROR(VLOOKUP(I510,'Chart of accounts'!A:H,3,FALSE),"")</f>
        <v>Retirement and Life Insurance Premiums</v>
      </c>
      <c r="L510" s="338" t="str">
        <f>IFERROR(VLOOKUP(I510,'Chart of accounts'!A:H,4,FALSE),"")</f>
        <v>50103010 00 - Retirement and Life Insurance Premiums (731)</v>
      </c>
      <c r="M510" s="361">
        <v>1</v>
      </c>
      <c r="N510" s="355" t="s">
        <v>1030</v>
      </c>
      <c r="O510" s="355" t="s">
        <v>1123</v>
      </c>
      <c r="P510" s="355"/>
      <c r="Q510" s="363">
        <v>11098.96</v>
      </c>
      <c r="R510" s="319">
        <f t="shared" si="7"/>
        <v>-11098.96</v>
      </c>
      <c r="S510" s="319" t="str">
        <f>VLOOKUP(H510,'Fund Utilization Report'!$A$4:$U$1800,13,FALSE)</f>
        <v>PS</v>
      </c>
      <c r="T510" s="319" t="str">
        <f>VLOOKUP(H510,'Fund Utilization Report'!$A$4:$U$1800,2,FALSE)</f>
        <v>GAA</v>
      </c>
      <c r="U510" s="319" t="str">
        <f>VLOOKUP(H510,'Fund Utilization Report'!$A$4:$U$1800,3,FALSE)</f>
        <v>FY2021, RA11518</v>
      </c>
      <c r="V510" s="319" t="str">
        <f>VLOOKUP(H510,'Fund Utilization Report'!$A$4:$U$1800,4,FALSE)</f>
        <v>GAS(GMS)</v>
      </c>
      <c r="W510" s="319" t="str">
        <f>VLOOKUP(H510,'Fund Utilization Report'!$A$4:$U$1800,5,FALSE)</f>
        <v>01101101</v>
      </c>
      <c r="X510" s="319" t="str">
        <f>VLOOKUP(H510,'Fund Utilization Report'!$A$4:$U$1800,6,FALSE)</f>
        <v>GOP</v>
      </c>
      <c r="Y510" s="320" t="str">
        <f>VLOOKUP(H510,'Fund Utilization Report'!$A$4:$U$1800,7,FALSE)</f>
        <v>RLIP</v>
      </c>
      <c r="Z510" s="321" t="str">
        <f>VLOOKUP(H510,'Fund Utilization Report'!$A$4:$U$1800,8,FALSE)</f>
        <v>50103010-00</v>
      </c>
      <c r="AA510" s="319" t="str">
        <f>VLOOKUP(H510,'Fund Utilization Report'!$A$4:$U$1800,14,FALSE)</f>
        <v>100000100001000</v>
      </c>
      <c r="AB510" s="349" t="str">
        <f>VLOOKUP(H510,'Fund Utilization Report'!$A$4:$U$1800,15,FALSE)</f>
        <v>General Administration and Supervision - General Management and Supervision</v>
      </c>
      <c r="AC510" s="39"/>
      <c r="AD510" s="34"/>
      <c r="AE510" s="39"/>
      <c r="AF510" s="51"/>
      <c r="AG510" s="40"/>
      <c r="AH510" s="40"/>
    </row>
    <row r="511" spans="1:34" s="32" customFormat="1" ht="27.6">
      <c r="A511" s="338" t="s">
        <v>942</v>
      </c>
      <c r="B511" s="338" t="s">
        <v>945</v>
      </c>
      <c r="C511" s="358">
        <v>44237</v>
      </c>
      <c r="D511" s="351" t="s">
        <v>1028</v>
      </c>
      <c r="E511" s="352" t="s">
        <v>1122</v>
      </c>
      <c r="F511" s="338">
        <v>0.47569444444444442</v>
      </c>
      <c r="G511" s="338">
        <v>0.4770833333333333</v>
      </c>
      <c r="H511" s="338" t="s">
        <v>960</v>
      </c>
      <c r="I511" s="353">
        <v>733</v>
      </c>
      <c r="J511" s="338" t="str">
        <f>IFERROR(VLOOKUP(I511,'Chart of accounts'!A:H,2,FALSE),"")</f>
        <v>50103030 01</v>
      </c>
      <c r="K511" s="338" t="str">
        <f>IFERROR(VLOOKUP(I511,'Chart of accounts'!A:H,3,FALSE),"")</f>
        <v>PhilHealth - Civilian</v>
      </c>
      <c r="L511" s="338" t="str">
        <f>IFERROR(VLOOKUP(I511,'Chart of accounts'!A:H,4,FALSE),"")</f>
        <v>50103030 01 - PhilHealth - Civilian (733)</v>
      </c>
      <c r="M511" s="361">
        <v>1</v>
      </c>
      <c r="N511" s="355" t="s">
        <v>1030</v>
      </c>
      <c r="O511" s="355" t="s">
        <v>1123</v>
      </c>
      <c r="P511" s="355"/>
      <c r="Q511" s="363">
        <v>858.77</v>
      </c>
      <c r="R511" s="319">
        <f t="shared" si="7"/>
        <v>-858.77</v>
      </c>
      <c r="S511" s="319" t="str">
        <f>VLOOKUP(H511,'Fund Utilization Report'!$A$4:$U$1800,13,FALSE)</f>
        <v>PS</v>
      </c>
      <c r="T511" s="319" t="str">
        <f>VLOOKUP(H511,'Fund Utilization Report'!$A$4:$U$1800,2,FALSE)</f>
        <v>GAA</v>
      </c>
      <c r="U511" s="319" t="str">
        <f>VLOOKUP(H511,'Fund Utilization Report'!$A$4:$U$1800,3,FALSE)</f>
        <v>FY2021, RA11518</v>
      </c>
      <c r="V511" s="319" t="str">
        <f>VLOOKUP(H511,'Fund Utilization Report'!$A$4:$U$1800,4,FALSE)</f>
        <v>GAS(GMS)</v>
      </c>
      <c r="W511" s="319" t="str">
        <f>VLOOKUP(H511,'Fund Utilization Report'!$A$4:$U$1800,5,FALSE)</f>
        <v>01101101</v>
      </c>
      <c r="X511" s="319" t="str">
        <f>VLOOKUP(H511,'Fund Utilization Report'!$A$4:$U$1800,6,FALSE)</f>
        <v>GOP</v>
      </c>
      <c r="Y511" s="320" t="str">
        <f>VLOOKUP(H511,'Fund Utilization Report'!$A$4:$U$1800,7,FALSE)</f>
        <v>PS</v>
      </c>
      <c r="Z511" s="321">
        <f>VLOOKUP(H511,'Fund Utilization Report'!$A$4:$U$1800,8,FALSE)</f>
        <v>5010000000</v>
      </c>
      <c r="AA511" s="319" t="str">
        <f>VLOOKUP(H511,'Fund Utilization Report'!$A$4:$U$1800,14,FALSE)</f>
        <v>100000100001000</v>
      </c>
      <c r="AB511" s="349" t="str">
        <f>VLOOKUP(H511,'Fund Utilization Report'!$A$4:$U$1800,15,FALSE)</f>
        <v>General Administration and Supervision - General Management and Supervision</v>
      </c>
      <c r="AC511" s="39"/>
      <c r="AD511" s="34"/>
      <c r="AE511" s="39"/>
      <c r="AF511" s="51"/>
      <c r="AG511" s="40"/>
      <c r="AH511" s="40"/>
    </row>
    <row r="512" spans="1:34" s="32" customFormat="1" ht="27.6">
      <c r="A512" s="338" t="s">
        <v>942</v>
      </c>
      <c r="B512" s="338" t="s">
        <v>945</v>
      </c>
      <c r="C512" s="358">
        <v>44237</v>
      </c>
      <c r="D512" s="351" t="s">
        <v>1028</v>
      </c>
      <c r="E512" s="352" t="s">
        <v>1124</v>
      </c>
      <c r="F512" s="338">
        <v>0.4770833333333333</v>
      </c>
      <c r="G512" s="338">
        <v>0.4826388888888889</v>
      </c>
      <c r="H512" s="338" t="s">
        <v>999</v>
      </c>
      <c r="I512" s="353">
        <v>706</v>
      </c>
      <c r="J512" s="338" t="str">
        <f>IFERROR(VLOOKUP(I512,'Chart of accounts'!A:H,2,FALSE),"")</f>
        <v>50101020 00</v>
      </c>
      <c r="K512" s="338" t="str">
        <f>IFERROR(VLOOKUP(I512,'Chart of accounts'!A:H,3,FALSE),"")</f>
        <v>Basic Salary - Contractual</v>
      </c>
      <c r="L512" s="338" t="str">
        <f>IFERROR(VLOOKUP(I512,'Chart of accounts'!A:H,4,FALSE),"")</f>
        <v>50101020 00 - Basic Salary - Contractual (706)</v>
      </c>
      <c r="M512" s="361">
        <v>85</v>
      </c>
      <c r="N512" s="355" t="s">
        <v>872</v>
      </c>
      <c r="O512" s="355" t="s">
        <v>1125</v>
      </c>
      <c r="P512" s="355"/>
      <c r="Q512" s="363">
        <v>33575</v>
      </c>
      <c r="R512" s="319">
        <f t="shared" si="7"/>
        <v>-33575</v>
      </c>
      <c r="S512" s="319" t="str">
        <f>VLOOKUP(H512,'Fund Utilization Report'!$A$4:$U$1800,13,FALSE)</f>
        <v>PS</v>
      </c>
      <c r="T512" s="319" t="str">
        <f>VLOOKUP(H512,'Fund Utilization Report'!$A$4:$U$1800,2,FALSE)</f>
        <v>SAA15</v>
      </c>
      <c r="U512" s="319" t="str">
        <f>VLOOKUP(H512,'Fund Utilization Report'!$A$4:$U$1800,3,FALSE)</f>
        <v>2021-01-0015</v>
      </c>
      <c r="V512" s="319" t="str">
        <f>VLOOKUP(H512,'Fund Utilization Report'!$A$4:$U$1800,4,FALSE)</f>
        <v>CARP</v>
      </c>
      <c r="W512" s="319" t="str">
        <f>VLOOKUP(H512,'Fund Utilization Report'!$A$4:$U$1800,5,FALSE)</f>
        <v>01101101</v>
      </c>
      <c r="X512" s="319" t="str">
        <f>VLOOKUP(H512,'Fund Utilization Report'!$A$4:$U$1800,6,FALSE)</f>
        <v>GOP</v>
      </c>
      <c r="Y512" s="320">
        <f>VLOOKUP(H512,'Fund Utilization Report'!$A$4:$U$1800,7,FALSE)</f>
        <v>706</v>
      </c>
      <c r="Z512" s="321" t="str">
        <f>VLOOKUP(H512,'Fund Utilization Report'!$A$4:$U$1800,8,FALSE)</f>
        <v>50101020 00</v>
      </c>
      <c r="AA512" s="319" t="str">
        <f>VLOOKUP(H512,'Fund Utilization Report'!$A$4:$U$1800,14,FALSE)</f>
        <v>330100100003000</v>
      </c>
      <c r="AB512" s="349" t="str">
        <f>VLOOKUP(H512,'Fund Utilization Report'!$A$4:$U$1800,15,FALSE)</f>
        <v>MSME Development Program : Program Beneficiaries Development Component of the Comprehensive Agrarian Reform Program</v>
      </c>
      <c r="AC512" s="39"/>
      <c r="AD512" s="34"/>
      <c r="AE512" s="39"/>
      <c r="AF512" s="51"/>
      <c r="AG512" s="40"/>
      <c r="AH512" s="40"/>
    </row>
    <row r="513" spans="1:34" s="32" customFormat="1" ht="27.6">
      <c r="A513" s="338" t="s">
        <v>942</v>
      </c>
      <c r="B513" s="338" t="s">
        <v>945</v>
      </c>
      <c r="C513" s="358">
        <v>44237</v>
      </c>
      <c r="D513" s="351" t="s">
        <v>1028</v>
      </c>
      <c r="E513" s="352" t="s">
        <v>1124</v>
      </c>
      <c r="F513" s="338">
        <v>0.4770833333333333</v>
      </c>
      <c r="G513" s="338">
        <v>0.4826388888888889</v>
      </c>
      <c r="H513" s="338" t="s">
        <v>999</v>
      </c>
      <c r="I513" s="353">
        <v>711</v>
      </c>
      <c r="J513" s="338" t="str">
        <f>IFERROR(VLOOKUP(I513,'Chart of accounts'!A:H,2,FALSE),"")</f>
        <v>50102010 01</v>
      </c>
      <c r="K513" s="338" t="str">
        <f>IFERROR(VLOOKUP(I513,'Chart of accounts'!A:H,3,FALSE),"")</f>
        <v>PERA - Civilian</v>
      </c>
      <c r="L513" s="338" t="str">
        <f>IFERROR(VLOOKUP(I513,'Chart of accounts'!A:H,4,FALSE),"")</f>
        <v>50102010 01 - PERA - Civilian (711)</v>
      </c>
      <c r="M513" s="361">
        <v>85</v>
      </c>
      <c r="N513" s="355" t="s">
        <v>872</v>
      </c>
      <c r="O513" s="355" t="s">
        <v>1125</v>
      </c>
      <c r="P513" s="355"/>
      <c r="Q513" s="363">
        <v>2000</v>
      </c>
      <c r="R513" s="319">
        <f t="shared" si="7"/>
        <v>-2000</v>
      </c>
      <c r="S513" s="319" t="str">
        <f>VLOOKUP(H513,'Fund Utilization Report'!$A$4:$U$1800,13,FALSE)</f>
        <v>PS</v>
      </c>
      <c r="T513" s="319" t="str">
        <f>VLOOKUP(H513,'Fund Utilization Report'!$A$4:$U$1800,2,FALSE)</f>
        <v>SAA15</v>
      </c>
      <c r="U513" s="319" t="str">
        <f>VLOOKUP(H513,'Fund Utilization Report'!$A$4:$U$1800,3,FALSE)</f>
        <v>2021-01-0015</v>
      </c>
      <c r="V513" s="319" t="str">
        <f>VLOOKUP(H513,'Fund Utilization Report'!$A$4:$U$1800,4,FALSE)</f>
        <v>CARP</v>
      </c>
      <c r="W513" s="319" t="str">
        <f>VLOOKUP(H513,'Fund Utilization Report'!$A$4:$U$1800,5,FALSE)</f>
        <v>01101101</v>
      </c>
      <c r="X513" s="319" t="str">
        <f>VLOOKUP(H513,'Fund Utilization Report'!$A$4:$U$1800,6,FALSE)</f>
        <v>GOP</v>
      </c>
      <c r="Y513" s="320">
        <f>VLOOKUP(H513,'Fund Utilization Report'!$A$4:$U$1800,7,FALSE)</f>
        <v>706</v>
      </c>
      <c r="Z513" s="321" t="str">
        <f>VLOOKUP(H513,'Fund Utilization Report'!$A$4:$U$1800,8,FALSE)</f>
        <v>50101020 00</v>
      </c>
      <c r="AA513" s="319" t="str">
        <f>VLOOKUP(H513,'Fund Utilization Report'!$A$4:$U$1800,14,FALSE)</f>
        <v>330100100003000</v>
      </c>
      <c r="AB513" s="349" t="str">
        <f>VLOOKUP(H513,'Fund Utilization Report'!$A$4:$U$1800,15,FALSE)</f>
        <v>MSME Development Program : Program Beneficiaries Development Component of the Comprehensive Agrarian Reform Program</v>
      </c>
      <c r="AC513" s="39"/>
      <c r="AD513" s="34"/>
      <c r="AE513" s="39"/>
      <c r="AF513" s="51"/>
      <c r="AG513" s="40"/>
      <c r="AH513" s="40"/>
    </row>
    <row r="514" spans="1:34" s="32" customFormat="1" ht="27.6">
      <c r="A514" s="338" t="s">
        <v>942</v>
      </c>
      <c r="B514" s="338" t="s">
        <v>945</v>
      </c>
      <c r="C514" s="358">
        <v>44237</v>
      </c>
      <c r="D514" s="351" t="s">
        <v>1028</v>
      </c>
      <c r="E514" s="352" t="s">
        <v>1124</v>
      </c>
      <c r="F514" s="338">
        <v>0.4770833333333333</v>
      </c>
      <c r="G514" s="338">
        <v>0.4826388888888889</v>
      </c>
      <c r="H514" s="338" t="s">
        <v>999</v>
      </c>
      <c r="I514" s="353">
        <v>731</v>
      </c>
      <c r="J514" s="338" t="str">
        <f>IFERROR(VLOOKUP(I514,'Chart of accounts'!A:H,2,FALSE),"")</f>
        <v>50103010 00</v>
      </c>
      <c r="K514" s="338" t="str">
        <f>IFERROR(VLOOKUP(I514,'Chart of accounts'!A:H,3,FALSE),"")</f>
        <v>Retirement and Life Insurance Premiums</v>
      </c>
      <c r="L514" s="338" t="str">
        <f>IFERROR(VLOOKUP(I514,'Chart of accounts'!A:H,4,FALSE),"")</f>
        <v>50103010 00 - Retirement and Life Insurance Premiums (731)</v>
      </c>
      <c r="M514" s="361">
        <v>85</v>
      </c>
      <c r="N514" s="355" t="s">
        <v>872</v>
      </c>
      <c r="O514" s="355" t="s">
        <v>1125</v>
      </c>
      <c r="P514" s="355"/>
      <c r="Q514" s="363">
        <v>4029</v>
      </c>
      <c r="R514" s="319">
        <f t="shared" si="7"/>
        <v>-4029</v>
      </c>
      <c r="S514" s="319" t="str">
        <f>VLOOKUP(H514,'Fund Utilization Report'!$A$4:$U$1800,13,FALSE)</f>
        <v>PS</v>
      </c>
      <c r="T514" s="319" t="str">
        <f>VLOOKUP(H514,'Fund Utilization Report'!$A$4:$U$1800,2,FALSE)</f>
        <v>SAA15</v>
      </c>
      <c r="U514" s="319" t="str">
        <f>VLOOKUP(H514,'Fund Utilization Report'!$A$4:$U$1800,3,FALSE)</f>
        <v>2021-01-0015</v>
      </c>
      <c r="V514" s="319" t="str">
        <f>VLOOKUP(H514,'Fund Utilization Report'!$A$4:$U$1800,4,FALSE)</f>
        <v>CARP</v>
      </c>
      <c r="W514" s="319" t="str">
        <f>VLOOKUP(H514,'Fund Utilization Report'!$A$4:$U$1800,5,FALSE)</f>
        <v>01101101</v>
      </c>
      <c r="X514" s="319" t="str">
        <f>VLOOKUP(H514,'Fund Utilization Report'!$A$4:$U$1800,6,FALSE)</f>
        <v>GOP</v>
      </c>
      <c r="Y514" s="320">
        <f>VLOOKUP(H514,'Fund Utilization Report'!$A$4:$U$1800,7,FALSE)</f>
        <v>706</v>
      </c>
      <c r="Z514" s="321" t="str">
        <f>VLOOKUP(H514,'Fund Utilization Report'!$A$4:$U$1800,8,FALSE)</f>
        <v>50101020 00</v>
      </c>
      <c r="AA514" s="319" t="str">
        <f>VLOOKUP(H514,'Fund Utilization Report'!$A$4:$U$1800,14,FALSE)</f>
        <v>330100100003000</v>
      </c>
      <c r="AB514" s="349" t="str">
        <f>VLOOKUP(H514,'Fund Utilization Report'!$A$4:$U$1800,15,FALSE)</f>
        <v>MSME Development Program : Program Beneficiaries Development Component of the Comprehensive Agrarian Reform Program</v>
      </c>
      <c r="AC514" s="39"/>
      <c r="AD514" s="34"/>
      <c r="AE514" s="39"/>
      <c r="AF514" s="51"/>
      <c r="AG514" s="40"/>
      <c r="AH514" s="40"/>
    </row>
    <row r="515" spans="1:34" s="32" customFormat="1" ht="27.6">
      <c r="A515" s="338" t="s">
        <v>942</v>
      </c>
      <c r="B515" s="338" t="s">
        <v>945</v>
      </c>
      <c r="C515" s="358">
        <v>44237</v>
      </c>
      <c r="D515" s="351" t="s">
        <v>1028</v>
      </c>
      <c r="E515" s="352" t="s">
        <v>1124</v>
      </c>
      <c r="F515" s="338">
        <v>0.4770833333333333</v>
      </c>
      <c r="G515" s="338">
        <v>0.4826388888888889</v>
      </c>
      <c r="H515" s="338" t="s">
        <v>999</v>
      </c>
      <c r="I515" s="353">
        <v>732</v>
      </c>
      <c r="J515" s="338" t="str">
        <f>IFERROR(VLOOKUP(I515,'Chart of accounts'!A:H,2,FALSE),"")</f>
        <v>50103020 01</v>
      </c>
      <c r="K515" s="338" t="str">
        <f>IFERROR(VLOOKUP(I515,'Chart of accounts'!A:H,3,FALSE),"")</f>
        <v>Pag-IBIG - Civilian</v>
      </c>
      <c r="L515" s="338" t="str">
        <f>IFERROR(VLOOKUP(I515,'Chart of accounts'!A:H,4,FALSE),"")</f>
        <v>50103020 01 - Pag-IBIG - Civilian (732)</v>
      </c>
      <c r="M515" s="361">
        <v>85</v>
      </c>
      <c r="N515" s="355" t="s">
        <v>872</v>
      </c>
      <c r="O515" s="355" t="s">
        <v>1125</v>
      </c>
      <c r="P515" s="355"/>
      <c r="Q515" s="363">
        <v>100</v>
      </c>
      <c r="R515" s="319">
        <f t="shared" si="7"/>
        <v>-100</v>
      </c>
      <c r="S515" s="319" t="str">
        <f>VLOOKUP(H515,'Fund Utilization Report'!$A$4:$U$1800,13,FALSE)</f>
        <v>PS</v>
      </c>
      <c r="T515" s="319" t="str">
        <f>VLOOKUP(H515,'Fund Utilization Report'!$A$4:$U$1800,2,FALSE)</f>
        <v>SAA15</v>
      </c>
      <c r="U515" s="319" t="str">
        <f>VLOOKUP(H515,'Fund Utilization Report'!$A$4:$U$1800,3,FALSE)</f>
        <v>2021-01-0015</v>
      </c>
      <c r="V515" s="319" t="str">
        <f>VLOOKUP(H515,'Fund Utilization Report'!$A$4:$U$1800,4,FALSE)</f>
        <v>CARP</v>
      </c>
      <c r="W515" s="319" t="str">
        <f>VLOOKUP(H515,'Fund Utilization Report'!$A$4:$U$1800,5,FALSE)</f>
        <v>01101101</v>
      </c>
      <c r="X515" s="319" t="str">
        <f>VLOOKUP(H515,'Fund Utilization Report'!$A$4:$U$1800,6,FALSE)</f>
        <v>GOP</v>
      </c>
      <c r="Y515" s="320">
        <f>VLOOKUP(H515,'Fund Utilization Report'!$A$4:$U$1800,7,FALSE)</f>
        <v>706</v>
      </c>
      <c r="Z515" s="321" t="str">
        <f>VLOOKUP(H515,'Fund Utilization Report'!$A$4:$U$1800,8,FALSE)</f>
        <v>50101020 00</v>
      </c>
      <c r="AA515" s="319" t="str">
        <f>VLOOKUP(H515,'Fund Utilization Report'!$A$4:$U$1800,14,FALSE)</f>
        <v>330100100003000</v>
      </c>
      <c r="AB515" s="349" t="str">
        <f>VLOOKUP(H515,'Fund Utilization Report'!$A$4:$U$1800,15,FALSE)</f>
        <v>MSME Development Program : Program Beneficiaries Development Component of the Comprehensive Agrarian Reform Program</v>
      </c>
      <c r="AC515" s="39"/>
      <c r="AD515" s="34"/>
      <c r="AE515" s="39"/>
      <c r="AF515" s="51"/>
      <c r="AG515" s="40"/>
      <c r="AH515" s="40"/>
    </row>
    <row r="516" spans="1:34" s="32" customFormat="1" ht="27.6">
      <c r="A516" s="338" t="s">
        <v>942</v>
      </c>
      <c r="B516" s="338" t="s">
        <v>945</v>
      </c>
      <c r="C516" s="358">
        <v>44237</v>
      </c>
      <c r="D516" s="351" t="s">
        <v>1028</v>
      </c>
      <c r="E516" s="352" t="s">
        <v>1124</v>
      </c>
      <c r="F516" s="338">
        <v>0.4770833333333333</v>
      </c>
      <c r="G516" s="338">
        <v>0.4826388888888889</v>
      </c>
      <c r="H516" s="338" t="s">
        <v>999</v>
      </c>
      <c r="I516" s="353">
        <v>733</v>
      </c>
      <c r="J516" s="338" t="str">
        <f>IFERROR(VLOOKUP(I516,'Chart of accounts'!A:H,2,FALSE),"")</f>
        <v>50103030 01</v>
      </c>
      <c r="K516" s="338" t="str">
        <f>IFERROR(VLOOKUP(I516,'Chart of accounts'!A:H,3,FALSE),"")</f>
        <v>PhilHealth - Civilian</v>
      </c>
      <c r="L516" s="338" t="str">
        <f>IFERROR(VLOOKUP(I516,'Chart of accounts'!A:H,4,FALSE),"")</f>
        <v>50103030 01 - PhilHealth - Civilian (733)</v>
      </c>
      <c r="M516" s="361">
        <v>85</v>
      </c>
      <c r="N516" s="355" t="s">
        <v>872</v>
      </c>
      <c r="O516" s="355" t="s">
        <v>1125</v>
      </c>
      <c r="P516" s="355"/>
      <c r="Q516" s="363">
        <v>503.63</v>
      </c>
      <c r="R516" s="319">
        <f t="shared" si="7"/>
        <v>-503.63</v>
      </c>
      <c r="S516" s="319" t="str">
        <f>VLOOKUP(H516,'Fund Utilization Report'!$A$4:$U$1800,13,FALSE)</f>
        <v>PS</v>
      </c>
      <c r="T516" s="319" t="str">
        <f>VLOOKUP(H516,'Fund Utilization Report'!$A$4:$U$1800,2,FALSE)</f>
        <v>SAA15</v>
      </c>
      <c r="U516" s="319" t="str">
        <f>VLOOKUP(H516,'Fund Utilization Report'!$A$4:$U$1800,3,FALSE)</f>
        <v>2021-01-0015</v>
      </c>
      <c r="V516" s="319" t="str">
        <f>VLOOKUP(H516,'Fund Utilization Report'!$A$4:$U$1800,4,FALSE)</f>
        <v>CARP</v>
      </c>
      <c r="W516" s="319" t="str">
        <f>VLOOKUP(H516,'Fund Utilization Report'!$A$4:$U$1800,5,FALSE)</f>
        <v>01101101</v>
      </c>
      <c r="X516" s="319" t="str">
        <f>VLOOKUP(H516,'Fund Utilization Report'!$A$4:$U$1800,6,FALSE)</f>
        <v>GOP</v>
      </c>
      <c r="Y516" s="320">
        <f>VLOOKUP(H516,'Fund Utilization Report'!$A$4:$U$1800,7,FALSE)</f>
        <v>706</v>
      </c>
      <c r="Z516" s="321" t="str">
        <f>VLOOKUP(H516,'Fund Utilization Report'!$A$4:$U$1800,8,FALSE)</f>
        <v>50101020 00</v>
      </c>
      <c r="AA516" s="319" t="str">
        <f>VLOOKUP(H516,'Fund Utilization Report'!$A$4:$U$1800,14,FALSE)</f>
        <v>330100100003000</v>
      </c>
      <c r="AB516" s="349" t="str">
        <f>VLOOKUP(H516,'Fund Utilization Report'!$A$4:$U$1800,15,FALSE)</f>
        <v>MSME Development Program : Program Beneficiaries Development Component of the Comprehensive Agrarian Reform Program</v>
      </c>
      <c r="AC516" s="39"/>
      <c r="AD516" s="34"/>
      <c r="AE516" s="39"/>
      <c r="AF516" s="51"/>
      <c r="AG516" s="40"/>
      <c r="AH516" s="40"/>
    </row>
    <row r="517" spans="1:34" s="32" customFormat="1" ht="27.6">
      <c r="A517" s="338" t="s">
        <v>942</v>
      </c>
      <c r="B517" s="338" t="s">
        <v>945</v>
      </c>
      <c r="C517" s="358">
        <v>44237</v>
      </c>
      <c r="D517" s="351" t="s">
        <v>1028</v>
      </c>
      <c r="E517" s="352" t="s">
        <v>1124</v>
      </c>
      <c r="F517" s="338">
        <v>0.4770833333333333</v>
      </c>
      <c r="G517" s="338">
        <v>0.4826388888888889</v>
      </c>
      <c r="H517" s="338" t="s">
        <v>999</v>
      </c>
      <c r="I517" s="353">
        <v>734</v>
      </c>
      <c r="J517" s="338" t="str">
        <f>IFERROR(VLOOKUP(I517,'Chart of accounts'!A:H,2,FALSE),"")</f>
        <v>50103040 01</v>
      </c>
      <c r="K517" s="338" t="str">
        <f>IFERROR(VLOOKUP(I517,'Chart of accounts'!A:H,3,FALSE),"")</f>
        <v>ECIP - Civilian</v>
      </c>
      <c r="L517" s="338" t="str">
        <f>IFERROR(VLOOKUP(I517,'Chart of accounts'!A:H,4,FALSE),"")</f>
        <v>50103040 01 - ECIP - Civilian (734)</v>
      </c>
      <c r="M517" s="361">
        <v>85</v>
      </c>
      <c r="N517" s="355" t="s">
        <v>872</v>
      </c>
      <c r="O517" s="355" t="s">
        <v>1125</v>
      </c>
      <c r="P517" s="355"/>
      <c r="Q517" s="363">
        <v>100</v>
      </c>
      <c r="R517" s="319">
        <f t="shared" si="7"/>
        <v>-100</v>
      </c>
      <c r="S517" s="319" t="str">
        <f>VLOOKUP(H517,'Fund Utilization Report'!$A$4:$U$1800,13,FALSE)</f>
        <v>PS</v>
      </c>
      <c r="T517" s="319" t="str">
        <f>VLOOKUP(H517,'Fund Utilization Report'!$A$4:$U$1800,2,FALSE)</f>
        <v>SAA15</v>
      </c>
      <c r="U517" s="319" t="str">
        <f>VLOOKUP(H517,'Fund Utilization Report'!$A$4:$U$1800,3,FALSE)</f>
        <v>2021-01-0015</v>
      </c>
      <c r="V517" s="319" t="str">
        <f>VLOOKUP(H517,'Fund Utilization Report'!$A$4:$U$1800,4,FALSE)</f>
        <v>CARP</v>
      </c>
      <c r="W517" s="319" t="str">
        <f>VLOOKUP(H517,'Fund Utilization Report'!$A$4:$U$1800,5,FALSE)</f>
        <v>01101101</v>
      </c>
      <c r="X517" s="319" t="str">
        <f>VLOOKUP(H517,'Fund Utilization Report'!$A$4:$U$1800,6,FALSE)</f>
        <v>GOP</v>
      </c>
      <c r="Y517" s="320">
        <f>VLOOKUP(H517,'Fund Utilization Report'!$A$4:$U$1800,7,FALSE)</f>
        <v>706</v>
      </c>
      <c r="Z517" s="321" t="str">
        <f>VLOOKUP(H517,'Fund Utilization Report'!$A$4:$U$1800,8,FALSE)</f>
        <v>50101020 00</v>
      </c>
      <c r="AA517" s="319" t="str">
        <f>VLOOKUP(H517,'Fund Utilization Report'!$A$4:$U$1800,14,FALSE)</f>
        <v>330100100003000</v>
      </c>
      <c r="AB517" s="349" t="str">
        <f>VLOOKUP(H517,'Fund Utilization Report'!$A$4:$U$1800,15,FALSE)</f>
        <v>MSME Development Program : Program Beneficiaries Development Component of the Comprehensive Agrarian Reform Program</v>
      </c>
      <c r="AC517" s="39"/>
      <c r="AD517" s="34"/>
      <c r="AE517" s="39"/>
      <c r="AF517" s="51"/>
      <c r="AG517" s="40"/>
      <c r="AH517" s="40"/>
    </row>
    <row r="518" spans="1:34" s="32" customFormat="1" ht="27.6">
      <c r="A518" s="338" t="s">
        <v>942</v>
      </c>
      <c r="B518" s="338" t="s">
        <v>945</v>
      </c>
      <c r="C518" s="358">
        <v>44237</v>
      </c>
      <c r="D518" s="351" t="s">
        <v>1028</v>
      </c>
      <c r="E518" s="352" t="s">
        <v>1126</v>
      </c>
      <c r="F518" s="338">
        <v>0.49236111111111108</v>
      </c>
      <c r="G518" s="338">
        <v>0.49236111111111108</v>
      </c>
      <c r="H518" s="338" t="s">
        <v>999</v>
      </c>
      <c r="I518" s="353">
        <v>706</v>
      </c>
      <c r="J518" s="338" t="str">
        <f>IFERROR(VLOOKUP(I518,'Chart of accounts'!A:H,2,FALSE),"")</f>
        <v>50101020 00</v>
      </c>
      <c r="K518" s="338" t="str">
        <f>IFERROR(VLOOKUP(I518,'Chart of accounts'!A:H,3,FALSE),"")</f>
        <v>Basic Salary - Contractual</v>
      </c>
      <c r="L518" s="338" t="str">
        <f>IFERROR(VLOOKUP(I518,'Chart of accounts'!A:H,4,FALSE),"")</f>
        <v>50101020 00 - Basic Salary - Contractual (706)</v>
      </c>
      <c r="M518" s="361">
        <v>1</v>
      </c>
      <c r="N518" s="355" t="s">
        <v>863</v>
      </c>
      <c r="O518" s="355" t="s">
        <v>1125</v>
      </c>
      <c r="P518" s="355"/>
      <c r="Q518" s="363">
        <v>43681</v>
      </c>
      <c r="R518" s="319">
        <f t="shared" si="7"/>
        <v>-43681</v>
      </c>
      <c r="S518" s="319" t="str">
        <f>VLOOKUP(H518,'Fund Utilization Report'!$A$4:$U$1800,13,FALSE)</f>
        <v>PS</v>
      </c>
      <c r="T518" s="319" t="str">
        <f>VLOOKUP(H518,'Fund Utilization Report'!$A$4:$U$1800,2,FALSE)</f>
        <v>SAA15</v>
      </c>
      <c r="U518" s="319" t="str">
        <f>VLOOKUP(H518,'Fund Utilization Report'!$A$4:$U$1800,3,FALSE)</f>
        <v>2021-01-0015</v>
      </c>
      <c r="V518" s="319" t="str">
        <f>VLOOKUP(H518,'Fund Utilization Report'!$A$4:$U$1800,4,FALSE)</f>
        <v>CARP</v>
      </c>
      <c r="W518" s="319" t="str">
        <f>VLOOKUP(H518,'Fund Utilization Report'!$A$4:$U$1800,5,FALSE)</f>
        <v>01101101</v>
      </c>
      <c r="X518" s="319" t="str">
        <f>VLOOKUP(H518,'Fund Utilization Report'!$A$4:$U$1800,6,FALSE)</f>
        <v>GOP</v>
      </c>
      <c r="Y518" s="320">
        <f>VLOOKUP(H518,'Fund Utilization Report'!$A$4:$U$1800,7,FALSE)</f>
        <v>706</v>
      </c>
      <c r="Z518" s="321" t="str">
        <f>VLOOKUP(H518,'Fund Utilization Report'!$A$4:$U$1800,8,FALSE)</f>
        <v>50101020 00</v>
      </c>
      <c r="AA518" s="319" t="str">
        <f>VLOOKUP(H518,'Fund Utilization Report'!$A$4:$U$1800,14,FALSE)</f>
        <v>330100100003000</v>
      </c>
      <c r="AB518" s="349" t="str">
        <f>VLOOKUP(H518,'Fund Utilization Report'!$A$4:$U$1800,15,FALSE)</f>
        <v>MSME Development Program : Program Beneficiaries Development Component of the Comprehensive Agrarian Reform Program</v>
      </c>
      <c r="AC518" s="39"/>
      <c r="AD518" s="34"/>
      <c r="AE518" s="39"/>
      <c r="AF518" s="51"/>
      <c r="AG518" s="40"/>
      <c r="AH518" s="40"/>
    </row>
    <row r="519" spans="1:34" s="32" customFormat="1" ht="27.6">
      <c r="A519" s="338" t="s">
        <v>942</v>
      </c>
      <c r="B519" s="338" t="s">
        <v>945</v>
      </c>
      <c r="C519" s="358">
        <v>44237</v>
      </c>
      <c r="D519" s="351" t="s">
        <v>1028</v>
      </c>
      <c r="E519" s="352" t="s">
        <v>1126</v>
      </c>
      <c r="F519" s="338">
        <v>0.49236111111111108</v>
      </c>
      <c r="G519" s="338">
        <v>0.49236111111111108</v>
      </c>
      <c r="H519" s="338" t="s">
        <v>999</v>
      </c>
      <c r="I519" s="353">
        <v>711</v>
      </c>
      <c r="J519" s="338" t="str">
        <f>IFERROR(VLOOKUP(I519,'Chart of accounts'!A:H,2,FALSE),"")</f>
        <v>50102010 01</v>
      </c>
      <c r="K519" s="338" t="str">
        <f>IFERROR(VLOOKUP(I519,'Chart of accounts'!A:H,3,FALSE),"")</f>
        <v>PERA - Civilian</v>
      </c>
      <c r="L519" s="338" t="str">
        <f>IFERROR(VLOOKUP(I519,'Chart of accounts'!A:H,4,FALSE),"")</f>
        <v>50102010 01 - PERA - Civilian (711)</v>
      </c>
      <c r="M519" s="361">
        <v>1</v>
      </c>
      <c r="N519" s="355" t="s">
        <v>863</v>
      </c>
      <c r="O519" s="355" t="s">
        <v>1125</v>
      </c>
      <c r="P519" s="355"/>
      <c r="Q519" s="363">
        <v>2000</v>
      </c>
      <c r="R519" s="319">
        <f t="shared" si="7"/>
        <v>-2000</v>
      </c>
      <c r="S519" s="319" t="str">
        <f>VLOOKUP(H519,'Fund Utilization Report'!$A$4:$U$1800,13,FALSE)</f>
        <v>PS</v>
      </c>
      <c r="T519" s="319" t="str">
        <f>VLOOKUP(H519,'Fund Utilization Report'!$A$4:$U$1800,2,FALSE)</f>
        <v>SAA15</v>
      </c>
      <c r="U519" s="319" t="str">
        <f>VLOOKUP(H519,'Fund Utilization Report'!$A$4:$U$1800,3,FALSE)</f>
        <v>2021-01-0015</v>
      </c>
      <c r="V519" s="319" t="str">
        <f>VLOOKUP(H519,'Fund Utilization Report'!$A$4:$U$1800,4,FALSE)</f>
        <v>CARP</v>
      </c>
      <c r="W519" s="319" t="str">
        <f>VLOOKUP(H519,'Fund Utilization Report'!$A$4:$U$1800,5,FALSE)</f>
        <v>01101101</v>
      </c>
      <c r="X519" s="319" t="str">
        <f>VLOOKUP(H519,'Fund Utilization Report'!$A$4:$U$1800,6,FALSE)</f>
        <v>GOP</v>
      </c>
      <c r="Y519" s="320">
        <f>VLOOKUP(H519,'Fund Utilization Report'!$A$4:$U$1800,7,FALSE)</f>
        <v>706</v>
      </c>
      <c r="Z519" s="321" t="str">
        <f>VLOOKUP(H519,'Fund Utilization Report'!$A$4:$U$1800,8,FALSE)</f>
        <v>50101020 00</v>
      </c>
      <c r="AA519" s="319" t="str">
        <f>VLOOKUP(H519,'Fund Utilization Report'!$A$4:$U$1800,14,FALSE)</f>
        <v>330100100003000</v>
      </c>
      <c r="AB519" s="349" t="str">
        <f>VLOOKUP(H519,'Fund Utilization Report'!$A$4:$U$1800,15,FALSE)</f>
        <v>MSME Development Program : Program Beneficiaries Development Component of the Comprehensive Agrarian Reform Program</v>
      </c>
      <c r="AC519" s="39"/>
      <c r="AD519" s="34"/>
      <c r="AE519" s="39"/>
      <c r="AF519" s="51"/>
      <c r="AG519" s="40"/>
      <c r="AH519" s="40"/>
    </row>
    <row r="520" spans="1:34" s="32" customFormat="1" ht="27.6">
      <c r="A520" s="338" t="s">
        <v>942</v>
      </c>
      <c r="B520" s="338" t="s">
        <v>945</v>
      </c>
      <c r="C520" s="358">
        <v>44237</v>
      </c>
      <c r="D520" s="351" t="s">
        <v>1028</v>
      </c>
      <c r="E520" s="352" t="s">
        <v>1126</v>
      </c>
      <c r="F520" s="338">
        <v>0.49236111111111108</v>
      </c>
      <c r="G520" s="338">
        <v>0.49236111111111108</v>
      </c>
      <c r="H520" s="338" t="s">
        <v>999</v>
      </c>
      <c r="I520" s="353">
        <v>731</v>
      </c>
      <c r="J520" s="338" t="str">
        <f>IFERROR(VLOOKUP(I520,'Chart of accounts'!A:H,2,FALSE),"")</f>
        <v>50103010 00</v>
      </c>
      <c r="K520" s="338" t="str">
        <f>IFERROR(VLOOKUP(I520,'Chart of accounts'!A:H,3,FALSE),"")</f>
        <v>Retirement and Life Insurance Premiums</v>
      </c>
      <c r="L520" s="338" t="str">
        <f>IFERROR(VLOOKUP(I520,'Chart of accounts'!A:H,4,FALSE),"")</f>
        <v>50103010 00 - Retirement and Life Insurance Premiums (731)</v>
      </c>
      <c r="M520" s="361">
        <v>1</v>
      </c>
      <c r="N520" s="355" t="s">
        <v>863</v>
      </c>
      <c r="O520" s="355" t="s">
        <v>1125</v>
      </c>
      <c r="P520" s="355"/>
      <c r="Q520" s="363">
        <v>5241.72</v>
      </c>
      <c r="R520" s="319">
        <f t="shared" si="7"/>
        <v>-5241.72</v>
      </c>
      <c r="S520" s="319" t="str">
        <f>VLOOKUP(H520,'Fund Utilization Report'!$A$4:$U$1800,13,FALSE)</f>
        <v>PS</v>
      </c>
      <c r="T520" s="319" t="str">
        <f>VLOOKUP(H520,'Fund Utilization Report'!$A$4:$U$1800,2,FALSE)</f>
        <v>SAA15</v>
      </c>
      <c r="U520" s="319" t="str">
        <f>VLOOKUP(H520,'Fund Utilization Report'!$A$4:$U$1800,3,FALSE)</f>
        <v>2021-01-0015</v>
      </c>
      <c r="V520" s="319" t="str">
        <f>VLOOKUP(H520,'Fund Utilization Report'!$A$4:$U$1800,4,FALSE)</f>
        <v>CARP</v>
      </c>
      <c r="W520" s="319" t="str">
        <f>VLOOKUP(H520,'Fund Utilization Report'!$A$4:$U$1800,5,FALSE)</f>
        <v>01101101</v>
      </c>
      <c r="X520" s="319" t="str">
        <f>VLOOKUP(H520,'Fund Utilization Report'!$A$4:$U$1800,6,FALSE)</f>
        <v>GOP</v>
      </c>
      <c r="Y520" s="320">
        <f>VLOOKUP(H520,'Fund Utilization Report'!$A$4:$U$1800,7,FALSE)</f>
        <v>706</v>
      </c>
      <c r="Z520" s="321" t="str">
        <f>VLOOKUP(H520,'Fund Utilization Report'!$A$4:$U$1800,8,FALSE)</f>
        <v>50101020 00</v>
      </c>
      <c r="AA520" s="319" t="str">
        <f>VLOOKUP(H520,'Fund Utilization Report'!$A$4:$U$1800,14,FALSE)</f>
        <v>330100100003000</v>
      </c>
      <c r="AB520" s="349" t="str">
        <f>VLOOKUP(H520,'Fund Utilization Report'!$A$4:$U$1800,15,FALSE)</f>
        <v>MSME Development Program : Program Beneficiaries Development Component of the Comprehensive Agrarian Reform Program</v>
      </c>
      <c r="AC520" s="39"/>
      <c r="AD520" s="34"/>
      <c r="AE520" s="39"/>
      <c r="AF520" s="51"/>
      <c r="AG520" s="40"/>
      <c r="AH520" s="40"/>
    </row>
    <row r="521" spans="1:34" s="32" customFormat="1" ht="27.6">
      <c r="A521" s="338" t="s">
        <v>942</v>
      </c>
      <c r="B521" s="338" t="s">
        <v>945</v>
      </c>
      <c r="C521" s="358">
        <v>44237</v>
      </c>
      <c r="D521" s="351" t="s">
        <v>1028</v>
      </c>
      <c r="E521" s="352" t="s">
        <v>1126</v>
      </c>
      <c r="F521" s="338">
        <v>0.49236111111111108</v>
      </c>
      <c r="G521" s="338">
        <v>0.49236111111111108</v>
      </c>
      <c r="H521" s="338" t="s">
        <v>999</v>
      </c>
      <c r="I521" s="353">
        <v>732</v>
      </c>
      <c r="J521" s="338" t="str">
        <f>IFERROR(VLOOKUP(I521,'Chart of accounts'!A:H,2,FALSE),"")</f>
        <v>50103020 01</v>
      </c>
      <c r="K521" s="338" t="str">
        <f>IFERROR(VLOOKUP(I521,'Chart of accounts'!A:H,3,FALSE),"")</f>
        <v>Pag-IBIG - Civilian</v>
      </c>
      <c r="L521" s="338" t="str">
        <f>IFERROR(VLOOKUP(I521,'Chart of accounts'!A:H,4,FALSE),"")</f>
        <v>50103020 01 - Pag-IBIG - Civilian (732)</v>
      </c>
      <c r="M521" s="361">
        <v>1</v>
      </c>
      <c r="N521" s="355" t="s">
        <v>863</v>
      </c>
      <c r="O521" s="355" t="s">
        <v>1125</v>
      </c>
      <c r="P521" s="355"/>
      <c r="Q521" s="363">
        <v>100</v>
      </c>
      <c r="R521" s="319">
        <f t="shared" si="7"/>
        <v>-100</v>
      </c>
      <c r="S521" s="319" t="str">
        <f>VLOOKUP(H521,'Fund Utilization Report'!$A$4:$U$1800,13,FALSE)</f>
        <v>PS</v>
      </c>
      <c r="T521" s="319" t="str">
        <f>VLOOKUP(H521,'Fund Utilization Report'!$A$4:$U$1800,2,FALSE)</f>
        <v>SAA15</v>
      </c>
      <c r="U521" s="319" t="str">
        <f>VLOOKUP(H521,'Fund Utilization Report'!$A$4:$U$1800,3,FALSE)</f>
        <v>2021-01-0015</v>
      </c>
      <c r="V521" s="319" t="str">
        <f>VLOOKUP(H521,'Fund Utilization Report'!$A$4:$U$1800,4,FALSE)</f>
        <v>CARP</v>
      </c>
      <c r="W521" s="319" t="str">
        <f>VLOOKUP(H521,'Fund Utilization Report'!$A$4:$U$1800,5,FALSE)</f>
        <v>01101101</v>
      </c>
      <c r="X521" s="319" t="str">
        <f>VLOOKUP(H521,'Fund Utilization Report'!$A$4:$U$1800,6,FALSE)</f>
        <v>GOP</v>
      </c>
      <c r="Y521" s="320">
        <f>VLOOKUP(H521,'Fund Utilization Report'!$A$4:$U$1800,7,FALSE)</f>
        <v>706</v>
      </c>
      <c r="Z521" s="321" t="str">
        <f>VLOOKUP(H521,'Fund Utilization Report'!$A$4:$U$1800,8,FALSE)</f>
        <v>50101020 00</v>
      </c>
      <c r="AA521" s="319" t="str">
        <f>VLOOKUP(H521,'Fund Utilization Report'!$A$4:$U$1800,14,FALSE)</f>
        <v>330100100003000</v>
      </c>
      <c r="AB521" s="349" t="str">
        <f>VLOOKUP(H521,'Fund Utilization Report'!$A$4:$U$1800,15,FALSE)</f>
        <v>MSME Development Program : Program Beneficiaries Development Component of the Comprehensive Agrarian Reform Program</v>
      </c>
      <c r="AC521" s="39"/>
      <c r="AD521" s="34"/>
      <c r="AE521" s="39"/>
      <c r="AF521" s="51"/>
      <c r="AG521" s="40"/>
      <c r="AH521" s="40"/>
    </row>
    <row r="522" spans="1:34" s="32" customFormat="1" ht="27.6">
      <c r="A522" s="338" t="s">
        <v>942</v>
      </c>
      <c r="B522" s="338" t="s">
        <v>945</v>
      </c>
      <c r="C522" s="358">
        <v>44237</v>
      </c>
      <c r="D522" s="351" t="s">
        <v>1028</v>
      </c>
      <c r="E522" s="352" t="s">
        <v>1126</v>
      </c>
      <c r="F522" s="338">
        <v>0.49236111111111108</v>
      </c>
      <c r="G522" s="338">
        <v>0.49236111111111108</v>
      </c>
      <c r="H522" s="338" t="s">
        <v>999</v>
      </c>
      <c r="I522" s="353">
        <v>733</v>
      </c>
      <c r="J522" s="338" t="str">
        <f>IFERROR(VLOOKUP(I522,'Chart of accounts'!A:H,2,FALSE),"")</f>
        <v>50103030 01</v>
      </c>
      <c r="K522" s="338" t="str">
        <f>IFERROR(VLOOKUP(I522,'Chart of accounts'!A:H,3,FALSE),"")</f>
        <v>PhilHealth - Civilian</v>
      </c>
      <c r="L522" s="338" t="str">
        <f>IFERROR(VLOOKUP(I522,'Chart of accounts'!A:H,4,FALSE),"")</f>
        <v>50103030 01 - PhilHealth - Civilian (733)</v>
      </c>
      <c r="M522" s="361">
        <v>1</v>
      </c>
      <c r="N522" s="355" t="s">
        <v>863</v>
      </c>
      <c r="O522" s="355" t="s">
        <v>1125</v>
      </c>
      <c r="P522" s="355"/>
      <c r="Q522" s="363">
        <v>655.21</v>
      </c>
      <c r="R522" s="319">
        <f t="shared" si="7"/>
        <v>-655.21</v>
      </c>
      <c r="S522" s="319" t="str">
        <f>VLOOKUP(H522,'Fund Utilization Report'!$A$4:$U$1800,13,FALSE)</f>
        <v>PS</v>
      </c>
      <c r="T522" s="319" t="str">
        <f>VLOOKUP(H522,'Fund Utilization Report'!$A$4:$U$1800,2,FALSE)</f>
        <v>SAA15</v>
      </c>
      <c r="U522" s="319" t="str">
        <f>VLOOKUP(H522,'Fund Utilization Report'!$A$4:$U$1800,3,FALSE)</f>
        <v>2021-01-0015</v>
      </c>
      <c r="V522" s="319" t="str">
        <f>VLOOKUP(H522,'Fund Utilization Report'!$A$4:$U$1800,4,FALSE)</f>
        <v>CARP</v>
      </c>
      <c r="W522" s="319" t="str">
        <f>VLOOKUP(H522,'Fund Utilization Report'!$A$4:$U$1800,5,FALSE)</f>
        <v>01101101</v>
      </c>
      <c r="X522" s="319" t="str">
        <f>VLOOKUP(H522,'Fund Utilization Report'!$A$4:$U$1800,6,FALSE)</f>
        <v>GOP</v>
      </c>
      <c r="Y522" s="320">
        <f>VLOOKUP(H522,'Fund Utilization Report'!$A$4:$U$1800,7,FALSE)</f>
        <v>706</v>
      </c>
      <c r="Z522" s="321" t="str">
        <f>VLOOKUP(H522,'Fund Utilization Report'!$A$4:$U$1800,8,FALSE)</f>
        <v>50101020 00</v>
      </c>
      <c r="AA522" s="319" t="str">
        <f>VLOOKUP(H522,'Fund Utilization Report'!$A$4:$U$1800,14,FALSE)</f>
        <v>330100100003000</v>
      </c>
      <c r="AB522" s="349" t="str">
        <f>VLOOKUP(H522,'Fund Utilization Report'!$A$4:$U$1800,15,FALSE)</f>
        <v>MSME Development Program : Program Beneficiaries Development Component of the Comprehensive Agrarian Reform Program</v>
      </c>
      <c r="AC522" s="39"/>
      <c r="AD522" s="34"/>
      <c r="AE522" s="39"/>
      <c r="AF522" s="51"/>
      <c r="AG522" s="40"/>
      <c r="AH522" s="40"/>
    </row>
    <row r="523" spans="1:34" s="32" customFormat="1" ht="27.6">
      <c r="A523" s="338" t="s">
        <v>942</v>
      </c>
      <c r="B523" s="338" t="s">
        <v>945</v>
      </c>
      <c r="C523" s="358">
        <v>44237</v>
      </c>
      <c r="D523" s="351" t="s">
        <v>1028</v>
      </c>
      <c r="E523" s="352" t="s">
        <v>1126</v>
      </c>
      <c r="F523" s="338">
        <v>0.49236111111111108</v>
      </c>
      <c r="G523" s="338">
        <v>0.49236111111111108</v>
      </c>
      <c r="H523" s="338" t="s">
        <v>999</v>
      </c>
      <c r="I523" s="353">
        <v>734</v>
      </c>
      <c r="J523" s="338" t="str">
        <f>IFERROR(VLOOKUP(I523,'Chart of accounts'!A:H,2,FALSE),"")</f>
        <v>50103040 01</v>
      </c>
      <c r="K523" s="338" t="str">
        <f>IFERROR(VLOOKUP(I523,'Chart of accounts'!A:H,3,FALSE),"")</f>
        <v>ECIP - Civilian</v>
      </c>
      <c r="L523" s="338" t="str">
        <f>IFERROR(VLOOKUP(I523,'Chart of accounts'!A:H,4,FALSE),"")</f>
        <v>50103040 01 - ECIP - Civilian (734)</v>
      </c>
      <c r="M523" s="361">
        <v>1</v>
      </c>
      <c r="N523" s="355" t="s">
        <v>863</v>
      </c>
      <c r="O523" s="355" t="s">
        <v>1125</v>
      </c>
      <c r="P523" s="355"/>
      <c r="Q523" s="363">
        <v>100</v>
      </c>
      <c r="R523" s="319">
        <f t="shared" si="7"/>
        <v>-100</v>
      </c>
      <c r="S523" s="319" t="str">
        <f>VLOOKUP(H523,'Fund Utilization Report'!$A$4:$U$1800,13,FALSE)</f>
        <v>PS</v>
      </c>
      <c r="T523" s="319" t="str">
        <f>VLOOKUP(H523,'Fund Utilization Report'!$A$4:$U$1800,2,FALSE)</f>
        <v>SAA15</v>
      </c>
      <c r="U523" s="319" t="str">
        <f>VLOOKUP(H523,'Fund Utilization Report'!$A$4:$U$1800,3,FALSE)</f>
        <v>2021-01-0015</v>
      </c>
      <c r="V523" s="319" t="str">
        <f>VLOOKUP(H523,'Fund Utilization Report'!$A$4:$U$1800,4,FALSE)</f>
        <v>CARP</v>
      </c>
      <c r="W523" s="319" t="str">
        <f>VLOOKUP(H523,'Fund Utilization Report'!$A$4:$U$1800,5,FALSE)</f>
        <v>01101101</v>
      </c>
      <c r="X523" s="319" t="str">
        <f>VLOOKUP(H523,'Fund Utilization Report'!$A$4:$U$1800,6,FALSE)</f>
        <v>GOP</v>
      </c>
      <c r="Y523" s="320">
        <f>VLOOKUP(H523,'Fund Utilization Report'!$A$4:$U$1800,7,FALSE)</f>
        <v>706</v>
      </c>
      <c r="Z523" s="321" t="str">
        <f>VLOOKUP(H523,'Fund Utilization Report'!$A$4:$U$1800,8,FALSE)</f>
        <v>50101020 00</v>
      </c>
      <c r="AA523" s="319" t="str">
        <f>VLOOKUP(H523,'Fund Utilization Report'!$A$4:$U$1800,14,FALSE)</f>
        <v>330100100003000</v>
      </c>
      <c r="AB523" s="349" t="str">
        <f>VLOOKUP(H523,'Fund Utilization Report'!$A$4:$U$1800,15,FALSE)</f>
        <v>MSME Development Program : Program Beneficiaries Development Component of the Comprehensive Agrarian Reform Program</v>
      </c>
      <c r="AC523" s="39"/>
      <c r="AD523" s="34"/>
      <c r="AE523" s="39"/>
      <c r="AF523" s="51"/>
      <c r="AG523" s="40"/>
      <c r="AH523" s="40"/>
    </row>
    <row r="524" spans="1:34" s="411" customFormat="1">
      <c r="A524" s="405" t="s">
        <v>942</v>
      </c>
      <c r="B524" s="405" t="s">
        <v>945</v>
      </c>
      <c r="C524" s="402">
        <v>44237</v>
      </c>
      <c r="D524" s="403" t="s">
        <v>1028</v>
      </c>
      <c r="E524" s="404" t="s">
        <v>1127</v>
      </c>
      <c r="F524" s="405">
        <v>0.50763888888888886</v>
      </c>
      <c r="G524" s="405">
        <v>0.51180555555555551</v>
      </c>
      <c r="H524" s="405" t="s">
        <v>961</v>
      </c>
      <c r="I524" s="416">
        <v>840</v>
      </c>
      <c r="J524" s="405" t="str">
        <f>IFERROR(VLOOKUP(I524,'Chart of accounts'!A:H,2,FALSE),"")</f>
        <v>50213050 99</v>
      </c>
      <c r="K524" s="405" t="str">
        <f>IFERROR(VLOOKUP(I524,'Chart of accounts'!A:H,3,FALSE),"")</f>
        <v>Other Machinery and Equipment</v>
      </c>
      <c r="L524" s="405" t="str">
        <f>IFERROR(VLOOKUP(I524,'Chart of accounts'!A:H,4,FALSE),"")</f>
        <v>50213050 99 - Other Machinery and Equipment (840)</v>
      </c>
      <c r="M524" s="408">
        <v>1</v>
      </c>
      <c r="N524" s="409" t="s">
        <v>1128</v>
      </c>
      <c r="O524" s="409" t="s">
        <v>1129</v>
      </c>
      <c r="P524" s="409"/>
      <c r="Q524" s="65"/>
      <c r="R524" s="63">
        <f t="shared" si="7"/>
        <v>0</v>
      </c>
      <c r="S524" s="63" t="str">
        <f>VLOOKUP(H524,'Fund Utilization Report'!$A$4:$U$1800,13,FALSE)</f>
        <v>MOOE</v>
      </c>
      <c r="T524" s="63" t="str">
        <f>VLOOKUP(H524,'Fund Utilization Report'!$A$4:$U$1800,2,FALSE)</f>
        <v>GAA</v>
      </c>
      <c r="U524" s="63" t="str">
        <f>VLOOKUP(H524,'Fund Utilization Report'!$A$4:$U$1800,3,FALSE)</f>
        <v>FY2021, RA11518</v>
      </c>
      <c r="V524" s="63" t="str">
        <f>VLOOKUP(H524,'Fund Utilization Report'!$A$4:$U$1800,4,FALSE)</f>
        <v>GAS(GMS)</v>
      </c>
      <c r="W524" s="63" t="str">
        <f>VLOOKUP(H524,'Fund Utilization Report'!$A$4:$U$1800,5,FALSE)</f>
        <v>01101101</v>
      </c>
      <c r="X524" s="63" t="str">
        <f>VLOOKUP(H524,'Fund Utilization Report'!$A$4:$U$1800,6,FALSE)</f>
        <v>GOP</v>
      </c>
      <c r="Y524" s="417" t="str">
        <f>VLOOKUP(H524,'Fund Utilization Report'!$A$4:$U$1800,7,FALSE)</f>
        <v>MOOE</v>
      </c>
      <c r="Z524" s="418">
        <f>VLOOKUP(H524,'Fund Utilization Report'!$A$4:$U$1800,8,FALSE)</f>
        <v>5020000000</v>
      </c>
      <c r="AA524" s="63" t="str">
        <f>VLOOKUP(H524,'Fund Utilization Report'!$A$4:$U$1800,14,FALSE)</f>
        <v>100000100001000</v>
      </c>
      <c r="AB524" s="419" t="str">
        <f>VLOOKUP(H524,'Fund Utilization Report'!$A$4:$U$1800,15,FALSE)</f>
        <v>General Administration and Supervision - General Management and Supervision</v>
      </c>
      <c r="AC524" s="406"/>
      <c r="AD524" s="403"/>
      <c r="AE524" s="406"/>
      <c r="AF524" s="406"/>
      <c r="AG524" s="407"/>
      <c r="AH524" s="407"/>
    </row>
    <row r="525" spans="1:34" s="32" customFormat="1" ht="27.6">
      <c r="A525" s="338" t="s">
        <v>942</v>
      </c>
      <c r="B525" s="338" t="s">
        <v>945</v>
      </c>
      <c r="C525" s="358">
        <v>44237</v>
      </c>
      <c r="D525" s="351" t="s">
        <v>1028</v>
      </c>
      <c r="E525" s="352" t="s">
        <v>1130</v>
      </c>
      <c r="F525" s="338">
        <v>0.56041666666666667</v>
      </c>
      <c r="G525" s="338">
        <v>0.56180555555555556</v>
      </c>
      <c r="H525" s="338" t="s">
        <v>961</v>
      </c>
      <c r="I525" s="353">
        <v>774</v>
      </c>
      <c r="J525" s="338" t="str">
        <f>IFERROR(VLOOKUP(I525,'Chart of accounts'!A:H,2,FALSE),"")</f>
        <v>50205030 00</v>
      </c>
      <c r="K525" s="338" t="str">
        <f>IFERROR(VLOOKUP(I525,'Chart of accounts'!A:H,3,FALSE),"")</f>
        <v>Internet Subscription Expenses</v>
      </c>
      <c r="L525" s="338" t="str">
        <f>IFERROR(VLOOKUP(I525,'Chart of accounts'!A:H,4,FALSE),"")</f>
        <v>50205030 00 - Internet Subscription Expenses (774)</v>
      </c>
      <c r="M525" s="361">
        <v>1</v>
      </c>
      <c r="N525" s="355" t="s">
        <v>1131</v>
      </c>
      <c r="O525" s="355" t="s">
        <v>1132</v>
      </c>
      <c r="P525" s="355"/>
      <c r="Q525" s="50">
        <v>25000</v>
      </c>
      <c r="R525" s="319">
        <f t="shared" si="7"/>
        <v>-25000</v>
      </c>
      <c r="S525" s="319" t="str">
        <f>VLOOKUP(H525,'Fund Utilization Report'!$A$4:$U$1800,13,FALSE)</f>
        <v>MOOE</v>
      </c>
      <c r="T525" s="319" t="str">
        <f>VLOOKUP(H525,'Fund Utilization Report'!$A$4:$U$1800,2,FALSE)</f>
        <v>GAA</v>
      </c>
      <c r="U525" s="319" t="str">
        <f>VLOOKUP(H525,'Fund Utilization Report'!$A$4:$U$1800,3,FALSE)</f>
        <v>FY2021, RA11518</v>
      </c>
      <c r="V525" s="319" t="str">
        <f>VLOOKUP(H525,'Fund Utilization Report'!$A$4:$U$1800,4,FALSE)</f>
        <v>GAS(GMS)</v>
      </c>
      <c r="W525" s="319" t="str">
        <f>VLOOKUP(H525,'Fund Utilization Report'!$A$4:$U$1800,5,FALSE)</f>
        <v>01101101</v>
      </c>
      <c r="X525" s="319" t="str">
        <f>VLOOKUP(H525,'Fund Utilization Report'!$A$4:$U$1800,6,FALSE)</f>
        <v>GOP</v>
      </c>
      <c r="Y525" s="320" t="str">
        <f>VLOOKUP(H525,'Fund Utilization Report'!$A$4:$U$1800,7,FALSE)</f>
        <v>MOOE</v>
      </c>
      <c r="Z525" s="321">
        <f>VLOOKUP(H525,'Fund Utilization Report'!$A$4:$U$1800,8,FALSE)</f>
        <v>5020000000</v>
      </c>
      <c r="AA525" s="319" t="str">
        <f>VLOOKUP(H525,'Fund Utilization Report'!$A$4:$U$1800,14,FALSE)</f>
        <v>100000100001000</v>
      </c>
      <c r="AB525" s="349" t="str">
        <f>VLOOKUP(H525,'Fund Utilization Report'!$A$4:$U$1800,15,FALSE)</f>
        <v>General Administration and Supervision - General Management and Supervision</v>
      </c>
      <c r="AC525" s="39"/>
      <c r="AD525" s="34"/>
      <c r="AE525" s="39"/>
      <c r="AF525" s="51"/>
      <c r="AG525" s="40"/>
      <c r="AH525" s="40"/>
    </row>
    <row r="526" spans="1:34" s="32" customFormat="1" ht="27.6">
      <c r="A526" s="338" t="s">
        <v>942</v>
      </c>
      <c r="B526" s="338" t="s">
        <v>945</v>
      </c>
      <c r="C526" s="358">
        <v>44237</v>
      </c>
      <c r="D526" s="351" t="s">
        <v>1028</v>
      </c>
      <c r="E526" s="352" t="s">
        <v>1133</v>
      </c>
      <c r="F526" s="338">
        <v>0.56666666666666665</v>
      </c>
      <c r="G526" s="338">
        <v>0.56805555555555554</v>
      </c>
      <c r="H526" s="338" t="s">
        <v>965</v>
      </c>
      <c r="I526" s="353">
        <v>766</v>
      </c>
      <c r="J526" s="338" t="str">
        <f>IFERROR(VLOOKUP(I526,'Chart of accounts'!A:H,2,FALSE),"")</f>
        <v>50204010 00</v>
      </c>
      <c r="K526" s="338" t="str">
        <f>IFERROR(VLOOKUP(I526,'Chart of accounts'!A:H,3,FALSE),"")</f>
        <v>Water Expenses</v>
      </c>
      <c r="L526" s="338" t="str">
        <f>IFERROR(VLOOKUP(I526,'Chart of accounts'!A:H,4,FALSE),"")</f>
        <v>50204010 00 - Water Expenses (766)</v>
      </c>
      <c r="M526" s="361">
        <v>1</v>
      </c>
      <c r="N526" s="355" t="s">
        <v>1134</v>
      </c>
      <c r="O526" s="355" t="s">
        <v>1135</v>
      </c>
      <c r="P526" s="355"/>
      <c r="Q526" s="363">
        <v>1990</v>
      </c>
      <c r="R526" s="319">
        <f t="shared" si="7"/>
        <v>-1990</v>
      </c>
      <c r="S526" s="319" t="str">
        <f>VLOOKUP(H526,'Fund Utilization Report'!$A$4:$U$1800,13,FALSE)</f>
        <v>MOOE</v>
      </c>
      <c r="T526" s="319" t="str">
        <f>VLOOKUP(H526,'Fund Utilization Report'!$A$4:$U$1800,2,FALSE)</f>
        <v>GAA</v>
      </c>
      <c r="U526" s="319" t="str">
        <f>VLOOKUP(H526,'Fund Utilization Report'!$A$4:$U$1800,3,FALSE)</f>
        <v>FY2021, RA11518</v>
      </c>
      <c r="V526" s="319" t="str">
        <f>VLOOKUP(H526,'Fund Utilization Report'!$A$4:$U$1800,4,FALSE)</f>
        <v>OO1</v>
      </c>
      <c r="W526" s="319" t="str">
        <f>VLOOKUP(H526,'Fund Utilization Report'!$A$4:$U$1800,5,FALSE)</f>
        <v>01101101</v>
      </c>
      <c r="X526" s="319" t="str">
        <f>VLOOKUP(H526,'Fund Utilization Report'!$A$4:$U$1800,6,FALSE)</f>
        <v>GOP</v>
      </c>
      <c r="Y526" s="320" t="str">
        <f>VLOOKUP(H526,'Fund Utilization Report'!$A$4:$U$1800,7,FALSE)</f>
        <v>MOOE</v>
      </c>
      <c r="Z526" s="321">
        <f>VLOOKUP(H526,'Fund Utilization Report'!$A$4:$U$1800,8,FALSE)</f>
        <v>5020000000</v>
      </c>
      <c r="AA526" s="319" t="str">
        <f>VLOOKUP(H526,'Fund Utilization Report'!$A$4:$U$1800,14,FALSE)</f>
        <v>310100100002000</v>
      </c>
      <c r="AB526" s="349" t="str">
        <f>VLOOKUP(H526,'Fund Utilization Report'!$A$4:$U$1800,15,FALSE)</f>
        <v>Development,Facilitation, and promotion of exports and investment, domestic and foreign</v>
      </c>
      <c r="AC526" s="39"/>
      <c r="AD526" s="34"/>
      <c r="AE526" s="39"/>
      <c r="AF526" s="51"/>
      <c r="AG526" s="40"/>
      <c r="AH526" s="40"/>
    </row>
    <row r="527" spans="1:34" s="32" customFormat="1">
      <c r="A527" s="338" t="s">
        <v>942</v>
      </c>
      <c r="B527" s="338" t="s">
        <v>945</v>
      </c>
      <c r="C527" s="358">
        <v>44237</v>
      </c>
      <c r="D527" s="351" t="s">
        <v>1028</v>
      </c>
      <c r="E527" s="352" t="s">
        <v>1136</v>
      </c>
      <c r="F527" s="338">
        <v>0.56805555555555554</v>
      </c>
      <c r="G527" s="338">
        <v>0.56874999999999998</v>
      </c>
      <c r="H527" s="338" t="s">
        <v>965</v>
      </c>
      <c r="I527" s="353">
        <v>782</v>
      </c>
      <c r="J527" s="338" t="str">
        <f>IFERROR(VLOOKUP(I527,'Chart of accounts'!A:H,2,FALSE),"")</f>
        <v>50299050 01</v>
      </c>
      <c r="K527" s="338" t="str">
        <f>IFERROR(VLOOKUP(I527,'Chart of accounts'!A:H,3,FALSE),"")</f>
        <v>Rent - Buildings and Structures</v>
      </c>
      <c r="L527" s="338" t="str">
        <f>IFERROR(VLOOKUP(I527,'Chart of accounts'!A:H,4,FALSE),"")</f>
        <v>50299050 01 - Rent - Buildings and Structures (782)</v>
      </c>
      <c r="M527" s="361">
        <v>1</v>
      </c>
      <c r="N527" s="355" t="s">
        <v>779</v>
      </c>
      <c r="O527" s="355" t="s">
        <v>1137</v>
      </c>
      <c r="P527" s="355"/>
      <c r="Q527" s="363">
        <v>170501.47</v>
      </c>
      <c r="R527" s="319">
        <f t="shared" si="7"/>
        <v>-170501.47</v>
      </c>
      <c r="S527" s="319" t="str">
        <f>VLOOKUP(H527,'Fund Utilization Report'!$A$4:$U$1800,13,FALSE)</f>
        <v>MOOE</v>
      </c>
      <c r="T527" s="319" t="str">
        <f>VLOOKUP(H527,'Fund Utilization Report'!$A$4:$U$1800,2,FALSE)</f>
        <v>GAA</v>
      </c>
      <c r="U527" s="319" t="str">
        <f>VLOOKUP(H527,'Fund Utilization Report'!$A$4:$U$1800,3,FALSE)</f>
        <v>FY2021, RA11518</v>
      </c>
      <c r="V527" s="319" t="str">
        <f>VLOOKUP(H527,'Fund Utilization Report'!$A$4:$U$1800,4,FALSE)</f>
        <v>OO1</v>
      </c>
      <c r="W527" s="319" t="str">
        <f>VLOOKUP(H527,'Fund Utilization Report'!$A$4:$U$1800,5,FALSE)</f>
        <v>01101101</v>
      </c>
      <c r="X527" s="319" t="str">
        <f>VLOOKUP(H527,'Fund Utilization Report'!$A$4:$U$1800,6,FALSE)</f>
        <v>GOP</v>
      </c>
      <c r="Y527" s="320" t="str">
        <f>VLOOKUP(H527,'Fund Utilization Report'!$A$4:$U$1800,7,FALSE)</f>
        <v>MOOE</v>
      </c>
      <c r="Z527" s="321">
        <f>VLOOKUP(H527,'Fund Utilization Report'!$A$4:$U$1800,8,FALSE)</f>
        <v>5020000000</v>
      </c>
      <c r="AA527" s="319" t="str">
        <f>VLOOKUP(H527,'Fund Utilization Report'!$A$4:$U$1800,14,FALSE)</f>
        <v>310100100002000</v>
      </c>
      <c r="AB527" s="349" t="str">
        <f>VLOOKUP(H527,'Fund Utilization Report'!$A$4:$U$1800,15,FALSE)</f>
        <v>Development,Facilitation, and promotion of exports and investment, domestic and foreign</v>
      </c>
      <c r="AC527" s="39"/>
      <c r="AD527" s="34"/>
      <c r="AE527" s="39"/>
      <c r="AF527" s="51"/>
      <c r="AG527" s="40"/>
      <c r="AH527" s="40"/>
    </row>
    <row r="528" spans="1:34" s="411" customFormat="1" ht="27.6">
      <c r="A528" s="405" t="s">
        <v>942</v>
      </c>
      <c r="B528" s="405" t="s">
        <v>945</v>
      </c>
      <c r="C528" s="402">
        <v>44237</v>
      </c>
      <c r="D528" s="403" t="s">
        <v>1028</v>
      </c>
      <c r="E528" s="404" t="s">
        <v>1138</v>
      </c>
      <c r="F528" s="405">
        <v>0.56874999999999998</v>
      </c>
      <c r="G528" s="405">
        <v>0.5708333333333333</v>
      </c>
      <c r="H528" s="405" t="s">
        <v>985</v>
      </c>
      <c r="I528" s="416">
        <v>751</v>
      </c>
      <c r="J528" s="405" t="str">
        <f>IFERROR(VLOOKUP(I528,'Chart of accounts'!A:H,2,FALSE),"")</f>
        <v>50201010 00</v>
      </c>
      <c r="K528" s="405" t="str">
        <f>IFERROR(VLOOKUP(I528,'Chart of accounts'!A:H,3,FALSE),"")</f>
        <v>Traveling Expenses - Local</v>
      </c>
      <c r="L528" s="405" t="str">
        <f>IFERROR(VLOOKUP(I528,'Chart of accounts'!A:H,4,FALSE),"")</f>
        <v>50201010 00 - Traveling Expenses - Local (751)</v>
      </c>
      <c r="M528" s="408">
        <v>2</v>
      </c>
      <c r="N528" s="409" t="s">
        <v>818</v>
      </c>
      <c r="O528" s="409" t="s">
        <v>1139</v>
      </c>
      <c r="P528" s="409"/>
      <c r="Q528" s="65">
        <f>57498-57498</f>
        <v>0</v>
      </c>
      <c r="R528" s="63">
        <f t="shared" si="7"/>
        <v>0</v>
      </c>
      <c r="S528" s="63" t="str">
        <f>VLOOKUP(H528,'Fund Utilization Report'!$A$4:$U$1800,13,FALSE)</f>
        <v>MOOE</v>
      </c>
      <c r="T528" s="63" t="str">
        <f>VLOOKUP(H528,'Fund Utilization Report'!$A$4:$U$1800,2,FALSE)</f>
        <v>GAA</v>
      </c>
      <c r="U528" s="63" t="str">
        <f>VLOOKUP(H528,'Fund Utilization Report'!$A$4:$U$1800,3,FALSE)</f>
        <v>FY2021, RA11518</v>
      </c>
      <c r="V528" s="63" t="str">
        <f>VLOOKUP(H528,'Fund Utilization Report'!$A$4:$U$1800,4,FALSE)</f>
        <v>LSP-PBG</v>
      </c>
      <c r="W528" s="63" t="str">
        <f>VLOOKUP(H528,'Fund Utilization Report'!$A$4:$U$1800,5,FALSE)</f>
        <v>01101101</v>
      </c>
      <c r="X528" s="63" t="str">
        <f>VLOOKUP(H528,'Fund Utilization Report'!$A$4:$U$1800,6,FALSE)</f>
        <v>GOP</v>
      </c>
      <c r="Y528" s="417" t="str">
        <f>VLOOKUP(H528,'Fund Utilization Report'!$A$4:$U$1800,7,FALSE)</f>
        <v>MOOE</v>
      </c>
      <c r="Z528" s="418">
        <f>VLOOKUP(H528,'Fund Utilization Report'!$A$4:$U$1800,8,FALSE)</f>
        <v>5020000000</v>
      </c>
      <c r="AA528" s="63" t="str">
        <f>VLOOKUP(H528,'Fund Utilization Report'!$A$4:$U$1800,14,FALSE)</f>
        <v>330100200004000</v>
      </c>
      <c r="AB528" s="419" t="str">
        <f>VLOOKUP(H528,'Fund Utilization Report'!$A$4:$U$1800,15,FALSE)</f>
        <v>MSME Development Program : Livelihood Seeding Program and Pangkabuhayan sa Pagbangon at Ginhawa</v>
      </c>
      <c r="AC528" s="406"/>
      <c r="AD528" s="403"/>
      <c r="AE528" s="406"/>
      <c r="AF528" s="406"/>
      <c r="AG528" s="407"/>
      <c r="AH528" s="407"/>
    </row>
    <row r="529" spans="1:34" s="411" customFormat="1" ht="27.6">
      <c r="A529" s="405" t="s">
        <v>942</v>
      </c>
      <c r="B529" s="405" t="s">
        <v>945</v>
      </c>
      <c r="C529" s="402">
        <v>44237</v>
      </c>
      <c r="D529" s="403" t="s">
        <v>1028</v>
      </c>
      <c r="E529" s="404" t="s">
        <v>1138</v>
      </c>
      <c r="F529" s="405">
        <v>0.56874999999999998</v>
      </c>
      <c r="G529" s="405">
        <v>0.5708333333333333</v>
      </c>
      <c r="H529" s="405" t="s">
        <v>985</v>
      </c>
      <c r="I529" s="416">
        <v>753</v>
      </c>
      <c r="J529" s="405" t="str">
        <f>IFERROR(VLOOKUP(I529,'Chart of accounts'!A:H,2,FALSE),"")</f>
        <v>50202010 00</v>
      </c>
      <c r="K529" s="405" t="str">
        <f>IFERROR(VLOOKUP(I529,'Chart of accounts'!A:H,3,FALSE),"")</f>
        <v>Training Expenses</v>
      </c>
      <c r="L529" s="405" t="str">
        <f>IFERROR(VLOOKUP(I529,'Chart of accounts'!A:H,4,FALSE),"")</f>
        <v>50202010 00 - Training Expenses (753)</v>
      </c>
      <c r="M529" s="408">
        <v>2</v>
      </c>
      <c r="N529" s="409" t="s">
        <v>818</v>
      </c>
      <c r="O529" s="409" t="s">
        <v>1139</v>
      </c>
      <c r="P529" s="409"/>
      <c r="Q529" s="65">
        <f>525004-525004</f>
        <v>0</v>
      </c>
      <c r="R529" s="63">
        <f t="shared" si="7"/>
        <v>0</v>
      </c>
      <c r="S529" s="63" t="str">
        <f>VLOOKUP(H529,'Fund Utilization Report'!$A$4:$U$1800,13,FALSE)</f>
        <v>MOOE</v>
      </c>
      <c r="T529" s="63" t="str">
        <f>VLOOKUP(H529,'Fund Utilization Report'!$A$4:$U$1800,2,FALSE)</f>
        <v>GAA</v>
      </c>
      <c r="U529" s="63" t="str">
        <f>VLOOKUP(H529,'Fund Utilization Report'!$A$4:$U$1800,3,FALSE)</f>
        <v>FY2021, RA11518</v>
      </c>
      <c r="V529" s="63" t="str">
        <f>VLOOKUP(H529,'Fund Utilization Report'!$A$4:$U$1800,4,FALSE)</f>
        <v>LSP-PBG</v>
      </c>
      <c r="W529" s="63" t="str">
        <f>VLOOKUP(H529,'Fund Utilization Report'!$A$4:$U$1800,5,FALSE)</f>
        <v>01101101</v>
      </c>
      <c r="X529" s="63" t="str">
        <f>VLOOKUP(H529,'Fund Utilization Report'!$A$4:$U$1800,6,FALSE)</f>
        <v>GOP</v>
      </c>
      <c r="Y529" s="417" t="str">
        <f>VLOOKUP(H529,'Fund Utilization Report'!$A$4:$U$1800,7,FALSE)</f>
        <v>MOOE</v>
      </c>
      <c r="Z529" s="418">
        <f>VLOOKUP(H529,'Fund Utilization Report'!$A$4:$U$1800,8,FALSE)</f>
        <v>5020000000</v>
      </c>
      <c r="AA529" s="63" t="str">
        <f>VLOOKUP(H529,'Fund Utilization Report'!$A$4:$U$1800,14,FALSE)</f>
        <v>330100200004000</v>
      </c>
      <c r="AB529" s="419" t="str">
        <f>VLOOKUP(H529,'Fund Utilization Report'!$A$4:$U$1800,15,FALSE)</f>
        <v>MSME Development Program : Livelihood Seeding Program and Pangkabuhayan sa Pagbangon at Ginhawa</v>
      </c>
      <c r="AC529" s="406"/>
      <c r="AD529" s="403"/>
      <c r="AE529" s="406"/>
      <c r="AF529" s="406"/>
      <c r="AG529" s="407"/>
      <c r="AH529" s="407"/>
    </row>
    <row r="530" spans="1:34" s="411" customFormat="1" ht="27.6">
      <c r="A530" s="405" t="s">
        <v>942</v>
      </c>
      <c r="B530" s="405" t="s">
        <v>945</v>
      </c>
      <c r="C530" s="402">
        <v>44237</v>
      </c>
      <c r="D530" s="403" t="s">
        <v>1028</v>
      </c>
      <c r="E530" s="404" t="s">
        <v>1138</v>
      </c>
      <c r="F530" s="405">
        <v>0.56874999999999998</v>
      </c>
      <c r="G530" s="405">
        <v>0.5708333333333333</v>
      </c>
      <c r="H530" s="405" t="s">
        <v>985</v>
      </c>
      <c r="I530" s="416">
        <v>773</v>
      </c>
      <c r="J530" s="405" t="str">
        <f>IFERROR(VLOOKUP(I530,'Chart of accounts'!A:H,2,FALSE),"")</f>
        <v>50205020 01</v>
      </c>
      <c r="K530" s="405" t="str">
        <f>IFERROR(VLOOKUP(I530,'Chart of accounts'!A:H,3,FALSE),"")</f>
        <v xml:space="preserve">Telephone Expenses - Mobile </v>
      </c>
      <c r="L530" s="405" t="str">
        <f>IFERROR(VLOOKUP(I530,'Chart of accounts'!A:H,4,FALSE),"")</f>
        <v>50205020 01 - Telephone Expenses - Mobile  (773)</v>
      </c>
      <c r="M530" s="408">
        <v>2</v>
      </c>
      <c r="N530" s="409" t="s">
        <v>818</v>
      </c>
      <c r="O530" s="409" t="s">
        <v>1139</v>
      </c>
      <c r="P530" s="409"/>
      <c r="Q530" s="65">
        <f>19166-19166</f>
        <v>0</v>
      </c>
      <c r="R530" s="63">
        <f t="shared" si="7"/>
        <v>0</v>
      </c>
      <c r="S530" s="63" t="str">
        <f>VLOOKUP(H530,'Fund Utilization Report'!$A$4:$U$1800,13,FALSE)</f>
        <v>MOOE</v>
      </c>
      <c r="T530" s="63" t="str">
        <f>VLOOKUP(H530,'Fund Utilization Report'!$A$4:$U$1800,2,FALSE)</f>
        <v>GAA</v>
      </c>
      <c r="U530" s="63" t="str">
        <f>VLOOKUP(H530,'Fund Utilization Report'!$A$4:$U$1800,3,FALSE)</f>
        <v>FY2021, RA11518</v>
      </c>
      <c r="V530" s="63" t="str">
        <f>VLOOKUP(H530,'Fund Utilization Report'!$A$4:$U$1800,4,FALSE)</f>
        <v>LSP-PBG</v>
      </c>
      <c r="W530" s="63" t="str">
        <f>VLOOKUP(H530,'Fund Utilization Report'!$A$4:$U$1800,5,FALSE)</f>
        <v>01101101</v>
      </c>
      <c r="X530" s="63" t="str">
        <f>VLOOKUP(H530,'Fund Utilization Report'!$A$4:$U$1800,6,FALSE)</f>
        <v>GOP</v>
      </c>
      <c r="Y530" s="417" t="str">
        <f>VLOOKUP(H530,'Fund Utilization Report'!$A$4:$U$1800,7,FALSE)</f>
        <v>MOOE</v>
      </c>
      <c r="Z530" s="418">
        <f>VLOOKUP(H530,'Fund Utilization Report'!$A$4:$U$1800,8,FALSE)</f>
        <v>5020000000</v>
      </c>
      <c r="AA530" s="63" t="str">
        <f>VLOOKUP(H530,'Fund Utilization Report'!$A$4:$U$1800,14,FALSE)</f>
        <v>330100200004000</v>
      </c>
      <c r="AB530" s="419" t="str">
        <f>VLOOKUP(H530,'Fund Utilization Report'!$A$4:$U$1800,15,FALSE)</f>
        <v>MSME Development Program : Livelihood Seeding Program and Pangkabuhayan sa Pagbangon at Ginhawa</v>
      </c>
      <c r="AC530" s="406"/>
      <c r="AD530" s="403"/>
      <c r="AE530" s="406"/>
      <c r="AF530" s="406"/>
      <c r="AG530" s="407"/>
      <c r="AH530" s="407"/>
    </row>
    <row r="531" spans="1:34" s="411" customFormat="1" ht="27.6">
      <c r="A531" s="405" t="s">
        <v>942</v>
      </c>
      <c r="B531" s="405" t="s">
        <v>945</v>
      </c>
      <c r="C531" s="402">
        <v>44237</v>
      </c>
      <c r="D531" s="403" t="s">
        <v>1028</v>
      </c>
      <c r="E531" s="404" t="s">
        <v>1138</v>
      </c>
      <c r="F531" s="405">
        <v>0.56874999999999998</v>
      </c>
      <c r="G531" s="405">
        <v>0.5708333333333333</v>
      </c>
      <c r="H531" s="405" t="s">
        <v>985</v>
      </c>
      <c r="I531" s="416">
        <v>799</v>
      </c>
      <c r="J531" s="405" t="str">
        <f>IFERROR(VLOOKUP(I531,'Chart of accounts'!A:H,2,FALSE),"")</f>
        <v>50211990 00</v>
      </c>
      <c r="K531" s="405" t="str">
        <f>IFERROR(VLOOKUP(I531,'Chart of accounts'!A:H,3,FALSE),"")</f>
        <v>Other Professional Services</v>
      </c>
      <c r="L531" s="405" t="str">
        <f>IFERROR(VLOOKUP(I531,'Chart of accounts'!A:H,4,FALSE),"")</f>
        <v>50211990 00 - Other Professional Services (799)</v>
      </c>
      <c r="M531" s="408">
        <v>2</v>
      </c>
      <c r="N531" s="409" t="s">
        <v>818</v>
      </c>
      <c r="O531" s="409" t="s">
        <v>1139</v>
      </c>
      <c r="P531" s="409"/>
      <c r="Q531" s="65">
        <f>38332-38332</f>
        <v>0</v>
      </c>
      <c r="R531" s="63">
        <f t="shared" si="7"/>
        <v>0</v>
      </c>
      <c r="S531" s="63" t="str">
        <f>VLOOKUP(H531,'Fund Utilization Report'!$A$4:$U$1800,13,FALSE)</f>
        <v>MOOE</v>
      </c>
      <c r="T531" s="63" t="str">
        <f>VLOOKUP(H531,'Fund Utilization Report'!$A$4:$U$1800,2,FALSE)</f>
        <v>GAA</v>
      </c>
      <c r="U531" s="63" t="str">
        <f>VLOOKUP(H531,'Fund Utilization Report'!$A$4:$U$1800,3,FALSE)</f>
        <v>FY2021, RA11518</v>
      </c>
      <c r="V531" s="63" t="str">
        <f>VLOOKUP(H531,'Fund Utilization Report'!$A$4:$U$1800,4,FALSE)</f>
        <v>LSP-PBG</v>
      </c>
      <c r="W531" s="63" t="str">
        <f>VLOOKUP(H531,'Fund Utilization Report'!$A$4:$U$1800,5,FALSE)</f>
        <v>01101101</v>
      </c>
      <c r="X531" s="63" t="str">
        <f>VLOOKUP(H531,'Fund Utilization Report'!$A$4:$U$1800,6,FALSE)</f>
        <v>GOP</v>
      </c>
      <c r="Y531" s="417" t="str">
        <f>VLOOKUP(H531,'Fund Utilization Report'!$A$4:$U$1800,7,FALSE)</f>
        <v>MOOE</v>
      </c>
      <c r="Z531" s="418">
        <f>VLOOKUP(H531,'Fund Utilization Report'!$A$4:$U$1800,8,FALSE)</f>
        <v>5020000000</v>
      </c>
      <c r="AA531" s="63" t="str">
        <f>VLOOKUP(H531,'Fund Utilization Report'!$A$4:$U$1800,14,FALSE)</f>
        <v>330100200004000</v>
      </c>
      <c r="AB531" s="419" t="str">
        <f>VLOOKUP(H531,'Fund Utilization Report'!$A$4:$U$1800,15,FALSE)</f>
        <v>MSME Development Program : Livelihood Seeding Program and Pangkabuhayan sa Pagbangon at Ginhawa</v>
      </c>
      <c r="AC531" s="406"/>
      <c r="AD531" s="403"/>
      <c r="AE531" s="406"/>
      <c r="AF531" s="406"/>
      <c r="AG531" s="407"/>
      <c r="AH531" s="407"/>
    </row>
    <row r="532" spans="1:34" s="32" customFormat="1" ht="27.6">
      <c r="A532" s="338" t="s">
        <v>942</v>
      </c>
      <c r="B532" s="338" t="s">
        <v>945</v>
      </c>
      <c r="C532" s="358">
        <v>44237</v>
      </c>
      <c r="D532" s="351" t="s">
        <v>1028</v>
      </c>
      <c r="E532" s="352" t="s">
        <v>1140</v>
      </c>
      <c r="F532" s="338">
        <v>0.59861111111111109</v>
      </c>
      <c r="G532" s="338">
        <v>0.59930555555555554</v>
      </c>
      <c r="H532" s="338" t="s">
        <v>985</v>
      </c>
      <c r="I532" s="353">
        <v>751</v>
      </c>
      <c r="J532" s="338" t="str">
        <f>IFERROR(VLOOKUP(I532,'Chart of accounts'!A:H,2,FALSE),"")</f>
        <v>50201010 00</v>
      </c>
      <c r="K532" s="338" t="str">
        <f>IFERROR(VLOOKUP(I532,'Chart of accounts'!A:H,3,FALSE),"")</f>
        <v>Traveling Expenses - Local</v>
      </c>
      <c r="L532" s="338" t="str">
        <f>IFERROR(VLOOKUP(I532,'Chart of accounts'!A:H,4,FALSE),"")</f>
        <v>50201010 00 - Traveling Expenses - Local (751)</v>
      </c>
      <c r="M532" s="361">
        <v>3</v>
      </c>
      <c r="N532" s="355" t="s">
        <v>820</v>
      </c>
      <c r="O532" s="355" t="s">
        <v>1139</v>
      </c>
      <c r="P532" s="355"/>
      <c r="Q532" s="363">
        <v>57498</v>
      </c>
      <c r="R532" s="319">
        <f t="shared" ref="R532:R547" si="8">P532-Q532</f>
        <v>-57498</v>
      </c>
      <c r="S532" s="319" t="str">
        <f>VLOOKUP(H532,'Fund Utilization Report'!$A$4:$U$1800,13,FALSE)</f>
        <v>MOOE</v>
      </c>
      <c r="T532" s="319" t="str">
        <f>VLOOKUP(H532,'Fund Utilization Report'!$A$4:$U$1800,2,FALSE)</f>
        <v>GAA</v>
      </c>
      <c r="U532" s="319" t="str">
        <f>VLOOKUP(H532,'Fund Utilization Report'!$A$4:$U$1800,3,FALSE)</f>
        <v>FY2021, RA11518</v>
      </c>
      <c r="V532" s="319" t="str">
        <f>VLOOKUP(H532,'Fund Utilization Report'!$A$4:$U$1800,4,FALSE)</f>
        <v>LSP-PBG</v>
      </c>
      <c r="W532" s="319" t="str">
        <f>VLOOKUP(H532,'Fund Utilization Report'!$A$4:$U$1800,5,FALSE)</f>
        <v>01101101</v>
      </c>
      <c r="X532" s="319" t="str">
        <f>VLOOKUP(H532,'Fund Utilization Report'!$A$4:$U$1800,6,FALSE)</f>
        <v>GOP</v>
      </c>
      <c r="Y532" s="320" t="str">
        <f>VLOOKUP(H532,'Fund Utilization Report'!$A$4:$U$1800,7,FALSE)</f>
        <v>MOOE</v>
      </c>
      <c r="Z532" s="321">
        <f>VLOOKUP(H532,'Fund Utilization Report'!$A$4:$U$1800,8,FALSE)</f>
        <v>5020000000</v>
      </c>
      <c r="AA532" s="319" t="str">
        <f>VLOOKUP(H532,'Fund Utilization Report'!$A$4:$U$1800,14,FALSE)</f>
        <v>330100200004000</v>
      </c>
      <c r="AB532" s="349" t="str">
        <f>VLOOKUP(H532,'Fund Utilization Report'!$A$4:$U$1800,15,FALSE)</f>
        <v>MSME Development Program : Livelihood Seeding Program and Pangkabuhayan sa Pagbangon at Ginhawa</v>
      </c>
      <c r="AC532" s="39"/>
      <c r="AD532" s="34"/>
      <c r="AE532" s="39"/>
      <c r="AF532" s="51"/>
      <c r="AG532" s="40"/>
      <c r="AH532" s="40"/>
    </row>
    <row r="533" spans="1:34" s="32" customFormat="1" ht="27.6">
      <c r="A533" s="338" t="s">
        <v>942</v>
      </c>
      <c r="B533" s="338" t="s">
        <v>945</v>
      </c>
      <c r="C533" s="358">
        <v>44237</v>
      </c>
      <c r="D533" s="351" t="s">
        <v>1028</v>
      </c>
      <c r="E533" s="352" t="s">
        <v>1140</v>
      </c>
      <c r="F533" s="338">
        <v>0.59861111111111109</v>
      </c>
      <c r="G533" s="338">
        <v>0.59930555555555554</v>
      </c>
      <c r="H533" s="338" t="s">
        <v>985</v>
      </c>
      <c r="I533" s="353">
        <v>753</v>
      </c>
      <c r="J533" s="338" t="str">
        <f>IFERROR(VLOOKUP(I533,'Chart of accounts'!A:H,2,FALSE),"")</f>
        <v>50202010 00</v>
      </c>
      <c r="K533" s="338" t="str">
        <f>IFERROR(VLOOKUP(I533,'Chart of accounts'!A:H,3,FALSE),"")</f>
        <v>Training Expenses</v>
      </c>
      <c r="L533" s="338" t="str">
        <f>IFERROR(VLOOKUP(I533,'Chart of accounts'!A:H,4,FALSE),"")</f>
        <v>50202010 00 - Training Expenses (753)</v>
      </c>
      <c r="M533" s="361">
        <v>3</v>
      </c>
      <c r="N533" s="355" t="s">
        <v>820</v>
      </c>
      <c r="O533" s="355" t="s">
        <v>1139</v>
      </c>
      <c r="P533" s="355"/>
      <c r="Q533" s="363">
        <v>525004</v>
      </c>
      <c r="R533" s="319">
        <f t="shared" si="8"/>
        <v>-525004</v>
      </c>
      <c r="S533" s="319" t="str">
        <f>VLOOKUP(H533,'Fund Utilization Report'!$A$4:$U$1800,13,FALSE)</f>
        <v>MOOE</v>
      </c>
      <c r="T533" s="319" t="str">
        <f>VLOOKUP(H533,'Fund Utilization Report'!$A$4:$U$1800,2,FALSE)</f>
        <v>GAA</v>
      </c>
      <c r="U533" s="319" t="str">
        <f>VLOOKUP(H533,'Fund Utilization Report'!$A$4:$U$1800,3,FALSE)</f>
        <v>FY2021, RA11518</v>
      </c>
      <c r="V533" s="319" t="str">
        <f>VLOOKUP(H533,'Fund Utilization Report'!$A$4:$U$1800,4,FALSE)</f>
        <v>LSP-PBG</v>
      </c>
      <c r="W533" s="319" t="str">
        <f>VLOOKUP(H533,'Fund Utilization Report'!$A$4:$U$1800,5,FALSE)</f>
        <v>01101101</v>
      </c>
      <c r="X533" s="319" t="str">
        <f>VLOOKUP(H533,'Fund Utilization Report'!$A$4:$U$1800,6,FALSE)</f>
        <v>GOP</v>
      </c>
      <c r="Y533" s="320" t="str">
        <f>VLOOKUP(H533,'Fund Utilization Report'!$A$4:$U$1800,7,FALSE)</f>
        <v>MOOE</v>
      </c>
      <c r="Z533" s="321">
        <f>VLOOKUP(H533,'Fund Utilization Report'!$A$4:$U$1800,8,FALSE)</f>
        <v>5020000000</v>
      </c>
      <c r="AA533" s="319" t="str">
        <f>VLOOKUP(H533,'Fund Utilization Report'!$A$4:$U$1800,14,FALSE)</f>
        <v>330100200004000</v>
      </c>
      <c r="AB533" s="349" t="str">
        <f>VLOOKUP(H533,'Fund Utilization Report'!$A$4:$U$1800,15,FALSE)</f>
        <v>MSME Development Program : Livelihood Seeding Program and Pangkabuhayan sa Pagbangon at Ginhawa</v>
      </c>
      <c r="AC533" s="39"/>
      <c r="AD533" s="34"/>
      <c r="AE533" s="39"/>
      <c r="AF533" s="51"/>
      <c r="AG533" s="40"/>
      <c r="AH533" s="40"/>
    </row>
    <row r="534" spans="1:34" s="32" customFormat="1" ht="27.6">
      <c r="A534" s="338" t="s">
        <v>942</v>
      </c>
      <c r="B534" s="338" t="s">
        <v>945</v>
      </c>
      <c r="C534" s="358">
        <v>44237</v>
      </c>
      <c r="D534" s="351" t="s">
        <v>1028</v>
      </c>
      <c r="E534" s="352" t="s">
        <v>1140</v>
      </c>
      <c r="F534" s="338">
        <v>0.59861111111111109</v>
      </c>
      <c r="G534" s="338">
        <v>0.59930555555555554</v>
      </c>
      <c r="H534" s="338" t="s">
        <v>985</v>
      </c>
      <c r="I534" s="353">
        <v>773</v>
      </c>
      <c r="J534" s="338" t="str">
        <f>IFERROR(VLOOKUP(I534,'Chart of accounts'!A:H,2,FALSE),"")</f>
        <v>50205020 01</v>
      </c>
      <c r="K534" s="338" t="str">
        <f>IFERROR(VLOOKUP(I534,'Chart of accounts'!A:H,3,FALSE),"")</f>
        <v xml:space="preserve">Telephone Expenses - Mobile </v>
      </c>
      <c r="L534" s="338" t="str">
        <f>IFERROR(VLOOKUP(I534,'Chart of accounts'!A:H,4,FALSE),"")</f>
        <v>50205020 01 - Telephone Expenses - Mobile  (773)</v>
      </c>
      <c r="M534" s="361">
        <v>3</v>
      </c>
      <c r="N534" s="355" t="s">
        <v>820</v>
      </c>
      <c r="O534" s="355" t="s">
        <v>1139</v>
      </c>
      <c r="P534" s="355"/>
      <c r="Q534" s="363">
        <v>19166</v>
      </c>
      <c r="R534" s="319">
        <f t="shared" si="8"/>
        <v>-19166</v>
      </c>
      <c r="S534" s="319" t="str">
        <f>VLOOKUP(H534,'Fund Utilization Report'!$A$4:$U$1800,13,FALSE)</f>
        <v>MOOE</v>
      </c>
      <c r="T534" s="319" t="str">
        <f>VLOOKUP(H534,'Fund Utilization Report'!$A$4:$U$1800,2,FALSE)</f>
        <v>GAA</v>
      </c>
      <c r="U534" s="319" t="str">
        <f>VLOOKUP(H534,'Fund Utilization Report'!$A$4:$U$1800,3,FALSE)</f>
        <v>FY2021, RA11518</v>
      </c>
      <c r="V534" s="319" t="str">
        <f>VLOOKUP(H534,'Fund Utilization Report'!$A$4:$U$1800,4,FALSE)</f>
        <v>LSP-PBG</v>
      </c>
      <c r="W534" s="319" t="str">
        <f>VLOOKUP(H534,'Fund Utilization Report'!$A$4:$U$1800,5,FALSE)</f>
        <v>01101101</v>
      </c>
      <c r="X534" s="319" t="str">
        <f>VLOOKUP(H534,'Fund Utilization Report'!$A$4:$U$1800,6,FALSE)</f>
        <v>GOP</v>
      </c>
      <c r="Y534" s="320" t="str">
        <f>VLOOKUP(H534,'Fund Utilization Report'!$A$4:$U$1800,7,FALSE)</f>
        <v>MOOE</v>
      </c>
      <c r="Z534" s="321">
        <f>VLOOKUP(H534,'Fund Utilization Report'!$A$4:$U$1800,8,FALSE)</f>
        <v>5020000000</v>
      </c>
      <c r="AA534" s="319" t="str">
        <f>VLOOKUP(H534,'Fund Utilization Report'!$A$4:$U$1800,14,FALSE)</f>
        <v>330100200004000</v>
      </c>
      <c r="AB534" s="349" t="str">
        <f>VLOOKUP(H534,'Fund Utilization Report'!$A$4:$U$1800,15,FALSE)</f>
        <v>MSME Development Program : Livelihood Seeding Program and Pangkabuhayan sa Pagbangon at Ginhawa</v>
      </c>
      <c r="AC534" s="39"/>
      <c r="AD534" s="34"/>
      <c r="AE534" s="39"/>
      <c r="AF534" s="51"/>
      <c r="AG534" s="40"/>
      <c r="AH534" s="40"/>
    </row>
    <row r="535" spans="1:34" s="32" customFormat="1" ht="27.6">
      <c r="A535" s="338" t="s">
        <v>942</v>
      </c>
      <c r="B535" s="338" t="s">
        <v>945</v>
      </c>
      <c r="C535" s="358">
        <v>44237</v>
      </c>
      <c r="D535" s="351" t="s">
        <v>1028</v>
      </c>
      <c r="E535" s="352" t="s">
        <v>1140</v>
      </c>
      <c r="F535" s="338">
        <v>0.59861111111111109</v>
      </c>
      <c r="G535" s="338">
        <v>0.59930555555555554</v>
      </c>
      <c r="H535" s="338" t="s">
        <v>985</v>
      </c>
      <c r="I535" s="353">
        <v>799</v>
      </c>
      <c r="J535" s="338" t="str">
        <f>IFERROR(VLOOKUP(I535,'Chart of accounts'!A:H,2,FALSE),"")</f>
        <v>50211990 00</v>
      </c>
      <c r="K535" s="338" t="str">
        <f>IFERROR(VLOOKUP(I535,'Chart of accounts'!A:H,3,FALSE),"")</f>
        <v>Other Professional Services</v>
      </c>
      <c r="L535" s="338" t="str">
        <f>IFERROR(VLOOKUP(I535,'Chart of accounts'!A:H,4,FALSE),"")</f>
        <v>50211990 00 - Other Professional Services (799)</v>
      </c>
      <c r="M535" s="361">
        <v>3</v>
      </c>
      <c r="N535" s="355" t="s">
        <v>820</v>
      </c>
      <c r="O535" s="355" t="s">
        <v>1139</v>
      </c>
      <c r="P535" s="355"/>
      <c r="Q535" s="363">
        <v>38332</v>
      </c>
      <c r="R535" s="319">
        <f t="shared" si="8"/>
        <v>-38332</v>
      </c>
      <c r="S535" s="319" t="str">
        <f>VLOOKUP(H535,'Fund Utilization Report'!$A$4:$U$1800,13,FALSE)</f>
        <v>MOOE</v>
      </c>
      <c r="T535" s="319" t="str">
        <f>VLOOKUP(H535,'Fund Utilization Report'!$A$4:$U$1800,2,FALSE)</f>
        <v>GAA</v>
      </c>
      <c r="U535" s="319" t="str">
        <f>VLOOKUP(H535,'Fund Utilization Report'!$A$4:$U$1800,3,FALSE)</f>
        <v>FY2021, RA11518</v>
      </c>
      <c r="V535" s="319" t="str">
        <f>VLOOKUP(H535,'Fund Utilization Report'!$A$4:$U$1800,4,FALSE)</f>
        <v>LSP-PBG</v>
      </c>
      <c r="W535" s="319" t="str">
        <f>VLOOKUP(H535,'Fund Utilization Report'!$A$4:$U$1800,5,FALSE)</f>
        <v>01101101</v>
      </c>
      <c r="X535" s="319" t="str">
        <f>VLOOKUP(H535,'Fund Utilization Report'!$A$4:$U$1800,6,FALSE)</f>
        <v>GOP</v>
      </c>
      <c r="Y535" s="320" t="str">
        <f>VLOOKUP(H535,'Fund Utilization Report'!$A$4:$U$1800,7,FALSE)</f>
        <v>MOOE</v>
      </c>
      <c r="Z535" s="321">
        <f>VLOOKUP(H535,'Fund Utilization Report'!$A$4:$U$1800,8,FALSE)</f>
        <v>5020000000</v>
      </c>
      <c r="AA535" s="319" t="str">
        <f>VLOOKUP(H535,'Fund Utilization Report'!$A$4:$U$1800,14,FALSE)</f>
        <v>330100200004000</v>
      </c>
      <c r="AB535" s="349" t="str">
        <f>VLOOKUP(H535,'Fund Utilization Report'!$A$4:$U$1800,15,FALSE)</f>
        <v>MSME Development Program : Livelihood Seeding Program and Pangkabuhayan sa Pagbangon at Ginhawa</v>
      </c>
      <c r="AC535" s="39"/>
      <c r="AD535" s="34"/>
      <c r="AE535" s="39"/>
      <c r="AF535" s="51"/>
      <c r="AG535" s="40"/>
      <c r="AH535" s="40"/>
    </row>
    <row r="536" spans="1:34" s="411" customFormat="1" ht="27.6">
      <c r="A536" s="405" t="s">
        <v>942</v>
      </c>
      <c r="B536" s="405" t="s">
        <v>945</v>
      </c>
      <c r="C536" s="402">
        <v>44237</v>
      </c>
      <c r="D536" s="403" t="s">
        <v>1028</v>
      </c>
      <c r="E536" s="404" t="s">
        <v>1141</v>
      </c>
      <c r="F536" s="405">
        <v>0.59930555555555554</v>
      </c>
      <c r="G536" s="405">
        <v>0.60069444444444442</v>
      </c>
      <c r="H536" s="405" t="s">
        <v>985</v>
      </c>
      <c r="I536" s="416">
        <v>751</v>
      </c>
      <c r="J536" s="405" t="str">
        <f>IFERROR(VLOOKUP(I536,'Chart of accounts'!A:H,2,FALSE),"")</f>
        <v>50201010 00</v>
      </c>
      <c r="K536" s="405" t="str">
        <f>IFERROR(VLOOKUP(I536,'Chart of accounts'!A:H,3,FALSE),"")</f>
        <v>Traveling Expenses - Local</v>
      </c>
      <c r="L536" s="405" t="str">
        <f>IFERROR(VLOOKUP(I536,'Chart of accounts'!A:H,4,FALSE),"")</f>
        <v>50201010 00 - Traveling Expenses - Local (751)</v>
      </c>
      <c r="M536" s="408">
        <v>68</v>
      </c>
      <c r="N536" s="409" t="s">
        <v>821</v>
      </c>
      <c r="O536" s="409" t="s">
        <v>1139</v>
      </c>
      <c r="P536" s="409"/>
      <c r="Q536" s="65">
        <f>57498-57498</f>
        <v>0</v>
      </c>
      <c r="R536" s="63">
        <f t="shared" si="8"/>
        <v>0</v>
      </c>
      <c r="S536" s="63" t="str">
        <f>VLOOKUP(H536,'Fund Utilization Report'!$A$4:$U$1800,13,FALSE)</f>
        <v>MOOE</v>
      </c>
      <c r="T536" s="63" t="str">
        <f>VLOOKUP(H536,'Fund Utilization Report'!$A$4:$U$1800,2,FALSE)</f>
        <v>GAA</v>
      </c>
      <c r="U536" s="63" t="str">
        <f>VLOOKUP(H536,'Fund Utilization Report'!$A$4:$U$1800,3,FALSE)</f>
        <v>FY2021, RA11518</v>
      </c>
      <c r="V536" s="63" t="str">
        <f>VLOOKUP(H536,'Fund Utilization Report'!$A$4:$U$1800,4,FALSE)</f>
        <v>LSP-PBG</v>
      </c>
      <c r="W536" s="63" t="str">
        <f>VLOOKUP(H536,'Fund Utilization Report'!$A$4:$U$1800,5,FALSE)</f>
        <v>01101101</v>
      </c>
      <c r="X536" s="63" t="str">
        <f>VLOOKUP(H536,'Fund Utilization Report'!$A$4:$U$1800,6,FALSE)</f>
        <v>GOP</v>
      </c>
      <c r="Y536" s="417" t="str">
        <f>VLOOKUP(H536,'Fund Utilization Report'!$A$4:$U$1800,7,FALSE)</f>
        <v>MOOE</v>
      </c>
      <c r="Z536" s="418">
        <f>VLOOKUP(H536,'Fund Utilization Report'!$A$4:$U$1800,8,FALSE)</f>
        <v>5020000000</v>
      </c>
      <c r="AA536" s="63" t="str">
        <f>VLOOKUP(H536,'Fund Utilization Report'!$A$4:$U$1800,14,FALSE)</f>
        <v>330100200004000</v>
      </c>
      <c r="AB536" s="419" t="str">
        <f>VLOOKUP(H536,'Fund Utilization Report'!$A$4:$U$1800,15,FALSE)</f>
        <v>MSME Development Program : Livelihood Seeding Program and Pangkabuhayan sa Pagbangon at Ginhawa</v>
      </c>
      <c r="AC536" s="406"/>
      <c r="AD536" s="403"/>
      <c r="AE536" s="406"/>
      <c r="AF536" s="406"/>
      <c r="AG536" s="407"/>
      <c r="AH536" s="407"/>
    </row>
    <row r="537" spans="1:34" s="411" customFormat="1" ht="27.6">
      <c r="A537" s="405" t="s">
        <v>942</v>
      </c>
      <c r="B537" s="405" t="s">
        <v>945</v>
      </c>
      <c r="C537" s="402">
        <v>44237</v>
      </c>
      <c r="D537" s="403" t="s">
        <v>1028</v>
      </c>
      <c r="E537" s="404" t="s">
        <v>1141</v>
      </c>
      <c r="F537" s="405">
        <v>0.59930555555555554</v>
      </c>
      <c r="G537" s="405">
        <v>0.60069444444444442</v>
      </c>
      <c r="H537" s="405" t="s">
        <v>985</v>
      </c>
      <c r="I537" s="416">
        <v>753</v>
      </c>
      <c r="J537" s="405" t="str">
        <f>IFERROR(VLOOKUP(I537,'Chart of accounts'!A:H,2,FALSE),"")</f>
        <v>50202010 00</v>
      </c>
      <c r="K537" s="405" t="str">
        <f>IFERROR(VLOOKUP(I537,'Chart of accounts'!A:H,3,FALSE),"")</f>
        <v>Training Expenses</v>
      </c>
      <c r="L537" s="405" t="str">
        <f>IFERROR(VLOOKUP(I537,'Chart of accounts'!A:H,4,FALSE),"")</f>
        <v>50202010 00 - Training Expenses (753)</v>
      </c>
      <c r="M537" s="408">
        <v>68</v>
      </c>
      <c r="N537" s="409" t="s">
        <v>821</v>
      </c>
      <c r="O537" s="409" t="s">
        <v>1139</v>
      </c>
      <c r="P537" s="409"/>
      <c r="Q537" s="65">
        <f>525004-525004</f>
        <v>0</v>
      </c>
      <c r="R537" s="63">
        <f t="shared" si="8"/>
        <v>0</v>
      </c>
      <c r="S537" s="63" t="str">
        <f>VLOOKUP(H537,'Fund Utilization Report'!$A$4:$U$1800,13,FALSE)</f>
        <v>MOOE</v>
      </c>
      <c r="T537" s="63" t="str">
        <f>VLOOKUP(H537,'Fund Utilization Report'!$A$4:$U$1800,2,FALSE)</f>
        <v>GAA</v>
      </c>
      <c r="U537" s="63" t="str">
        <f>VLOOKUP(H537,'Fund Utilization Report'!$A$4:$U$1800,3,FALSE)</f>
        <v>FY2021, RA11518</v>
      </c>
      <c r="V537" s="63" t="str">
        <f>VLOOKUP(H537,'Fund Utilization Report'!$A$4:$U$1800,4,FALSE)</f>
        <v>LSP-PBG</v>
      </c>
      <c r="W537" s="63" t="str">
        <f>VLOOKUP(H537,'Fund Utilization Report'!$A$4:$U$1800,5,FALSE)</f>
        <v>01101101</v>
      </c>
      <c r="X537" s="63" t="str">
        <f>VLOOKUP(H537,'Fund Utilization Report'!$A$4:$U$1800,6,FALSE)</f>
        <v>GOP</v>
      </c>
      <c r="Y537" s="417" t="str">
        <f>VLOOKUP(H537,'Fund Utilization Report'!$A$4:$U$1800,7,FALSE)</f>
        <v>MOOE</v>
      </c>
      <c r="Z537" s="418">
        <f>VLOOKUP(H537,'Fund Utilization Report'!$A$4:$U$1800,8,FALSE)</f>
        <v>5020000000</v>
      </c>
      <c r="AA537" s="63" t="str">
        <f>VLOOKUP(H537,'Fund Utilization Report'!$A$4:$U$1800,14,FALSE)</f>
        <v>330100200004000</v>
      </c>
      <c r="AB537" s="419" t="str">
        <f>VLOOKUP(H537,'Fund Utilization Report'!$A$4:$U$1800,15,FALSE)</f>
        <v>MSME Development Program : Livelihood Seeding Program and Pangkabuhayan sa Pagbangon at Ginhawa</v>
      </c>
      <c r="AC537" s="406"/>
      <c r="AD537" s="403"/>
      <c r="AE537" s="406"/>
      <c r="AF537" s="406"/>
      <c r="AG537" s="407"/>
      <c r="AH537" s="407"/>
    </row>
    <row r="538" spans="1:34" s="411" customFormat="1" ht="27.6">
      <c r="A538" s="405" t="s">
        <v>942</v>
      </c>
      <c r="B538" s="405" t="s">
        <v>945</v>
      </c>
      <c r="C538" s="402">
        <v>44237</v>
      </c>
      <c r="D538" s="403" t="s">
        <v>1028</v>
      </c>
      <c r="E538" s="404" t="s">
        <v>1141</v>
      </c>
      <c r="F538" s="405">
        <v>0.59930555555555554</v>
      </c>
      <c r="G538" s="405">
        <v>0.60069444444444442</v>
      </c>
      <c r="H538" s="405" t="s">
        <v>985</v>
      </c>
      <c r="I538" s="416">
        <v>773</v>
      </c>
      <c r="J538" s="405" t="str">
        <f>IFERROR(VLOOKUP(I538,'Chart of accounts'!A:H,2,FALSE),"")</f>
        <v>50205020 01</v>
      </c>
      <c r="K538" s="405" t="str">
        <f>IFERROR(VLOOKUP(I538,'Chart of accounts'!A:H,3,FALSE),"")</f>
        <v xml:space="preserve">Telephone Expenses - Mobile </v>
      </c>
      <c r="L538" s="405" t="str">
        <f>IFERROR(VLOOKUP(I538,'Chart of accounts'!A:H,4,FALSE),"")</f>
        <v>50205020 01 - Telephone Expenses - Mobile  (773)</v>
      </c>
      <c r="M538" s="408">
        <v>68</v>
      </c>
      <c r="N538" s="409" t="s">
        <v>821</v>
      </c>
      <c r="O538" s="409" t="s">
        <v>1139</v>
      </c>
      <c r="P538" s="409"/>
      <c r="Q538" s="65">
        <f>19166-19166</f>
        <v>0</v>
      </c>
      <c r="R538" s="63">
        <f t="shared" si="8"/>
        <v>0</v>
      </c>
      <c r="S538" s="63" t="str">
        <f>VLOOKUP(H538,'Fund Utilization Report'!$A$4:$U$1800,13,FALSE)</f>
        <v>MOOE</v>
      </c>
      <c r="T538" s="63" t="str">
        <f>VLOOKUP(H538,'Fund Utilization Report'!$A$4:$U$1800,2,FALSE)</f>
        <v>GAA</v>
      </c>
      <c r="U538" s="63" t="str">
        <f>VLOOKUP(H538,'Fund Utilization Report'!$A$4:$U$1800,3,FALSE)</f>
        <v>FY2021, RA11518</v>
      </c>
      <c r="V538" s="63" t="str">
        <f>VLOOKUP(H538,'Fund Utilization Report'!$A$4:$U$1800,4,FALSE)</f>
        <v>LSP-PBG</v>
      </c>
      <c r="W538" s="63" t="str">
        <f>VLOOKUP(H538,'Fund Utilization Report'!$A$4:$U$1800,5,FALSE)</f>
        <v>01101101</v>
      </c>
      <c r="X538" s="63" t="str">
        <f>VLOOKUP(H538,'Fund Utilization Report'!$A$4:$U$1800,6,FALSE)</f>
        <v>GOP</v>
      </c>
      <c r="Y538" s="417" t="str">
        <f>VLOOKUP(H538,'Fund Utilization Report'!$A$4:$U$1800,7,FALSE)</f>
        <v>MOOE</v>
      </c>
      <c r="Z538" s="418">
        <f>VLOOKUP(H538,'Fund Utilization Report'!$A$4:$U$1800,8,FALSE)</f>
        <v>5020000000</v>
      </c>
      <c r="AA538" s="63" t="str">
        <f>VLOOKUP(H538,'Fund Utilization Report'!$A$4:$U$1800,14,FALSE)</f>
        <v>330100200004000</v>
      </c>
      <c r="AB538" s="419" t="str">
        <f>VLOOKUP(H538,'Fund Utilization Report'!$A$4:$U$1800,15,FALSE)</f>
        <v>MSME Development Program : Livelihood Seeding Program and Pangkabuhayan sa Pagbangon at Ginhawa</v>
      </c>
      <c r="AC538" s="406"/>
      <c r="AD538" s="403"/>
      <c r="AE538" s="406"/>
      <c r="AF538" s="406"/>
      <c r="AG538" s="407"/>
      <c r="AH538" s="407"/>
    </row>
    <row r="539" spans="1:34" s="411" customFormat="1" ht="27.6">
      <c r="A539" s="405" t="s">
        <v>942</v>
      </c>
      <c r="B539" s="405" t="s">
        <v>945</v>
      </c>
      <c r="C539" s="402">
        <v>44237</v>
      </c>
      <c r="D539" s="403" t="s">
        <v>1028</v>
      </c>
      <c r="E539" s="404" t="s">
        <v>1141</v>
      </c>
      <c r="F539" s="405">
        <v>0.59930555555555554</v>
      </c>
      <c r="G539" s="405">
        <v>0.60069444444444442</v>
      </c>
      <c r="H539" s="405" t="s">
        <v>985</v>
      </c>
      <c r="I539" s="416">
        <v>799</v>
      </c>
      <c r="J539" s="405" t="str">
        <f>IFERROR(VLOOKUP(I539,'Chart of accounts'!A:H,2,FALSE),"")</f>
        <v>50211990 00</v>
      </c>
      <c r="K539" s="405" t="str">
        <f>IFERROR(VLOOKUP(I539,'Chart of accounts'!A:H,3,FALSE),"")</f>
        <v>Other Professional Services</v>
      </c>
      <c r="L539" s="405" t="str">
        <f>IFERROR(VLOOKUP(I539,'Chart of accounts'!A:H,4,FALSE),"")</f>
        <v>50211990 00 - Other Professional Services (799)</v>
      </c>
      <c r="M539" s="408">
        <v>68</v>
      </c>
      <c r="N539" s="409" t="s">
        <v>821</v>
      </c>
      <c r="O539" s="409" t="s">
        <v>1139</v>
      </c>
      <c r="P539" s="409"/>
      <c r="Q539" s="65">
        <f>38332-38332</f>
        <v>0</v>
      </c>
      <c r="R539" s="63">
        <f t="shared" si="8"/>
        <v>0</v>
      </c>
      <c r="S539" s="63" t="str">
        <f>VLOOKUP(H539,'Fund Utilization Report'!$A$4:$U$1800,13,FALSE)</f>
        <v>MOOE</v>
      </c>
      <c r="T539" s="63" t="str">
        <f>VLOOKUP(H539,'Fund Utilization Report'!$A$4:$U$1800,2,FALSE)</f>
        <v>GAA</v>
      </c>
      <c r="U539" s="63" t="str">
        <f>VLOOKUP(H539,'Fund Utilization Report'!$A$4:$U$1800,3,FALSE)</f>
        <v>FY2021, RA11518</v>
      </c>
      <c r="V539" s="63" t="str">
        <f>VLOOKUP(H539,'Fund Utilization Report'!$A$4:$U$1800,4,FALSE)</f>
        <v>LSP-PBG</v>
      </c>
      <c r="W539" s="63" t="str">
        <f>VLOOKUP(H539,'Fund Utilization Report'!$A$4:$U$1800,5,FALSE)</f>
        <v>01101101</v>
      </c>
      <c r="X539" s="63" t="str">
        <f>VLOOKUP(H539,'Fund Utilization Report'!$A$4:$U$1800,6,FALSE)</f>
        <v>GOP</v>
      </c>
      <c r="Y539" s="417" t="str">
        <f>VLOOKUP(H539,'Fund Utilization Report'!$A$4:$U$1800,7,FALSE)</f>
        <v>MOOE</v>
      </c>
      <c r="Z539" s="418">
        <f>VLOOKUP(H539,'Fund Utilization Report'!$A$4:$U$1800,8,FALSE)</f>
        <v>5020000000</v>
      </c>
      <c r="AA539" s="63" t="str">
        <f>VLOOKUP(H539,'Fund Utilization Report'!$A$4:$U$1800,14,FALSE)</f>
        <v>330100200004000</v>
      </c>
      <c r="AB539" s="419" t="str">
        <f>VLOOKUP(H539,'Fund Utilization Report'!$A$4:$U$1800,15,FALSE)</f>
        <v>MSME Development Program : Livelihood Seeding Program and Pangkabuhayan sa Pagbangon at Ginhawa</v>
      </c>
      <c r="AC539" s="406"/>
      <c r="AD539" s="403"/>
      <c r="AE539" s="406"/>
      <c r="AF539" s="406"/>
      <c r="AG539" s="407"/>
      <c r="AH539" s="407"/>
    </row>
    <row r="540" spans="1:34" s="411" customFormat="1" ht="27.6">
      <c r="A540" s="405" t="s">
        <v>942</v>
      </c>
      <c r="B540" s="405" t="s">
        <v>945</v>
      </c>
      <c r="C540" s="402">
        <v>44237</v>
      </c>
      <c r="D540" s="403" t="s">
        <v>1028</v>
      </c>
      <c r="E540" s="404" t="s">
        <v>1142</v>
      </c>
      <c r="F540" s="405">
        <v>0.60069444444444442</v>
      </c>
      <c r="G540" s="405">
        <v>0.60347222222222219</v>
      </c>
      <c r="H540" s="405" t="s">
        <v>985</v>
      </c>
      <c r="I540" s="416">
        <v>751</v>
      </c>
      <c r="J540" s="405" t="str">
        <f>IFERROR(VLOOKUP(I540,'Chart of accounts'!A:H,2,FALSE),"")</f>
        <v>50201010 00</v>
      </c>
      <c r="K540" s="405" t="str">
        <f>IFERROR(VLOOKUP(I540,'Chart of accounts'!A:H,3,FALSE),"")</f>
        <v>Traveling Expenses - Local</v>
      </c>
      <c r="L540" s="405" t="str">
        <f>IFERROR(VLOOKUP(I540,'Chart of accounts'!A:H,4,FALSE),"")</f>
        <v>50201010 00 - Traveling Expenses - Local (751)</v>
      </c>
      <c r="M540" s="408">
        <v>67</v>
      </c>
      <c r="N540" s="409" t="s">
        <v>822</v>
      </c>
      <c r="O540" s="409" t="s">
        <v>1139</v>
      </c>
      <c r="P540" s="409"/>
      <c r="Q540" s="65">
        <f>57498-57498</f>
        <v>0</v>
      </c>
      <c r="R540" s="63">
        <f t="shared" si="8"/>
        <v>0</v>
      </c>
      <c r="S540" s="63" t="str">
        <f>VLOOKUP(H540,'Fund Utilization Report'!$A$4:$U$1800,13,FALSE)</f>
        <v>MOOE</v>
      </c>
      <c r="T540" s="63" t="str">
        <f>VLOOKUP(H540,'Fund Utilization Report'!$A$4:$U$1800,2,FALSE)</f>
        <v>GAA</v>
      </c>
      <c r="U540" s="63" t="str">
        <f>VLOOKUP(H540,'Fund Utilization Report'!$A$4:$U$1800,3,FALSE)</f>
        <v>FY2021, RA11518</v>
      </c>
      <c r="V540" s="63" t="str">
        <f>VLOOKUP(H540,'Fund Utilization Report'!$A$4:$U$1800,4,FALSE)</f>
        <v>LSP-PBG</v>
      </c>
      <c r="W540" s="63" t="str">
        <f>VLOOKUP(H540,'Fund Utilization Report'!$A$4:$U$1800,5,FALSE)</f>
        <v>01101101</v>
      </c>
      <c r="X540" s="63" t="str">
        <f>VLOOKUP(H540,'Fund Utilization Report'!$A$4:$U$1800,6,FALSE)</f>
        <v>GOP</v>
      </c>
      <c r="Y540" s="417" t="str">
        <f>VLOOKUP(H540,'Fund Utilization Report'!$A$4:$U$1800,7,FALSE)</f>
        <v>MOOE</v>
      </c>
      <c r="Z540" s="418">
        <f>VLOOKUP(H540,'Fund Utilization Report'!$A$4:$U$1800,8,FALSE)</f>
        <v>5020000000</v>
      </c>
      <c r="AA540" s="63" t="str">
        <f>VLOOKUP(H540,'Fund Utilization Report'!$A$4:$U$1800,14,FALSE)</f>
        <v>330100200004000</v>
      </c>
      <c r="AB540" s="419" t="str">
        <f>VLOOKUP(H540,'Fund Utilization Report'!$A$4:$U$1800,15,FALSE)</f>
        <v>MSME Development Program : Livelihood Seeding Program and Pangkabuhayan sa Pagbangon at Ginhawa</v>
      </c>
      <c r="AC540" s="406"/>
      <c r="AD540" s="403"/>
      <c r="AE540" s="406"/>
      <c r="AF540" s="406"/>
      <c r="AG540" s="407"/>
      <c r="AH540" s="407"/>
    </row>
    <row r="541" spans="1:34" s="411" customFormat="1" ht="27.6">
      <c r="A541" s="405" t="s">
        <v>942</v>
      </c>
      <c r="B541" s="405" t="s">
        <v>945</v>
      </c>
      <c r="C541" s="402">
        <v>44237</v>
      </c>
      <c r="D541" s="403" t="s">
        <v>1028</v>
      </c>
      <c r="E541" s="404" t="s">
        <v>1142</v>
      </c>
      <c r="F541" s="405">
        <v>0.60069444444444442</v>
      </c>
      <c r="G541" s="405">
        <v>0.60347222222222219</v>
      </c>
      <c r="H541" s="405" t="s">
        <v>985</v>
      </c>
      <c r="I541" s="416">
        <v>753</v>
      </c>
      <c r="J541" s="405" t="str">
        <f>IFERROR(VLOOKUP(I541,'Chart of accounts'!A:H,2,FALSE),"")</f>
        <v>50202010 00</v>
      </c>
      <c r="K541" s="405" t="str">
        <f>IFERROR(VLOOKUP(I541,'Chart of accounts'!A:H,3,FALSE),"")</f>
        <v>Training Expenses</v>
      </c>
      <c r="L541" s="405" t="str">
        <f>IFERROR(VLOOKUP(I541,'Chart of accounts'!A:H,4,FALSE),"")</f>
        <v>50202010 00 - Training Expenses (753)</v>
      </c>
      <c r="M541" s="408">
        <v>67</v>
      </c>
      <c r="N541" s="409" t="s">
        <v>822</v>
      </c>
      <c r="O541" s="409" t="s">
        <v>1139</v>
      </c>
      <c r="P541" s="409"/>
      <c r="Q541" s="65">
        <f>525004-525004</f>
        <v>0</v>
      </c>
      <c r="R541" s="63">
        <f t="shared" si="8"/>
        <v>0</v>
      </c>
      <c r="S541" s="63" t="str">
        <f>VLOOKUP(H541,'Fund Utilization Report'!$A$4:$U$1800,13,FALSE)</f>
        <v>MOOE</v>
      </c>
      <c r="T541" s="63" t="str">
        <f>VLOOKUP(H541,'Fund Utilization Report'!$A$4:$U$1800,2,FALSE)</f>
        <v>GAA</v>
      </c>
      <c r="U541" s="63" t="str">
        <f>VLOOKUP(H541,'Fund Utilization Report'!$A$4:$U$1800,3,FALSE)</f>
        <v>FY2021, RA11518</v>
      </c>
      <c r="V541" s="63" t="str">
        <f>VLOOKUP(H541,'Fund Utilization Report'!$A$4:$U$1800,4,FALSE)</f>
        <v>LSP-PBG</v>
      </c>
      <c r="W541" s="63" t="str">
        <f>VLOOKUP(H541,'Fund Utilization Report'!$A$4:$U$1800,5,FALSE)</f>
        <v>01101101</v>
      </c>
      <c r="X541" s="63" t="str">
        <f>VLOOKUP(H541,'Fund Utilization Report'!$A$4:$U$1800,6,FALSE)</f>
        <v>GOP</v>
      </c>
      <c r="Y541" s="417" t="str">
        <f>VLOOKUP(H541,'Fund Utilization Report'!$A$4:$U$1800,7,FALSE)</f>
        <v>MOOE</v>
      </c>
      <c r="Z541" s="418">
        <f>VLOOKUP(H541,'Fund Utilization Report'!$A$4:$U$1800,8,FALSE)</f>
        <v>5020000000</v>
      </c>
      <c r="AA541" s="63" t="str">
        <f>VLOOKUP(H541,'Fund Utilization Report'!$A$4:$U$1800,14,FALSE)</f>
        <v>330100200004000</v>
      </c>
      <c r="AB541" s="419" t="str">
        <f>VLOOKUP(H541,'Fund Utilization Report'!$A$4:$U$1800,15,FALSE)</f>
        <v>MSME Development Program : Livelihood Seeding Program and Pangkabuhayan sa Pagbangon at Ginhawa</v>
      </c>
      <c r="AC541" s="406"/>
      <c r="AD541" s="403"/>
      <c r="AE541" s="406"/>
      <c r="AF541" s="406"/>
      <c r="AG541" s="407"/>
      <c r="AH541" s="407"/>
    </row>
    <row r="542" spans="1:34" s="411" customFormat="1" ht="27.6">
      <c r="A542" s="405" t="s">
        <v>942</v>
      </c>
      <c r="B542" s="405" t="s">
        <v>945</v>
      </c>
      <c r="C542" s="402">
        <v>44237</v>
      </c>
      <c r="D542" s="403" t="s">
        <v>1028</v>
      </c>
      <c r="E542" s="404" t="s">
        <v>1142</v>
      </c>
      <c r="F542" s="405">
        <v>0.60069444444444442</v>
      </c>
      <c r="G542" s="405">
        <v>0.60347222222222219</v>
      </c>
      <c r="H542" s="405" t="s">
        <v>985</v>
      </c>
      <c r="I542" s="416">
        <v>773</v>
      </c>
      <c r="J542" s="405" t="str">
        <f>IFERROR(VLOOKUP(I542,'Chart of accounts'!A:H,2,FALSE),"")</f>
        <v>50205020 01</v>
      </c>
      <c r="K542" s="405" t="str">
        <f>IFERROR(VLOOKUP(I542,'Chart of accounts'!A:H,3,FALSE),"")</f>
        <v xml:space="preserve">Telephone Expenses - Mobile </v>
      </c>
      <c r="L542" s="405" t="str">
        <f>IFERROR(VLOOKUP(I542,'Chart of accounts'!A:H,4,FALSE),"")</f>
        <v>50205020 01 - Telephone Expenses - Mobile  (773)</v>
      </c>
      <c r="M542" s="408">
        <v>67</v>
      </c>
      <c r="N542" s="409" t="s">
        <v>822</v>
      </c>
      <c r="O542" s="409" t="s">
        <v>1139</v>
      </c>
      <c r="P542" s="409"/>
      <c r="Q542" s="65">
        <f>19166-19166</f>
        <v>0</v>
      </c>
      <c r="R542" s="63">
        <f t="shared" si="8"/>
        <v>0</v>
      </c>
      <c r="S542" s="63" t="str">
        <f>VLOOKUP(H542,'Fund Utilization Report'!$A$4:$U$1800,13,FALSE)</f>
        <v>MOOE</v>
      </c>
      <c r="T542" s="63" t="str">
        <f>VLOOKUP(H542,'Fund Utilization Report'!$A$4:$U$1800,2,FALSE)</f>
        <v>GAA</v>
      </c>
      <c r="U542" s="63" t="str">
        <f>VLOOKUP(H542,'Fund Utilization Report'!$A$4:$U$1800,3,FALSE)</f>
        <v>FY2021, RA11518</v>
      </c>
      <c r="V542" s="63" t="str">
        <f>VLOOKUP(H542,'Fund Utilization Report'!$A$4:$U$1800,4,FALSE)</f>
        <v>LSP-PBG</v>
      </c>
      <c r="W542" s="63" t="str">
        <f>VLOOKUP(H542,'Fund Utilization Report'!$A$4:$U$1800,5,FALSE)</f>
        <v>01101101</v>
      </c>
      <c r="X542" s="63" t="str">
        <f>VLOOKUP(H542,'Fund Utilization Report'!$A$4:$U$1800,6,FALSE)</f>
        <v>GOP</v>
      </c>
      <c r="Y542" s="417" t="str">
        <f>VLOOKUP(H542,'Fund Utilization Report'!$A$4:$U$1800,7,FALSE)</f>
        <v>MOOE</v>
      </c>
      <c r="Z542" s="418">
        <f>VLOOKUP(H542,'Fund Utilization Report'!$A$4:$U$1800,8,FALSE)</f>
        <v>5020000000</v>
      </c>
      <c r="AA542" s="63" t="str">
        <f>VLOOKUP(H542,'Fund Utilization Report'!$A$4:$U$1800,14,FALSE)</f>
        <v>330100200004000</v>
      </c>
      <c r="AB542" s="419" t="str">
        <f>VLOOKUP(H542,'Fund Utilization Report'!$A$4:$U$1800,15,FALSE)</f>
        <v>MSME Development Program : Livelihood Seeding Program and Pangkabuhayan sa Pagbangon at Ginhawa</v>
      </c>
      <c r="AC542" s="406"/>
      <c r="AD542" s="403"/>
      <c r="AE542" s="406"/>
      <c r="AF542" s="406"/>
      <c r="AG542" s="407"/>
      <c r="AH542" s="407"/>
    </row>
    <row r="543" spans="1:34" s="411" customFormat="1" ht="27.6">
      <c r="A543" s="405" t="s">
        <v>942</v>
      </c>
      <c r="B543" s="405" t="s">
        <v>945</v>
      </c>
      <c r="C543" s="402">
        <v>44237</v>
      </c>
      <c r="D543" s="403" t="s">
        <v>1028</v>
      </c>
      <c r="E543" s="404" t="s">
        <v>1142</v>
      </c>
      <c r="F543" s="405">
        <v>0.60069444444444442</v>
      </c>
      <c r="G543" s="405">
        <v>0.60347222222222219</v>
      </c>
      <c r="H543" s="405" t="s">
        <v>985</v>
      </c>
      <c r="I543" s="416">
        <v>799</v>
      </c>
      <c r="J543" s="405" t="str">
        <f>IFERROR(VLOOKUP(I543,'Chart of accounts'!A:H,2,FALSE),"")</f>
        <v>50211990 00</v>
      </c>
      <c r="K543" s="405" t="str">
        <f>IFERROR(VLOOKUP(I543,'Chart of accounts'!A:H,3,FALSE),"")</f>
        <v>Other Professional Services</v>
      </c>
      <c r="L543" s="405" t="str">
        <f>IFERROR(VLOOKUP(I543,'Chart of accounts'!A:H,4,FALSE),"")</f>
        <v>50211990 00 - Other Professional Services (799)</v>
      </c>
      <c r="M543" s="408">
        <v>67</v>
      </c>
      <c r="N543" s="409" t="s">
        <v>822</v>
      </c>
      <c r="O543" s="409" t="s">
        <v>1139</v>
      </c>
      <c r="P543" s="409"/>
      <c r="Q543" s="65">
        <f>38332-38332</f>
        <v>0</v>
      </c>
      <c r="R543" s="63">
        <f t="shared" si="8"/>
        <v>0</v>
      </c>
      <c r="S543" s="63" t="str">
        <f>VLOOKUP(H543,'Fund Utilization Report'!$A$4:$U$1800,13,FALSE)</f>
        <v>MOOE</v>
      </c>
      <c r="T543" s="63" t="str">
        <f>VLOOKUP(H543,'Fund Utilization Report'!$A$4:$U$1800,2,FALSE)</f>
        <v>GAA</v>
      </c>
      <c r="U543" s="63" t="str">
        <f>VLOOKUP(H543,'Fund Utilization Report'!$A$4:$U$1800,3,FALSE)</f>
        <v>FY2021, RA11518</v>
      </c>
      <c r="V543" s="63" t="str">
        <f>VLOOKUP(H543,'Fund Utilization Report'!$A$4:$U$1800,4,FALSE)</f>
        <v>LSP-PBG</v>
      </c>
      <c r="W543" s="63" t="str">
        <f>VLOOKUP(H543,'Fund Utilization Report'!$A$4:$U$1800,5,FALSE)</f>
        <v>01101101</v>
      </c>
      <c r="X543" s="63" t="str">
        <f>VLOOKUP(H543,'Fund Utilization Report'!$A$4:$U$1800,6,FALSE)</f>
        <v>GOP</v>
      </c>
      <c r="Y543" s="417" t="str">
        <f>VLOOKUP(H543,'Fund Utilization Report'!$A$4:$U$1800,7,FALSE)</f>
        <v>MOOE</v>
      </c>
      <c r="Z543" s="418">
        <f>VLOOKUP(H543,'Fund Utilization Report'!$A$4:$U$1800,8,FALSE)</f>
        <v>5020000000</v>
      </c>
      <c r="AA543" s="63" t="str">
        <f>VLOOKUP(H543,'Fund Utilization Report'!$A$4:$U$1800,14,FALSE)</f>
        <v>330100200004000</v>
      </c>
      <c r="AB543" s="419" t="str">
        <f>VLOOKUP(H543,'Fund Utilization Report'!$A$4:$U$1800,15,FALSE)</f>
        <v>MSME Development Program : Livelihood Seeding Program and Pangkabuhayan sa Pagbangon at Ginhawa</v>
      </c>
      <c r="AC543" s="406"/>
      <c r="AD543" s="403"/>
      <c r="AE543" s="406"/>
      <c r="AF543" s="406"/>
      <c r="AG543" s="407"/>
      <c r="AH543" s="407"/>
    </row>
    <row r="544" spans="1:34" s="411" customFormat="1" ht="27.6">
      <c r="A544" s="405" t="s">
        <v>942</v>
      </c>
      <c r="B544" s="405" t="s">
        <v>945</v>
      </c>
      <c r="C544" s="402">
        <v>44237</v>
      </c>
      <c r="D544" s="403" t="s">
        <v>1028</v>
      </c>
      <c r="E544" s="404" t="s">
        <v>1143</v>
      </c>
      <c r="F544" s="405">
        <v>0.60347222222222219</v>
      </c>
      <c r="G544" s="405">
        <v>0.60486111111111118</v>
      </c>
      <c r="H544" s="405" t="s">
        <v>985</v>
      </c>
      <c r="I544" s="416">
        <v>751</v>
      </c>
      <c r="J544" s="405" t="str">
        <f>IFERROR(VLOOKUP(I544,'Chart of accounts'!A:H,2,FALSE),"")</f>
        <v>50201010 00</v>
      </c>
      <c r="K544" s="405" t="str">
        <f>IFERROR(VLOOKUP(I544,'Chart of accounts'!A:H,3,FALSE),"")</f>
        <v>Traveling Expenses - Local</v>
      </c>
      <c r="L544" s="405" t="str">
        <f>IFERROR(VLOOKUP(I544,'Chart of accounts'!A:H,4,FALSE),"")</f>
        <v>50201010 00 - Traveling Expenses - Local (751)</v>
      </c>
      <c r="M544" s="408">
        <v>85</v>
      </c>
      <c r="N544" s="409" t="s">
        <v>823</v>
      </c>
      <c r="O544" s="409" t="s">
        <v>1139</v>
      </c>
      <c r="P544" s="409"/>
      <c r="Q544" s="65">
        <f>57498-57498</f>
        <v>0</v>
      </c>
      <c r="R544" s="63">
        <f t="shared" si="8"/>
        <v>0</v>
      </c>
      <c r="S544" s="63" t="str">
        <f>VLOOKUP(H544,'Fund Utilization Report'!$A$4:$U$1800,13,FALSE)</f>
        <v>MOOE</v>
      </c>
      <c r="T544" s="63" t="str">
        <f>VLOOKUP(H544,'Fund Utilization Report'!$A$4:$U$1800,2,FALSE)</f>
        <v>GAA</v>
      </c>
      <c r="U544" s="63" t="str">
        <f>VLOOKUP(H544,'Fund Utilization Report'!$A$4:$U$1800,3,FALSE)</f>
        <v>FY2021, RA11518</v>
      </c>
      <c r="V544" s="63" t="str">
        <f>VLOOKUP(H544,'Fund Utilization Report'!$A$4:$U$1800,4,FALSE)</f>
        <v>LSP-PBG</v>
      </c>
      <c r="W544" s="63" t="str">
        <f>VLOOKUP(H544,'Fund Utilization Report'!$A$4:$U$1800,5,FALSE)</f>
        <v>01101101</v>
      </c>
      <c r="X544" s="63" t="str">
        <f>VLOOKUP(H544,'Fund Utilization Report'!$A$4:$U$1800,6,FALSE)</f>
        <v>GOP</v>
      </c>
      <c r="Y544" s="417" t="str">
        <f>VLOOKUP(H544,'Fund Utilization Report'!$A$4:$U$1800,7,FALSE)</f>
        <v>MOOE</v>
      </c>
      <c r="Z544" s="418">
        <f>VLOOKUP(H544,'Fund Utilization Report'!$A$4:$U$1800,8,FALSE)</f>
        <v>5020000000</v>
      </c>
      <c r="AA544" s="63" t="str">
        <f>VLOOKUP(H544,'Fund Utilization Report'!$A$4:$U$1800,14,FALSE)</f>
        <v>330100200004000</v>
      </c>
      <c r="AB544" s="419" t="str">
        <f>VLOOKUP(H544,'Fund Utilization Report'!$A$4:$U$1800,15,FALSE)</f>
        <v>MSME Development Program : Livelihood Seeding Program and Pangkabuhayan sa Pagbangon at Ginhawa</v>
      </c>
      <c r="AC544" s="406"/>
      <c r="AD544" s="403"/>
      <c r="AE544" s="406"/>
      <c r="AF544" s="406"/>
      <c r="AG544" s="407"/>
      <c r="AH544" s="407"/>
    </row>
    <row r="545" spans="1:34" s="411" customFormat="1" ht="27.6">
      <c r="A545" s="405" t="s">
        <v>942</v>
      </c>
      <c r="B545" s="405" t="s">
        <v>945</v>
      </c>
      <c r="C545" s="402">
        <v>44237</v>
      </c>
      <c r="D545" s="403" t="s">
        <v>1028</v>
      </c>
      <c r="E545" s="404" t="s">
        <v>1143</v>
      </c>
      <c r="F545" s="405">
        <v>0.60347222222222219</v>
      </c>
      <c r="G545" s="405">
        <v>0.60486111111111118</v>
      </c>
      <c r="H545" s="405" t="s">
        <v>985</v>
      </c>
      <c r="I545" s="416">
        <v>753</v>
      </c>
      <c r="J545" s="405" t="str">
        <f>IFERROR(VLOOKUP(I545,'Chart of accounts'!A:H,2,FALSE),"")</f>
        <v>50202010 00</v>
      </c>
      <c r="K545" s="405" t="str">
        <f>IFERROR(VLOOKUP(I545,'Chart of accounts'!A:H,3,FALSE),"")</f>
        <v>Training Expenses</v>
      </c>
      <c r="L545" s="405" t="str">
        <f>IFERROR(VLOOKUP(I545,'Chart of accounts'!A:H,4,FALSE),"")</f>
        <v>50202010 00 - Training Expenses (753)</v>
      </c>
      <c r="M545" s="408">
        <v>85</v>
      </c>
      <c r="N545" s="409" t="s">
        <v>823</v>
      </c>
      <c r="O545" s="409" t="s">
        <v>1139</v>
      </c>
      <c r="P545" s="409"/>
      <c r="Q545" s="65">
        <f>525004-525004</f>
        <v>0</v>
      </c>
      <c r="R545" s="63">
        <f t="shared" si="8"/>
        <v>0</v>
      </c>
      <c r="S545" s="63" t="str">
        <f>VLOOKUP(H545,'Fund Utilization Report'!$A$4:$U$1800,13,FALSE)</f>
        <v>MOOE</v>
      </c>
      <c r="T545" s="63" t="str">
        <f>VLOOKUP(H545,'Fund Utilization Report'!$A$4:$U$1800,2,FALSE)</f>
        <v>GAA</v>
      </c>
      <c r="U545" s="63" t="str">
        <f>VLOOKUP(H545,'Fund Utilization Report'!$A$4:$U$1800,3,FALSE)</f>
        <v>FY2021, RA11518</v>
      </c>
      <c r="V545" s="63" t="str">
        <f>VLOOKUP(H545,'Fund Utilization Report'!$A$4:$U$1800,4,FALSE)</f>
        <v>LSP-PBG</v>
      </c>
      <c r="W545" s="63" t="str">
        <f>VLOOKUP(H545,'Fund Utilization Report'!$A$4:$U$1800,5,FALSE)</f>
        <v>01101101</v>
      </c>
      <c r="X545" s="63" t="str">
        <f>VLOOKUP(H545,'Fund Utilization Report'!$A$4:$U$1800,6,FALSE)</f>
        <v>GOP</v>
      </c>
      <c r="Y545" s="417" t="str">
        <f>VLOOKUP(H545,'Fund Utilization Report'!$A$4:$U$1800,7,FALSE)</f>
        <v>MOOE</v>
      </c>
      <c r="Z545" s="418">
        <f>VLOOKUP(H545,'Fund Utilization Report'!$A$4:$U$1800,8,FALSE)</f>
        <v>5020000000</v>
      </c>
      <c r="AA545" s="63" t="str">
        <f>VLOOKUP(H545,'Fund Utilization Report'!$A$4:$U$1800,14,FALSE)</f>
        <v>330100200004000</v>
      </c>
      <c r="AB545" s="419" t="str">
        <f>VLOOKUP(H545,'Fund Utilization Report'!$A$4:$U$1800,15,FALSE)</f>
        <v>MSME Development Program : Livelihood Seeding Program and Pangkabuhayan sa Pagbangon at Ginhawa</v>
      </c>
      <c r="AC545" s="406"/>
      <c r="AD545" s="403"/>
      <c r="AE545" s="406"/>
      <c r="AF545" s="406"/>
      <c r="AG545" s="407"/>
      <c r="AH545" s="407"/>
    </row>
    <row r="546" spans="1:34" s="411" customFormat="1" ht="27.6">
      <c r="A546" s="405" t="s">
        <v>942</v>
      </c>
      <c r="B546" s="405" t="s">
        <v>945</v>
      </c>
      <c r="C546" s="402">
        <v>44237</v>
      </c>
      <c r="D546" s="403" t="s">
        <v>1028</v>
      </c>
      <c r="E546" s="404" t="s">
        <v>1143</v>
      </c>
      <c r="F546" s="405">
        <v>0.60347222222222219</v>
      </c>
      <c r="G546" s="405">
        <v>0.60486111111111118</v>
      </c>
      <c r="H546" s="405" t="s">
        <v>985</v>
      </c>
      <c r="I546" s="416">
        <v>773</v>
      </c>
      <c r="J546" s="405" t="str">
        <f>IFERROR(VLOOKUP(I546,'Chart of accounts'!A:H,2,FALSE),"")</f>
        <v>50205020 01</v>
      </c>
      <c r="K546" s="405" t="str">
        <f>IFERROR(VLOOKUP(I546,'Chart of accounts'!A:H,3,FALSE),"")</f>
        <v xml:space="preserve">Telephone Expenses - Mobile </v>
      </c>
      <c r="L546" s="405" t="str">
        <f>IFERROR(VLOOKUP(I546,'Chart of accounts'!A:H,4,FALSE),"")</f>
        <v>50205020 01 - Telephone Expenses - Mobile  (773)</v>
      </c>
      <c r="M546" s="408">
        <v>85</v>
      </c>
      <c r="N546" s="409" t="s">
        <v>823</v>
      </c>
      <c r="O546" s="409" t="s">
        <v>1139</v>
      </c>
      <c r="P546" s="409"/>
      <c r="Q546" s="65">
        <f>19166-19166</f>
        <v>0</v>
      </c>
      <c r="R546" s="63">
        <f t="shared" si="8"/>
        <v>0</v>
      </c>
      <c r="S546" s="63" t="str">
        <f>VLOOKUP(H546,'Fund Utilization Report'!$A$4:$U$1800,13,FALSE)</f>
        <v>MOOE</v>
      </c>
      <c r="T546" s="63" t="str">
        <f>VLOOKUP(H546,'Fund Utilization Report'!$A$4:$U$1800,2,FALSE)</f>
        <v>GAA</v>
      </c>
      <c r="U546" s="63" t="str">
        <f>VLOOKUP(H546,'Fund Utilization Report'!$A$4:$U$1800,3,FALSE)</f>
        <v>FY2021, RA11518</v>
      </c>
      <c r="V546" s="63" t="str">
        <f>VLOOKUP(H546,'Fund Utilization Report'!$A$4:$U$1800,4,FALSE)</f>
        <v>LSP-PBG</v>
      </c>
      <c r="W546" s="63" t="str">
        <f>VLOOKUP(H546,'Fund Utilization Report'!$A$4:$U$1800,5,FALSE)</f>
        <v>01101101</v>
      </c>
      <c r="X546" s="63" t="str">
        <f>VLOOKUP(H546,'Fund Utilization Report'!$A$4:$U$1800,6,FALSE)</f>
        <v>GOP</v>
      </c>
      <c r="Y546" s="417" t="str">
        <f>VLOOKUP(H546,'Fund Utilization Report'!$A$4:$U$1800,7,FALSE)</f>
        <v>MOOE</v>
      </c>
      <c r="Z546" s="418">
        <f>VLOOKUP(H546,'Fund Utilization Report'!$A$4:$U$1800,8,FALSE)</f>
        <v>5020000000</v>
      </c>
      <c r="AA546" s="63" t="str">
        <f>VLOOKUP(H546,'Fund Utilization Report'!$A$4:$U$1800,14,FALSE)</f>
        <v>330100200004000</v>
      </c>
      <c r="AB546" s="419" t="str">
        <f>VLOOKUP(H546,'Fund Utilization Report'!$A$4:$U$1800,15,FALSE)</f>
        <v>MSME Development Program : Livelihood Seeding Program and Pangkabuhayan sa Pagbangon at Ginhawa</v>
      </c>
      <c r="AC546" s="406"/>
      <c r="AD546" s="403"/>
      <c r="AE546" s="406"/>
      <c r="AF546" s="406"/>
      <c r="AG546" s="407"/>
      <c r="AH546" s="407"/>
    </row>
    <row r="547" spans="1:34" s="411" customFormat="1" ht="27.6">
      <c r="A547" s="405" t="s">
        <v>942</v>
      </c>
      <c r="B547" s="405" t="s">
        <v>945</v>
      </c>
      <c r="C547" s="402">
        <v>44237</v>
      </c>
      <c r="D547" s="403" t="s">
        <v>1028</v>
      </c>
      <c r="E547" s="404" t="s">
        <v>1143</v>
      </c>
      <c r="F547" s="405">
        <v>0.60347222222222219</v>
      </c>
      <c r="G547" s="405">
        <v>0.60486111111111118</v>
      </c>
      <c r="H547" s="405" t="s">
        <v>985</v>
      </c>
      <c r="I547" s="416">
        <v>799</v>
      </c>
      <c r="J547" s="405" t="str">
        <f>IFERROR(VLOOKUP(I547,'Chart of accounts'!A:H,2,FALSE),"")</f>
        <v>50211990 00</v>
      </c>
      <c r="K547" s="405" t="str">
        <f>IFERROR(VLOOKUP(I547,'Chart of accounts'!A:H,3,FALSE),"")</f>
        <v>Other Professional Services</v>
      </c>
      <c r="L547" s="405" t="str">
        <f>IFERROR(VLOOKUP(I547,'Chart of accounts'!A:H,4,FALSE),"")</f>
        <v>50211990 00 - Other Professional Services (799)</v>
      </c>
      <c r="M547" s="408">
        <v>85</v>
      </c>
      <c r="N547" s="409" t="s">
        <v>823</v>
      </c>
      <c r="O547" s="409" t="s">
        <v>1139</v>
      </c>
      <c r="P547" s="409"/>
      <c r="Q547" s="65">
        <f>38332-38332</f>
        <v>0</v>
      </c>
      <c r="R547" s="63">
        <f t="shared" si="8"/>
        <v>0</v>
      </c>
      <c r="S547" s="63" t="str">
        <f>VLOOKUP(H547,'Fund Utilization Report'!$A$4:$U$1800,13,FALSE)</f>
        <v>MOOE</v>
      </c>
      <c r="T547" s="63" t="str">
        <f>VLOOKUP(H547,'Fund Utilization Report'!$A$4:$U$1800,2,FALSE)</f>
        <v>GAA</v>
      </c>
      <c r="U547" s="63" t="str">
        <f>VLOOKUP(H547,'Fund Utilization Report'!$A$4:$U$1800,3,FALSE)</f>
        <v>FY2021, RA11518</v>
      </c>
      <c r="V547" s="63" t="str">
        <f>VLOOKUP(H547,'Fund Utilization Report'!$A$4:$U$1800,4,FALSE)</f>
        <v>LSP-PBG</v>
      </c>
      <c r="W547" s="63" t="str">
        <f>VLOOKUP(H547,'Fund Utilization Report'!$A$4:$U$1800,5,FALSE)</f>
        <v>01101101</v>
      </c>
      <c r="X547" s="63" t="str">
        <f>VLOOKUP(H547,'Fund Utilization Report'!$A$4:$U$1800,6,FALSE)</f>
        <v>GOP</v>
      </c>
      <c r="Y547" s="417" t="str">
        <f>VLOOKUP(H547,'Fund Utilization Report'!$A$4:$U$1800,7,FALSE)</f>
        <v>MOOE</v>
      </c>
      <c r="Z547" s="418">
        <f>VLOOKUP(H547,'Fund Utilization Report'!$A$4:$U$1800,8,FALSE)</f>
        <v>5020000000</v>
      </c>
      <c r="AA547" s="63" t="str">
        <f>VLOOKUP(H547,'Fund Utilization Report'!$A$4:$U$1800,14,FALSE)</f>
        <v>330100200004000</v>
      </c>
      <c r="AB547" s="419" t="str">
        <f>VLOOKUP(H547,'Fund Utilization Report'!$A$4:$U$1800,15,FALSE)</f>
        <v>MSME Development Program : Livelihood Seeding Program and Pangkabuhayan sa Pagbangon at Ginhawa</v>
      </c>
      <c r="AC547" s="406"/>
      <c r="AD547" s="403"/>
      <c r="AE547" s="406"/>
      <c r="AF547" s="406"/>
      <c r="AG547" s="407"/>
      <c r="AH547" s="407"/>
    </row>
    <row r="548" spans="1:34" s="411" customFormat="1">
      <c r="A548" s="405" t="s">
        <v>942</v>
      </c>
      <c r="B548" s="405" t="s">
        <v>945</v>
      </c>
      <c r="C548" s="402">
        <v>44237</v>
      </c>
      <c r="D548" s="403" t="s">
        <v>1028</v>
      </c>
      <c r="E548" s="404" t="s">
        <v>1144</v>
      </c>
      <c r="F548" s="405">
        <v>0.64027777777777783</v>
      </c>
      <c r="G548" s="405">
        <v>0.64444444444444449</v>
      </c>
      <c r="H548" s="405" t="s">
        <v>983</v>
      </c>
      <c r="I548" s="416">
        <v>751</v>
      </c>
      <c r="J548" s="405" t="str">
        <f>IFERROR(VLOOKUP(I548,'Chart of accounts'!A:H,2,FALSE),"")</f>
        <v>50201010 00</v>
      </c>
      <c r="K548" s="405" t="str">
        <f>IFERROR(VLOOKUP(I548,'Chart of accounts'!A:H,3,FALSE),"")</f>
        <v>Traveling Expenses - Local</v>
      </c>
      <c r="L548" s="405" t="str">
        <f>IFERROR(VLOOKUP(I548,'Chart of accounts'!A:H,4,FALSE),"")</f>
        <v>50201010 00 - Traveling Expenses - Local (751)</v>
      </c>
      <c r="M548" s="408">
        <v>2</v>
      </c>
      <c r="N548" s="409" t="s">
        <v>818</v>
      </c>
      <c r="O548" s="409" t="s">
        <v>1145</v>
      </c>
      <c r="P548" s="409"/>
      <c r="Q548" s="65">
        <f>25000-25000</f>
        <v>0</v>
      </c>
      <c r="R548" s="63">
        <f t="shared" ref="R548:R596" si="9">P548-Q548</f>
        <v>0</v>
      </c>
      <c r="S548" s="63" t="str">
        <f>VLOOKUP(H548,'Fund Utilization Report'!$A$4:$U$1800,13,FALSE)</f>
        <v>MOOE</v>
      </c>
      <c r="T548" s="63" t="str">
        <f>VLOOKUP(H548,'Fund Utilization Report'!$A$4:$U$1800,2,FALSE)</f>
        <v>GAA</v>
      </c>
      <c r="U548" s="63" t="str">
        <f>VLOOKUP(H548,'Fund Utilization Report'!$A$4:$U$1800,3,FALSE)</f>
        <v>FY2021, RA11518</v>
      </c>
      <c r="V548" s="63" t="str">
        <f>VLOOKUP(H548,'Fund Utilization Report'!$A$4:$U$1800,4,FALSE)</f>
        <v>SSF</v>
      </c>
      <c r="W548" s="63" t="str">
        <f>VLOOKUP(H548,'Fund Utilization Report'!$A$4:$U$1800,5,FALSE)</f>
        <v>01101101</v>
      </c>
      <c r="X548" s="63" t="str">
        <f>VLOOKUP(H548,'Fund Utilization Report'!$A$4:$U$1800,6,FALSE)</f>
        <v>GOP</v>
      </c>
      <c r="Y548" s="417" t="str">
        <f>VLOOKUP(H548,'Fund Utilization Report'!$A$4:$U$1800,7,FALSE)</f>
        <v>MOOE</v>
      </c>
      <c r="Z548" s="418">
        <f>VLOOKUP(H548,'Fund Utilization Report'!$A$4:$U$1800,8,FALSE)</f>
        <v>5020000000</v>
      </c>
      <c r="AA548" s="63" t="str">
        <f>VLOOKUP(H548,'Fund Utilization Report'!$A$4:$U$1800,14,FALSE)</f>
        <v>330100200003000</v>
      </c>
      <c r="AB548" s="419" t="str">
        <f>VLOOKUP(H548,'Fund Utilization Report'!$A$4:$U$1800,15,FALSE)</f>
        <v>Shared Service Facilities Project</v>
      </c>
      <c r="AC548" s="406"/>
      <c r="AD548" s="403"/>
      <c r="AE548" s="406"/>
      <c r="AF548" s="406"/>
      <c r="AG548" s="407"/>
      <c r="AH548" s="407"/>
    </row>
    <row r="549" spans="1:34" s="411" customFormat="1">
      <c r="A549" s="405" t="s">
        <v>942</v>
      </c>
      <c r="B549" s="405" t="s">
        <v>945</v>
      </c>
      <c r="C549" s="402">
        <v>44237</v>
      </c>
      <c r="D549" s="403" t="s">
        <v>1028</v>
      </c>
      <c r="E549" s="404" t="s">
        <v>1144</v>
      </c>
      <c r="F549" s="405">
        <v>0.64027777777777783</v>
      </c>
      <c r="G549" s="405">
        <v>0.64444444444444449</v>
      </c>
      <c r="H549" s="405" t="s">
        <v>983</v>
      </c>
      <c r="I549" s="416">
        <v>753</v>
      </c>
      <c r="J549" s="405" t="str">
        <f>IFERROR(VLOOKUP(I549,'Chart of accounts'!A:H,2,FALSE),"")</f>
        <v>50202010 00</v>
      </c>
      <c r="K549" s="405" t="str">
        <f>IFERROR(VLOOKUP(I549,'Chart of accounts'!A:H,3,FALSE),"")</f>
        <v>Training Expenses</v>
      </c>
      <c r="L549" s="405" t="str">
        <f>IFERROR(VLOOKUP(I549,'Chart of accounts'!A:H,4,FALSE),"")</f>
        <v>50202010 00 - Training Expenses (753)</v>
      </c>
      <c r="M549" s="408">
        <v>2</v>
      </c>
      <c r="N549" s="409" t="s">
        <v>818</v>
      </c>
      <c r="O549" s="409" t="s">
        <v>1145</v>
      </c>
      <c r="P549" s="409"/>
      <c r="Q549" s="65">
        <f>50000-50000</f>
        <v>0</v>
      </c>
      <c r="R549" s="63">
        <f t="shared" si="9"/>
        <v>0</v>
      </c>
      <c r="S549" s="63" t="str">
        <f>VLOOKUP(H549,'Fund Utilization Report'!$A$4:$U$1800,13,FALSE)</f>
        <v>MOOE</v>
      </c>
      <c r="T549" s="63" t="str">
        <f>VLOOKUP(H549,'Fund Utilization Report'!$A$4:$U$1800,2,FALSE)</f>
        <v>GAA</v>
      </c>
      <c r="U549" s="63" t="str">
        <f>VLOOKUP(H549,'Fund Utilization Report'!$A$4:$U$1800,3,FALSE)</f>
        <v>FY2021, RA11518</v>
      </c>
      <c r="V549" s="63" t="str">
        <f>VLOOKUP(H549,'Fund Utilization Report'!$A$4:$U$1800,4,FALSE)</f>
        <v>SSF</v>
      </c>
      <c r="W549" s="63" t="str">
        <f>VLOOKUP(H549,'Fund Utilization Report'!$A$4:$U$1800,5,FALSE)</f>
        <v>01101101</v>
      </c>
      <c r="X549" s="63" t="str">
        <f>VLOOKUP(H549,'Fund Utilization Report'!$A$4:$U$1800,6,FALSE)</f>
        <v>GOP</v>
      </c>
      <c r="Y549" s="417" t="str">
        <f>VLOOKUP(H549,'Fund Utilization Report'!$A$4:$U$1800,7,FALSE)</f>
        <v>MOOE</v>
      </c>
      <c r="Z549" s="418">
        <f>VLOOKUP(H549,'Fund Utilization Report'!$A$4:$U$1800,8,FALSE)</f>
        <v>5020000000</v>
      </c>
      <c r="AA549" s="63" t="str">
        <f>VLOOKUP(H549,'Fund Utilization Report'!$A$4:$U$1800,14,FALSE)</f>
        <v>330100200003000</v>
      </c>
      <c r="AB549" s="419" t="str">
        <f>VLOOKUP(H549,'Fund Utilization Report'!$A$4:$U$1800,15,FALSE)</f>
        <v>Shared Service Facilities Project</v>
      </c>
      <c r="AC549" s="406"/>
      <c r="AD549" s="403"/>
      <c r="AE549" s="406"/>
      <c r="AF549" s="406"/>
      <c r="AG549" s="407"/>
      <c r="AH549" s="407"/>
    </row>
    <row r="550" spans="1:34" s="411" customFormat="1">
      <c r="A550" s="405" t="s">
        <v>942</v>
      </c>
      <c r="B550" s="405" t="s">
        <v>945</v>
      </c>
      <c r="C550" s="402">
        <v>44237</v>
      </c>
      <c r="D550" s="403" t="s">
        <v>1028</v>
      </c>
      <c r="E550" s="404" t="s">
        <v>1144</v>
      </c>
      <c r="F550" s="405">
        <v>0.64027777777777783</v>
      </c>
      <c r="G550" s="405">
        <v>0.64444444444444449</v>
      </c>
      <c r="H550" s="405" t="s">
        <v>983</v>
      </c>
      <c r="I550" s="416">
        <v>773</v>
      </c>
      <c r="J550" s="405" t="str">
        <f>IFERROR(VLOOKUP(I550,'Chart of accounts'!A:H,2,FALSE),"")</f>
        <v>50205020 01</v>
      </c>
      <c r="K550" s="405" t="str">
        <f>IFERROR(VLOOKUP(I550,'Chart of accounts'!A:H,3,FALSE),"")</f>
        <v xml:space="preserve">Telephone Expenses - Mobile </v>
      </c>
      <c r="L550" s="405" t="str">
        <f>IFERROR(VLOOKUP(I550,'Chart of accounts'!A:H,4,FALSE),"")</f>
        <v>50205020 01 - Telephone Expenses - Mobile  (773)</v>
      </c>
      <c r="M550" s="408">
        <v>2</v>
      </c>
      <c r="N550" s="409" t="s">
        <v>818</v>
      </c>
      <c r="O550" s="409" t="s">
        <v>1145</v>
      </c>
      <c r="P550" s="409"/>
      <c r="Q550" s="65">
        <f>5000-5000</f>
        <v>0</v>
      </c>
      <c r="R550" s="63">
        <f t="shared" si="9"/>
        <v>0</v>
      </c>
      <c r="S550" s="63" t="str">
        <f>VLOOKUP(H550,'Fund Utilization Report'!$A$4:$U$1800,13,FALSE)</f>
        <v>MOOE</v>
      </c>
      <c r="T550" s="63" t="str">
        <f>VLOOKUP(H550,'Fund Utilization Report'!$A$4:$U$1800,2,FALSE)</f>
        <v>GAA</v>
      </c>
      <c r="U550" s="63" t="str">
        <f>VLOOKUP(H550,'Fund Utilization Report'!$A$4:$U$1800,3,FALSE)</f>
        <v>FY2021, RA11518</v>
      </c>
      <c r="V550" s="63" t="str">
        <f>VLOOKUP(H550,'Fund Utilization Report'!$A$4:$U$1800,4,FALSE)</f>
        <v>SSF</v>
      </c>
      <c r="W550" s="63" t="str">
        <f>VLOOKUP(H550,'Fund Utilization Report'!$A$4:$U$1800,5,FALSE)</f>
        <v>01101101</v>
      </c>
      <c r="X550" s="63" t="str">
        <f>VLOOKUP(H550,'Fund Utilization Report'!$A$4:$U$1800,6,FALSE)</f>
        <v>GOP</v>
      </c>
      <c r="Y550" s="417" t="str">
        <f>VLOOKUP(H550,'Fund Utilization Report'!$A$4:$U$1800,7,FALSE)</f>
        <v>MOOE</v>
      </c>
      <c r="Z550" s="418">
        <f>VLOOKUP(H550,'Fund Utilization Report'!$A$4:$U$1800,8,FALSE)</f>
        <v>5020000000</v>
      </c>
      <c r="AA550" s="63" t="str">
        <f>VLOOKUP(H550,'Fund Utilization Report'!$A$4:$U$1800,14,FALSE)</f>
        <v>330100200003000</v>
      </c>
      <c r="AB550" s="419" t="str">
        <f>VLOOKUP(H550,'Fund Utilization Report'!$A$4:$U$1800,15,FALSE)</f>
        <v>Shared Service Facilities Project</v>
      </c>
      <c r="AC550" s="406"/>
      <c r="AD550" s="403"/>
      <c r="AE550" s="406"/>
      <c r="AF550" s="406"/>
      <c r="AG550" s="407"/>
      <c r="AH550" s="407"/>
    </row>
    <row r="551" spans="1:34" s="411" customFormat="1">
      <c r="A551" s="405" t="s">
        <v>942</v>
      </c>
      <c r="B551" s="405" t="s">
        <v>945</v>
      </c>
      <c r="C551" s="402">
        <v>44237</v>
      </c>
      <c r="D551" s="403" t="s">
        <v>1028</v>
      </c>
      <c r="E551" s="404" t="s">
        <v>1144</v>
      </c>
      <c r="F551" s="405">
        <v>0.64027777777777783</v>
      </c>
      <c r="G551" s="405">
        <v>0.64444444444444449</v>
      </c>
      <c r="H551" s="405" t="s">
        <v>983</v>
      </c>
      <c r="I551" s="416">
        <v>799</v>
      </c>
      <c r="J551" s="405" t="str">
        <f>IFERROR(VLOOKUP(I551,'Chart of accounts'!A:H,2,FALSE),"")</f>
        <v>50211990 00</v>
      </c>
      <c r="K551" s="405" t="str">
        <f>IFERROR(VLOOKUP(I551,'Chart of accounts'!A:H,3,FALSE),"")</f>
        <v>Other Professional Services</v>
      </c>
      <c r="L551" s="405" t="str">
        <f>IFERROR(VLOOKUP(I551,'Chart of accounts'!A:H,4,FALSE),"")</f>
        <v>50211990 00 - Other Professional Services (799)</v>
      </c>
      <c r="M551" s="408">
        <v>2</v>
      </c>
      <c r="N551" s="409" t="s">
        <v>818</v>
      </c>
      <c r="O551" s="409" t="s">
        <v>1145</v>
      </c>
      <c r="P551" s="409"/>
      <c r="Q551" s="65">
        <f>33869.05-33869.05</f>
        <v>0</v>
      </c>
      <c r="R551" s="63">
        <f t="shared" si="9"/>
        <v>0</v>
      </c>
      <c r="S551" s="63" t="str">
        <f>VLOOKUP(H551,'Fund Utilization Report'!$A$4:$U$1800,13,FALSE)</f>
        <v>MOOE</v>
      </c>
      <c r="T551" s="63" t="str">
        <f>VLOOKUP(H551,'Fund Utilization Report'!$A$4:$U$1800,2,FALSE)</f>
        <v>GAA</v>
      </c>
      <c r="U551" s="63" t="str">
        <f>VLOOKUP(H551,'Fund Utilization Report'!$A$4:$U$1800,3,FALSE)</f>
        <v>FY2021, RA11518</v>
      </c>
      <c r="V551" s="63" t="str">
        <f>VLOOKUP(H551,'Fund Utilization Report'!$A$4:$U$1800,4,FALSE)</f>
        <v>SSF</v>
      </c>
      <c r="W551" s="63" t="str">
        <f>VLOOKUP(H551,'Fund Utilization Report'!$A$4:$U$1800,5,FALSE)</f>
        <v>01101101</v>
      </c>
      <c r="X551" s="63" t="str">
        <f>VLOOKUP(H551,'Fund Utilization Report'!$A$4:$U$1800,6,FALSE)</f>
        <v>GOP</v>
      </c>
      <c r="Y551" s="417" t="str">
        <f>VLOOKUP(H551,'Fund Utilization Report'!$A$4:$U$1800,7,FALSE)</f>
        <v>MOOE</v>
      </c>
      <c r="Z551" s="418">
        <f>VLOOKUP(H551,'Fund Utilization Report'!$A$4:$U$1800,8,FALSE)</f>
        <v>5020000000</v>
      </c>
      <c r="AA551" s="63" t="str">
        <f>VLOOKUP(H551,'Fund Utilization Report'!$A$4:$U$1800,14,FALSE)</f>
        <v>330100200003000</v>
      </c>
      <c r="AB551" s="419" t="str">
        <f>VLOOKUP(H551,'Fund Utilization Report'!$A$4:$U$1800,15,FALSE)</f>
        <v>Shared Service Facilities Project</v>
      </c>
      <c r="AC551" s="406"/>
      <c r="AD551" s="403"/>
      <c r="AE551" s="406"/>
      <c r="AF551" s="406"/>
      <c r="AG551" s="407"/>
      <c r="AH551" s="407"/>
    </row>
    <row r="552" spans="1:34" s="411" customFormat="1">
      <c r="A552" s="405" t="s">
        <v>942</v>
      </c>
      <c r="B552" s="405" t="s">
        <v>945</v>
      </c>
      <c r="C552" s="402">
        <v>44237</v>
      </c>
      <c r="D552" s="403" t="s">
        <v>1028</v>
      </c>
      <c r="E552" s="404" t="s">
        <v>1146</v>
      </c>
      <c r="F552" s="405">
        <v>0.64444444444444449</v>
      </c>
      <c r="G552" s="405">
        <v>0.6479166666666667</v>
      </c>
      <c r="H552" s="405" t="s">
        <v>983</v>
      </c>
      <c r="I552" s="416">
        <v>751</v>
      </c>
      <c r="J552" s="405" t="str">
        <f>IFERROR(VLOOKUP(I552,'Chart of accounts'!A:H,2,FALSE),"")</f>
        <v>50201010 00</v>
      </c>
      <c r="K552" s="405" t="str">
        <f>IFERROR(VLOOKUP(I552,'Chart of accounts'!A:H,3,FALSE),"")</f>
        <v>Traveling Expenses - Local</v>
      </c>
      <c r="L552" s="405" t="str">
        <f>IFERROR(VLOOKUP(I552,'Chart of accounts'!A:H,4,FALSE),"")</f>
        <v>50201010 00 - Traveling Expenses - Local (751)</v>
      </c>
      <c r="M552" s="408">
        <v>3</v>
      </c>
      <c r="N552" s="409" t="s">
        <v>820</v>
      </c>
      <c r="O552" s="409" t="s">
        <v>1145</v>
      </c>
      <c r="P552" s="409"/>
      <c r="Q552" s="65">
        <f>25000-25000</f>
        <v>0</v>
      </c>
      <c r="R552" s="63">
        <f t="shared" si="9"/>
        <v>0</v>
      </c>
      <c r="S552" s="63" t="str">
        <f>VLOOKUP(H552,'Fund Utilization Report'!$A$4:$U$1800,13,FALSE)</f>
        <v>MOOE</v>
      </c>
      <c r="T552" s="63" t="str">
        <f>VLOOKUP(H552,'Fund Utilization Report'!$A$4:$U$1800,2,FALSE)</f>
        <v>GAA</v>
      </c>
      <c r="U552" s="63" t="str">
        <f>VLOOKUP(H552,'Fund Utilization Report'!$A$4:$U$1800,3,FALSE)</f>
        <v>FY2021, RA11518</v>
      </c>
      <c r="V552" s="63" t="str">
        <f>VLOOKUP(H552,'Fund Utilization Report'!$A$4:$U$1800,4,FALSE)</f>
        <v>SSF</v>
      </c>
      <c r="W552" s="63" t="str">
        <f>VLOOKUP(H552,'Fund Utilization Report'!$A$4:$U$1800,5,FALSE)</f>
        <v>01101101</v>
      </c>
      <c r="X552" s="63" t="str">
        <f>VLOOKUP(H552,'Fund Utilization Report'!$A$4:$U$1800,6,FALSE)</f>
        <v>GOP</v>
      </c>
      <c r="Y552" s="417" t="str">
        <f>VLOOKUP(H552,'Fund Utilization Report'!$A$4:$U$1800,7,FALSE)</f>
        <v>MOOE</v>
      </c>
      <c r="Z552" s="418">
        <f>VLOOKUP(H552,'Fund Utilization Report'!$A$4:$U$1800,8,FALSE)</f>
        <v>5020000000</v>
      </c>
      <c r="AA552" s="63" t="str">
        <f>VLOOKUP(H552,'Fund Utilization Report'!$A$4:$U$1800,14,FALSE)</f>
        <v>330100200003000</v>
      </c>
      <c r="AB552" s="419" t="str">
        <f>VLOOKUP(H552,'Fund Utilization Report'!$A$4:$U$1800,15,FALSE)</f>
        <v>Shared Service Facilities Project</v>
      </c>
      <c r="AC552" s="406"/>
      <c r="AD552" s="403"/>
      <c r="AE552" s="406"/>
      <c r="AF552" s="406"/>
      <c r="AG552" s="407"/>
      <c r="AH552" s="407"/>
    </row>
    <row r="553" spans="1:34" s="411" customFormat="1">
      <c r="A553" s="405" t="s">
        <v>942</v>
      </c>
      <c r="B553" s="405" t="s">
        <v>945</v>
      </c>
      <c r="C553" s="402">
        <v>44237</v>
      </c>
      <c r="D553" s="403" t="s">
        <v>1028</v>
      </c>
      <c r="E553" s="404" t="s">
        <v>1146</v>
      </c>
      <c r="F553" s="405">
        <v>0.64444444444444449</v>
      </c>
      <c r="G553" s="405">
        <v>0.6479166666666667</v>
      </c>
      <c r="H553" s="405" t="s">
        <v>983</v>
      </c>
      <c r="I553" s="416">
        <v>753</v>
      </c>
      <c r="J553" s="405" t="str">
        <f>IFERROR(VLOOKUP(I553,'Chart of accounts'!A:H,2,FALSE),"")</f>
        <v>50202010 00</v>
      </c>
      <c r="K553" s="405" t="str">
        <f>IFERROR(VLOOKUP(I553,'Chart of accounts'!A:H,3,FALSE),"")</f>
        <v>Training Expenses</v>
      </c>
      <c r="L553" s="405" t="str">
        <f>IFERROR(VLOOKUP(I553,'Chart of accounts'!A:H,4,FALSE),"")</f>
        <v>50202010 00 - Training Expenses (753)</v>
      </c>
      <c r="M553" s="408">
        <v>3</v>
      </c>
      <c r="N553" s="409" t="s">
        <v>820</v>
      </c>
      <c r="O553" s="409" t="s">
        <v>1145</v>
      </c>
      <c r="P553" s="409"/>
      <c r="Q553" s="65">
        <f>40000-40000</f>
        <v>0</v>
      </c>
      <c r="R553" s="63">
        <f t="shared" si="9"/>
        <v>0</v>
      </c>
      <c r="S553" s="63" t="str">
        <f>VLOOKUP(H553,'Fund Utilization Report'!$A$4:$U$1800,13,FALSE)</f>
        <v>MOOE</v>
      </c>
      <c r="T553" s="63" t="str">
        <f>VLOOKUP(H553,'Fund Utilization Report'!$A$4:$U$1800,2,FALSE)</f>
        <v>GAA</v>
      </c>
      <c r="U553" s="63" t="str">
        <f>VLOOKUP(H553,'Fund Utilization Report'!$A$4:$U$1800,3,FALSE)</f>
        <v>FY2021, RA11518</v>
      </c>
      <c r="V553" s="63" t="str">
        <f>VLOOKUP(H553,'Fund Utilization Report'!$A$4:$U$1800,4,FALSE)</f>
        <v>SSF</v>
      </c>
      <c r="W553" s="63" t="str">
        <f>VLOOKUP(H553,'Fund Utilization Report'!$A$4:$U$1800,5,FALSE)</f>
        <v>01101101</v>
      </c>
      <c r="X553" s="63" t="str">
        <f>VLOOKUP(H553,'Fund Utilization Report'!$A$4:$U$1800,6,FALSE)</f>
        <v>GOP</v>
      </c>
      <c r="Y553" s="417" t="str">
        <f>VLOOKUP(H553,'Fund Utilization Report'!$A$4:$U$1800,7,FALSE)</f>
        <v>MOOE</v>
      </c>
      <c r="Z553" s="418">
        <f>VLOOKUP(H553,'Fund Utilization Report'!$A$4:$U$1800,8,FALSE)</f>
        <v>5020000000</v>
      </c>
      <c r="AA553" s="63" t="str">
        <f>VLOOKUP(H553,'Fund Utilization Report'!$A$4:$U$1800,14,FALSE)</f>
        <v>330100200003000</v>
      </c>
      <c r="AB553" s="419" t="str">
        <f>VLOOKUP(H553,'Fund Utilization Report'!$A$4:$U$1800,15,FALSE)</f>
        <v>Shared Service Facilities Project</v>
      </c>
      <c r="AC553" s="406"/>
      <c r="AD553" s="403"/>
      <c r="AE553" s="406"/>
      <c r="AF553" s="406"/>
      <c r="AG553" s="407"/>
      <c r="AH553" s="407"/>
    </row>
    <row r="554" spans="1:34" s="411" customFormat="1">
      <c r="A554" s="405" t="s">
        <v>942</v>
      </c>
      <c r="B554" s="405" t="s">
        <v>945</v>
      </c>
      <c r="C554" s="402">
        <v>44237</v>
      </c>
      <c r="D554" s="403" t="s">
        <v>1028</v>
      </c>
      <c r="E554" s="404" t="s">
        <v>1146</v>
      </c>
      <c r="F554" s="405">
        <v>0.64444444444444449</v>
      </c>
      <c r="G554" s="405">
        <v>0.6479166666666667</v>
      </c>
      <c r="H554" s="405" t="s">
        <v>983</v>
      </c>
      <c r="I554" s="416">
        <v>773</v>
      </c>
      <c r="J554" s="405" t="str">
        <f>IFERROR(VLOOKUP(I554,'Chart of accounts'!A:H,2,FALSE),"")</f>
        <v>50205020 01</v>
      </c>
      <c r="K554" s="405" t="str">
        <f>IFERROR(VLOOKUP(I554,'Chart of accounts'!A:H,3,FALSE),"")</f>
        <v xml:space="preserve">Telephone Expenses - Mobile </v>
      </c>
      <c r="L554" s="405" t="str">
        <f>IFERROR(VLOOKUP(I554,'Chart of accounts'!A:H,4,FALSE),"")</f>
        <v>50205020 01 - Telephone Expenses - Mobile  (773)</v>
      </c>
      <c r="M554" s="408">
        <v>3</v>
      </c>
      <c r="N554" s="409" t="s">
        <v>820</v>
      </c>
      <c r="O554" s="409" t="s">
        <v>1145</v>
      </c>
      <c r="P554" s="409"/>
      <c r="Q554" s="65">
        <f>5000-5000</f>
        <v>0</v>
      </c>
      <c r="R554" s="63">
        <f t="shared" si="9"/>
        <v>0</v>
      </c>
      <c r="S554" s="63" t="str">
        <f>VLOOKUP(H554,'Fund Utilization Report'!$A$4:$U$1800,13,FALSE)</f>
        <v>MOOE</v>
      </c>
      <c r="T554" s="63" t="str">
        <f>VLOOKUP(H554,'Fund Utilization Report'!$A$4:$U$1800,2,FALSE)</f>
        <v>GAA</v>
      </c>
      <c r="U554" s="63" t="str">
        <f>VLOOKUP(H554,'Fund Utilization Report'!$A$4:$U$1800,3,FALSE)</f>
        <v>FY2021, RA11518</v>
      </c>
      <c r="V554" s="63" t="str">
        <f>VLOOKUP(H554,'Fund Utilization Report'!$A$4:$U$1800,4,FALSE)</f>
        <v>SSF</v>
      </c>
      <c r="W554" s="63" t="str">
        <f>VLOOKUP(H554,'Fund Utilization Report'!$A$4:$U$1800,5,FALSE)</f>
        <v>01101101</v>
      </c>
      <c r="X554" s="63" t="str">
        <f>VLOOKUP(H554,'Fund Utilization Report'!$A$4:$U$1800,6,FALSE)</f>
        <v>GOP</v>
      </c>
      <c r="Y554" s="417" t="str">
        <f>VLOOKUP(H554,'Fund Utilization Report'!$A$4:$U$1800,7,FALSE)</f>
        <v>MOOE</v>
      </c>
      <c r="Z554" s="418">
        <f>VLOOKUP(H554,'Fund Utilization Report'!$A$4:$U$1800,8,FALSE)</f>
        <v>5020000000</v>
      </c>
      <c r="AA554" s="63" t="str">
        <f>VLOOKUP(H554,'Fund Utilization Report'!$A$4:$U$1800,14,FALSE)</f>
        <v>330100200003000</v>
      </c>
      <c r="AB554" s="419" t="str">
        <f>VLOOKUP(H554,'Fund Utilization Report'!$A$4:$U$1800,15,FALSE)</f>
        <v>Shared Service Facilities Project</v>
      </c>
      <c r="AC554" s="406"/>
      <c r="AD554" s="403"/>
      <c r="AE554" s="406"/>
      <c r="AF554" s="406"/>
      <c r="AG554" s="407"/>
      <c r="AH554" s="407"/>
    </row>
    <row r="555" spans="1:34" s="411" customFormat="1">
      <c r="A555" s="405" t="s">
        <v>942</v>
      </c>
      <c r="B555" s="405" t="s">
        <v>945</v>
      </c>
      <c r="C555" s="402">
        <v>44237</v>
      </c>
      <c r="D555" s="403" t="s">
        <v>1028</v>
      </c>
      <c r="E555" s="404" t="s">
        <v>1146</v>
      </c>
      <c r="F555" s="405">
        <v>0.64444444444444449</v>
      </c>
      <c r="G555" s="405">
        <v>0.6479166666666667</v>
      </c>
      <c r="H555" s="405" t="s">
        <v>983</v>
      </c>
      <c r="I555" s="416">
        <v>799</v>
      </c>
      <c r="J555" s="405" t="str">
        <f>IFERROR(VLOOKUP(I555,'Chart of accounts'!A:H,2,FALSE),"")</f>
        <v>50211990 00</v>
      </c>
      <c r="K555" s="405" t="str">
        <f>IFERROR(VLOOKUP(I555,'Chart of accounts'!A:H,3,FALSE),"")</f>
        <v>Other Professional Services</v>
      </c>
      <c r="L555" s="405" t="str">
        <f>IFERROR(VLOOKUP(I555,'Chart of accounts'!A:H,4,FALSE),"")</f>
        <v>50211990 00 - Other Professional Services (799)</v>
      </c>
      <c r="M555" s="408">
        <v>3</v>
      </c>
      <c r="N555" s="409" t="s">
        <v>820</v>
      </c>
      <c r="O555" s="409" t="s">
        <v>1145</v>
      </c>
      <c r="P555" s="409"/>
      <c r="Q555" s="65">
        <f>24707.14-24707.14</f>
        <v>0</v>
      </c>
      <c r="R555" s="63">
        <f t="shared" si="9"/>
        <v>0</v>
      </c>
      <c r="S555" s="63" t="str">
        <f>VLOOKUP(H555,'Fund Utilization Report'!$A$4:$U$1800,13,FALSE)</f>
        <v>MOOE</v>
      </c>
      <c r="T555" s="63" t="str">
        <f>VLOOKUP(H555,'Fund Utilization Report'!$A$4:$U$1800,2,FALSE)</f>
        <v>GAA</v>
      </c>
      <c r="U555" s="63" t="str">
        <f>VLOOKUP(H555,'Fund Utilization Report'!$A$4:$U$1800,3,FALSE)</f>
        <v>FY2021, RA11518</v>
      </c>
      <c r="V555" s="63" t="str">
        <f>VLOOKUP(H555,'Fund Utilization Report'!$A$4:$U$1800,4,FALSE)</f>
        <v>SSF</v>
      </c>
      <c r="W555" s="63" t="str">
        <f>VLOOKUP(H555,'Fund Utilization Report'!$A$4:$U$1800,5,FALSE)</f>
        <v>01101101</v>
      </c>
      <c r="X555" s="63" t="str">
        <f>VLOOKUP(H555,'Fund Utilization Report'!$A$4:$U$1800,6,FALSE)</f>
        <v>GOP</v>
      </c>
      <c r="Y555" s="417" t="str">
        <f>VLOOKUP(H555,'Fund Utilization Report'!$A$4:$U$1800,7,FALSE)</f>
        <v>MOOE</v>
      </c>
      <c r="Z555" s="418">
        <f>VLOOKUP(H555,'Fund Utilization Report'!$A$4:$U$1800,8,FALSE)</f>
        <v>5020000000</v>
      </c>
      <c r="AA555" s="63" t="str">
        <f>VLOOKUP(H555,'Fund Utilization Report'!$A$4:$U$1800,14,FALSE)</f>
        <v>330100200003000</v>
      </c>
      <c r="AB555" s="419" t="str">
        <f>VLOOKUP(H555,'Fund Utilization Report'!$A$4:$U$1800,15,FALSE)</f>
        <v>Shared Service Facilities Project</v>
      </c>
      <c r="AC555" s="406"/>
      <c r="AD555" s="403"/>
      <c r="AE555" s="406"/>
      <c r="AF555" s="406"/>
      <c r="AG555" s="407"/>
      <c r="AH555" s="407"/>
    </row>
    <row r="556" spans="1:34" s="32" customFormat="1">
      <c r="A556" s="338" t="s">
        <v>942</v>
      </c>
      <c r="B556" s="338" t="s">
        <v>945</v>
      </c>
      <c r="C556" s="358">
        <v>44237</v>
      </c>
      <c r="D556" s="351" t="s">
        <v>1028</v>
      </c>
      <c r="E556" s="352" t="s">
        <v>1147</v>
      </c>
      <c r="F556" s="338">
        <v>0.6479166666666667</v>
      </c>
      <c r="G556" s="338">
        <v>0.65</v>
      </c>
      <c r="H556" s="338" t="s">
        <v>983</v>
      </c>
      <c r="I556" s="353">
        <v>751</v>
      </c>
      <c r="J556" s="338" t="str">
        <f>IFERROR(VLOOKUP(I556,'Chart of accounts'!A:H,2,FALSE),"")</f>
        <v>50201010 00</v>
      </c>
      <c r="K556" s="338" t="str">
        <f>IFERROR(VLOOKUP(I556,'Chart of accounts'!A:H,3,FALSE),"")</f>
        <v>Traveling Expenses - Local</v>
      </c>
      <c r="L556" s="338" t="str">
        <f>IFERROR(VLOOKUP(I556,'Chart of accounts'!A:H,4,FALSE),"")</f>
        <v>50201010 00 - Traveling Expenses - Local (751)</v>
      </c>
      <c r="M556" s="361">
        <v>68</v>
      </c>
      <c r="N556" s="355" t="s">
        <v>821</v>
      </c>
      <c r="O556" s="355" t="s">
        <v>1145</v>
      </c>
      <c r="P556" s="355"/>
      <c r="Q556" s="363">
        <v>25000</v>
      </c>
      <c r="R556" s="319">
        <f t="shared" si="9"/>
        <v>-25000</v>
      </c>
      <c r="S556" s="319" t="str">
        <f>VLOOKUP(H556,'Fund Utilization Report'!$A$4:$U$1800,13,FALSE)</f>
        <v>MOOE</v>
      </c>
      <c r="T556" s="319" t="str">
        <f>VLOOKUP(H556,'Fund Utilization Report'!$A$4:$U$1800,2,FALSE)</f>
        <v>GAA</v>
      </c>
      <c r="U556" s="319" t="str">
        <f>VLOOKUP(H556,'Fund Utilization Report'!$A$4:$U$1800,3,FALSE)</f>
        <v>FY2021, RA11518</v>
      </c>
      <c r="V556" s="319" t="str">
        <f>VLOOKUP(H556,'Fund Utilization Report'!$A$4:$U$1800,4,FALSE)</f>
        <v>SSF</v>
      </c>
      <c r="W556" s="319" t="str">
        <f>VLOOKUP(H556,'Fund Utilization Report'!$A$4:$U$1800,5,FALSE)</f>
        <v>01101101</v>
      </c>
      <c r="X556" s="319" t="str">
        <f>VLOOKUP(H556,'Fund Utilization Report'!$A$4:$U$1800,6,FALSE)</f>
        <v>GOP</v>
      </c>
      <c r="Y556" s="320" t="str">
        <f>VLOOKUP(H556,'Fund Utilization Report'!$A$4:$U$1800,7,FALSE)</f>
        <v>MOOE</v>
      </c>
      <c r="Z556" s="321">
        <f>VLOOKUP(H556,'Fund Utilization Report'!$A$4:$U$1800,8,FALSE)</f>
        <v>5020000000</v>
      </c>
      <c r="AA556" s="319" t="str">
        <f>VLOOKUP(H556,'Fund Utilization Report'!$A$4:$U$1800,14,FALSE)</f>
        <v>330100200003000</v>
      </c>
      <c r="AB556" s="349" t="str">
        <f>VLOOKUP(H556,'Fund Utilization Report'!$A$4:$U$1800,15,FALSE)</f>
        <v>Shared Service Facilities Project</v>
      </c>
      <c r="AC556" s="39"/>
      <c r="AD556" s="34"/>
      <c r="AE556" s="39"/>
      <c r="AF556" s="51"/>
      <c r="AG556" s="40"/>
      <c r="AH556" s="40"/>
    </row>
    <row r="557" spans="1:34" s="32" customFormat="1">
      <c r="A557" s="338" t="s">
        <v>942</v>
      </c>
      <c r="B557" s="338" t="s">
        <v>945</v>
      </c>
      <c r="C557" s="358">
        <v>44237</v>
      </c>
      <c r="D557" s="351" t="s">
        <v>1028</v>
      </c>
      <c r="E557" s="352" t="s">
        <v>1147</v>
      </c>
      <c r="F557" s="338">
        <v>0.6479166666666667</v>
      </c>
      <c r="G557" s="338">
        <v>0.65</v>
      </c>
      <c r="H557" s="338" t="s">
        <v>983</v>
      </c>
      <c r="I557" s="353">
        <v>753</v>
      </c>
      <c r="J557" s="338" t="str">
        <f>IFERROR(VLOOKUP(I557,'Chart of accounts'!A:H,2,FALSE),"")</f>
        <v>50202010 00</v>
      </c>
      <c r="K557" s="338" t="str">
        <f>IFERROR(VLOOKUP(I557,'Chart of accounts'!A:H,3,FALSE),"")</f>
        <v>Training Expenses</v>
      </c>
      <c r="L557" s="338" t="str">
        <f>IFERROR(VLOOKUP(I557,'Chart of accounts'!A:H,4,FALSE),"")</f>
        <v>50202010 00 - Training Expenses (753)</v>
      </c>
      <c r="M557" s="361">
        <v>68</v>
      </c>
      <c r="N557" s="355" t="s">
        <v>821</v>
      </c>
      <c r="O557" s="355" t="s">
        <v>1145</v>
      </c>
      <c r="P557" s="355"/>
      <c r="Q557" s="363">
        <v>40000</v>
      </c>
      <c r="R557" s="319">
        <f t="shared" si="9"/>
        <v>-40000</v>
      </c>
      <c r="S557" s="319" t="str">
        <f>VLOOKUP(H557,'Fund Utilization Report'!$A$4:$U$1800,13,FALSE)</f>
        <v>MOOE</v>
      </c>
      <c r="T557" s="319" t="str">
        <f>VLOOKUP(H557,'Fund Utilization Report'!$A$4:$U$1800,2,FALSE)</f>
        <v>GAA</v>
      </c>
      <c r="U557" s="319" t="str">
        <f>VLOOKUP(H557,'Fund Utilization Report'!$A$4:$U$1800,3,FALSE)</f>
        <v>FY2021, RA11518</v>
      </c>
      <c r="V557" s="319" t="str">
        <f>VLOOKUP(H557,'Fund Utilization Report'!$A$4:$U$1800,4,FALSE)</f>
        <v>SSF</v>
      </c>
      <c r="W557" s="319" t="str">
        <f>VLOOKUP(H557,'Fund Utilization Report'!$A$4:$U$1800,5,FALSE)</f>
        <v>01101101</v>
      </c>
      <c r="X557" s="319" t="str">
        <f>VLOOKUP(H557,'Fund Utilization Report'!$A$4:$U$1800,6,FALSE)</f>
        <v>GOP</v>
      </c>
      <c r="Y557" s="320" t="str">
        <f>VLOOKUP(H557,'Fund Utilization Report'!$A$4:$U$1800,7,FALSE)</f>
        <v>MOOE</v>
      </c>
      <c r="Z557" s="321">
        <f>VLOOKUP(H557,'Fund Utilization Report'!$A$4:$U$1800,8,FALSE)</f>
        <v>5020000000</v>
      </c>
      <c r="AA557" s="319" t="str">
        <f>VLOOKUP(H557,'Fund Utilization Report'!$A$4:$U$1800,14,FALSE)</f>
        <v>330100200003000</v>
      </c>
      <c r="AB557" s="349" t="str">
        <f>VLOOKUP(H557,'Fund Utilization Report'!$A$4:$U$1800,15,FALSE)</f>
        <v>Shared Service Facilities Project</v>
      </c>
      <c r="AC557" s="39"/>
      <c r="AD557" s="34"/>
      <c r="AE557" s="39"/>
      <c r="AF557" s="51"/>
      <c r="AG557" s="40"/>
      <c r="AH557" s="40"/>
    </row>
    <row r="558" spans="1:34" s="32" customFormat="1">
      <c r="A558" s="338" t="s">
        <v>942</v>
      </c>
      <c r="B558" s="338" t="s">
        <v>945</v>
      </c>
      <c r="C558" s="358">
        <v>44237</v>
      </c>
      <c r="D558" s="351" t="s">
        <v>1028</v>
      </c>
      <c r="E558" s="352" t="s">
        <v>1147</v>
      </c>
      <c r="F558" s="338">
        <v>0.6479166666666667</v>
      </c>
      <c r="G558" s="338">
        <v>0.65</v>
      </c>
      <c r="H558" s="338" t="s">
        <v>983</v>
      </c>
      <c r="I558" s="353">
        <v>773</v>
      </c>
      <c r="J558" s="338" t="str">
        <f>IFERROR(VLOOKUP(I558,'Chart of accounts'!A:H,2,FALSE),"")</f>
        <v>50205020 01</v>
      </c>
      <c r="K558" s="338" t="str">
        <f>IFERROR(VLOOKUP(I558,'Chart of accounts'!A:H,3,FALSE),"")</f>
        <v xml:space="preserve">Telephone Expenses - Mobile </v>
      </c>
      <c r="L558" s="338" t="str">
        <f>IFERROR(VLOOKUP(I558,'Chart of accounts'!A:H,4,FALSE),"")</f>
        <v>50205020 01 - Telephone Expenses - Mobile  (773)</v>
      </c>
      <c r="M558" s="361">
        <v>68</v>
      </c>
      <c r="N558" s="355" t="s">
        <v>821</v>
      </c>
      <c r="O558" s="355" t="s">
        <v>1145</v>
      </c>
      <c r="P558" s="355"/>
      <c r="Q558" s="363">
        <v>5000</v>
      </c>
      <c r="R558" s="319">
        <f t="shared" si="9"/>
        <v>-5000</v>
      </c>
      <c r="S558" s="319" t="str">
        <f>VLOOKUP(H558,'Fund Utilization Report'!$A$4:$U$1800,13,FALSE)</f>
        <v>MOOE</v>
      </c>
      <c r="T558" s="319" t="str">
        <f>VLOOKUP(H558,'Fund Utilization Report'!$A$4:$U$1800,2,FALSE)</f>
        <v>GAA</v>
      </c>
      <c r="U558" s="319" t="str">
        <f>VLOOKUP(H558,'Fund Utilization Report'!$A$4:$U$1800,3,FALSE)</f>
        <v>FY2021, RA11518</v>
      </c>
      <c r="V558" s="319" t="str">
        <f>VLOOKUP(H558,'Fund Utilization Report'!$A$4:$U$1800,4,FALSE)</f>
        <v>SSF</v>
      </c>
      <c r="W558" s="319" t="str">
        <f>VLOOKUP(H558,'Fund Utilization Report'!$A$4:$U$1800,5,FALSE)</f>
        <v>01101101</v>
      </c>
      <c r="X558" s="319" t="str">
        <f>VLOOKUP(H558,'Fund Utilization Report'!$A$4:$U$1800,6,FALSE)</f>
        <v>GOP</v>
      </c>
      <c r="Y558" s="320" t="str">
        <f>VLOOKUP(H558,'Fund Utilization Report'!$A$4:$U$1800,7,FALSE)</f>
        <v>MOOE</v>
      </c>
      <c r="Z558" s="321">
        <f>VLOOKUP(H558,'Fund Utilization Report'!$A$4:$U$1800,8,FALSE)</f>
        <v>5020000000</v>
      </c>
      <c r="AA558" s="319" t="str">
        <f>VLOOKUP(H558,'Fund Utilization Report'!$A$4:$U$1800,14,FALSE)</f>
        <v>330100200003000</v>
      </c>
      <c r="AB558" s="349" t="str">
        <f>VLOOKUP(H558,'Fund Utilization Report'!$A$4:$U$1800,15,FALSE)</f>
        <v>Shared Service Facilities Project</v>
      </c>
      <c r="AC558" s="39"/>
      <c r="AD558" s="34"/>
      <c r="AE558" s="39"/>
      <c r="AF558" s="51"/>
      <c r="AG558" s="40"/>
      <c r="AH558" s="40"/>
    </row>
    <row r="559" spans="1:34" s="32" customFormat="1">
      <c r="A559" s="338" t="s">
        <v>942</v>
      </c>
      <c r="B559" s="338" t="s">
        <v>945</v>
      </c>
      <c r="C559" s="358">
        <v>44237</v>
      </c>
      <c r="D559" s="351" t="s">
        <v>1028</v>
      </c>
      <c r="E559" s="352" t="s">
        <v>1147</v>
      </c>
      <c r="F559" s="338">
        <v>0.6479166666666667</v>
      </c>
      <c r="G559" s="338">
        <v>0.65</v>
      </c>
      <c r="H559" s="338" t="s">
        <v>983</v>
      </c>
      <c r="I559" s="353">
        <v>799</v>
      </c>
      <c r="J559" s="338" t="str">
        <f>IFERROR(VLOOKUP(I559,'Chart of accounts'!A:H,2,FALSE),"")</f>
        <v>50211990 00</v>
      </c>
      <c r="K559" s="338" t="str">
        <f>IFERROR(VLOOKUP(I559,'Chart of accounts'!A:H,3,FALSE),"")</f>
        <v>Other Professional Services</v>
      </c>
      <c r="L559" s="338" t="str">
        <f>IFERROR(VLOOKUP(I559,'Chart of accounts'!A:H,4,FALSE),"")</f>
        <v>50211990 00 - Other Professional Services (799)</v>
      </c>
      <c r="M559" s="361">
        <v>68</v>
      </c>
      <c r="N559" s="355" t="s">
        <v>821</v>
      </c>
      <c r="O559" s="355" t="s">
        <v>1145</v>
      </c>
      <c r="P559" s="355"/>
      <c r="Q559" s="363">
        <v>10335.709999999999</v>
      </c>
      <c r="R559" s="319">
        <f t="shared" si="9"/>
        <v>-10335.709999999999</v>
      </c>
      <c r="S559" s="319" t="str">
        <f>VLOOKUP(H559,'Fund Utilization Report'!$A$4:$U$1800,13,FALSE)</f>
        <v>MOOE</v>
      </c>
      <c r="T559" s="319" t="str">
        <f>VLOOKUP(H559,'Fund Utilization Report'!$A$4:$U$1800,2,FALSE)</f>
        <v>GAA</v>
      </c>
      <c r="U559" s="319" t="str">
        <f>VLOOKUP(H559,'Fund Utilization Report'!$A$4:$U$1800,3,FALSE)</f>
        <v>FY2021, RA11518</v>
      </c>
      <c r="V559" s="319" t="str">
        <f>VLOOKUP(H559,'Fund Utilization Report'!$A$4:$U$1800,4,FALSE)</f>
        <v>SSF</v>
      </c>
      <c r="W559" s="319" t="str">
        <f>VLOOKUP(H559,'Fund Utilization Report'!$A$4:$U$1800,5,FALSE)</f>
        <v>01101101</v>
      </c>
      <c r="X559" s="319" t="str">
        <f>VLOOKUP(H559,'Fund Utilization Report'!$A$4:$U$1800,6,FALSE)</f>
        <v>GOP</v>
      </c>
      <c r="Y559" s="320" t="str">
        <f>VLOOKUP(H559,'Fund Utilization Report'!$A$4:$U$1800,7,FALSE)</f>
        <v>MOOE</v>
      </c>
      <c r="Z559" s="321">
        <f>VLOOKUP(H559,'Fund Utilization Report'!$A$4:$U$1800,8,FALSE)</f>
        <v>5020000000</v>
      </c>
      <c r="AA559" s="319" t="str">
        <f>VLOOKUP(H559,'Fund Utilization Report'!$A$4:$U$1800,14,FALSE)</f>
        <v>330100200003000</v>
      </c>
      <c r="AB559" s="349" t="str">
        <f>VLOOKUP(H559,'Fund Utilization Report'!$A$4:$U$1800,15,FALSE)</f>
        <v>Shared Service Facilities Project</v>
      </c>
      <c r="AC559" s="39"/>
      <c r="AD559" s="34"/>
      <c r="AE559" s="39"/>
      <c r="AF559" s="51"/>
      <c r="AG559" s="40"/>
      <c r="AH559" s="40"/>
    </row>
    <row r="560" spans="1:34" s="411" customFormat="1">
      <c r="A560" s="405" t="s">
        <v>942</v>
      </c>
      <c r="B560" s="405" t="s">
        <v>945</v>
      </c>
      <c r="C560" s="402">
        <v>44237</v>
      </c>
      <c r="D560" s="403" t="s">
        <v>1028</v>
      </c>
      <c r="E560" s="404" t="s">
        <v>1148</v>
      </c>
      <c r="F560" s="405">
        <v>0.65</v>
      </c>
      <c r="G560" s="405">
        <v>0.65486111111111112</v>
      </c>
      <c r="H560" s="405" t="s">
        <v>983</v>
      </c>
      <c r="I560" s="416">
        <v>751</v>
      </c>
      <c r="J560" s="405" t="str">
        <f>IFERROR(VLOOKUP(I560,'Chart of accounts'!A:H,2,FALSE),"")</f>
        <v>50201010 00</v>
      </c>
      <c r="K560" s="405" t="str">
        <f>IFERROR(VLOOKUP(I560,'Chart of accounts'!A:H,3,FALSE),"")</f>
        <v>Traveling Expenses - Local</v>
      </c>
      <c r="L560" s="405" t="str">
        <f>IFERROR(VLOOKUP(I560,'Chart of accounts'!A:H,4,FALSE),"")</f>
        <v>50201010 00 - Traveling Expenses - Local (751)</v>
      </c>
      <c r="M560" s="408">
        <v>67</v>
      </c>
      <c r="N560" s="409" t="s">
        <v>822</v>
      </c>
      <c r="O560" s="409" t="s">
        <v>1145</v>
      </c>
      <c r="P560" s="409"/>
      <c r="Q560" s="65">
        <f>25000-25000</f>
        <v>0</v>
      </c>
      <c r="R560" s="63">
        <f t="shared" si="9"/>
        <v>0</v>
      </c>
      <c r="S560" s="63" t="str">
        <f>VLOOKUP(H560,'Fund Utilization Report'!$A$4:$U$1800,13,FALSE)</f>
        <v>MOOE</v>
      </c>
      <c r="T560" s="63" t="str">
        <f>VLOOKUP(H560,'Fund Utilization Report'!$A$4:$U$1800,2,FALSE)</f>
        <v>GAA</v>
      </c>
      <c r="U560" s="63" t="str">
        <f>VLOOKUP(H560,'Fund Utilization Report'!$A$4:$U$1800,3,FALSE)</f>
        <v>FY2021, RA11518</v>
      </c>
      <c r="V560" s="63" t="str">
        <f>VLOOKUP(H560,'Fund Utilization Report'!$A$4:$U$1800,4,FALSE)</f>
        <v>SSF</v>
      </c>
      <c r="W560" s="63" t="str">
        <f>VLOOKUP(H560,'Fund Utilization Report'!$A$4:$U$1800,5,FALSE)</f>
        <v>01101101</v>
      </c>
      <c r="X560" s="63" t="str">
        <f>VLOOKUP(H560,'Fund Utilization Report'!$A$4:$U$1800,6,FALSE)</f>
        <v>GOP</v>
      </c>
      <c r="Y560" s="417" t="str">
        <f>VLOOKUP(H560,'Fund Utilization Report'!$A$4:$U$1800,7,FALSE)</f>
        <v>MOOE</v>
      </c>
      <c r="Z560" s="418">
        <f>VLOOKUP(H560,'Fund Utilization Report'!$A$4:$U$1800,8,FALSE)</f>
        <v>5020000000</v>
      </c>
      <c r="AA560" s="63" t="str">
        <f>VLOOKUP(H560,'Fund Utilization Report'!$A$4:$U$1800,14,FALSE)</f>
        <v>330100200003000</v>
      </c>
      <c r="AB560" s="419" t="str">
        <f>VLOOKUP(H560,'Fund Utilization Report'!$A$4:$U$1800,15,FALSE)</f>
        <v>Shared Service Facilities Project</v>
      </c>
      <c r="AC560" s="406"/>
      <c r="AD560" s="403"/>
      <c r="AE560" s="406"/>
      <c r="AF560" s="406"/>
      <c r="AG560" s="407"/>
      <c r="AH560" s="407"/>
    </row>
    <row r="561" spans="1:34" s="411" customFormat="1">
      <c r="A561" s="405" t="s">
        <v>942</v>
      </c>
      <c r="B561" s="405" t="s">
        <v>945</v>
      </c>
      <c r="C561" s="402">
        <v>44237</v>
      </c>
      <c r="D561" s="403" t="s">
        <v>1028</v>
      </c>
      <c r="E561" s="404" t="s">
        <v>1148</v>
      </c>
      <c r="F561" s="405">
        <v>0.65</v>
      </c>
      <c r="G561" s="405">
        <v>0.65486111111111112</v>
      </c>
      <c r="H561" s="405" t="s">
        <v>983</v>
      </c>
      <c r="I561" s="416">
        <v>753</v>
      </c>
      <c r="J561" s="405" t="str">
        <f>IFERROR(VLOOKUP(I561,'Chart of accounts'!A:H,2,FALSE),"")</f>
        <v>50202010 00</v>
      </c>
      <c r="K561" s="405" t="str">
        <f>IFERROR(VLOOKUP(I561,'Chart of accounts'!A:H,3,FALSE),"")</f>
        <v>Training Expenses</v>
      </c>
      <c r="L561" s="405" t="str">
        <f>IFERROR(VLOOKUP(I561,'Chart of accounts'!A:H,4,FALSE),"")</f>
        <v>50202010 00 - Training Expenses (753)</v>
      </c>
      <c r="M561" s="408">
        <v>67</v>
      </c>
      <c r="N561" s="409" t="s">
        <v>822</v>
      </c>
      <c r="O561" s="409" t="s">
        <v>1145</v>
      </c>
      <c r="P561" s="409"/>
      <c r="Q561" s="65">
        <f>40000-40000</f>
        <v>0</v>
      </c>
      <c r="R561" s="63">
        <f t="shared" si="9"/>
        <v>0</v>
      </c>
      <c r="S561" s="63" t="str">
        <f>VLOOKUP(H561,'Fund Utilization Report'!$A$4:$U$1800,13,FALSE)</f>
        <v>MOOE</v>
      </c>
      <c r="T561" s="63" t="str">
        <f>VLOOKUP(H561,'Fund Utilization Report'!$A$4:$U$1800,2,FALSE)</f>
        <v>GAA</v>
      </c>
      <c r="U561" s="63" t="str">
        <f>VLOOKUP(H561,'Fund Utilization Report'!$A$4:$U$1800,3,FALSE)</f>
        <v>FY2021, RA11518</v>
      </c>
      <c r="V561" s="63" t="str">
        <f>VLOOKUP(H561,'Fund Utilization Report'!$A$4:$U$1800,4,FALSE)</f>
        <v>SSF</v>
      </c>
      <c r="W561" s="63" t="str">
        <f>VLOOKUP(H561,'Fund Utilization Report'!$A$4:$U$1800,5,FALSE)</f>
        <v>01101101</v>
      </c>
      <c r="X561" s="63" t="str">
        <f>VLOOKUP(H561,'Fund Utilization Report'!$A$4:$U$1800,6,FALSE)</f>
        <v>GOP</v>
      </c>
      <c r="Y561" s="417" t="str">
        <f>VLOOKUP(H561,'Fund Utilization Report'!$A$4:$U$1800,7,FALSE)</f>
        <v>MOOE</v>
      </c>
      <c r="Z561" s="418">
        <f>VLOOKUP(H561,'Fund Utilization Report'!$A$4:$U$1800,8,FALSE)</f>
        <v>5020000000</v>
      </c>
      <c r="AA561" s="63" t="str">
        <f>VLOOKUP(H561,'Fund Utilization Report'!$A$4:$U$1800,14,FALSE)</f>
        <v>330100200003000</v>
      </c>
      <c r="AB561" s="419" t="str">
        <f>VLOOKUP(H561,'Fund Utilization Report'!$A$4:$U$1800,15,FALSE)</f>
        <v>Shared Service Facilities Project</v>
      </c>
      <c r="AC561" s="406"/>
      <c r="AD561" s="403"/>
      <c r="AE561" s="406"/>
      <c r="AF561" s="406"/>
      <c r="AG561" s="407"/>
      <c r="AH561" s="407"/>
    </row>
    <row r="562" spans="1:34" s="411" customFormat="1">
      <c r="A562" s="405" t="s">
        <v>942</v>
      </c>
      <c r="B562" s="405" t="s">
        <v>945</v>
      </c>
      <c r="C562" s="402">
        <v>44237</v>
      </c>
      <c r="D562" s="403" t="s">
        <v>1028</v>
      </c>
      <c r="E562" s="404" t="s">
        <v>1148</v>
      </c>
      <c r="F562" s="405">
        <v>0.65</v>
      </c>
      <c r="G562" s="405">
        <v>0.65486111111111112</v>
      </c>
      <c r="H562" s="405" t="s">
        <v>983</v>
      </c>
      <c r="I562" s="416">
        <v>773</v>
      </c>
      <c r="J562" s="405" t="str">
        <f>IFERROR(VLOOKUP(I562,'Chart of accounts'!A:H,2,FALSE),"")</f>
        <v>50205020 01</v>
      </c>
      <c r="K562" s="405" t="str">
        <f>IFERROR(VLOOKUP(I562,'Chart of accounts'!A:H,3,FALSE),"")</f>
        <v xml:space="preserve">Telephone Expenses - Mobile </v>
      </c>
      <c r="L562" s="405" t="str">
        <f>IFERROR(VLOOKUP(I562,'Chart of accounts'!A:H,4,FALSE),"")</f>
        <v>50205020 01 - Telephone Expenses - Mobile  (773)</v>
      </c>
      <c r="M562" s="408">
        <v>67</v>
      </c>
      <c r="N562" s="409" t="s">
        <v>822</v>
      </c>
      <c r="O562" s="409" t="s">
        <v>1145</v>
      </c>
      <c r="P562" s="409"/>
      <c r="Q562" s="65">
        <f>5000-5000</f>
        <v>0</v>
      </c>
      <c r="R562" s="63">
        <f t="shared" si="9"/>
        <v>0</v>
      </c>
      <c r="S562" s="63" t="str">
        <f>VLOOKUP(H562,'Fund Utilization Report'!$A$4:$U$1800,13,FALSE)</f>
        <v>MOOE</v>
      </c>
      <c r="T562" s="63" t="str">
        <f>VLOOKUP(H562,'Fund Utilization Report'!$A$4:$U$1800,2,FALSE)</f>
        <v>GAA</v>
      </c>
      <c r="U562" s="63" t="str">
        <f>VLOOKUP(H562,'Fund Utilization Report'!$A$4:$U$1800,3,FALSE)</f>
        <v>FY2021, RA11518</v>
      </c>
      <c r="V562" s="63" t="str">
        <f>VLOOKUP(H562,'Fund Utilization Report'!$A$4:$U$1800,4,FALSE)</f>
        <v>SSF</v>
      </c>
      <c r="W562" s="63" t="str">
        <f>VLOOKUP(H562,'Fund Utilization Report'!$A$4:$U$1800,5,FALSE)</f>
        <v>01101101</v>
      </c>
      <c r="X562" s="63" t="str">
        <f>VLOOKUP(H562,'Fund Utilization Report'!$A$4:$U$1800,6,FALSE)</f>
        <v>GOP</v>
      </c>
      <c r="Y562" s="417" t="str">
        <f>VLOOKUP(H562,'Fund Utilization Report'!$A$4:$U$1800,7,FALSE)</f>
        <v>MOOE</v>
      </c>
      <c r="Z562" s="418">
        <f>VLOOKUP(H562,'Fund Utilization Report'!$A$4:$U$1800,8,FALSE)</f>
        <v>5020000000</v>
      </c>
      <c r="AA562" s="63" t="str">
        <f>VLOOKUP(H562,'Fund Utilization Report'!$A$4:$U$1800,14,FALSE)</f>
        <v>330100200003000</v>
      </c>
      <c r="AB562" s="419" t="str">
        <f>VLOOKUP(H562,'Fund Utilization Report'!$A$4:$U$1800,15,FALSE)</f>
        <v>Shared Service Facilities Project</v>
      </c>
      <c r="AC562" s="406"/>
      <c r="AD562" s="403"/>
      <c r="AE562" s="406"/>
      <c r="AF562" s="406"/>
      <c r="AG562" s="407"/>
      <c r="AH562" s="407"/>
    </row>
    <row r="563" spans="1:34" s="411" customFormat="1">
      <c r="A563" s="405" t="s">
        <v>942</v>
      </c>
      <c r="B563" s="405" t="s">
        <v>945</v>
      </c>
      <c r="C563" s="402">
        <v>44237</v>
      </c>
      <c r="D563" s="403" t="s">
        <v>1028</v>
      </c>
      <c r="E563" s="404" t="s">
        <v>1148</v>
      </c>
      <c r="F563" s="405">
        <v>0.65</v>
      </c>
      <c r="G563" s="405">
        <v>0.65486111111111112</v>
      </c>
      <c r="H563" s="405" t="s">
        <v>983</v>
      </c>
      <c r="I563" s="416">
        <v>799</v>
      </c>
      <c r="J563" s="405" t="str">
        <f>IFERROR(VLOOKUP(I563,'Chart of accounts'!A:H,2,FALSE),"")</f>
        <v>50211990 00</v>
      </c>
      <c r="K563" s="405" t="str">
        <f>IFERROR(VLOOKUP(I563,'Chart of accounts'!A:H,3,FALSE),"")</f>
        <v>Other Professional Services</v>
      </c>
      <c r="L563" s="405" t="str">
        <f>IFERROR(VLOOKUP(I563,'Chart of accounts'!A:H,4,FALSE),"")</f>
        <v>50211990 00 - Other Professional Services (799)</v>
      </c>
      <c r="M563" s="408">
        <v>67</v>
      </c>
      <c r="N563" s="409" t="s">
        <v>822</v>
      </c>
      <c r="O563" s="409" t="s">
        <v>1145</v>
      </c>
      <c r="P563" s="409"/>
      <c r="Q563" s="65">
        <f>1952.38-1952.38</f>
        <v>0</v>
      </c>
      <c r="R563" s="63">
        <f t="shared" si="9"/>
        <v>0</v>
      </c>
      <c r="S563" s="63" t="str">
        <f>VLOOKUP(H563,'Fund Utilization Report'!$A$4:$U$1800,13,FALSE)</f>
        <v>MOOE</v>
      </c>
      <c r="T563" s="63" t="str">
        <f>VLOOKUP(H563,'Fund Utilization Report'!$A$4:$U$1800,2,FALSE)</f>
        <v>GAA</v>
      </c>
      <c r="U563" s="63" t="str">
        <f>VLOOKUP(H563,'Fund Utilization Report'!$A$4:$U$1800,3,FALSE)</f>
        <v>FY2021, RA11518</v>
      </c>
      <c r="V563" s="63" t="str">
        <f>VLOOKUP(H563,'Fund Utilization Report'!$A$4:$U$1800,4,FALSE)</f>
        <v>SSF</v>
      </c>
      <c r="W563" s="63" t="str">
        <f>VLOOKUP(H563,'Fund Utilization Report'!$A$4:$U$1800,5,FALSE)</f>
        <v>01101101</v>
      </c>
      <c r="X563" s="63" t="str">
        <f>VLOOKUP(H563,'Fund Utilization Report'!$A$4:$U$1800,6,FALSE)</f>
        <v>GOP</v>
      </c>
      <c r="Y563" s="417" t="str">
        <f>VLOOKUP(H563,'Fund Utilization Report'!$A$4:$U$1800,7,FALSE)</f>
        <v>MOOE</v>
      </c>
      <c r="Z563" s="418">
        <f>VLOOKUP(H563,'Fund Utilization Report'!$A$4:$U$1800,8,FALSE)</f>
        <v>5020000000</v>
      </c>
      <c r="AA563" s="63" t="str">
        <f>VLOOKUP(H563,'Fund Utilization Report'!$A$4:$U$1800,14,FALSE)</f>
        <v>330100200003000</v>
      </c>
      <c r="AB563" s="419" t="str">
        <f>VLOOKUP(H563,'Fund Utilization Report'!$A$4:$U$1800,15,FALSE)</f>
        <v>Shared Service Facilities Project</v>
      </c>
      <c r="AC563" s="406"/>
      <c r="AD563" s="403"/>
      <c r="AE563" s="406"/>
      <c r="AF563" s="406"/>
      <c r="AG563" s="407"/>
      <c r="AH563" s="407"/>
    </row>
    <row r="564" spans="1:34" s="411" customFormat="1">
      <c r="A564" s="405" t="s">
        <v>942</v>
      </c>
      <c r="B564" s="405" t="s">
        <v>945</v>
      </c>
      <c r="C564" s="402">
        <v>44237</v>
      </c>
      <c r="D564" s="403" t="s">
        <v>1028</v>
      </c>
      <c r="E564" s="404" t="s">
        <v>1149</v>
      </c>
      <c r="F564" s="405">
        <v>0.65486111111111112</v>
      </c>
      <c r="G564" s="405">
        <v>0.65694444444444444</v>
      </c>
      <c r="H564" s="405" t="s">
        <v>983</v>
      </c>
      <c r="I564" s="416">
        <v>751</v>
      </c>
      <c r="J564" s="405" t="str">
        <f>IFERROR(VLOOKUP(I564,'Chart of accounts'!A:H,2,FALSE),"")</f>
        <v>50201010 00</v>
      </c>
      <c r="K564" s="405" t="str">
        <f>IFERROR(VLOOKUP(I564,'Chart of accounts'!A:H,3,FALSE),"")</f>
        <v>Traveling Expenses - Local</v>
      </c>
      <c r="L564" s="405" t="str">
        <f>IFERROR(VLOOKUP(I564,'Chart of accounts'!A:H,4,FALSE),"")</f>
        <v>50201010 00 - Traveling Expenses - Local (751)</v>
      </c>
      <c r="M564" s="408">
        <v>85</v>
      </c>
      <c r="N564" s="409" t="s">
        <v>823</v>
      </c>
      <c r="O564" s="409" t="s">
        <v>1145</v>
      </c>
      <c r="P564" s="409"/>
      <c r="Q564" s="65">
        <f>25000-25000</f>
        <v>0</v>
      </c>
      <c r="R564" s="63">
        <f t="shared" si="9"/>
        <v>0</v>
      </c>
      <c r="S564" s="63" t="str">
        <f>VLOOKUP(H564,'Fund Utilization Report'!$A$4:$U$1800,13,FALSE)</f>
        <v>MOOE</v>
      </c>
      <c r="T564" s="63" t="str">
        <f>VLOOKUP(H564,'Fund Utilization Report'!$A$4:$U$1800,2,FALSE)</f>
        <v>GAA</v>
      </c>
      <c r="U564" s="63" t="str">
        <f>VLOOKUP(H564,'Fund Utilization Report'!$A$4:$U$1800,3,FALSE)</f>
        <v>FY2021, RA11518</v>
      </c>
      <c r="V564" s="63" t="str">
        <f>VLOOKUP(H564,'Fund Utilization Report'!$A$4:$U$1800,4,FALSE)</f>
        <v>SSF</v>
      </c>
      <c r="W564" s="63" t="str">
        <f>VLOOKUP(H564,'Fund Utilization Report'!$A$4:$U$1800,5,FALSE)</f>
        <v>01101101</v>
      </c>
      <c r="X564" s="63" t="str">
        <f>VLOOKUP(H564,'Fund Utilization Report'!$A$4:$U$1800,6,FALSE)</f>
        <v>GOP</v>
      </c>
      <c r="Y564" s="417" t="str">
        <f>VLOOKUP(H564,'Fund Utilization Report'!$A$4:$U$1800,7,FALSE)</f>
        <v>MOOE</v>
      </c>
      <c r="Z564" s="418">
        <f>VLOOKUP(H564,'Fund Utilization Report'!$A$4:$U$1800,8,FALSE)</f>
        <v>5020000000</v>
      </c>
      <c r="AA564" s="63" t="str">
        <f>VLOOKUP(H564,'Fund Utilization Report'!$A$4:$U$1800,14,FALSE)</f>
        <v>330100200003000</v>
      </c>
      <c r="AB564" s="419" t="str">
        <f>VLOOKUP(H564,'Fund Utilization Report'!$A$4:$U$1800,15,FALSE)</f>
        <v>Shared Service Facilities Project</v>
      </c>
      <c r="AC564" s="406"/>
      <c r="AD564" s="403"/>
      <c r="AE564" s="406"/>
      <c r="AF564" s="406"/>
      <c r="AG564" s="407"/>
      <c r="AH564" s="407"/>
    </row>
    <row r="565" spans="1:34" s="411" customFormat="1">
      <c r="A565" s="405" t="s">
        <v>942</v>
      </c>
      <c r="B565" s="405" t="s">
        <v>945</v>
      </c>
      <c r="C565" s="402">
        <v>44237</v>
      </c>
      <c r="D565" s="403" t="s">
        <v>1028</v>
      </c>
      <c r="E565" s="404" t="s">
        <v>1149</v>
      </c>
      <c r="F565" s="405">
        <v>0.65486111111111112</v>
      </c>
      <c r="G565" s="405">
        <v>0.65694444444444444</v>
      </c>
      <c r="H565" s="405" t="s">
        <v>983</v>
      </c>
      <c r="I565" s="416">
        <v>753</v>
      </c>
      <c r="J565" s="405" t="str">
        <f>IFERROR(VLOOKUP(I565,'Chart of accounts'!A:H,2,FALSE),"")</f>
        <v>50202010 00</v>
      </c>
      <c r="K565" s="405" t="str">
        <f>IFERROR(VLOOKUP(I565,'Chart of accounts'!A:H,3,FALSE),"")</f>
        <v>Training Expenses</v>
      </c>
      <c r="L565" s="405" t="str">
        <f>IFERROR(VLOOKUP(I565,'Chart of accounts'!A:H,4,FALSE),"")</f>
        <v>50202010 00 - Training Expenses (753)</v>
      </c>
      <c r="M565" s="408">
        <v>85</v>
      </c>
      <c r="N565" s="409" t="s">
        <v>823</v>
      </c>
      <c r="O565" s="409" t="s">
        <v>1145</v>
      </c>
      <c r="P565" s="409"/>
      <c r="Q565" s="65">
        <f>40000-40000</f>
        <v>0</v>
      </c>
      <c r="R565" s="63">
        <f t="shared" si="9"/>
        <v>0</v>
      </c>
      <c r="S565" s="63" t="str">
        <f>VLOOKUP(H565,'Fund Utilization Report'!$A$4:$U$1800,13,FALSE)</f>
        <v>MOOE</v>
      </c>
      <c r="T565" s="63" t="str">
        <f>VLOOKUP(H565,'Fund Utilization Report'!$A$4:$U$1800,2,FALSE)</f>
        <v>GAA</v>
      </c>
      <c r="U565" s="63" t="str">
        <f>VLOOKUP(H565,'Fund Utilization Report'!$A$4:$U$1800,3,FALSE)</f>
        <v>FY2021, RA11518</v>
      </c>
      <c r="V565" s="63" t="str">
        <f>VLOOKUP(H565,'Fund Utilization Report'!$A$4:$U$1800,4,FALSE)</f>
        <v>SSF</v>
      </c>
      <c r="W565" s="63" t="str">
        <f>VLOOKUP(H565,'Fund Utilization Report'!$A$4:$U$1800,5,FALSE)</f>
        <v>01101101</v>
      </c>
      <c r="X565" s="63" t="str">
        <f>VLOOKUP(H565,'Fund Utilization Report'!$A$4:$U$1800,6,FALSE)</f>
        <v>GOP</v>
      </c>
      <c r="Y565" s="417" t="str">
        <f>VLOOKUP(H565,'Fund Utilization Report'!$A$4:$U$1800,7,FALSE)</f>
        <v>MOOE</v>
      </c>
      <c r="Z565" s="418">
        <f>VLOOKUP(H565,'Fund Utilization Report'!$A$4:$U$1800,8,FALSE)</f>
        <v>5020000000</v>
      </c>
      <c r="AA565" s="63" t="str">
        <f>VLOOKUP(H565,'Fund Utilization Report'!$A$4:$U$1800,14,FALSE)</f>
        <v>330100200003000</v>
      </c>
      <c r="AB565" s="419" t="str">
        <f>VLOOKUP(H565,'Fund Utilization Report'!$A$4:$U$1800,15,FALSE)</f>
        <v>Shared Service Facilities Project</v>
      </c>
      <c r="AC565" s="406"/>
      <c r="AD565" s="403"/>
      <c r="AE565" s="406"/>
      <c r="AF565" s="406"/>
      <c r="AG565" s="407"/>
      <c r="AH565" s="407"/>
    </row>
    <row r="566" spans="1:34" s="411" customFormat="1">
      <c r="A566" s="405" t="s">
        <v>942</v>
      </c>
      <c r="B566" s="405" t="s">
        <v>945</v>
      </c>
      <c r="C566" s="402">
        <v>44237</v>
      </c>
      <c r="D566" s="403" t="s">
        <v>1028</v>
      </c>
      <c r="E566" s="404" t="s">
        <v>1149</v>
      </c>
      <c r="F566" s="405">
        <v>0.65486111111111112</v>
      </c>
      <c r="G566" s="405">
        <v>0.65694444444444444</v>
      </c>
      <c r="H566" s="405" t="s">
        <v>983</v>
      </c>
      <c r="I566" s="416">
        <v>773</v>
      </c>
      <c r="J566" s="405" t="str">
        <f>IFERROR(VLOOKUP(I566,'Chart of accounts'!A:H,2,FALSE),"")</f>
        <v>50205020 01</v>
      </c>
      <c r="K566" s="405" t="str">
        <f>IFERROR(VLOOKUP(I566,'Chart of accounts'!A:H,3,FALSE),"")</f>
        <v xml:space="preserve">Telephone Expenses - Mobile </v>
      </c>
      <c r="L566" s="405" t="str">
        <f>IFERROR(VLOOKUP(I566,'Chart of accounts'!A:H,4,FALSE),"")</f>
        <v>50205020 01 - Telephone Expenses - Mobile  (773)</v>
      </c>
      <c r="M566" s="408">
        <v>85</v>
      </c>
      <c r="N566" s="409" t="s">
        <v>823</v>
      </c>
      <c r="O566" s="409" t="s">
        <v>1145</v>
      </c>
      <c r="P566" s="409"/>
      <c r="Q566" s="65">
        <f>5000-5000</f>
        <v>0</v>
      </c>
      <c r="R566" s="63">
        <f t="shared" si="9"/>
        <v>0</v>
      </c>
      <c r="S566" s="63" t="str">
        <f>VLOOKUP(H566,'Fund Utilization Report'!$A$4:$U$1800,13,FALSE)</f>
        <v>MOOE</v>
      </c>
      <c r="T566" s="63" t="str">
        <f>VLOOKUP(H566,'Fund Utilization Report'!$A$4:$U$1800,2,FALSE)</f>
        <v>GAA</v>
      </c>
      <c r="U566" s="63" t="str">
        <f>VLOOKUP(H566,'Fund Utilization Report'!$A$4:$U$1800,3,FALSE)</f>
        <v>FY2021, RA11518</v>
      </c>
      <c r="V566" s="63" t="str">
        <f>VLOOKUP(H566,'Fund Utilization Report'!$A$4:$U$1800,4,FALSE)</f>
        <v>SSF</v>
      </c>
      <c r="W566" s="63" t="str">
        <f>VLOOKUP(H566,'Fund Utilization Report'!$A$4:$U$1800,5,FALSE)</f>
        <v>01101101</v>
      </c>
      <c r="X566" s="63" t="str">
        <f>VLOOKUP(H566,'Fund Utilization Report'!$A$4:$U$1800,6,FALSE)</f>
        <v>GOP</v>
      </c>
      <c r="Y566" s="417" t="str">
        <f>VLOOKUP(H566,'Fund Utilization Report'!$A$4:$U$1800,7,FALSE)</f>
        <v>MOOE</v>
      </c>
      <c r="Z566" s="418">
        <f>VLOOKUP(H566,'Fund Utilization Report'!$A$4:$U$1800,8,FALSE)</f>
        <v>5020000000</v>
      </c>
      <c r="AA566" s="63" t="str">
        <f>VLOOKUP(H566,'Fund Utilization Report'!$A$4:$U$1800,14,FALSE)</f>
        <v>330100200003000</v>
      </c>
      <c r="AB566" s="419" t="str">
        <f>VLOOKUP(H566,'Fund Utilization Report'!$A$4:$U$1800,15,FALSE)</f>
        <v>Shared Service Facilities Project</v>
      </c>
      <c r="AC566" s="406"/>
      <c r="AD566" s="403"/>
      <c r="AE566" s="406"/>
      <c r="AF566" s="406"/>
      <c r="AG566" s="407"/>
      <c r="AH566" s="407"/>
    </row>
    <row r="567" spans="1:34" s="411" customFormat="1">
      <c r="A567" s="405" t="s">
        <v>942</v>
      </c>
      <c r="B567" s="405" t="s">
        <v>945</v>
      </c>
      <c r="C567" s="402">
        <v>44237</v>
      </c>
      <c r="D567" s="403" t="s">
        <v>1028</v>
      </c>
      <c r="E567" s="404" t="s">
        <v>1149</v>
      </c>
      <c r="F567" s="405">
        <v>0.65486111111111112</v>
      </c>
      <c r="G567" s="405">
        <v>0.65694444444444444</v>
      </c>
      <c r="H567" s="405" t="s">
        <v>983</v>
      </c>
      <c r="I567" s="416">
        <v>799</v>
      </c>
      <c r="J567" s="405" t="str">
        <f>IFERROR(VLOOKUP(I567,'Chart of accounts'!A:H,2,FALSE),"")</f>
        <v>50211990 00</v>
      </c>
      <c r="K567" s="405" t="str">
        <f>IFERROR(VLOOKUP(I567,'Chart of accounts'!A:H,3,FALSE),"")</f>
        <v>Other Professional Services</v>
      </c>
      <c r="L567" s="405" t="str">
        <f>IFERROR(VLOOKUP(I567,'Chart of accounts'!A:H,4,FALSE),"")</f>
        <v>50211990 00 - Other Professional Services (799)</v>
      </c>
      <c r="M567" s="408">
        <v>85</v>
      </c>
      <c r="N567" s="409" t="s">
        <v>823</v>
      </c>
      <c r="O567" s="409" t="s">
        <v>1145</v>
      </c>
      <c r="P567" s="409"/>
      <c r="Q567" s="65">
        <f>10335.71-10335.71</f>
        <v>0</v>
      </c>
      <c r="R567" s="63">
        <f t="shared" si="9"/>
        <v>0</v>
      </c>
      <c r="S567" s="63" t="str">
        <f>VLOOKUP(H567,'Fund Utilization Report'!$A$4:$U$1800,13,FALSE)</f>
        <v>MOOE</v>
      </c>
      <c r="T567" s="63" t="str">
        <f>VLOOKUP(H567,'Fund Utilization Report'!$A$4:$U$1800,2,FALSE)</f>
        <v>GAA</v>
      </c>
      <c r="U567" s="63" t="str">
        <f>VLOOKUP(H567,'Fund Utilization Report'!$A$4:$U$1800,3,FALSE)</f>
        <v>FY2021, RA11518</v>
      </c>
      <c r="V567" s="63" t="str">
        <f>VLOOKUP(H567,'Fund Utilization Report'!$A$4:$U$1800,4,FALSE)</f>
        <v>SSF</v>
      </c>
      <c r="W567" s="63" t="str">
        <f>VLOOKUP(H567,'Fund Utilization Report'!$A$4:$U$1800,5,FALSE)</f>
        <v>01101101</v>
      </c>
      <c r="X567" s="63" t="str">
        <f>VLOOKUP(H567,'Fund Utilization Report'!$A$4:$U$1800,6,FALSE)</f>
        <v>GOP</v>
      </c>
      <c r="Y567" s="417" t="str">
        <f>VLOOKUP(H567,'Fund Utilization Report'!$A$4:$U$1800,7,FALSE)</f>
        <v>MOOE</v>
      </c>
      <c r="Z567" s="418">
        <f>VLOOKUP(H567,'Fund Utilization Report'!$A$4:$U$1800,8,FALSE)</f>
        <v>5020000000</v>
      </c>
      <c r="AA567" s="63" t="str">
        <f>VLOOKUP(H567,'Fund Utilization Report'!$A$4:$U$1800,14,FALSE)</f>
        <v>330100200003000</v>
      </c>
      <c r="AB567" s="419" t="str">
        <f>VLOOKUP(H567,'Fund Utilization Report'!$A$4:$U$1800,15,FALSE)</f>
        <v>Shared Service Facilities Project</v>
      </c>
      <c r="AC567" s="406"/>
      <c r="AD567" s="403"/>
      <c r="AE567" s="406"/>
      <c r="AF567" s="406"/>
      <c r="AG567" s="407"/>
      <c r="AH567" s="407"/>
    </row>
    <row r="568" spans="1:34" s="411" customFormat="1" ht="27.6">
      <c r="A568" s="405" t="s">
        <v>942</v>
      </c>
      <c r="B568" s="405" t="s">
        <v>945</v>
      </c>
      <c r="C568" s="402">
        <v>44237</v>
      </c>
      <c r="D568" s="403" t="s">
        <v>1028</v>
      </c>
      <c r="E568" s="404" t="s">
        <v>1151</v>
      </c>
      <c r="F568" s="405">
        <v>0.66875000000000007</v>
      </c>
      <c r="G568" s="405">
        <v>0.67013888888888884</v>
      </c>
      <c r="H568" s="405" t="s">
        <v>986</v>
      </c>
      <c r="I568" s="416">
        <v>751</v>
      </c>
      <c r="J568" s="405" t="str">
        <f>IFERROR(VLOOKUP(I568,'Chart of accounts'!A:H,2,FALSE),"")</f>
        <v>50201010 00</v>
      </c>
      <c r="K568" s="405" t="str">
        <f>IFERROR(VLOOKUP(I568,'Chart of accounts'!A:H,3,FALSE),"")</f>
        <v>Traveling Expenses - Local</v>
      </c>
      <c r="L568" s="405" t="str">
        <f>IFERROR(VLOOKUP(I568,'Chart of accounts'!A:H,4,FALSE),"")</f>
        <v>50201010 00 - Traveling Expenses - Local (751)</v>
      </c>
      <c r="M568" s="408">
        <v>2</v>
      </c>
      <c r="N568" s="409" t="s">
        <v>818</v>
      </c>
      <c r="O568" s="409" t="s">
        <v>1150</v>
      </c>
      <c r="P568" s="409"/>
      <c r="Q568" s="65">
        <f>16700-16700</f>
        <v>0</v>
      </c>
      <c r="R568" s="63">
        <f t="shared" si="9"/>
        <v>0</v>
      </c>
      <c r="S568" s="63" t="str">
        <f>VLOOKUP(H568,'Fund Utilization Report'!$A$4:$U$1800,13,FALSE)</f>
        <v>MOOE</v>
      </c>
      <c r="T568" s="63" t="str">
        <f>VLOOKUP(H568,'Fund Utilization Report'!$A$4:$U$1800,2,FALSE)</f>
        <v>SAA37</v>
      </c>
      <c r="U568" s="63" t="str">
        <f>VLOOKUP(H568,'Fund Utilization Report'!$A$4:$U$1800,3,FALSE)</f>
        <v>2021-01-0037</v>
      </c>
      <c r="V568" s="63" t="str">
        <f>VLOOKUP(H568,'Fund Utilization Report'!$A$4:$U$1800,4,FALSE)</f>
        <v>CARP</v>
      </c>
      <c r="W568" s="63" t="str">
        <f>VLOOKUP(H568,'Fund Utilization Report'!$A$4:$U$1800,5,FALSE)</f>
        <v>01101101</v>
      </c>
      <c r="X568" s="63" t="str">
        <f>VLOOKUP(H568,'Fund Utilization Report'!$A$4:$U$1800,6,FALSE)</f>
        <v>GOP</v>
      </c>
      <c r="Y568" s="417">
        <f>VLOOKUP(H568,'Fund Utilization Report'!$A$4:$U$1800,7,FALSE)</f>
        <v>751</v>
      </c>
      <c r="Z568" s="418" t="str">
        <f>VLOOKUP(H568,'Fund Utilization Report'!$A$4:$U$1800,8,FALSE)</f>
        <v>50201010 00</v>
      </c>
      <c r="AA568" s="63" t="str">
        <f>VLOOKUP(H568,'Fund Utilization Report'!$A$4:$U$1800,14,FALSE)</f>
        <v>330100100003000</v>
      </c>
      <c r="AB568" s="419" t="str">
        <f>VLOOKUP(H568,'Fund Utilization Report'!$A$4:$U$1800,15,FALSE)</f>
        <v>MSME Development Program : Program Beneficiaries Development Component of the Comprehensive Agrarian Reform Program</v>
      </c>
      <c r="AC568" s="406"/>
      <c r="AD568" s="403"/>
      <c r="AE568" s="406"/>
      <c r="AF568" s="406"/>
      <c r="AG568" s="407"/>
      <c r="AH568" s="407"/>
    </row>
    <row r="569" spans="1:34" s="411" customFormat="1" ht="27.6">
      <c r="A569" s="405" t="s">
        <v>942</v>
      </c>
      <c r="B569" s="405" t="s">
        <v>945</v>
      </c>
      <c r="C569" s="402">
        <v>44237</v>
      </c>
      <c r="D569" s="403" t="s">
        <v>1028</v>
      </c>
      <c r="E569" s="404" t="s">
        <v>1151</v>
      </c>
      <c r="F569" s="405">
        <v>0.66875000000000007</v>
      </c>
      <c r="G569" s="405">
        <v>0.67013888888888884</v>
      </c>
      <c r="H569" s="405" t="s">
        <v>987</v>
      </c>
      <c r="I569" s="416">
        <v>753</v>
      </c>
      <c r="J569" s="405" t="str">
        <f>IFERROR(VLOOKUP(I569,'Chart of accounts'!A:H,2,FALSE),"")</f>
        <v>50202010 00</v>
      </c>
      <c r="K569" s="405" t="str">
        <f>IFERROR(VLOOKUP(I569,'Chart of accounts'!A:H,3,FALSE),"")</f>
        <v>Training Expenses</v>
      </c>
      <c r="L569" s="405" t="str">
        <f>IFERROR(VLOOKUP(I569,'Chart of accounts'!A:H,4,FALSE),"")</f>
        <v>50202010 00 - Training Expenses (753)</v>
      </c>
      <c r="M569" s="408">
        <v>2</v>
      </c>
      <c r="N569" s="409" t="s">
        <v>818</v>
      </c>
      <c r="O569" s="409" t="s">
        <v>1150</v>
      </c>
      <c r="P569" s="409"/>
      <c r="Q569" s="65">
        <f>73434-73434</f>
        <v>0</v>
      </c>
      <c r="R569" s="63">
        <f t="shared" si="9"/>
        <v>0</v>
      </c>
      <c r="S569" s="63" t="str">
        <f>VLOOKUP(H569,'Fund Utilization Report'!$A$4:$U$1800,13,FALSE)</f>
        <v>MOOE</v>
      </c>
      <c r="T569" s="63" t="str">
        <f>VLOOKUP(H569,'Fund Utilization Report'!$A$4:$U$1800,2,FALSE)</f>
        <v>SAA37</v>
      </c>
      <c r="U569" s="63" t="str">
        <f>VLOOKUP(H569,'Fund Utilization Report'!$A$4:$U$1800,3,FALSE)</f>
        <v>2021-01-0037</v>
      </c>
      <c r="V569" s="63" t="str">
        <f>VLOOKUP(H569,'Fund Utilization Report'!$A$4:$U$1800,4,FALSE)</f>
        <v>CARP</v>
      </c>
      <c r="W569" s="63" t="str">
        <f>VLOOKUP(H569,'Fund Utilization Report'!$A$4:$U$1800,5,FALSE)</f>
        <v>01101101</v>
      </c>
      <c r="X569" s="63" t="str">
        <f>VLOOKUP(H569,'Fund Utilization Report'!$A$4:$U$1800,6,FALSE)</f>
        <v>GOP</v>
      </c>
      <c r="Y569" s="417">
        <f>VLOOKUP(H569,'Fund Utilization Report'!$A$4:$U$1800,7,FALSE)</f>
        <v>753</v>
      </c>
      <c r="Z569" s="418" t="str">
        <f>VLOOKUP(H569,'Fund Utilization Report'!$A$4:$U$1800,8,FALSE)</f>
        <v>50202010 00</v>
      </c>
      <c r="AA569" s="63" t="str">
        <f>VLOOKUP(H569,'Fund Utilization Report'!$A$4:$U$1800,14,FALSE)</f>
        <v>330100100003000</v>
      </c>
      <c r="AB569" s="419" t="str">
        <f>VLOOKUP(H569,'Fund Utilization Report'!$A$4:$U$1800,15,FALSE)</f>
        <v>MSME Development Program : Program Beneficiaries Development Component of the Comprehensive Agrarian Reform Program</v>
      </c>
      <c r="AC569" s="406"/>
      <c r="AD569" s="403"/>
      <c r="AE569" s="406"/>
      <c r="AF569" s="406"/>
      <c r="AG569" s="407"/>
      <c r="AH569" s="407"/>
    </row>
    <row r="570" spans="1:34" s="411" customFormat="1" ht="27.6">
      <c r="A570" s="405" t="s">
        <v>942</v>
      </c>
      <c r="B570" s="405" t="s">
        <v>945</v>
      </c>
      <c r="C570" s="402">
        <v>44237</v>
      </c>
      <c r="D570" s="403" t="s">
        <v>1028</v>
      </c>
      <c r="E570" s="404" t="s">
        <v>1151</v>
      </c>
      <c r="F570" s="405">
        <v>0.66875000000000007</v>
      </c>
      <c r="G570" s="405">
        <v>0.67013888888888884</v>
      </c>
      <c r="H570" s="405" t="s">
        <v>988</v>
      </c>
      <c r="I570" s="416">
        <v>755</v>
      </c>
      <c r="J570" s="405" t="str">
        <f>IFERROR(VLOOKUP(I570,'Chart of accounts'!A:H,2,FALSE),"")</f>
        <v>50203010 00</v>
      </c>
      <c r="K570" s="405" t="str">
        <f>IFERROR(VLOOKUP(I570,'Chart of accounts'!A:H,3,FALSE),"")</f>
        <v>Office Supplies Expenses</v>
      </c>
      <c r="L570" s="405" t="str">
        <f>IFERROR(VLOOKUP(I570,'Chart of accounts'!A:H,4,FALSE),"")</f>
        <v>50203010 00 - Office Supplies Expenses (755)</v>
      </c>
      <c r="M570" s="408">
        <v>2</v>
      </c>
      <c r="N570" s="409" t="s">
        <v>818</v>
      </c>
      <c r="O570" s="409" t="s">
        <v>1150</v>
      </c>
      <c r="P570" s="409"/>
      <c r="Q570" s="65">
        <f>2500-2500</f>
        <v>0</v>
      </c>
      <c r="R570" s="63">
        <f t="shared" si="9"/>
        <v>0</v>
      </c>
      <c r="S570" s="63" t="str">
        <f>VLOOKUP(H570,'Fund Utilization Report'!$A$4:$U$1800,13,FALSE)</f>
        <v>MOOE</v>
      </c>
      <c r="T570" s="63" t="str">
        <f>VLOOKUP(H570,'Fund Utilization Report'!$A$4:$U$1800,2,FALSE)</f>
        <v>SAA37</v>
      </c>
      <c r="U570" s="63" t="str">
        <f>VLOOKUP(H570,'Fund Utilization Report'!$A$4:$U$1800,3,FALSE)</f>
        <v>2021-01-0037</v>
      </c>
      <c r="V570" s="63" t="str">
        <f>VLOOKUP(H570,'Fund Utilization Report'!$A$4:$U$1800,4,FALSE)</f>
        <v>CARP</v>
      </c>
      <c r="W570" s="63" t="str">
        <f>VLOOKUP(H570,'Fund Utilization Report'!$A$4:$U$1800,5,FALSE)</f>
        <v>01101101</v>
      </c>
      <c r="X570" s="63" t="str">
        <f>VLOOKUP(H570,'Fund Utilization Report'!$A$4:$U$1800,6,FALSE)</f>
        <v>GOP</v>
      </c>
      <c r="Y570" s="417">
        <f>VLOOKUP(H570,'Fund Utilization Report'!$A$4:$U$1800,7,FALSE)</f>
        <v>755</v>
      </c>
      <c r="Z570" s="418" t="str">
        <f>VLOOKUP(H570,'Fund Utilization Report'!$A$4:$U$1800,8,FALSE)</f>
        <v>50203010 00</v>
      </c>
      <c r="AA570" s="63" t="str">
        <f>VLOOKUP(H570,'Fund Utilization Report'!$A$4:$U$1800,14,FALSE)</f>
        <v>330100100003000</v>
      </c>
      <c r="AB570" s="419" t="str">
        <f>VLOOKUP(H570,'Fund Utilization Report'!$A$4:$U$1800,15,FALSE)</f>
        <v>MSME Development Program : Program Beneficiaries Development Component of the Comprehensive Agrarian Reform Program</v>
      </c>
      <c r="AC570" s="406"/>
      <c r="AD570" s="403"/>
      <c r="AE570" s="406"/>
      <c r="AF570" s="406"/>
      <c r="AG570" s="407"/>
      <c r="AH570" s="407"/>
    </row>
    <row r="571" spans="1:34" s="411" customFormat="1" ht="27.6">
      <c r="A571" s="405" t="s">
        <v>942</v>
      </c>
      <c r="B571" s="405" t="s">
        <v>945</v>
      </c>
      <c r="C571" s="402">
        <v>44237</v>
      </c>
      <c r="D571" s="403" t="s">
        <v>1028</v>
      </c>
      <c r="E571" s="404" t="s">
        <v>1151</v>
      </c>
      <c r="F571" s="405">
        <v>0.66875000000000007</v>
      </c>
      <c r="G571" s="405">
        <v>0.67013888888888884</v>
      </c>
      <c r="H571" s="405" t="s">
        <v>991</v>
      </c>
      <c r="I571" s="416">
        <v>773</v>
      </c>
      <c r="J571" s="405" t="str">
        <f>IFERROR(VLOOKUP(I571,'Chart of accounts'!A:H,2,FALSE),"")</f>
        <v>50205020 01</v>
      </c>
      <c r="K571" s="405" t="str">
        <f>IFERROR(VLOOKUP(I571,'Chart of accounts'!A:H,3,FALSE),"")</f>
        <v xml:space="preserve">Telephone Expenses - Mobile </v>
      </c>
      <c r="L571" s="405" t="str">
        <f>IFERROR(VLOOKUP(I571,'Chart of accounts'!A:H,4,FALSE),"")</f>
        <v>50205020 01 - Telephone Expenses - Mobile  (773)</v>
      </c>
      <c r="M571" s="408">
        <v>2</v>
      </c>
      <c r="N571" s="409" t="s">
        <v>818</v>
      </c>
      <c r="O571" s="409" t="s">
        <v>1150</v>
      </c>
      <c r="P571" s="409"/>
      <c r="Q571" s="65">
        <f>1500-1500</f>
        <v>0</v>
      </c>
      <c r="R571" s="63">
        <f t="shared" si="9"/>
        <v>0</v>
      </c>
      <c r="S571" s="63" t="str">
        <f>VLOOKUP(H571,'Fund Utilization Report'!$A$4:$U$1800,13,FALSE)</f>
        <v>MOOE</v>
      </c>
      <c r="T571" s="63" t="str">
        <f>VLOOKUP(H571,'Fund Utilization Report'!$A$4:$U$1800,2,FALSE)</f>
        <v>SAA37</v>
      </c>
      <c r="U571" s="63" t="str">
        <f>VLOOKUP(H571,'Fund Utilization Report'!$A$4:$U$1800,3,FALSE)</f>
        <v>2021-01-0037</v>
      </c>
      <c r="V571" s="63" t="str">
        <f>VLOOKUP(H571,'Fund Utilization Report'!$A$4:$U$1800,4,FALSE)</f>
        <v>CARP</v>
      </c>
      <c r="W571" s="63" t="str">
        <f>VLOOKUP(H571,'Fund Utilization Report'!$A$4:$U$1800,5,FALSE)</f>
        <v>01101101</v>
      </c>
      <c r="X571" s="63" t="str">
        <f>VLOOKUP(H571,'Fund Utilization Report'!$A$4:$U$1800,6,FALSE)</f>
        <v>GOP</v>
      </c>
      <c r="Y571" s="417">
        <f>VLOOKUP(H571,'Fund Utilization Report'!$A$4:$U$1800,7,FALSE)</f>
        <v>773</v>
      </c>
      <c r="Z571" s="418" t="str">
        <f>VLOOKUP(H571,'Fund Utilization Report'!$A$4:$U$1800,8,FALSE)</f>
        <v>50205020 01</v>
      </c>
      <c r="AA571" s="63" t="str">
        <f>VLOOKUP(H571,'Fund Utilization Report'!$A$4:$U$1800,14,FALSE)</f>
        <v>330100100003000</v>
      </c>
      <c r="AB571" s="419" t="str">
        <f>VLOOKUP(H571,'Fund Utilization Report'!$A$4:$U$1800,15,FALSE)</f>
        <v>MSME Development Program : Program Beneficiaries Development Component of the Comprehensive Agrarian Reform Program</v>
      </c>
      <c r="AC571" s="406"/>
      <c r="AD571" s="403"/>
      <c r="AE571" s="406"/>
      <c r="AF571" s="406"/>
      <c r="AG571" s="407"/>
      <c r="AH571" s="407"/>
    </row>
    <row r="572" spans="1:34" s="411" customFormat="1" ht="27.6">
      <c r="A572" s="405" t="s">
        <v>942</v>
      </c>
      <c r="B572" s="405" t="s">
        <v>945</v>
      </c>
      <c r="C572" s="402">
        <v>44237</v>
      </c>
      <c r="D572" s="403" t="s">
        <v>1028</v>
      </c>
      <c r="E572" s="404" t="s">
        <v>1151</v>
      </c>
      <c r="F572" s="405">
        <v>0.66875000000000007</v>
      </c>
      <c r="G572" s="405">
        <v>0.67013888888888884</v>
      </c>
      <c r="H572" s="405" t="s">
        <v>993</v>
      </c>
      <c r="I572" s="416">
        <v>799</v>
      </c>
      <c r="J572" s="405" t="str">
        <f>IFERROR(VLOOKUP(I572,'Chart of accounts'!A:H,2,FALSE),"")</f>
        <v>50211990 00</v>
      </c>
      <c r="K572" s="405" t="str">
        <f>IFERROR(VLOOKUP(I572,'Chart of accounts'!A:H,3,FALSE),"")</f>
        <v>Other Professional Services</v>
      </c>
      <c r="L572" s="405" t="str">
        <f>IFERROR(VLOOKUP(I572,'Chart of accounts'!A:H,4,FALSE),"")</f>
        <v>50211990 00 - Other Professional Services (799)</v>
      </c>
      <c r="M572" s="408">
        <v>2</v>
      </c>
      <c r="N572" s="409" t="s">
        <v>818</v>
      </c>
      <c r="O572" s="409" t="s">
        <v>1150</v>
      </c>
      <c r="P572" s="409"/>
      <c r="Q572" s="65">
        <f>24500-24500</f>
        <v>0</v>
      </c>
      <c r="R572" s="63">
        <f t="shared" si="9"/>
        <v>0</v>
      </c>
      <c r="S572" s="63" t="str">
        <f>VLOOKUP(H572,'Fund Utilization Report'!$A$4:$U$1800,13,FALSE)</f>
        <v>MOOE</v>
      </c>
      <c r="T572" s="63" t="str">
        <f>VLOOKUP(H572,'Fund Utilization Report'!$A$4:$U$1800,2,FALSE)</f>
        <v>SAA37</v>
      </c>
      <c r="U572" s="63" t="str">
        <f>VLOOKUP(H572,'Fund Utilization Report'!$A$4:$U$1800,3,FALSE)</f>
        <v>2021-01-0037</v>
      </c>
      <c r="V572" s="63" t="str">
        <f>VLOOKUP(H572,'Fund Utilization Report'!$A$4:$U$1800,4,FALSE)</f>
        <v>CARP</v>
      </c>
      <c r="W572" s="63" t="str">
        <f>VLOOKUP(H572,'Fund Utilization Report'!$A$4:$U$1800,5,FALSE)</f>
        <v>01101101</v>
      </c>
      <c r="X572" s="63" t="str">
        <f>VLOOKUP(H572,'Fund Utilization Report'!$A$4:$U$1800,6,FALSE)</f>
        <v>GOP</v>
      </c>
      <c r="Y572" s="417">
        <f>VLOOKUP(H572,'Fund Utilization Report'!$A$4:$U$1800,7,FALSE)</f>
        <v>799</v>
      </c>
      <c r="Z572" s="418" t="str">
        <f>VLOOKUP(H572,'Fund Utilization Report'!$A$4:$U$1800,8,FALSE)</f>
        <v>50211990 00</v>
      </c>
      <c r="AA572" s="63" t="str">
        <f>VLOOKUP(H572,'Fund Utilization Report'!$A$4:$U$1800,14,FALSE)</f>
        <v>330100100003000</v>
      </c>
      <c r="AB572" s="419" t="str">
        <f>VLOOKUP(H572,'Fund Utilization Report'!$A$4:$U$1800,15,FALSE)</f>
        <v>MSME Development Program : Program Beneficiaries Development Component of the Comprehensive Agrarian Reform Program</v>
      </c>
      <c r="AC572" s="406"/>
      <c r="AD572" s="403"/>
      <c r="AE572" s="406"/>
      <c r="AF572" s="406"/>
      <c r="AG572" s="407"/>
      <c r="AH572" s="407"/>
    </row>
    <row r="573" spans="1:34" s="411" customFormat="1" ht="27.6">
      <c r="A573" s="405" t="s">
        <v>942</v>
      </c>
      <c r="B573" s="405" t="s">
        <v>945</v>
      </c>
      <c r="C573" s="402">
        <v>44237</v>
      </c>
      <c r="D573" s="403" t="s">
        <v>1028</v>
      </c>
      <c r="E573" s="404" t="s">
        <v>1151</v>
      </c>
      <c r="F573" s="405">
        <v>0.66875000000000007</v>
      </c>
      <c r="G573" s="405">
        <v>0.67013888888888884</v>
      </c>
      <c r="H573" s="405" t="s">
        <v>994</v>
      </c>
      <c r="I573" s="416">
        <v>795</v>
      </c>
      <c r="J573" s="405" t="str">
        <f>IFERROR(VLOOKUP(I573,'Chart of accounts'!A:H,2,FALSE),"")</f>
        <v>50212990 00</v>
      </c>
      <c r="K573" s="405" t="str">
        <f>IFERROR(VLOOKUP(I573,'Chart of accounts'!A:H,3,FALSE),"")</f>
        <v>Other General Services</v>
      </c>
      <c r="L573" s="405" t="str">
        <f>IFERROR(VLOOKUP(I573,'Chart of accounts'!A:H,4,FALSE),"")</f>
        <v>50212990 00 - Other General Services (795)</v>
      </c>
      <c r="M573" s="408">
        <v>2</v>
      </c>
      <c r="N573" s="409" t="s">
        <v>818</v>
      </c>
      <c r="O573" s="409" t="s">
        <v>1150</v>
      </c>
      <c r="P573" s="409"/>
      <c r="Q573" s="65">
        <f>1000-1000</f>
        <v>0</v>
      </c>
      <c r="R573" s="63">
        <f t="shared" si="9"/>
        <v>0</v>
      </c>
      <c r="S573" s="63" t="str">
        <f>VLOOKUP(H573,'Fund Utilization Report'!$A$4:$U$1800,13,FALSE)</f>
        <v>MOOE</v>
      </c>
      <c r="T573" s="63" t="str">
        <f>VLOOKUP(H573,'Fund Utilization Report'!$A$4:$U$1800,2,FALSE)</f>
        <v>SAA37</v>
      </c>
      <c r="U573" s="63" t="str">
        <f>VLOOKUP(H573,'Fund Utilization Report'!$A$4:$U$1800,3,FALSE)</f>
        <v>2021-01-0037</v>
      </c>
      <c r="V573" s="63" t="str">
        <f>VLOOKUP(H573,'Fund Utilization Report'!$A$4:$U$1800,4,FALSE)</f>
        <v>CARP</v>
      </c>
      <c r="W573" s="63" t="str">
        <f>VLOOKUP(H573,'Fund Utilization Report'!$A$4:$U$1800,5,FALSE)</f>
        <v>01101101</v>
      </c>
      <c r="X573" s="63" t="str">
        <f>VLOOKUP(H573,'Fund Utilization Report'!$A$4:$U$1800,6,FALSE)</f>
        <v>GOP</v>
      </c>
      <c r="Y573" s="417">
        <f>VLOOKUP(H573,'Fund Utilization Report'!$A$4:$U$1800,7,FALSE)</f>
        <v>795</v>
      </c>
      <c r="Z573" s="418" t="str">
        <f>VLOOKUP(H573,'Fund Utilization Report'!$A$4:$U$1800,8,FALSE)</f>
        <v>50212990 00</v>
      </c>
      <c r="AA573" s="63" t="str">
        <f>VLOOKUP(H573,'Fund Utilization Report'!$A$4:$U$1800,14,FALSE)</f>
        <v>330100100003000</v>
      </c>
      <c r="AB573" s="419" t="str">
        <f>VLOOKUP(H573,'Fund Utilization Report'!$A$4:$U$1800,15,FALSE)</f>
        <v>MSME Development Program : Program Beneficiaries Development Component of the Comprehensive Agrarian Reform Program</v>
      </c>
      <c r="AC573" s="406"/>
      <c r="AD573" s="403"/>
      <c r="AE573" s="406"/>
      <c r="AF573" s="406"/>
      <c r="AG573" s="407"/>
      <c r="AH573" s="407"/>
    </row>
    <row r="574" spans="1:34" s="32" customFormat="1" ht="27.6">
      <c r="A574" s="338" t="s">
        <v>942</v>
      </c>
      <c r="B574" s="338" t="s">
        <v>945</v>
      </c>
      <c r="C574" s="358">
        <v>44237</v>
      </c>
      <c r="D574" s="351" t="s">
        <v>1028</v>
      </c>
      <c r="E574" s="352" t="s">
        <v>1152</v>
      </c>
      <c r="F574" s="338">
        <v>0.67013888888888884</v>
      </c>
      <c r="G574" s="338">
        <v>0.67083333333333339</v>
      </c>
      <c r="H574" s="338" t="s">
        <v>986</v>
      </c>
      <c r="I574" s="353">
        <v>751</v>
      </c>
      <c r="J574" s="338" t="str">
        <f>IFERROR(VLOOKUP(I574,'Chart of accounts'!A:H,2,FALSE),"")</f>
        <v>50201010 00</v>
      </c>
      <c r="K574" s="338" t="str">
        <f>IFERROR(VLOOKUP(I574,'Chart of accounts'!A:H,3,FALSE),"")</f>
        <v>Traveling Expenses - Local</v>
      </c>
      <c r="L574" s="338" t="str">
        <f>IFERROR(VLOOKUP(I574,'Chart of accounts'!A:H,4,FALSE),"")</f>
        <v>50201010 00 - Traveling Expenses - Local (751)</v>
      </c>
      <c r="M574" s="361">
        <v>3</v>
      </c>
      <c r="N574" s="355" t="s">
        <v>820</v>
      </c>
      <c r="O574" s="355" t="s">
        <v>1150</v>
      </c>
      <c r="P574" s="355"/>
      <c r="Q574" s="363">
        <v>8800</v>
      </c>
      <c r="R574" s="319">
        <f t="shared" si="9"/>
        <v>-8800</v>
      </c>
      <c r="S574" s="319" t="str">
        <f>VLOOKUP(H574,'Fund Utilization Report'!$A$4:$U$1800,13,FALSE)</f>
        <v>MOOE</v>
      </c>
      <c r="T574" s="319" t="str">
        <f>VLOOKUP(H574,'Fund Utilization Report'!$A$4:$U$1800,2,FALSE)</f>
        <v>SAA37</v>
      </c>
      <c r="U574" s="319" t="str">
        <f>VLOOKUP(H574,'Fund Utilization Report'!$A$4:$U$1800,3,FALSE)</f>
        <v>2021-01-0037</v>
      </c>
      <c r="V574" s="319" t="str">
        <f>VLOOKUP(H574,'Fund Utilization Report'!$A$4:$U$1800,4,FALSE)</f>
        <v>CARP</v>
      </c>
      <c r="W574" s="319" t="str">
        <f>VLOOKUP(H574,'Fund Utilization Report'!$A$4:$U$1800,5,FALSE)</f>
        <v>01101101</v>
      </c>
      <c r="X574" s="319" t="str">
        <f>VLOOKUP(H574,'Fund Utilization Report'!$A$4:$U$1800,6,FALSE)</f>
        <v>GOP</v>
      </c>
      <c r="Y574" s="320">
        <f>VLOOKUP(H574,'Fund Utilization Report'!$A$4:$U$1800,7,FALSE)</f>
        <v>751</v>
      </c>
      <c r="Z574" s="321" t="str">
        <f>VLOOKUP(H574,'Fund Utilization Report'!$A$4:$U$1800,8,FALSE)</f>
        <v>50201010 00</v>
      </c>
      <c r="AA574" s="319" t="str">
        <f>VLOOKUP(H574,'Fund Utilization Report'!$A$4:$U$1800,14,FALSE)</f>
        <v>330100100003000</v>
      </c>
      <c r="AB574" s="349" t="str">
        <f>VLOOKUP(H574,'Fund Utilization Report'!$A$4:$U$1800,15,FALSE)</f>
        <v>MSME Development Program : Program Beneficiaries Development Component of the Comprehensive Agrarian Reform Program</v>
      </c>
      <c r="AC574" s="39"/>
      <c r="AD574" s="34"/>
      <c r="AE574" s="39"/>
      <c r="AF574" s="51"/>
      <c r="AG574" s="40"/>
      <c r="AH574" s="40"/>
    </row>
    <row r="575" spans="1:34" s="32" customFormat="1" ht="27.6">
      <c r="A575" s="338" t="s">
        <v>942</v>
      </c>
      <c r="B575" s="338" t="s">
        <v>945</v>
      </c>
      <c r="C575" s="358">
        <v>44237</v>
      </c>
      <c r="D575" s="351" t="s">
        <v>1028</v>
      </c>
      <c r="E575" s="352" t="s">
        <v>1152</v>
      </c>
      <c r="F575" s="338">
        <v>0.67013888888888884</v>
      </c>
      <c r="G575" s="338">
        <v>0.67083333333333339</v>
      </c>
      <c r="H575" s="338" t="s">
        <v>987</v>
      </c>
      <c r="I575" s="353">
        <v>753</v>
      </c>
      <c r="J575" s="338" t="str">
        <f>IFERROR(VLOOKUP(I575,'Chart of accounts'!A:H,2,FALSE),"")</f>
        <v>50202010 00</v>
      </c>
      <c r="K575" s="338" t="str">
        <f>IFERROR(VLOOKUP(I575,'Chart of accounts'!A:H,3,FALSE),"")</f>
        <v>Training Expenses</v>
      </c>
      <c r="L575" s="338" t="str">
        <f>IFERROR(VLOOKUP(I575,'Chart of accounts'!A:H,4,FALSE),"")</f>
        <v>50202010 00 - Training Expenses (753)</v>
      </c>
      <c r="M575" s="361">
        <v>3</v>
      </c>
      <c r="N575" s="355" t="s">
        <v>820</v>
      </c>
      <c r="O575" s="355" t="s">
        <v>1150</v>
      </c>
      <c r="P575" s="355"/>
      <c r="Q575" s="363">
        <v>5000</v>
      </c>
      <c r="R575" s="319">
        <f t="shared" si="9"/>
        <v>-5000</v>
      </c>
      <c r="S575" s="319" t="str">
        <f>VLOOKUP(H575,'Fund Utilization Report'!$A$4:$U$1800,13,FALSE)</f>
        <v>MOOE</v>
      </c>
      <c r="T575" s="319" t="str">
        <f>VLOOKUP(H575,'Fund Utilization Report'!$A$4:$U$1800,2,FALSE)</f>
        <v>SAA37</v>
      </c>
      <c r="U575" s="319" t="str">
        <f>VLOOKUP(H575,'Fund Utilization Report'!$A$4:$U$1800,3,FALSE)</f>
        <v>2021-01-0037</v>
      </c>
      <c r="V575" s="319" t="str">
        <f>VLOOKUP(H575,'Fund Utilization Report'!$A$4:$U$1800,4,FALSE)</f>
        <v>CARP</v>
      </c>
      <c r="W575" s="319" t="str">
        <f>VLOOKUP(H575,'Fund Utilization Report'!$A$4:$U$1800,5,FALSE)</f>
        <v>01101101</v>
      </c>
      <c r="X575" s="319" t="str">
        <f>VLOOKUP(H575,'Fund Utilization Report'!$A$4:$U$1800,6,FALSE)</f>
        <v>GOP</v>
      </c>
      <c r="Y575" s="320">
        <f>VLOOKUP(H575,'Fund Utilization Report'!$A$4:$U$1800,7,FALSE)</f>
        <v>753</v>
      </c>
      <c r="Z575" s="321" t="str">
        <f>VLOOKUP(H575,'Fund Utilization Report'!$A$4:$U$1800,8,FALSE)</f>
        <v>50202010 00</v>
      </c>
      <c r="AA575" s="319" t="str">
        <f>VLOOKUP(H575,'Fund Utilization Report'!$A$4:$U$1800,14,FALSE)</f>
        <v>330100100003000</v>
      </c>
      <c r="AB575" s="349" t="str">
        <f>VLOOKUP(H575,'Fund Utilization Report'!$A$4:$U$1800,15,FALSE)</f>
        <v>MSME Development Program : Program Beneficiaries Development Component of the Comprehensive Agrarian Reform Program</v>
      </c>
      <c r="AC575" s="39"/>
      <c r="AD575" s="34"/>
      <c r="AE575" s="39"/>
      <c r="AF575" s="51"/>
      <c r="AG575" s="40"/>
      <c r="AH575" s="40"/>
    </row>
    <row r="576" spans="1:34" s="32" customFormat="1" ht="27.6">
      <c r="A576" s="338" t="s">
        <v>942</v>
      </c>
      <c r="B576" s="338" t="s">
        <v>945</v>
      </c>
      <c r="C576" s="358">
        <v>44237</v>
      </c>
      <c r="D576" s="351" t="s">
        <v>1028</v>
      </c>
      <c r="E576" s="352" t="s">
        <v>1152</v>
      </c>
      <c r="F576" s="338">
        <v>0.67013888888888884</v>
      </c>
      <c r="G576" s="338">
        <v>0.67083333333333339</v>
      </c>
      <c r="H576" s="338" t="s">
        <v>988</v>
      </c>
      <c r="I576" s="353">
        <v>755</v>
      </c>
      <c r="J576" s="338" t="str">
        <f>IFERROR(VLOOKUP(I576,'Chart of accounts'!A:H,2,FALSE),"")</f>
        <v>50203010 00</v>
      </c>
      <c r="K576" s="338" t="str">
        <f>IFERROR(VLOOKUP(I576,'Chart of accounts'!A:H,3,FALSE),"")</f>
        <v>Office Supplies Expenses</v>
      </c>
      <c r="L576" s="338" t="str">
        <f>IFERROR(VLOOKUP(I576,'Chart of accounts'!A:H,4,FALSE),"")</f>
        <v>50203010 00 - Office Supplies Expenses (755)</v>
      </c>
      <c r="M576" s="361">
        <v>3</v>
      </c>
      <c r="N576" s="355" t="s">
        <v>820</v>
      </c>
      <c r="O576" s="355" t="s">
        <v>1150</v>
      </c>
      <c r="P576" s="355"/>
      <c r="Q576" s="363">
        <v>1256</v>
      </c>
      <c r="R576" s="319">
        <f t="shared" si="9"/>
        <v>-1256</v>
      </c>
      <c r="S576" s="319" t="str">
        <f>VLOOKUP(H576,'Fund Utilization Report'!$A$4:$U$1800,13,FALSE)</f>
        <v>MOOE</v>
      </c>
      <c r="T576" s="319" t="str">
        <f>VLOOKUP(H576,'Fund Utilization Report'!$A$4:$U$1800,2,FALSE)</f>
        <v>SAA37</v>
      </c>
      <c r="U576" s="319" t="str">
        <f>VLOOKUP(H576,'Fund Utilization Report'!$A$4:$U$1800,3,FALSE)</f>
        <v>2021-01-0037</v>
      </c>
      <c r="V576" s="319" t="str">
        <f>VLOOKUP(H576,'Fund Utilization Report'!$A$4:$U$1800,4,FALSE)</f>
        <v>CARP</v>
      </c>
      <c r="W576" s="319" t="str">
        <f>VLOOKUP(H576,'Fund Utilization Report'!$A$4:$U$1800,5,FALSE)</f>
        <v>01101101</v>
      </c>
      <c r="X576" s="319" t="str">
        <f>VLOOKUP(H576,'Fund Utilization Report'!$A$4:$U$1800,6,FALSE)</f>
        <v>GOP</v>
      </c>
      <c r="Y576" s="320">
        <f>VLOOKUP(H576,'Fund Utilization Report'!$A$4:$U$1800,7,FALSE)</f>
        <v>755</v>
      </c>
      <c r="Z576" s="321" t="str">
        <f>VLOOKUP(H576,'Fund Utilization Report'!$A$4:$U$1800,8,FALSE)</f>
        <v>50203010 00</v>
      </c>
      <c r="AA576" s="319" t="str">
        <f>VLOOKUP(H576,'Fund Utilization Report'!$A$4:$U$1800,14,FALSE)</f>
        <v>330100100003000</v>
      </c>
      <c r="AB576" s="349" t="str">
        <f>VLOOKUP(H576,'Fund Utilization Report'!$A$4:$U$1800,15,FALSE)</f>
        <v>MSME Development Program : Program Beneficiaries Development Component of the Comprehensive Agrarian Reform Program</v>
      </c>
      <c r="AC576" s="39"/>
      <c r="AD576" s="34"/>
      <c r="AE576" s="39"/>
      <c r="AF576" s="51"/>
      <c r="AG576" s="40"/>
      <c r="AH576" s="40"/>
    </row>
    <row r="577" spans="1:34" s="32" customFormat="1" ht="27.6">
      <c r="A577" s="338" t="s">
        <v>942</v>
      </c>
      <c r="B577" s="338" t="s">
        <v>945</v>
      </c>
      <c r="C577" s="358">
        <v>44237</v>
      </c>
      <c r="D577" s="351" t="s">
        <v>1028</v>
      </c>
      <c r="E577" s="352" t="s">
        <v>1152</v>
      </c>
      <c r="F577" s="338">
        <v>0.67013888888888884</v>
      </c>
      <c r="G577" s="338">
        <v>0.67083333333333339</v>
      </c>
      <c r="H577" s="338" t="s">
        <v>991</v>
      </c>
      <c r="I577" s="353">
        <v>773</v>
      </c>
      <c r="J577" s="338" t="str">
        <f>IFERROR(VLOOKUP(I577,'Chart of accounts'!A:H,2,FALSE),"")</f>
        <v>50205020 01</v>
      </c>
      <c r="K577" s="338" t="str">
        <f>IFERROR(VLOOKUP(I577,'Chart of accounts'!A:H,3,FALSE),"")</f>
        <v xml:space="preserve">Telephone Expenses - Mobile </v>
      </c>
      <c r="L577" s="338" t="str">
        <f>IFERROR(VLOOKUP(I577,'Chart of accounts'!A:H,4,FALSE),"")</f>
        <v>50205020 01 - Telephone Expenses - Mobile  (773)</v>
      </c>
      <c r="M577" s="361">
        <v>3</v>
      </c>
      <c r="N577" s="355" t="s">
        <v>820</v>
      </c>
      <c r="O577" s="355" t="s">
        <v>1150</v>
      </c>
      <c r="P577" s="355"/>
      <c r="Q577" s="363">
        <v>300</v>
      </c>
      <c r="R577" s="319">
        <f t="shared" si="9"/>
        <v>-300</v>
      </c>
      <c r="S577" s="319" t="str">
        <f>VLOOKUP(H577,'Fund Utilization Report'!$A$4:$U$1800,13,FALSE)</f>
        <v>MOOE</v>
      </c>
      <c r="T577" s="319" t="str">
        <f>VLOOKUP(H577,'Fund Utilization Report'!$A$4:$U$1800,2,FALSE)</f>
        <v>SAA37</v>
      </c>
      <c r="U577" s="319" t="str">
        <f>VLOOKUP(H577,'Fund Utilization Report'!$A$4:$U$1800,3,FALSE)</f>
        <v>2021-01-0037</v>
      </c>
      <c r="V577" s="319" t="str">
        <f>VLOOKUP(H577,'Fund Utilization Report'!$A$4:$U$1800,4,FALSE)</f>
        <v>CARP</v>
      </c>
      <c r="W577" s="319" t="str">
        <f>VLOOKUP(H577,'Fund Utilization Report'!$A$4:$U$1800,5,FALSE)</f>
        <v>01101101</v>
      </c>
      <c r="X577" s="319" t="str">
        <f>VLOOKUP(H577,'Fund Utilization Report'!$A$4:$U$1800,6,FALSE)</f>
        <v>GOP</v>
      </c>
      <c r="Y577" s="320">
        <f>VLOOKUP(H577,'Fund Utilization Report'!$A$4:$U$1800,7,FALSE)</f>
        <v>773</v>
      </c>
      <c r="Z577" s="321" t="str">
        <f>VLOOKUP(H577,'Fund Utilization Report'!$A$4:$U$1800,8,FALSE)</f>
        <v>50205020 01</v>
      </c>
      <c r="AA577" s="319" t="str">
        <f>VLOOKUP(H577,'Fund Utilization Report'!$A$4:$U$1800,14,FALSE)</f>
        <v>330100100003000</v>
      </c>
      <c r="AB577" s="349" t="str">
        <f>VLOOKUP(H577,'Fund Utilization Report'!$A$4:$U$1800,15,FALSE)</f>
        <v>MSME Development Program : Program Beneficiaries Development Component of the Comprehensive Agrarian Reform Program</v>
      </c>
      <c r="AC577" s="39"/>
      <c r="AD577" s="34"/>
      <c r="AE577" s="39"/>
      <c r="AF577" s="51"/>
      <c r="AG577" s="40"/>
      <c r="AH577" s="40"/>
    </row>
    <row r="578" spans="1:34" s="32" customFormat="1" ht="27.6">
      <c r="A578" s="338" t="s">
        <v>942</v>
      </c>
      <c r="B578" s="338" t="s">
        <v>945</v>
      </c>
      <c r="C578" s="358">
        <v>44237</v>
      </c>
      <c r="D578" s="351" t="s">
        <v>1028</v>
      </c>
      <c r="E578" s="352" t="s">
        <v>1152</v>
      </c>
      <c r="F578" s="338">
        <v>0.67013888888888884</v>
      </c>
      <c r="G578" s="338">
        <v>0.67083333333333339</v>
      </c>
      <c r="H578" s="338" t="s">
        <v>993</v>
      </c>
      <c r="I578" s="353">
        <v>799</v>
      </c>
      <c r="J578" s="338" t="str">
        <f>IFERROR(VLOOKUP(I578,'Chart of accounts'!A:H,2,FALSE),"")</f>
        <v>50211990 00</v>
      </c>
      <c r="K578" s="338" t="str">
        <f>IFERROR(VLOOKUP(I578,'Chart of accounts'!A:H,3,FALSE),"")</f>
        <v>Other Professional Services</v>
      </c>
      <c r="L578" s="338" t="str">
        <f>IFERROR(VLOOKUP(I578,'Chart of accounts'!A:H,4,FALSE),"")</f>
        <v>50211990 00 - Other Professional Services (799)</v>
      </c>
      <c r="M578" s="361">
        <v>3</v>
      </c>
      <c r="N578" s="355" t="s">
        <v>820</v>
      </c>
      <c r="O578" s="355" t="s">
        <v>1150</v>
      </c>
      <c r="P578" s="355"/>
      <c r="Q578" s="363">
        <v>15000</v>
      </c>
      <c r="R578" s="319">
        <f t="shared" si="9"/>
        <v>-15000</v>
      </c>
      <c r="S578" s="319" t="str">
        <f>VLOOKUP(H578,'Fund Utilization Report'!$A$4:$U$1800,13,FALSE)</f>
        <v>MOOE</v>
      </c>
      <c r="T578" s="319" t="str">
        <f>VLOOKUP(H578,'Fund Utilization Report'!$A$4:$U$1800,2,FALSE)</f>
        <v>SAA37</v>
      </c>
      <c r="U578" s="319" t="str">
        <f>VLOOKUP(H578,'Fund Utilization Report'!$A$4:$U$1800,3,FALSE)</f>
        <v>2021-01-0037</v>
      </c>
      <c r="V578" s="319" t="str">
        <f>VLOOKUP(H578,'Fund Utilization Report'!$A$4:$U$1800,4,FALSE)</f>
        <v>CARP</v>
      </c>
      <c r="W578" s="319" t="str">
        <f>VLOOKUP(H578,'Fund Utilization Report'!$A$4:$U$1800,5,FALSE)</f>
        <v>01101101</v>
      </c>
      <c r="X578" s="319" t="str">
        <f>VLOOKUP(H578,'Fund Utilization Report'!$A$4:$U$1800,6,FALSE)</f>
        <v>GOP</v>
      </c>
      <c r="Y578" s="320">
        <f>VLOOKUP(H578,'Fund Utilization Report'!$A$4:$U$1800,7,FALSE)</f>
        <v>799</v>
      </c>
      <c r="Z578" s="321" t="str">
        <f>VLOOKUP(H578,'Fund Utilization Report'!$A$4:$U$1800,8,FALSE)</f>
        <v>50211990 00</v>
      </c>
      <c r="AA578" s="319" t="str">
        <f>VLOOKUP(H578,'Fund Utilization Report'!$A$4:$U$1800,14,FALSE)</f>
        <v>330100100003000</v>
      </c>
      <c r="AB578" s="349" t="str">
        <f>VLOOKUP(H578,'Fund Utilization Report'!$A$4:$U$1800,15,FALSE)</f>
        <v>MSME Development Program : Program Beneficiaries Development Component of the Comprehensive Agrarian Reform Program</v>
      </c>
      <c r="AC578" s="39"/>
      <c r="AD578" s="34"/>
      <c r="AE578" s="39"/>
      <c r="AF578" s="51"/>
      <c r="AG578" s="40"/>
      <c r="AH578" s="40"/>
    </row>
    <row r="579" spans="1:34" s="32" customFormat="1" ht="27.6">
      <c r="A579" s="338" t="s">
        <v>942</v>
      </c>
      <c r="B579" s="338" t="s">
        <v>945</v>
      </c>
      <c r="C579" s="358">
        <v>44237</v>
      </c>
      <c r="D579" s="351" t="s">
        <v>1028</v>
      </c>
      <c r="E579" s="352" t="s">
        <v>1152</v>
      </c>
      <c r="F579" s="338">
        <v>0.67013888888888884</v>
      </c>
      <c r="G579" s="338">
        <v>0.67083333333333339</v>
      </c>
      <c r="H579" s="338" t="s">
        <v>994</v>
      </c>
      <c r="I579" s="353">
        <v>795</v>
      </c>
      <c r="J579" s="338" t="str">
        <f>IFERROR(VLOOKUP(I579,'Chart of accounts'!A:H,2,FALSE),"")</f>
        <v>50212990 00</v>
      </c>
      <c r="K579" s="338" t="str">
        <f>IFERROR(VLOOKUP(I579,'Chart of accounts'!A:H,3,FALSE),"")</f>
        <v>Other General Services</v>
      </c>
      <c r="L579" s="338" t="str">
        <f>IFERROR(VLOOKUP(I579,'Chart of accounts'!A:H,4,FALSE),"")</f>
        <v>50212990 00 - Other General Services (795)</v>
      </c>
      <c r="M579" s="361">
        <v>3</v>
      </c>
      <c r="N579" s="355" t="s">
        <v>820</v>
      </c>
      <c r="O579" s="355" t="s">
        <v>1150</v>
      </c>
      <c r="P579" s="355"/>
      <c r="Q579" s="363">
        <v>1000</v>
      </c>
      <c r="R579" s="319">
        <f t="shared" si="9"/>
        <v>-1000</v>
      </c>
      <c r="S579" s="319" t="str">
        <f>VLOOKUP(H579,'Fund Utilization Report'!$A$4:$U$1800,13,FALSE)</f>
        <v>MOOE</v>
      </c>
      <c r="T579" s="319" t="str">
        <f>VLOOKUP(H579,'Fund Utilization Report'!$A$4:$U$1800,2,FALSE)</f>
        <v>SAA37</v>
      </c>
      <c r="U579" s="319" t="str">
        <f>VLOOKUP(H579,'Fund Utilization Report'!$A$4:$U$1800,3,FALSE)</f>
        <v>2021-01-0037</v>
      </c>
      <c r="V579" s="319" t="str">
        <f>VLOOKUP(H579,'Fund Utilization Report'!$A$4:$U$1800,4,FALSE)</f>
        <v>CARP</v>
      </c>
      <c r="W579" s="319" t="str">
        <f>VLOOKUP(H579,'Fund Utilization Report'!$A$4:$U$1800,5,FALSE)</f>
        <v>01101101</v>
      </c>
      <c r="X579" s="319" t="str">
        <f>VLOOKUP(H579,'Fund Utilization Report'!$A$4:$U$1800,6,FALSE)</f>
        <v>GOP</v>
      </c>
      <c r="Y579" s="320">
        <f>VLOOKUP(H579,'Fund Utilization Report'!$A$4:$U$1800,7,FALSE)</f>
        <v>795</v>
      </c>
      <c r="Z579" s="321" t="str">
        <f>VLOOKUP(H579,'Fund Utilization Report'!$A$4:$U$1800,8,FALSE)</f>
        <v>50212990 00</v>
      </c>
      <c r="AA579" s="319" t="str">
        <f>VLOOKUP(H579,'Fund Utilization Report'!$A$4:$U$1800,14,FALSE)</f>
        <v>330100100003000</v>
      </c>
      <c r="AB579" s="349" t="str">
        <f>VLOOKUP(H579,'Fund Utilization Report'!$A$4:$U$1800,15,FALSE)</f>
        <v>MSME Development Program : Program Beneficiaries Development Component of the Comprehensive Agrarian Reform Program</v>
      </c>
      <c r="AC579" s="39"/>
      <c r="AD579" s="34"/>
      <c r="AE579" s="39"/>
      <c r="AF579" s="51"/>
      <c r="AG579" s="40"/>
      <c r="AH579" s="40"/>
    </row>
    <row r="580" spans="1:34" s="411" customFormat="1" ht="27.6">
      <c r="A580" s="405" t="s">
        <v>942</v>
      </c>
      <c r="B580" s="405" t="s">
        <v>945</v>
      </c>
      <c r="C580" s="402">
        <v>44237</v>
      </c>
      <c r="D580" s="403" t="s">
        <v>1028</v>
      </c>
      <c r="E580" s="404" t="s">
        <v>1153</v>
      </c>
      <c r="F580" s="405">
        <v>0.67083333333333339</v>
      </c>
      <c r="G580" s="405">
        <v>0.67291666666666661</v>
      </c>
      <c r="H580" s="405" t="s">
        <v>986</v>
      </c>
      <c r="I580" s="416">
        <v>751</v>
      </c>
      <c r="J580" s="405" t="str">
        <f>IFERROR(VLOOKUP(I580,'Chart of accounts'!A:H,2,FALSE),"")</f>
        <v>50201010 00</v>
      </c>
      <c r="K580" s="405" t="str">
        <f>IFERROR(VLOOKUP(I580,'Chart of accounts'!A:H,3,FALSE),"")</f>
        <v>Traveling Expenses - Local</v>
      </c>
      <c r="L580" s="405" t="str">
        <f>IFERROR(VLOOKUP(I580,'Chart of accounts'!A:H,4,FALSE),"")</f>
        <v>50201010 00 - Traveling Expenses - Local (751)</v>
      </c>
      <c r="M580" s="414" t="s">
        <v>770</v>
      </c>
      <c r="N580" s="409" t="s">
        <v>823</v>
      </c>
      <c r="O580" s="409" t="s">
        <v>1150</v>
      </c>
      <c r="P580" s="409"/>
      <c r="Q580" s="65">
        <f>16500-16500</f>
        <v>0</v>
      </c>
      <c r="R580" s="63">
        <f t="shared" si="9"/>
        <v>0</v>
      </c>
      <c r="S580" s="63" t="str">
        <f>VLOOKUP(H580,'Fund Utilization Report'!$A$4:$U$1800,13,FALSE)</f>
        <v>MOOE</v>
      </c>
      <c r="T580" s="63" t="str">
        <f>VLOOKUP(H580,'Fund Utilization Report'!$A$4:$U$1800,2,FALSE)</f>
        <v>SAA37</v>
      </c>
      <c r="U580" s="63" t="str">
        <f>VLOOKUP(H580,'Fund Utilization Report'!$A$4:$U$1800,3,FALSE)</f>
        <v>2021-01-0037</v>
      </c>
      <c r="V580" s="63" t="str">
        <f>VLOOKUP(H580,'Fund Utilization Report'!$A$4:$U$1800,4,FALSE)</f>
        <v>CARP</v>
      </c>
      <c r="W580" s="63" t="str">
        <f>VLOOKUP(H580,'Fund Utilization Report'!$A$4:$U$1800,5,FALSE)</f>
        <v>01101101</v>
      </c>
      <c r="X580" s="63" t="str">
        <f>VLOOKUP(H580,'Fund Utilization Report'!$A$4:$U$1800,6,FALSE)</f>
        <v>GOP</v>
      </c>
      <c r="Y580" s="417">
        <f>VLOOKUP(H580,'Fund Utilization Report'!$A$4:$U$1800,7,FALSE)</f>
        <v>751</v>
      </c>
      <c r="Z580" s="418" t="str">
        <f>VLOOKUP(H580,'Fund Utilization Report'!$A$4:$U$1800,8,FALSE)</f>
        <v>50201010 00</v>
      </c>
      <c r="AA580" s="63" t="str">
        <f>VLOOKUP(H580,'Fund Utilization Report'!$A$4:$U$1800,14,FALSE)</f>
        <v>330100100003000</v>
      </c>
      <c r="AB580" s="419" t="str">
        <f>VLOOKUP(H580,'Fund Utilization Report'!$A$4:$U$1800,15,FALSE)</f>
        <v>MSME Development Program : Program Beneficiaries Development Component of the Comprehensive Agrarian Reform Program</v>
      </c>
      <c r="AC580" s="406"/>
      <c r="AD580" s="403"/>
      <c r="AE580" s="406"/>
      <c r="AF580" s="406"/>
      <c r="AG580" s="407"/>
      <c r="AH580" s="407"/>
    </row>
    <row r="581" spans="1:34" s="411" customFormat="1" ht="27.6">
      <c r="A581" s="405" t="s">
        <v>942</v>
      </c>
      <c r="B581" s="405" t="s">
        <v>945</v>
      </c>
      <c r="C581" s="402">
        <v>44237</v>
      </c>
      <c r="D581" s="403" t="s">
        <v>1028</v>
      </c>
      <c r="E581" s="404" t="s">
        <v>1153</v>
      </c>
      <c r="F581" s="405">
        <v>0.67083333333333339</v>
      </c>
      <c r="G581" s="405">
        <v>0.67291666666666661</v>
      </c>
      <c r="H581" s="405" t="s">
        <v>987</v>
      </c>
      <c r="I581" s="416">
        <v>753</v>
      </c>
      <c r="J581" s="405" t="str">
        <f>IFERROR(VLOOKUP(I581,'Chart of accounts'!A:H,2,FALSE),"")</f>
        <v>50202010 00</v>
      </c>
      <c r="K581" s="405" t="str">
        <f>IFERROR(VLOOKUP(I581,'Chart of accounts'!A:H,3,FALSE),"")</f>
        <v>Training Expenses</v>
      </c>
      <c r="L581" s="405" t="str">
        <f>IFERROR(VLOOKUP(I581,'Chart of accounts'!A:H,4,FALSE),"")</f>
        <v>50202010 00 - Training Expenses (753)</v>
      </c>
      <c r="M581" s="414" t="s">
        <v>770</v>
      </c>
      <c r="N581" s="409" t="s">
        <v>823</v>
      </c>
      <c r="O581" s="409" t="s">
        <v>1150</v>
      </c>
      <c r="P581" s="409"/>
      <c r="Q581" s="65">
        <f>42285-42285</f>
        <v>0</v>
      </c>
      <c r="R581" s="63">
        <f t="shared" si="9"/>
        <v>0</v>
      </c>
      <c r="S581" s="63" t="str">
        <f>VLOOKUP(H581,'Fund Utilization Report'!$A$4:$U$1800,13,FALSE)</f>
        <v>MOOE</v>
      </c>
      <c r="T581" s="63" t="str">
        <f>VLOOKUP(H581,'Fund Utilization Report'!$A$4:$U$1800,2,FALSE)</f>
        <v>SAA37</v>
      </c>
      <c r="U581" s="63" t="str">
        <f>VLOOKUP(H581,'Fund Utilization Report'!$A$4:$U$1800,3,FALSE)</f>
        <v>2021-01-0037</v>
      </c>
      <c r="V581" s="63" t="str">
        <f>VLOOKUP(H581,'Fund Utilization Report'!$A$4:$U$1800,4,FALSE)</f>
        <v>CARP</v>
      </c>
      <c r="W581" s="63" t="str">
        <f>VLOOKUP(H581,'Fund Utilization Report'!$A$4:$U$1800,5,FALSE)</f>
        <v>01101101</v>
      </c>
      <c r="X581" s="63" t="str">
        <f>VLOOKUP(H581,'Fund Utilization Report'!$A$4:$U$1800,6,FALSE)</f>
        <v>GOP</v>
      </c>
      <c r="Y581" s="417">
        <f>VLOOKUP(H581,'Fund Utilization Report'!$A$4:$U$1800,7,FALSE)</f>
        <v>753</v>
      </c>
      <c r="Z581" s="418" t="str">
        <f>VLOOKUP(H581,'Fund Utilization Report'!$A$4:$U$1800,8,FALSE)</f>
        <v>50202010 00</v>
      </c>
      <c r="AA581" s="63" t="str">
        <f>VLOOKUP(H581,'Fund Utilization Report'!$A$4:$U$1800,14,FALSE)</f>
        <v>330100100003000</v>
      </c>
      <c r="AB581" s="419" t="str">
        <f>VLOOKUP(H581,'Fund Utilization Report'!$A$4:$U$1800,15,FALSE)</f>
        <v>MSME Development Program : Program Beneficiaries Development Component of the Comprehensive Agrarian Reform Program</v>
      </c>
      <c r="AC581" s="406"/>
      <c r="AD581" s="403"/>
      <c r="AE581" s="406"/>
      <c r="AF581" s="406"/>
      <c r="AG581" s="407"/>
      <c r="AH581" s="407"/>
    </row>
    <row r="582" spans="1:34" s="411" customFormat="1" ht="27.6">
      <c r="A582" s="405" t="s">
        <v>942</v>
      </c>
      <c r="B582" s="405" t="s">
        <v>945</v>
      </c>
      <c r="C582" s="402">
        <v>44237</v>
      </c>
      <c r="D582" s="403" t="s">
        <v>1028</v>
      </c>
      <c r="E582" s="404" t="s">
        <v>1153</v>
      </c>
      <c r="F582" s="405">
        <v>0.67083333333333339</v>
      </c>
      <c r="G582" s="405">
        <v>0.67291666666666661</v>
      </c>
      <c r="H582" s="405" t="s">
        <v>988</v>
      </c>
      <c r="I582" s="416">
        <v>755</v>
      </c>
      <c r="J582" s="405" t="str">
        <f>IFERROR(VLOOKUP(I582,'Chart of accounts'!A:H,2,FALSE),"")</f>
        <v>50203010 00</v>
      </c>
      <c r="K582" s="405" t="str">
        <f>IFERROR(VLOOKUP(I582,'Chart of accounts'!A:H,3,FALSE),"")</f>
        <v>Office Supplies Expenses</v>
      </c>
      <c r="L582" s="405" t="str">
        <f>IFERROR(VLOOKUP(I582,'Chart of accounts'!A:H,4,FALSE),"")</f>
        <v>50203010 00 - Office Supplies Expenses (755)</v>
      </c>
      <c r="M582" s="414" t="s">
        <v>770</v>
      </c>
      <c r="N582" s="409" t="s">
        <v>823</v>
      </c>
      <c r="O582" s="409" t="s">
        <v>1150</v>
      </c>
      <c r="P582" s="409"/>
      <c r="Q582" s="65">
        <f>1250-1250</f>
        <v>0</v>
      </c>
      <c r="R582" s="63">
        <f t="shared" si="9"/>
        <v>0</v>
      </c>
      <c r="S582" s="63" t="str">
        <f>VLOOKUP(H582,'Fund Utilization Report'!$A$4:$U$1800,13,FALSE)</f>
        <v>MOOE</v>
      </c>
      <c r="T582" s="63" t="str">
        <f>VLOOKUP(H582,'Fund Utilization Report'!$A$4:$U$1800,2,FALSE)</f>
        <v>SAA37</v>
      </c>
      <c r="U582" s="63" t="str">
        <f>VLOOKUP(H582,'Fund Utilization Report'!$A$4:$U$1800,3,FALSE)</f>
        <v>2021-01-0037</v>
      </c>
      <c r="V582" s="63" t="str">
        <f>VLOOKUP(H582,'Fund Utilization Report'!$A$4:$U$1800,4,FALSE)</f>
        <v>CARP</v>
      </c>
      <c r="W582" s="63" t="str">
        <f>VLOOKUP(H582,'Fund Utilization Report'!$A$4:$U$1800,5,FALSE)</f>
        <v>01101101</v>
      </c>
      <c r="X582" s="63" t="str">
        <f>VLOOKUP(H582,'Fund Utilization Report'!$A$4:$U$1800,6,FALSE)</f>
        <v>GOP</v>
      </c>
      <c r="Y582" s="417">
        <f>VLOOKUP(H582,'Fund Utilization Report'!$A$4:$U$1800,7,FALSE)</f>
        <v>755</v>
      </c>
      <c r="Z582" s="418" t="str">
        <f>VLOOKUP(H582,'Fund Utilization Report'!$A$4:$U$1800,8,FALSE)</f>
        <v>50203010 00</v>
      </c>
      <c r="AA582" s="63" t="str">
        <f>VLOOKUP(H582,'Fund Utilization Report'!$A$4:$U$1800,14,FALSE)</f>
        <v>330100100003000</v>
      </c>
      <c r="AB582" s="419" t="str">
        <f>VLOOKUP(H582,'Fund Utilization Report'!$A$4:$U$1800,15,FALSE)</f>
        <v>MSME Development Program : Program Beneficiaries Development Component of the Comprehensive Agrarian Reform Program</v>
      </c>
      <c r="AC582" s="406"/>
      <c r="AD582" s="403"/>
      <c r="AE582" s="406"/>
      <c r="AF582" s="406"/>
      <c r="AG582" s="407"/>
      <c r="AH582" s="407"/>
    </row>
    <row r="583" spans="1:34" s="411" customFormat="1" ht="27.6">
      <c r="A583" s="405" t="s">
        <v>942</v>
      </c>
      <c r="B583" s="405" t="s">
        <v>945</v>
      </c>
      <c r="C583" s="402">
        <v>44237</v>
      </c>
      <c r="D583" s="403" t="s">
        <v>1028</v>
      </c>
      <c r="E583" s="404" t="s">
        <v>1153</v>
      </c>
      <c r="F583" s="405">
        <v>0.67083333333333339</v>
      </c>
      <c r="G583" s="405">
        <v>0.67291666666666661</v>
      </c>
      <c r="H583" s="405" t="s">
        <v>991</v>
      </c>
      <c r="I583" s="416">
        <v>773</v>
      </c>
      <c r="J583" s="405" t="str">
        <f>IFERROR(VLOOKUP(I583,'Chart of accounts'!A:H,2,FALSE),"")</f>
        <v>50205020 01</v>
      </c>
      <c r="K583" s="405" t="str">
        <f>IFERROR(VLOOKUP(I583,'Chart of accounts'!A:H,3,FALSE),"")</f>
        <v xml:space="preserve">Telephone Expenses - Mobile </v>
      </c>
      <c r="L583" s="405" t="str">
        <f>IFERROR(VLOOKUP(I583,'Chart of accounts'!A:H,4,FALSE),"")</f>
        <v>50205020 01 - Telephone Expenses - Mobile  (773)</v>
      </c>
      <c r="M583" s="414" t="s">
        <v>770</v>
      </c>
      <c r="N583" s="409" t="s">
        <v>823</v>
      </c>
      <c r="O583" s="409" t="s">
        <v>1150</v>
      </c>
      <c r="P583" s="409"/>
      <c r="Q583" s="65">
        <f>375-375</f>
        <v>0</v>
      </c>
      <c r="R583" s="63">
        <f t="shared" si="9"/>
        <v>0</v>
      </c>
      <c r="S583" s="63" t="str">
        <f>VLOOKUP(H583,'Fund Utilization Report'!$A$4:$U$1800,13,FALSE)</f>
        <v>MOOE</v>
      </c>
      <c r="T583" s="63" t="str">
        <f>VLOOKUP(H583,'Fund Utilization Report'!$A$4:$U$1800,2,FALSE)</f>
        <v>SAA37</v>
      </c>
      <c r="U583" s="63" t="str">
        <f>VLOOKUP(H583,'Fund Utilization Report'!$A$4:$U$1800,3,FALSE)</f>
        <v>2021-01-0037</v>
      </c>
      <c r="V583" s="63" t="str">
        <f>VLOOKUP(H583,'Fund Utilization Report'!$A$4:$U$1800,4,FALSE)</f>
        <v>CARP</v>
      </c>
      <c r="W583" s="63" t="str">
        <f>VLOOKUP(H583,'Fund Utilization Report'!$A$4:$U$1800,5,FALSE)</f>
        <v>01101101</v>
      </c>
      <c r="X583" s="63" t="str">
        <f>VLOOKUP(H583,'Fund Utilization Report'!$A$4:$U$1800,6,FALSE)</f>
        <v>GOP</v>
      </c>
      <c r="Y583" s="417">
        <f>VLOOKUP(H583,'Fund Utilization Report'!$A$4:$U$1800,7,FALSE)</f>
        <v>773</v>
      </c>
      <c r="Z583" s="418" t="str">
        <f>VLOOKUP(H583,'Fund Utilization Report'!$A$4:$U$1800,8,FALSE)</f>
        <v>50205020 01</v>
      </c>
      <c r="AA583" s="63" t="str">
        <f>VLOOKUP(H583,'Fund Utilization Report'!$A$4:$U$1800,14,FALSE)</f>
        <v>330100100003000</v>
      </c>
      <c r="AB583" s="419" t="str">
        <f>VLOOKUP(H583,'Fund Utilization Report'!$A$4:$U$1800,15,FALSE)</f>
        <v>MSME Development Program : Program Beneficiaries Development Component of the Comprehensive Agrarian Reform Program</v>
      </c>
      <c r="AC583" s="406"/>
      <c r="AD583" s="403"/>
      <c r="AE583" s="406"/>
      <c r="AF583" s="406"/>
      <c r="AG583" s="407"/>
      <c r="AH583" s="407"/>
    </row>
    <row r="584" spans="1:34" s="411" customFormat="1" ht="27.6">
      <c r="A584" s="405" t="s">
        <v>942</v>
      </c>
      <c r="B584" s="405" t="s">
        <v>945</v>
      </c>
      <c r="C584" s="402">
        <v>44237</v>
      </c>
      <c r="D584" s="403" t="s">
        <v>1028</v>
      </c>
      <c r="E584" s="404" t="s">
        <v>1153</v>
      </c>
      <c r="F584" s="405">
        <v>0.67083333333333339</v>
      </c>
      <c r="G584" s="405">
        <v>0.67291666666666661</v>
      </c>
      <c r="H584" s="405" t="s">
        <v>992</v>
      </c>
      <c r="I584" s="416">
        <v>793</v>
      </c>
      <c r="J584" s="405" t="str">
        <f>IFERROR(VLOOKUP(I584,'Chart of accounts'!A:H,2,FALSE),"")</f>
        <v>50211030 00</v>
      </c>
      <c r="K584" s="405" t="str">
        <f>IFERROR(VLOOKUP(I584,'Chart of accounts'!A:H,3,FALSE),"")</f>
        <v>Consultancy Services</v>
      </c>
      <c r="L584" s="405" t="str">
        <f>IFERROR(VLOOKUP(I584,'Chart of accounts'!A:H,4,FALSE),"")</f>
        <v>50211030 00 - Consultancy Services (793)</v>
      </c>
      <c r="M584" s="414" t="s">
        <v>770</v>
      </c>
      <c r="N584" s="409" t="s">
        <v>823</v>
      </c>
      <c r="O584" s="409" t="s">
        <v>1150</v>
      </c>
      <c r="P584" s="409"/>
      <c r="Q584" s="65">
        <f>220-220</f>
        <v>0</v>
      </c>
      <c r="R584" s="63">
        <f>P584-Q584</f>
        <v>0</v>
      </c>
      <c r="S584" s="63" t="str">
        <f>VLOOKUP(H584,'Fund Utilization Report'!$A$4:$U$1800,13,FALSE)</f>
        <v>MOOE</v>
      </c>
      <c r="T584" s="63" t="str">
        <f>VLOOKUP(H584,'Fund Utilization Report'!$A$4:$U$1800,2,FALSE)</f>
        <v>SAA37</v>
      </c>
      <c r="U584" s="63" t="str">
        <f>VLOOKUP(H584,'Fund Utilization Report'!$A$4:$U$1800,3,FALSE)</f>
        <v>2021-01-0037</v>
      </c>
      <c r="V584" s="63" t="str">
        <f>VLOOKUP(H584,'Fund Utilization Report'!$A$4:$U$1800,4,FALSE)</f>
        <v>CARP</v>
      </c>
      <c r="W584" s="63" t="str">
        <f>VLOOKUP(H584,'Fund Utilization Report'!$A$4:$U$1800,5,FALSE)</f>
        <v>01101101</v>
      </c>
      <c r="X584" s="63" t="str">
        <f>VLOOKUP(H584,'Fund Utilization Report'!$A$4:$U$1800,6,FALSE)</f>
        <v>GOP</v>
      </c>
      <c r="Y584" s="417">
        <f>VLOOKUP(H584,'Fund Utilization Report'!$A$4:$U$1800,7,FALSE)</f>
        <v>793</v>
      </c>
      <c r="Z584" s="418" t="str">
        <f>VLOOKUP(H584,'Fund Utilization Report'!$A$4:$U$1800,8,FALSE)</f>
        <v>50211030 00</v>
      </c>
      <c r="AA584" s="63" t="str">
        <f>VLOOKUP(H584,'Fund Utilization Report'!$A$4:$U$1800,14,FALSE)</f>
        <v>330100100003000</v>
      </c>
      <c r="AB584" s="419" t="str">
        <f>VLOOKUP(H584,'Fund Utilization Report'!$A$4:$U$1800,15,FALSE)</f>
        <v>MSME Development Program : Program Beneficiaries Development Component of the Comprehensive Agrarian Reform Program</v>
      </c>
      <c r="AC584" s="406"/>
      <c r="AD584" s="403"/>
      <c r="AE584" s="406"/>
      <c r="AF584" s="406"/>
      <c r="AG584" s="407"/>
      <c r="AH584" s="407"/>
    </row>
    <row r="585" spans="1:34" s="411" customFormat="1" ht="27.6">
      <c r="A585" s="405" t="s">
        <v>942</v>
      </c>
      <c r="B585" s="405" t="s">
        <v>945</v>
      </c>
      <c r="C585" s="402">
        <v>44237</v>
      </c>
      <c r="D585" s="403" t="s">
        <v>1028</v>
      </c>
      <c r="E585" s="404" t="s">
        <v>1153</v>
      </c>
      <c r="F585" s="405">
        <v>0.67083333333333339</v>
      </c>
      <c r="G585" s="405">
        <v>0.67291666666666661</v>
      </c>
      <c r="H585" s="405" t="s">
        <v>993</v>
      </c>
      <c r="I585" s="416">
        <v>799</v>
      </c>
      <c r="J585" s="405" t="str">
        <f>IFERROR(VLOOKUP(I585,'Chart of accounts'!A:H,2,FALSE),"")</f>
        <v>50211990 00</v>
      </c>
      <c r="K585" s="405" t="str">
        <f>IFERROR(VLOOKUP(I585,'Chart of accounts'!A:H,3,FALSE),"")</f>
        <v>Other Professional Services</v>
      </c>
      <c r="L585" s="405" t="str">
        <f>IFERROR(VLOOKUP(I585,'Chart of accounts'!A:H,4,FALSE),"")</f>
        <v>50211990 00 - Other Professional Services (799)</v>
      </c>
      <c r="M585" s="414" t="s">
        <v>770</v>
      </c>
      <c r="N585" s="409" t="s">
        <v>823</v>
      </c>
      <c r="O585" s="409" t="s">
        <v>1150</v>
      </c>
      <c r="P585" s="409"/>
      <c r="Q585" s="65">
        <f>28776-28776</f>
        <v>0</v>
      </c>
      <c r="R585" s="63">
        <f t="shared" si="9"/>
        <v>0</v>
      </c>
      <c r="S585" s="63" t="str">
        <f>VLOOKUP(H585,'Fund Utilization Report'!$A$4:$U$1800,13,FALSE)</f>
        <v>MOOE</v>
      </c>
      <c r="T585" s="63" t="str">
        <f>VLOOKUP(H585,'Fund Utilization Report'!$A$4:$U$1800,2,FALSE)</f>
        <v>SAA37</v>
      </c>
      <c r="U585" s="63" t="str">
        <f>VLOOKUP(H585,'Fund Utilization Report'!$A$4:$U$1800,3,FALSE)</f>
        <v>2021-01-0037</v>
      </c>
      <c r="V585" s="63" t="str">
        <f>VLOOKUP(H585,'Fund Utilization Report'!$A$4:$U$1800,4,FALSE)</f>
        <v>CARP</v>
      </c>
      <c r="W585" s="63" t="str">
        <f>VLOOKUP(H585,'Fund Utilization Report'!$A$4:$U$1800,5,FALSE)</f>
        <v>01101101</v>
      </c>
      <c r="X585" s="63" t="str">
        <f>VLOOKUP(H585,'Fund Utilization Report'!$A$4:$U$1800,6,FALSE)</f>
        <v>GOP</v>
      </c>
      <c r="Y585" s="417">
        <f>VLOOKUP(H585,'Fund Utilization Report'!$A$4:$U$1800,7,FALSE)</f>
        <v>799</v>
      </c>
      <c r="Z585" s="418" t="str">
        <f>VLOOKUP(H585,'Fund Utilization Report'!$A$4:$U$1800,8,FALSE)</f>
        <v>50211990 00</v>
      </c>
      <c r="AA585" s="63" t="str">
        <f>VLOOKUP(H585,'Fund Utilization Report'!$A$4:$U$1800,14,FALSE)</f>
        <v>330100100003000</v>
      </c>
      <c r="AB585" s="419" t="str">
        <f>VLOOKUP(H585,'Fund Utilization Report'!$A$4:$U$1800,15,FALSE)</f>
        <v>MSME Development Program : Program Beneficiaries Development Component of the Comprehensive Agrarian Reform Program</v>
      </c>
      <c r="AC585" s="406"/>
      <c r="AD585" s="403"/>
      <c r="AE585" s="406"/>
      <c r="AF585" s="406"/>
      <c r="AG585" s="407"/>
      <c r="AH585" s="407"/>
    </row>
    <row r="586" spans="1:34" s="411" customFormat="1" ht="27.6">
      <c r="A586" s="405" t="s">
        <v>942</v>
      </c>
      <c r="B586" s="405" t="s">
        <v>945</v>
      </c>
      <c r="C586" s="402">
        <v>44237</v>
      </c>
      <c r="D586" s="403" t="s">
        <v>1028</v>
      </c>
      <c r="E586" s="404" t="s">
        <v>1153</v>
      </c>
      <c r="F586" s="405">
        <v>0.67083333333333339</v>
      </c>
      <c r="G586" s="405">
        <v>0.67291666666666661</v>
      </c>
      <c r="H586" s="405" t="s">
        <v>994</v>
      </c>
      <c r="I586" s="416">
        <v>795</v>
      </c>
      <c r="J586" s="405" t="str">
        <f>IFERROR(VLOOKUP(I586,'Chart of accounts'!A:H,2,FALSE),"")</f>
        <v>50212990 00</v>
      </c>
      <c r="K586" s="405" t="str">
        <f>IFERROR(VLOOKUP(I586,'Chart of accounts'!A:H,3,FALSE),"")</f>
        <v>Other General Services</v>
      </c>
      <c r="L586" s="405" t="str">
        <f>IFERROR(VLOOKUP(I586,'Chart of accounts'!A:H,4,FALSE),"")</f>
        <v>50212990 00 - Other General Services (795)</v>
      </c>
      <c r="M586" s="414" t="s">
        <v>770</v>
      </c>
      <c r="N586" s="409" t="s">
        <v>823</v>
      </c>
      <c r="O586" s="409" t="s">
        <v>1150</v>
      </c>
      <c r="P586" s="409"/>
      <c r="Q586" s="65">
        <f>1000-1000</f>
        <v>0</v>
      </c>
      <c r="R586" s="63">
        <f t="shared" si="9"/>
        <v>0</v>
      </c>
      <c r="S586" s="63" t="str">
        <f>VLOOKUP(H586,'Fund Utilization Report'!$A$4:$U$1800,13,FALSE)</f>
        <v>MOOE</v>
      </c>
      <c r="T586" s="63" t="str">
        <f>VLOOKUP(H586,'Fund Utilization Report'!$A$4:$U$1800,2,FALSE)</f>
        <v>SAA37</v>
      </c>
      <c r="U586" s="63" t="str">
        <f>VLOOKUP(H586,'Fund Utilization Report'!$A$4:$U$1800,3,FALSE)</f>
        <v>2021-01-0037</v>
      </c>
      <c r="V586" s="63" t="str">
        <f>VLOOKUP(H586,'Fund Utilization Report'!$A$4:$U$1800,4,FALSE)</f>
        <v>CARP</v>
      </c>
      <c r="W586" s="63" t="str">
        <f>VLOOKUP(H586,'Fund Utilization Report'!$A$4:$U$1800,5,FALSE)</f>
        <v>01101101</v>
      </c>
      <c r="X586" s="63" t="str">
        <f>VLOOKUP(H586,'Fund Utilization Report'!$A$4:$U$1800,6,FALSE)</f>
        <v>GOP</v>
      </c>
      <c r="Y586" s="417">
        <f>VLOOKUP(H586,'Fund Utilization Report'!$A$4:$U$1800,7,FALSE)</f>
        <v>795</v>
      </c>
      <c r="Z586" s="418" t="str">
        <f>VLOOKUP(H586,'Fund Utilization Report'!$A$4:$U$1800,8,FALSE)</f>
        <v>50212990 00</v>
      </c>
      <c r="AA586" s="63" t="str">
        <f>VLOOKUP(H586,'Fund Utilization Report'!$A$4:$U$1800,14,FALSE)</f>
        <v>330100100003000</v>
      </c>
      <c r="AB586" s="419" t="str">
        <f>VLOOKUP(H586,'Fund Utilization Report'!$A$4:$U$1800,15,FALSE)</f>
        <v>MSME Development Program : Program Beneficiaries Development Component of the Comprehensive Agrarian Reform Program</v>
      </c>
      <c r="AC586" s="406"/>
      <c r="AD586" s="403"/>
      <c r="AE586" s="406"/>
      <c r="AF586" s="406"/>
      <c r="AG586" s="407"/>
      <c r="AH586" s="407"/>
    </row>
    <row r="587" spans="1:34" s="411" customFormat="1" ht="27.6">
      <c r="A587" s="405" t="s">
        <v>942</v>
      </c>
      <c r="B587" s="405" t="s">
        <v>945</v>
      </c>
      <c r="C587" s="402">
        <v>44237</v>
      </c>
      <c r="D587" s="403" t="s">
        <v>1028</v>
      </c>
      <c r="E587" s="404" t="s">
        <v>1154</v>
      </c>
      <c r="F587" s="405">
        <v>0.67291666666666661</v>
      </c>
      <c r="G587" s="405">
        <v>0.6743055555555556</v>
      </c>
      <c r="H587" s="405" t="s">
        <v>986</v>
      </c>
      <c r="I587" s="416">
        <v>751</v>
      </c>
      <c r="J587" s="405" t="str">
        <f>IFERROR(VLOOKUP(I587,'Chart of accounts'!A:H,2,FALSE),"")</f>
        <v>50201010 00</v>
      </c>
      <c r="K587" s="405" t="str">
        <f>IFERROR(VLOOKUP(I587,'Chart of accounts'!A:H,3,FALSE),"")</f>
        <v>Traveling Expenses - Local</v>
      </c>
      <c r="L587" s="405" t="str">
        <f>IFERROR(VLOOKUP(I587,'Chart of accounts'!A:H,4,FALSE),"")</f>
        <v>50201010 00 - Traveling Expenses - Local (751)</v>
      </c>
      <c r="M587" s="408">
        <v>68</v>
      </c>
      <c r="N587" s="409" t="s">
        <v>821</v>
      </c>
      <c r="O587" s="409" t="s">
        <v>1150</v>
      </c>
      <c r="P587" s="409"/>
      <c r="Q587" s="65">
        <f>6600-6600</f>
        <v>0</v>
      </c>
      <c r="R587" s="63">
        <f t="shared" si="9"/>
        <v>0</v>
      </c>
      <c r="S587" s="63" t="str">
        <f>VLOOKUP(H587,'Fund Utilization Report'!$A$4:$U$1800,13,FALSE)</f>
        <v>MOOE</v>
      </c>
      <c r="T587" s="63" t="str">
        <f>VLOOKUP(H587,'Fund Utilization Report'!$A$4:$U$1800,2,FALSE)</f>
        <v>SAA37</v>
      </c>
      <c r="U587" s="63" t="str">
        <f>VLOOKUP(H587,'Fund Utilization Report'!$A$4:$U$1800,3,FALSE)</f>
        <v>2021-01-0037</v>
      </c>
      <c r="V587" s="63" t="str">
        <f>VLOOKUP(H587,'Fund Utilization Report'!$A$4:$U$1800,4,FALSE)</f>
        <v>CARP</v>
      </c>
      <c r="W587" s="63" t="str">
        <f>VLOOKUP(H587,'Fund Utilization Report'!$A$4:$U$1800,5,FALSE)</f>
        <v>01101101</v>
      </c>
      <c r="X587" s="63" t="str">
        <f>VLOOKUP(H587,'Fund Utilization Report'!$A$4:$U$1800,6,FALSE)</f>
        <v>GOP</v>
      </c>
      <c r="Y587" s="417">
        <f>VLOOKUP(H587,'Fund Utilization Report'!$A$4:$U$1800,7,FALSE)</f>
        <v>751</v>
      </c>
      <c r="Z587" s="418" t="str">
        <f>VLOOKUP(H587,'Fund Utilization Report'!$A$4:$U$1800,8,FALSE)</f>
        <v>50201010 00</v>
      </c>
      <c r="AA587" s="63" t="str">
        <f>VLOOKUP(H587,'Fund Utilization Report'!$A$4:$U$1800,14,FALSE)</f>
        <v>330100100003000</v>
      </c>
      <c r="AB587" s="419" t="str">
        <f>VLOOKUP(H587,'Fund Utilization Report'!$A$4:$U$1800,15,FALSE)</f>
        <v>MSME Development Program : Program Beneficiaries Development Component of the Comprehensive Agrarian Reform Program</v>
      </c>
      <c r="AC587" s="406"/>
      <c r="AD587" s="403"/>
      <c r="AE587" s="406"/>
      <c r="AF587" s="406"/>
      <c r="AG587" s="407"/>
      <c r="AH587" s="407"/>
    </row>
    <row r="588" spans="1:34" s="411" customFormat="1" ht="27.6">
      <c r="A588" s="405" t="s">
        <v>942</v>
      </c>
      <c r="B588" s="405" t="s">
        <v>945</v>
      </c>
      <c r="C588" s="402">
        <v>44237</v>
      </c>
      <c r="D588" s="403" t="s">
        <v>1028</v>
      </c>
      <c r="E588" s="404" t="s">
        <v>1154</v>
      </c>
      <c r="F588" s="405">
        <v>0.67291666666666661</v>
      </c>
      <c r="G588" s="405">
        <v>0.6743055555555556</v>
      </c>
      <c r="H588" s="405" t="s">
        <v>987</v>
      </c>
      <c r="I588" s="416">
        <v>753</v>
      </c>
      <c r="J588" s="405" t="str">
        <f>IFERROR(VLOOKUP(I588,'Chart of accounts'!A:H,2,FALSE),"")</f>
        <v>50202010 00</v>
      </c>
      <c r="K588" s="405" t="str">
        <f>IFERROR(VLOOKUP(I588,'Chart of accounts'!A:H,3,FALSE),"")</f>
        <v>Training Expenses</v>
      </c>
      <c r="L588" s="405" t="str">
        <f>IFERROR(VLOOKUP(I588,'Chart of accounts'!A:H,4,FALSE),"")</f>
        <v>50202010 00 - Training Expenses (753)</v>
      </c>
      <c r="M588" s="408">
        <v>68</v>
      </c>
      <c r="N588" s="409" t="s">
        <v>821</v>
      </c>
      <c r="O588" s="409" t="s">
        <v>1150</v>
      </c>
      <c r="P588" s="409"/>
      <c r="Q588" s="65">
        <f>15714-15714</f>
        <v>0</v>
      </c>
      <c r="R588" s="63">
        <f t="shared" si="9"/>
        <v>0</v>
      </c>
      <c r="S588" s="63" t="str">
        <f>VLOOKUP(H588,'Fund Utilization Report'!$A$4:$U$1800,13,FALSE)</f>
        <v>MOOE</v>
      </c>
      <c r="T588" s="63" t="str">
        <f>VLOOKUP(H588,'Fund Utilization Report'!$A$4:$U$1800,2,FALSE)</f>
        <v>SAA37</v>
      </c>
      <c r="U588" s="63" t="str">
        <f>VLOOKUP(H588,'Fund Utilization Report'!$A$4:$U$1800,3,FALSE)</f>
        <v>2021-01-0037</v>
      </c>
      <c r="V588" s="63" t="str">
        <f>VLOOKUP(H588,'Fund Utilization Report'!$A$4:$U$1800,4,FALSE)</f>
        <v>CARP</v>
      </c>
      <c r="W588" s="63" t="str">
        <f>VLOOKUP(H588,'Fund Utilization Report'!$A$4:$U$1800,5,FALSE)</f>
        <v>01101101</v>
      </c>
      <c r="X588" s="63" t="str">
        <f>VLOOKUP(H588,'Fund Utilization Report'!$A$4:$U$1800,6,FALSE)</f>
        <v>GOP</v>
      </c>
      <c r="Y588" s="417">
        <f>VLOOKUP(H588,'Fund Utilization Report'!$A$4:$U$1800,7,FALSE)</f>
        <v>753</v>
      </c>
      <c r="Z588" s="418" t="str">
        <f>VLOOKUP(H588,'Fund Utilization Report'!$A$4:$U$1800,8,FALSE)</f>
        <v>50202010 00</v>
      </c>
      <c r="AA588" s="63" t="str">
        <f>VLOOKUP(H588,'Fund Utilization Report'!$A$4:$U$1800,14,FALSE)</f>
        <v>330100100003000</v>
      </c>
      <c r="AB588" s="419" t="str">
        <f>VLOOKUP(H588,'Fund Utilization Report'!$A$4:$U$1800,15,FALSE)</f>
        <v>MSME Development Program : Program Beneficiaries Development Component of the Comprehensive Agrarian Reform Program</v>
      </c>
      <c r="AC588" s="406"/>
      <c r="AD588" s="403"/>
      <c r="AE588" s="406"/>
      <c r="AF588" s="406"/>
      <c r="AG588" s="407"/>
      <c r="AH588" s="407"/>
    </row>
    <row r="589" spans="1:34" s="411" customFormat="1" ht="27.6">
      <c r="A589" s="405" t="s">
        <v>942</v>
      </c>
      <c r="B589" s="405" t="s">
        <v>945</v>
      </c>
      <c r="C589" s="402">
        <v>44237</v>
      </c>
      <c r="D589" s="403" t="s">
        <v>1028</v>
      </c>
      <c r="E589" s="404" t="s">
        <v>1154</v>
      </c>
      <c r="F589" s="405">
        <v>0.67291666666666661</v>
      </c>
      <c r="G589" s="405">
        <v>0.6743055555555556</v>
      </c>
      <c r="H589" s="405" t="s">
        <v>988</v>
      </c>
      <c r="I589" s="416">
        <v>755</v>
      </c>
      <c r="J589" s="405" t="str">
        <f>IFERROR(VLOOKUP(I589,'Chart of accounts'!A:H,2,FALSE),"")</f>
        <v>50203010 00</v>
      </c>
      <c r="K589" s="405" t="str">
        <f>IFERROR(VLOOKUP(I589,'Chart of accounts'!A:H,3,FALSE),"")</f>
        <v>Office Supplies Expenses</v>
      </c>
      <c r="L589" s="405" t="str">
        <f>IFERROR(VLOOKUP(I589,'Chart of accounts'!A:H,4,FALSE),"")</f>
        <v>50203010 00 - Office Supplies Expenses (755)</v>
      </c>
      <c r="M589" s="408">
        <v>68</v>
      </c>
      <c r="N589" s="409" t="s">
        <v>821</v>
      </c>
      <c r="O589" s="409" t="s">
        <v>1150</v>
      </c>
      <c r="P589" s="409"/>
      <c r="Q589" s="65">
        <f>2500-2500</f>
        <v>0</v>
      </c>
      <c r="R589" s="63">
        <f t="shared" si="9"/>
        <v>0</v>
      </c>
      <c r="S589" s="63" t="str">
        <f>VLOOKUP(H589,'Fund Utilization Report'!$A$4:$U$1800,13,FALSE)</f>
        <v>MOOE</v>
      </c>
      <c r="T589" s="63" t="str">
        <f>VLOOKUP(H589,'Fund Utilization Report'!$A$4:$U$1800,2,FALSE)</f>
        <v>SAA37</v>
      </c>
      <c r="U589" s="63" t="str">
        <f>VLOOKUP(H589,'Fund Utilization Report'!$A$4:$U$1800,3,FALSE)</f>
        <v>2021-01-0037</v>
      </c>
      <c r="V589" s="63" t="str">
        <f>VLOOKUP(H589,'Fund Utilization Report'!$A$4:$U$1800,4,FALSE)</f>
        <v>CARP</v>
      </c>
      <c r="W589" s="63" t="str">
        <f>VLOOKUP(H589,'Fund Utilization Report'!$A$4:$U$1800,5,FALSE)</f>
        <v>01101101</v>
      </c>
      <c r="X589" s="63" t="str">
        <f>VLOOKUP(H589,'Fund Utilization Report'!$A$4:$U$1800,6,FALSE)</f>
        <v>GOP</v>
      </c>
      <c r="Y589" s="417">
        <f>VLOOKUP(H589,'Fund Utilization Report'!$A$4:$U$1800,7,FALSE)</f>
        <v>755</v>
      </c>
      <c r="Z589" s="418" t="str">
        <f>VLOOKUP(H589,'Fund Utilization Report'!$A$4:$U$1800,8,FALSE)</f>
        <v>50203010 00</v>
      </c>
      <c r="AA589" s="63" t="str">
        <f>VLOOKUP(H589,'Fund Utilization Report'!$A$4:$U$1800,14,FALSE)</f>
        <v>330100100003000</v>
      </c>
      <c r="AB589" s="419" t="str">
        <f>VLOOKUP(H589,'Fund Utilization Report'!$A$4:$U$1800,15,FALSE)</f>
        <v>MSME Development Program : Program Beneficiaries Development Component of the Comprehensive Agrarian Reform Program</v>
      </c>
      <c r="AC589" s="406"/>
      <c r="AD589" s="403"/>
      <c r="AE589" s="406"/>
      <c r="AF589" s="406"/>
      <c r="AG589" s="407"/>
      <c r="AH589" s="407"/>
    </row>
    <row r="590" spans="1:34" s="411" customFormat="1" ht="27.6">
      <c r="A590" s="405" t="s">
        <v>942</v>
      </c>
      <c r="B590" s="405" t="s">
        <v>945</v>
      </c>
      <c r="C590" s="402">
        <v>44237</v>
      </c>
      <c r="D590" s="403" t="s">
        <v>1028</v>
      </c>
      <c r="E590" s="404" t="s">
        <v>1154</v>
      </c>
      <c r="F590" s="405">
        <v>0.67291666666666661</v>
      </c>
      <c r="G590" s="405">
        <v>0.6743055555555556</v>
      </c>
      <c r="H590" s="405" t="s">
        <v>991</v>
      </c>
      <c r="I590" s="416">
        <v>773</v>
      </c>
      <c r="J590" s="405" t="str">
        <f>IFERROR(VLOOKUP(I590,'Chart of accounts'!A:H,2,FALSE),"")</f>
        <v>50205020 01</v>
      </c>
      <c r="K590" s="405" t="str">
        <f>IFERROR(VLOOKUP(I590,'Chart of accounts'!A:H,3,FALSE),"")</f>
        <v xml:space="preserve">Telephone Expenses - Mobile </v>
      </c>
      <c r="L590" s="405" t="str">
        <f>IFERROR(VLOOKUP(I590,'Chart of accounts'!A:H,4,FALSE),"")</f>
        <v>50205020 01 - Telephone Expenses - Mobile  (773)</v>
      </c>
      <c r="M590" s="408">
        <v>68</v>
      </c>
      <c r="N590" s="409" t="s">
        <v>821</v>
      </c>
      <c r="O590" s="409" t="s">
        <v>1150</v>
      </c>
      <c r="P590" s="409"/>
      <c r="Q590" s="65">
        <f>400-400</f>
        <v>0</v>
      </c>
      <c r="R590" s="63">
        <f t="shared" si="9"/>
        <v>0</v>
      </c>
      <c r="S590" s="63" t="str">
        <f>VLOOKUP(H590,'Fund Utilization Report'!$A$4:$U$1800,13,FALSE)</f>
        <v>MOOE</v>
      </c>
      <c r="T590" s="63" t="str">
        <f>VLOOKUP(H590,'Fund Utilization Report'!$A$4:$U$1800,2,FALSE)</f>
        <v>SAA37</v>
      </c>
      <c r="U590" s="63" t="str">
        <f>VLOOKUP(H590,'Fund Utilization Report'!$A$4:$U$1800,3,FALSE)</f>
        <v>2021-01-0037</v>
      </c>
      <c r="V590" s="63" t="str">
        <f>VLOOKUP(H590,'Fund Utilization Report'!$A$4:$U$1800,4,FALSE)</f>
        <v>CARP</v>
      </c>
      <c r="W590" s="63" t="str">
        <f>VLOOKUP(H590,'Fund Utilization Report'!$A$4:$U$1800,5,FALSE)</f>
        <v>01101101</v>
      </c>
      <c r="X590" s="63" t="str">
        <f>VLOOKUP(H590,'Fund Utilization Report'!$A$4:$U$1800,6,FALSE)</f>
        <v>GOP</v>
      </c>
      <c r="Y590" s="417">
        <f>VLOOKUP(H590,'Fund Utilization Report'!$A$4:$U$1800,7,FALSE)</f>
        <v>773</v>
      </c>
      <c r="Z590" s="418" t="str">
        <f>VLOOKUP(H590,'Fund Utilization Report'!$A$4:$U$1800,8,FALSE)</f>
        <v>50205020 01</v>
      </c>
      <c r="AA590" s="63" t="str">
        <f>VLOOKUP(H590,'Fund Utilization Report'!$A$4:$U$1800,14,FALSE)</f>
        <v>330100100003000</v>
      </c>
      <c r="AB590" s="419" t="str">
        <f>VLOOKUP(H590,'Fund Utilization Report'!$A$4:$U$1800,15,FALSE)</f>
        <v>MSME Development Program : Program Beneficiaries Development Component of the Comprehensive Agrarian Reform Program</v>
      </c>
      <c r="AC590" s="406"/>
      <c r="AD590" s="403"/>
      <c r="AE590" s="406"/>
      <c r="AF590" s="406"/>
      <c r="AG590" s="407"/>
      <c r="AH590" s="407"/>
    </row>
    <row r="591" spans="1:34" s="411" customFormat="1" ht="27.6">
      <c r="A591" s="405" t="s">
        <v>942</v>
      </c>
      <c r="B591" s="405" t="s">
        <v>945</v>
      </c>
      <c r="C591" s="402">
        <v>44237</v>
      </c>
      <c r="D591" s="403" t="s">
        <v>1028</v>
      </c>
      <c r="E591" s="404" t="s">
        <v>1154</v>
      </c>
      <c r="F591" s="405">
        <v>0.67291666666666661</v>
      </c>
      <c r="G591" s="405">
        <v>0.6743055555555556</v>
      </c>
      <c r="H591" s="405" t="s">
        <v>994</v>
      </c>
      <c r="I591" s="416">
        <v>795</v>
      </c>
      <c r="J591" s="405" t="str">
        <f>IFERROR(VLOOKUP(I591,'Chart of accounts'!A:H,2,FALSE),"")</f>
        <v>50212990 00</v>
      </c>
      <c r="K591" s="405" t="str">
        <f>IFERROR(VLOOKUP(I591,'Chart of accounts'!A:H,3,FALSE),"")</f>
        <v>Other General Services</v>
      </c>
      <c r="L591" s="405" t="str">
        <f>IFERROR(VLOOKUP(I591,'Chart of accounts'!A:H,4,FALSE),"")</f>
        <v>50212990 00 - Other General Services (795)</v>
      </c>
      <c r="M591" s="408">
        <v>68</v>
      </c>
      <c r="N591" s="409" t="s">
        <v>821</v>
      </c>
      <c r="O591" s="409" t="s">
        <v>1150</v>
      </c>
      <c r="P591" s="409"/>
      <c r="Q591" s="65">
        <f>1000-1000</f>
        <v>0</v>
      </c>
      <c r="R591" s="63">
        <f t="shared" si="9"/>
        <v>0</v>
      </c>
      <c r="S591" s="63" t="str">
        <f>VLOOKUP(H591,'Fund Utilization Report'!$A$4:$U$1800,13,FALSE)</f>
        <v>MOOE</v>
      </c>
      <c r="T591" s="63" t="str">
        <f>VLOOKUP(H591,'Fund Utilization Report'!$A$4:$U$1800,2,FALSE)</f>
        <v>SAA37</v>
      </c>
      <c r="U591" s="63" t="str">
        <f>VLOOKUP(H591,'Fund Utilization Report'!$A$4:$U$1800,3,FALSE)</f>
        <v>2021-01-0037</v>
      </c>
      <c r="V591" s="63" t="str">
        <f>VLOOKUP(H591,'Fund Utilization Report'!$A$4:$U$1800,4,FALSE)</f>
        <v>CARP</v>
      </c>
      <c r="W591" s="63" t="str">
        <f>VLOOKUP(H591,'Fund Utilization Report'!$A$4:$U$1800,5,FALSE)</f>
        <v>01101101</v>
      </c>
      <c r="X591" s="63" t="str">
        <f>VLOOKUP(H591,'Fund Utilization Report'!$A$4:$U$1800,6,FALSE)</f>
        <v>GOP</v>
      </c>
      <c r="Y591" s="417">
        <f>VLOOKUP(H591,'Fund Utilization Report'!$A$4:$U$1800,7,FALSE)</f>
        <v>795</v>
      </c>
      <c r="Z591" s="418" t="str">
        <f>VLOOKUP(H591,'Fund Utilization Report'!$A$4:$U$1800,8,FALSE)</f>
        <v>50212990 00</v>
      </c>
      <c r="AA591" s="63" t="str">
        <f>VLOOKUP(H591,'Fund Utilization Report'!$A$4:$U$1800,14,FALSE)</f>
        <v>330100100003000</v>
      </c>
      <c r="AB591" s="419" t="str">
        <f>VLOOKUP(H591,'Fund Utilization Report'!$A$4:$U$1800,15,FALSE)</f>
        <v>MSME Development Program : Program Beneficiaries Development Component of the Comprehensive Agrarian Reform Program</v>
      </c>
      <c r="AC591" s="406"/>
      <c r="AD591" s="403"/>
      <c r="AE591" s="406"/>
      <c r="AF591" s="406"/>
      <c r="AG591" s="407"/>
      <c r="AH591" s="407"/>
    </row>
    <row r="592" spans="1:34" s="411" customFormat="1" ht="27.6">
      <c r="A592" s="405" t="s">
        <v>942</v>
      </c>
      <c r="B592" s="405" t="s">
        <v>945</v>
      </c>
      <c r="C592" s="402">
        <v>44237</v>
      </c>
      <c r="D592" s="403" t="s">
        <v>1028</v>
      </c>
      <c r="E592" s="404" t="s">
        <v>1155</v>
      </c>
      <c r="F592" s="405">
        <v>0.6743055555555556</v>
      </c>
      <c r="G592" s="405">
        <v>0.67569444444444438</v>
      </c>
      <c r="H592" s="405" t="s">
        <v>986</v>
      </c>
      <c r="I592" s="416">
        <v>751</v>
      </c>
      <c r="J592" s="405" t="str">
        <f>IFERROR(VLOOKUP(I592,'Chart of accounts'!A:H,2,FALSE),"")</f>
        <v>50201010 00</v>
      </c>
      <c r="K592" s="405" t="str">
        <f>IFERROR(VLOOKUP(I592,'Chart of accounts'!A:H,3,FALSE),"")</f>
        <v>Traveling Expenses - Local</v>
      </c>
      <c r="L592" s="405" t="str">
        <f>IFERROR(VLOOKUP(I592,'Chart of accounts'!A:H,4,FALSE),"")</f>
        <v>50201010 00 - Traveling Expenses - Local (751)</v>
      </c>
      <c r="M592" s="408">
        <v>67</v>
      </c>
      <c r="N592" s="409" t="s">
        <v>822</v>
      </c>
      <c r="O592" s="409" t="s">
        <v>1150</v>
      </c>
      <c r="P592" s="409"/>
      <c r="Q592" s="65">
        <f>9900-9900</f>
        <v>0</v>
      </c>
      <c r="R592" s="63">
        <f t="shared" si="9"/>
        <v>0</v>
      </c>
      <c r="S592" s="63" t="str">
        <f>VLOOKUP(H592,'Fund Utilization Report'!$A$4:$U$1800,13,FALSE)</f>
        <v>MOOE</v>
      </c>
      <c r="T592" s="63" t="str">
        <f>VLOOKUP(H592,'Fund Utilization Report'!$A$4:$U$1800,2,FALSE)</f>
        <v>SAA37</v>
      </c>
      <c r="U592" s="63" t="str">
        <f>VLOOKUP(H592,'Fund Utilization Report'!$A$4:$U$1800,3,FALSE)</f>
        <v>2021-01-0037</v>
      </c>
      <c r="V592" s="63" t="str">
        <f>VLOOKUP(H592,'Fund Utilization Report'!$A$4:$U$1800,4,FALSE)</f>
        <v>CARP</v>
      </c>
      <c r="W592" s="63" t="str">
        <f>VLOOKUP(H592,'Fund Utilization Report'!$A$4:$U$1800,5,FALSE)</f>
        <v>01101101</v>
      </c>
      <c r="X592" s="63" t="str">
        <f>VLOOKUP(H592,'Fund Utilization Report'!$A$4:$U$1800,6,FALSE)</f>
        <v>GOP</v>
      </c>
      <c r="Y592" s="417">
        <f>VLOOKUP(H592,'Fund Utilization Report'!$A$4:$U$1800,7,FALSE)</f>
        <v>751</v>
      </c>
      <c r="Z592" s="418" t="str">
        <f>VLOOKUP(H592,'Fund Utilization Report'!$A$4:$U$1800,8,FALSE)</f>
        <v>50201010 00</v>
      </c>
      <c r="AA592" s="63" t="str">
        <f>VLOOKUP(H592,'Fund Utilization Report'!$A$4:$U$1800,14,FALSE)</f>
        <v>330100100003000</v>
      </c>
      <c r="AB592" s="419" t="str">
        <f>VLOOKUP(H592,'Fund Utilization Report'!$A$4:$U$1800,15,FALSE)</f>
        <v>MSME Development Program : Program Beneficiaries Development Component of the Comprehensive Agrarian Reform Program</v>
      </c>
      <c r="AC592" s="406"/>
      <c r="AD592" s="403"/>
      <c r="AE592" s="406"/>
      <c r="AF592" s="406"/>
      <c r="AG592" s="407"/>
      <c r="AH592" s="407"/>
    </row>
    <row r="593" spans="1:34" s="411" customFormat="1" ht="27.6">
      <c r="A593" s="405" t="s">
        <v>942</v>
      </c>
      <c r="B593" s="405" t="s">
        <v>945</v>
      </c>
      <c r="C593" s="402">
        <v>44237</v>
      </c>
      <c r="D593" s="403" t="s">
        <v>1028</v>
      </c>
      <c r="E593" s="404" t="s">
        <v>1155</v>
      </c>
      <c r="F593" s="405">
        <v>0.6743055555555556</v>
      </c>
      <c r="G593" s="405">
        <v>0.67569444444444438</v>
      </c>
      <c r="H593" s="405" t="s">
        <v>987</v>
      </c>
      <c r="I593" s="416">
        <v>753</v>
      </c>
      <c r="J593" s="405" t="str">
        <f>IFERROR(VLOOKUP(I593,'Chart of accounts'!A:H,2,FALSE),"")</f>
        <v>50202010 00</v>
      </c>
      <c r="K593" s="405" t="str">
        <f>IFERROR(VLOOKUP(I593,'Chart of accounts'!A:H,3,FALSE),"")</f>
        <v>Training Expenses</v>
      </c>
      <c r="L593" s="405" t="str">
        <f>IFERROR(VLOOKUP(I593,'Chart of accounts'!A:H,4,FALSE),"")</f>
        <v>50202010 00 - Training Expenses (753)</v>
      </c>
      <c r="M593" s="408">
        <v>67</v>
      </c>
      <c r="N593" s="409" t="s">
        <v>822</v>
      </c>
      <c r="O593" s="409" t="s">
        <v>1150</v>
      </c>
      <c r="P593" s="409"/>
      <c r="Q593" s="65">
        <f>42285-42285</f>
        <v>0</v>
      </c>
      <c r="R593" s="63">
        <f t="shared" si="9"/>
        <v>0</v>
      </c>
      <c r="S593" s="63" t="str">
        <f>VLOOKUP(H593,'Fund Utilization Report'!$A$4:$U$1800,13,FALSE)</f>
        <v>MOOE</v>
      </c>
      <c r="T593" s="63" t="str">
        <f>VLOOKUP(H593,'Fund Utilization Report'!$A$4:$U$1800,2,FALSE)</f>
        <v>SAA37</v>
      </c>
      <c r="U593" s="63" t="str">
        <f>VLOOKUP(H593,'Fund Utilization Report'!$A$4:$U$1800,3,FALSE)</f>
        <v>2021-01-0037</v>
      </c>
      <c r="V593" s="63" t="str">
        <f>VLOOKUP(H593,'Fund Utilization Report'!$A$4:$U$1800,4,FALSE)</f>
        <v>CARP</v>
      </c>
      <c r="W593" s="63" t="str">
        <f>VLOOKUP(H593,'Fund Utilization Report'!$A$4:$U$1800,5,FALSE)</f>
        <v>01101101</v>
      </c>
      <c r="X593" s="63" t="str">
        <f>VLOOKUP(H593,'Fund Utilization Report'!$A$4:$U$1800,6,FALSE)</f>
        <v>GOP</v>
      </c>
      <c r="Y593" s="417">
        <f>VLOOKUP(H593,'Fund Utilization Report'!$A$4:$U$1800,7,FALSE)</f>
        <v>753</v>
      </c>
      <c r="Z593" s="418" t="str">
        <f>VLOOKUP(H593,'Fund Utilization Report'!$A$4:$U$1800,8,FALSE)</f>
        <v>50202010 00</v>
      </c>
      <c r="AA593" s="63" t="str">
        <f>VLOOKUP(H593,'Fund Utilization Report'!$A$4:$U$1800,14,FALSE)</f>
        <v>330100100003000</v>
      </c>
      <c r="AB593" s="419" t="str">
        <f>VLOOKUP(H593,'Fund Utilization Report'!$A$4:$U$1800,15,FALSE)</f>
        <v>MSME Development Program : Program Beneficiaries Development Component of the Comprehensive Agrarian Reform Program</v>
      </c>
      <c r="AC593" s="406"/>
      <c r="AD593" s="403"/>
      <c r="AE593" s="406"/>
      <c r="AF593" s="406"/>
      <c r="AG593" s="407"/>
      <c r="AH593" s="407"/>
    </row>
    <row r="594" spans="1:34" s="411" customFormat="1" ht="27.6">
      <c r="A594" s="405" t="s">
        <v>942</v>
      </c>
      <c r="B594" s="405" t="s">
        <v>945</v>
      </c>
      <c r="C594" s="402">
        <v>44237</v>
      </c>
      <c r="D594" s="403" t="s">
        <v>1028</v>
      </c>
      <c r="E594" s="404" t="s">
        <v>1155</v>
      </c>
      <c r="F594" s="405">
        <v>0.6743055555555556</v>
      </c>
      <c r="G594" s="405">
        <v>0.67569444444444438</v>
      </c>
      <c r="H594" s="405" t="s">
        <v>988</v>
      </c>
      <c r="I594" s="416">
        <v>755</v>
      </c>
      <c r="J594" s="405" t="str">
        <f>IFERROR(VLOOKUP(I594,'Chart of accounts'!A:H,2,FALSE),"")</f>
        <v>50203010 00</v>
      </c>
      <c r="K594" s="405" t="str">
        <f>IFERROR(VLOOKUP(I594,'Chart of accounts'!A:H,3,FALSE),"")</f>
        <v>Office Supplies Expenses</v>
      </c>
      <c r="L594" s="405" t="str">
        <f>IFERROR(VLOOKUP(I594,'Chart of accounts'!A:H,4,FALSE),"")</f>
        <v>50203010 00 - Office Supplies Expenses (755)</v>
      </c>
      <c r="M594" s="408">
        <v>67</v>
      </c>
      <c r="N594" s="409" t="s">
        <v>822</v>
      </c>
      <c r="O594" s="409" t="s">
        <v>1150</v>
      </c>
      <c r="P594" s="409"/>
      <c r="Q594" s="65">
        <f>2500-2500</f>
        <v>0</v>
      </c>
      <c r="R594" s="63">
        <f t="shared" si="9"/>
        <v>0</v>
      </c>
      <c r="S594" s="63" t="str">
        <f>VLOOKUP(H594,'Fund Utilization Report'!$A$4:$U$1800,13,FALSE)</f>
        <v>MOOE</v>
      </c>
      <c r="T594" s="63" t="str">
        <f>VLOOKUP(H594,'Fund Utilization Report'!$A$4:$U$1800,2,FALSE)</f>
        <v>SAA37</v>
      </c>
      <c r="U594" s="63" t="str">
        <f>VLOOKUP(H594,'Fund Utilization Report'!$A$4:$U$1800,3,FALSE)</f>
        <v>2021-01-0037</v>
      </c>
      <c r="V594" s="63" t="str">
        <f>VLOOKUP(H594,'Fund Utilization Report'!$A$4:$U$1800,4,FALSE)</f>
        <v>CARP</v>
      </c>
      <c r="W594" s="63" t="str">
        <f>VLOOKUP(H594,'Fund Utilization Report'!$A$4:$U$1800,5,FALSE)</f>
        <v>01101101</v>
      </c>
      <c r="X594" s="63" t="str">
        <f>VLOOKUP(H594,'Fund Utilization Report'!$A$4:$U$1800,6,FALSE)</f>
        <v>GOP</v>
      </c>
      <c r="Y594" s="417">
        <f>VLOOKUP(H594,'Fund Utilization Report'!$A$4:$U$1800,7,FALSE)</f>
        <v>755</v>
      </c>
      <c r="Z594" s="418" t="str">
        <f>VLOOKUP(H594,'Fund Utilization Report'!$A$4:$U$1800,8,FALSE)</f>
        <v>50203010 00</v>
      </c>
      <c r="AA594" s="63" t="str">
        <f>VLOOKUP(H594,'Fund Utilization Report'!$A$4:$U$1800,14,FALSE)</f>
        <v>330100100003000</v>
      </c>
      <c r="AB594" s="419" t="str">
        <f>VLOOKUP(H594,'Fund Utilization Report'!$A$4:$U$1800,15,FALSE)</f>
        <v>MSME Development Program : Program Beneficiaries Development Component of the Comprehensive Agrarian Reform Program</v>
      </c>
      <c r="AC594" s="406"/>
      <c r="AD594" s="403"/>
      <c r="AE594" s="406"/>
      <c r="AF594" s="406"/>
      <c r="AG594" s="407"/>
      <c r="AH594" s="407"/>
    </row>
    <row r="595" spans="1:34" s="411" customFormat="1" ht="27.6">
      <c r="A595" s="405" t="s">
        <v>942</v>
      </c>
      <c r="B595" s="405" t="s">
        <v>945</v>
      </c>
      <c r="C595" s="402">
        <v>44237</v>
      </c>
      <c r="D595" s="403" t="s">
        <v>1028</v>
      </c>
      <c r="E595" s="404" t="s">
        <v>1155</v>
      </c>
      <c r="F595" s="405">
        <v>0.6743055555555556</v>
      </c>
      <c r="G595" s="405">
        <v>0.67569444444444438</v>
      </c>
      <c r="H595" s="405" t="s">
        <v>991</v>
      </c>
      <c r="I595" s="416">
        <v>773</v>
      </c>
      <c r="J595" s="405" t="str">
        <f>IFERROR(VLOOKUP(I595,'Chart of accounts'!A:H,2,FALSE),"")</f>
        <v>50205020 01</v>
      </c>
      <c r="K595" s="405" t="str">
        <f>IFERROR(VLOOKUP(I595,'Chart of accounts'!A:H,3,FALSE),"")</f>
        <v xml:space="preserve">Telephone Expenses - Mobile </v>
      </c>
      <c r="L595" s="405" t="str">
        <f>IFERROR(VLOOKUP(I595,'Chart of accounts'!A:H,4,FALSE),"")</f>
        <v>50205020 01 - Telephone Expenses - Mobile  (773)</v>
      </c>
      <c r="M595" s="408">
        <v>67</v>
      </c>
      <c r="N595" s="409" t="s">
        <v>822</v>
      </c>
      <c r="O595" s="409" t="s">
        <v>1150</v>
      </c>
      <c r="P595" s="409"/>
      <c r="Q595" s="65">
        <f>750-750</f>
        <v>0</v>
      </c>
      <c r="R595" s="63">
        <f t="shared" si="9"/>
        <v>0</v>
      </c>
      <c r="S595" s="63" t="str">
        <f>VLOOKUP(H595,'Fund Utilization Report'!$A$4:$U$1800,13,FALSE)</f>
        <v>MOOE</v>
      </c>
      <c r="T595" s="63" t="str">
        <f>VLOOKUP(H595,'Fund Utilization Report'!$A$4:$U$1800,2,FALSE)</f>
        <v>SAA37</v>
      </c>
      <c r="U595" s="63" t="str">
        <f>VLOOKUP(H595,'Fund Utilization Report'!$A$4:$U$1800,3,FALSE)</f>
        <v>2021-01-0037</v>
      </c>
      <c r="V595" s="63" t="str">
        <f>VLOOKUP(H595,'Fund Utilization Report'!$A$4:$U$1800,4,FALSE)</f>
        <v>CARP</v>
      </c>
      <c r="W595" s="63" t="str">
        <f>VLOOKUP(H595,'Fund Utilization Report'!$A$4:$U$1800,5,FALSE)</f>
        <v>01101101</v>
      </c>
      <c r="X595" s="63" t="str">
        <f>VLOOKUP(H595,'Fund Utilization Report'!$A$4:$U$1800,6,FALSE)</f>
        <v>GOP</v>
      </c>
      <c r="Y595" s="417">
        <f>VLOOKUP(H595,'Fund Utilization Report'!$A$4:$U$1800,7,FALSE)</f>
        <v>773</v>
      </c>
      <c r="Z595" s="418" t="str">
        <f>VLOOKUP(H595,'Fund Utilization Report'!$A$4:$U$1800,8,FALSE)</f>
        <v>50205020 01</v>
      </c>
      <c r="AA595" s="63" t="str">
        <f>VLOOKUP(H595,'Fund Utilization Report'!$A$4:$U$1800,14,FALSE)</f>
        <v>330100100003000</v>
      </c>
      <c r="AB595" s="419" t="str">
        <f>VLOOKUP(H595,'Fund Utilization Report'!$A$4:$U$1800,15,FALSE)</f>
        <v>MSME Development Program : Program Beneficiaries Development Component of the Comprehensive Agrarian Reform Program</v>
      </c>
      <c r="AC595" s="406"/>
      <c r="AD595" s="403"/>
      <c r="AE595" s="406"/>
      <c r="AF595" s="406"/>
      <c r="AG595" s="407"/>
      <c r="AH595" s="407"/>
    </row>
    <row r="596" spans="1:34" s="411" customFormat="1" ht="27.6">
      <c r="A596" s="405" t="s">
        <v>942</v>
      </c>
      <c r="B596" s="405" t="s">
        <v>945</v>
      </c>
      <c r="C596" s="402">
        <v>44237</v>
      </c>
      <c r="D596" s="403" t="s">
        <v>1028</v>
      </c>
      <c r="E596" s="404" t="s">
        <v>1155</v>
      </c>
      <c r="F596" s="405">
        <v>0.6743055555555556</v>
      </c>
      <c r="G596" s="405">
        <v>0.67569444444444438</v>
      </c>
      <c r="H596" s="405" t="s">
        <v>993</v>
      </c>
      <c r="I596" s="416">
        <v>799</v>
      </c>
      <c r="J596" s="405" t="str">
        <f>IFERROR(VLOOKUP(I596,'Chart of accounts'!A:H,2,FALSE),"")</f>
        <v>50211990 00</v>
      </c>
      <c r="K596" s="405" t="str">
        <f>IFERROR(VLOOKUP(I596,'Chart of accounts'!A:H,3,FALSE),"")</f>
        <v>Other Professional Services</v>
      </c>
      <c r="L596" s="405" t="str">
        <f>IFERROR(VLOOKUP(I596,'Chart of accounts'!A:H,4,FALSE),"")</f>
        <v>50211990 00 - Other Professional Services (799)</v>
      </c>
      <c r="M596" s="408">
        <v>67</v>
      </c>
      <c r="N596" s="409" t="s">
        <v>822</v>
      </c>
      <c r="O596" s="409" t="s">
        <v>1150</v>
      </c>
      <c r="P596" s="409"/>
      <c r="Q596" s="65">
        <f>15500-15500</f>
        <v>0</v>
      </c>
      <c r="R596" s="63">
        <f t="shared" si="9"/>
        <v>0</v>
      </c>
      <c r="S596" s="63" t="str">
        <f>VLOOKUP(H596,'Fund Utilization Report'!$A$4:$U$1800,13,FALSE)</f>
        <v>MOOE</v>
      </c>
      <c r="T596" s="63" t="str">
        <f>VLOOKUP(H596,'Fund Utilization Report'!$A$4:$U$1800,2,FALSE)</f>
        <v>SAA37</v>
      </c>
      <c r="U596" s="63" t="str">
        <f>VLOOKUP(H596,'Fund Utilization Report'!$A$4:$U$1800,3,FALSE)</f>
        <v>2021-01-0037</v>
      </c>
      <c r="V596" s="63" t="str">
        <f>VLOOKUP(H596,'Fund Utilization Report'!$A$4:$U$1800,4,FALSE)</f>
        <v>CARP</v>
      </c>
      <c r="W596" s="63" t="str">
        <f>VLOOKUP(H596,'Fund Utilization Report'!$A$4:$U$1800,5,FALSE)</f>
        <v>01101101</v>
      </c>
      <c r="X596" s="63" t="str">
        <f>VLOOKUP(H596,'Fund Utilization Report'!$A$4:$U$1800,6,FALSE)</f>
        <v>GOP</v>
      </c>
      <c r="Y596" s="417">
        <f>VLOOKUP(H596,'Fund Utilization Report'!$A$4:$U$1800,7,FALSE)</f>
        <v>799</v>
      </c>
      <c r="Z596" s="418" t="str">
        <f>VLOOKUP(H596,'Fund Utilization Report'!$A$4:$U$1800,8,FALSE)</f>
        <v>50211990 00</v>
      </c>
      <c r="AA596" s="63" t="str">
        <f>VLOOKUP(H596,'Fund Utilization Report'!$A$4:$U$1800,14,FALSE)</f>
        <v>330100100003000</v>
      </c>
      <c r="AB596" s="419" t="str">
        <f>VLOOKUP(H596,'Fund Utilization Report'!$A$4:$U$1800,15,FALSE)</f>
        <v>MSME Development Program : Program Beneficiaries Development Component of the Comprehensive Agrarian Reform Program</v>
      </c>
      <c r="AC596" s="406"/>
      <c r="AD596" s="403"/>
      <c r="AE596" s="406"/>
      <c r="AF596" s="406"/>
      <c r="AG596" s="407"/>
      <c r="AH596" s="407"/>
    </row>
    <row r="597" spans="1:34" s="32" customFormat="1" ht="27.6">
      <c r="A597" s="338" t="s">
        <v>942</v>
      </c>
      <c r="B597" s="338" t="s">
        <v>945</v>
      </c>
      <c r="C597" s="358">
        <v>44237</v>
      </c>
      <c r="D597" s="351" t="s">
        <v>1028</v>
      </c>
      <c r="E597" s="352" t="s">
        <v>1156</v>
      </c>
      <c r="F597" s="338">
        <v>0.67569444444444438</v>
      </c>
      <c r="G597" s="338">
        <v>0.68263888888888891</v>
      </c>
      <c r="H597" s="338" t="s">
        <v>982</v>
      </c>
      <c r="I597" s="353" t="s">
        <v>687</v>
      </c>
      <c r="J597" s="338" t="str">
        <f>IFERROR(VLOOKUP(I597,'Chart of accounts'!A:H,2,FALSE),"")</f>
        <v>50299050 03</v>
      </c>
      <c r="K597" s="338" t="str">
        <f>IFERROR(VLOOKUP(I597,'Chart of accounts'!A:H,3,FALSE),"")</f>
        <v>Rent - Motor Vehicle</v>
      </c>
      <c r="L597" s="338" t="str">
        <f>IFERROR(VLOOKUP(I597,'Chart of accounts'!A:H,4,FALSE),"")</f>
        <v>50299050 03 - Rent - Motor Vehicle (782-VEH)</v>
      </c>
      <c r="M597" s="361">
        <v>1</v>
      </c>
      <c r="N597" s="355" t="s">
        <v>1157</v>
      </c>
      <c r="O597" s="355" t="s">
        <v>1158</v>
      </c>
      <c r="P597" s="355"/>
      <c r="Q597" s="363">
        <v>11500</v>
      </c>
      <c r="R597" s="319">
        <f t="shared" ref="R597:R639" si="10">P597-Q597</f>
        <v>-11500</v>
      </c>
      <c r="S597" s="319" t="str">
        <f>VLOOKUP(H597,'Fund Utilization Report'!$A$4:$U$1800,13,FALSE)</f>
        <v>MOOE</v>
      </c>
      <c r="T597" s="319" t="str">
        <f>VLOOKUP(H597,'Fund Utilization Report'!$A$4:$U$1800,2,FALSE)</f>
        <v>GAA</v>
      </c>
      <c r="U597" s="319" t="str">
        <f>VLOOKUP(H597,'Fund Utilization Report'!$A$4:$U$1800,3,FALSE)</f>
        <v>FY2021, RA11518</v>
      </c>
      <c r="V597" s="319" t="str">
        <f>VLOOKUP(H597,'Fund Utilization Report'!$A$4:$U$1800,4,FALSE)</f>
        <v>OTOP</v>
      </c>
      <c r="W597" s="319" t="str">
        <f>VLOOKUP(H597,'Fund Utilization Report'!$A$4:$U$1800,5,FALSE)</f>
        <v>01101101</v>
      </c>
      <c r="X597" s="319" t="str">
        <f>VLOOKUP(H597,'Fund Utilization Report'!$A$4:$U$1800,6,FALSE)</f>
        <v>GOP</v>
      </c>
      <c r="Y597" s="320" t="str">
        <f>VLOOKUP(H597,'Fund Utilization Report'!$A$4:$U$1800,7,FALSE)</f>
        <v>MOOE</v>
      </c>
      <c r="Z597" s="321">
        <f>VLOOKUP(H597,'Fund Utilization Report'!$A$4:$U$1800,8,FALSE)</f>
        <v>5020000000</v>
      </c>
      <c r="AA597" s="319" t="str">
        <f>VLOOKUP(H597,'Fund Utilization Report'!$A$4:$U$1800,14,FALSE)</f>
        <v>330100200002000</v>
      </c>
      <c r="AB597" s="349" t="str">
        <f>VLOOKUP(H597,'Fund Utilization Report'!$A$4:$U$1800,15,FALSE)</f>
        <v>OTOP - Next Generation</v>
      </c>
      <c r="AC597" s="39"/>
      <c r="AD597" s="34"/>
      <c r="AE597" s="39"/>
      <c r="AF597" s="51"/>
      <c r="AG597" s="40"/>
      <c r="AH597" s="40"/>
    </row>
    <row r="598" spans="1:34" s="32" customFormat="1" ht="27.6">
      <c r="A598" s="338" t="s">
        <v>942</v>
      </c>
      <c r="B598" s="338" t="s">
        <v>945</v>
      </c>
      <c r="C598" s="358">
        <v>44238</v>
      </c>
      <c r="D598" s="351" t="s">
        <v>1028</v>
      </c>
      <c r="E598" s="352" t="s">
        <v>1159</v>
      </c>
      <c r="F598" s="338">
        <v>0.48194444444444445</v>
      </c>
      <c r="G598" s="338">
        <v>0.4861111111111111</v>
      </c>
      <c r="H598" s="338" t="s">
        <v>960</v>
      </c>
      <c r="I598" s="353">
        <v>701</v>
      </c>
      <c r="J598" s="338" t="str">
        <f>IFERROR(VLOOKUP(I598,'Chart of accounts'!A:H,2,FALSE),"")</f>
        <v>50101010 01</v>
      </c>
      <c r="K598" s="338" t="str">
        <f>IFERROR(VLOOKUP(I598,'Chart of accounts'!A:H,3,FALSE),"")</f>
        <v>Basic Salary - Civilian</v>
      </c>
      <c r="L598" s="338" t="str">
        <f>IFERROR(VLOOKUP(I598,'Chart of accounts'!A:H,4,FALSE),"")</f>
        <v>50101010 01 - Basic Salary - Civilian (701)</v>
      </c>
      <c r="M598" s="361">
        <v>2</v>
      </c>
      <c r="N598" s="355" t="s">
        <v>789</v>
      </c>
      <c r="O598" s="355" t="s">
        <v>1113</v>
      </c>
      <c r="P598" s="355"/>
      <c r="Q598" s="363">
        <v>57452</v>
      </c>
      <c r="R598" s="319">
        <f t="shared" si="10"/>
        <v>-57452</v>
      </c>
      <c r="S598" s="319" t="str">
        <f>VLOOKUP(H598,'Fund Utilization Report'!$A$4:$U$1800,13,FALSE)</f>
        <v>PS</v>
      </c>
      <c r="T598" s="319" t="str">
        <f>VLOOKUP(H598,'Fund Utilization Report'!$A$4:$U$1800,2,FALSE)</f>
        <v>GAA</v>
      </c>
      <c r="U598" s="319" t="str">
        <f>VLOOKUP(H598,'Fund Utilization Report'!$A$4:$U$1800,3,FALSE)</f>
        <v>FY2021, RA11518</v>
      </c>
      <c r="V598" s="319" t="str">
        <f>VLOOKUP(H598,'Fund Utilization Report'!$A$4:$U$1800,4,FALSE)</f>
        <v>GAS(GMS)</v>
      </c>
      <c r="W598" s="319" t="str">
        <f>VLOOKUP(H598,'Fund Utilization Report'!$A$4:$U$1800,5,FALSE)</f>
        <v>01101101</v>
      </c>
      <c r="X598" s="319" t="str">
        <f>VLOOKUP(H598,'Fund Utilization Report'!$A$4:$U$1800,6,FALSE)</f>
        <v>GOP</v>
      </c>
      <c r="Y598" s="320" t="str">
        <f>VLOOKUP(H598,'Fund Utilization Report'!$A$4:$U$1800,7,FALSE)</f>
        <v>PS</v>
      </c>
      <c r="Z598" s="321">
        <f>VLOOKUP(H598,'Fund Utilization Report'!$A$4:$U$1800,8,FALSE)</f>
        <v>5010000000</v>
      </c>
      <c r="AA598" s="319" t="str">
        <f>VLOOKUP(H598,'Fund Utilization Report'!$A$4:$U$1800,14,FALSE)</f>
        <v>100000100001000</v>
      </c>
      <c r="AB598" s="349" t="str">
        <f>VLOOKUP(H598,'Fund Utilization Report'!$A$4:$U$1800,15,FALSE)</f>
        <v>General Administration and Supervision - General Management and Supervision</v>
      </c>
      <c r="AC598" s="39"/>
      <c r="AD598" s="34"/>
      <c r="AE598" s="39"/>
      <c r="AF598" s="51"/>
      <c r="AG598" s="40"/>
      <c r="AH598" s="40"/>
    </row>
    <row r="599" spans="1:34" s="32" customFormat="1" ht="27.6">
      <c r="A599" s="338" t="s">
        <v>942</v>
      </c>
      <c r="B599" s="338" t="s">
        <v>945</v>
      </c>
      <c r="C599" s="358">
        <v>44238</v>
      </c>
      <c r="D599" s="351" t="s">
        <v>1028</v>
      </c>
      <c r="E599" s="352" t="s">
        <v>1159</v>
      </c>
      <c r="F599" s="338">
        <v>0.48194444444444445</v>
      </c>
      <c r="G599" s="338">
        <v>0.4861111111111111</v>
      </c>
      <c r="H599" s="338" t="s">
        <v>960</v>
      </c>
      <c r="I599" s="353">
        <v>711</v>
      </c>
      <c r="J599" s="338" t="str">
        <f>IFERROR(VLOOKUP(I599,'Chart of accounts'!A:H,2,FALSE),"")</f>
        <v>50102010 01</v>
      </c>
      <c r="K599" s="338" t="str">
        <f>IFERROR(VLOOKUP(I599,'Chart of accounts'!A:H,3,FALSE),"")</f>
        <v>PERA - Civilian</v>
      </c>
      <c r="L599" s="338" t="str">
        <f>IFERROR(VLOOKUP(I599,'Chart of accounts'!A:H,4,FALSE),"")</f>
        <v>50102010 01 - PERA - Civilian (711)</v>
      </c>
      <c r="M599" s="361">
        <v>2</v>
      </c>
      <c r="N599" s="355" t="s">
        <v>789</v>
      </c>
      <c r="O599" s="355" t="s">
        <v>1113</v>
      </c>
      <c r="P599" s="355"/>
      <c r="Q599" s="363">
        <v>4000</v>
      </c>
      <c r="R599" s="319">
        <f t="shared" si="10"/>
        <v>-4000</v>
      </c>
      <c r="S599" s="319" t="str">
        <f>VLOOKUP(H599,'Fund Utilization Report'!$A$4:$U$1800,13,FALSE)</f>
        <v>PS</v>
      </c>
      <c r="T599" s="319" t="str">
        <f>VLOOKUP(H599,'Fund Utilization Report'!$A$4:$U$1800,2,FALSE)</f>
        <v>GAA</v>
      </c>
      <c r="U599" s="319" t="str">
        <f>VLOOKUP(H599,'Fund Utilization Report'!$A$4:$U$1800,3,FALSE)</f>
        <v>FY2021, RA11518</v>
      </c>
      <c r="V599" s="319" t="str">
        <f>VLOOKUP(H599,'Fund Utilization Report'!$A$4:$U$1800,4,FALSE)</f>
        <v>GAS(GMS)</v>
      </c>
      <c r="W599" s="319" t="str">
        <f>VLOOKUP(H599,'Fund Utilization Report'!$A$4:$U$1800,5,FALSE)</f>
        <v>01101101</v>
      </c>
      <c r="X599" s="319" t="str">
        <f>VLOOKUP(H599,'Fund Utilization Report'!$A$4:$U$1800,6,FALSE)</f>
        <v>GOP</v>
      </c>
      <c r="Y599" s="320" t="str">
        <f>VLOOKUP(H599,'Fund Utilization Report'!$A$4:$U$1800,7,FALSE)</f>
        <v>PS</v>
      </c>
      <c r="Z599" s="321">
        <f>VLOOKUP(H599,'Fund Utilization Report'!$A$4:$U$1800,8,FALSE)</f>
        <v>5010000000</v>
      </c>
      <c r="AA599" s="319" t="str">
        <f>VLOOKUP(H599,'Fund Utilization Report'!$A$4:$U$1800,14,FALSE)</f>
        <v>100000100001000</v>
      </c>
      <c r="AB599" s="349" t="str">
        <f>VLOOKUP(H599,'Fund Utilization Report'!$A$4:$U$1800,15,FALSE)</f>
        <v>General Administration and Supervision - General Management and Supervision</v>
      </c>
      <c r="AC599" s="39"/>
      <c r="AD599" s="34"/>
      <c r="AE599" s="39"/>
      <c r="AF599" s="51"/>
      <c r="AG599" s="40"/>
      <c r="AH599" s="40"/>
    </row>
    <row r="600" spans="1:34" s="32" customFormat="1" ht="27.6">
      <c r="A600" s="338" t="s">
        <v>942</v>
      </c>
      <c r="B600" s="338" t="s">
        <v>945</v>
      </c>
      <c r="C600" s="358">
        <v>44238</v>
      </c>
      <c r="D600" s="351" t="s">
        <v>1028</v>
      </c>
      <c r="E600" s="352" t="s">
        <v>1159</v>
      </c>
      <c r="F600" s="338">
        <v>0.48194444444444445</v>
      </c>
      <c r="G600" s="338">
        <v>0.4861111111111111</v>
      </c>
      <c r="H600" s="338" t="s">
        <v>962</v>
      </c>
      <c r="I600" s="353">
        <v>731</v>
      </c>
      <c r="J600" s="338" t="str">
        <f>IFERROR(VLOOKUP(I600,'Chart of accounts'!A:H,2,FALSE),"")</f>
        <v>50103010 00</v>
      </c>
      <c r="K600" s="338" t="str">
        <f>IFERROR(VLOOKUP(I600,'Chart of accounts'!A:H,3,FALSE),"")</f>
        <v>Retirement and Life Insurance Premiums</v>
      </c>
      <c r="L600" s="338" t="str">
        <f>IFERROR(VLOOKUP(I600,'Chart of accounts'!A:H,4,FALSE),"")</f>
        <v>50103010 00 - Retirement and Life Insurance Premiums (731)</v>
      </c>
      <c r="M600" s="361">
        <v>2</v>
      </c>
      <c r="N600" s="355" t="s">
        <v>789</v>
      </c>
      <c r="O600" s="355" t="s">
        <v>1113</v>
      </c>
      <c r="P600" s="355"/>
      <c r="Q600" s="363">
        <v>6894.24</v>
      </c>
      <c r="R600" s="319">
        <f t="shared" si="10"/>
        <v>-6894.24</v>
      </c>
      <c r="S600" s="319" t="str">
        <f>VLOOKUP(H600,'Fund Utilization Report'!$A$4:$U$1800,13,FALSE)</f>
        <v>PS</v>
      </c>
      <c r="T600" s="319" t="str">
        <f>VLOOKUP(H600,'Fund Utilization Report'!$A$4:$U$1800,2,FALSE)</f>
        <v>GAA</v>
      </c>
      <c r="U600" s="319" t="str">
        <f>VLOOKUP(H600,'Fund Utilization Report'!$A$4:$U$1800,3,FALSE)</f>
        <v>FY2021, RA11518</v>
      </c>
      <c r="V600" s="319" t="str">
        <f>VLOOKUP(H600,'Fund Utilization Report'!$A$4:$U$1800,4,FALSE)</f>
        <v>GAS(GMS)</v>
      </c>
      <c r="W600" s="319" t="str">
        <f>VLOOKUP(H600,'Fund Utilization Report'!$A$4:$U$1800,5,FALSE)</f>
        <v>01101101</v>
      </c>
      <c r="X600" s="319" t="str">
        <f>VLOOKUP(H600,'Fund Utilization Report'!$A$4:$U$1800,6,FALSE)</f>
        <v>GOP</v>
      </c>
      <c r="Y600" s="320" t="str">
        <f>VLOOKUP(H600,'Fund Utilization Report'!$A$4:$U$1800,7,FALSE)</f>
        <v>RLIP</v>
      </c>
      <c r="Z600" s="321" t="str">
        <f>VLOOKUP(H600,'Fund Utilization Report'!$A$4:$U$1800,8,FALSE)</f>
        <v>50103010-00</v>
      </c>
      <c r="AA600" s="319" t="str">
        <f>VLOOKUP(H600,'Fund Utilization Report'!$A$4:$U$1800,14,FALSE)</f>
        <v>100000100001000</v>
      </c>
      <c r="AB600" s="349" t="str">
        <f>VLOOKUP(H600,'Fund Utilization Report'!$A$4:$U$1800,15,FALSE)</f>
        <v>General Administration and Supervision - General Management and Supervision</v>
      </c>
      <c r="AC600" s="39"/>
      <c r="AD600" s="34"/>
      <c r="AE600" s="39"/>
      <c r="AF600" s="51"/>
      <c r="AG600" s="40"/>
      <c r="AH600" s="40"/>
    </row>
    <row r="601" spans="1:34" s="32" customFormat="1" ht="27.6">
      <c r="A601" s="338" t="s">
        <v>942</v>
      </c>
      <c r="B601" s="338" t="s">
        <v>945</v>
      </c>
      <c r="C601" s="358">
        <v>44238</v>
      </c>
      <c r="D601" s="351" t="s">
        <v>1028</v>
      </c>
      <c r="E601" s="352" t="s">
        <v>1159</v>
      </c>
      <c r="F601" s="338">
        <v>0.48194444444444445</v>
      </c>
      <c r="G601" s="338">
        <v>0.4861111111111111</v>
      </c>
      <c r="H601" s="338" t="s">
        <v>960</v>
      </c>
      <c r="I601" s="353">
        <v>732</v>
      </c>
      <c r="J601" s="338" t="str">
        <f>IFERROR(VLOOKUP(I601,'Chart of accounts'!A:H,2,FALSE),"")</f>
        <v>50103020 01</v>
      </c>
      <c r="K601" s="338" t="str">
        <f>IFERROR(VLOOKUP(I601,'Chart of accounts'!A:H,3,FALSE),"")</f>
        <v>Pag-IBIG - Civilian</v>
      </c>
      <c r="L601" s="338" t="str">
        <f>IFERROR(VLOOKUP(I601,'Chart of accounts'!A:H,4,FALSE),"")</f>
        <v>50103020 01 - Pag-IBIG - Civilian (732)</v>
      </c>
      <c r="M601" s="361">
        <v>2</v>
      </c>
      <c r="N601" s="355" t="s">
        <v>789</v>
      </c>
      <c r="O601" s="355" t="s">
        <v>1113</v>
      </c>
      <c r="P601" s="355"/>
      <c r="Q601" s="363">
        <v>200</v>
      </c>
      <c r="R601" s="319">
        <f t="shared" si="10"/>
        <v>-200</v>
      </c>
      <c r="S601" s="319" t="str">
        <f>VLOOKUP(H601,'Fund Utilization Report'!$A$4:$U$1800,13,FALSE)</f>
        <v>PS</v>
      </c>
      <c r="T601" s="319" t="str">
        <f>VLOOKUP(H601,'Fund Utilization Report'!$A$4:$U$1800,2,FALSE)</f>
        <v>GAA</v>
      </c>
      <c r="U601" s="319" t="str">
        <f>VLOOKUP(H601,'Fund Utilization Report'!$A$4:$U$1800,3,FALSE)</f>
        <v>FY2021, RA11518</v>
      </c>
      <c r="V601" s="319" t="str">
        <f>VLOOKUP(H601,'Fund Utilization Report'!$A$4:$U$1800,4,FALSE)</f>
        <v>GAS(GMS)</v>
      </c>
      <c r="W601" s="319" t="str">
        <f>VLOOKUP(H601,'Fund Utilization Report'!$A$4:$U$1800,5,FALSE)</f>
        <v>01101101</v>
      </c>
      <c r="X601" s="319" t="str">
        <f>VLOOKUP(H601,'Fund Utilization Report'!$A$4:$U$1800,6,FALSE)</f>
        <v>GOP</v>
      </c>
      <c r="Y601" s="320" t="str">
        <f>VLOOKUP(H601,'Fund Utilization Report'!$A$4:$U$1800,7,FALSE)</f>
        <v>PS</v>
      </c>
      <c r="Z601" s="321">
        <f>VLOOKUP(H601,'Fund Utilization Report'!$A$4:$U$1800,8,FALSE)</f>
        <v>5010000000</v>
      </c>
      <c r="AA601" s="319" t="str">
        <f>VLOOKUP(H601,'Fund Utilization Report'!$A$4:$U$1800,14,FALSE)</f>
        <v>100000100001000</v>
      </c>
      <c r="AB601" s="349" t="str">
        <f>VLOOKUP(H601,'Fund Utilization Report'!$A$4:$U$1800,15,FALSE)</f>
        <v>General Administration and Supervision - General Management and Supervision</v>
      </c>
      <c r="AC601" s="39"/>
      <c r="AD601" s="34"/>
      <c r="AE601" s="39"/>
      <c r="AF601" s="51"/>
      <c r="AG601" s="40"/>
      <c r="AH601" s="40"/>
    </row>
    <row r="602" spans="1:34" s="32" customFormat="1" ht="27.6">
      <c r="A602" s="338" t="s">
        <v>942</v>
      </c>
      <c r="B602" s="338" t="s">
        <v>945</v>
      </c>
      <c r="C602" s="358">
        <v>44238</v>
      </c>
      <c r="D602" s="351" t="s">
        <v>1028</v>
      </c>
      <c r="E602" s="352" t="s">
        <v>1159</v>
      </c>
      <c r="F602" s="338">
        <v>0.48194444444444445</v>
      </c>
      <c r="G602" s="338">
        <v>0.4861111111111111</v>
      </c>
      <c r="H602" s="338" t="s">
        <v>960</v>
      </c>
      <c r="I602" s="353">
        <v>733</v>
      </c>
      <c r="J602" s="338" t="str">
        <f>IFERROR(VLOOKUP(I602,'Chart of accounts'!A:H,2,FALSE),"")</f>
        <v>50103030 01</v>
      </c>
      <c r="K602" s="338" t="str">
        <f>IFERROR(VLOOKUP(I602,'Chart of accounts'!A:H,3,FALSE),"")</f>
        <v>PhilHealth - Civilian</v>
      </c>
      <c r="L602" s="338" t="str">
        <f>IFERROR(VLOOKUP(I602,'Chart of accounts'!A:H,4,FALSE),"")</f>
        <v>50103030 01 - PhilHealth - Civilian (733)</v>
      </c>
      <c r="M602" s="361">
        <v>2</v>
      </c>
      <c r="N602" s="355" t="s">
        <v>789</v>
      </c>
      <c r="O602" s="355" t="s">
        <v>1113</v>
      </c>
      <c r="P602" s="355"/>
      <c r="Q602" s="363">
        <v>861.79</v>
      </c>
      <c r="R602" s="319">
        <f t="shared" si="10"/>
        <v>-861.79</v>
      </c>
      <c r="S602" s="319" t="str">
        <f>VLOOKUP(H602,'Fund Utilization Report'!$A$4:$U$1800,13,FALSE)</f>
        <v>PS</v>
      </c>
      <c r="T602" s="319" t="str">
        <f>VLOOKUP(H602,'Fund Utilization Report'!$A$4:$U$1800,2,FALSE)</f>
        <v>GAA</v>
      </c>
      <c r="U602" s="319" t="str">
        <f>VLOOKUP(H602,'Fund Utilization Report'!$A$4:$U$1800,3,FALSE)</f>
        <v>FY2021, RA11518</v>
      </c>
      <c r="V602" s="319" t="str">
        <f>VLOOKUP(H602,'Fund Utilization Report'!$A$4:$U$1800,4,FALSE)</f>
        <v>GAS(GMS)</v>
      </c>
      <c r="W602" s="319" t="str">
        <f>VLOOKUP(H602,'Fund Utilization Report'!$A$4:$U$1800,5,FALSE)</f>
        <v>01101101</v>
      </c>
      <c r="X602" s="319" t="str">
        <f>VLOOKUP(H602,'Fund Utilization Report'!$A$4:$U$1800,6,FALSE)</f>
        <v>GOP</v>
      </c>
      <c r="Y602" s="320" t="str">
        <f>VLOOKUP(H602,'Fund Utilization Report'!$A$4:$U$1800,7,FALSE)</f>
        <v>PS</v>
      </c>
      <c r="Z602" s="321">
        <f>VLOOKUP(H602,'Fund Utilization Report'!$A$4:$U$1800,8,FALSE)</f>
        <v>5010000000</v>
      </c>
      <c r="AA602" s="319" t="str">
        <f>VLOOKUP(H602,'Fund Utilization Report'!$A$4:$U$1800,14,FALSE)</f>
        <v>100000100001000</v>
      </c>
      <c r="AB602" s="349" t="str">
        <f>VLOOKUP(H602,'Fund Utilization Report'!$A$4:$U$1800,15,FALSE)</f>
        <v>General Administration and Supervision - General Management and Supervision</v>
      </c>
      <c r="AC602" s="39"/>
      <c r="AD602" s="34"/>
      <c r="AE602" s="39"/>
      <c r="AF602" s="51"/>
      <c r="AG602" s="40"/>
      <c r="AH602" s="40"/>
    </row>
    <row r="603" spans="1:34" s="32" customFormat="1" ht="27.6">
      <c r="A603" s="338" t="s">
        <v>942</v>
      </c>
      <c r="B603" s="338" t="s">
        <v>945</v>
      </c>
      <c r="C603" s="358">
        <v>44238</v>
      </c>
      <c r="D603" s="351" t="s">
        <v>1028</v>
      </c>
      <c r="E603" s="352" t="s">
        <v>1159</v>
      </c>
      <c r="F603" s="338">
        <v>0.48194444444444445</v>
      </c>
      <c r="G603" s="338">
        <v>0.4861111111111111</v>
      </c>
      <c r="H603" s="338" t="s">
        <v>960</v>
      </c>
      <c r="I603" s="353">
        <v>734</v>
      </c>
      <c r="J603" s="338" t="str">
        <f>IFERROR(VLOOKUP(I603,'Chart of accounts'!A:H,2,FALSE),"")</f>
        <v>50103040 01</v>
      </c>
      <c r="K603" s="338" t="str">
        <f>IFERROR(VLOOKUP(I603,'Chart of accounts'!A:H,3,FALSE),"")</f>
        <v>ECIP - Civilian</v>
      </c>
      <c r="L603" s="338" t="str">
        <f>IFERROR(VLOOKUP(I603,'Chart of accounts'!A:H,4,FALSE),"")</f>
        <v>50103040 01 - ECIP - Civilian (734)</v>
      </c>
      <c r="M603" s="361">
        <v>2</v>
      </c>
      <c r="N603" s="355" t="s">
        <v>789</v>
      </c>
      <c r="O603" s="355" t="s">
        <v>1113</v>
      </c>
      <c r="P603" s="355"/>
      <c r="Q603" s="363">
        <v>200</v>
      </c>
      <c r="R603" s="319">
        <f t="shared" si="10"/>
        <v>-200</v>
      </c>
      <c r="S603" s="319" t="str">
        <f>VLOOKUP(H603,'Fund Utilization Report'!$A$4:$U$1800,13,FALSE)</f>
        <v>PS</v>
      </c>
      <c r="T603" s="319" t="str">
        <f>VLOOKUP(H603,'Fund Utilization Report'!$A$4:$U$1800,2,FALSE)</f>
        <v>GAA</v>
      </c>
      <c r="U603" s="319" t="str">
        <f>VLOOKUP(H603,'Fund Utilization Report'!$A$4:$U$1800,3,FALSE)</f>
        <v>FY2021, RA11518</v>
      </c>
      <c r="V603" s="319" t="str">
        <f>VLOOKUP(H603,'Fund Utilization Report'!$A$4:$U$1800,4,FALSE)</f>
        <v>GAS(GMS)</v>
      </c>
      <c r="W603" s="319" t="str">
        <f>VLOOKUP(H603,'Fund Utilization Report'!$A$4:$U$1800,5,FALSE)</f>
        <v>01101101</v>
      </c>
      <c r="X603" s="319" t="str">
        <f>VLOOKUP(H603,'Fund Utilization Report'!$A$4:$U$1800,6,FALSE)</f>
        <v>GOP</v>
      </c>
      <c r="Y603" s="320" t="str">
        <f>VLOOKUP(H603,'Fund Utilization Report'!$A$4:$U$1800,7,FALSE)</f>
        <v>PS</v>
      </c>
      <c r="Z603" s="321">
        <f>VLOOKUP(H603,'Fund Utilization Report'!$A$4:$U$1800,8,FALSE)</f>
        <v>5010000000</v>
      </c>
      <c r="AA603" s="319" t="str">
        <f>VLOOKUP(H603,'Fund Utilization Report'!$A$4:$U$1800,14,FALSE)</f>
        <v>100000100001000</v>
      </c>
      <c r="AB603" s="349" t="str">
        <f>VLOOKUP(H603,'Fund Utilization Report'!$A$4:$U$1800,15,FALSE)</f>
        <v>General Administration and Supervision - General Management and Supervision</v>
      </c>
      <c r="AC603" s="39"/>
      <c r="AD603" s="34"/>
      <c r="AE603" s="39"/>
      <c r="AF603" s="51"/>
      <c r="AG603" s="40"/>
      <c r="AH603" s="40"/>
    </row>
    <row r="604" spans="1:34" s="32" customFormat="1" ht="27.6">
      <c r="A604" s="338" t="s">
        <v>942</v>
      </c>
      <c r="B604" s="338" t="s">
        <v>945</v>
      </c>
      <c r="C604" s="358">
        <v>44238</v>
      </c>
      <c r="D604" s="351" t="s">
        <v>1028</v>
      </c>
      <c r="E604" s="352" t="s">
        <v>1159</v>
      </c>
      <c r="F604" s="338">
        <v>0.48194444444444445</v>
      </c>
      <c r="G604" s="338">
        <v>0.4861111111111111</v>
      </c>
      <c r="H604" s="338" t="s">
        <v>964</v>
      </c>
      <c r="I604" s="353">
        <v>701</v>
      </c>
      <c r="J604" s="338" t="str">
        <f>IFERROR(VLOOKUP(I604,'Chart of accounts'!A:H,2,FALSE),"")</f>
        <v>50101010 01</v>
      </c>
      <c r="K604" s="338" t="str">
        <f>IFERROR(VLOOKUP(I604,'Chart of accounts'!A:H,3,FALSE),"")</f>
        <v>Basic Salary - Civilian</v>
      </c>
      <c r="L604" s="338" t="str">
        <f>IFERROR(VLOOKUP(I604,'Chart of accounts'!A:H,4,FALSE),"")</f>
        <v>50101010 01 - Basic Salary - Civilian (701)</v>
      </c>
      <c r="M604" s="361">
        <v>2</v>
      </c>
      <c r="N604" s="355" t="s">
        <v>789</v>
      </c>
      <c r="O604" s="355" t="s">
        <v>1113</v>
      </c>
      <c r="P604" s="355"/>
      <c r="Q604" s="363">
        <v>130423</v>
      </c>
      <c r="R604" s="319">
        <f t="shared" si="10"/>
        <v>-130423</v>
      </c>
      <c r="S604" s="319" t="str">
        <f>VLOOKUP(H604,'Fund Utilization Report'!$A$4:$U$1800,13,FALSE)</f>
        <v>PS</v>
      </c>
      <c r="T604" s="319" t="str">
        <f>VLOOKUP(H604,'Fund Utilization Report'!$A$4:$U$1800,2,FALSE)</f>
        <v>GAA</v>
      </c>
      <c r="U604" s="319" t="str">
        <f>VLOOKUP(H604,'Fund Utilization Report'!$A$4:$U$1800,3,FALSE)</f>
        <v>FY2021, RA11518</v>
      </c>
      <c r="V604" s="319" t="str">
        <f>VLOOKUP(H604,'Fund Utilization Report'!$A$4:$U$1800,4,FALSE)</f>
        <v>OO1</v>
      </c>
      <c r="W604" s="319" t="str">
        <f>VLOOKUP(H604,'Fund Utilization Report'!$A$4:$U$1800,5,FALSE)</f>
        <v>01101101</v>
      </c>
      <c r="X604" s="319" t="str">
        <f>VLOOKUP(H604,'Fund Utilization Report'!$A$4:$U$1800,6,FALSE)</f>
        <v>GOP</v>
      </c>
      <c r="Y604" s="320" t="str">
        <f>VLOOKUP(H604,'Fund Utilization Report'!$A$4:$U$1800,7,FALSE)</f>
        <v>PS</v>
      </c>
      <c r="Z604" s="321">
        <f>VLOOKUP(H604,'Fund Utilization Report'!$A$4:$U$1800,8,FALSE)</f>
        <v>5010000000</v>
      </c>
      <c r="AA604" s="319" t="str">
        <f>VLOOKUP(H604,'Fund Utilization Report'!$A$4:$U$1800,14,FALSE)</f>
        <v>310100100002000</v>
      </c>
      <c r="AB604" s="349" t="str">
        <f>VLOOKUP(H604,'Fund Utilization Report'!$A$4:$U$1800,15,FALSE)</f>
        <v>Development,Facilitation, and promotion of exports and investment, domestic and foreign</v>
      </c>
      <c r="AC604" s="39"/>
      <c r="AD604" s="34"/>
      <c r="AE604" s="39"/>
      <c r="AF604" s="51"/>
      <c r="AG604" s="40"/>
      <c r="AH604" s="40"/>
    </row>
    <row r="605" spans="1:34" s="32" customFormat="1" ht="27.6">
      <c r="A605" s="338" t="s">
        <v>942</v>
      </c>
      <c r="B605" s="338" t="s">
        <v>945</v>
      </c>
      <c r="C605" s="358">
        <v>44238</v>
      </c>
      <c r="D605" s="351" t="s">
        <v>1028</v>
      </c>
      <c r="E605" s="352" t="s">
        <v>1159</v>
      </c>
      <c r="F605" s="338">
        <v>0.48194444444444445</v>
      </c>
      <c r="G605" s="338">
        <v>0.4861111111111111</v>
      </c>
      <c r="H605" s="338" t="s">
        <v>964</v>
      </c>
      <c r="I605" s="353">
        <v>711</v>
      </c>
      <c r="J605" s="338" t="str">
        <f>IFERROR(VLOOKUP(I605,'Chart of accounts'!A:H,2,FALSE),"")</f>
        <v>50102010 01</v>
      </c>
      <c r="K605" s="338" t="str">
        <f>IFERROR(VLOOKUP(I605,'Chart of accounts'!A:H,3,FALSE),"")</f>
        <v>PERA - Civilian</v>
      </c>
      <c r="L605" s="338" t="str">
        <f>IFERROR(VLOOKUP(I605,'Chart of accounts'!A:H,4,FALSE),"")</f>
        <v>50102010 01 - PERA - Civilian (711)</v>
      </c>
      <c r="M605" s="361">
        <v>2</v>
      </c>
      <c r="N605" s="355" t="s">
        <v>789</v>
      </c>
      <c r="O605" s="355" t="s">
        <v>1113</v>
      </c>
      <c r="P605" s="355"/>
      <c r="Q605" s="363">
        <v>4000</v>
      </c>
      <c r="R605" s="319">
        <f t="shared" si="10"/>
        <v>-4000</v>
      </c>
      <c r="S605" s="319" t="str">
        <f>VLOOKUP(H605,'Fund Utilization Report'!$A$4:$U$1800,13,FALSE)</f>
        <v>PS</v>
      </c>
      <c r="T605" s="319" t="str">
        <f>VLOOKUP(H605,'Fund Utilization Report'!$A$4:$U$1800,2,FALSE)</f>
        <v>GAA</v>
      </c>
      <c r="U605" s="319" t="str">
        <f>VLOOKUP(H605,'Fund Utilization Report'!$A$4:$U$1800,3,FALSE)</f>
        <v>FY2021, RA11518</v>
      </c>
      <c r="V605" s="319" t="str">
        <f>VLOOKUP(H605,'Fund Utilization Report'!$A$4:$U$1800,4,FALSE)</f>
        <v>OO1</v>
      </c>
      <c r="W605" s="319" t="str">
        <f>VLOOKUP(H605,'Fund Utilization Report'!$A$4:$U$1800,5,FALSE)</f>
        <v>01101101</v>
      </c>
      <c r="X605" s="319" t="str">
        <f>VLOOKUP(H605,'Fund Utilization Report'!$A$4:$U$1800,6,FALSE)</f>
        <v>GOP</v>
      </c>
      <c r="Y605" s="320" t="str">
        <f>VLOOKUP(H605,'Fund Utilization Report'!$A$4:$U$1800,7,FALSE)</f>
        <v>PS</v>
      </c>
      <c r="Z605" s="321">
        <f>VLOOKUP(H605,'Fund Utilization Report'!$A$4:$U$1800,8,FALSE)</f>
        <v>5010000000</v>
      </c>
      <c r="AA605" s="319" t="str">
        <f>VLOOKUP(H605,'Fund Utilization Report'!$A$4:$U$1800,14,FALSE)</f>
        <v>310100100002000</v>
      </c>
      <c r="AB605" s="349" t="str">
        <f>VLOOKUP(H605,'Fund Utilization Report'!$A$4:$U$1800,15,FALSE)</f>
        <v>Development,Facilitation, and promotion of exports and investment, domestic and foreign</v>
      </c>
      <c r="AC605" s="39"/>
      <c r="AD605" s="34"/>
      <c r="AE605" s="39"/>
      <c r="AF605" s="51"/>
      <c r="AG605" s="40"/>
      <c r="AH605" s="40"/>
    </row>
    <row r="606" spans="1:34" s="32" customFormat="1" ht="27.6">
      <c r="A606" s="338" t="s">
        <v>942</v>
      </c>
      <c r="B606" s="338" t="s">
        <v>945</v>
      </c>
      <c r="C606" s="358">
        <v>44238</v>
      </c>
      <c r="D606" s="351" t="s">
        <v>1028</v>
      </c>
      <c r="E606" s="352" t="s">
        <v>1159</v>
      </c>
      <c r="F606" s="338">
        <v>0.48194444444444445</v>
      </c>
      <c r="G606" s="338">
        <v>0.4861111111111111</v>
      </c>
      <c r="H606" s="338" t="s">
        <v>966</v>
      </c>
      <c r="I606" s="353">
        <v>731</v>
      </c>
      <c r="J606" s="338" t="str">
        <f>IFERROR(VLOOKUP(I606,'Chart of accounts'!A:H,2,FALSE),"")</f>
        <v>50103010 00</v>
      </c>
      <c r="K606" s="338" t="str">
        <f>IFERROR(VLOOKUP(I606,'Chart of accounts'!A:H,3,FALSE),"")</f>
        <v>Retirement and Life Insurance Premiums</v>
      </c>
      <c r="L606" s="338" t="str">
        <f>IFERROR(VLOOKUP(I606,'Chart of accounts'!A:H,4,FALSE),"")</f>
        <v>50103010 00 - Retirement and Life Insurance Premiums (731)</v>
      </c>
      <c r="M606" s="361">
        <v>2</v>
      </c>
      <c r="N606" s="355" t="s">
        <v>789</v>
      </c>
      <c r="O606" s="355" t="s">
        <v>1113</v>
      </c>
      <c r="P606" s="355"/>
      <c r="Q606" s="363">
        <v>15650.76</v>
      </c>
      <c r="R606" s="319">
        <f t="shared" si="10"/>
        <v>-15650.76</v>
      </c>
      <c r="S606" s="319" t="str">
        <f>VLOOKUP(H606,'Fund Utilization Report'!$A$4:$U$1800,13,FALSE)</f>
        <v>PS</v>
      </c>
      <c r="T606" s="319" t="str">
        <f>VLOOKUP(H606,'Fund Utilization Report'!$A$4:$U$1800,2,FALSE)</f>
        <v>GAA</v>
      </c>
      <c r="U606" s="319" t="str">
        <f>VLOOKUP(H606,'Fund Utilization Report'!$A$4:$U$1800,3,FALSE)</f>
        <v>FY2021, RA11518</v>
      </c>
      <c r="V606" s="319" t="str">
        <f>VLOOKUP(H606,'Fund Utilization Report'!$A$4:$U$1800,4,FALSE)</f>
        <v>OO1</v>
      </c>
      <c r="W606" s="319" t="str">
        <f>VLOOKUP(H606,'Fund Utilization Report'!$A$4:$U$1800,5,FALSE)</f>
        <v>01101101</v>
      </c>
      <c r="X606" s="319" t="str">
        <f>VLOOKUP(H606,'Fund Utilization Report'!$A$4:$U$1800,6,FALSE)</f>
        <v>GOP</v>
      </c>
      <c r="Y606" s="320" t="str">
        <f>VLOOKUP(H606,'Fund Utilization Report'!$A$4:$U$1800,7,FALSE)</f>
        <v>RLIP</v>
      </c>
      <c r="Z606" s="321" t="str">
        <f>VLOOKUP(H606,'Fund Utilization Report'!$A$4:$U$1800,8,FALSE)</f>
        <v>50103010-00</v>
      </c>
      <c r="AA606" s="319" t="str">
        <f>VLOOKUP(H606,'Fund Utilization Report'!$A$4:$U$1800,14,FALSE)</f>
        <v>310100100002000</v>
      </c>
      <c r="AB606" s="349" t="str">
        <f>VLOOKUP(H606,'Fund Utilization Report'!$A$4:$U$1800,15,FALSE)</f>
        <v>Development,Facilitation, and promotion of exports and investment, domestic and foreign</v>
      </c>
      <c r="AC606" s="39"/>
      <c r="AD606" s="34"/>
      <c r="AE606" s="39"/>
      <c r="AF606" s="51"/>
      <c r="AG606" s="40"/>
      <c r="AH606" s="40"/>
    </row>
    <row r="607" spans="1:34" s="32" customFormat="1" ht="27.6">
      <c r="A607" s="338" t="s">
        <v>942</v>
      </c>
      <c r="B607" s="338" t="s">
        <v>945</v>
      </c>
      <c r="C607" s="358">
        <v>44238</v>
      </c>
      <c r="D607" s="351" t="s">
        <v>1028</v>
      </c>
      <c r="E607" s="352" t="s">
        <v>1159</v>
      </c>
      <c r="F607" s="338">
        <v>0.48194444444444445</v>
      </c>
      <c r="G607" s="338">
        <v>0.4861111111111111</v>
      </c>
      <c r="H607" s="338" t="s">
        <v>964</v>
      </c>
      <c r="I607" s="353">
        <v>732</v>
      </c>
      <c r="J607" s="338" t="str">
        <f>IFERROR(VLOOKUP(I607,'Chart of accounts'!A:H,2,FALSE),"")</f>
        <v>50103020 01</v>
      </c>
      <c r="K607" s="338" t="str">
        <f>IFERROR(VLOOKUP(I607,'Chart of accounts'!A:H,3,FALSE),"")</f>
        <v>Pag-IBIG - Civilian</v>
      </c>
      <c r="L607" s="338" t="str">
        <f>IFERROR(VLOOKUP(I607,'Chart of accounts'!A:H,4,FALSE),"")</f>
        <v>50103020 01 - Pag-IBIG - Civilian (732)</v>
      </c>
      <c r="M607" s="361">
        <v>2</v>
      </c>
      <c r="N607" s="355" t="s">
        <v>789</v>
      </c>
      <c r="O607" s="355" t="s">
        <v>1113</v>
      </c>
      <c r="P607" s="355"/>
      <c r="Q607" s="363">
        <v>200</v>
      </c>
      <c r="R607" s="319">
        <f t="shared" si="10"/>
        <v>-200</v>
      </c>
      <c r="S607" s="319" t="str">
        <f>VLOOKUP(H607,'Fund Utilization Report'!$A$4:$U$1800,13,FALSE)</f>
        <v>PS</v>
      </c>
      <c r="T607" s="319" t="str">
        <f>VLOOKUP(H607,'Fund Utilization Report'!$A$4:$U$1800,2,FALSE)</f>
        <v>GAA</v>
      </c>
      <c r="U607" s="319" t="str">
        <f>VLOOKUP(H607,'Fund Utilization Report'!$A$4:$U$1800,3,FALSE)</f>
        <v>FY2021, RA11518</v>
      </c>
      <c r="V607" s="319" t="str">
        <f>VLOOKUP(H607,'Fund Utilization Report'!$A$4:$U$1800,4,FALSE)</f>
        <v>OO1</v>
      </c>
      <c r="W607" s="319" t="str">
        <f>VLOOKUP(H607,'Fund Utilization Report'!$A$4:$U$1800,5,FALSE)</f>
        <v>01101101</v>
      </c>
      <c r="X607" s="319" t="str">
        <f>VLOOKUP(H607,'Fund Utilization Report'!$A$4:$U$1800,6,FALSE)</f>
        <v>GOP</v>
      </c>
      <c r="Y607" s="320" t="str">
        <f>VLOOKUP(H607,'Fund Utilization Report'!$A$4:$U$1800,7,FALSE)</f>
        <v>PS</v>
      </c>
      <c r="Z607" s="321">
        <f>VLOOKUP(H607,'Fund Utilization Report'!$A$4:$U$1800,8,FALSE)</f>
        <v>5010000000</v>
      </c>
      <c r="AA607" s="319" t="str">
        <f>VLOOKUP(H607,'Fund Utilization Report'!$A$4:$U$1800,14,FALSE)</f>
        <v>310100100002000</v>
      </c>
      <c r="AB607" s="349" t="str">
        <f>VLOOKUP(H607,'Fund Utilization Report'!$A$4:$U$1800,15,FALSE)</f>
        <v>Development,Facilitation, and promotion of exports and investment, domestic and foreign</v>
      </c>
      <c r="AC607" s="39"/>
      <c r="AD607" s="34"/>
      <c r="AE607" s="39"/>
      <c r="AF607" s="51"/>
      <c r="AG607" s="40"/>
      <c r="AH607" s="40"/>
    </row>
    <row r="608" spans="1:34" s="32" customFormat="1" ht="27.6">
      <c r="A608" s="338" t="s">
        <v>942</v>
      </c>
      <c r="B608" s="338" t="s">
        <v>945</v>
      </c>
      <c r="C608" s="358">
        <v>44238</v>
      </c>
      <c r="D608" s="351" t="s">
        <v>1028</v>
      </c>
      <c r="E608" s="352" t="s">
        <v>1159</v>
      </c>
      <c r="F608" s="338">
        <v>0.48194444444444445</v>
      </c>
      <c r="G608" s="338">
        <v>0.4861111111111111</v>
      </c>
      <c r="H608" s="338" t="s">
        <v>964</v>
      </c>
      <c r="I608" s="353">
        <v>733</v>
      </c>
      <c r="J608" s="338" t="str">
        <f>IFERROR(VLOOKUP(I608,'Chart of accounts'!A:H,2,FALSE),"")</f>
        <v>50103030 01</v>
      </c>
      <c r="K608" s="338" t="str">
        <f>IFERROR(VLOOKUP(I608,'Chart of accounts'!A:H,3,FALSE),"")</f>
        <v>PhilHealth - Civilian</v>
      </c>
      <c r="L608" s="338" t="str">
        <f>IFERROR(VLOOKUP(I608,'Chart of accounts'!A:H,4,FALSE),"")</f>
        <v>50103030 01 - PhilHealth - Civilian (733)</v>
      </c>
      <c r="M608" s="361">
        <v>2</v>
      </c>
      <c r="N608" s="355" t="s">
        <v>789</v>
      </c>
      <c r="O608" s="355" t="s">
        <v>1113</v>
      </c>
      <c r="P608" s="355"/>
      <c r="Q608" s="363">
        <v>1555.22</v>
      </c>
      <c r="R608" s="319">
        <f t="shared" si="10"/>
        <v>-1555.22</v>
      </c>
      <c r="S608" s="319" t="str">
        <f>VLOOKUP(H608,'Fund Utilization Report'!$A$4:$U$1800,13,FALSE)</f>
        <v>PS</v>
      </c>
      <c r="T608" s="319" t="str">
        <f>VLOOKUP(H608,'Fund Utilization Report'!$A$4:$U$1800,2,FALSE)</f>
        <v>GAA</v>
      </c>
      <c r="U608" s="319" t="str">
        <f>VLOOKUP(H608,'Fund Utilization Report'!$A$4:$U$1800,3,FALSE)</f>
        <v>FY2021, RA11518</v>
      </c>
      <c r="V608" s="319" t="str">
        <f>VLOOKUP(H608,'Fund Utilization Report'!$A$4:$U$1800,4,FALSE)</f>
        <v>OO1</v>
      </c>
      <c r="W608" s="319" t="str">
        <f>VLOOKUP(H608,'Fund Utilization Report'!$A$4:$U$1800,5,FALSE)</f>
        <v>01101101</v>
      </c>
      <c r="X608" s="319" t="str">
        <f>VLOOKUP(H608,'Fund Utilization Report'!$A$4:$U$1800,6,FALSE)</f>
        <v>GOP</v>
      </c>
      <c r="Y608" s="320" t="str">
        <f>VLOOKUP(H608,'Fund Utilization Report'!$A$4:$U$1800,7,FALSE)</f>
        <v>PS</v>
      </c>
      <c r="Z608" s="321">
        <f>VLOOKUP(H608,'Fund Utilization Report'!$A$4:$U$1800,8,FALSE)</f>
        <v>5010000000</v>
      </c>
      <c r="AA608" s="319" t="str">
        <f>VLOOKUP(H608,'Fund Utilization Report'!$A$4:$U$1800,14,FALSE)</f>
        <v>310100100002000</v>
      </c>
      <c r="AB608" s="349" t="str">
        <f>VLOOKUP(H608,'Fund Utilization Report'!$A$4:$U$1800,15,FALSE)</f>
        <v>Development,Facilitation, and promotion of exports and investment, domestic and foreign</v>
      </c>
      <c r="AC608" s="39"/>
      <c r="AD608" s="34"/>
      <c r="AE608" s="39"/>
      <c r="AF608" s="51"/>
      <c r="AG608" s="40"/>
      <c r="AH608" s="40"/>
    </row>
    <row r="609" spans="1:34" s="32" customFormat="1" ht="27.6">
      <c r="A609" s="338" t="s">
        <v>942</v>
      </c>
      <c r="B609" s="338" t="s">
        <v>945</v>
      </c>
      <c r="C609" s="358">
        <v>44238</v>
      </c>
      <c r="D609" s="351" t="s">
        <v>1028</v>
      </c>
      <c r="E609" s="352" t="s">
        <v>1159</v>
      </c>
      <c r="F609" s="338">
        <v>0.48194444444444445</v>
      </c>
      <c r="G609" s="338">
        <v>0.4861111111111111</v>
      </c>
      <c r="H609" s="338" t="s">
        <v>964</v>
      </c>
      <c r="I609" s="353">
        <v>734</v>
      </c>
      <c r="J609" s="338" t="str">
        <f>IFERROR(VLOOKUP(I609,'Chart of accounts'!A:H,2,FALSE),"")</f>
        <v>50103040 01</v>
      </c>
      <c r="K609" s="338" t="str">
        <f>IFERROR(VLOOKUP(I609,'Chart of accounts'!A:H,3,FALSE),"")</f>
        <v>ECIP - Civilian</v>
      </c>
      <c r="L609" s="338" t="str">
        <f>IFERROR(VLOOKUP(I609,'Chart of accounts'!A:H,4,FALSE),"")</f>
        <v>50103040 01 - ECIP - Civilian (734)</v>
      </c>
      <c r="M609" s="361">
        <v>2</v>
      </c>
      <c r="N609" s="355" t="s">
        <v>789</v>
      </c>
      <c r="O609" s="355" t="s">
        <v>1113</v>
      </c>
      <c r="P609" s="355"/>
      <c r="Q609" s="363">
        <v>200</v>
      </c>
      <c r="R609" s="319">
        <f t="shared" si="10"/>
        <v>-200</v>
      </c>
      <c r="S609" s="319" t="str">
        <f>VLOOKUP(H609,'Fund Utilization Report'!$A$4:$U$1800,13,FALSE)</f>
        <v>PS</v>
      </c>
      <c r="T609" s="319" t="str">
        <f>VLOOKUP(H609,'Fund Utilization Report'!$A$4:$U$1800,2,FALSE)</f>
        <v>GAA</v>
      </c>
      <c r="U609" s="319" t="str">
        <f>VLOOKUP(H609,'Fund Utilization Report'!$A$4:$U$1800,3,FALSE)</f>
        <v>FY2021, RA11518</v>
      </c>
      <c r="V609" s="319" t="str">
        <f>VLOOKUP(H609,'Fund Utilization Report'!$A$4:$U$1800,4,FALSE)</f>
        <v>OO1</v>
      </c>
      <c r="W609" s="319" t="str">
        <f>VLOOKUP(H609,'Fund Utilization Report'!$A$4:$U$1800,5,FALSE)</f>
        <v>01101101</v>
      </c>
      <c r="X609" s="319" t="str">
        <f>VLOOKUP(H609,'Fund Utilization Report'!$A$4:$U$1800,6,FALSE)</f>
        <v>GOP</v>
      </c>
      <c r="Y609" s="320" t="str">
        <f>VLOOKUP(H609,'Fund Utilization Report'!$A$4:$U$1800,7,FALSE)</f>
        <v>PS</v>
      </c>
      <c r="Z609" s="321">
        <f>VLOOKUP(H609,'Fund Utilization Report'!$A$4:$U$1800,8,FALSE)</f>
        <v>5010000000</v>
      </c>
      <c r="AA609" s="319" t="str">
        <f>VLOOKUP(H609,'Fund Utilization Report'!$A$4:$U$1800,14,FALSE)</f>
        <v>310100100002000</v>
      </c>
      <c r="AB609" s="349" t="str">
        <f>VLOOKUP(H609,'Fund Utilization Report'!$A$4:$U$1800,15,FALSE)</f>
        <v>Development,Facilitation, and promotion of exports and investment, domestic and foreign</v>
      </c>
      <c r="AC609" s="39"/>
      <c r="AD609" s="34"/>
      <c r="AE609" s="39"/>
      <c r="AF609" s="51"/>
      <c r="AG609" s="40"/>
      <c r="AH609" s="40"/>
    </row>
    <row r="610" spans="1:34" s="32" customFormat="1" ht="27.6">
      <c r="A610" s="338" t="s">
        <v>942</v>
      </c>
      <c r="B610" s="338" t="s">
        <v>945</v>
      </c>
      <c r="C610" s="358">
        <v>44238</v>
      </c>
      <c r="D610" s="351" t="s">
        <v>1028</v>
      </c>
      <c r="E610" s="352" t="s">
        <v>1159</v>
      </c>
      <c r="F610" s="338">
        <v>0.48194444444444445</v>
      </c>
      <c r="G610" s="338">
        <v>0.4861111111111111</v>
      </c>
      <c r="H610" s="338" t="s">
        <v>967</v>
      </c>
      <c r="I610" s="353">
        <v>701</v>
      </c>
      <c r="J610" s="338" t="str">
        <f>IFERROR(VLOOKUP(I610,'Chart of accounts'!A:H,2,FALSE),"")</f>
        <v>50101010 01</v>
      </c>
      <c r="K610" s="338" t="str">
        <f>IFERROR(VLOOKUP(I610,'Chart of accounts'!A:H,3,FALSE),"")</f>
        <v>Basic Salary - Civilian</v>
      </c>
      <c r="L610" s="338" t="str">
        <f>IFERROR(VLOOKUP(I610,'Chart of accounts'!A:H,4,FALSE),"")</f>
        <v>50101010 01 - Basic Salary - Civilian (701)</v>
      </c>
      <c r="M610" s="361">
        <v>2</v>
      </c>
      <c r="N610" s="355" t="s">
        <v>789</v>
      </c>
      <c r="O610" s="355" t="s">
        <v>1113</v>
      </c>
      <c r="P610" s="355"/>
      <c r="Q610" s="363">
        <v>111742</v>
      </c>
      <c r="R610" s="319">
        <f t="shared" si="10"/>
        <v>-111742</v>
      </c>
      <c r="S610" s="319" t="str">
        <f>VLOOKUP(H610,'Fund Utilization Report'!$A$4:$U$1800,13,FALSE)</f>
        <v>PS</v>
      </c>
      <c r="T610" s="319" t="str">
        <f>VLOOKUP(H610,'Fund Utilization Report'!$A$4:$U$1800,2,FALSE)</f>
        <v>GAA</v>
      </c>
      <c r="U610" s="319" t="str">
        <f>VLOOKUP(H610,'Fund Utilization Report'!$A$4:$U$1800,3,FALSE)</f>
        <v>FY2021, RA11518</v>
      </c>
      <c r="V610" s="319" t="str">
        <f>VLOOKUP(H610,'Fund Utilization Report'!$A$4:$U$1800,4,FALSE)</f>
        <v>OO2</v>
      </c>
      <c r="W610" s="319" t="str">
        <f>VLOOKUP(H610,'Fund Utilization Report'!$A$4:$U$1800,5,FALSE)</f>
        <v>01101101</v>
      </c>
      <c r="X610" s="319" t="str">
        <f>VLOOKUP(H610,'Fund Utilization Report'!$A$4:$U$1800,6,FALSE)</f>
        <v>GOP</v>
      </c>
      <c r="Y610" s="320" t="str">
        <f>VLOOKUP(H610,'Fund Utilization Report'!$A$4:$U$1800,7,FALSE)</f>
        <v>PS</v>
      </c>
      <c r="Z610" s="321">
        <f>VLOOKUP(H610,'Fund Utilization Report'!$A$4:$U$1800,8,FALSE)</f>
        <v>5010000000</v>
      </c>
      <c r="AA610" s="319" t="str">
        <f>VLOOKUP(H610,'Fund Utilization Report'!$A$4:$U$1800,14,FALSE)</f>
        <v>320100100001000</v>
      </c>
      <c r="AB610" s="349" t="str">
        <f>VLOOKUP(H610,'Fund Utilization Report'!$A$4:$U$1800,15,FALSE)</f>
        <v>Formulation of Strategic plans,programs, and policies to develop competitve industries</v>
      </c>
      <c r="AC610" s="39"/>
      <c r="AD610" s="34"/>
      <c r="AE610" s="39"/>
      <c r="AF610" s="51"/>
      <c r="AG610" s="40"/>
      <c r="AH610" s="40"/>
    </row>
    <row r="611" spans="1:34" s="32" customFormat="1" ht="27.6">
      <c r="A611" s="338" t="s">
        <v>942</v>
      </c>
      <c r="B611" s="338" t="s">
        <v>945</v>
      </c>
      <c r="C611" s="358">
        <v>44238</v>
      </c>
      <c r="D611" s="351" t="s">
        <v>1028</v>
      </c>
      <c r="E611" s="352" t="s">
        <v>1159</v>
      </c>
      <c r="F611" s="338">
        <v>0.48194444444444445</v>
      </c>
      <c r="G611" s="338">
        <v>0.4861111111111111</v>
      </c>
      <c r="H611" s="338" t="s">
        <v>967</v>
      </c>
      <c r="I611" s="353">
        <v>711</v>
      </c>
      <c r="J611" s="338" t="str">
        <f>IFERROR(VLOOKUP(I611,'Chart of accounts'!A:H,2,FALSE),"")</f>
        <v>50102010 01</v>
      </c>
      <c r="K611" s="338" t="str">
        <f>IFERROR(VLOOKUP(I611,'Chart of accounts'!A:H,3,FALSE),"")</f>
        <v>PERA - Civilian</v>
      </c>
      <c r="L611" s="338" t="str">
        <f>IFERROR(VLOOKUP(I611,'Chart of accounts'!A:H,4,FALSE),"")</f>
        <v>50102010 01 - PERA - Civilian (711)</v>
      </c>
      <c r="M611" s="361">
        <v>2</v>
      </c>
      <c r="N611" s="355" t="s">
        <v>789</v>
      </c>
      <c r="O611" s="355" t="s">
        <v>1113</v>
      </c>
      <c r="P611" s="355"/>
      <c r="Q611" s="363">
        <v>2000</v>
      </c>
      <c r="R611" s="319">
        <f t="shared" si="10"/>
        <v>-2000</v>
      </c>
      <c r="S611" s="319" t="str">
        <f>VLOOKUP(H611,'Fund Utilization Report'!$A$4:$U$1800,13,FALSE)</f>
        <v>PS</v>
      </c>
      <c r="T611" s="319" t="str">
        <f>VLOOKUP(H611,'Fund Utilization Report'!$A$4:$U$1800,2,FALSE)</f>
        <v>GAA</v>
      </c>
      <c r="U611" s="319" t="str">
        <f>VLOOKUP(H611,'Fund Utilization Report'!$A$4:$U$1800,3,FALSE)</f>
        <v>FY2021, RA11518</v>
      </c>
      <c r="V611" s="319" t="str">
        <f>VLOOKUP(H611,'Fund Utilization Report'!$A$4:$U$1800,4,FALSE)</f>
        <v>OO2</v>
      </c>
      <c r="W611" s="319" t="str">
        <f>VLOOKUP(H611,'Fund Utilization Report'!$A$4:$U$1800,5,FALSE)</f>
        <v>01101101</v>
      </c>
      <c r="X611" s="319" t="str">
        <f>VLOOKUP(H611,'Fund Utilization Report'!$A$4:$U$1800,6,FALSE)</f>
        <v>GOP</v>
      </c>
      <c r="Y611" s="320" t="str">
        <f>VLOOKUP(H611,'Fund Utilization Report'!$A$4:$U$1800,7,FALSE)</f>
        <v>PS</v>
      </c>
      <c r="Z611" s="321">
        <f>VLOOKUP(H611,'Fund Utilization Report'!$A$4:$U$1800,8,FALSE)</f>
        <v>5010000000</v>
      </c>
      <c r="AA611" s="319" t="str">
        <f>VLOOKUP(H611,'Fund Utilization Report'!$A$4:$U$1800,14,FALSE)</f>
        <v>320100100001000</v>
      </c>
      <c r="AB611" s="349" t="str">
        <f>VLOOKUP(H611,'Fund Utilization Report'!$A$4:$U$1800,15,FALSE)</f>
        <v>Formulation of Strategic plans,programs, and policies to develop competitve industries</v>
      </c>
      <c r="AC611" s="39"/>
      <c r="AD611" s="34"/>
      <c r="AE611" s="39"/>
      <c r="AF611" s="51"/>
      <c r="AG611" s="40"/>
      <c r="AH611" s="40"/>
    </row>
    <row r="612" spans="1:34" s="32" customFormat="1" ht="27.6">
      <c r="A612" s="338" t="s">
        <v>942</v>
      </c>
      <c r="B612" s="338" t="s">
        <v>945</v>
      </c>
      <c r="C612" s="358">
        <v>44238</v>
      </c>
      <c r="D612" s="351" t="s">
        <v>1028</v>
      </c>
      <c r="E612" s="352" t="s">
        <v>1159</v>
      </c>
      <c r="F612" s="338">
        <v>0.48194444444444445</v>
      </c>
      <c r="G612" s="338">
        <v>0.4861111111111111</v>
      </c>
      <c r="H612" s="338" t="s">
        <v>969</v>
      </c>
      <c r="I612" s="353">
        <v>731</v>
      </c>
      <c r="J612" s="338" t="str">
        <f>IFERROR(VLOOKUP(I612,'Chart of accounts'!A:H,2,FALSE),"")</f>
        <v>50103010 00</v>
      </c>
      <c r="K612" s="338" t="str">
        <f>IFERROR(VLOOKUP(I612,'Chart of accounts'!A:H,3,FALSE),"")</f>
        <v>Retirement and Life Insurance Premiums</v>
      </c>
      <c r="L612" s="338" t="str">
        <f>IFERROR(VLOOKUP(I612,'Chart of accounts'!A:H,4,FALSE),"")</f>
        <v>50103010 00 - Retirement and Life Insurance Premiums (731)</v>
      </c>
      <c r="M612" s="361">
        <v>2</v>
      </c>
      <c r="N612" s="355" t="s">
        <v>789</v>
      </c>
      <c r="O612" s="355" t="s">
        <v>1113</v>
      </c>
      <c r="P612" s="355"/>
      <c r="Q612" s="363">
        <v>13409.04</v>
      </c>
      <c r="R612" s="319">
        <f t="shared" si="10"/>
        <v>-13409.04</v>
      </c>
      <c r="S612" s="319" t="str">
        <f>VLOOKUP(H612,'Fund Utilization Report'!$A$4:$U$1800,13,FALSE)</f>
        <v>PS</v>
      </c>
      <c r="T612" s="319" t="str">
        <f>VLOOKUP(H612,'Fund Utilization Report'!$A$4:$U$1800,2,FALSE)</f>
        <v>GAA</v>
      </c>
      <c r="U612" s="319" t="str">
        <f>VLOOKUP(H612,'Fund Utilization Report'!$A$4:$U$1800,3,FALSE)</f>
        <v>FY2021, RA11518</v>
      </c>
      <c r="V612" s="319" t="str">
        <f>VLOOKUP(H612,'Fund Utilization Report'!$A$4:$U$1800,4,FALSE)</f>
        <v>OO2</v>
      </c>
      <c r="W612" s="319" t="str">
        <f>VLOOKUP(H612,'Fund Utilization Report'!$A$4:$U$1800,5,FALSE)</f>
        <v>01101101</v>
      </c>
      <c r="X612" s="319" t="str">
        <f>VLOOKUP(H612,'Fund Utilization Report'!$A$4:$U$1800,6,FALSE)</f>
        <v>GOP</v>
      </c>
      <c r="Y612" s="320" t="str">
        <f>VLOOKUP(H612,'Fund Utilization Report'!$A$4:$U$1800,7,FALSE)</f>
        <v>RLIP</v>
      </c>
      <c r="Z612" s="321" t="str">
        <f>VLOOKUP(H612,'Fund Utilization Report'!$A$4:$U$1800,8,FALSE)</f>
        <v>50103010-00</v>
      </c>
      <c r="AA612" s="319" t="str">
        <f>VLOOKUP(H612,'Fund Utilization Report'!$A$4:$U$1800,14,FALSE)</f>
        <v>320100100001000</v>
      </c>
      <c r="AB612" s="349" t="str">
        <f>VLOOKUP(H612,'Fund Utilization Report'!$A$4:$U$1800,15,FALSE)</f>
        <v>Formulation of Strategic plans,programs, and policies to develop competitve industries</v>
      </c>
      <c r="AC612" s="39"/>
      <c r="AD612" s="34"/>
      <c r="AE612" s="39"/>
      <c r="AF612" s="51"/>
      <c r="AG612" s="40"/>
      <c r="AH612" s="40"/>
    </row>
    <row r="613" spans="1:34" s="32" customFormat="1" ht="27.6">
      <c r="A613" s="338" t="s">
        <v>942</v>
      </c>
      <c r="B613" s="338" t="s">
        <v>945</v>
      </c>
      <c r="C613" s="358">
        <v>44238</v>
      </c>
      <c r="D613" s="351" t="s">
        <v>1028</v>
      </c>
      <c r="E613" s="352" t="s">
        <v>1159</v>
      </c>
      <c r="F613" s="338">
        <v>0.48194444444444445</v>
      </c>
      <c r="G613" s="338">
        <v>0.4861111111111111</v>
      </c>
      <c r="H613" s="338" t="s">
        <v>967</v>
      </c>
      <c r="I613" s="353">
        <v>732</v>
      </c>
      <c r="J613" s="338" t="str">
        <f>IFERROR(VLOOKUP(I613,'Chart of accounts'!A:H,2,FALSE),"")</f>
        <v>50103020 01</v>
      </c>
      <c r="K613" s="338" t="str">
        <f>IFERROR(VLOOKUP(I613,'Chart of accounts'!A:H,3,FALSE),"")</f>
        <v>Pag-IBIG - Civilian</v>
      </c>
      <c r="L613" s="338" t="str">
        <f>IFERROR(VLOOKUP(I613,'Chart of accounts'!A:H,4,FALSE),"")</f>
        <v>50103020 01 - Pag-IBIG - Civilian (732)</v>
      </c>
      <c r="M613" s="361">
        <v>2</v>
      </c>
      <c r="N613" s="355" t="s">
        <v>789</v>
      </c>
      <c r="O613" s="355" t="s">
        <v>1113</v>
      </c>
      <c r="P613" s="355"/>
      <c r="Q613" s="363">
        <v>100</v>
      </c>
      <c r="R613" s="319">
        <f t="shared" si="10"/>
        <v>-100</v>
      </c>
      <c r="S613" s="319" t="str">
        <f>VLOOKUP(H613,'Fund Utilization Report'!$A$4:$U$1800,13,FALSE)</f>
        <v>PS</v>
      </c>
      <c r="T613" s="319" t="str">
        <f>VLOOKUP(H613,'Fund Utilization Report'!$A$4:$U$1800,2,FALSE)</f>
        <v>GAA</v>
      </c>
      <c r="U613" s="319" t="str">
        <f>VLOOKUP(H613,'Fund Utilization Report'!$A$4:$U$1800,3,FALSE)</f>
        <v>FY2021, RA11518</v>
      </c>
      <c r="V613" s="319" t="str">
        <f>VLOOKUP(H613,'Fund Utilization Report'!$A$4:$U$1800,4,FALSE)</f>
        <v>OO2</v>
      </c>
      <c r="W613" s="319" t="str">
        <f>VLOOKUP(H613,'Fund Utilization Report'!$A$4:$U$1800,5,FALSE)</f>
        <v>01101101</v>
      </c>
      <c r="X613" s="319" t="str">
        <f>VLOOKUP(H613,'Fund Utilization Report'!$A$4:$U$1800,6,FALSE)</f>
        <v>GOP</v>
      </c>
      <c r="Y613" s="320" t="str">
        <f>VLOOKUP(H613,'Fund Utilization Report'!$A$4:$U$1800,7,FALSE)</f>
        <v>PS</v>
      </c>
      <c r="Z613" s="321">
        <f>VLOOKUP(H613,'Fund Utilization Report'!$A$4:$U$1800,8,FALSE)</f>
        <v>5010000000</v>
      </c>
      <c r="AA613" s="319" t="str">
        <f>VLOOKUP(H613,'Fund Utilization Report'!$A$4:$U$1800,14,FALSE)</f>
        <v>320100100001000</v>
      </c>
      <c r="AB613" s="349" t="str">
        <f>VLOOKUP(H613,'Fund Utilization Report'!$A$4:$U$1800,15,FALSE)</f>
        <v>Formulation of Strategic plans,programs, and policies to develop competitve industries</v>
      </c>
      <c r="AC613" s="39"/>
      <c r="AD613" s="34"/>
      <c r="AE613" s="39"/>
      <c r="AF613" s="51"/>
      <c r="AG613" s="40"/>
      <c r="AH613" s="40"/>
    </row>
    <row r="614" spans="1:34" s="32" customFormat="1" ht="27.6">
      <c r="A614" s="338" t="s">
        <v>942</v>
      </c>
      <c r="B614" s="338" t="s">
        <v>945</v>
      </c>
      <c r="C614" s="358">
        <v>44238</v>
      </c>
      <c r="D614" s="351" t="s">
        <v>1028</v>
      </c>
      <c r="E614" s="352" t="s">
        <v>1159</v>
      </c>
      <c r="F614" s="338">
        <v>0.48194444444444445</v>
      </c>
      <c r="G614" s="338">
        <v>0.4861111111111111</v>
      </c>
      <c r="H614" s="338" t="s">
        <v>967</v>
      </c>
      <c r="I614" s="353">
        <v>733</v>
      </c>
      <c r="J614" s="338" t="str">
        <f>IFERROR(VLOOKUP(I614,'Chart of accounts'!A:H,2,FALSE),"")</f>
        <v>50103030 01</v>
      </c>
      <c r="K614" s="338" t="str">
        <f>IFERROR(VLOOKUP(I614,'Chart of accounts'!A:H,3,FALSE),"")</f>
        <v>PhilHealth - Civilian</v>
      </c>
      <c r="L614" s="338" t="str">
        <f>IFERROR(VLOOKUP(I614,'Chart of accounts'!A:H,4,FALSE),"")</f>
        <v>50103030 01 - PhilHealth - Civilian (733)</v>
      </c>
      <c r="M614" s="361">
        <v>2</v>
      </c>
      <c r="N614" s="355" t="s">
        <v>789</v>
      </c>
      <c r="O614" s="355" t="s">
        <v>1113</v>
      </c>
      <c r="P614" s="355"/>
      <c r="Q614" s="363">
        <v>900</v>
      </c>
      <c r="R614" s="319">
        <f t="shared" si="10"/>
        <v>-900</v>
      </c>
      <c r="S614" s="319" t="str">
        <f>VLOOKUP(H614,'Fund Utilization Report'!$A$4:$U$1800,13,FALSE)</f>
        <v>PS</v>
      </c>
      <c r="T614" s="319" t="str">
        <f>VLOOKUP(H614,'Fund Utilization Report'!$A$4:$U$1800,2,FALSE)</f>
        <v>GAA</v>
      </c>
      <c r="U614" s="319" t="str">
        <f>VLOOKUP(H614,'Fund Utilization Report'!$A$4:$U$1800,3,FALSE)</f>
        <v>FY2021, RA11518</v>
      </c>
      <c r="V614" s="319" t="str">
        <f>VLOOKUP(H614,'Fund Utilization Report'!$A$4:$U$1800,4,FALSE)</f>
        <v>OO2</v>
      </c>
      <c r="W614" s="319" t="str">
        <f>VLOOKUP(H614,'Fund Utilization Report'!$A$4:$U$1800,5,FALSE)</f>
        <v>01101101</v>
      </c>
      <c r="X614" s="319" t="str">
        <f>VLOOKUP(H614,'Fund Utilization Report'!$A$4:$U$1800,6,FALSE)</f>
        <v>GOP</v>
      </c>
      <c r="Y614" s="320" t="str">
        <f>VLOOKUP(H614,'Fund Utilization Report'!$A$4:$U$1800,7,FALSE)</f>
        <v>PS</v>
      </c>
      <c r="Z614" s="321">
        <f>VLOOKUP(H614,'Fund Utilization Report'!$A$4:$U$1800,8,FALSE)</f>
        <v>5010000000</v>
      </c>
      <c r="AA614" s="319" t="str">
        <f>VLOOKUP(H614,'Fund Utilization Report'!$A$4:$U$1800,14,FALSE)</f>
        <v>320100100001000</v>
      </c>
      <c r="AB614" s="349" t="str">
        <f>VLOOKUP(H614,'Fund Utilization Report'!$A$4:$U$1800,15,FALSE)</f>
        <v>Formulation of Strategic plans,programs, and policies to develop competitve industries</v>
      </c>
      <c r="AC614" s="39"/>
      <c r="AD614" s="34"/>
      <c r="AE614" s="39"/>
      <c r="AF614" s="51"/>
      <c r="AG614" s="40"/>
      <c r="AH614" s="40"/>
    </row>
    <row r="615" spans="1:34" s="32" customFormat="1" ht="27.6">
      <c r="A615" s="338" t="s">
        <v>942</v>
      </c>
      <c r="B615" s="338" t="s">
        <v>945</v>
      </c>
      <c r="C615" s="358">
        <v>44238</v>
      </c>
      <c r="D615" s="351" t="s">
        <v>1028</v>
      </c>
      <c r="E615" s="352" t="s">
        <v>1159</v>
      </c>
      <c r="F615" s="338">
        <v>0.48194444444444445</v>
      </c>
      <c r="G615" s="338">
        <v>0.4861111111111111</v>
      </c>
      <c r="H615" s="338" t="s">
        <v>967</v>
      </c>
      <c r="I615" s="353">
        <v>734</v>
      </c>
      <c r="J615" s="338" t="str">
        <f>IFERROR(VLOOKUP(I615,'Chart of accounts'!A:H,2,FALSE),"")</f>
        <v>50103040 01</v>
      </c>
      <c r="K615" s="338" t="str">
        <f>IFERROR(VLOOKUP(I615,'Chart of accounts'!A:H,3,FALSE),"")</f>
        <v>ECIP - Civilian</v>
      </c>
      <c r="L615" s="338" t="str">
        <f>IFERROR(VLOOKUP(I615,'Chart of accounts'!A:H,4,FALSE),"")</f>
        <v>50103040 01 - ECIP - Civilian (734)</v>
      </c>
      <c r="M615" s="361">
        <v>2</v>
      </c>
      <c r="N615" s="355" t="s">
        <v>789</v>
      </c>
      <c r="O615" s="355" t="s">
        <v>1113</v>
      </c>
      <c r="P615" s="355"/>
      <c r="Q615" s="363">
        <v>100</v>
      </c>
      <c r="R615" s="319">
        <f t="shared" si="10"/>
        <v>-100</v>
      </c>
      <c r="S615" s="319" t="str">
        <f>VLOOKUP(H615,'Fund Utilization Report'!$A$4:$U$1800,13,FALSE)</f>
        <v>PS</v>
      </c>
      <c r="T615" s="319" t="str">
        <f>VLOOKUP(H615,'Fund Utilization Report'!$A$4:$U$1800,2,FALSE)</f>
        <v>GAA</v>
      </c>
      <c r="U615" s="319" t="str">
        <f>VLOOKUP(H615,'Fund Utilization Report'!$A$4:$U$1800,3,FALSE)</f>
        <v>FY2021, RA11518</v>
      </c>
      <c r="V615" s="319" t="str">
        <f>VLOOKUP(H615,'Fund Utilization Report'!$A$4:$U$1800,4,FALSE)</f>
        <v>OO2</v>
      </c>
      <c r="W615" s="319" t="str">
        <f>VLOOKUP(H615,'Fund Utilization Report'!$A$4:$U$1800,5,FALSE)</f>
        <v>01101101</v>
      </c>
      <c r="X615" s="319" t="str">
        <f>VLOOKUP(H615,'Fund Utilization Report'!$A$4:$U$1800,6,FALSE)</f>
        <v>GOP</v>
      </c>
      <c r="Y615" s="320" t="str">
        <f>VLOOKUP(H615,'Fund Utilization Report'!$A$4:$U$1800,7,FALSE)</f>
        <v>PS</v>
      </c>
      <c r="Z615" s="321">
        <f>VLOOKUP(H615,'Fund Utilization Report'!$A$4:$U$1800,8,FALSE)</f>
        <v>5010000000</v>
      </c>
      <c r="AA615" s="319" t="str">
        <f>VLOOKUP(H615,'Fund Utilization Report'!$A$4:$U$1800,14,FALSE)</f>
        <v>320100100001000</v>
      </c>
      <c r="AB615" s="349" t="str">
        <f>VLOOKUP(H615,'Fund Utilization Report'!$A$4:$U$1800,15,FALSE)</f>
        <v>Formulation of Strategic plans,programs, and policies to develop competitve industries</v>
      </c>
      <c r="AC615" s="39"/>
      <c r="AD615" s="34"/>
      <c r="AE615" s="39"/>
      <c r="AF615" s="51"/>
      <c r="AG615" s="40"/>
      <c r="AH615" s="40"/>
    </row>
    <row r="616" spans="1:34" s="32" customFormat="1" ht="27.6">
      <c r="A616" s="338" t="s">
        <v>942</v>
      </c>
      <c r="B616" s="338" t="s">
        <v>945</v>
      </c>
      <c r="C616" s="358">
        <v>44238</v>
      </c>
      <c r="D616" s="351" t="s">
        <v>1028</v>
      </c>
      <c r="E616" s="352" t="s">
        <v>1159</v>
      </c>
      <c r="F616" s="338">
        <v>0.48194444444444445</v>
      </c>
      <c r="G616" s="338">
        <v>0.4861111111111111</v>
      </c>
      <c r="H616" s="338" t="s">
        <v>970</v>
      </c>
      <c r="I616" s="353">
        <v>701</v>
      </c>
      <c r="J616" s="338" t="str">
        <f>IFERROR(VLOOKUP(I616,'Chart of accounts'!A:H,2,FALSE),"")</f>
        <v>50101010 01</v>
      </c>
      <c r="K616" s="338" t="str">
        <f>IFERROR(VLOOKUP(I616,'Chart of accounts'!A:H,3,FALSE),"")</f>
        <v>Basic Salary - Civilian</v>
      </c>
      <c r="L616" s="338" t="str">
        <f>IFERROR(VLOOKUP(I616,'Chart of accounts'!A:H,4,FALSE),"")</f>
        <v>50101010 01 - Basic Salary - Civilian (701)</v>
      </c>
      <c r="M616" s="361">
        <v>2</v>
      </c>
      <c r="N616" s="355" t="s">
        <v>789</v>
      </c>
      <c r="O616" s="355" t="s">
        <v>1113</v>
      </c>
      <c r="P616" s="355"/>
      <c r="Q616" s="363">
        <v>134419</v>
      </c>
      <c r="R616" s="319">
        <f t="shared" si="10"/>
        <v>-134419</v>
      </c>
      <c r="S616" s="319" t="str">
        <f>VLOOKUP(H616,'Fund Utilization Report'!$A$4:$U$1800,13,FALSE)</f>
        <v>PS</v>
      </c>
      <c r="T616" s="319" t="str">
        <f>VLOOKUP(H616,'Fund Utilization Report'!$A$4:$U$1800,2,FALSE)</f>
        <v>GAA</v>
      </c>
      <c r="U616" s="319" t="str">
        <f>VLOOKUP(H616,'Fund Utilization Report'!$A$4:$U$1800,3,FALSE)</f>
        <v>FY2021, RA11518</v>
      </c>
      <c r="V616" s="319" t="str">
        <f>VLOOKUP(H616,'Fund Utilization Report'!$A$4:$U$1800,4,FALSE)</f>
        <v>OO3</v>
      </c>
      <c r="W616" s="319" t="str">
        <f>VLOOKUP(H616,'Fund Utilization Report'!$A$4:$U$1800,5,FALSE)</f>
        <v>01101101</v>
      </c>
      <c r="X616" s="319" t="str">
        <f>VLOOKUP(H616,'Fund Utilization Report'!$A$4:$U$1800,6,FALSE)</f>
        <v>GOP</v>
      </c>
      <c r="Y616" s="320" t="str">
        <f>VLOOKUP(H616,'Fund Utilization Report'!$A$4:$U$1800,7,FALSE)</f>
        <v>PS</v>
      </c>
      <c r="Z616" s="321">
        <f>VLOOKUP(H616,'Fund Utilization Report'!$A$4:$U$1800,8,FALSE)</f>
        <v>5010000000</v>
      </c>
      <c r="AA616" s="319" t="str">
        <f>VLOOKUP(H616,'Fund Utilization Report'!$A$4:$U$1800,14,FALSE)</f>
        <v>330100100002000</v>
      </c>
      <c r="AB616" s="349" t="str">
        <f>VLOOKUP(H616,'Fund Utilization Report'!$A$4:$U$1800,15,FALSE)</f>
        <v>Implementation of the MSME Development Plan and other initiatives to promote the growth of Micro, Small and Medium Enterprises</v>
      </c>
      <c r="AC616" s="39"/>
      <c r="AD616" s="34"/>
      <c r="AE616" s="39"/>
      <c r="AF616" s="51"/>
      <c r="AG616" s="40"/>
      <c r="AH616" s="40"/>
    </row>
    <row r="617" spans="1:34" s="32" customFormat="1" ht="27.6">
      <c r="A617" s="338" t="s">
        <v>942</v>
      </c>
      <c r="B617" s="338" t="s">
        <v>945</v>
      </c>
      <c r="C617" s="358">
        <v>44238</v>
      </c>
      <c r="D617" s="351" t="s">
        <v>1028</v>
      </c>
      <c r="E617" s="352" t="s">
        <v>1159</v>
      </c>
      <c r="F617" s="338">
        <v>0.48194444444444445</v>
      </c>
      <c r="G617" s="338">
        <v>0.4861111111111111</v>
      </c>
      <c r="H617" s="338" t="s">
        <v>970</v>
      </c>
      <c r="I617" s="353">
        <v>711</v>
      </c>
      <c r="J617" s="338" t="str">
        <f>IFERROR(VLOOKUP(I617,'Chart of accounts'!A:H,2,FALSE),"")</f>
        <v>50102010 01</v>
      </c>
      <c r="K617" s="338" t="str">
        <f>IFERROR(VLOOKUP(I617,'Chart of accounts'!A:H,3,FALSE),"")</f>
        <v>PERA - Civilian</v>
      </c>
      <c r="L617" s="338" t="str">
        <f>IFERROR(VLOOKUP(I617,'Chart of accounts'!A:H,4,FALSE),"")</f>
        <v>50102010 01 - PERA - Civilian (711)</v>
      </c>
      <c r="M617" s="361">
        <v>2</v>
      </c>
      <c r="N617" s="355" t="s">
        <v>789</v>
      </c>
      <c r="O617" s="355" t="s">
        <v>1113</v>
      </c>
      <c r="P617" s="355"/>
      <c r="Q617" s="363">
        <v>4000</v>
      </c>
      <c r="R617" s="319">
        <f t="shared" si="10"/>
        <v>-4000</v>
      </c>
      <c r="S617" s="319" t="str">
        <f>VLOOKUP(H617,'Fund Utilization Report'!$A$4:$U$1800,13,FALSE)</f>
        <v>PS</v>
      </c>
      <c r="T617" s="319" t="str">
        <f>VLOOKUP(H617,'Fund Utilization Report'!$A$4:$U$1800,2,FALSE)</f>
        <v>GAA</v>
      </c>
      <c r="U617" s="319" t="str">
        <f>VLOOKUP(H617,'Fund Utilization Report'!$A$4:$U$1800,3,FALSE)</f>
        <v>FY2021, RA11518</v>
      </c>
      <c r="V617" s="319" t="str">
        <f>VLOOKUP(H617,'Fund Utilization Report'!$A$4:$U$1800,4,FALSE)</f>
        <v>OO3</v>
      </c>
      <c r="W617" s="319" t="str">
        <f>VLOOKUP(H617,'Fund Utilization Report'!$A$4:$U$1800,5,FALSE)</f>
        <v>01101101</v>
      </c>
      <c r="X617" s="319" t="str">
        <f>VLOOKUP(H617,'Fund Utilization Report'!$A$4:$U$1800,6,FALSE)</f>
        <v>GOP</v>
      </c>
      <c r="Y617" s="320" t="str">
        <f>VLOOKUP(H617,'Fund Utilization Report'!$A$4:$U$1800,7,FALSE)</f>
        <v>PS</v>
      </c>
      <c r="Z617" s="321">
        <f>VLOOKUP(H617,'Fund Utilization Report'!$A$4:$U$1800,8,FALSE)</f>
        <v>5010000000</v>
      </c>
      <c r="AA617" s="319" t="str">
        <f>VLOOKUP(H617,'Fund Utilization Report'!$A$4:$U$1800,14,FALSE)</f>
        <v>330100100002000</v>
      </c>
      <c r="AB617" s="349" t="str">
        <f>VLOOKUP(H617,'Fund Utilization Report'!$A$4:$U$1800,15,FALSE)</f>
        <v>Implementation of the MSME Development Plan and other initiatives to promote the growth of Micro, Small and Medium Enterprises</v>
      </c>
      <c r="AC617" s="39"/>
      <c r="AD617" s="34"/>
      <c r="AE617" s="39"/>
      <c r="AF617" s="51"/>
      <c r="AG617" s="40"/>
      <c r="AH617" s="40"/>
    </row>
    <row r="618" spans="1:34" s="32" customFormat="1" ht="27.6">
      <c r="A618" s="338" t="s">
        <v>942</v>
      </c>
      <c r="B618" s="338" t="s">
        <v>945</v>
      </c>
      <c r="C618" s="358">
        <v>44238</v>
      </c>
      <c r="D618" s="351" t="s">
        <v>1028</v>
      </c>
      <c r="E618" s="352" t="s">
        <v>1159</v>
      </c>
      <c r="F618" s="338">
        <v>0.48194444444444445</v>
      </c>
      <c r="G618" s="338">
        <v>0.4861111111111111</v>
      </c>
      <c r="H618" s="338" t="s">
        <v>972</v>
      </c>
      <c r="I618" s="353">
        <v>731</v>
      </c>
      <c r="J618" s="338" t="str">
        <f>IFERROR(VLOOKUP(I618,'Chart of accounts'!A:H,2,FALSE),"")</f>
        <v>50103010 00</v>
      </c>
      <c r="K618" s="338" t="str">
        <f>IFERROR(VLOOKUP(I618,'Chart of accounts'!A:H,3,FALSE),"")</f>
        <v>Retirement and Life Insurance Premiums</v>
      </c>
      <c r="L618" s="338" t="str">
        <f>IFERROR(VLOOKUP(I618,'Chart of accounts'!A:H,4,FALSE),"")</f>
        <v>50103010 00 - Retirement and Life Insurance Premiums (731)</v>
      </c>
      <c r="M618" s="361">
        <v>2</v>
      </c>
      <c r="N618" s="355" t="s">
        <v>789</v>
      </c>
      <c r="O618" s="355" t="s">
        <v>1113</v>
      </c>
      <c r="P618" s="355"/>
      <c r="Q618" s="363">
        <v>16130.28</v>
      </c>
      <c r="R618" s="319">
        <f t="shared" si="10"/>
        <v>-16130.28</v>
      </c>
      <c r="S618" s="319" t="str">
        <f>VLOOKUP(H618,'Fund Utilization Report'!$A$4:$U$1800,13,FALSE)</f>
        <v>PS</v>
      </c>
      <c r="T618" s="319" t="str">
        <f>VLOOKUP(H618,'Fund Utilization Report'!$A$4:$U$1800,2,FALSE)</f>
        <v>GAA</v>
      </c>
      <c r="U618" s="319" t="str">
        <f>VLOOKUP(H618,'Fund Utilization Report'!$A$4:$U$1800,3,FALSE)</f>
        <v>FY2021, RA11518</v>
      </c>
      <c r="V618" s="319" t="str">
        <f>VLOOKUP(H618,'Fund Utilization Report'!$A$4:$U$1800,4,FALSE)</f>
        <v>OO3</v>
      </c>
      <c r="W618" s="319" t="str">
        <f>VLOOKUP(H618,'Fund Utilization Report'!$A$4:$U$1800,5,FALSE)</f>
        <v>01101101</v>
      </c>
      <c r="X618" s="319" t="str">
        <f>VLOOKUP(H618,'Fund Utilization Report'!$A$4:$U$1800,6,FALSE)</f>
        <v>GOP</v>
      </c>
      <c r="Y618" s="320" t="str">
        <f>VLOOKUP(H618,'Fund Utilization Report'!$A$4:$U$1800,7,FALSE)</f>
        <v>RLIP</v>
      </c>
      <c r="Z618" s="321" t="str">
        <f>VLOOKUP(H618,'Fund Utilization Report'!$A$4:$U$1800,8,FALSE)</f>
        <v>50103010-00</v>
      </c>
      <c r="AA618" s="319" t="str">
        <f>VLOOKUP(H618,'Fund Utilization Report'!$A$4:$U$1800,14,FALSE)</f>
        <v>330100100002000</v>
      </c>
      <c r="AB618" s="349" t="str">
        <f>VLOOKUP(H618,'Fund Utilization Report'!$A$4:$U$1800,15,FALSE)</f>
        <v>Implementation of the MSME Development Plan and other initiatives to promote the growth of Micro, Small and Medium Enterprises</v>
      </c>
      <c r="AC618" s="39"/>
      <c r="AD618" s="34"/>
      <c r="AE618" s="39"/>
      <c r="AF618" s="51"/>
      <c r="AG618" s="40"/>
      <c r="AH618" s="40"/>
    </row>
    <row r="619" spans="1:34" s="32" customFormat="1" ht="27.6">
      <c r="A619" s="338" t="s">
        <v>942</v>
      </c>
      <c r="B619" s="338" t="s">
        <v>945</v>
      </c>
      <c r="C619" s="358">
        <v>44238</v>
      </c>
      <c r="D619" s="351" t="s">
        <v>1028</v>
      </c>
      <c r="E619" s="352" t="s">
        <v>1159</v>
      </c>
      <c r="F619" s="338">
        <v>0.48194444444444445</v>
      </c>
      <c r="G619" s="338">
        <v>0.4861111111111111</v>
      </c>
      <c r="H619" s="338" t="s">
        <v>970</v>
      </c>
      <c r="I619" s="353">
        <v>732</v>
      </c>
      <c r="J619" s="338" t="str">
        <f>IFERROR(VLOOKUP(I619,'Chart of accounts'!A:H,2,FALSE),"")</f>
        <v>50103020 01</v>
      </c>
      <c r="K619" s="338" t="str">
        <f>IFERROR(VLOOKUP(I619,'Chart of accounts'!A:H,3,FALSE),"")</f>
        <v>Pag-IBIG - Civilian</v>
      </c>
      <c r="L619" s="338" t="str">
        <f>IFERROR(VLOOKUP(I619,'Chart of accounts'!A:H,4,FALSE),"")</f>
        <v>50103020 01 - Pag-IBIG - Civilian (732)</v>
      </c>
      <c r="M619" s="361">
        <v>2</v>
      </c>
      <c r="N619" s="355" t="s">
        <v>789</v>
      </c>
      <c r="O619" s="355" t="s">
        <v>1113</v>
      </c>
      <c r="P619" s="355"/>
      <c r="Q619" s="363">
        <v>200</v>
      </c>
      <c r="R619" s="319">
        <f t="shared" si="10"/>
        <v>-200</v>
      </c>
      <c r="S619" s="319" t="str">
        <f>VLOOKUP(H619,'Fund Utilization Report'!$A$4:$U$1800,13,FALSE)</f>
        <v>PS</v>
      </c>
      <c r="T619" s="319" t="str">
        <f>VLOOKUP(H619,'Fund Utilization Report'!$A$4:$U$1800,2,FALSE)</f>
        <v>GAA</v>
      </c>
      <c r="U619" s="319" t="str">
        <f>VLOOKUP(H619,'Fund Utilization Report'!$A$4:$U$1800,3,FALSE)</f>
        <v>FY2021, RA11518</v>
      </c>
      <c r="V619" s="319" t="str">
        <f>VLOOKUP(H619,'Fund Utilization Report'!$A$4:$U$1800,4,FALSE)</f>
        <v>OO3</v>
      </c>
      <c r="W619" s="319" t="str">
        <f>VLOOKUP(H619,'Fund Utilization Report'!$A$4:$U$1800,5,FALSE)</f>
        <v>01101101</v>
      </c>
      <c r="X619" s="319" t="str">
        <f>VLOOKUP(H619,'Fund Utilization Report'!$A$4:$U$1800,6,FALSE)</f>
        <v>GOP</v>
      </c>
      <c r="Y619" s="320" t="str">
        <f>VLOOKUP(H619,'Fund Utilization Report'!$A$4:$U$1800,7,FALSE)</f>
        <v>PS</v>
      </c>
      <c r="Z619" s="321">
        <f>VLOOKUP(H619,'Fund Utilization Report'!$A$4:$U$1800,8,FALSE)</f>
        <v>5010000000</v>
      </c>
      <c r="AA619" s="319" t="str">
        <f>VLOOKUP(H619,'Fund Utilization Report'!$A$4:$U$1800,14,FALSE)</f>
        <v>330100100002000</v>
      </c>
      <c r="AB619" s="349" t="str">
        <f>VLOOKUP(H619,'Fund Utilization Report'!$A$4:$U$1800,15,FALSE)</f>
        <v>Implementation of the MSME Development Plan and other initiatives to promote the growth of Micro, Small and Medium Enterprises</v>
      </c>
      <c r="AC619" s="39"/>
      <c r="AD619" s="34"/>
      <c r="AE619" s="39"/>
      <c r="AF619" s="51"/>
      <c r="AG619" s="40"/>
      <c r="AH619" s="40"/>
    </row>
    <row r="620" spans="1:34" s="32" customFormat="1" ht="27.6">
      <c r="A620" s="338" t="s">
        <v>942</v>
      </c>
      <c r="B620" s="338" t="s">
        <v>945</v>
      </c>
      <c r="C620" s="358">
        <v>44238</v>
      </c>
      <c r="D620" s="351" t="s">
        <v>1028</v>
      </c>
      <c r="E620" s="352" t="s">
        <v>1159</v>
      </c>
      <c r="F620" s="338">
        <v>0.48194444444444445</v>
      </c>
      <c r="G620" s="338">
        <v>0.4861111111111111</v>
      </c>
      <c r="H620" s="338" t="s">
        <v>970</v>
      </c>
      <c r="I620" s="353">
        <v>733</v>
      </c>
      <c r="J620" s="338" t="str">
        <f>IFERROR(VLOOKUP(I620,'Chart of accounts'!A:H,2,FALSE),"")</f>
        <v>50103030 01</v>
      </c>
      <c r="K620" s="338" t="str">
        <f>IFERROR(VLOOKUP(I620,'Chart of accounts'!A:H,3,FALSE),"")</f>
        <v>PhilHealth - Civilian</v>
      </c>
      <c r="L620" s="338" t="str">
        <f>IFERROR(VLOOKUP(I620,'Chart of accounts'!A:H,4,FALSE),"")</f>
        <v>50103030 01 - PhilHealth - Civilian (733)</v>
      </c>
      <c r="M620" s="361">
        <v>2</v>
      </c>
      <c r="N620" s="355" t="s">
        <v>789</v>
      </c>
      <c r="O620" s="355" t="s">
        <v>1113</v>
      </c>
      <c r="P620" s="355"/>
      <c r="Q620" s="363">
        <v>1593.92</v>
      </c>
      <c r="R620" s="319">
        <f t="shared" si="10"/>
        <v>-1593.92</v>
      </c>
      <c r="S620" s="319" t="str">
        <f>VLOOKUP(H620,'Fund Utilization Report'!$A$4:$U$1800,13,FALSE)</f>
        <v>PS</v>
      </c>
      <c r="T620" s="319" t="str">
        <f>VLOOKUP(H620,'Fund Utilization Report'!$A$4:$U$1800,2,FALSE)</f>
        <v>GAA</v>
      </c>
      <c r="U620" s="319" t="str">
        <f>VLOOKUP(H620,'Fund Utilization Report'!$A$4:$U$1800,3,FALSE)</f>
        <v>FY2021, RA11518</v>
      </c>
      <c r="V620" s="319" t="str">
        <f>VLOOKUP(H620,'Fund Utilization Report'!$A$4:$U$1800,4,FALSE)</f>
        <v>OO3</v>
      </c>
      <c r="W620" s="319" t="str">
        <f>VLOOKUP(H620,'Fund Utilization Report'!$A$4:$U$1800,5,FALSE)</f>
        <v>01101101</v>
      </c>
      <c r="X620" s="319" t="str">
        <f>VLOOKUP(H620,'Fund Utilization Report'!$A$4:$U$1800,6,FALSE)</f>
        <v>GOP</v>
      </c>
      <c r="Y620" s="320" t="str">
        <f>VLOOKUP(H620,'Fund Utilization Report'!$A$4:$U$1800,7,FALSE)</f>
        <v>PS</v>
      </c>
      <c r="Z620" s="321">
        <f>VLOOKUP(H620,'Fund Utilization Report'!$A$4:$U$1800,8,FALSE)</f>
        <v>5010000000</v>
      </c>
      <c r="AA620" s="319" t="str">
        <f>VLOOKUP(H620,'Fund Utilization Report'!$A$4:$U$1800,14,FALSE)</f>
        <v>330100100002000</v>
      </c>
      <c r="AB620" s="349" t="str">
        <f>VLOOKUP(H620,'Fund Utilization Report'!$A$4:$U$1800,15,FALSE)</f>
        <v>Implementation of the MSME Development Plan and other initiatives to promote the growth of Micro, Small and Medium Enterprises</v>
      </c>
      <c r="AC620" s="39"/>
      <c r="AD620" s="34"/>
      <c r="AE620" s="39"/>
      <c r="AF620" s="51"/>
      <c r="AG620" s="40"/>
      <c r="AH620" s="40"/>
    </row>
    <row r="621" spans="1:34" s="32" customFormat="1" ht="27.6">
      <c r="A621" s="338" t="s">
        <v>942</v>
      </c>
      <c r="B621" s="338" t="s">
        <v>945</v>
      </c>
      <c r="C621" s="358">
        <v>44238</v>
      </c>
      <c r="D621" s="351" t="s">
        <v>1028</v>
      </c>
      <c r="E621" s="352" t="s">
        <v>1159</v>
      </c>
      <c r="F621" s="338">
        <v>0.48194444444444445</v>
      </c>
      <c r="G621" s="338">
        <v>0.4861111111111111</v>
      </c>
      <c r="H621" s="338" t="s">
        <v>970</v>
      </c>
      <c r="I621" s="353">
        <v>734</v>
      </c>
      <c r="J621" s="338" t="str">
        <f>IFERROR(VLOOKUP(I621,'Chart of accounts'!A:H,2,FALSE),"")</f>
        <v>50103040 01</v>
      </c>
      <c r="K621" s="338" t="str">
        <f>IFERROR(VLOOKUP(I621,'Chart of accounts'!A:H,3,FALSE),"")</f>
        <v>ECIP - Civilian</v>
      </c>
      <c r="L621" s="338" t="str">
        <f>IFERROR(VLOOKUP(I621,'Chart of accounts'!A:H,4,FALSE),"")</f>
        <v>50103040 01 - ECIP - Civilian (734)</v>
      </c>
      <c r="M621" s="361">
        <v>2</v>
      </c>
      <c r="N621" s="355" t="s">
        <v>789</v>
      </c>
      <c r="O621" s="355" t="s">
        <v>1113</v>
      </c>
      <c r="P621" s="355"/>
      <c r="Q621" s="363">
        <v>200</v>
      </c>
      <c r="R621" s="319">
        <f t="shared" si="10"/>
        <v>-200</v>
      </c>
      <c r="S621" s="319" t="str">
        <f>VLOOKUP(H621,'Fund Utilization Report'!$A$4:$U$1800,13,FALSE)</f>
        <v>PS</v>
      </c>
      <c r="T621" s="319" t="str">
        <f>VLOOKUP(H621,'Fund Utilization Report'!$A$4:$U$1800,2,FALSE)</f>
        <v>GAA</v>
      </c>
      <c r="U621" s="319" t="str">
        <f>VLOOKUP(H621,'Fund Utilization Report'!$A$4:$U$1800,3,FALSE)</f>
        <v>FY2021, RA11518</v>
      </c>
      <c r="V621" s="319" t="str">
        <f>VLOOKUP(H621,'Fund Utilization Report'!$A$4:$U$1800,4,FALSE)</f>
        <v>OO3</v>
      </c>
      <c r="W621" s="319" t="str">
        <f>VLOOKUP(H621,'Fund Utilization Report'!$A$4:$U$1800,5,FALSE)</f>
        <v>01101101</v>
      </c>
      <c r="X621" s="319" t="str">
        <f>VLOOKUP(H621,'Fund Utilization Report'!$A$4:$U$1800,6,FALSE)</f>
        <v>GOP</v>
      </c>
      <c r="Y621" s="320" t="str">
        <f>VLOOKUP(H621,'Fund Utilization Report'!$A$4:$U$1800,7,FALSE)</f>
        <v>PS</v>
      </c>
      <c r="Z621" s="321">
        <f>VLOOKUP(H621,'Fund Utilization Report'!$A$4:$U$1800,8,FALSE)</f>
        <v>5010000000</v>
      </c>
      <c r="AA621" s="319" t="str">
        <f>VLOOKUP(H621,'Fund Utilization Report'!$A$4:$U$1800,14,FALSE)</f>
        <v>330100100002000</v>
      </c>
      <c r="AB621" s="349" t="str">
        <f>VLOOKUP(H621,'Fund Utilization Report'!$A$4:$U$1800,15,FALSE)</f>
        <v>Implementation of the MSME Development Plan and other initiatives to promote the growth of Micro, Small and Medium Enterprises</v>
      </c>
      <c r="AC621" s="39"/>
      <c r="AD621" s="34"/>
      <c r="AE621" s="39"/>
      <c r="AF621" s="51"/>
      <c r="AG621" s="40"/>
      <c r="AH621" s="40"/>
    </row>
    <row r="622" spans="1:34" s="32" customFormat="1" ht="27.6">
      <c r="A622" s="338" t="s">
        <v>942</v>
      </c>
      <c r="B622" s="338" t="s">
        <v>945</v>
      </c>
      <c r="C622" s="358">
        <v>44238</v>
      </c>
      <c r="D622" s="351" t="s">
        <v>1028</v>
      </c>
      <c r="E622" s="352" t="s">
        <v>1159</v>
      </c>
      <c r="F622" s="338">
        <v>0.48194444444444445</v>
      </c>
      <c r="G622" s="338">
        <v>0.4861111111111111</v>
      </c>
      <c r="H622" s="338" t="s">
        <v>973</v>
      </c>
      <c r="I622" s="353">
        <v>701</v>
      </c>
      <c r="J622" s="338" t="str">
        <f>IFERROR(VLOOKUP(I622,'Chart of accounts'!A:H,2,FALSE),"")</f>
        <v>50101010 01</v>
      </c>
      <c r="K622" s="338" t="str">
        <f>IFERROR(VLOOKUP(I622,'Chart of accounts'!A:H,3,FALSE),"")</f>
        <v>Basic Salary - Civilian</v>
      </c>
      <c r="L622" s="338" t="str">
        <f>IFERROR(VLOOKUP(I622,'Chart of accounts'!A:H,4,FALSE),"")</f>
        <v>50101010 01 - Basic Salary - Civilian (701)</v>
      </c>
      <c r="M622" s="361">
        <v>2</v>
      </c>
      <c r="N622" s="355" t="s">
        <v>789</v>
      </c>
      <c r="O622" s="355" t="s">
        <v>1113</v>
      </c>
      <c r="P622" s="355"/>
      <c r="Q622" s="363">
        <v>91522</v>
      </c>
      <c r="R622" s="319">
        <f t="shared" si="10"/>
        <v>-91522</v>
      </c>
      <c r="S622" s="319" t="str">
        <f>VLOOKUP(H622,'Fund Utilization Report'!$A$4:$U$1800,13,FALSE)</f>
        <v>PS</v>
      </c>
      <c r="T622" s="319" t="str">
        <f>VLOOKUP(H622,'Fund Utilization Report'!$A$4:$U$1800,2,FALSE)</f>
        <v>GAA</v>
      </c>
      <c r="U622" s="319" t="str">
        <f>VLOOKUP(H622,'Fund Utilization Report'!$A$4:$U$1800,3,FALSE)</f>
        <v>FY2021, RA11518</v>
      </c>
      <c r="V622" s="319" t="str">
        <f>VLOOKUP(H622,'Fund Utilization Report'!$A$4:$U$1800,4,FALSE)</f>
        <v>OO4.1(FTL)</v>
      </c>
      <c r="W622" s="319" t="str">
        <f>VLOOKUP(H622,'Fund Utilization Report'!$A$4:$U$1800,5,FALSE)</f>
        <v>01101101</v>
      </c>
      <c r="X622" s="319" t="str">
        <f>VLOOKUP(H622,'Fund Utilization Report'!$A$4:$U$1800,6,FALSE)</f>
        <v>GOP</v>
      </c>
      <c r="Y622" s="320" t="str">
        <f>VLOOKUP(H622,'Fund Utilization Report'!$A$4:$U$1800,7,FALSE)</f>
        <v>PS</v>
      </c>
      <c r="Z622" s="321">
        <f>VLOOKUP(H622,'Fund Utilization Report'!$A$4:$U$1800,8,FALSE)</f>
        <v>5010000000</v>
      </c>
      <c r="AA622" s="319" t="str">
        <f>VLOOKUP(H622,'Fund Utilization Report'!$A$4:$U$1800,14,FALSE)</f>
        <v>340100100002000</v>
      </c>
      <c r="AB622" s="349" t="str">
        <f>VLOOKUP(H622,'Fund Utilization Report'!$A$4:$U$1800,15,FALSE)</f>
        <v>Monitoring and Enforcement of FTL including consumer complaints handling</v>
      </c>
      <c r="AC622" s="39"/>
      <c r="AD622" s="34"/>
      <c r="AE622" s="39"/>
      <c r="AF622" s="51"/>
      <c r="AG622" s="40"/>
      <c r="AH622" s="40"/>
    </row>
    <row r="623" spans="1:34" s="32" customFormat="1" ht="27.6">
      <c r="A623" s="338" t="s">
        <v>942</v>
      </c>
      <c r="B623" s="338" t="s">
        <v>945</v>
      </c>
      <c r="C623" s="358">
        <v>44238</v>
      </c>
      <c r="D623" s="351" t="s">
        <v>1028</v>
      </c>
      <c r="E623" s="352" t="s">
        <v>1159</v>
      </c>
      <c r="F623" s="338">
        <v>0.48194444444444445</v>
      </c>
      <c r="G623" s="338">
        <v>0.4861111111111111</v>
      </c>
      <c r="H623" s="338" t="s">
        <v>973</v>
      </c>
      <c r="I623" s="353">
        <v>711</v>
      </c>
      <c r="J623" s="338" t="str">
        <f>IFERROR(VLOOKUP(I623,'Chart of accounts'!A:H,2,FALSE),"")</f>
        <v>50102010 01</v>
      </c>
      <c r="K623" s="338" t="str">
        <f>IFERROR(VLOOKUP(I623,'Chart of accounts'!A:H,3,FALSE),"")</f>
        <v>PERA - Civilian</v>
      </c>
      <c r="L623" s="338" t="str">
        <f>IFERROR(VLOOKUP(I623,'Chart of accounts'!A:H,4,FALSE),"")</f>
        <v>50102010 01 - PERA - Civilian (711)</v>
      </c>
      <c r="M623" s="361">
        <v>2</v>
      </c>
      <c r="N623" s="355" t="s">
        <v>789</v>
      </c>
      <c r="O623" s="355" t="s">
        <v>1113</v>
      </c>
      <c r="P623" s="355"/>
      <c r="Q623" s="363">
        <v>4000</v>
      </c>
      <c r="R623" s="319">
        <f t="shared" si="10"/>
        <v>-4000</v>
      </c>
      <c r="S623" s="319" t="str">
        <f>VLOOKUP(H623,'Fund Utilization Report'!$A$4:$U$1800,13,FALSE)</f>
        <v>PS</v>
      </c>
      <c r="T623" s="319" t="str">
        <f>VLOOKUP(H623,'Fund Utilization Report'!$A$4:$U$1800,2,FALSE)</f>
        <v>GAA</v>
      </c>
      <c r="U623" s="319" t="str">
        <f>VLOOKUP(H623,'Fund Utilization Report'!$A$4:$U$1800,3,FALSE)</f>
        <v>FY2021, RA11518</v>
      </c>
      <c r="V623" s="319" t="str">
        <f>VLOOKUP(H623,'Fund Utilization Report'!$A$4:$U$1800,4,FALSE)</f>
        <v>OO4.1(FTL)</v>
      </c>
      <c r="W623" s="319" t="str">
        <f>VLOOKUP(H623,'Fund Utilization Report'!$A$4:$U$1800,5,FALSE)</f>
        <v>01101101</v>
      </c>
      <c r="X623" s="319" t="str">
        <f>VLOOKUP(H623,'Fund Utilization Report'!$A$4:$U$1800,6,FALSE)</f>
        <v>GOP</v>
      </c>
      <c r="Y623" s="320" t="str">
        <f>VLOOKUP(H623,'Fund Utilization Report'!$A$4:$U$1800,7,FALSE)</f>
        <v>PS</v>
      </c>
      <c r="Z623" s="321">
        <f>VLOOKUP(H623,'Fund Utilization Report'!$A$4:$U$1800,8,FALSE)</f>
        <v>5010000000</v>
      </c>
      <c r="AA623" s="319" t="str">
        <f>VLOOKUP(H623,'Fund Utilization Report'!$A$4:$U$1800,14,FALSE)</f>
        <v>340100100002000</v>
      </c>
      <c r="AB623" s="349" t="str">
        <f>VLOOKUP(H623,'Fund Utilization Report'!$A$4:$U$1800,15,FALSE)</f>
        <v>Monitoring and Enforcement of FTL including consumer complaints handling</v>
      </c>
      <c r="AC623" s="39"/>
      <c r="AD623" s="34"/>
      <c r="AE623" s="39"/>
      <c r="AF623" s="51"/>
      <c r="AG623" s="40"/>
      <c r="AH623" s="40"/>
    </row>
    <row r="624" spans="1:34" s="32" customFormat="1" ht="27.6">
      <c r="A624" s="338" t="s">
        <v>942</v>
      </c>
      <c r="B624" s="338" t="s">
        <v>945</v>
      </c>
      <c r="C624" s="358">
        <v>44238</v>
      </c>
      <c r="D624" s="351" t="s">
        <v>1028</v>
      </c>
      <c r="E624" s="352" t="s">
        <v>1159</v>
      </c>
      <c r="F624" s="338">
        <v>0.48194444444444445</v>
      </c>
      <c r="G624" s="338">
        <v>0.4861111111111111</v>
      </c>
      <c r="H624" s="338" t="s">
        <v>975</v>
      </c>
      <c r="I624" s="353">
        <v>731</v>
      </c>
      <c r="J624" s="338" t="str">
        <f>IFERROR(VLOOKUP(I624,'Chart of accounts'!A:H,2,FALSE),"")</f>
        <v>50103010 00</v>
      </c>
      <c r="K624" s="338" t="str">
        <f>IFERROR(VLOOKUP(I624,'Chart of accounts'!A:H,3,FALSE),"")</f>
        <v>Retirement and Life Insurance Premiums</v>
      </c>
      <c r="L624" s="338" t="str">
        <f>IFERROR(VLOOKUP(I624,'Chart of accounts'!A:H,4,FALSE),"")</f>
        <v>50103010 00 - Retirement and Life Insurance Premiums (731)</v>
      </c>
      <c r="M624" s="361">
        <v>2</v>
      </c>
      <c r="N624" s="355" t="s">
        <v>789</v>
      </c>
      <c r="O624" s="355" t="s">
        <v>1113</v>
      </c>
      <c r="P624" s="355"/>
      <c r="Q624" s="363">
        <v>10982.64</v>
      </c>
      <c r="R624" s="319">
        <f t="shared" si="10"/>
        <v>-10982.64</v>
      </c>
      <c r="S624" s="319" t="str">
        <f>VLOOKUP(H624,'Fund Utilization Report'!$A$4:$U$1800,13,FALSE)</f>
        <v>PS</v>
      </c>
      <c r="T624" s="319" t="str">
        <f>VLOOKUP(H624,'Fund Utilization Report'!$A$4:$U$1800,2,FALSE)</f>
        <v>GAA</v>
      </c>
      <c r="U624" s="319" t="str">
        <f>VLOOKUP(H624,'Fund Utilization Report'!$A$4:$U$1800,3,FALSE)</f>
        <v>FY2021, RA11518</v>
      </c>
      <c r="V624" s="319" t="str">
        <f>VLOOKUP(H624,'Fund Utilization Report'!$A$4:$U$1800,4,FALSE)</f>
        <v>OO4.1(FTL)</v>
      </c>
      <c r="W624" s="319" t="str">
        <f>VLOOKUP(H624,'Fund Utilization Report'!$A$4:$U$1800,5,FALSE)</f>
        <v>01101101</v>
      </c>
      <c r="X624" s="319" t="str">
        <f>VLOOKUP(H624,'Fund Utilization Report'!$A$4:$U$1800,6,FALSE)</f>
        <v>GOP</v>
      </c>
      <c r="Y624" s="320" t="str">
        <f>VLOOKUP(H624,'Fund Utilization Report'!$A$4:$U$1800,7,FALSE)</f>
        <v>RLIP</v>
      </c>
      <c r="Z624" s="321" t="str">
        <f>VLOOKUP(H624,'Fund Utilization Report'!$A$4:$U$1800,8,FALSE)</f>
        <v>50103010-00</v>
      </c>
      <c r="AA624" s="319" t="str">
        <f>VLOOKUP(H624,'Fund Utilization Report'!$A$4:$U$1800,14,FALSE)</f>
        <v>340100100002000</v>
      </c>
      <c r="AB624" s="349" t="str">
        <f>VLOOKUP(H624,'Fund Utilization Report'!$A$4:$U$1800,15,FALSE)</f>
        <v>Monitoring and Enforcement of FTL including consumer complaints handling</v>
      </c>
      <c r="AC624" s="39"/>
      <c r="AD624" s="34"/>
      <c r="AE624" s="39"/>
      <c r="AF624" s="51"/>
      <c r="AG624" s="40"/>
      <c r="AH624" s="40"/>
    </row>
    <row r="625" spans="1:34" s="32" customFormat="1" ht="27.6">
      <c r="A625" s="338" t="s">
        <v>942</v>
      </c>
      <c r="B625" s="338" t="s">
        <v>945</v>
      </c>
      <c r="C625" s="358">
        <v>44238</v>
      </c>
      <c r="D625" s="351" t="s">
        <v>1028</v>
      </c>
      <c r="E625" s="352" t="s">
        <v>1159</v>
      </c>
      <c r="F625" s="338">
        <v>0.48194444444444445</v>
      </c>
      <c r="G625" s="338">
        <v>0.4861111111111111</v>
      </c>
      <c r="H625" s="338" t="s">
        <v>973</v>
      </c>
      <c r="I625" s="353">
        <v>732</v>
      </c>
      <c r="J625" s="338" t="str">
        <f>IFERROR(VLOOKUP(I625,'Chart of accounts'!A:H,2,FALSE),"")</f>
        <v>50103020 01</v>
      </c>
      <c r="K625" s="338" t="str">
        <f>IFERROR(VLOOKUP(I625,'Chart of accounts'!A:H,3,FALSE),"")</f>
        <v>Pag-IBIG - Civilian</v>
      </c>
      <c r="L625" s="338" t="str">
        <f>IFERROR(VLOOKUP(I625,'Chart of accounts'!A:H,4,FALSE),"")</f>
        <v>50103020 01 - Pag-IBIG - Civilian (732)</v>
      </c>
      <c r="M625" s="361">
        <v>2</v>
      </c>
      <c r="N625" s="355" t="s">
        <v>789</v>
      </c>
      <c r="O625" s="355" t="s">
        <v>1113</v>
      </c>
      <c r="P625" s="355"/>
      <c r="Q625" s="363">
        <v>200</v>
      </c>
      <c r="R625" s="319">
        <f t="shared" si="10"/>
        <v>-200</v>
      </c>
      <c r="S625" s="319" t="str">
        <f>VLOOKUP(H625,'Fund Utilization Report'!$A$4:$U$1800,13,FALSE)</f>
        <v>PS</v>
      </c>
      <c r="T625" s="319" t="str">
        <f>VLOOKUP(H625,'Fund Utilization Report'!$A$4:$U$1800,2,FALSE)</f>
        <v>GAA</v>
      </c>
      <c r="U625" s="319" t="str">
        <f>VLOOKUP(H625,'Fund Utilization Report'!$A$4:$U$1800,3,FALSE)</f>
        <v>FY2021, RA11518</v>
      </c>
      <c r="V625" s="319" t="str">
        <f>VLOOKUP(H625,'Fund Utilization Report'!$A$4:$U$1800,4,FALSE)</f>
        <v>OO4.1(FTL)</v>
      </c>
      <c r="W625" s="319" t="str">
        <f>VLOOKUP(H625,'Fund Utilization Report'!$A$4:$U$1800,5,FALSE)</f>
        <v>01101101</v>
      </c>
      <c r="X625" s="319" t="str">
        <f>VLOOKUP(H625,'Fund Utilization Report'!$A$4:$U$1800,6,FALSE)</f>
        <v>GOP</v>
      </c>
      <c r="Y625" s="320" t="str">
        <f>VLOOKUP(H625,'Fund Utilization Report'!$A$4:$U$1800,7,FALSE)</f>
        <v>PS</v>
      </c>
      <c r="Z625" s="321">
        <f>VLOOKUP(H625,'Fund Utilization Report'!$A$4:$U$1800,8,FALSE)</f>
        <v>5010000000</v>
      </c>
      <c r="AA625" s="319" t="str">
        <f>VLOOKUP(H625,'Fund Utilization Report'!$A$4:$U$1800,14,FALSE)</f>
        <v>340100100002000</v>
      </c>
      <c r="AB625" s="349" t="str">
        <f>VLOOKUP(H625,'Fund Utilization Report'!$A$4:$U$1800,15,FALSE)</f>
        <v>Monitoring and Enforcement of FTL including consumer complaints handling</v>
      </c>
      <c r="AC625" s="39"/>
      <c r="AD625" s="34"/>
      <c r="AE625" s="39"/>
      <c r="AF625" s="51"/>
      <c r="AG625" s="40"/>
      <c r="AH625" s="40"/>
    </row>
    <row r="626" spans="1:34" s="32" customFormat="1" ht="27.6">
      <c r="A626" s="338" t="s">
        <v>942</v>
      </c>
      <c r="B626" s="338" t="s">
        <v>945</v>
      </c>
      <c r="C626" s="358">
        <v>44238</v>
      </c>
      <c r="D626" s="351" t="s">
        <v>1028</v>
      </c>
      <c r="E626" s="352" t="s">
        <v>1159</v>
      </c>
      <c r="F626" s="338">
        <v>0.48194444444444445</v>
      </c>
      <c r="G626" s="338">
        <v>0.4861111111111111</v>
      </c>
      <c r="H626" s="338" t="s">
        <v>973</v>
      </c>
      <c r="I626" s="353">
        <v>733</v>
      </c>
      <c r="J626" s="338" t="str">
        <f>IFERROR(VLOOKUP(I626,'Chart of accounts'!A:H,2,FALSE),"")</f>
        <v>50103030 01</v>
      </c>
      <c r="K626" s="338" t="str">
        <f>IFERROR(VLOOKUP(I626,'Chart of accounts'!A:H,3,FALSE),"")</f>
        <v>PhilHealth - Civilian</v>
      </c>
      <c r="L626" s="338" t="str">
        <f>IFERROR(VLOOKUP(I626,'Chart of accounts'!A:H,4,FALSE),"")</f>
        <v>50103030 01 - PhilHealth - Civilian (733)</v>
      </c>
      <c r="M626" s="361">
        <v>2</v>
      </c>
      <c r="N626" s="355" t="s">
        <v>789</v>
      </c>
      <c r="O626" s="355" t="s">
        <v>1113</v>
      </c>
      <c r="P626" s="355"/>
      <c r="Q626" s="363">
        <v>1372.83</v>
      </c>
      <c r="R626" s="319">
        <f t="shared" si="10"/>
        <v>-1372.83</v>
      </c>
      <c r="S626" s="319" t="str">
        <f>VLOOKUP(H626,'Fund Utilization Report'!$A$4:$U$1800,13,FALSE)</f>
        <v>PS</v>
      </c>
      <c r="T626" s="319" t="str">
        <f>VLOOKUP(H626,'Fund Utilization Report'!$A$4:$U$1800,2,FALSE)</f>
        <v>GAA</v>
      </c>
      <c r="U626" s="319" t="str">
        <f>VLOOKUP(H626,'Fund Utilization Report'!$A$4:$U$1800,3,FALSE)</f>
        <v>FY2021, RA11518</v>
      </c>
      <c r="V626" s="319" t="str">
        <f>VLOOKUP(H626,'Fund Utilization Report'!$A$4:$U$1800,4,FALSE)</f>
        <v>OO4.1(FTL)</v>
      </c>
      <c r="W626" s="319" t="str">
        <f>VLOOKUP(H626,'Fund Utilization Report'!$A$4:$U$1800,5,FALSE)</f>
        <v>01101101</v>
      </c>
      <c r="X626" s="319" t="str">
        <f>VLOOKUP(H626,'Fund Utilization Report'!$A$4:$U$1800,6,FALSE)</f>
        <v>GOP</v>
      </c>
      <c r="Y626" s="320" t="str">
        <f>VLOOKUP(H626,'Fund Utilization Report'!$A$4:$U$1800,7,FALSE)</f>
        <v>PS</v>
      </c>
      <c r="Z626" s="321">
        <f>VLOOKUP(H626,'Fund Utilization Report'!$A$4:$U$1800,8,FALSE)</f>
        <v>5010000000</v>
      </c>
      <c r="AA626" s="319" t="str">
        <f>VLOOKUP(H626,'Fund Utilization Report'!$A$4:$U$1800,14,FALSE)</f>
        <v>340100100002000</v>
      </c>
      <c r="AB626" s="349" t="str">
        <f>VLOOKUP(H626,'Fund Utilization Report'!$A$4:$U$1800,15,FALSE)</f>
        <v>Monitoring and Enforcement of FTL including consumer complaints handling</v>
      </c>
      <c r="AC626" s="39"/>
      <c r="AD626" s="34"/>
      <c r="AE626" s="39"/>
      <c r="AF626" s="51"/>
      <c r="AG626" s="40"/>
      <c r="AH626" s="40"/>
    </row>
    <row r="627" spans="1:34" s="32" customFormat="1" ht="27.6">
      <c r="A627" s="338" t="s">
        <v>942</v>
      </c>
      <c r="B627" s="338" t="s">
        <v>945</v>
      </c>
      <c r="C627" s="358">
        <v>44238</v>
      </c>
      <c r="D627" s="351" t="s">
        <v>1028</v>
      </c>
      <c r="E627" s="352" t="s">
        <v>1159</v>
      </c>
      <c r="F627" s="338">
        <v>0.48194444444444445</v>
      </c>
      <c r="G627" s="338">
        <v>0.4861111111111111</v>
      </c>
      <c r="H627" s="338" t="s">
        <v>973</v>
      </c>
      <c r="I627" s="353">
        <v>734</v>
      </c>
      <c r="J627" s="338" t="str">
        <f>IFERROR(VLOOKUP(I627,'Chart of accounts'!A:H,2,FALSE),"")</f>
        <v>50103040 01</v>
      </c>
      <c r="K627" s="338" t="str">
        <f>IFERROR(VLOOKUP(I627,'Chart of accounts'!A:H,3,FALSE),"")</f>
        <v>ECIP - Civilian</v>
      </c>
      <c r="L627" s="338" t="str">
        <f>IFERROR(VLOOKUP(I627,'Chart of accounts'!A:H,4,FALSE),"")</f>
        <v>50103040 01 - ECIP - Civilian (734)</v>
      </c>
      <c r="M627" s="361">
        <v>2</v>
      </c>
      <c r="N627" s="355" t="s">
        <v>789</v>
      </c>
      <c r="O627" s="355" t="s">
        <v>1113</v>
      </c>
      <c r="P627" s="355"/>
      <c r="Q627" s="363">
        <v>200</v>
      </c>
      <c r="R627" s="319">
        <f t="shared" si="10"/>
        <v>-200</v>
      </c>
      <c r="S627" s="319" t="str">
        <f>VLOOKUP(H627,'Fund Utilization Report'!$A$4:$U$1800,13,FALSE)</f>
        <v>PS</v>
      </c>
      <c r="T627" s="319" t="str">
        <f>VLOOKUP(H627,'Fund Utilization Report'!$A$4:$U$1800,2,FALSE)</f>
        <v>GAA</v>
      </c>
      <c r="U627" s="319" t="str">
        <f>VLOOKUP(H627,'Fund Utilization Report'!$A$4:$U$1800,3,FALSE)</f>
        <v>FY2021, RA11518</v>
      </c>
      <c r="V627" s="319" t="str">
        <f>VLOOKUP(H627,'Fund Utilization Report'!$A$4:$U$1800,4,FALSE)</f>
        <v>OO4.1(FTL)</v>
      </c>
      <c r="W627" s="319" t="str">
        <f>VLOOKUP(H627,'Fund Utilization Report'!$A$4:$U$1800,5,FALSE)</f>
        <v>01101101</v>
      </c>
      <c r="X627" s="319" t="str">
        <f>VLOOKUP(H627,'Fund Utilization Report'!$A$4:$U$1800,6,FALSE)</f>
        <v>GOP</v>
      </c>
      <c r="Y627" s="320" t="str">
        <f>VLOOKUP(H627,'Fund Utilization Report'!$A$4:$U$1800,7,FALSE)</f>
        <v>PS</v>
      </c>
      <c r="Z627" s="321">
        <f>VLOOKUP(H627,'Fund Utilization Report'!$A$4:$U$1800,8,FALSE)</f>
        <v>5010000000</v>
      </c>
      <c r="AA627" s="319" t="str">
        <f>VLOOKUP(H627,'Fund Utilization Report'!$A$4:$U$1800,14,FALSE)</f>
        <v>340100100002000</v>
      </c>
      <c r="AB627" s="349" t="str">
        <f>VLOOKUP(H627,'Fund Utilization Report'!$A$4:$U$1800,15,FALSE)</f>
        <v>Monitoring and Enforcement of FTL including consumer complaints handling</v>
      </c>
      <c r="AC627" s="39"/>
      <c r="AD627" s="34"/>
      <c r="AE627" s="39"/>
      <c r="AF627" s="51"/>
      <c r="AG627" s="40"/>
      <c r="AH627" s="40"/>
    </row>
    <row r="628" spans="1:34" s="32" customFormat="1" ht="27.6">
      <c r="A628" s="338" t="s">
        <v>942</v>
      </c>
      <c r="B628" s="338" t="s">
        <v>945</v>
      </c>
      <c r="C628" s="358">
        <v>44238</v>
      </c>
      <c r="D628" s="351" t="s">
        <v>1028</v>
      </c>
      <c r="E628" s="352" t="s">
        <v>1159</v>
      </c>
      <c r="F628" s="338">
        <v>0.48194444444444445</v>
      </c>
      <c r="G628" s="338">
        <v>0.4861111111111111</v>
      </c>
      <c r="H628" s="338" t="s">
        <v>976</v>
      </c>
      <c r="I628" s="353">
        <v>701</v>
      </c>
      <c r="J628" s="338" t="str">
        <f>IFERROR(VLOOKUP(I628,'Chart of accounts'!A:H,2,FALSE),"")</f>
        <v>50101010 01</v>
      </c>
      <c r="K628" s="338" t="str">
        <f>IFERROR(VLOOKUP(I628,'Chart of accounts'!A:H,3,FALSE),"")</f>
        <v>Basic Salary - Civilian</v>
      </c>
      <c r="L628" s="338" t="str">
        <f>IFERROR(VLOOKUP(I628,'Chart of accounts'!A:H,4,FALSE),"")</f>
        <v>50101010 01 - Basic Salary - Civilian (701)</v>
      </c>
      <c r="M628" s="361">
        <v>2</v>
      </c>
      <c r="N628" s="355" t="s">
        <v>789</v>
      </c>
      <c r="O628" s="355" t="s">
        <v>1113</v>
      </c>
      <c r="P628" s="355"/>
      <c r="Q628" s="363">
        <v>43681</v>
      </c>
      <c r="R628" s="319">
        <f t="shared" si="10"/>
        <v>-43681</v>
      </c>
      <c r="S628" s="319" t="str">
        <f>VLOOKUP(H628,'Fund Utilization Report'!$A$4:$U$1800,13,FALSE)</f>
        <v>PS</v>
      </c>
      <c r="T628" s="319" t="str">
        <f>VLOOKUP(H628,'Fund Utilization Report'!$A$4:$U$1800,2,FALSE)</f>
        <v>GAA</v>
      </c>
      <c r="U628" s="319" t="str">
        <f>VLOOKUP(H628,'Fund Utilization Report'!$A$4:$U$1800,3,FALSE)</f>
        <v>FY2021, RA11518</v>
      </c>
      <c r="V628" s="319" t="str">
        <f>VLOOKUP(H628,'Fund Utilization Report'!$A$4:$U$1800,4,FALSE)</f>
        <v>OO4.1(Acc)</v>
      </c>
      <c r="W628" s="319" t="str">
        <f>VLOOKUP(H628,'Fund Utilization Report'!$A$4:$U$1800,5,FALSE)</f>
        <v>01101101</v>
      </c>
      <c r="X628" s="319" t="str">
        <f>VLOOKUP(H628,'Fund Utilization Report'!$A$4:$U$1800,6,FALSE)</f>
        <v>GOP</v>
      </c>
      <c r="Y628" s="320" t="str">
        <f>VLOOKUP(H628,'Fund Utilization Report'!$A$4:$U$1800,7,FALSE)</f>
        <v>PS</v>
      </c>
      <c r="Z628" s="321">
        <f>VLOOKUP(H628,'Fund Utilization Report'!$A$4:$U$1800,8,FALSE)</f>
        <v>5010000000</v>
      </c>
      <c r="AA628" s="319" t="str">
        <f>VLOOKUP(H628,'Fund Utilization Report'!$A$4:$U$1800,14,FALSE)</f>
        <v>340100100003000</v>
      </c>
      <c r="AB628" s="349" t="str">
        <f>VLOOKUP(H628,'Fund Utilization Report'!$A$4:$U$1800,15,FALSE)</f>
        <v>Accreditation and Issuance of Business Licenses, Permits, registration and authorities</v>
      </c>
      <c r="AC628" s="39"/>
      <c r="AD628" s="34"/>
      <c r="AE628" s="39"/>
      <c r="AF628" s="51"/>
      <c r="AG628" s="40"/>
      <c r="AH628" s="40"/>
    </row>
    <row r="629" spans="1:34" s="32" customFormat="1" ht="27.6">
      <c r="A629" s="338" t="s">
        <v>942</v>
      </c>
      <c r="B629" s="338" t="s">
        <v>945</v>
      </c>
      <c r="C629" s="358">
        <v>44238</v>
      </c>
      <c r="D629" s="351" t="s">
        <v>1028</v>
      </c>
      <c r="E629" s="352" t="s">
        <v>1159</v>
      </c>
      <c r="F629" s="338">
        <v>0.48194444444444445</v>
      </c>
      <c r="G629" s="338">
        <v>0.4861111111111111</v>
      </c>
      <c r="H629" s="338" t="s">
        <v>976</v>
      </c>
      <c r="I629" s="353">
        <v>711</v>
      </c>
      <c r="J629" s="338" t="str">
        <f>IFERROR(VLOOKUP(I629,'Chart of accounts'!A:H,2,FALSE),"")</f>
        <v>50102010 01</v>
      </c>
      <c r="K629" s="338" t="str">
        <f>IFERROR(VLOOKUP(I629,'Chart of accounts'!A:H,3,FALSE),"")</f>
        <v>PERA - Civilian</v>
      </c>
      <c r="L629" s="338" t="str">
        <f>IFERROR(VLOOKUP(I629,'Chart of accounts'!A:H,4,FALSE),"")</f>
        <v>50102010 01 - PERA - Civilian (711)</v>
      </c>
      <c r="M629" s="361">
        <v>2</v>
      </c>
      <c r="N629" s="355" t="s">
        <v>789</v>
      </c>
      <c r="O629" s="355" t="s">
        <v>1113</v>
      </c>
      <c r="P629" s="355"/>
      <c r="Q629" s="363">
        <v>2000</v>
      </c>
      <c r="R629" s="319">
        <f t="shared" si="10"/>
        <v>-2000</v>
      </c>
      <c r="S629" s="319" t="str">
        <f>VLOOKUP(H629,'Fund Utilization Report'!$A$4:$U$1800,13,FALSE)</f>
        <v>PS</v>
      </c>
      <c r="T629" s="319" t="str">
        <f>VLOOKUP(H629,'Fund Utilization Report'!$A$4:$U$1800,2,FALSE)</f>
        <v>GAA</v>
      </c>
      <c r="U629" s="319" t="str">
        <f>VLOOKUP(H629,'Fund Utilization Report'!$A$4:$U$1800,3,FALSE)</f>
        <v>FY2021, RA11518</v>
      </c>
      <c r="V629" s="319" t="str">
        <f>VLOOKUP(H629,'Fund Utilization Report'!$A$4:$U$1800,4,FALSE)</f>
        <v>OO4.1(Acc)</v>
      </c>
      <c r="W629" s="319" t="str">
        <f>VLOOKUP(H629,'Fund Utilization Report'!$A$4:$U$1800,5,FALSE)</f>
        <v>01101101</v>
      </c>
      <c r="X629" s="319" t="str">
        <f>VLOOKUP(H629,'Fund Utilization Report'!$A$4:$U$1800,6,FALSE)</f>
        <v>GOP</v>
      </c>
      <c r="Y629" s="320" t="str">
        <f>VLOOKUP(H629,'Fund Utilization Report'!$A$4:$U$1800,7,FALSE)</f>
        <v>PS</v>
      </c>
      <c r="Z629" s="321">
        <f>VLOOKUP(H629,'Fund Utilization Report'!$A$4:$U$1800,8,FALSE)</f>
        <v>5010000000</v>
      </c>
      <c r="AA629" s="319" t="str">
        <f>VLOOKUP(H629,'Fund Utilization Report'!$A$4:$U$1800,14,FALSE)</f>
        <v>340100100003000</v>
      </c>
      <c r="AB629" s="349" t="str">
        <f>VLOOKUP(H629,'Fund Utilization Report'!$A$4:$U$1800,15,FALSE)</f>
        <v>Accreditation and Issuance of Business Licenses, Permits, registration and authorities</v>
      </c>
      <c r="AC629" s="39"/>
      <c r="AD629" s="34"/>
      <c r="AE629" s="39"/>
      <c r="AF629" s="51"/>
      <c r="AG629" s="40"/>
      <c r="AH629" s="40"/>
    </row>
    <row r="630" spans="1:34" s="32" customFormat="1" ht="27.6">
      <c r="A630" s="338" t="s">
        <v>942</v>
      </c>
      <c r="B630" s="338" t="s">
        <v>945</v>
      </c>
      <c r="C630" s="358">
        <v>44238</v>
      </c>
      <c r="D630" s="351" t="s">
        <v>1028</v>
      </c>
      <c r="E630" s="352" t="s">
        <v>1159</v>
      </c>
      <c r="F630" s="338">
        <v>0.48194444444444445</v>
      </c>
      <c r="G630" s="338">
        <v>0.4861111111111111</v>
      </c>
      <c r="H630" s="338" t="s">
        <v>978</v>
      </c>
      <c r="I630" s="353">
        <v>731</v>
      </c>
      <c r="J630" s="338" t="str">
        <f>IFERROR(VLOOKUP(I630,'Chart of accounts'!A:H,2,FALSE),"")</f>
        <v>50103010 00</v>
      </c>
      <c r="K630" s="338" t="str">
        <f>IFERROR(VLOOKUP(I630,'Chart of accounts'!A:H,3,FALSE),"")</f>
        <v>Retirement and Life Insurance Premiums</v>
      </c>
      <c r="L630" s="338" t="str">
        <f>IFERROR(VLOOKUP(I630,'Chart of accounts'!A:H,4,FALSE),"")</f>
        <v>50103010 00 - Retirement and Life Insurance Premiums (731)</v>
      </c>
      <c r="M630" s="361">
        <v>2</v>
      </c>
      <c r="N630" s="355" t="s">
        <v>789</v>
      </c>
      <c r="O630" s="355" t="s">
        <v>1113</v>
      </c>
      <c r="P630" s="355"/>
      <c r="Q630" s="363">
        <v>5241.72</v>
      </c>
      <c r="R630" s="319">
        <f t="shared" si="10"/>
        <v>-5241.72</v>
      </c>
      <c r="S630" s="319" t="str">
        <f>VLOOKUP(H630,'Fund Utilization Report'!$A$4:$U$1800,13,FALSE)</f>
        <v>PS</v>
      </c>
      <c r="T630" s="319" t="str">
        <f>VLOOKUP(H630,'Fund Utilization Report'!$A$4:$U$1800,2,FALSE)</f>
        <v>GAA</v>
      </c>
      <c r="U630" s="319" t="str">
        <f>VLOOKUP(H630,'Fund Utilization Report'!$A$4:$U$1800,3,FALSE)</f>
        <v>FY2021, RA11518</v>
      </c>
      <c r="V630" s="319" t="str">
        <f>VLOOKUP(H630,'Fund Utilization Report'!$A$4:$U$1800,4,FALSE)</f>
        <v>OO4.1(Acc)</v>
      </c>
      <c r="W630" s="319" t="str">
        <f>VLOOKUP(H630,'Fund Utilization Report'!$A$4:$U$1800,5,FALSE)</f>
        <v>01101101</v>
      </c>
      <c r="X630" s="319" t="str">
        <f>VLOOKUP(H630,'Fund Utilization Report'!$A$4:$U$1800,6,FALSE)</f>
        <v>GOP</v>
      </c>
      <c r="Y630" s="320" t="str">
        <f>VLOOKUP(H630,'Fund Utilization Report'!$A$4:$U$1800,7,FALSE)</f>
        <v>RLIP</v>
      </c>
      <c r="Z630" s="321" t="str">
        <f>VLOOKUP(H630,'Fund Utilization Report'!$A$4:$U$1800,8,FALSE)</f>
        <v>50103010-00</v>
      </c>
      <c r="AA630" s="319" t="str">
        <f>VLOOKUP(H630,'Fund Utilization Report'!$A$4:$U$1800,14,FALSE)</f>
        <v>340100100003000</v>
      </c>
      <c r="AB630" s="349" t="str">
        <f>VLOOKUP(H630,'Fund Utilization Report'!$A$4:$U$1800,15,FALSE)</f>
        <v>Accreditation and Issuance of Business Licenses, Permits, registration and authorities</v>
      </c>
      <c r="AC630" s="39"/>
      <c r="AD630" s="34"/>
      <c r="AE630" s="39"/>
      <c r="AF630" s="51"/>
      <c r="AG630" s="40"/>
      <c r="AH630" s="40"/>
    </row>
    <row r="631" spans="1:34" s="32" customFormat="1" ht="27.6">
      <c r="A631" s="338" t="s">
        <v>942</v>
      </c>
      <c r="B631" s="338" t="s">
        <v>945</v>
      </c>
      <c r="C631" s="358">
        <v>44238</v>
      </c>
      <c r="D631" s="351" t="s">
        <v>1028</v>
      </c>
      <c r="E631" s="352" t="s">
        <v>1159</v>
      </c>
      <c r="F631" s="338">
        <v>0.48194444444444445</v>
      </c>
      <c r="G631" s="338">
        <v>0.4861111111111111</v>
      </c>
      <c r="H631" s="338" t="s">
        <v>976</v>
      </c>
      <c r="I631" s="353">
        <v>732</v>
      </c>
      <c r="J631" s="338" t="str">
        <f>IFERROR(VLOOKUP(I631,'Chart of accounts'!A:H,2,FALSE),"")</f>
        <v>50103020 01</v>
      </c>
      <c r="K631" s="338" t="str">
        <f>IFERROR(VLOOKUP(I631,'Chart of accounts'!A:H,3,FALSE),"")</f>
        <v>Pag-IBIG - Civilian</v>
      </c>
      <c r="L631" s="338" t="str">
        <f>IFERROR(VLOOKUP(I631,'Chart of accounts'!A:H,4,FALSE),"")</f>
        <v>50103020 01 - Pag-IBIG - Civilian (732)</v>
      </c>
      <c r="M631" s="361">
        <v>2</v>
      </c>
      <c r="N631" s="355" t="s">
        <v>789</v>
      </c>
      <c r="O631" s="355" t="s">
        <v>1113</v>
      </c>
      <c r="P631" s="355"/>
      <c r="Q631" s="363">
        <v>100</v>
      </c>
      <c r="R631" s="319">
        <f t="shared" si="10"/>
        <v>-100</v>
      </c>
      <c r="S631" s="319" t="str">
        <f>VLOOKUP(H631,'Fund Utilization Report'!$A$4:$U$1800,13,FALSE)</f>
        <v>PS</v>
      </c>
      <c r="T631" s="319" t="str">
        <f>VLOOKUP(H631,'Fund Utilization Report'!$A$4:$U$1800,2,FALSE)</f>
        <v>GAA</v>
      </c>
      <c r="U631" s="319" t="str">
        <f>VLOOKUP(H631,'Fund Utilization Report'!$A$4:$U$1800,3,FALSE)</f>
        <v>FY2021, RA11518</v>
      </c>
      <c r="V631" s="319" t="str">
        <f>VLOOKUP(H631,'Fund Utilization Report'!$A$4:$U$1800,4,FALSE)</f>
        <v>OO4.1(Acc)</v>
      </c>
      <c r="W631" s="319" t="str">
        <f>VLOOKUP(H631,'Fund Utilization Report'!$A$4:$U$1800,5,FALSE)</f>
        <v>01101101</v>
      </c>
      <c r="X631" s="319" t="str">
        <f>VLOOKUP(H631,'Fund Utilization Report'!$A$4:$U$1800,6,FALSE)</f>
        <v>GOP</v>
      </c>
      <c r="Y631" s="320" t="str">
        <f>VLOOKUP(H631,'Fund Utilization Report'!$A$4:$U$1800,7,FALSE)</f>
        <v>PS</v>
      </c>
      <c r="Z631" s="321">
        <f>VLOOKUP(H631,'Fund Utilization Report'!$A$4:$U$1800,8,FALSE)</f>
        <v>5010000000</v>
      </c>
      <c r="AA631" s="319" t="str">
        <f>VLOOKUP(H631,'Fund Utilization Report'!$A$4:$U$1800,14,FALSE)</f>
        <v>340100100003000</v>
      </c>
      <c r="AB631" s="349" t="str">
        <f>VLOOKUP(H631,'Fund Utilization Report'!$A$4:$U$1800,15,FALSE)</f>
        <v>Accreditation and Issuance of Business Licenses, Permits, registration and authorities</v>
      </c>
      <c r="AC631" s="39"/>
      <c r="AD631" s="34"/>
      <c r="AE631" s="39"/>
      <c r="AF631" s="51"/>
      <c r="AG631" s="40"/>
      <c r="AH631" s="40"/>
    </row>
    <row r="632" spans="1:34" s="32" customFormat="1" ht="27.6">
      <c r="A632" s="338" t="s">
        <v>942</v>
      </c>
      <c r="B632" s="338" t="s">
        <v>945</v>
      </c>
      <c r="C632" s="358">
        <v>44238</v>
      </c>
      <c r="D632" s="351" t="s">
        <v>1028</v>
      </c>
      <c r="E632" s="352" t="s">
        <v>1159</v>
      </c>
      <c r="F632" s="338">
        <v>0.48194444444444445</v>
      </c>
      <c r="G632" s="338">
        <v>0.4861111111111111</v>
      </c>
      <c r="H632" s="338" t="s">
        <v>976</v>
      </c>
      <c r="I632" s="353">
        <v>733</v>
      </c>
      <c r="J632" s="338" t="str">
        <f>IFERROR(VLOOKUP(I632,'Chart of accounts'!A:H,2,FALSE),"")</f>
        <v>50103030 01</v>
      </c>
      <c r="K632" s="338" t="str">
        <f>IFERROR(VLOOKUP(I632,'Chart of accounts'!A:H,3,FALSE),"")</f>
        <v>PhilHealth - Civilian</v>
      </c>
      <c r="L632" s="338" t="str">
        <f>IFERROR(VLOOKUP(I632,'Chart of accounts'!A:H,4,FALSE),"")</f>
        <v>50103030 01 - PhilHealth - Civilian (733)</v>
      </c>
      <c r="M632" s="361">
        <v>2</v>
      </c>
      <c r="N632" s="355" t="s">
        <v>789</v>
      </c>
      <c r="O632" s="355" t="s">
        <v>1113</v>
      </c>
      <c r="P632" s="355"/>
      <c r="Q632" s="363">
        <v>655.22</v>
      </c>
      <c r="R632" s="319">
        <f t="shared" si="10"/>
        <v>-655.22</v>
      </c>
      <c r="S632" s="319" t="str">
        <f>VLOOKUP(H632,'Fund Utilization Report'!$A$4:$U$1800,13,FALSE)</f>
        <v>PS</v>
      </c>
      <c r="T632" s="319" t="str">
        <f>VLOOKUP(H632,'Fund Utilization Report'!$A$4:$U$1800,2,FALSE)</f>
        <v>GAA</v>
      </c>
      <c r="U632" s="319" t="str">
        <f>VLOOKUP(H632,'Fund Utilization Report'!$A$4:$U$1800,3,FALSE)</f>
        <v>FY2021, RA11518</v>
      </c>
      <c r="V632" s="319" t="str">
        <f>VLOOKUP(H632,'Fund Utilization Report'!$A$4:$U$1800,4,FALSE)</f>
        <v>OO4.1(Acc)</v>
      </c>
      <c r="W632" s="319" t="str">
        <f>VLOOKUP(H632,'Fund Utilization Report'!$A$4:$U$1800,5,FALSE)</f>
        <v>01101101</v>
      </c>
      <c r="X632" s="319" t="str">
        <f>VLOOKUP(H632,'Fund Utilization Report'!$A$4:$U$1800,6,FALSE)</f>
        <v>GOP</v>
      </c>
      <c r="Y632" s="320" t="str">
        <f>VLOOKUP(H632,'Fund Utilization Report'!$A$4:$U$1800,7,FALSE)</f>
        <v>PS</v>
      </c>
      <c r="Z632" s="321">
        <f>VLOOKUP(H632,'Fund Utilization Report'!$A$4:$U$1800,8,FALSE)</f>
        <v>5010000000</v>
      </c>
      <c r="AA632" s="319" t="str">
        <f>VLOOKUP(H632,'Fund Utilization Report'!$A$4:$U$1800,14,FALSE)</f>
        <v>340100100003000</v>
      </c>
      <c r="AB632" s="349" t="str">
        <f>VLOOKUP(H632,'Fund Utilization Report'!$A$4:$U$1800,15,FALSE)</f>
        <v>Accreditation and Issuance of Business Licenses, Permits, registration and authorities</v>
      </c>
      <c r="AC632" s="39"/>
      <c r="AD632" s="34"/>
      <c r="AE632" s="39"/>
      <c r="AF632" s="51"/>
      <c r="AG632" s="40"/>
      <c r="AH632" s="40"/>
    </row>
    <row r="633" spans="1:34" s="32" customFormat="1" ht="27.6">
      <c r="A633" s="338" t="s">
        <v>942</v>
      </c>
      <c r="B633" s="338" t="s">
        <v>945</v>
      </c>
      <c r="C633" s="358">
        <v>44238</v>
      </c>
      <c r="D633" s="351" t="s">
        <v>1028</v>
      </c>
      <c r="E633" s="352" t="s">
        <v>1159</v>
      </c>
      <c r="F633" s="338">
        <v>0.48194444444444445</v>
      </c>
      <c r="G633" s="338">
        <v>0.4861111111111111</v>
      </c>
      <c r="H633" s="338" t="s">
        <v>976</v>
      </c>
      <c r="I633" s="353">
        <v>734</v>
      </c>
      <c r="J633" s="338" t="str">
        <f>IFERROR(VLOOKUP(I633,'Chart of accounts'!A:H,2,FALSE),"")</f>
        <v>50103040 01</v>
      </c>
      <c r="K633" s="338" t="str">
        <f>IFERROR(VLOOKUP(I633,'Chart of accounts'!A:H,3,FALSE),"")</f>
        <v>ECIP - Civilian</v>
      </c>
      <c r="L633" s="338" t="str">
        <f>IFERROR(VLOOKUP(I633,'Chart of accounts'!A:H,4,FALSE),"")</f>
        <v>50103040 01 - ECIP - Civilian (734)</v>
      </c>
      <c r="M633" s="361">
        <v>2</v>
      </c>
      <c r="N633" s="355" t="s">
        <v>789</v>
      </c>
      <c r="O633" s="355" t="s">
        <v>1113</v>
      </c>
      <c r="P633" s="355"/>
      <c r="Q633" s="363">
        <v>100</v>
      </c>
      <c r="R633" s="319">
        <f t="shared" si="10"/>
        <v>-100</v>
      </c>
      <c r="S633" s="319" t="str">
        <f>VLOOKUP(H633,'Fund Utilization Report'!$A$4:$U$1800,13,FALSE)</f>
        <v>PS</v>
      </c>
      <c r="T633" s="319" t="str">
        <f>VLOOKUP(H633,'Fund Utilization Report'!$A$4:$U$1800,2,FALSE)</f>
        <v>GAA</v>
      </c>
      <c r="U633" s="319" t="str">
        <f>VLOOKUP(H633,'Fund Utilization Report'!$A$4:$U$1800,3,FALSE)</f>
        <v>FY2021, RA11518</v>
      </c>
      <c r="V633" s="319" t="str">
        <f>VLOOKUP(H633,'Fund Utilization Report'!$A$4:$U$1800,4,FALSE)</f>
        <v>OO4.1(Acc)</v>
      </c>
      <c r="W633" s="319" t="str">
        <f>VLOOKUP(H633,'Fund Utilization Report'!$A$4:$U$1800,5,FALSE)</f>
        <v>01101101</v>
      </c>
      <c r="X633" s="319" t="str">
        <f>VLOOKUP(H633,'Fund Utilization Report'!$A$4:$U$1800,6,FALSE)</f>
        <v>GOP</v>
      </c>
      <c r="Y633" s="320" t="str">
        <f>VLOOKUP(H633,'Fund Utilization Report'!$A$4:$U$1800,7,FALSE)</f>
        <v>PS</v>
      </c>
      <c r="Z633" s="321">
        <f>VLOOKUP(H633,'Fund Utilization Report'!$A$4:$U$1800,8,FALSE)</f>
        <v>5010000000</v>
      </c>
      <c r="AA633" s="319" t="str">
        <f>VLOOKUP(H633,'Fund Utilization Report'!$A$4:$U$1800,14,FALSE)</f>
        <v>340100100003000</v>
      </c>
      <c r="AB633" s="349" t="str">
        <f>VLOOKUP(H633,'Fund Utilization Report'!$A$4:$U$1800,15,FALSE)</f>
        <v>Accreditation and Issuance of Business Licenses, Permits, registration and authorities</v>
      </c>
      <c r="AC633" s="39"/>
      <c r="AD633" s="34"/>
      <c r="AE633" s="39"/>
      <c r="AF633" s="51"/>
      <c r="AG633" s="40"/>
      <c r="AH633" s="40"/>
    </row>
    <row r="634" spans="1:34" s="32" customFormat="1" ht="27.6">
      <c r="A634" s="338" t="s">
        <v>942</v>
      </c>
      <c r="B634" s="338" t="s">
        <v>945</v>
      </c>
      <c r="C634" s="358">
        <v>44238</v>
      </c>
      <c r="D634" s="351" t="s">
        <v>1028</v>
      </c>
      <c r="E634" s="352" t="s">
        <v>1160</v>
      </c>
      <c r="F634" s="338">
        <v>0.4861111111111111</v>
      </c>
      <c r="G634" s="338">
        <v>0.48749999999999999</v>
      </c>
      <c r="H634" s="338" t="s">
        <v>999</v>
      </c>
      <c r="I634" s="353">
        <v>706</v>
      </c>
      <c r="J634" s="338" t="str">
        <f>IFERROR(VLOOKUP(I634,'Chart of accounts'!A:H,2,FALSE),"")</f>
        <v>50101020 00</v>
      </c>
      <c r="K634" s="338" t="str">
        <f>IFERROR(VLOOKUP(I634,'Chart of accounts'!A:H,3,FALSE),"")</f>
        <v>Basic Salary - Contractual</v>
      </c>
      <c r="L634" s="338" t="str">
        <f>IFERROR(VLOOKUP(I634,'Chart of accounts'!A:H,4,FALSE),"")</f>
        <v>50101020 00 - Basic Salary - Contractual (706)</v>
      </c>
      <c r="M634" s="361">
        <v>2</v>
      </c>
      <c r="N634" s="355" t="s">
        <v>789</v>
      </c>
      <c r="O634" s="355" t="s">
        <v>1125</v>
      </c>
      <c r="P634" s="355"/>
      <c r="Q634" s="363">
        <v>77256</v>
      </c>
      <c r="R634" s="319">
        <f t="shared" si="10"/>
        <v>-77256</v>
      </c>
      <c r="S634" s="319" t="str">
        <f>VLOOKUP(H634,'Fund Utilization Report'!$A$4:$U$1800,13,FALSE)</f>
        <v>PS</v>
      </c>
      <c r="T634" s="319" t="str">
        <f>VLOOKUP(H634,'Fund Utilization Report'!$A$4:$U$1800,2,FALSE)</f>
        <v>SAA15</v>
      </c>
      <c r="U634" s="319" t="str">
        <f>VLOOKUP(H634,'Fund Utilization Report'!$A$4:$U$1800,3,FALSE)</f>
        <v>2021-01-0015</v>
      </c>
      <c r="V634" s="319" t="str">
        <f>VLOOKUP(H634,'Fund Utilization Report'!$A$4:$U$1800,4,FALSE)</f>
        <v>CARP</v>
      </c>
      <c r="W634" s="319" t="str">
        <f>VLOOKUP(H634,'Fund Utilization Report'!$A$4:$U$1800,5,FALSE)</f>
        <v>01101101</v>
      </c>
      <c r="X634" s="319" t="str">
        <f>VLOOKUP(H634,'Fund Utilization Report'!$A$4:$U$1800,6,FALSE)</f>
        <v>GOP</v>
      </c>
      <c r="Y634" s="320">
        <f>VLOOKUP(H634,'Fund Utilization Report'!$A$4:$U$1800,7,FALSE)</f>
        <v>706</v>
      </c>
      <c r="Z634" s="321" t="str">
        <f>VLOOKUP(H634,'Fund Utilization Report'!$A$4:$U$1800,8,FALSE)</f>
        <v>50101020 00</v>
      </c>
      <c r="AA634" s="319" t="str">
        <f>VLOOKUP(H634,'Fund Utilization Report'!$A$4:$U$1800,14,FALSE)</f>
        <v>330100100003000</v>
      </c>
      <c r="AB634" s="349" t="str">
        <f>VLOOKUP(H634,'Fund Utilization Report'!$A$4:$U$1800,15,FALSE)</f>
        <v>MSME Development Program : Program Beneficiaries Development Component of the Comprehensive Agrarian Reform Program</v>
      </c>
      <c r="AC634" s="39"/>
      <c r="AD634" s="34"/>
      <c r="AE634" s="39"/>
      <c r="AF634" s="51"/>
      <c r="AG634" s="40"/>
      <c r="AH634" s="40"/>
    </row>
    <row r="635" spans="1:34" s="32" customFormat="1" ht="27.6">
      <c r="A635" s="338" t="s">
        <v>942</v>
      </c>
      <c r="B635" s="338" t="s">
        <v>945</v>
      </c>
      <c r="C635" s="358">
        <v>44238</v>
      </c>
      <c r="D635" s="351" t="s">
        <v>1028</v>
      </c>
      <c r="E635" s="352" t="s">
        <v>1160</v>
      </c>
      <c r="F635" s="338">
        <v>0.4861111111111111</v>
      </c>
      <c r="G635" s="338">
        <v>0.48749999999999999</v>
      </c>
      <c r="H635" s="338" t="s">
        <v>999</v>
      </c>
      <c r="I635" s="353">
        <v>711</v>
      </c>
      <c r="J635" s="338" t="str">
        <f>IFERROR(VLOOKUP(I635,'Chart of accounts'!A:H,2,FALSE),"")</f>
        <v>50102010 01</v>
      </c>
      <c r="K635" s="338" t="str">
        <f>IFERROR(VLOOKUP(I635,'Chart of accounts'!A:H,3,FALSE),"")</f>
        <v>PERA - Civilian</v>
      </c>
      <c r="L635" s="338" t="str">
        <f>IFERROR(VLOOKUP(I635,'Chart of accounts'!A:H,4,FALSE),"")</f>
        <v>50102010 01 - PERA - Civilian (711)</v>
      </c>
      <c r="M635" s="361">
        <v>2</v>
      </c>
      <c r="N635" s="355" t="s">
        <v>789</v>
      </c>
      <c r="O635" s="355" t="s">
        <v>1125</v>
      </c>
      <c r="P635" s="355"/>
      <c r="Q635" s="363">
        <v>4000</v>
      </c>
      <c r="R635" s="319">
        <f t="shared" si="10"/>
        <v>-4000</v>
      </c>
      <c r="S635" s="319" t="str">
        <f>VLOOKUP(H635,'Fund Utilization Report'!$A$4:$U$1800,13,FALSE)</f>
        <v>PS</v>
      </c>
      <c r="T635" s="319" t="str">
        <f>VLOOKUP(H635,'Fund Utilization Report'!$A$4:$U$1800,2,FALSE)</f>
        <v>SAA15</v>
      </c>
      <c r="U635" s="319" t="str">
        <f>VLOOKUP(H635,'Fund Utilization Report'!$A$4:$U$1800,3,FALSE)</f>
        <v>2021-01-0015</v>
      </c>
      <c r="V635" s="319" t="str">
        <f>VLOOKUP(H635,'Fund Utilization Report'!$A$4:$U$1800,4,FALSE)</f>
        <v>CARP</v>
      </c>
      <c r="W635" s="319" t="str">
        <f>VLOOKUP(H635,'Fund Utilization Report'!$A$4:$U$1800,5,FALSE)</f>
        <v>01101101</v>
      </c>
      <c r="X635" s="319" t="str">
        <f>VLOOKUP(H635,'Fund Utilization Report'!$A$4:$U$1800,6,FALSE)</f>
        <v>GOP</v>
      </c>
      <c r="Y635" s="320">
        <f>VLOOKUP(H635,'Fund Utilization Report'!$A$4:$U$1800,7,FALSE)</f>
        <v>706</v>
      </c>
      <c r="Z635" s="321" t="str">
        <f>VLOOKUP(H635,'Fund Utilization Report'!$A$4:$U$1800,8,FALSE)</f>
        <v>50101020 00</v>
      </c>
      <c r="AA635" s="319" t="str">
        <f>VLOOKUP(H635,'Fund Utilization Report'!$A$4:$U$1800,14,FALSE)</f>
        <v>330100100003000</v>
      </c>
      <c r="AB635" s="349" t="str">
        <f>VLOOKUP(H635,'Fund Utilization Report'!$A$4:$U$1800,15,FALSE)</f>
        <v>MSME Development Program : Program Beneficiaries Development Component of the Comprehensive Agrarian Reform Program</v>
      </c>
      <c r="AC635" s="39"/>
      <c r="AD635" s="34"/>
      <c r="AE635" s="39"/>
      <c r="AF635" s="51"/>
      <c r="AG635" s="40"/>
      <c r="AH635" s="40"/>
    </row>
    <row r="636" spans="1:34" s="32" customFormat="1" ht="27.6">
      <c r="A636" s="338" t="s">
        <v>942</v>
      </c>
      <c r="B636" s="338" t="s">
        <v>945</v>
      </c>
      <c r="C636" s="358">
        <v>44238</v>
      </c>
      <c r="D636" s="351" t="s">
        <v>1028</v>
      </c>
      <c r="E636" s="352" t="s">
        <v>1160</v>
      </c>
      <c r="F636" s="338">
        <v>0.4861111111111111</v>
      </c>
      <c r="G636" s="338">
        <v>0.48749999999999999</v>
      </c>
      <c r="H636" s="338" t="s">
        <v>999</v>
      </c>
      <c r="I636" s="353">
        <v>731</v>
      </c>
      <c r="J636" s="338" t="str">
        <f>IFERROR(VLOOKUP(I636,'Chart of accounts'!A:H,2,FALSE),"")</f>
        <v>50103010 00</v>
      </c>
      <c r="K636" s="338" t="str">
        <f>IFERROR(VLOOKUP(I636,'Chart of accounts'!A:H,3,FALSE),"")</f>
        <v>Retirement and Life Insurance Premiums</v>
      </c>
      <c r="L636" s="338" t="str">
        <f>IFERROR(VLOOKUP(I636,'Chart of accounts'!A:H,4,FALSE),"")</f>
        <v>50103010 00 - Retirement and Life Insurance Premiums (731)</v>
      </c>
      <c r="M636" s="361">
        <v>2</v>
      </c>
      <c r="N636" s="355" t="s">
        <v>789</v>
      </c>
      <c r="O636" s="355" t="s">
        <v>1125</v>
      </c>
      <c r="P636" s="355"/>
      <c r="Q636" s="363">
        <v>9270.7199999999993</v>
      </c>
      <c r="R636" s="319">
        <f t="shared" si="10"/>
        <v>-9270.7199999999993</v>
      </c>
      <c r="S636" s="319" t="str">
        <f>VLOOKUP(H636,'Fund Utilization Report'!$A$4:$U$1800,13,FALSE)</f>
        <v>PS</v>
      </c>
      <c r="T636" s="319" t="str">
        <f>VLOOKUP(H636,'Fund Utilization Report'!$A$4:$U$1800,2,FALSE)</f>
        <v>SAA15</v>
      </c>
      <c r="U636" s="319" t="str">
        <f>VLOOKUP(H636,'Fund Utilization Report'!$A$4:$U$1800,3,FALSE)</f>
        <v>2021-01-0015</v>
      </c>
      <c r="V636" s="319" t="str">
        <f>VLOOKUP(H636,'Fund Utilization Report'!$A$4:$U$1800,4,FALSE)</f>
        <v>CARP</v>
      </c>
      <c r="W636" s="319" t="str">
        <f>VLOOKUP(H636,'Fund Utilization Report'!$A$4:$U$1800,5,FALSE)</f>
        <v>01101101</v>
      </c>
      <c r="X636" s="319" t="str">
        <f>VLOOKUP(H636,'Fund Utilization Report'!$A$4:$U$1800,6,FALSE)</f>
        <v>GOP</v>
      </c>
      <c r="Y636" s="320">
        <f>VLOOKUP(H636,'Fund Utilization Report'!$A$4:$U$1800,7,FALSE)</f>
        <v>706</v>
      </c>
      <c r="Z636" s="321" t="str">
        <f>VLOOKUP(H636,'Fund Utilization Report'!$A$4:$U$1800,8,FALSE)</f>
        <v>50101020 00</v>
      </c>
      <c r="AA636" s="319" t="str">
        <f>VLOOKUP(H636,'Fund Utilization Report'!$A$4:$U$1800,14,FALSE)</f>
        <v>330100100003000</v>
      </c>
      <c r="AB636" s="349" t="str">
        <f>VLOOKUP(H636,'Fund Utilization Report'!$A$4:$U$1800,15,FALSE)</f>
        <v>MSME Development Program : Program Beneficiaries Development Component of the Comprehensive Agrarian Reform Program</v>
      </c>
      <c r="AC636" s="39"/>
      <c r="AD636" s="34"/>
      <c r="AE636" s="39"/>
      <c r="AF636" s="51"/>
      <c r="AG636" s="40"/>
      <c r="AH636" s="40"/>
    </row>
    <row r="637" spans="1:34" s="32" customFormat="1" ht="27.6">
      <c r="A637" s="338" t="s">
        <v>942</v>
      </c>
      <c r="B637" s="338" t="s">
        <v>945</v>
      </c>
      <c r="C637" s="358">
        <v>44238</v>
      </c>
      <c r="D637" s="351" t="s">
        <v>1028</v>
      </c>
      <c r="E637" s="352" t="s">
        <v>1160</v>
      </c>
      <c r="F637" s="338">
        <v>0.4861111111111111</v>
      </c>
      <c r="G637" s="338">
        <v>0.48749999999999999</v>
      </c>
      <c r="H637" s="338" t="s">
        <v>999</v>
      </c>
      <c r="I637" s="353">
        <v>732</v>
      </c>
      <c r="J637" s="338" t="str">
        <f>IFERROR(VLOOKUP(I637,'Chart of accounts'!A:H,2,FALSE),"")</f>
        <v>50103020 01</v>
      </c>
      <c r="K637" s="338" t="str">
        <f>IFERROR(VLOOKUP(I637,'Chart of accounts'!A:H,3,FALSE),"")</f>
        <v>Pag-IBIG - Civilian</v>
      </c>
      <c r="L637" s="338" t="str">
        <f>IFERROR(VLOOKUP(I637,'Chart of accounts'!A:H,4,FALSE),"")</f>
        <v>50103020 01 - Pag-IBIG - Civilian (732)</v>
      </c>
      <c r="M637" s="361">
        <v>2</v>
      </c>
      <c r="N637" s="355" t="s">
        <v>789</v>
      </c>
      <c r="O637" s="355" t="s">
        <v>1125</v>
      </c>
      <c r="P637" s="355"/>
      <c r="Q637" s="363">
        <v>200</v>
      </c>
      <c r="R637" s="319">
        <f t="shared" si="10"/>
        <v>-200</v>
      </c>
      <c r="S637" s="319" t="str">
        <f>VLOOKUP(H637,'Fund Utilization Report'!$A$4:$U$1800,13,FALSE)</f>
        <v>PS</v>
      </c>
      <c r="T637" s="319" t="str">
        <f>VLOOKUP(H637,'Fund Utilization Report'!$A$4:$U$1800,2,FALSE)</f>
        <v>SAA15</v>
      </c>
      <c r="U637" s="319" t="str">
        <f>VLOOKUP(H637,'Fund Utilization Report'!$A$4:$U$1800,3,FALSE)</f>
        <v>2021-01-0015</v>
      </c>
      <c r="V637" s="319" t="str">
        <f>VLOOKUP(H637,'Fund Utilization Report'!$A$4:$U$1800,4,FALSE)</f>
        <v>CARP</v>
      </c>
      <c r="W637" s="319" t="str">
        <f>VLOOKUP(H637,'Fund Utilization Report'!$A$4:$U$1800,5,FALSE)</f>
        <v>01101101</v>
      </c>
      <c r="X637" s="319" t="str">
        <f>VLOOKUP(H637,'Fund Utilization Report'!$A$4:$U$1800,6,FALSE)</f>
        <v>GOP</v>
      </c>
      <c r="Y637" s="320">
        <f>VLOOKUP(H637,'Fund Utilization Report'!$A$4:$U$1800,7,FALSE)</f>
        <v>706</v>
      </c>
      <c r="Z637" s="321" t="str">
        <f>VLOOKUP(H637,'Fund Utilization Report'!$A$4:$U$1800,8,FALSE)</f>
        <v>50101020 00</v>
      </c>
      <c r="AA637" s="319" t="str">
        <f>VLOOKUP(H637,'Fund Utilization Report'!$A$4:$U$1800,14,FALSE)</f>
        <v>330100100003000</v>
      </c>
      <c r="AB637" s="349" t="str">
        <f>VLOOKUP(H637,'Fund Utilization Report'!$A$4:$U$1800,15,FALSE)</f>
        <v>MSME Development Program : Program Beneficiaries Development Component of the Comprehensive Agrarian Reform Program</v>
      </c>
      <c r="AC637" s="39"/>
      <c r="AD637" s="34"/>
      <c r="AE637" s="39"/>
      <c r="AF637" s="51"/>
      <c r="AG637" s="40"/>
      <c r="AH637" s="40"/>
    </row>
    <row r="638" spans="1:34" s="32" customFormat="1" ht="27.6">
      <c r="A638" s="338" t="s">
        <v>942</v>
      </c>
      <c r="B638" s="338" t="s">
        <v>945</v>
      </c>
      <c r="C638" s="358">
        <v>44238</v>
      </c>
      <c r="D638" s="351" t="s">
        <v>1028</v>
      </c>
      <c r="E638" s="352" t="s">
        <v>1160</v>
      </c>
      <c r="F638" s="338">
        <v>0.4861111111111111</v>
      </c>
      <c r="G638" s="338">
        <v>0.48749999999999999</v>
      </c>
      <c r="H638" s="338" t="s">
        <v>999</v>
      </c>
      <c r="I638" s="353">
        <v>733</v>
      </c>
      <c r="J638" s="338" t="str">
        <f>IFERROR(VLOOKUP(I638,'Chart of accounts'!A:H,2,FALSE),"")</f>
        <v>50103030 01</v>
      </c>
      <c r="K638" s="338" t="str">
        <f>IFERROR(VLOOKUP(I638,'Chart of accounts'!A:H,3,FALSE),"")</f>
        <v>PhilHealth - Civilian</v>
      </c>
      <c r="L638" s="338" t="str">
        <f>IFERROR(VLOOKUP(I638,'Chart of accounts'!A:H,4,FALSE),"")</f>
        <v>50103030 01 - PhilHealth - Civilian (733)</v>
      </c>
      <c r="M638" s="361">
        <v>2</v>
      </c>
      <c r="N638" s="355" t="s">
        <v>789</v>
      </c>
      <c r="O638" s="355" t="s">
        <v>1125</v>
      </c>
      <c r="P638" s="355"/>
      <c r="Q638" s="363">
        <v>1158.8499999999999</v>
      </c>
      <c r="R638" s="319">
        <f t="shared" si="10"/>
        <v>-1158.8499999999999</v>
      </c>
      <c r="S638" s="319" t="str">
        <f>VLOOKUP(H638,'Fund Utilization Report'!$A$4:$U$1800,13,FALSE)</f>
        <v>PS</v>
      </c>
      <c r="T638" s="319" t="str">
        <f>VLOOKUP(H638,'Fund Utilization Report'!$A$4:$U$1800,2,FALSE)</f>
        <v>SAA15</v>
      </c>
      <c r="U638" s="319" t="str">
        <f>VLOOKUP(H638,'Fund Utilization Report'!$A$4:$U$1800,3,FALSE)</f>
        <v>2021-01-0015</v>
      </c>
      <c r="V638" s="319" t="str">
        <f>VLOOKUP(H638,'Fund Utilization Report'!$A$4:$U$1800,4,FALSE)</f>
        <v>CARP</v>
      </c>
      <c r="W638" s="319" t="str">
        <f>VLOOKUP(H638,'Fund Utilization Report'!$A$4:$U$1800,5,FALSE)</f>
        <v>01101101</v>
      </c>
      <c r="X638" s="319" t="str">
        <f>VLOOKUP(H638,'Fund Utilization Report'!$A$4:$U$1800,6,FALSE)</f>
        <v>GOP</v>
      </c>
      <c r="Y638" s="320">
        <f>VLOOKUP(H638,'Fund Utilization Report'!$A$4:$U$1800,7,FALSE)</f>
        <v>706</v>
      </c>
      <c r="Z638" s="321" t="str">
        <f>VLOOKUP(H638,'Fund Utilization Report'!$A$4:$U$1800,8,FALSE)</f>
        <v>50101020 00</v>
      </c>
      <c r="AA638" s="319" t="str">
        <f>VLOOKUP(H638,'Fund Utilization Report'!$A$4:$U$1800,14,FALSE)</f>
        <v>330100100003000</v>
      </c>
      <c r="AB638" s="349" t="str">
        <f>VLOOKUP(H638,'Fund Utilization Report'!$A$4:$U$1800,15,FALSE)</f>
        <v>MSME Development Program : Program Beneficiaries Development Component of the Comprehensive Agrarian Reform Program</v>
      </c>
      <c r="AC638" s="39"/>
      <c r="AD638" s="34"/>
      <c r="AE638" s="39"/>
      <c r="AF638" s="51"/>
      <c r="AG638" s="40"/>
      <c r="AH638" s="40"/>
    </row>
    <row r="639" spans="1:34" s="32" customFormat="1" ht="27.6">
      <c r="A639" s="338" t="s">
        <v>942</v>
      </c>
      <c r="B639" s="338" t="s">
        <v>945</v>
      </c>
      <c r="C639" s="358">
        <v>44238</v>
      </c>
      <c r="D639" s="351" t="s">
        <v>1028</v>
      </c>
      <c r="E639" s="352" t="s">
        <v>1160</v>
      </c>
      <c r="F639" s="338">
        <v>0.4861111111111111</v>
      </c>
      <c r="G639" s="338">
        <v>0.48749999999999999</v>
      </c>
      <c r="H639" s="338" t="s">
        <v>999</v>
      </c>
      <c r="I639" s="353">
        <v>734</v>
      </c>
      <c r="J639" s="338" t="str">
        <f>IFERROR(VLOOKUP(I639,'Chart of accounts'!A:H,2,FALSE),"")</f>
        <v>50103040 01</v>
      </c>
      <c r="K639" s="338" t="str">
        <f>IFERROR(VLOOKUP(I639,'Chart of accounts'!A:H,3,FALSE),"")</f>
        <v>ECIP - Civilian</v>
      </c>
      <c r="L639" s="338" t="str">
        <f>IFERROR(VLOOKUP(I639,'Chart of accounts'!A:H,4,FALSE),"")</f>
        <v>50103040 01 - ECIP - Civilian (734)</v>
      </c>
      <c r="M639" s="361">
        <v>2</v>
      </c>
      <c r="N639" s="355" t="s">
        <v>789</v>
      </c>
      <c r="O639" s="355" t="s">
        <v>1125</v>
      </c>
      <c r="P639" s="355"/>
      <c r="Q639" s="363">
        <v>200</v>
      </c>
      <c r="R639" s="319">
        <f t="shared" si="10"/>
        <v>-200</v>
      </c>
      <c r="S639" s="319" t="str">
        <f>VLOOKUP(H639,'Fund Utilization Report'!$A$4:$U$1800,13,FALSE)</f>
        <v>PS</v>
      </c>
      <c r="T639" s="319" t="str">
        <f>VLOOKUP(H639,'Fund Utilization Report'!$A$4:$U$1800,2,FALSE)</f>
        <v>SAA15</v>
      </c>
      <c r="U639" s="319" t="str">
        <f>VLOOKUP(H639,'Fund Utilization Report'!$A$4:$U$1800,3,FALSE)</f>
        <v>2021-01-0015</v>
      </c>
      <c r="V639" s="319" t="str">
        <f>VLOOKUP(H639,'Fund Utilization Report'!$A$4:$U$1800,4,FALSE)</f>
        <v>CARP</v>
      </c>
      <c r="W639" s="319" t="str">
        <f>VLOOKUP(H639,'Fund Utilization Report'!$A$4:$U$1800,5,FALSE)</f>
        <v>01101101</v>
      </c>
      <c r="X639" s="319" t="str">
        <f>VLOOKUP(H639,'Fund Utilization Report'!$A$4:$U$1800,6,FALSE)</f>
        <v>GOP</v>
      </c>
      <c r="Y639" s="320">
        <f>VLOOKUP(H639,'Fund Utilization Report'!$A$4:$U$1800,7,FALSE)</f>
        <v>706</v>
      </c>
      <c r="Z639" s="321" t="str">
        <f>VLOOKUP(H639,'Fund Utilization Report'!$A$4:$U$1800,8,FALSE)</f>
        <v>50101020 00</v>
      </c>
      <c r="AA639" s="319" t="str">
        <f>VLOOKUP(H639,'Fund Utilization Report'!$A$4:$U$1800,14,FALSE)</f>
        <v>330100100003000</v>
      </c>
      <c r="AB639" s="349" t="str">
        <f>VLOOKUP(H639,'Fund Utilization Report'!$A$4:$U$1800,15,FALSE)</f>
        <v>MSME Development Program : Program Beneficiaries Development Component of the Comprehensive Agrarian Reform Program</v>
      </c>
      <c r="AC639" s="39"/>
      <c r="AD639" s="34"/>
      <c r="AE639" s="39"/>
      <c r="AF639" s="51"/>
      <c r="AG639" s="40"/>
      <c r="AH639" s="40"/>
    </row>
    <row r="640" spans="1:34" s="32" customFormat="1" ht="27.6">
      <c r="A640" s="338" t="s">
        <v>942</v>
      </c>
      <c r="B640" s="338" t="s">
        <v>945</v>
      </c>
      <c r="C640" s="358">
        <v>44238</v>
      </c>
      <c r="D640" s="351" t="s">
        <v>1028</v>
      </c>
      <c r="E640" s="352" t="s">
        <v>1161</v>
      </c>
      <c r="F640" s="338">
        <v>0.48749999999999999</v>
      </c>
      <c r="G640" s="338">
        <v>0.49027777777777781</v>
      </c>
      <c r="H640" s="338" t="s">
        <v>960</v>
      </c>
      <c r="I640" s="353">
        <v>701</v>
      </c>
      <c r="J640" s="338" t="str">
        <f>IFERROR(VLOOKUP(I640,'Chart of accounts'!A:H,2,FALSE),"")</f>
        <v>50101010 01</v>
      </c>
      <c r="K640" s="338" t="str">
        <f>IFERROR(VLOOKUP(I640,'Chart of accounts'!A:H,3,FALSE),"")</f>
        <v>Basic Salary - Civilian</v>
      </c>
      <c r="L640" s="338" t="str">
        <f>IFERROR(VLOOKUP(I640,'Chart of accounts'!A:H,4,FALSE),"")</f>
        <v>50101010 01 - Basic Salary - Civilian (701)</v>
      </c>
      <c r="M640" s="361">
        <v>67</v>
      </c>
      <c r="N640" s="355" t="s">
        <v>768</v>
      </c>
      <c r="O640" s="355" t="s">
        <v>1113</v>
      </c>
      <c r="P640" s="355"/>
      <c r="Q640" s="363">
        <v>145528</v>
      </c>
      <c r="R640" s="319">
        <f t="shared" ref="R640:R675" si="11">P640-Q640</f>
        <v>-145528</v>
      </c>
      <c r="S640" s="319" t="str">
        <f>VLOOKUP(H640,'Fund Utilization Report'!$A$4:$U$1800,13,FALSE)</f>
        <v>PS</v>
      </c>
      <c r="T640" s="319" t="str">
        <f>VLOOKUP(H640,'Fund Utilization Report'!$A$4:$U$1800,2,FALSE)</f>
        <v>GAA</v>
      </c>
      <c r="U640" s="319" t="str">
        <f>VLOOKUP(H640,'Fund Utilization Report'!$A$4:$U$1800,3,FALSE)</f>
        <v>FY2021, RA11518</v>
      </c>
      <c r="V640" s="319" t="str">
        <f>VLOOKUP(H640,'Fund Utilization Report'!$A$4:$U$1800,4,FALSE)</f>
        <v>GAS(GMS)</v>
      </c>
      <c r="W640" s="319" t="str">
        <f>VLOOKUP(H640,'Fund Utilization Report'!$A$4:$U$1800,5,FALSE)</f>
        <v>01101101</v>
      </c>
      <c r="X640" s="319" t="str">
        <f>VLOOKUP(H640,'Fund Utilization Report'!$A$4:$U$1800,6,FALSE)</f>
        <v>GOP</v>
      </c>
      <c r="Y640" s="320" t="str">
        <f>VLOOKUP(H640,'Fund Utilization Report'!$A$4:$U$1800,7,FALSE)</f>
        <v>PS</v>
      </c>
      <c r="Z640" s="321">
        <f>VLOOKUP(H640,'Fund Utilization Report'!$A$4:$U$1800,8,FALSE)</f>
        <v>5010000000</v>
      </c>
      <c r="AA640" s="319" t="str">
        <f>VLOOKUP(H640,'Fund Utilization Report'!$A$4:$U$1800,14,FALSE)</f>
        <v>100000100001000</v>
      </c>
      <c r="AB640" s="349" t="str">
        <f>VLOOKUP(H640,'Fund Utilization Report'!$A$4:$U$1800,15,FALSE)</f>
        <v>General Administration and Supervision - General Management and Supervision</v>
      </c>
      <c r="AC640" s="39"/>
      <c r="AD640" s="34"/>
      <c r="AE640" s="39"/>
      <c r="AF640" s="51"/>
      <c r="AG640" s="40"/>
      <c r="AH640" s="40"/>
    </row>
    <row r="641" spans="1:34" s="32" customFormat="1" ht="27.6">
      <c r="A641" s="338" t="s">
        <v>942</v>
      </c>
      <c r="B641" s="338" t="s">
        <v>945</v>
      </c>
      <c r="C641" s="358">
        <v>44238</v>
      </c>
      <c r="D641" s="351" t="s">
        <v>1028</v>
      </c>
      <c r="E641" s="352" t="s">
        <v>1161</v>
      </c>
      <c r="F641" s="338">
        <v>0.48749999999999999</v>
      </c>
      <c r="G641" s="338">
        <v>0.49027777777777781</v>
      </c>
      <c r="H641" s="338" t="s">
        <v>960</v>
      </c>
      <c r="I641" s="353">
        <v>711</v>
      </c>
      <c r="J641" s="338" t="str">
        <f>IFERROR(VLOOKUP(I641,'Chart of accounts'!A:H,2,FALSE),"")</f>
        <v>50102010 01</v>
      </c>
      <c r="K641" s="338" t="str">
        <f>IFERROR(VLOOKUP(I641,'Chart of accounts'!A:H,3,FALSE),"")</f>
        <v>PERA - Civilian</v>
      </c>
      <c r="L641" s="338" t="str">
        <f>IFERROR(VLOOKUP(I641,'Chart of accounts'!A:H,4,FALSE),"")</f>
        <v>50102010 01 - PERA - Civilian (711)</v>
      </c>
      <c r="M641" s="361">
        <v>67</v>
      </c>
      <c r="N641" s="355" t="s">
        <v>768</v>
      </c>
      <c r="O641" s="355" t="s">
        <v>1113</v>
      </c>
      <c r="P641" s="355"/>
      <c r="Q641" s="363">
        <v>6000</v>
      </c>
      <c r="R641" s="319">
        <f t="shared" si="11"/>
        <v>-6000</v>
      </c>
      <c r="S641" s="319" t="str">
        <f>VLOOKUP(H641,'Fund Utilization Report'!$A$4:$U$1800,13,FALSE)</f>
        <v>PS</v>
      </c>
      <c r="T641" s="319" t="str">
        <f>VLOOKUP(H641,'Fund Utilization Report'!$A$4:$U$1800,2,FALSE)</f>
        <v>GAA</v>
      </c>
      <c r="U641" s="319" t="str">
        <f>VLOOKUP(H641,'Fund Utilization Report'!$A$4:$U$1800,3,FALSE)</f>
        <v>FY2021, RA11518</v>
      </c>
      <c r="V641" s="319" t="str">
        <f>VLOOKUP(H641,'Fund Utilization Report'!$A$4:$U$1800,4,FALSE)</f>
        <v>GAS(GMS)</v>
      </c>
      <c r="W641" s="319" t="str">
        <f>VLOOKUP(H641,'Fund Utilization Report'!$A$4:$U$1800,5,FALSE)</f>
        <v>01101101</v>
      </c>
      <c r="X641" s="319" t="str">
        <f>VLOOKUP(H641,'Fund Utilization Report'!$A$4:$U$1800,6,FALSE)</f>
        <v>GOP</v>
      </c>
      <c r="Y641" s="320" t="str">
        <f>VLOOKUP(H641,'Fund Utilization Report'!$A$4:$U$1800,7,FALSE)</f>
        <v>PS</v>
      </c>
      <c r="Z641" s="321">
        <f>VLOOKUP(H641,'Fund Utilization Report'!$A$4:$U$1800,8,FALSE)</f>
        <v>5010000000</v>
      </c>
      <c r="AA641" s="319" t="str">
        <f>VLOOKUP(H641,'Fund Utilization Report'!$A$4:$U$1800,14,FALSE)</f>
        <v>100000100001000</v>
      </c>
      <c r="AB641" s="349" t="str">
        <f>VLOOKUP(H641,'Fund Utilization Report'!$A$4:$U$1800,15,FALSE)</f>
        <v>General Administration and Supervision - General Management and Supervision</v>
      </c>
      <c r="AC641" s="39"/>
      <c r="AD641" s="34"/>
      <c r="AE641" s="39"/>
      <c r="AF641" s="51"/>
      <c r="AG641" s="40"/>
      <c r="AH641" s="40"/>
    </row>
    <row r="642" spans="1:34" s="32" customFormat="1" ht="27.6">
      <c r="A642" s="338" t="s">
        <v>942</v>
      </c>
      <c r="B642" s="338" t="s">
        <v>945</v>
      </c>
      <c r="C642" s="358">
        <v>44238</v>
      </c>
      <c r="D642" s="351" t="s">
        <v>1028</v>
      </c>
      <c r="E642" s="352" t="s">
        <v>1161</v>
      </c>
      <c r="F642" s="338">
        <v>0.48749999999999999</v>
      </c>
      <c r="G642" s="338">
        <v>0.49027777777777781</v>
      </c>
      <c r="H642" s="338" t="s">
        <v>962</v>
      </c>
      <c r="I642" s="353">
        <v>731</v>
      </c>
      <c r="J642" s="338" t="str">
        <f>IFERROR(VLOOKUP(I642,'Chart of accounts'!A:H,2,FALSE),"")</f>
        <v>50103010 00</v>
      </c>
      <c r="K642" s="338" t="str">
        <f>IFERROR(VLOOKUP(I642,'Chart of accounts'!A:H,3,FALSE),"")</f>
        <v>Retirement and Life Insurance Premiums</v>
      </c>
      <c r="L642" s="338" t="str">
        <f>IFERROR(VLOOKUP(I642,'Chart of accounts'!A:H,4,FALSE),"")</f>
        <v>50103010 00 - Retirement and Life Insurance Premiums (731)</v>
      </c>
      <c r="M642" s="361">
        <v>67</v>
      </c>
      <c r="N642" s="355" t="s">
        <v>768</v>
      </c>
      <c r="O642" s="355" t="s">
        <v>1113</v>
      </c>
      <c r="P642" s="355"/>
      <c r="Q642" s="363">
        <v>17463.36</v>
      </c>
      <c r="R642" s="319">
        <f t="shared" si="11"/>
        <v>-17463.36</v>
      </c>
      <c r="S642" s="319" t="str">
        <f>VLOOKUP(H642,'Fund Utilization Report'!$A$4:$U$1800,13,FALSE)</f>
        <v>PS</v>
      </c>
      <c r="T642" s="319" t="str">
        <f>VLOOKUP(H642,'Fund Utilization Report'!$A$4:$U$1800,2,FALSE)</f>
        <v>GAA</v>
      </c>
      <c r="U642" s="319" t="str">
        <f>VLOOKUP(H642,'Fund Utilization Report'!$A$4:$U$1800,3,FALSE)</f>
        <v>FY2021, RA11518</v>
      </c>
      <c r="V642" s="319" t="str">
        <f>VLOOKUP(H642,'Fund Utilization Report'!$A$4:$U$1800,4,FALSE)</f>
        <v>GAS(GMS)</v>
      </c>
      <c r="W642" s="319" t="str">
        <f>VLOOKUP(H642,'Fund Utilization Report'!$A$4:$U$1800,5,FALSE)</f>
        <v>01101101</v>
      </c>
      <c r="X642" s="319" t="str">
        <f>VLOOKUP(H642,'Fund Utilization Report'!$A$4:$U$1800,6,FALSE)</f>
        <v>GOP</v>
      </c>
      <c r="Y642" s="320" t="str">
        <f>VLOOKUP(H642,'Fund Utilization Report'!$A$4:$U$1800,7,FALSE)</f>
        <v>RLIP</v>
      </c>
      <c r="Z642" s="321" t="str">
        <f>VLOOKUP(H642,'Fund Utilization Report'!$A$4:$U$1800,8,FALSE)</f>
        <v>50103010-00</v>
      </c>
      <c r="AA642" s="319" t="str">
        <f>VLOOKUP(H642,'Fund Utilization Report'!$A$4:$U$1800,14,FALSE)</f>
        <v>100000100001000</v>
      </c>
      <c r="AB642" s="349" t="str">
        <f>VLOOKUP(H642,'Fund Utilization Report'!$A$4:$U$1800,15,FALSE)</f>
        <v>General Administration and Supervision - General Management and Supervision</v>
      </c>
      <c r="AC642" s="39"/>
      <c r="AD642" s="34"/>
      <c r="AE642" s="39"/>
      <c r="AF642" s="51"/>
      <c r="AG642" s="40"/>
      <c r="AH642" s="40"/>
    </row>
    <row r="643" spans="1:34" s="32" customFormat="1" ht="27.6">
      <c r="A643" s="338" t="s">
        <v>942</v>
      </c>
      <c r="B643" s="338" t="s">
        <v>945</v>
      </c>
      <c r="C643" s="358">
        <v>44238</v>
      </c>
      <c r="D643" s="351" t="s">
        <v>1028</v>
      </c>
      <c r="E643" s="352" t="s">
        <v>1161</v>
      </c>
      <c r="F643" s="338">
        <v>0.48749999999999999</v>
      </c>
      <c r="G643" s="338">
        <v>0.49027777777777781</v>
      </c>
      <c r="H643" s="338" t="s">
        <v>960</v>
      </c>
      <c r="I643" s="353">
        <v>732</v>
      </c>
      <c r="J643" s="338" t="str">
        <f>IFERROR(VLOOKUP(I643,'Chart of accounts'!A:H,2,FALSE),"")</f>
        <v>50103020 01</v>
      </c>
      <c r="K643" s="338" t="str">
        <f>IFERROR(VLOOKUP(I643,'Chart of accounts'!A:H,3,FALSE),"")</f>
        <v>Pag-IBIG - Civilian</v>
      </c>
      <c r="L643" s="338" t="str">
        <f>IFERROR(VLOOKUP(I643,'Chart of accounts'!A:H,4,FALSE),"")</f>
        <v>50103020 01 - Pag-IBIG - Civilian (732)</v>
      </c>
      <c r="M643" s="361">
        <v>67</v>
      </c>
      <c r="N643" s="355" t="s">
        <v>768</v>
      </c>
      <c r="O643" s="355" t="s">
        <v>1113</v>
      </c>
      <c r="P643" s="355"/>
      <c r="Q643" s="363">
        <v>300</v>
      </c>
      <c r="R643" s="319">
        <f t="shared" si="11"/>
        <v>-300</v>
      </c>
      <c r="S643" s="319" t="str">
        <f>VLOOKUP(H643,'Fund Utilization Report'!$A$4:$U$1800,13,FALSE)</f>
        <v>PS</v>
      </c>
      <c r="T643" s="319" t="str">
        <f>VLOOKUP(H643,'Fund Utilization Report'!$A$4:$U$1800,2,FALSE)</f>
        <v>GAA</v>
      </c>
      <c r="U643" s="319" t="str">
        <f>VLOOKUP(H643,'Fund Utilization Report'!$A$4:$U$1800,3,FALSE)</f>
        <v>FY2021, RA11518</v>
      </c>
      <c r="V643" s="319" t="str">
        <f>VLOOKUP(H643,'Fund Utilization Report'!$A$4:$U$1800,4,FALSE)</f>
        <v>GAS(GMS)</v>
      </c>
      <c r="W643" s="319" t="str">
        <f>VLOOKUP(H643,'Fund Utilization Report'!$A$4:$U$1800,5,FALSE)</f>
        <v>01101101</v>
      </c>
      <c r="X643" s="319" t="str">
        <f>VLOOKUP(H643,'Fund Utilization Report'!$A$4:$U$1800,6,FALSE)</f>
        <v>GOP</v>
      </c>
      <c r="Y643" s="320" t="str">
        <f>VLOOKUP(H643,'Fund Utilization Report'!$A$4:$U$1800,7,FALSE)</f>
        <v>PS</v>
      </c>
      <c r="Z643" s="321">
        <f>VLOOKUP(H643,'Fund Utilization Report'!$A$4:$U$1800,8,FALSE)</f>
        <v>5010000000</v>
      </c>
      <c r="AA643" s="319" t="str">
        <f>VLOOKUP(H643,'Fund Utilization Report'!$A$4:$U$1800,14,FALSE)</f>
        <v>100000100001000</v>
      </c>
      <c r="AB643" s="349" t="str">
        <f>VLOOKUP(H643,'Fund Utilization Report'!$A$4:$U$1800,15,FALSE)</f>
        <v>General Administration and Supervision - General Management and Supervision</v>
      </c>
      <c r="AC643" s="39"/>
      <c r="AD643" s="34"/>
      <c r="AE643" s="39"/>
      <c r="AF643" s="51"/>
      <c r="AG643" s="40"/>
      <c r="AH643" s="40"/>
    </row>
    <row r="644" spans="1:34" s="32" customFormat="1" ht="27.6">
      <c r="A644" s="338" t="s">
        <v>942</v>
      </c>
      <c r="B644" s="338" t="s">
        <v>945</v>
      </c>
      <c r="C644" s="358">
        <v>44238</v>
      </c>
      <c r="D644" s="351" t="s">
        <v>1028</v>
      </c>
      <c r="E644" s="352" t="s">
        <v>1161</v>
      </c>
      <c r="F644" s="338">
        <v>0.48749999999999999</v>
      </c>
      <c r="G644" s="338">
        <v>0.49027777777777781</v>
      </c>
      <c r="H644" s="338" t="s">
        <v>960</v>
      </c>
      <c r="I644" s="353">
        <v>733</v>
      </c>
      <c r="J644" s="338" t="str">
        <f>IFERROR(VLOOKUP(I644,'Chart of accounts'!A:H,2,FALSE),"")</f>
        <v>50103030 01</v>
      </c>
      <c r="K644" s="338" t="str">
        <f>IFERROR(VLOOKUP(I644,'Chart of accounts'!A:H,3,FALSE),"")</f>
        <v>PhilHealth - Civilian</v>
      </c>
      <c r="L644" s="338" t="str">
        <f>IFERROR(VLOOKUP(I644,'Chart of accounts'!A:H,4,FALSE),"")</f>
        <v>50103030 01 - PhilHealth - Civilian (733)</v>
      </c>
      <c r="M644" s="361">
        <v>67</v>
      </c>
      <c r="N644" s="355" t="s">
        <v>768</v>
      </c>
      <c r="O644" s="355" t="s">
        <v>1113</v>
      </c>
      <c r="P644" s="355"/>
      <c r="Q644" s="363">
        <v>1781.79</v>
      </c>
      <c r="R644" s="319">
        <f t="shared" si="11"/>
        <v>-1781.79</v>
      </c>
      <c r="S644" s="319" t="str">
        <f>VLOOKUP(H644,'Fund Utilization Report'!$A$4:$U$1800,13,FALSE)</f>
        <v>PS</v>
      </c>
      <c r="T644" s="319" t="str">
        <f>VLOOKUP(H644,'Fund Utilization Report'!$A$4:$U$1800,2,FALSE)</f>
        <v>GAA</v>
      </c>
      <c r="U644" s="319" t="str">
        <f>VLOOKUP(H644,'Fund Utilization Report'!$A$4:$U$1800,3,FALSE)</f>
        <v>FY2021, RA11518</v>
      </c>
      <c r="V644" s="319" t="str">
        <f>VLOOKUP(H644,'Fund Utilization Report'!$A$4:$U$1800,4,FALSE)</f>
        <v>GAS(GMS)</v>
      </c>
      <c r="W644" s="319" t="str">
        <f>VLOOKUP(H644,'Fund Utilization Report'!$A$4:$U$1800,5,FALSE)</f>
        <v>01101101</v>
      </c>
      <c r="X644" s="319" t="str">
        <f>VLOOKUP(H644,'Fund Utilization Report'!$A$4:$U$1800,6,FALSE)</f>
        <v>GOP</v>
      </c>
      <c r="Y644" s="320" t="str">
        <f>VLOOKUP(H644,'Fund Utilization Report'!$A$4:$U$1800,7,FALSE)</f>
        <v>PS</v>
      </c>
      <c r="Z644" s="321">
        <f>VLOOKUP(H644,'Fund Utilization Report'!$A$4:$U$1800,8,FALSE)</f>
        <v>5010000000</v>
      </c>
      <c r="AA644" s="319" t="str">
        <f>VLOOKUP(H644,'Fund Utilization Report'!$A$4:$U$1800,14,FALSE)</f>
        <v>100000100001000</v>
      </c>
      <c r="AB644" s="349" t="str">
        <f>VLOOKUP(H644,'Fund Utilization Report'!$A$4:$U$1800,15,FALSE)</f>
        <v>General Administration and Supervision - General Management and Supervision</v>
      </c>
      <c r="AC644" s="39"/>
      <c r="AD644" s="34"/>
      <c r="AE644" s="39"/>
      <c r="AF644" s="51"/>
      <c r="AG644" s="40"/>
      <c r="AH644" s="40"/>
    </row>
    <row r="645" spans="1:34" s="32" customFormat="1" ht="27.6">
      <c r="A645" s="338" t="s">
        <v>942</v>
      </c>
      <c r="B645" s="338" t="s">
        <v>945</v>
      </c>
      <c r="C645" s="358">
        <v>44238</v>
      </c>
      <c r="D645" s="351" t="s">
        <v>1028</v>
      </c>
      <c r="E645" s="352" t="s">
        <v>1161</v>
      </c>
      <c r="F645" s="338">
        <v>0.48749999999999999</v>
      </c>
      <c r="G645" s="338">
        <v>0.49027777777777781</v>
      </c>
      <c r="H645" s="338" t="s">
        <v>960</v>
      </c>
      <c r="I645" s="353">
        <v>734</v>
      </c>
      <c r="J645" s="338" t="str">
        <f>IFERROR(VLOOKUP(I645,'Chart of accounts'!A:H,2,FALSE),"")</f>
        <v>50103040 01</v>
      </c>
      <c r="K645" s="338" t="str">
        <f>IFERROR(VLOOKUP(I645,'Chart of accounts'!A:H,3,FALSE),"")</f>
        <v>ECIP - Civilian</v>
      </c>
      <c r="L645" s="338" t="str">
        <f>IFERROR(VLOOKUP(I645,'Chart of accounts'!A:H,4,FALSE),"")</f>
        <v>50103040 01 - ECIP - Civilian (734)</v>
      </c>
      <c r="M645" s="361">
        <v>67</v>
      </c>
      <c r="N645" s="355" t="s">
        <v>768</v>
      </c>
      <c r="O645" s="355" t="s">
        <v>1113</v>
      </c>
      <c r="P645" s="355"/>
      <c r="Q645" s="363">
        <v>300</v>
      </c>
      <c r="R645" s="319">
        <f t="shared" si="11"/>
        <v>-300</v>
      </c>
      <c r="S645" s="319" t="str">
        <f>VLOOKUP(H645,'Fund Utilization Report'!$A$4:$U$1800,13,FALSE)</f>
        <v>PS</v>
      </c>
      <c r="T645" s="319" t="str">
        <f>VLOOKUP(H645,'Fund Utilization Report'!$A$4:$U$1800,2,FALSE)</f>
        <v>GAA</v>
      </c>
      <c r="U645" s="319" t="str">
        <f>VLOOKUP(H645,'Fund Utilization Report'!$A$4:$U$1800,3,FALSE)</f>
        <v>FY2021, RA11518</v>
      </c>
      <c r="V645" s="319" t="str">
        <f>VLOOKUP(H645,'Fund Utilization Report'!$A$4:$U$1800,4,FALSE)</f>
        <v>GAS(GMS)</v>
      </c>
      <c r="W645" s="319" t="str">
        <f>VLOOKUP(H645,'Fund Utilization Report'!$A$4:$U$1800,5,FALSE)</f>
        <v>01101101</v>
      </c>
      <c r="X645" s="319" t="str">
        <f>VLOOKUP(H645,'Fund Utilization Report'!$A$4:$U$1800,6,FALSE)</f>
        <v>GOP</v>
      </c>
      <c r="Y645" s="320" t="str">
        <f>VLOOKUP(H645,'Fund Utilization Report'!$A$4:$U$1800,7,FALSE)</f>
        <v>PS</v>
      </c>
      <c r="Z645" s="321">
        <f>VLOOKUP(H645,'Fund Utilization Report'!$A$4:$U$1800,8,FALSE)</f>
        <v>5010000000</v>
      </c>
      <c r="AA645" s="319" t="str">
        <f>VLOOKUP(H645,'Fund Utilization Report'!$A$4:$U$1800,14,FALSE)</f>
        <v>100000100001000</v>
      </c>
      <c r="AB645" s="349" t="str">
        <f>VLOOKUP(H645,'Fund Utilization Report'!$A$4:$U$1800,15,FALSE)</f>
        <v>General Administration and Supervision - General Management and Supervision</v>
      </c>
      <c r="AC645" s="39"/>
      <c r="AD645" s="34"/>
      <c r="AE645" s="39"/>
      <c r="AF645" s="51"/>
      <c r="AG645" s="40"/>
      <c r="AH645" s="40"/>
    </row>
    <row r="646" spans="1:34" s="32" customFormat="1" ht="27.6">
      <c r="A646" s="338" t="s">
        <v>942</v>
      </c>
      <c r="B646" s="338" t="s">
        <v>945</v>
      </c>
      <c r="C646" s="358">
        <v>44238</v>
      </c>
      <c r="D646" s="351" t="s">
        <v>1028</v>
      </c>
      <c r="E646" s="352" t="s">
        <v>1161</v>
      </c>
      <c r="F646" s="338">
        <v>0.48749999999999999</v>
      </c>
      <c r="G646" s="338">
        <v>0.49027777777777781</v>
      </c>
      <c r="H646" s="338" t="s">
        <v>964</v>
      </c>
      <c r="I646" s="353">
        <v>701</v>
      </c>
      <c r="J646" s="338" t="str">
        <f>IFERROR(VLOOKUP(I646,'Chart of accounts'!A:H,2,FALSE),"")</f>
        <v>50101010 01</v>
      </c>
      <c r="K646" s="338" t="str">
        <f>IFERROR(VLOOKUP(I646,'Chart of accounts'!A:H,3,FALSE),"")</f>
        <v>Basic Salary - Civilian</v>
      </c>
      <c r="L646" s="338" t="str">
        <f>IFERROR(VLOOKUP(I646,'Chart of accounts'!A:H,4,FALSE),"")</f>
        <v>50101010 01 - Basic Salary - Civilian (701)</v>
      </c>
      <c r="M646" s="361">
        <v>67</v>
      </c>
      <c r="N646" s="355" t="s">
        <v>768</v>
      </c>
      <c r="O646" s="355" t="s">
        <v>1113</v>
      </c>
      <c r="P646" s="355"/>
      <c r="Q646" s="363">
        <v>46261</v>
      </c>
      <c r="R646" s="319">
        <f t="shared" si="11"/>
        <v>-46261</v>
      </c>
      <c r="S646" s="319" t="str">
        <f>VLOOKUP(H646,'Fund Utilization Report'!$A$4:$U$1800,13,FALSE)</f>
        <v>PS</v>
      </c>
      <c r="T646" s="319" t="str">
        <f>VLOOKUP(H646,'Fund Utilization Report'!$A$4:$U$1800,2,FALSE)</f>
        <v>GAA</v>
      </c>
      <c r="U646" s="319" t="str">
        <f>VLOOKUP(H646,'Fund Utilization Report'!$A$4:$U$1800,3,FALSE)</f>
        <v>FY2021, RA11518</v>
      </c>
      <c r="V646" s="319" t="str">
        <f>VLOOKUP(H646,'Fund Utilization Report'!$A$4:$U$1800,4,FALSE)</f>
        <v>OO1</v>
      </c>
      <c r="W646" s="319" t="str">
        <f>VLOOKUP(H646,'Fund Utilization Report'!$A$4:$U$1800,5,FALSE)</f>
        <v>01101101</v>
      </c>
      <c r="X646" s="319" t="str">
        <f>VLOOKUP(H646,'Fund Utilization Report'!$A$4:$U$1800,6,FALSE)</f>
        <v>GOP</v>
      </c>
      <c r="Y646" s="320" t="str">
        <f>VLOOKUP(H646,'Fund Utilization Report'!$A$4:$U$1800,7,FALSE)</f>
        <v>PS</v>
      </c>
      <c r="Z646" s="321">
        <f>VLOOKUP(H646,'Fund Utilization Report'!$A$4:$U$1800,8,FALSE)</f>
        <v>5010000000</v>
      </c>
      <c r="AA646" s="319" t="str">
        <f>VLOOKUP(H646,'Fund Utilization Report'!$A$4:$U$1800,14,FALSE)</f>
        <v>310100100002000</v>
      </c>
      <c r="AB646" s="349" t="str">
        <f>VLOOKUP(H646,'Fund Utilization Report'!$A$4:$U$1800,15,FALSE)</f>
        <v>Development,Facilitation, and promotion of exports and investment, domestic and foreign</v>
      </c>
      <c r="AC646" s="39"/>
      <c r="AD646" s="34"/>
      <c r="AE646" s="39"/>
      <c r="AF646" s="51"/>
      <c r="AG646" s="40"/>
      <c r="AH646" s="40"/>
    </row>
    <row r="647" spans="1:34" s="32" customFormat="1" ht="27.6">
      <c r="A647" s="338" t="s">
        <v>942</v>
      </c>
      <c r="B647" s="338" t="s">
        <v>945</v>
      </c>
      <c r="C647" s="358">
        <v>44238</v>
      </c>
      <c r="D647" s="351" t="s">
        <v>1028</v>
      </c>
      <c r="E647" s="352" t="s">
        <v>1161</v>
      </c>
      <c r="F647" s="338">
        <v>0.48749999999999999</v>
      </c>
      <c r="G647" s="338">
        <v>0.49027777777777781</v>
      </c>
      <c r="H647" s="338" t="s">
        <v>964</v>
      </c>
      <c r="I647" s="353">
        <v>711</v>
      </c>
      <c r="J647" s="338" t="str">
        <f>IFERROR(VLOOKUP(I647,'Chart of accounts'!A:H,2,FALSE),"")</f>
        <v>50102010 01</v>
      </c>
      <c r="K647" s="338" t="str">
        <f>IFERROR(VLOOKUP(I647,'Chart of accounts'!A:H,3,FALSE),"")</f>
        <v>PERA - Civilian</v>
      </c>
      <c r="L647" s="338" t="str">
        <f>IFERROR(VLOOKUP(I647,'Chart of accounts'!A:H,4,FALSE),"")</f>
        <v>50102010 01 - PERA - Civilian (711)</v>
      </c>
      <c r="M647" s="361">
        <v>67</v>
      </c>
      <c r="N647" s="355" t="s">
        <v>768</v>
      </c>
      <c r="O647" s="355" t="s">
        <v>1113</v>
      </c>
      <c r="P647" s="355"/>
      <c r="Q647" s="363">
        <v>2000</v>
      </c>
      <c r="R647" s="319">
        <f t="shared" si="11"/>
        <v>-2000</v>
      </c>
      <c r="S647" s="319" t="str">
        <f>VLOOKUP(H647,'Fund Utilization Report'!$A$4:$U$1800,13,FALSE)</f>
        <v>PS</v>
      </c>
      <c r="T647" s="319" t="str">
        <f>VLOOKUP(H647,'Fund Utilization Report'!$A$4:$U$1800,2,FALSE)</f>
        <v>GAA</v>
      </c>
      <c r="U647" s="319" t="str">
        <f>VLOOKUP(H647,'Fund Utilization Report'!$A$4:$U$1800,3,FALSE)</f>
        <v>FY2021, RA11518</v>
      </c>
      <c r="V647" s="319" t="str">
        <f>VLOOKUP(H647,'Fund Utilization Report'!$A$4:$U$1800,4,FALSE)</f>
        <v>OO1</v>
      </c>
      <c r="W647" s="319" t="str">
        <f>VLOOKUP(H647,'Fund Utilization Report'!$A$4:$U$1800,5,FALSE)</f>
        <v>01101101</v>
      </c>
      <c r="X647" s="319" t="str">
        <f>VLOOKUP(H647,'Fund Utilization Report'!$A$4:$U$1800,6,FALSE)</f>
        <v>GOP</v>
      </c>
      <c r="Y647" s="320" t="str">
        <f>VLOOKUP(H647,'Fund Utilization Report'!$A$4:$U$1800,7,FALSE)</f>
        <v>PS</v>
      </c>
      <c r="Z647" s="321">
        <f>VLOOKUP(H647,'Fund Utilization Report'!$A$4:$U$1800,8,FALSE)</f>
        <v>5010000000</v>
      </c>
      <c r="AA647" s="319" t="str">
        <f>VLOOKUP(H647,'Fund Utilization Report'!$A$4:$U$1800,14,FALSE)</f>
        <v>310100100002000</v>
      </c>
      <c r="AB647" s="349" t="str">
        <f>VLOOKUP(H647,'Fund Utilization Report'!$A$4:$U$1800,15,FALSE)</f>
        <v>Development,Facilitation, and promotion of exports and investment, domestic and foreign</v>
      </c>
      <c r="AC647" s="39"/>
      <c r="AD647" s="34"/>
      <c r="AE647" s="39"/>
      <c r="AF647" s="51"/>
      <c r="AG647" s="40"/>
      <c r="AH647" s="40"/>
    </row>
    <row r="648" spans="1:34" s="32" customFormat="1" ht="27.6">
      <c r="A648" s="338" t="s">
        <v>942</v>
      </c>
      <c r="B648" s="338" t="s">
        <v>945</v>
      </c>
      <c r="C648" s="358">
        <v>44238</v>
      </c>
      <c r="D648" s="351" t="s">
        <v>1028</v>
      </c>
      <c r="E648" s="352" t="s">
        <v>1161</v>
      </c>
      <c r="F648" s="338">
        <v>0.48749999999999999</v>
      </c>
      <c r="G648" s="338">
        <v>0.49027777777777781</v>
      </c>
      <c r="H648" s="338" t="s">
        <v>966</v>
      </c>
      <c r="I648" s="353">
        <v>731</v>
      </c>
      <c r="J648" s="338" t="str">
        <f>IFERROR(VLOOKUP(I648,'Chart of accounts'!A:H,2,FALSE),"")</f>
        <v>50103010 00</v>
      </c>
      <c r="K648" s="338" t="str">
        <f>IFERROR(VLOOKUP(I648,'Chart of accounts'!A:H,3,FALSE),"")</f>
        <v>Retirement and Life Insurance Premiums</v>
      </c>
      <c r="L648" s="338" t="str">
        <f>IFERROR(VLOOKUP(I648,'Chart of accounts'!A:H,4,FALSE),"")</f>
        <v>50103010 00 - Retirement and Life Insurance Premiums (731)</v>
      </c>
      <c r="M648" s="361">
        <v>67</v>
      </c>
      <c r="N648" s="355" t="s">
        <v>768</v>
      </c>
      <c r="O648" s="355" t="s">
        <v>1113</v>
      </c>
      <c r="P648" s="355"/>
      <c r="Q648" s="363">
        <v>5551.32</v>
      </c>
      <c r="R648" s="319">
        <f t="shared" si="11"/>
        <v>-5551.32</v>
      </c>
      <c r="S648" s="319" t="str">
        <f>VLOOKUP(H648,'Fund Utilization Report'!$A$4:$U$1800,13,FALSE)</f>
        <v>PS</v>
      </c>
      <c r="T648" s="319" t="str">
        <f>VLOOKUP(H648,'Fund Utilization Report'!$A$4:$U$1800,2,FALSE)</f>
        <v>GAA</v>
      </c>
      <c r="U648" s="319" t="str">
        <f>VLOOKUP(H648,'Fund Utilization Report'!$A$4:$U$1800,3,FALSE)</f>
        <v>FY2021, RA11518</v>
      </c>
      <c r="V648" s="319" t="str">
        <f>VLOOKUP(H648,'Fund Utilization Report'!$A$4:$U$1800,4,FALSE)</f>
        <v>OO1</v>
      </c>
      <c r="W648" s="319" t="str">
        <f>VLOOKUP(H648,'Fund Utilization Report'!$A$4:$U$1800,5,FALSE)</f>
        <v>01101101</v>
      </c>
      <c r="X648" s="319" t="str">
        <f>VLOOKUP(H648,'Fund Utilization Report'!$A$4:$U$1800,6,FALSE)</f>
        <v>GOP</v>
      </c>
      <c r="Y648" s="320" t="str">
        <f>VLOOKUP(H648,'Fund Utilization Report'!$A$4:$U$1800,7,FALSE)</f>
        <v>RLIP</v>
      </c>
      <c r="Z648" s="321" t="str">
        <f>VLOOKUP(H648,'Fund Utilization Report'!$A$4:$U$1800,8,FALSE)</f>
        <v>50103010-00</v>
      </c>
      <c r="AA648" s="319" t="str">
        <f>VLOOKUP(H648,'Fund Utilization Report'!$A$4:$U$1800,14,FALSE)</f>
        <v>310100100002000</v>
      </c>
      <c r="AB648" s="349" t="str">
        <f>VLOOKUP(H648,'Fund Utilization Report'!$A$4:$U$1800,15,FALSE)</f>
        <v>Development,Facilitation, and promotion of exports and investment, domestic and foreign</v>
      </c>
      <c r="AC648" s="39"/>
      <c r="AD648" s="34"/>
      <c r="AE648" s="39"/>
      <c r="AF648" s="51"/>
      <c r="AG648" s="40"/>
      <c r="AH648" s="40"/>
    </row>
    <row r="649" spans="1:34" s="32" customFormat="1" ht="27.6">
      <c r="A649" s="338" t="s">
        <v>942</v>
      </c>
      <c r="B649" s="338" t="s">
        <v>945</v>
      </c>
      <c r="C649" s="358">
        <v>44238</v>
      </c>
      <c r="D649" s="351" t="s">
        <v>1028</v>
      </c>
      <c r="E649" s="352" t="s">
        <v>1161</v>
      </c>
      <c r="F649" s="338">
        <v>0.48749999999999999</v>
      </c>
      <c r="G649" s="338">
        <v>0.49027777777777781</v>
      </c>
      <c r="H649" s="338" t="s">
        <v>964</v>
      </c>
      <c r="I649" s="353">
        <v>732</v>
      </c>
      <c r="J649" s="338" t="str">
        <f>IFERROR(VLOOKUP(I649,'Chart of accounts'!A:H,2,FALSE),"")</f>
        <v>50103020 01</v>
      </c>
      <c r="K649" s="338" t="str">
        <f>IFERROR(VLOOKUP(I649,'Chart of accounts'!A:H,3,FALSE),"")</f>
        <v>Pag-IBIG - Civilian</v>
      </c>
      <c r="L649" s="338" t="str">
        <f>IFERROR(VLOOKUP(I649,'Chart of accounts'!A:H,4,FALSE),"")</f>
        <v>50103020 01 - Pag-IBIG - Civilian (732)</v>
      </c>
      <c r="M649" s="361">
        <v>67</v>
      </c>
      <c r="N649" s="355" t="s">
        <v>768</v>
      </c>
      <c r="O649" s="355" t="s">
        <v>1113</v>
      </c>
      <c r="P649" s="355"/>
      <c r="Q649" s="363">
        <v>100</v>
      </c>
      <c r="R649" s="319">
        <f t="shared" si="11"/>
        <v>-100</v>
      </c>
      <c r="S649" s="319" t="str">
        <f>VLOOKUP(H649,'Fund Utilization Report'!$A$4:$U$1800,13,FALSE)</f>
        <v>PS</v>
      </c>
      <c r="T649" s="319" t="str">
        <f>VLOOKUP(H649,'Fund Utilization Report'!$A$4:$U$1800,2,FALSE)</f>
        <v>GAA</v>
      </c>
      <c r="U649" s="319" t="str">
        <f>VLOOKUP(H649,'Fund Utilization Report'!$A$4:$U$1800,3,FALSE)</f>
        <v>FY2021, RA11518</v>
      </c>
      <c r="V649" s="319" t="str">
        <f>VLOOKUP(H649,'Fund Utilization Report'!$A$4:$U$1800,4,FALSE)</f>
        <v>OO1</v>
      </c>
      <c r="W649" s="319" t="str">
        <f>VLOOKUP(H649,'Fund Utilization Report'!$A$4:$U$1800,5,FALSE)</f>
        <v>01101101</v>
      </c>
      <c r="X649" s="319" t="str">
        <f>VLOOKUP(H649,'Fund Utilization Report'!$A$4:$U$1800,6,FALSE)</f>
        <v>GOP</v>
      </c>
      <c r="Y649" s="320" t="str">
        <f>VLOOKUP(H649,'Fund Utilization Report'!$A$4:$U$1800,7,FALSE)</f>
        <v>PS</v>
      </c>
      <c r="Z649" s="321">
        <f>VLOOKUP(H649,'Fund Utilization Report'!$A$4:$U$1800,8,FALSE)</f>
        <v>5010000000</v>
      </c>
      <c r="AA649" s="319" t="str">
        <f>VLOOKUP(H649,'Fund Utilization Report'!$A$4:$U$1800,14,FALSE)</f>
        <v>310100100002000</v>
      </c>
      <c r="AB649" s="349" t="str">
        <f>VLOOKUP(H649,'Fund Utilization Report'!$A$4:$U$1800,15,FALSE)</f>
        <v>Development,Facilitation, and promotion of exports and investment, domestic and foreign</v>
      </c>
      <c r="AC649" s="39"/>
      <c r="AD649" s="34"/>
      <c r="AE649" s="39"/>
      <c r="AF649" s="51"/>
      <c r="AG649" s="40"/>
      <c r="AH649" s="40"/>
    </row>
    <row r="650" spans="1:34" s="32" customFormat="1" ht="27.6">
      <c r="A650" s="338" t="s">
        <v>942</v>
      </c>
      <c r="B650" s="338" t="s">
        <v>945</v>
      </c>
      <c r="C650" s="358">
        <v>44238</v>
      </c>
      <c r="D650" s="351" t="s">
        <v>1028</v>
      </c>
      <c r="E650" s="352" t="s">
        <v>1161</v>
      </c>
      <c r="F650" s="338">
        <v>0.48749999999999999</v>
      </c>
      <c r="G650" s="338">
        <v>0.49027777777777781</v>
      </c>
      <c r="H650" s="338" t="s">
        <v>964</v>
      </c>
      <c r="I650" s="353">
        <v>733</v>
      </c>
      <c r="J650" s="338" t="str">
        <f>IFERROR(VLOOKUP(I650,'Chart of accounts'!A:H,2,FALSE),"")</f>
        <v>50103030 01</v>
      </c>
      <c r="K650" s="338" t="str">
        <f>IFERROR(VLOOKUP(I650,'Chart of accounts'!A:H,3,FALSE),"")</f>
        <v>PhilHealth - Civilian</v>
      </c>
      <c r="L650" s="338" t="str">
        <f>IFERROR(VLOOKUP(I650,'Chart of accounts'!A:H,4,FALSE),"")</f>
        <v>50103030 01 - PhilHealth - Civilian (733)</v>
      </c>
      <c r="M650" s="361">
        <v>67</v>
      </c>
      <c r="N650" s="355" t="s">
        <v>768</v>
      </c>
      <c r="O650" s="355" t="s">
        <v>1113</v>
      </c>
      <c r="P650" s="355"/>
      <c r="Q650" s="363">
        <v>693.92</v>
      </c>
      <c r="R650" s="319">
        <f t="shared" si="11"/>
        <v>-693.92</v>
      </c>
      <c r="S650" s="319" t="str">
        <f>VLOOKUP(H650,'Fund Utilization Report'!$A$4:$U$1800,13,FALSE)</f>
        <v>PS</v>
      </c>
      <c r="T650" s="319" t="str">
        <f>VLOOKUP(H650,'Fund Utilization Report'!$A$4:$U$1800,2,FALSE)</f>
        <v>GAA</v>
      </c>
      <c r="U650" s="319" t="str">
        <f>VLOOKUP(H650,'Fund Utilization Report'!$A$4:$U$1800,3,FALSE)</f>
        <v>FY2021, RA11518</v>
      </c>
      <c r="V650" s="319" t="str">
        <f>VLOOKUP(H650,'Fund Utilization Report'!$A$4:$U$1800,4,FALSE)</f>
        <v>OO1</v>
      </c>
      <c r="W650" s="319" t="str">
        <f>VLOOKUP(H650,'Fund Utilization Report'!$A$4:$U$1800,5,FALSE)</f>
        <v>01101101</v>
      </c>
      <c r="X650" s="319" t="str">
        <f>VLOOKUP(H650,'Fund Utilization Report'!$A$4:$U$1800,6,FALSE)</f>
        <v>GOP</v>
      </c>
      <c r="Y650" s="320" t="str">
        <f>VLOOKUP(H650,'Fund Utilization Report'!$A$4:$U$1800,7,FALSE)</f>
        <v>PS</v>
      </c>
      <c r="Z650" s="321">
        <f>VLOOKUP(H650,'Fund Utilization Report'!$A$4:$U$1800,8,FALSE)</f>
        <v>5010000000</v>
      </c>
      <c r="AA650" s="319" t="str">
        <f>VLOOKUP(H650,'Fund Utilization Report'!$A$4:$U$1800,14,FALSE)</f>
        <v>310100100002000</v>
      </c>
      <c r="AB650" s="349" t="str">
        <f>VLOOKUP(H650,'Fund Utilization Report'!$A$4:$U$1800,15,FALSE)</f>
        <v>Development,Facilitation, and promotion of exports and investment, domestic and foreign</v>
      </c>
      <c r="AC650" s="39"/>
      <c r="AD650" s="34"/>
      <c r="AE650" s="39"/>
      <c r="AF650" s="51"/>
      <c r="AG650" s="40"/>
      <c r="AH650" s="40"/>
    </row>
    <row r="651" spans="1:34" s="32" customFormat="1" ht="27.6">
      <c r="A651" s="338" t="s">
        <v>942</v>
      </c>
      <c r="B651" s="338" t="s">
        <v>945</v>
      </c>
      <c r="C651" s="358">
        <v>44238</v>
      </c>
      <c r="D651" s="351" t="s">
        <v>1028</v>
      </c>
      <c r="E651" s="352" t="s">
        <v>1161</v>
      </c>
      <c r="F651" s="338">
        <v>0.48749999999999999</v>
      </c>
      <c r="G651" s="338">
        <v>0.49027777777777781</v>
      </c>
      <c r="H651" s="338" t="s">
        <v>964</v>
      </c>
      <c r="I651" s="353">
        <v>734</v>
      </c>
      <c r="J651" s="338" t="str">
        <f>IFERROR(VLOOKUP(I651,'Chart of accounts'!A:H,2,FALSE),"")</f>
        <v>50103040 01</v>
      </c>
      <c r="K651" s="338" t="str">
        <f>IFERROR(VLOOKUP(I651,'Chart of accounts'!A:H,3,FALSE),"")</f>
        <v>ECIP - Civilian</v>
      </c>
      <c r="L651" s="338" t="str">
        <f>IFERROR(VLOOKUP(I651,'Chart of accounts'!A:H,4,FALSE),"")</f>
        <v>50103040 01 - ECIP - Civilian (734)</v>
      </c>
      <c r="M651" s="361">
        <v>67</v>
      </c>
      <c r="N651" s="355" t="s">
        <v>768</v>
      </c>
      <c r="O651" s="355" t="s">
        <v>1113</v>
      </c>
      <c r="P651" s="355"/>
      <c r="Q651" s="363">
        <v>100</v>
      </c>
      <c r="R651" s="319">
        <f t="shared" si="11"/>
        <v>-100</v>
      </c>
      <c r="S651" s="319" t="str">
        <f>VLOOKUP(H651,'Fund Utilization Report'!$A$4:$U$1800,13,FALSE)</f>
        <v>PS</v>
      </c>
      <c r="T651" s="319" t="str">
        <f>VLOOKUP(H651,'Fund Utilization Report'!$A$4:$U$1800,2,FALSE)</f>
        <v>GAA</v>
      </c>
      <c r="U651" s="319" t="str">
        <f>VLOOKUP(H651,'Fund Utilization Report'!$A$4:$U$1800,3,FALSE)</f>
        <v>FY2021, RA11518</v>
      </c>
      <c r="V651" s="319" t="str">
        <f>VLOOKUP(H651,'Fund Utilization Report'!$A$4:$U$1800,4,FALSE)</f>
        <v>OO1</v>
      </c>
      <c r="W651" s="319" t="str">
        <f>VLOOKUP(H651,'Fund Utilization Report'!$A$4:$U$1800,5,FALSE)</f>
        <v>01101101</v>
      </c>
      <c r="X651" s="319" t="str">
        <f>VLOOKUP(H651,'Fund Utilization Report'!$A$4:$U$1800,6,FALSE)</f>
        <v>GOP</v>
      </c>
      <c r="Y651" s="320" t="str">
        <f>VLOOKUP(H651,'Fund Utilization Report'!$A$4:$U$1800,7,FALSE)</f>
        <v>PS</v>
      </c>
      <c r="Z651" s="321">
        <f>VLOOKUP(H651,'Fund Utilization Report'!$A$4:$U$1800,8,FALSE)</f>
        <v>5010000000</v>
      </c>
      <c r="AA651" s="319" t="str">
        <f>VLOOKUP(H651,'Fund Utilization Report'!$A$4:$U$1800,14,FALSE)</f>
        <v>310100100002000</v>
      </c>
      <c r="AB651" s="349" t="str">
        <f>VLOOKUP(H651,'Fund Utilization Report'!$A$4:$U$1800,15,FALSE)</f>
        <v>Development,Facilitation, and promotion of exports and investment, domestic and foreign</v>
      </c>
      <c r="AC651" s="39"/>
      <c r="AD651" s="34"/>
      <c r="AE651" s="39"/>
      <c r="AF651" s="51"/>
      <c r="AG651" s="40"/>
      <c r="AH651" s="40"/>
    </row>
    <row r="652" spans="1:34" s="32" customFormat="1" ht="27.6">
      <c r="A652" s="338" t="s">
        <v>942</v>
      </c>
      <c r="B652" s="338" t="s">
        <v>945</v>
      </c>
      <c r="C652" s="358">
        <v>44238</v>
      </c>
      <c r="D652" s="351" t="s">
        <v>1028</v>
      </c>
      <c r="E652" s="352" t="s">
        <v>1161</v>
      </c>
      <c r="F652" s="338">
        <v>0.48749999999999999</v>
      </c>
      <c r="G652" s="338">
        <v>0.49027777777777781</v>
      </c>
      <c r="H652" s="338" t="s">
        <v>967</v>
      </c>
      <c r="I652" s="353">
        <v>701</v>
      </c>
      <c r="J652" s="338" t="str">
        <f>IFERROR(VLOOKUP(I652,'Chart of accounts'!A:H,2,FALSE),"")</f>
        <v>50101010 01</v>
      </c>
      <c r="K652" s="338" t="str">
        <f>IFERROR(VLOOKUP(I652,'Chart of accounts'!A:H,3,FALSE),"")</f>
        <v>Basic Salary - Civilian</v>
      </c>
      <c r="L652" s="338" t="str">
        <f>IFERROR(VLOOKUP(I652,'Chart of accounts'!A:H,4,FALSE),"")</f>
        <v>50101010 01 - Basic Salary - Civilian (701)</v>
      </c>
      <c r="M652" s="361">
        <v>67</v>
      </c>
      <c r="N652" s="355" t="s">
        <v>768</v>
      </c>
      <c r="O652" s="355" t="s">
        <v>1113</v>
      </c>
      <c r="P652" s="355"/>
      <c r="Q652" s="363">
        <v>111742</v>
      </c>
      <c r="R652" s="319">
        <f t="shared" si="11"/>
        <v>-111742</v>
      </c>
      <c r="S652" s="319" t="str">
        <f>VLOOKUP(H652,'Fund Utilization Report'!$A$4:$U$1800,13,FALSE)</f>
        <v>PS</v>
      </c>
      <c r="T652" s="319" t="str">
        <f>VLOOKUP(H652,'Fund Utilization Report'!$A$4:$U$1800,2,FALSE)</f>
        <v>GAA</v>
      </c>
      <c r="U652" s="319" t="str">
        <f>VLOOKUP(H652,'Fund Utilization Report'!$A$4:$U$1800,3,FALSE)</f>
        <v>FY2021, RA11518</v>
      </c>
      <c r="V652" s="319" t="str">
        <f>VLOOKUP(H652,'Fund Utilization Report'!$A$4:$U$1800,4,FALSE)</f>
        <v>OO2</v>
      </c>
      <c r="W652" s="319" t="str">
        <f>VLOOKUP(H652,'Fund Utilization Report'!$A$4:$U$1800,5,FALSE)</f>
        <v>01101101</v>
      </c>
      <c r="X652" s="319" t="str">
        <f>VLOOKUP(H652,'Fund Utilization Report'!$A$4:$U$1800,6,FALSE)</f>
        <v>GOP</v>
      </c>
      <c r="Y652" s="320" t="str">
        <f>VLOOKUP(H652,'Fund Utilization Report'!$A$4:$U$1800,7,FALSE)</f>
        <v>PS</v>
      </c>
      <c r="Z652" s="321">
        <f>VLOOKUP(H652,'Fund Utilization Report'!$A$4:$U$1800,8,FALSE)</f>
        <v>5010000000</v>
      </c>
      <c r="AA652" s="319" t="str">
        <f>VLOOKUP(H652,'Fund Utilization Report'!$A$4:$U$1800,14,FALSE)</f>
        <v>320100100001000</v>
      </c>
      <c r="AB652" s="349" t="str">
        <f>VLOOKUP(H652,'Fund Utilization Report'!$A$4:$U$1800,15,FALSE)</f>
        <v>Formulation of Strategic plans,programs, and policies to develop competitve industries</v>
      </c>
      <c r="AC652" s="39"/>
      <c r="AD652" s="34"/>
      <c r="AE652" s="39"/>
      <c r="AF652" s="51"/>
      <c r="AG652" s="40"/>
      <c r="AH652" s="40"/>
    </row>
    <row r="653" spans="1:34" s="32" customFormat="1" ht="27.6">
      <c r="A653" s="338" t="s">
        <v>942</v>
      </c>
      <c r="B653" s="338" t="s">
        <v>945</v>
      </c>
      <c r="C653" s="358">
        <v>44238</v>
      </c>
      <c r="D653" s="351" t="s">
        <v>1028</v>
      </c>
      <c r="E653" s="352" t="s">
        <v>1161</v>
      </c>
      <c r="F653" s="338">
        <v>0.48749999999999999</v>
      </c>
      <c r="G653" s="338">
        <v>0.49027777777777781</v>
      </c>
      <c r="H653" s="338" t="s">
        <v>967</v>
      </c>
      <c r="I653" s="353">
        <v>711</v>
      </c>
      <c r="J653" s="338" t="str">
        <f>IFERROR(VLOOKUP(I653,'Chart of accounts'!A:H,2,FALSE),"")</f>
        <v>50102010 01</v>
      </c>
      <c r="K653" s="338" t="str">
        <f>IFERROR(VLOOKUP(I653,'Chart of accounts'!A:H,3,FALSE),"")</f>
        <v>PERA - Civilian</v>
      </c>
      <c r="L653" s="338" t="str">
        <f>IFERROR(VLOOKUP(I653,'Chart of accounts'!A:H,4,FALSE),"")</f>
        <v>50102010 01 - PERA - Civilian (711)</v>
      </c>
      <c r="M653" s="361">
        <v>67</v>
      </c>
      <c r="N653" s="355" t="s">
        <v>768</v>
      </c>
      <c r="O653" s="355" t="s">
        <v>1113</v>
      </c>
      <c r="P653" s="355"/>
      <c r="Q653" s="363">
        <v>2000</v>
      </c>
      <c r="R653" s="319">
        <f t="shared" si="11"/>
        <v>-2000</v>
      </c>
      <c r="S653" s="319" t="str">
        <f>VLOOKUP(H653,'Fund Utilization Report'!$A$4:$U$1800,13,FALSE)</f>
        <v>PS</v>
      </c>
      <c r="T653" s="319" t="str">
        <f>VLOOKUP(H653,'Fund Utilization Report'!$A$4:$U$1800,2,FALSE)</f>
        <v>GAA</v>
      </c>
      <c r="U653" s="319" t="str">
        <f>VLOOKUP(H653,'Fund Utilization Report'!$A$4:$U$1800,3,FALSE)</f>
        <v>FY2021, RA11518</v>
      </c>
      <c r="V653" s="319" t="str">
        <f>VLOOKUP(H653,'Fund Utilization Report'!$A$4:$U$1800,4,FALSE)</f>
        <v>OO2</v>
      </c>
      <c r="W653" s="319" t="str">
        <f>VLOOKUP(H653,'Fund Utilization Report'!$A$4:$U$1800,5,FALSE)</f>
        <v>01101101</v>
      </c>
      <c r="X653" s="319" t="str">
        <f>VLOOKUP(H653,'Fund Utilization Report'!$A$4:$U$1800,6,FALSE)</f>
        <v>GOP</v>
      </c>
      <c r="Y653" s="320" t="str">
        <f>VLOOKUP(H653,'Fund Utilization Report'!$A$4:$U$1800,7,FALSE)</f>
        <v>PS</v>
      </c>
      <c r="Z653" s="321">
        <f>VLOOKUP(H653,'Fund Utilization Report'!$A$4:$U$1800,8,FALSE)</f>
        <v>5010000000</v>
      </c>
      <c r="AA653" s="319" t="str">
        <f>VLOOKUP(H653,'Fund Utilization Report'!$A$4:$U$1800,14,FALSE)</f>
        <v>320100100001000</v>
      </c>
      <c r="AB653" s="349" t="str">
        <f>VLOOKUP(H653,'Fund Utilization Report'!$A$4:$U$1800,15,FALSE)</f>
        <v>Formulation of Strategic plans,programs, and policies to develop competitve industries</v>
      </c>
      <c r="AC653" s="39"/>
      <c r="AD653" s="34"/>
      <c r="AE653" s="39"/>
      <c r="AF653" s="51"/>
      <c r="AG653" s="40"/>
      <c r="AH653" s="40"/>
    </row>
    <row r="654" spans="1:34" s="32" customFormat="1" ht="27.6">
      <c r="A654" s="338" t="s">
        <v>942</v>
      </c>
      <c r="B654" s="338" t="s">
        <v>945</v>
      </c>
      <c r="C654" s="358">
        <v>44238</v>
      </c>
      <c r="D654" s="351" t="s">
        <v>1028</v>
      </c>
      <c r="E654" s="352" t="s">
        <v>1161</v>
      </c>
      <c r="F654" s="338">
        <v>0.48749999999999999</v>
      </c>
      <c r="G654" s="338">
        <v>0.49027777777777781</v>
      </c>
      <c r="H654" s="338" t="s">
        <v>969</v>
      </c>
      <c r="I654" s="353">
        <v>731</v>
      </c>
      <c r="J654" s="338" t="str">
        <f>IFERROR(VLOOKUP(I654,'Chart of accounts'!A:H,2,FALSE),"")</f>
        <v>50103010 00</v>
      </c>
      <c r="K654" s="338" t="str">
        <f>IFERROR(VLOOKUP(I654,'Chart of accounts'!A:H,3,FALSE),"")</f>
        <v>Retirement and Life Insurance Premiums</v>
      </c>
      <c r="L654" s="338" t="str">
        <f>IFERROR(VLOOKUP(I654,'Chart of accounts'!A:H,4,FALSE),"")</f>
        <v>50103010 00 - Retirement and Life Insurance Premiums (731)</v>
      </c>
      <c r="M654" s="361">
        <v>67</v>
      </c>
      <c r="N654" s="355" t="s">
        <v>768</v>
      </c>
      <c r="O654" s="355" t="s">
        <v>1113</v>
      </c>
      <c r="P654" s="355"/>
      <c r="Q654" s="363">
        <v>13409.04</v>
      </c>
      <c r="R654" s="319">
        <f t="shared" si="11"/>
        <v>-13409.04</v>
      </c>
      <c r="S654" s="319" t="str">
        <f>VLOOKUP(H654,'Fund Utilization Report'!$A$4:$U$1800,13,FALSE)</f>
        <v>PS</v>
      </c>
      <c r="T654" s="319" t="str">
        <f>VLOOKUP(H654,'Fund Utilization Report'!$A$4:$U$1800,2,FALSE)</f>
        <v>GAA</v>
      </c>
      <c r="U654" s="319" t="str">
        <f>VLOOKUP(H654,'Fund Utilization Report'!$A$4:$U$1800,3,FALSE)</f>
        <v>FY2021, RA11518</v>
      </c>
      <c r="V654" s="319" t="str">
        <f>VLOOKUP(H654,'Fund Utilization Report'!$A$4:$U$1800,4,FALSE)</f>
        <v>OO2</v>
      </c>
      <c r="W654" s="319" t="str">
        <f>VLOOKUP(H654,'Fund Utilization Report'!$A$4:$U$1800,5,FALSE)</f>
        <v>01101101</v>
      </c>
      <c r="X654" s="319" t="str">
        <f>VLOOKUP(H654,'Fund Utilization Report'!$A$4:$U$1800,6,FALSE)</f>
        <v>GOP</v>
      </c>
      <c r="Y654" s="320" t="str">
        <f>VLOOKUP(H654,'Fund Utilization Report'!$A$4:$U$1800,7,FALSE)</f>
        <v>RLIP</v>
      </c>
      <c r="Z654" s="321" t="str">
        <f>VLOOKUP(H654,'Fund Utilization Report'!$A$4:$U$1800,8,FALSE)</f>
        <v>50103010-00</v>
      </c>
      <c r="AA654" s="319" t="str">
        <f>VLOOKUP(H654,'Fund Utilization Report'!$A$4:$U$1800,14,FALSE)</f>
        <v>320100100001000</v>
      </c>
      <c r="AB654" s="349" t="str">
        <f>VLOOKUP(H654,'Fund Utilization Report'!$A$4:$U$1800,15,FALSE)</f>
        <v>Formulation of Strategic plans,programs, and policies to develop competitve industries</v>
      </c>
      <c r="AC654" s="39"/>
      <c r="AD654" s="34"/>
      <c r="AE654" s="39"/>
      <c r="AF654" s="51"/>
      <c r="AG654" s="40"/>
      <c r="AH654" s="40"/>
    </row>
    <row r="655" spans="1:34" s="32" customFormat="1" ht="27.6">
      <c r="A655" s="338" t="s">
        <v>942</v>
      </c>
      <c r="B655" s="338" t="s">
        <v>945</v>
      </c>
      <c r="C655" s="358">
        <v>44238</v>
      </c>
      <c r="D655" s="351" t="s">
        <v>1028</v>
      </c>
      <c r="E655" s="352" t="s">
        <v>1161</v>
      </c>
      <c r="F655" s="338">
        <v>0.48749999999999999</v>
      </c>
      <c r="G655" s="338">
        <v>0.49027777777777781</v>
      </c>
      <c r="H655" s="338" t="s">
        <v>967</v>
      </c>
      <c r="I655" s="353">
        <v>732</v>
      </c>
      <c r="J655" s="338" t="str">
        <f>IFERROR(VLOOKUP(I655,'Chart of accounts'!A:H,2,FALSE),"")</f>
        <v>50103020 01</v>
      </c>
      <c r="K655" s="338" t="str">
        <f>IFERROR(VLOOKUP(I655,'Chart of accounts'!A:H,3,FALSE),"")</f>
        <v>Pag-IBIG - Civilian</v>
      </c>
      <c r="L655" s="338" t="str">
        <f>IFERROR(VLOOKUP(I655,'Chart of accounts'!A:H,4,FALSE),"")</f>
        <v>50103020 01 - Pag-IBIG - Civilian (732)</v>
      </c>
      <c r="M655" s="361">
        <v>67</v>
      </c>
      <c r="N655" s="355" t="s">
        <v>768</v>
      </c>
      <c r="O655" s="355" t="s">
        <v>1113</v>
      </c>
      <c r="P655" s="355"/>
      <c r="Q655" s="363">
        <v>100</v>
      </c>
      <c r="R655" s="319">
        <f t="shared" si="11"/>
        <v>-100</v>
      </c>
      <c r="S655" s="319" t="str">
        <f>VLOOKUP(H655,'Fund Utilization Report'!$A$4:$U$1800,13,FALSE)</f>
        <v>PS</v>
      </c>
      <c r="T655" s="319" t="str">
        <f>VLOOKUP(H655,'Fund Utilization Report'!$A$4:$U$1800,2,FALSE)</f>
        <v>GAA</v>
      </c>
      <c r="U655" s="319" t="str">
        <f>VLOOKUP(H655,'Fund Utilization Report'!$A$4:$U$1800,3,FALSE)</f>
        <v>FY2021, RA11518</v>
      </c>
      <c r="V655" s="319" t="str">
        <f>VLOOKUP(H655,'Fund Utilization Report'!$A$4:$U$1800,4,FALSE)</f>
        <v>OO2</v>
      </c>
      <c r="W655" s="319" t="str">
        <f>VLOOKUP(H655,'Fund Utilization Report'!$A$4:$U$1800,5,FALSE)</f>
        <v>01101101</v>
      </c>
      <c r="X655" s="319" t="str">
        <f>VLOOKUP(H655,'Fund Utilization Report'!$A$4:$U$1800,6,FALSE)</f>
        <v>GOP</v>
      </c>
      <c r="Y655" s="320" t="str">
        <f>VLOOKUP(H655,'Fund Utilization Report'!$A$4:$U$1800,7,FALSE)</f>
        <v>PS</v>
      </c>
      <c r="Z655" s="321">
        <f>VLOOKUP(H655,'Fund Utilization Report'!$A$4:$U$1800,8,FALSE)</f>
        <v>5010000000</v>
      </c>
      <c r="AA655" s="319" t="str">
        <f>VLOOKUP(H655,'Fund Utilization Report'!$A$4:$U$1800,14,FALSE)</f>
        <v>320100100001000</v>
      </c>
      <c r="AB655" s="349" t="str">
        <f>VLOOKUP(H655,'Fund Utilization Report'!$A$4:$U$1800,15,FALSE)</f>
        <v>Formulation of Strategic plans,programs, and policies to develop competitve industries</v>
      </c>
      <c r="AC655" s="39"/>
      <c r="AD655" s="34"/>
      <c r="AE655" s="39"/>
      <c r="AF655" s="51"/>
      <c r="AG655" s="40"/>
      <c r="AH655" s="40"/>
    </row>
    <row r="656" spans="1:34" s="32" customFormat="1" ht="27.6">
      <c r="A656" s="338" t="s">
        <v>942</v>
      </c>
      <c r="B656" s="338" t="s">
        <v>945</v>
      </c>
      <c r="C656" s="358">
        <v>44238</v>
      </c>
      <c r="D656" s="351" t="s">
        <v>1028</v>
      </c>
      <c r="E656" s="352" t="s">
        <v>1161</v>
      </c>
      <c r="F656" s="338">
        <v>0.48749999999999999</v>
      </c>
      <c r="G656" s="338">
        <v>0.49027777777777781</v>
      </c>
      <c r="H656" s="338" t="s">
        <v>967</v>
      </c>
      <c r="I656" s="353">
        <v>733</v>
      </c>
      <c r="J656" s="338" t="str">
        <f>IFERROR(VLOOKUP(I656,'Chart of accounts'!A:H,2,FALSE),"")</f>
        <v>50103030 01</v>
      </c>
      <c r="K656" s="338" t="str">
        <f>IFERROR(VLOOKUP(I656,'Chart of accounts'!A:H,3,FALSE),"")</f>
        <v>PhilHealth - Civilian</v>
      </c>
      <c r="L656" s="338" t="str">
        <f>IFERROR(VLOOKUP(I656,'Chart of accounts'!A:H,4,FALSE),"")</f>
        <v>50103030 01 - PhilHealth - Civilian (733)</v>
      </c>
      <c r="M656" s="361">
        <v>67</v>
      </c>
      <c r="N656" s="355" t="s">
        <v>768</v>
      </c>
      <c r="O656" s="355" t="s">
        <v>1113</v>
      </c>
      <c r="P656" s="355"/>
      <c r="Q656" s="363">
        <v>900</v>
      </c>
      <c r="R656" s="319">
        <f t="shared" si="11"/>
        <v>-900</v>
      </c>
      <c r="S656" s="319" t="str">
        <f>VLOOKUP(H656,'Fund Utilization Report'!$A$4:$U$1800,13,FALSE)</f>
        <v>PS</v>
      </c>
      <c r="T656" s="319" t="str">
        <f>VLOOKUP(H656,'Fund Utilization Report'!$A$4:$U$1800,2,FALSE)</f>
        <v>GAA</v>
      </c>
      <c r="U656" s="319" t="str">
        <f>VLOOKUP(H656,'Fund Utilization Report'!$A$4:$U$1800,3,FALSE)</f>
        <v>FY2021, RA11518</v>
      </c>
      <c r="V656" s="319" t="str">
        <f>VLOOKUP(H656,'Fund Utilization Report'!$A$4:$U$1800,4,FALSE)</f>
        <v>OO2</v>
      </c>
      <c r="W656" s="319" t="str">
        <f>VLOOKUP(H656,'Fund Utilization Report'!$A$4:$U$1800,5,FALSE)</f>
        <v>01101101</v>
      </c>
      <c r="X656" s="319" t="str">
        <f>VLOOKUP(H656,'Fund Utilization Report'!$A$4:$U$1800,6,FALSE)</f>
        <v>GOP</v>
      </c>
      <c r="Y656" s="320" t="str">
        <f>VLOOKUP(H656,'Fund Utilization Report'!$A$4:$U$1800,7,FALSE)</f>
        <v>PS</v>
      </c>
      <c r="Z656" s="321">
        <f>VLOOKUP(H656,'Fund Utilization Report'!$A$4:$U$1800,8,FALSE)</f>
        <v>5010000000</v>
      </c>
      <c r="AA656" s="319" t="str">
        <f>VLOOKUP(H656,'Fund Utilization Report'!$A$4:$U$1800,14,FALSE)</f>
        <v>320100100001000</v>
      </c>
      <c r="AB656" s="349" t="str">
        <f>VLOOKUP(H656,'Fund Utilization Report'!$A$4:$U$1800,15,FALSE)</f>
        <v>Formulation of Strategic plans,programs, and policies to develop competitve industries</v>
      </c>
      <c r="AC656" s="39"/>
      <c r="AD656" s="34"/>
      <c r="AE656" s="39"/>
      <c r="AF656" s="51"/>
      <c r="AG656" s="40"/>
      <c r="AH656" s="40"/>
    </row>
    <row r="657" spans="1:34" s="32" customFormat="1" ht="27.6">
      <c r="A657" s="338" t="s">
        <v>942</v>
      </c>
      <c r="B657" s="338" t="s">
        <v>945</v>
      </c>
      <c r="C657" s="358">
        <v>44238</v>
      </c>
      <c r="D657" s="351" t="s">
        <v>1028</v>
      </c>
      <c r="E657" s="352" t="s">
        <v>1161</v>
      </c>
      <c r="F657" s="338">
        <v>0.48749999999999999</v>
      </c>
      <c r="G657" s="338">
        <v>0.49027777777777781</v>
      </c>
      <c r="H657" s="338" t="s">
        <v>967</v>
      </c>
      <c r="I657" s="353">
        <v>734</v>
      </c>
      <c r="J657" s="338" t="str">
        <f>IFERROR(VLOOKUP(I657,'Chart of accounts'!A:H,2,FALSE),"")</f>
        <v>50103040 01</v>
      </c>
      <c r="K657" s="338" t="str">
        <f>IFERROR(VLOOKUP(I657,'Chart of accounts'!A:H,3,FALSE),"")</f>
        <v>ECIP - Civilian</v>
      </c>
      <c r="L657" s="338" t="str">
        <f>IFERROR(VLOOKUP(I657,'Chart of accounts'!A:H,4,FALSE),"")</f>
        <v>50103040 01 - ECIP - Civilian (734)</v>
      </c>
      <c r="M657" s="361">
        <v>67</v>
      </c>
      <c r="N657" s="355" t="s">
        <v>768</v>
      </c>
      <c r="O657" s="355" t="s">
        <v>1113</v>
      </c>
      <c r="P657" s="355"/>
      <c r="Q657" s="363">
        <v>100</v>
      </c>
      <c r="R657" s="319">
        <f t="shared" si="11"/>
        <v>-100</v>
      </c>
      <c r="S657" s="319" t="str">
        <f>VLOOKUP(H657,'Fund Utilization Report'!$A$4:$U$1800,13,FALSE)</f>
        <v>PS</v>
      </c>
      <c r="T657" s="319" t="str">
        <f>VLOOKUP(H657,'Fund Utilization Report'!$A$4:$U$1800,2,FALSE)</f>
        <v>GAA</v>
      </c>
      <c r="U657" s="319" t="str">
        <f>VLOOKUP(H657,'Fund Utilization Report'!$A$4:$U$1800,3,FALSE)</f>
        <v>FY2021, RA11518</v>
      </c>
      <c r="V657" s="319" t="str">
        <f>VLOOKUP(H657,'Fund Utilization Report'!$A$4:$U$1800,4,FALSE)</f>
        <v>OO2</v>
      </c>
      <c r="W657" s="319" t="str">
        <f>VLOOKUP(H657,'Fund Utilization Report'!$A$4:$U$1800,5,FALSE)</f>
        <v>01101101</v>
      </c>
      <c r="X657" s="319" t="str">
        <f>VLOOKUP(H657,'Fund Utilization Report'!$A$4:$U$1800,6,FALSE)</f>
        <v>GOP</v>
      </c>
      <c r="Y657" s="320" t="str">
        <f>VLOOKUP(H657,'Fund Utilization Report'!$A$4:$U$1800,7,FALSE)</f>
        <v>PS</v>
      </c>
      <c r="Z657" s="321">
        <f>VLOOKUP(H657,'Fund Utilization Report'!$A$4:$U$1800,8,FALSE)</f>
        <v>5010000000</v>
      </c>
      <c r="AA657" s="319" t="str">
        <f>VLOOKUP(H657,'Fund Utilization Report'!$A$4:$U$1800,14,FALSE)</f>
        <v>320100100001000</v>
      </c>
      <c r="AB657" s="349" t="str">
        <f>VLOOKUP(H657,'Fund Utilization Report'!$A$4:$U$1800,15,FALSE)</f>
        <v>Formulation of Strategic plans,programs, and policies to develop competitve industries</v>
      </c>
      <c r="AC657" s="39"/>
      <c r="AD657" s="34"/>
      <c r="AE657" s="39"/>
      <c r="AF657" s="51"/>
      <c r="AG657" s="40"/>
      <c r="AH657" s="40"/>
    </row>
    <row r="658" spans="1:34" s="32" customFormat="1" ht="27.6">
      <c r="A658" s="338" t="s">
        <v>942</v>
      </c>
      <c r="B658" s="338" t="s">
        <v>945</v>
      </c>
      <c r="C658" s="358">
        <v>44238</v>
      </c>
      <c r="D658" s="351" t="s">
        <v>1028</v>
      </c>
      <c r="E658" s="352" t="s">
        <v>1161</v>
      </c>
      <c r="F658" s="338">
        <v>0.48749999999999999</v>
      </c>
      <c r="G658" s="338">
        <v>0.49027777777777781</v>
      </c>
      <c r="H658" s="338" t="s">
        <v>970</v>
      </c>
      <c r="I658" s="353">
        <v>701</v>
      </c>
      <c r="J658" s="338" t="str">
        <f>IFERROR(VLOOKUP(I658,'Chart of accounts'!A:H,2,FALSE),"")</f>
        <v>50101010 01</v>
      </c>
      <c r="K658" s="338" t="str">
        <f>IFERROR(VLOOKUP(I658,'Chart of accounts'!A:H,3,FALSE),"")</f>
        <v>Basic Salary - Civilian</v>
      </c>
      <c r="L658" s="338" t="str">
        <f>IFERROR(VLOOKUP(I658,'Chart of accounts'!A:H,4,FALSE),"")</f>
        <v>50101010 01 - Basic Salary - Civilian (701)</v>
      </c>
      <c r="M658" s="361">
        <v>67</v>
      </c>
      <c r="N658" s="355" t="s">
        <v>768</v>
      </c>
      <c r="O658" s="355" t="s">
        <v>1113</v>
      </c>
      <c r="P658" s="355"/>
      <c r="Q658" s="363">
        <v>236044</v>
      </c>
      <c r="R658" s="319">
        <f t="shared" si="11"/>
        <v>-236044</v>
      </c>
      <c r="S658" s="319" t="str">
        <f>VLOOKUP(H658,'Fund Utilization Report'!$A$4:$U$1800,13,FALSE)</f>
        <v>PS</v>
      </c>
      <c r="T658" s="319" t="str">
        <f>VLOOKUP(H658,'Fund Utilization Report'!$A$4:$U$1800,2,FALSE)</f>
        <v>GAA</v>
      </c>
      <c r="U658" s="319" t="str">
        <f>VLOOKUP(H658,'Fund Utilization Report'!$A$4:$U$1800,3,FALSE)</f>
        <v>FY2021, RA11518</v>
      </c>
      <c r="V658" s="319" t="str">
        <f>VLOOKUP(H658,'Fund Utilization Report'!$A$4:$U$1800,4,FALSE)</f>
        <v>OO3</v>
      </c>
      <c r="W658" s="319" t="str">
        <f>VLOOKUP(H658,'Fund Utilization Report'!$A$4:$U$1800,5,FALSE)</f>
        <v>01101101</v>
      </c>
      <c r="X658" s="319" t="str">
        <f>VLOOKUP(H658,'Fund Utilization Report'!$A$4:$U$1800,6,FALSE)</f>
        <v>GOP</v>
      </c>
      <c r="Y658" s="320" t="str">
        <f>VLOOKUP(H658,'Fund Utilization Report'!$A$4:$U$1800,7,FALSE)</f>
        <v>PS</v>
      </c>
      <c r="Z658" s="321">
        <f>VLOOKUP(H658,'Fund Utilization Report'!$A$4:$U$1800,8,FALSE)</f>
        <v>5010000000</v>
      </c>
      <c r="AA658" s="319" t="str">
        <f>VLOOKUP(H658,'Fund Utilization Report'!$A$4:$U$1800,14,FALSE)</f>
        <v>330100100002000</v>
      </c>
      <c r="AB658" s="349" t="str">
        <f>VLOOKUP(H658,'Fund Utilization Report'!$A$4:$U$1800,15,FALSE)</f>
        <v>Implementation of the MSME Development Plan and other initiatives to promote the growth of Micro, Small and Medium Enterprises</v>
      </c>
      <c r="AC658" s="39"/>
      <c r="AD658" s="34"/>
      <c r="AE658" s="39"/>
      <c r="AF658" s="51"/>
      <c r="AG658" s="40"/>
      <c r="AH658" s="40"/>
    </row>
    <row r="659" spans="1:34" s="32" customFormat="1" ht="27.6">
      <c r="A659" s="338" t="s">
        <v>942</v>
      </c>
      <c r="B659" s="338" t="s">
        <v>945</v>
      </c>
      <c r="C659" s="358">
        <v>44238</v>
      </c>
      <c r="D659" s="351" t="s">
        <v>1028</v>
      </c>
      <c r="E659" s="352" t="s">
        <v>1161</v>
      </c>
      <c r="F659" s="338">
        <v>0.48749999999999999</v>
      </c>
      <c r="G659" s="338">
        <v>0.49027777777777781</v>
      </c>
      <c r="H659" s="338" t="s">
        <v>970</v>
      </c>
      <c r="I659" s="353">
        <v>711</v>
      </c>
      <c r="J659" s="338" t="str">
        <f>IFERROR(VLOOKUP(I659,'Chart of accounts'!A:H,2,FALSE),"")</f>
        <v>50102010 01</v>
      </c>
      <c r="K659" s="338" t="str">
        <f>IFERROR(VLOOKUP(I659,'Chart of accounts'!A:H,3,FALSE),"")</f>
        <v>PERA - Civilian</v>
      </c>
      <c r="L659" s="338" t="str">
        <f>IFERROR(VLOOKUP(I659,'Chart of accounts'!A:H,4,FALSE),"")</f>
        <v>50102010 01 - PERA - Civilian (711)</v>
      </c>
      <c r="M659" s="361">
        <v>67</v>
      </c>
      <c r="N659" s="355" t="s">
        <v>768</v>
      </c>
      <c r="O659" s="355" t="s">
        <v>1113</v>
      </c>
      <c r="P659" s="355"/>
      <c r="Q659" s="363">
        <v>12000</v>
      </c>
      <c r="R659" s="319">
        <f t="shared" si="11"/>
        <v>-12000</v>
      </c>
      <c r="S659" s="319" t="str">
        <f>VLOOKUP(H659,'Fund Utilization Report'!$A$4:$U$1800,13,FALSE)</f>
        <v>PS</v>
      </c>
      <c r="T659" s="319" t="str">
        <f>VLOOKUP(H659,'Fund Utilization Report'!$A$4:$U$1800,2,FALSE)</f>
        <v>GAA</v>
      </c>
      <c r="U659" s="319" t="str">
        <f>VLOOKUP(H659,'Fund Utilization Report'!$A$4:$U$1800,3,FALSE)</f>
        <v>FY2021, RA11518</v>
      </c>
      <c r="V659" s="319" t="str">
        <f>VLOOKUP(H659,'Fund Utilization Report'!$A$4:$U$1800,4,FALSE)</f>
        <v>OO3</v>
      </c>
      <c r="W659" s="319" t="str">
        <f>VLOOKUP(H659,'Fund Utilization Report'!$A$4:$U$1800,5,FALSE)</f>
        <v>01101101</v>
      </c>
      <c r="X659" s="319" t="str">
        <f>VLOOKUP(H659,'Fund Utilization Report'!$A$4:$U$1800,6,FALSE)</f>
        <v>GOP</v>
      </c>
      <c r="Y659" s="320" t="str">
        <f>VLOOKUP(H659,'Fund Utilization Report'!$A$4:$U$1800,7,FALSE)</f>
        <v>PS</v>
      </c>
      <c r="Z659" s="321">
        <f>VLOOKUP(H659,'Fund Utilization Report'!$A$4:$U$1800,8,FALSE)</f>
        <v>5010000000</v>
      </c>
      <c r="AA659" s="319" t="str">
        <f>VLOOKUP(H659,'Fund Utilization Report'!$A$4:$U$1800,14,FALSE)</f>
        <v>330100100002000</v>
      </c>
      <c r="AB659" s="349" t="str">
        <f>VLOOKUP(H659,'Fund Utilization Report'!$A$4:$U$1800,15,FALSE)</f>
        <v>Implementation of the MSME Development Plan and other initiatives to promote the growth of Micro, Small and Medium Enterprises</v>
      </c>
      <c r="AC659" s="39"/>
      <c r="AD659" s="34"/>
      <c r="AE659" s="39"/>
      <c r="AF659" s="51"/>
      <c r="AG659" s="40"/>
      <c r="AH659" s="40"/>
    </row>
    <row r="660" spans="1:34" s="32" customFormat="1" ht="27.6">
      <c r="A660" s="338" t="s">
        <v>942</v>
      </c>
      <c r="B660" s="338" t="s">
        <v>945</v>
      </c>
      <c r="C660" s="358">
        <v>44238</v>
      </c>
      <c r="D660" s="351" t="s">
        <v>1028</v>
      </c>
      <c r="E660" s="352" t="s">
        <v>1161</v>
      </c>
      <c r="F660" s="338">
        <v>0.48749999999999999</v>
      </c>
      <c r="G660" s="338">
        <v>0.49027777777777781</v>
      </c>
      <c r="H660" s="338" t="s">
        <v>972</v>
      </c>
      <c r="I660" s="353">
        <v>731</v>
      </c>
      <c r="J660" s="338" t="str">
        <f>IFERROR(VLOOKUP(I660,'Chart of accounts'!A:H,2,FALSE),"")</f>
        <v>50103010 00</v>
      </c>
      <c r="K660" s="338" t="str">
        <f>IFERROR(VLOOKUP(I660,'Chart of accounts'!A:H,3,FALSE),"")</f>
        <v>Retirement and Life Insurance Premiums</v>
      </c>
      <c r="L660" s="338" t="str">
        <f>IFERROR(VLOOKUP(I660,'Chart of accounts'!A:H,4,FALSE),"")</f>
        <v>50103010 00 - Retirement and Life Insurance Premiums (731)</v>
      </c>
      <c r="M660" s="361">
        <v>67</v>
      </c>
      <c r="N660" s="355" t="s">
        <v>768</v>
      </c>
      <c r="O660" s="355" t="s">
        <v>1113</v>
      </c>
      <c r="P660" s="355"/>
      <c r="Q660" s="363">
        <v>28325.279999999999</v>
      </c>
      <c r="R660" s="319">
        <f t="shared" si="11"/>
        <v>-28325.279999999999</v>
      </c>
      <c r="S660" s="319" t="str">
        <f>VLOOKUP(H660,'Fund Utilization Report'!$A$4:$U$1800,13,FALSE)</f>
        <v>PS</v>
      </c>
      <c r="T660" s="319" t="str">
        <f>VLOOKUP(H660,'Fund Utilization Report'!$A$4:$U$1800,2,FALSE)</f>
        <v>GAA</v>
      </c>
      <c r="U660" s="319" t="str">
        <f>VLOOKUP(H660,'Fund Utilization Report'!$A$4:$U$1800,3,FALSE)</f>
        <v>FY2021, RA11518</v>
      </c>
      <c r="V660" s="319" t="str">
        <f>VLOOKUP(H660,'Fund Utilization Report'!$A$4:$U$1800,4,FALSE)</f>
        <v>OO3</v>
      </c>
      <c r="W660" s="319" t="str">
        <f>VLOOKUP(H660,'Fund Utilization Report'!$A$4:$U$1800,5,FALSE)</f>
        <v>01101101</v>
      </c>
      <c r="X660" s="319" t="str">
        <f>VLOOKUP(H660,'Fund Utilization Report'!$A$4:$U$1800,6,FALSE)</f>
        <v>GOP</v>
      </c>
      <c r="Y660" s="320" t="str">
        <f>VLOOKUP(H660,'Fund Utilization Report'!$A$4:$U$1800,7,FALSE)</f>
        <v>RLIP</v>
      </c>
      <c r="Z660" s="321" t="str">
        <f>VLOOKUP(H660,'Fund Utilization Report'!$A$4:$U$1800,8,FALSE)</f>
        <v>50103010-00</v>
      </c>
      <c r="AA660" s="319" t="str">
        <f>VLOOKUP(H660,'Fund Utilization Report'!$A$4:$U$1800,14,FALSE)</f>
        <v>330100100002000</v>
      </c>
      <c r="AB660" s="349" t="str">
        <f>VLOOKUP(H660,'Fund Utilization Report'!$A$4:$U$1800,15,FALSE)</f>
        <v>Implementation of the MSME Development Plan and other initiatives to promote the growth of Micro, Small and Medium Enterprises</v>
      </c>
      <c r="AC660" s="39"/>
      <c r="AD660" s="34"/>
      <c r="AE660" s="39"/>
      <c r="AF660" s="51"/>
      <c r="AG660" s="40"/>
      <c r="AH660" s="40"/>
    </row>
    <row r="661" spans="1:34" s="32" customFormat="1" ht="27.6">
      <c r="A661" s="338" t="s">
        <v>942</v>
      </c>
      <c r="B661" s="338" t="s">
        <v>945</v>
      </c>
      <c r="C661" s="358">
        <v>44238</v>
      </c>
      <c r="D661" s="351" t="s">
        <v>1028</v>
      </c>
      <c r="E661" s="352" t="s">
        <v>1161</v>
      </c>
      <c r="F661" s="338">
        <v>0.48749999999999999</v>
      </c>
      <c r="G661" s="338">
        <v>0.49027777777777781</v>
      </c>
      <c r="H661" s="338" t="s">
        <v>970</v>
      </c>
      <c r="I661" s="353">
        <v>732</v>
      </c>
      <c r="J661" s="338" t="str">
        <f>IFERROR(VLOOKUP(I661,'Chart of accounts'!A:H,2,FALSE),"")</f>
        <v>50103020 01</v>
      </c>
      <c r="K661" s="338" t="str">
        <f>IFERROR(VLOOKUP(I661,'Chart of accounts'!A:H,3,FALSE),"")</f>
        <v>Pag-IBIG - Civilian</v>
      </c>
      <c r="L661" s="338" t="str">
        <f>IFERROR(VLOOKUP(I661,'Chart of accounts'!A:H,4,FALSE),"")</f>
        <v>50103020 01 - Pag-IBIG - Civilian (732)</v>
      </c>
      <c r="M661" s="361">
        <v>67</v>
      </c>
      <c r="N661" s="355" t="s">
        <v>768</v>
      </c>
      <c r="O661" s="355" t="s">
        <v>1113</v>
      </c>
      <c r="P661" s="355"/>
      <c r="Q661" s="363">
        <v>600</v>
      </c>
      <c r="R661" s="319">
        <f t="shared" si="11"/>
        <v>-600</v>
      </c>
      <c r="S661" s="319" t="str">
        <f>VLOOKUP(H661,'Fund Utilization Report'!$A$4:$U$1800,13,FALSE)</f>
        <v>PS</v>
      </c>
      <c r="T661" s="319" t="str">
        <f>VLOOKUP(H661,'Fund Utilization Report'!$A$4:$U$1800,2,FALSE)</f>
        <v>GAA</v>
      </c>
      <c r="U661" s="319" t="str">
        <f>VLOOKUP(H661,'Fund Utilization Report'!$A$4:$U$1800,3,FALSE)</f>
        <v>FY2021, RA11518</v>
      </c>
      <c r="V661" s="319" t="str">
        <f>VLOOKUP(H661,'Fund Utilization Report'!$A$4:$U$1800,4,FALSE)</f>
        <v>OO3</v>
      </c>
      <c r="W661" s="319" t="str">
        <f>VLOOKUP(H661,'Fund Utilization Report'!$A$4:$U$1800,5,FALSE)</f>
        <v>01101101</v>
      </c>
      <c r="X661" s="319" t="str">
        <f>VLOOKUP(H661,'Fund Utilization Report'!$A$4:$U$1800,6,FALSE)</f>
        <v>GOP</v>
      </c>
      <c r="Y661" s="320" t="str">
        <f>VLOOKUP(H661,'Fund Utilization Report'!$A$4:$U$1800,7,FALSE)</f>
        <v>PS</v>
      </c>
      <c r="Z661" s="321">
        <f>VLOOKUP(H661,'Fund Utilization Report'!$A$4:$U$1800,8,FALSE)</f>
        <v>5010000000</v>
      </c>
      <c r="AA661" s="319" t="str">
        <f>VLOOKUP(H661,'Fund Utilization Report'!$A$4:$U$1800,14,FALSE)</f>
        <v>330100100002000</v>
      </c>
      <c r="AB661" s="349" t="str">
        <f>VLOOKUP(H661,'Fund Utilization Report'!$A$4:$U$1800,15,FALSE)</f>
        <v>Implementation of the MSME Development Plan and other initiatives to promote the growth of Micro, Small and Medium Enterprises</v>
      </c>
      <c r="AC661" s="39"/>
      <c r="AD661" s="34"/>
      <c r="AE661" s="39"/>
      <c r="AF661" s="51"/>
      <c r="AG661" s="40"/>
      <c r="AH661" s="40"/>
    </row>
    <row r="662" spans="1:34" s="32" customFormat="1" ht="27.6">
      <c r="A662" s="338" t="s">
        <v>942</v>
      </c>
      <c r="B662" s="338" t="s">
        <v>945</v>
      </c>
      <c r="C662" s="358">
        <v>44238</v>
      </c>
      <c r="D662" s="351" t="s">
        <v>1028</v>
      </c>
      <c r="E662" s="352" t="s">
        <v>1161</v>
      </c>
      <c r="F662" s="338">
        <v>0.48749999999999999</v>
      </c>
      <c r="G662" s="338">
        <v>0.49027777777777781</v>
      </c>
      <c r="H662" s="338" t="s">
        <v>970</v>
      </c>
      <c r="I662" s="353">
        <v>733</v>
      </c>
      <c r="J662" s="338" t="str">
        <f>IFERROR(VLOOKUP(I662,'Chart of accounts'!A:H,2,FALSE),"")</f>
        <v>50103030 01</v>
      </c>
      <c r="K662" s="338" t="str">
        <f>IFERROR(VLOOKUP(I662,'Chart of accounts'!A:H,3,FALSE),"")</f>
        <v>PhilHealth - Civilian</v>
      </c>
      <c r="L662" s="338" t="str">
        <f>IFERROR(VLOOKUP(I662,'Chart of accounts'!A:H,4,FALSE),"")</f>
        <v>50103030 01 - PhilHealth - Civilian (733)</v>
      </c>
      <c r="M662" s="361">
        <v>67</v>
      </c>
      <c r="N662" s="355" t="s">
        <v>768</v>
      </c>
      <c r="O662" s="355" t="s">
        <v>1113</v>
      </c>
      <c r="P662" s="355"/>
      <c r="Q662" s="363">
        <v>3540.69</v>
      </c>
      <c r="R662" s="319">
        <f t="shared" si="11"/>
        <v>-3540.69</v>
      </c>
      <c r="S662" s="319" t="str">
        <f>VLOOKUP(H662,'Fund Utilization Report'!$A$4:$U$1800,13,FALSE)</f>
        <v>PS</v>
      </c>
      <c r="T662" s="319" t="str">
        <f>VLOOKUP(H662,'Fund Utilization Report'!$A$4:$U$1800,2,FALSE)</f>
        <v>GAA</v>
      </c>
      <c r="U662" s="319" t="str">
        <f>VLOOKUP(H662,'Fund Utilization Report'!$A$4:$U$1800,3,FALSE)</f>
        <v>FY2021, RA11518</v>
      </c>
      <c r="V662" s="319" t="str">
        <f>VLOOKUP(H662,'Fund Utilization Report'!$A$4:$U$1800,4,FALSE)</f>
        <v>OO3</v>
      </c>
      <c r="W662" s="319" t="str">
        <f>VLOOKUP(H662,'Fund Utilization Report'!$A$4:$U$1800,5,FALSE)</f>
        <v>01101101</v>
      </c>
      <c r="X662" s="319" t="str">
        <f>VLOOKUP(H662,'Fund Utilization Report'!$A$4:$U$1800,6,FALSE)</f>
        <v>GOP</v>
      </c>
      <c r="Y662" s="320" t="str">
        <f>VLOOKUP(H662,'Fund Utilization Report'!$A$4:$U$1800,7,FALSE)</f>
        <v>PS</v>
      </c>
      <c r="Z662" s="321">
        <f>VLOOKUP(H662,'Fund Utilization Report'!$A$4:$U$1800,8,FALSE)</f>
        <v>5010000000</v>
      </c>
      <c r="AA662" s="319" t="str">
        <f>VLOOKUP(H662,'Fund Utilization Report'!$A$4:$U$1800,14,FALSE)</f>
        <v>330100100002000</v>
      </c>
      <c r="AB662" s="349" t="str">
        <f>VLOOKUP(H662,'Fund Utilization Report'!$A$4:$U$1800,15,FALSE)</f>
        <v>Implementation of the MSME Development Plan and other initiatives to promote the growth of Micro, Small and Medium Enterprises</v>
      </c>
      <c r="AC662" s="39"/>
      <c r="AD662" s="34"/>
      <c r="AE662" s="39"/>
      <c r="AF662" s="51"/>
      <c r="AG662" s="40"/>
      <c r="AH662" s="40"/>
    </row>
    <row r="663" spans="1:34" s="32" customFormat="1" ht="27.6">
      <c r="A663" s="338" t="s">
        <v>942</v>
      </c>
      <c r="B663" s="338" t="s">
        <v>945</v>
      </c>
      <c r="C663" s="358">
        <v>44238</v>
      </c>
      <c r="D663" s="351" t="s">
        <v>1028</v>
      </c>
      <c r="E663" s="352" t="s">
        <v>1161</v>
      </c>
      <c r="F663" s="338">
        <v>0.48749999999999999</v>
      </c>
      <c r="G663" s="338">
        <v>0.49027777777777781</v>
      </c>
      <c r="H663" s="338" t="s">
        <v>970</v>
      </c>
      <c r="I663" s="353">
        <v>734</v>
      </c>
      <c r="J663" s="338" t="str">
        <f>IFERROR(VLOOKUP(I663,'Chart of accounts'!A:H,2,FALSE),"")</f>
        <v>50103040 01</v>
      </c>
      <c r="K663" s="338" t="str">
        <f>IFERROR(VLOOKUP(I663,'Chart of accounts'!A:H,3,FALSE),"")</f>
        <v>ECIP - Civilian</v>
      </c>
      <c r="L663" s="338" t="str">
        <f>IFERROR(VLOOKUP(I663,'Chart of accounts'!A:H,4,FALSE),"")</f>
        <v>50103040 01 - ECIP - Civilian (734)</v>
      </c>
      <c r="M663" s="361">
        <v>67</v>
      </c>
      <c r="N663" s="355" t="s">
        <v>768</v>
      </c>
      <c r="O663" s="355" t="s">
        <v>1113</v>
      </c>
      <c r="P663" s="355"/>
      <c r="Q663" s="363">
        <v>600</v>
      </c>
      <c r="R663" s="319">
        <f t="shared" si="11"/>
        <v>-600</v>
      </c>
      <c r="S663" s="319" t="str">
        <f>VLOOKUP(H663,'Fund Utilization Report'!$A$4:$U$1800,13,FALSE)</f>
        <v>PS</v>
      </c>
      <c r="T663" s="319" t="str">
        <f>VLOOKUP(H663,'Fund Utilization Report'!$A$4:$U$1800,2,FALSE)</f>
        <v>GAA</v>
      </c>
      <c r="U663" s="319" t="str">
        <f>VLOOKUP(H663,'Fund Utilization Report'!$A$4:$U$1800,3,FALSE)</f>
        <v>FY2021, RA11518</v>
      </c>
      <c r="V663" s="319" t="str">
        <f>VLOOKUP(H663,'Fund Utilization Report'!$A$4:$U$1800,4,FALSE)</f>
        <v>OO3</v>
      </c>
      <c r="W663" s="319" t="str">
        <f>VLOOKUP(H663,'Fund Utilization Report'!$A$4:$U$1800,5,FALSE)</f>
        <v>01101101</v>
      </c>
      <c r="X663" s="319" t="str">
        <f>VLOOKUP(H663,'Fund Utilization Report'!$A$4:$U$1800,6,FALSE)</f>
        <v>GOP</v>
      </c>
      <c r="Y663" s="320" t="str">
        <f>VLOOKUP(H663,'Fund Utilization Report'!$A$4:$U$1800,7,FALSE)</f>
        <v>PS</v>
      </c>
      <c r="Z663" s="321">
        <f>VLOOKUP(H663,'Fund Utilization Report'!$A$4:$U$1800,8,FALSE)</f>
        <v>5010000000</v>
      </c>
      <c r="AA663" s="319" t="str">
        <f>VLOOKUP(H663,'Fund Utilization Report'!$A$4:$U$1800,14,FALSE)</f>
        <v>330100100002000</v>
      </c>
      <c r="AB663" s="349" t="str">
        <f>VLOOKUP(H663,'Fund Utilization Report'!$A$4:$U$1800,15,FALSE)</f>
        <v>Implementation of the MSME Development Plan and other initiatives to promote the growth of Micro, Small and Medium Enterprises</v>
      </c>
      <c r="AC663" s="39"/>
      <c r="AD663" s="34"/>
      <c r="AE663" s="39"/>
      <c r="AF663" s="51"/>
      <c r="AG663" s="40"/>
      <c r="AH663" s="40"/>
    </row>
    <row r="664" spans="1:34" s="32" customFormat="1" ht="27.6">
      <c r="A664" s="338" t="s">
        <v>942</v>
      </c>
      <c r="B664" s="338" t="s">
        <v>945</v>
      </c>
      <c r="C664" s="358">
        <v>44238</v>
      </c>
      <c r="D664" s="351" t="s">
        <v>1028</v>
      </c>
      <c r="E664" s="352" t="s">
        <v>1161</v>
      </c>
      <c r="F664" s="338">
        <v>0.48749999999999999</v>
      </c>
      <c r="G664" s="338">
        <v>0.49027777777777781</v>
      </c>
      <c r="H664" s="338" t="s">
        <v>973</v>
      </c>
      <c r="I664" s="353">
        <v>701</v>
      </c>
      <c r="J664" s="338" t="str">
        <f>IFERROR(VLOOKUP(I664,'Chart of accounts'!A:H,2,FALSE),"")</f>
        <v>50101010 01</v>
      </c>
      <c r="K664" s="338" t="str">
        <f>IFERROR(VLOOKUP(I664,'Chart of accounts'!A:H,3,FALSE),"")</f>
        <v>Basic Salary - Civilian</v>
      </c>
      <c r="L664" s="338" t="str">
        <f>IFERROR(VLOOKUP(I664,'Chart of accounts'!A:H,4,FALSE),"")</f>
        <v>50101010 01 - Basic Salary - Civilian (701)</v>
      </c>
      <c r="M664" s="361">
        <v>67</v>
      </c>
      <c r="N664" s="355" t="s">
        <v>768</v>
      </c>
      <c r="O664" s="355" t="s">
        <v>1113</v>
      </c>
      <c r="P664" s="355"/>
      <c r="Q664" s="363">
        <v>44694</v>
      </c>
      <c r="R664" s="319">
        <f t="shared" si="11"/>
        <v>-44694</v>
      </c>
      <c r="S664" s="319" t="str">
        <f>VLOOKUP(H664,'Fund Utilization Report'!$A$4:$U$1800,13,FALSE)</f>
        <v>PS</v>
      </c>
      <c r="T664" s="319" t="str">
        <f>VLOOKUP(H664,'Fund Utilization Report'!$A$4:$U$1800,2,FALSE)</f>
        <v>GAA</v>
      </c>
      <c r="U664" s="319" t="str">
        <f>VLOOKUP(H664,'Fund Utilization Report'!$A$4:$U$1800,3,FALSE)</f>
        <v>FY2021, RA11518</v>
      </c>
      <c r="V664" s="319" t="str">
        <f>VLOOKUP(H664,'Fund Utilization Report'!$A$4:$U$1800,4,FALSE)</f>
        <v>OO4.1(FTL)</v>
      </c>
      <c r="W664" s="319" t="str">
        <f>VLOOKUP(H664,'Fund Utilization Report'!$A$4:$U$1800,5,FALSE)</f>
        <v>01101101</v>
      </c>
      <c r="X664" s="319" t="str">
        <f>VLOOKUP(H664,'Fund Utilization Report'!$A$4:$U$1800,6,FALSE)</f>
        <v>GOP</v>
      </c>
      <c r="Y664" s="320" t="str">
        <f>VLOOKUP(H664,'Fund Utilization Report'!$A$4:$U$1800,7,FALSE)</f>
        <v>PS</v>
      </c>
      <c r="Z664" s="321">
        <f>VLOOKUP(H664,'Fund Utilization Report'!$A$4:$U$1800,8,FALSE)</f>
        <v>5010000000</v>
      </c>
      <c r="AA664" s="319" t="str">
        <f>VLOOKUP(H664,'Fund Utilization Report'!$A$4:$U$1800,14,FALSE)</f>
        <v>340100100002000</v>
      </c>
      <c r="AB664" s="349" t="str">
        <f>VLOOKUP(H664,'Fund Utilization Report'!$A$4:$U$1800,15,FALSE)</f>
        <v>Monitoring and Enforcement of FTL including consumer complaints handling</v>
      </c>
      <c r="AC664" s="39"/>
      <c r="AD664" s="34"/>
      <c r="AE664" s="39"/>
      <c r="AF664" s="51"/>
      <c r="AG664" s="40"/>
      <c r="AH664" s="40"/>
    </row>
    <row r="665" spans="1:34" s="32" customFormat="1" ht="27.6">
      <c r="A665" s="338" t="s">
        <v>942</v>
      </c>
      <c r="B665" s="338" t="s">
        <v>945</v>
      </c>
      <c r="C665" s="358">
        <v>44238</v>
      </c>
      <c r="D665" s="351" t="s">
        <v>1028</v>
      </c>
      <c r="E665" s="352" t="s">
        <v>1161</v>
      </c>
      <c r="F665" s="338">
        <v>0.48749999999999999</v>
      </c>
      <c r="G665" s="338">
        <v>0.49027777777777781</v>
      </c>
      <c r="H665" s="338" t="s">
        <v>973</v>
      </c>
      <c r="I665" s="353">
        <v>711</v>
      </c>
      <c r="J665" s="338" t="str">
        <f>IFERROR(VLOOKUP(I665,'Chart of accounts'!A:H,2,FALSE),"")</f>
        <v>50102010 01</v>
      </c>
      <c r="K665" s="338" t="str">
        <f>IFERROR(VLOOKUP(I665,'Chart of accounts'!A:H,3,FALSE),"")</f>
        <v>PERA - Civilian</v>
      </c>
      <c r="L665" s="338" t="str">
        <f>IFERROR(VLOOKUP(I665,'Chart of accounts'!A:H,4,FALSE),"")</f>
        <v>50102010 01 - PERA - Civilian (711)</v>
      </c>
      <c r="M665" s="361">
        <v>67</v>
      </c>
      <c r="N665" s="355" t="s">
        <v>768</v>
      </c>
      <c r="O665" s="355" t="s">
        <v>1113</v>
      </c>
      <c r="P665" s="355"/>
      <c r="Q665" s="363">
        <v>2000</v>
      </c>
      <c r="R665" s="319">
        <f t="shared" si="11"/>
        <v>-2000</v>
      </c>
      <c r="S665" s="319" t="str">
        <f>VLOOKUP(H665,'Fund Utilization Report'!$A$4:$U$1800,13,FALSE)</f>
        <v>PS</v>
      </c>
      <c r="T665" s="319" t="str">
        <f>VLOOKUP(H665,'Fund Utilization Report'!$A$4:$U$1800,2,FALSE)</f>
        <v>GAA</v>
      </c>
      <c r="U665" s="319" t="str">
        <f>VLOOKUP(H665,'Fund Utilization Report'!$A$4:$U$1800,3,FALSE)</f>
        <v>FY2021, RA11518</v>
      </c>
      <c r="V665" s="319" t="str">
        <f>VLOOKUP(H665,'Fund Utilization Report'!$A$4:$U$1800,4,FALSE)</f>
        <v>OO4.1(FTL)</v>
      </c>
      <c r="W665" s="319" t="str">
        <f>VLOOKUP(H665,'Fund Utilization Report'!$A$4:$U$1800,5,FALSE)</f>
        <v>01101101</v>
      </c>
      <c r="X665" s="319" t="str">
        <f>VLOOKUP(H665,'Fund Utilization Report'!$A$4:$U$1800,6,FALSE)</f>
        <v>GOP</v>
      </c>
      <c r="Y665" s="320" t="str">
        <f>VLOOKUP(H665,'Fund Utilization Report'!$A$4:$U$1800,7,FALSE)</f>
        <v>PS</v>
      </c>
      <c r="Z665" s="321">
        <f>VLOOKUP(H665,'Fund Utilization Report'!$A$4:$U$1800,8,FALSE)</f>
        <v>5010000000</v>
      </c>
      <c r="AA665" s="319" t="str">
        <f>VLOOKUP(H665,'Fund Utilization Report'!$A$4:$U$1800,14,FALSE)</f>
        <v>340100100002000</v>
      </c>
      <c r="AB665" s="349" t="str">
        <f>VLOOKUP(H665,'Fund Utilization Report'!$A$4:$U$1800,15,FALSE)</f>
        <v>Monitoring and Enforcement of FTL including consumer complaints handling</v>
      </c>
      <c r="AC665" s="39"/>
      <c r="AD665" s="34"/>
      <c r="AE665" s="39"/>
      <c r="AF665" s="51"/>
      <c r="AG665" s="40"/>
      <c r="AH665" s="40"/>
    </row>
    <row r="666" spans="1:34" s="32" customFormat="1" ht="27.6">
      <c r="A666" s="338" t="s">
        <v>942</v>
      </c>
      <c r="B666" s="338" t="s">
        <v>945</v>
      </c>
      <c r="C666" s="358">
        <v>44238</v>
      </c>
      <c r="D666" s="351" t="s">
        <v>1028</v>
      </c>
      <c r="E666" s="352" t="s">
        <v>1161</v>
      </c>
      <c r="F666" s="338">
        <v>0.48749999999999999</v>
      </c>
      <c r="G666" s="338">
        <v>0.49027777777777781</v>
      </c>
      <c r="H666" s="338" t="s">
        <v>975</v>
      </c>
      <c r="I666" s="353">
        <v>731</v>
      </c>
      <c r="J666" s="338" t="str">
        <f>IFERROR(VLOOKUP(I666,'Chart of accounts'!A:H,2,FALSE),"")</f>
        <v>50103010 00</v>
      </c>
      <c r="K666" s="338" t="str">
        <f>IFERROR(VLOOKUP(I666,'Chart of accounts'!A:H,3,FALSE),"")</f>
        <v>Retirement and Life Insurance Premiums</v>
      </c>
      <c r="L666" s="338" t="str">
        <f>IFERROR(VLOOKUP(I666,'Chart of accounts'!A:H,4,FALSE),"")</f>
        <v>50103010 00 - Retirement and Life Insurance Premiums (731)</v>
      </c>
      <c r="M666" s="361">
        <v>67</v>
      </c>
      <c r="N666" s="355" t="s">
        <v>768</v>
      </c>
      <c r="O666" s="355" t="s">
        <v>1113</v>
      </c>
      <c r="P666" s="355"/>
      <c r="Q666" s="363">
        <v>5363.28</v>
      </c>
      <c r="R666" s="319">
        <f t="shared" si="11"/>
        <v>-5363.28</v>
      </c>
      <c r="S666" s="319" t="str">
        <f>VLOOKUP(H666,'Fund Utilization Report'!$A$4:$U$1800,13,FALSE)</f>
        <v>PS</v>
      </c>
      <c r="T666" s="319" t="str">
        <f>VLOOKUP(H666,'Fund Utilization Report'!$A$4:$U$1800,2,FALSE)</f>
        <v>GAA</v>
      </c>
      <c r="U666" s="319" t="str">
        <f>VLOOKUP(H666,'Fund Utilization Report'!$A$4:$U$1800,3,FALSE)</f>
        <v>FY2021, RA11518</v>
      </c>
      <c r="V666" s="319" t="str">
        <f>VLOOKUP(H666,'Fund Utilization Report'!$A$4:$U$1800,4,FALSE)</f>
        <v>OO4.1(FTL)</v>
      </c>
      <c r="W666" s="319" t="str">
        <f>VLOOKUP(H666,'Fund Utilization Report'!$A$4:$U$1800,5,FALSE)</f>
        <v>01101101</v>
      </c>
      <c r="X666" s="319" t="str">
        <f>VLOOKUP(H666,'Fund Utilization Report'!$A$4:$U$1800,6,FALSE)</f>
        <v>GOP</v>
      </c>
      <c r="Y666" s="320" t="str">
        <f>VLOOKUP(H666,'Fund Utilization Report'!$A$4:$U$1800,7,FALSE)</f>
        <v>RLIP</v>
      </c>
      <c r="Z666" s="321" t="str">
        <f>VLOOKUP(H666,'Fund Utilization Report'!$A$4:$U$1800,8,FALSE)</f>
        <v>50103010-00</v>
      </c>
      <c r="AA666" s="319" t="str">
        <f>VLOOKUP(H666,'Fund Utilization Report'!$A$4:$U$1800,14,FALSE)</f>
        <v>340100100002000</v>
      </c>
      <c r="AB666" s="349" t="str">
        <f>VLOOKUP(H666,'Fund Utilization Report'!$A$4:$U$1800,15,FALSE)</f>
        <v>Monitoring and Enforcement of FTL including consumer complaints handling</v>
      </c>
      <c r="AC666" s="39"/>
      <c r="AD666" s="34"/>
      <c r="AE666" s="39"/>
      <c r="AF666" s="51"/>
      <c r="AG666" s="40"/>
      <c r="AH666" s="40"/>
    </row>
    <row r="667" spans="1:34" s="32" customFormat="1" ht="27.6">
      <c r="A667" s="338" t="s">
        <v>942</v>
      </c>
      <c r="B667" s="338" t="s">
        <v>945</v>
      </c>
      <c r="C667" s="358">
        <v>44238</v>
      </c>
      <c r="D667" s="351" t="s">
        <v>1028</v>
      </c>
      <c r="E667" s="352" t="s">
        <v>1161</v>
      </c>
      <c r="F667" s="338">
        <v>0.48749999999999999</v>
      </c>
      <c r="G667" s="338">
        <v>0.49027777777777781</v>
      </c>
      <c r="H667" s="338" t="s">
        <v>973</v>
      </c>
      <c r="I667" s="353">
        <v>732</v>
      </c>
      <c r="J667" s="338" t="str">
        <f>IFERROR(VLOOKUP(I667,'Chart of accounts'!A:H,2,FALSE),"")</f>
        <v>50103020 01</v>
      </c>
      <c r="K667" s="338" t="str">
        <f>IFERROR(VLOOKUP(I667,'Chart of accounts'!A:H,3,FALSE),"")</f>
        <v>Pag-IBIG - Civilian</v>
      </c>
      <c r="L667" s="338" t="str">
        <f>IFERROR(VLOOKUP(I667,'Chart of accounts'!A:H,4,FALSE),"")</f>
        <v>50103020 01 - Pag-IBIG - Civilian (732)</v>
      </c>
      <c r="M667" s="361">
        <v>67</v>
      </c>
      <c r="N667" s="355" t="s">
        <v>768</v>
      </c>
      <c r="O667" s="355" t="s">
        <v>1113</v>
      </c>
      <c r="P667" s="355"/>
      <c r="Q667" s="363">
        <v>100</v>
      </c>
      <c r="R667" s="319">
        <f t="shared" si="11"/>
        <v>-100</v>
      </c>
      <c r="S667" s="319" t="str">
        <f>VLOOKUP(H667,'Fund Utilization Report'!$A$4:$U$1800,13,FALSE)</f>
        <v>PS</v>
      </c>
      <c r="T667" s="319" t="str">
        <f>VLOOKUP(H667,'Fund Utilization Report'!$A$4:$U$1800,2,FALSE)</f>
        <v>GAA</v>
      </c>
      <c r="U667" s="319" t="str">
        <f>VLOOKUP(H667,'Fund Utilization Report'!$A$4:$U$1800,3,FALSE)</f>
        <v>FY2021, RA11518</v>
      </c>
      <c r="V667" s="319" t="str">
        <f>VLOOKUP(H667,'Fund Utilization Report'!$A$4:$U$1800,4,FALSE)</f>
        <v>OO4.1(FTL)</v>
      </c>
      <c r="W667" s="319" t="str">
        <f>VLOOKUP(H667,'Fund Utilization Report'!$A$4:$U$1800,5,FALSE)</f>
        <v>01101101</v>
      </c>
      <c r="X667" s="319" t="str">
        <f>VLOOKUP(H667,'Fund Utilization Report'!$A$4:$U$1800,6,FALSE)</f>
        <v>GOP</v>
      </c>
      <c r="Y667" s="320" t="str">
        <f>VLOOKUP(H667,'Fund Utilization Report'!$A$4:$U$1800,7,FALSE)</f>
        <v>PS</v>
      </c>
      <c r="Z667" s="321">
        <f>VLOOKUP(H667,'Fund Utilization Report'!$A$4:$U$1800,8,FALSE)</f>
        <v>5010000000</v>
      </c>
      <c r="AA667" s="319" t="str">
        <f>VLOOKUP(H667,'Fund Utilization Report'!$A$4:$U$1800,14,FALSE)</f>
        <v>340100100002000</v>
      </c>
      <c r="AB667" s="349" t="str">
        <f>VLOOKUP(H667,'Fund Utilization Report'!$A$4:$U$1800,15,FALSE)</f>
        <v>Monitoring and Enforcement of FTL including consumer complaints handling</v>
      </c>
      <c r="AC667" s="39"/>
      <c r="AD667" s="34"/>
      <c r="AE667" s="39"/>
      <c r="AF667" s="51"/>
      <c r="AG667" s="40"/>
      <c r="AH667" s="40"/>
    </row>
    <row r="668" spans="1:34" s="32" customFormat="1" ht="27.6">
      <c r="A668" s="338" t="s">
        <v>942</v>
      </c>
      <c r="B668" s="338" t="s">
        <v>945</v>
      </c>
      <c r="C668" s="358">
        <v>44238</v>
      </c>
      <c r="D668" s="351" t="s">
        <v>1028</v>
      </c>
      <c r="E668" s="352" t="s">
        <v>1161</v>
      </c>
      <c r="F668" s="338">
        <v>0.48749999999999999</v>
      </c>
      <c r="G668" s="338">
        <v>0.49027777777777781</v>
      </c>
      <c r="H668" s="338" t="s">
        <v>973</v>
      </c>
      <c r="I668" s="353">
        <v>733</v>
      </c>
      <c r="J668" s="338" t="str">
        <f>IFERROR(VLOOKUP(I668,'Chart of accounts'!A:H,2,FALSE),"")</f>
        <v>50103030 01</v>
      </c>
      <c r="K668" s="338" t="str">
        <f>IFERROR(VLOOKUP(I668,'Chart of accounts'!A:H,3,FALSE),"")</f>
        <v>PhilHealth - Civilian</v>
      </c>
      <c r="L668" s="338" t="str">
        <f>IFERROR(VLOOKUP(I668,'Chart of accounts'!A:H,4,FALSE),"")</f>
        <v>50103030 01 - PhilHealth - Civilian (733)</v>
      </c>
      <c r="M668" s="361">
        <v>67</v>
      </c>
      <c r="N668" s="355" t="s">
        <v>768</v>
      </c>
      <c r="O668" s="355" t="s">
        <v>1113</v>
      </c>
      <c r="P668" s="355"/>
      <c r="Q668" s="363">
        <v>670.41</v>
      </c>
      <c r="R668" s="319">
        <f t="shared" si="11"/>
        <v>-670.41</v>
      </c>
      <c r="S668" s="319" t="str">
        <f>VLOOKUP(H668,'Fund Utilization Report'!$A$4:$U$1800,13,FALSE)</f>
        <v>PS</v>
      </c>
      <c r="T668" s="319" t="str">
        <f>VLOOKUP(H668,'Fund Utilization Report'!$A$4:$U$1800,2,FALSE)</f>
        <v>GAA</v>
      </c>
      <c r="U668" s="319" t="str">
        <f>VLOOKUP(H668,'Fund Utilization Report'!$A$4:$U$1800,3,FALSE)</f>
        <v>FY2021, RA11518</v>
      </c>
      <c r="V668" s="319" t="str">
        <f>VLOOKUP(H668,'Fund Utilization Report'!$A$4:$U$1800,4,FALSE)</f>
        <v>OO4.1(FTL)</v>
      </c>
      <c r="W668" s="319" t="str">
        <f>VLOOKUP(H668,'Fund Utilization Report'!$A$4:$U$1800,5,FALSE)</f>
        <v>01101101</v>
      </c>
      <c r="X668" s="319" t="str">
        <f>VLOOKUP(H668,'Fund Utilization Report'!$A$4:$U$1800,6,FALSE)</f>
        <v>GOP</v>
      </c>
      <c r="Y668" s="320" t="str">
        <f>VLOOKUP(H668,'Fund Utilization Report'!$A$4:$U$1800,7,FALSE)</f>
        <v>PS</v>
      </c>
      <c r="Z668" s="321">
        <f>VLOOKUP(H668,'Fund Utilization Report'!$A$4:$U$1800,8,FALSE)</f>
        <v>5010000000</v>
      </c>
      <c r="AA668" s="319" t="str">
        <f>VLOOKUP(H668,'Fund Utilization Report'!$A$4:$U$1800,14,FALSE)</f>
        <v>340100100002000</v>
      </c>
      <c r="AB668" s="349" t="str">
        <f>VLOOKUP(H668,'Fund Utilization Report'!$A$4:$U$1800,15,FALSE)</f>
        <v>Monitoring and Enforcement of FTL including consumer complaints handling</v>
      </c>
      <c r="AC668" s="39"/>
      <c r="AD668" s="34"/>
      <c r="AE668" s="39"/>
      <c r="AF668" s="51"/>
      <c r="AG668" s="40"/>
      <c r="AH668" s="40"/>
    </row>
    <row r="669" spans="1:34" s="32" customFormat="1" ht="27.6">
      <c r="A669" s="338" t="s">
        <v>942</v>
      </c>
      <c r="B669" s="338" t="s">
        <v>945</v>
      </c>
      <c r="C669" s="358">
        <v>44238</v>
      </c>
      <c r="D669" s="351" t="s">
        <v>1028</v>
      </c>
      <c r="E669" s="352" t="s">
        <v>1161</v>
      </c>
      <c r="F669" s="338">
        <v>0.48749999999999999</v>
      </c>
      <c r="G669" s="338">
        <v>0.49027777777777781</v>
      </c>
      <c r="H669" s="338" t="s">
        <v>973</v>
      </c>
      <c r="I669" s="353">
        <v>734</v>
      </c>
      <c r="J669" s="338" t="str">
        <f>IFERROR(VLOOKUP(I669,'Chart of accounts'!A:H,2,FALSE),"")</f>
        <v>50103040 01</v>
      </c>
      <c r="K669" s="338" t="str">
        <f>IFERROR(VLOOKUP(I669,'Chart of accounts'!A:H,3,FALSE),"")</f>
        <v>ECIP - Civilian</v>
      </c>
      <c r="L669" s="338" t="str">
        <f>IFERROR(VLOOKUP(I669,'Chart of accounts'!A:H,4,FALSE),"")</f>
        <v>50103040 01 - ECIP - Civilian (734)</v>
      </c>
      <c r="M669" s="361">
        <v>67</v>
      </c>
      <c r="N669" s="355" t="s">
        <v>768</v>
      </c>
      <c r="O669" s="355" t="s">
        <v>1113</v>
      </c>
      <c r="P669" s="355"/>
      <c r="Q669" s="363">
        <v>100</v>
      </c>
      <c r="R669" s="319">
        <f t="shared" si="11"/>
        <v>-100</v>
      </c>
      <c r="S669" s="319" t="str">
        <f>VLOOKUP(H669,'Fund Utilization Report'!$A$4:$U$1800,13,FALSE)</f>
        <v>PS</v>
      </c>
      <c r="T669" s="319" t="str">
        <f>VLOOKUP(H669,'Fund Utilization Report'!$A$4:$U$1800,2,FALSE)</f>
        <v>GAA</v>
      </c>
      <c r="U669" s="319" t="str">
        <f>VLOOKUP(H669,'Fund Utilization Report'!$A$4:$U$1800,3,FALSE)</f>
        <v>FY2021, RA11518</v>
      </c>
      <c r="V669" s="319" t="str">
        <f>VLOOKUP(H669,'Fund Utilization Report'!$A$4:$U$1800,4,FALSE)</f>
        <v>OO4.1(FTL)</v>
      </c>
      <c r="W669" s="319" t="str">
        <f>VLOOKUP(H669,'Fund Utilization Report'!$A$4:$U$1800,5,FALSE)</f>
        <v>01101101</v>
      </c>
      <c r="X669" s="319" t="str">
        <f>VLOOKUP(H669,'Fund Utilization Report'!$A$4:$U$1800,6,FALSE)</f>
        <v>GOP</v>
      </c>
      <c r="Y669" s="320" t="str">
        <f>VLOOKUP(H669,'Fund Utilization Report'!$A$4:$U$1800,7,FALSE)</f>
        <v>PS</v>
      </c>
      <c r="Z669" s="321">
        <f>VLOOKUP(H669,'Fund Utilization Report'!$A$4:$U$1800,8,FALSE)</f>
        <v>5010000000</v>
      </c>
      <c r="AA669" s="319" t="str">
        <f>VLOOKUP(H669,'Fund Utilization Report'!$A$4:$U$1800,14,FALSE)</f>
        <v>340100100002000</v>
      </c>
      <c r="AB669" s="349" t="str">
        <f>VLOOKUP(H669,'Fund Utilization Report'!$A$4:$U$1800,15,FALSE)</f>
        <v>Monitoring and Enforcement of FTL including consumer complaints handling</v>
      </c>
      <c r="AC669" s="39"/>
      <c r="AD669" s="34"/>
      <c r="AE669" s="39"/>
      <c r="AF669" s="51"/>
      <c r="AG669" s="40"/>
      <c r="AH669" s="40"/>
    </row>
    <row r="670" spans="1:34" s="32" customFormat="1" ht="27.6">
      <c r="A670" s="338" t="s">
        <v>942</v>
      </c>
      <c r="B670" s="338" t="s">
        <v>945</v>
      </c>
      <c r="C670" s="358">
        <v>44238</v>
      </c>
      <c r="D670" s="351" t="s">
        <v>1028</v>
      </c>
      <c r="E670" s="352" t="s">
        <v>1162</v>
      </c>
      <c r="F670" s="338">
        <v>0.49027777777777781</v>
      </c>
      <c r="G670" s="338">
        <v>0.4916666666666667</v>
      </c>
      <c r="H670" s="338" t="s">
        <v>999</v>
      </c>
      <c r="I670" s="353">
        <v>706</v>
      </c>
      <c r="J670" s="338" t="str">
        <f>IFERROR(VLOOKUP(I670,'Chart of accounts'!A:H,2,FALSE),"")</f>
        <v>50101020 00</v>
      </c>
      <c r="K670" s="338" t="str">
        <f>IFERROR(VLOOKUP(I670,'Chart of accounts'!A:H,3,FALSE),"")</f>
        <v>Basic Salary - Contractual</v>
      </c>
      <c r="L670" s="338" t="str">
        <f>IFERROR(VLOOKUP(I670,'Chart of accounts'!A:H,4,FALSE),"")</f>
        <v>50101020 00 - Basic Salary - Contractual (706)</v>
      </c>
      <c r="M670" s="361">
        <v>67</v>
      </c>
      <c r="N670" s="355" t="s">
        <v>768</v>
      </c>
      <c r="O670" s="355" t="s">
        <v>1125</v>
      </c>
      <c r="P670" s="355"/>
      <c r="Q670" s="363">
        <v>77256</v>
      </c>
      <c r="R670" s="319">
        <f t="shared" si="11"/>
        <v>-77256</v>
      </c>
      <c r="S670" s="319" t="str">
        <f>VLOOKUP(H670,'Fund Utilization Report'!$A$4:$U$1800,13,FALSE)</f>
        <v>PS</v>
      </c>
      <c r="T670" s="319" t="str">
        <f>VLOOKUP(H670,'Fund Utilization Report'!$A$4:$U$1800,2,FALSE)</f>
        <v>SAA15</v>
      </c>
      <c r="U670" s="319" t="str">
        <f>VLOOKUP(H670,'Fund Utilization Report'!$A$4:$U$1800,3,FALSE)</f>
        <v>2021-01-0015</v>
      </c>
      <c r="V670" s="319" t="str">
        <f>VLOOKUP(H670,'Fund Utilization Report'!$A$4:$U$1800,4,FALSE)</f>
        <v>CARP</v>
      </c>
      <c r="W670" s="319" t="str">
        <f>VLOOKUP(H670,'Fund Utilization Report'!$A$4:$U$1800,5,FALSE)</f>
        <v>01101101</v>
      </c>
      <c r="X670" s="319" t="str">
        <f>VLOOKUP(H670,'Fund Utilization Report'!$A$4:$U$1800,6,FALSE)</f>
        <v>GOP</v>
      </c>
      <c r="Y670" s="320">
        <f>VLOOKUP(H670,'Fund Utilization Report'!$A$4:$U$1800,7,FALSE)</f>
        <v>706</v>
      </c>
      <c r="Z670" s="321" t="str">
        <f>VLOOKUP(H670,'Fund Utilization Report'!$A$4:$U$1800,8,FALSE)</f>
        <v>50101020 00</v>
      </c>
      <c r="AA670" s="319" t="str">
        <f>VLOOKUP(H670,'Fund Utilization Report'!$A$4:$U$1800,14,FALSE)</f>
        <v>330100100003000</v>
      </c>
      <c r="AB670" s="349" t="str">
        <f>VLOOKUP(H670,'Fund Utilization Report'!$A$4:$U$1800,15,FALSE)</f>
        <v>MSME Development Program : Program Beneficiaries Development Component of the Comprehensive Agrarian Reform Program</v>
      </c>
      <c r="AC670" s="39"/>
      <c r="AD670" s="34"/>
      <c r="AE670" s="39"/>
      <c r="AF670" s="51"/>
      <c r="AG670" s="40"/>
      <c r="AH670" s="40"/>
    </row>
    <row r="671" spans="1:34" s="32" customFormat="1" ht="27.6">
      <c r="A671" s="338" t="s">
        <v>942</v>
      </c>
      <c r="B671" s="338" t="s">
        <v>945</v>
      </c>
      <c r="C671" s="358">
        <v>44238</v>
      </c>
      <c r="D671" s="351" t="s">
        <v>1028</v>
      </c>
      <c r="E671" s="352" t="s">
        <v>1162</v>
      </c>
      <c r="F671" s="338">
        <v>0.49027777777777781</v>
      </c>
      <c r="G671" s="338">
        <v>0.4916666666666667</v>
      </c>
      <c r="H671" s="338" t="s">
        <v>999</v>
      </c>
      <c r="I671" s="353">
        <v>711</v>
      </c>
      <c r="J671" s="338" t="str">
        <f>IFERROR(VLOOKUP(I671,'Chart of accounts'!A:H,2,FALSE),"")</f>
        <v>50102010 01</v>
      </c>
      <c r="K671" s="338" t="str">
        <f>IFERROR(VLOOKUP(I671,'Chart of accounts'!A:H,3,FALSE),"")</f>
        <v>PERA - Civilian</v>
      </c>
      <c r="L671" s="338" t="str">
        <f>IFERROR(VLOOKUP(I671,'Chart of accounts'!A:H,4,FALSE),"")</f>
        <v>50102010 01 - PERA - Civilian (711)</v>
      </c>
      <c r="M671" s="361">
        <v>67</v>
      </c>
      <c r="N671" s="355" t="s">
        <v>768</v>
      </c>
      <c r="O671" s="355" t="s">
        <v>1125</v>
      </c>
      <c r="P671" s="355"/>
      <c r="Q671" s="363">
        <v>4000</v>
      </c>
      <c r="R671" s="319">
        <f t="shared" si="11"/>
        <v>-4000</v>
      </c>
      <c r="S671" s="319" t="str">
        <f>VLOOKUP(H671,'Fund Utilization Report'!$A$4:$U$1800,13,FALSE)</f>
        <v>PS</v>
      </c>
      <c r="T671" s="319" t="str">
        <f>VLOOKUP(H671,'Fund Utilization Report'!$A$4:$U$1800,2,FALSE)</f>
        <v>SAA15</v>
      </c>
      <c r="U671" s="319" t="str">
        <f>VLOOKUP(H671,'Fund Utilization Report'!$A$4:$U$1800,3,FALSE)</f>
        <v>2021-01-0015</v>
      </c>
      <c r="V671" s="319" t="str">
        <f>VLOOKUP(H671,'Fund Utilization Report'!$A$4:$U$1800,4,FALSE)</f>
        <v>CARP</v>
      </c>
      <c r="W671" s="319" t="str">
        <f>VLOOKUP(H671,'Fund Utilization Report'!$A$4:$U$1800,5,FALSE)</f>
        <v>01101101</v>
      </c>
      <c r="X671" s="319" t="str">
        <f>VLOOKUP(H671,'Fund Utilization Report'!$A$4:$U$1800,6,FALSE)</f>
        <v>GOP</v>
      </c>
      <c r="Y671" s="320">
        <f>VLOOKUP(H671,'Fund Utilization Report'!$A$4:$U$1800,7,FALSE)</f>
        <v>706</v>
      </c>
      <c r="Z671" s="321" t="str">
        <f>VLOOKUP(H671,'Fund Utilization Report'!$A$4:$U$1800,8,FALSE)</f>
        <v>50101020 00</v>
      </c>
      <c r="AA671" s="319" t="str">
        <f>VLOOKUP(H671,'Fund Utilization Report'!$A$4:$U$1800,14,FALSE)</f>
        <v>330100100003000</v>
      </c>
      <c r="AB671" s="349" t="str">
        <f>VLOOKUP(H671,'Fund Utilization Report'!$A$4:$U$1800,15,FALSE)</f>
        <v>MSME Development Program : Program Beneficiaries Development Component of the Comprehensive Agrarian Reform Program</v>
      </c>
      <c r="AC671" s="39"/>
      <c r="AD671" s="34"/>
      <c r="AE671" s="39"/>
      <c r="AF671" s="51"/>
      <c r="AG671" s="40"/>
      <c r="AH671" s="40"/>
    </row>
    <row r="672" spans="1:34" s="32" customFormat="1" ht="27.6">
      <c r="A672" s="338" t="s">
        <v>942</v>
      </c>
      <c r="B672" s="338" t="s">
        <v>945</v>
      </c>
      <c r="C672" s="358">
        <v>44238</v>
      </c>
      <c r="D672" s="351" t="s">
        <v>1028</v>
      </c>
      <c r="E672" s="352" t="s">
        <v>1162</v>
      </c>
      <c r="F672" s="338">
        <v>0.49027777777777781</v>
      </c>
      <c r="G672" s="338">
        <v>0.4916666666666667</v>
      </c>
      <c r="H672" s="338" t="s">
        <v>999</v>
      </c>
      <c r="I672" s="353">
        <v>731</v>
      </c>
      <c r="J672" s="338" t="str">
        <f>IFERROR(VLOOKUP(I672,'Chart of accounts'!A:H,2,FALSE),"")</f>
        <v>50103010 00</v>
      </c>
      <c r="K672" s="338" t="str">
        <f>IFERROR(VLOOKUP(I672,'Chart of accounts'!A:H,3,FALSE),"")</f>
        <v>Retirement and Life Insurance Premiums</v>
      </c>
      <c r="L672" s="338" t="str">
        <f>IFERROR(VLOOKUP(I672,'Chart of accounts'!A:H,4,FALSE),"")</f>
        <v>50103010 00 - Retirement and Life Insurance Premiums (731)</v>
      </c>
      <c r="M672" s="361">
        <v>67</v>
      </c>
      <c r="N672" s="355" t="s">
        <v>768</v>
      </c>
      <c r="O672" s="355" t="s">
        <v>1125</v>
      </c>
      <c r="P672" s="355"/>
      <c r="Q672" s="363">
        <v>9270.7199999999993</v>
      </c>
      <c r="R672" s="319">
        <f t="shared" si="11"/>
        <v>-9270.7199999999993</v>
      </c>
      <c r="S672" s="319" t="str">
        <f>VLOOKUP(H672,'Fund Utilization Report'!$A$4:$U$1800,13,FALSE)</f>
        <v>PS</v>
      </c>
      <c r="T672" s="319" t="str">
        <f>VLOOKUP(H672,'Fund Utilization Report'!$A$4:$U$1800,2,FALSE)</f>
        <v>SAA15</v>
      </c>
      <c r="U672" s="319" t="str">
        <f>VLOOKUP(H672,'Fund Utilization Report'!$A$4:$U$1800,3,FALSE)</f>
        <v>2021-01-0015</v>
      </c>
      <c r="V672" s="319" t="str">
        <f>VLOOKUP(H672,'Fund Utilization Report'!$A$4:$U$1800,4,FALSE)</f>
        <v>CARP</v>
      </c>
      <c r="W672" s="319" t="str">
        <f>VLOOKUP(H672,'Fund Utilization Report'!$A$4:$U$1800,5,FALSE)</f>
        <v>01101101</v>
      </c>
      <c r="X672" s="319" t="str">
        <f>VLOOKUP(H672,'Fund Utilization Report'!$A$4:$U$1800,6,FALSE)</f>
        <v>GOP</v>
      </c>
      <c r="Y672" s="320">
        <f>VLOOKUP(H672,'Fund Utilization Report'!$A$4:$U$1800,7,FALSE)</f>
        <v>706</v>
      </c>
      <c r="Z672" s="321" t="str">
        <f>VLOOKUP(H672,'Fund Utilization Report'!$A$4:$U$1800,8,FALSE)</f>
        <v>50101020 00</v>
      </c>
      <c r="AA672" s="319" t="str">
        <f>VLOOKUP(H672,'Fund Utilization Report'!$A$4:$U$1800,14,FALSE)</f>
        <v>330100100003000</v>
      </c>
      <c r="AB672" s="349" t="str">
        <f>VLOOKUP(H672,'Fund Utilization Report'!$A$4:$U$1800,15,FALSE)</f>
        <v>MSME Development Program : Program Beneficiaries Development Component of the Comprehensive Agrarian Reform Program</v>
      </c>
      <c r="AC672" s="39"/>
      <c r="AD672" s="34"/>
      <c r="AE672" s="39"/>
      <c r="AF672" s="51"/>
      <c r="AG672" s="40"/>
      <c r="AH672" s="40"/>
    </row>
    <row r="673" spans="1:34" s="32" customFormat="1" ht="27.6">
      <c r="A673" s="338" t="s">
        <v>942</v>
      </c>
      <c r="B673" s="338" t="s">
        <v>945</v>
      </c>
      <c r="C673" s="358">
        <v>44238</v>
      </c>
      <c r="D673" s="351" t="s">
        <v>1028</v>
      </c>
      <c r="E673" s="352" t="s">
        <v>1162</v>
      </c>
      <c r="F673" s="338">
        <v>0.49027777777777781</v>
      </c>
      <c r="G673" s="338">
        <v>0.4916666666666667</v>
      </c>
      <c r="H673" s="338" t="s">
        <v>999</v>
      </c>
      <c r="I673" s="353">
        <v>732</v>
      </c>
      <c r="J673" s="338" t="str">
        <f>IFERROR(VLOOKUP(I673,'Chart of accounts'!A:H,2,FALSE),"")</f>
        <v>50103020 01</v>
      </c>
      <c r="K673" s="338" t="str">
        <f>IFERROR(VLOOKUP(I673,'Chart of accounts'!A:H,3,FALSE),"")</f>
        <v>Pag-IBIG - Civilian</v>
      </c>
      <c r="L673" s="338" t="str">
        <f>IFERROR(VLOOKUP(I673,'Chart of accounts'!A:H,4,FALSE),"")</f>
        <v>50103020 01 - Pag-IBIG - Civilian (732)</v>
      </c>
      <c r="M673" s="361">
        <v>67</v>
      </c>
      <c r="N673" s="355" t="s">
        <v>768</v>
      </c>
      <c r="O673" s="355" t="s">
        <v>1125</v>
      </c>
      <c r="P673" s="355"/>
      <c r="Q673" s="363">
        <v>200</v>
      </c>
      <c r="R673" s="319">
        <f t="shared" si="11"/>
        <v>-200</v>
      </c>
      <c r="S673" s="319" t="str">
        <f>VLOOKUP(H673,'Fund Utilization Report'!$A$4:$U$1800,13,FALSE)</f>
        <v>PS</v>
      </c>
      <c r="T673" s="319" t="str">
        <f>VLOOKUP(H673,'Fund Utilization Report'!$A$4:$U$1800,2,FALSE)</f>
        <v>SAA15</v>
      </c>
      <c r="U673" s="319" t="str">
        <f>VLOOKUP(H673,'Fund Utilization Report'!$A$4:$U$1800,3,FALSE)</f>
        <v>2021-01-0015</v>
      </c>
      <c r="V673" s="319" t="str">
        <f>VLOOKUP(H673,'Fund Utilization Report'!$A$4:$U$1800,4,FALSE)</f>
        <v>CARP</v>
      </c>
      <c r="W673" s="319" t="str">
        <f>VLOOKUP(H673,'Fund Utilization Report'!$A$4:$U$1800,5,FALSE)</f>
        <v>01101101</v>
      </c>
      <c r="X673" s="319" t="str">
        <f>VLOOKUP(H673,'Fund Utilization Report'!$A$4:$U$1800,6,FALSE)</f>
        <v>GOP</v>
      </c>
      <c r="Y673" s="320">
        <f>VLOOKUP(H673,'Fund Utilization Report'!$A$4:$U$1800,7,FALSE)</f>
        <v>706</v>
      </c>
      <c r="Z673" s="321" t="str">
        <f>VLOOKUP(H673,'Fund Utilization Report'!$A$4:$U$1800,8,FALSE)</f>
        <v>50101020 00</v>
      </c>
      <c r="AA673" s="319" t="str">
        <f>VLOOKUP(H673,'Fund Utilization Report'!$A$4:$U$1800,14,FALSE)</f>
        <v>330100100003000</v>
      </c>
      <c r="AB673" s="349" t="str">
        <f>VLOOKUP(H673,'Fund Utilization Report'!$A$4:$U$1800,15,FALSE)</f>
        <v>MSME Development Program : Program Beneficiaries Development Component of the Comprehensive Agrarian Reform Program</v>
      </c>
      <c r="AC673" s="39"/>
      <c r="AD673" s="34"/>
      <c r="AE673" s="39"/>
      <c r="AF673" s="51"/>
      <c r="AG673" s="40"/>
      <c r="AH673" s="40"/>
    </row>
    <row r="674" spans="1:34" s="32" customFormat="1" ht="27.6">
      <c r="A674" s="338" t="s">
        <v>942</v>
      </c>
      <c r="B674" s="338" t="s">
        <v>945</v>
      </c>
      <c r="C674" s="358">
        <v>44238</v>
      </c>
      <c r="D674" s="351" t="s">
        <v>1028</v>
      </c>
      <c r="E674" s="352" t="s">
        <v>1162</v>
      </c>
      <c r="F674" s="338">
        <v>0.49027777777777781</v>
      </c>
      <c r="G674" s="338">
        <v>0.4916666666666667</v>
      </c>
      <c r="H674" s="338" t="s">
        <v>999</v>
      </c>
      <c r="I674" s="353">
        <v>733</v>
      </c>
      <c r="J674" s="338" t="str">
        <f>IFERROR(VLOOKUP(I674,'Chart of accounts'!A:H,2,FALSE),"")</f>
        <v>50103030 01</v>
      </c>
      <c r="K674" s="338" t="str">
        <f>IFERROR(VLOOKUP(I674,'Chart of accounts'!A:H,3,FALSE),"")</f>
        <v>PhilHealth - Civilian</v>
      </c>
      <c r="L674" s="338" t="str">
        <f>IFERROR(VLOOKUP(I674,'Chart of accounts'!A:H,4,FALSE),"")</f>
        <v>50103030 01 - PhilHealth - Civilian (733)</v>
      </c>
      <c r="M674" s="361">
        <v>67</v>
      </c>
      <c r="N674" s="355" t="s">
        <v>768</v>
      </c>
      <c r="O674" s="355" t="s">
        <v>1125</v>
      </c>
      <c r="P674" s="355"/>
      <c r="Q674" s="363">
        <v>1158.8499999999999</v>
      </c>
      <c r="R674" s="319">
        <f t="shared" si="11"/>
        <v>-1158.8499999999999</v>
      </c>
      <c r="S674" s="319" t="str">
        <f>VLOOKUP(H674,'Fund Utilization Report'!$A$4:$U$1800,13,FALSE)</f>
        <v>PS</v>
      </c>
      <c r="T674" s="319" t="str">
        <f>VLOOKUP(H674,'Fund Utilization Report'!$A$4:$U$1800,2,FALSE)</f>
        <v>SAA15</v>
      </c>
      <c r="U674" s="319" t="str">
        <f>VLOOKUP(H674,'Fund Utilization Report'!$A$4:$U$1800,3,FALSE)</f>
        <v>2021-01-0015</v>
      </c>
      <c r="V674" s="319" t="str">
        <f>VLOOKUP(H674,'Fund Utilization Report'!$A$4:$U$1800,4,FALSE)</f>
        <v>CARP</v>
      </c>
      <c r="W674" s="319" t="str">
        <f>VLOOKUP(H674,'Fund Utilization Report'!$A$4:$U$1800,5,FALSE)</f>
        <v>01101101</v>
      </c>
      <c r="X674" s="319" t="str">
        <f>VLOOKUP(H674,'Fund Utilization Report'!$A$4:$U$1800,6,FALSE)</f>
        <v>GOP</v>
      </c>
      <c r="Y674" s="320">
        <f>VLOOKUP(H674,'Fund Utilization Report'!$A$4:$U$1800,7,FALSE)</f>
        <v>706</v>
      </c>
      <c r="Z674" s="321" t="str">
        <f>VLOOKUP(H674,'Fund Utilization Report'!$A$4:$U$1800,8,FALSE)</f>
        <v>50101020 00</v>
      </c>
      <c r="AA674" s="319" t="str">
        <f>VLOOKUP(H674,'Fund Utilization Report'!$A$4:$U$1800,14,FALSE)</f>
        <v>330100100003000</v>
      </c>
      <c r="AB674" s="349" t="str">
        <f>VLOOKUP(H674,'Fund Utilization Report'!$A$4:$U$1800,15,FALSE)</f>
        <v>MSME Development Program : Program Beneficiaries Development Component of the Comprehensive Agrarian Reform Program</v>
      </c>
      <c r="AC674" s="39"/>
      <c r="AD674" s="34"/>
      <c r="AE674" s="39"/>
      <c r="AF674" s="51"/>
      <c r="AG674" s="40"/>
      <c r="AH674" s="40"/>
    </row>
    <row r="675" spans="1:34" s="32" customFormat="1" ht="27.6">
      <c r="A675" s="338" t="s">
        <v>942</v>
      </c>
      <c r="B675" s="338" t="s">
        <v>945</v>
      </c>
      <c r="C675" s="358">
        <v>44238</v>
      </c>
      <c r="D675" s="351" t="s">
        <v>1028</v>
      </c>
      <c r="E675" s="352" t="s">
        <v>1162</v>
      </c>
      <c r="F675" s="338">
        <v>0.49027777777777781</v>
      </c>
      <c r="G675" s="338">
        <v>0.4916666666666667</v>
      </c>
      <c r="H675" s="338" t="s">
        <v>999</v>
      </c>
      <c r="I675" s="353">
        <v>734</v>
      </c>
      <c r="J675" s="338" t="str">
        <f>IFERROR(VLOOKUP(I675,'Chart of accounts'!A:H,2,FALSE),"")</f>
        <v>50103040 01</v>
      </c>
      <c r="K675" s="338" t="str">
        <f>IFERROR(VLOOKUP(I675,'Chart of accounts'!A:H,3,FALSE),"")</f>
        <v>ECIP - Civilian</v>
      </c>
      <c r="L675" s="338" t="str">
        <f>IFERROR(VLOOKUP(I675,'Chart of accounts'!A:H,4,FALSE),"")</f>
        <v>50103040 01 - ECIP - Civilian (734)</v>
      </c>
      <c r="M675" s="361">
        <v>67</v>
      </c>
      <c r="N675" s="355" t="s">
        <v>768</v>
      </c>
      <c r="O675" s="355" t="s">
        <v>1125</v>
      </c>
      <c r="P675" s="355"/>
      <c r="Q675" s="363">
        <v>200</v>
      </c>
      <c r="R675" s="319">
        <f t="shared" si="11"/>
        <v>-200</v>
      </c>
      <c r="S675" s="319" t="str">
        <f>VLOOKUP(H675,'Fund Utilization Report'!$A$4:$U$1800,13,FALSE)</f>
        <v>PS</v>
      </c>
      <c r="T675" s="319" t="str">
        <f>VLOOKUP(H675,'Fund Utilization Report'!$A$4:$U$1800,2,FALSE)</f>
        <v>SAA15</v>
      </c>
      <c r="U675" s="319" t="str">
        <f>VLOOKUP(H675,'Fund Utilization Report'!$A$4:$U$1800,3,FALSE)</f>
        <v>2021-01-0015</v>
      </c>
      <c r="V675" s="319" t="str">
        <f>VLOOKUP(H675,'Fund Utilization Report'!$A$4:$U$1800,4,FALSE)</f>
        <v>CARP</v>
      </c>
      <c r="W675" s="319" t="str">
        <f>VLOOKUP(H675,'Fund Utilization Report'!$A$4:$U$1800,5,FALSE)</f>
        <v>01101101</v>
      </c>
      <c r="X675" s="319" t="str">
        <f>VLOOKUP(H675,'Fund Utilization Report'!$A$4:$U$1800,6,FALSE)</f>
        <v>GOP</v>
      </c>
      <c r="Y675" s="320">
        <f>VLOOKUP(H675,'Fund Utilization Report'!$A$4:$U$1800,7,FALSE)</f>
        <v>706</v>
      </c>
      <c r="Z675" s="321" t="str">
        <f>VLOOKUP(H675,'Fund Utilization Report'!$A$4:$U$1800,8,FALSE)</f>
        <v>50101020 00</v>
      </c>
      <c r="AA675" s="319" t="str">
        <f>VLOOKUP(H675,'Fund Utilization Report'!$A$4:$U$1800,14,FALSE)</f>
        <v>330100100003000</v>
      </c>
      <c r="AB675" s="349" t="str">
        <f>VLOOKUP(H675,'Fund Utilization Report'!$A$4:$U$1800,15,FALSE)</f>
        <v>MSME Development Program : Program Beneficiaries Development Component of the Comprehensive Agrarian Reform Program</v>
      </c>
      <c r="AC675" s="39"/>
      <c r="AD675" s="34"/>
      <c r="AE675" s="39"/>
      <c r="AF675" s="51"/>
      <c r="AG675" s="40"/>
      <c r="AH675" s="40"/>
    </row>
    <row r="676" spans="1:34" s="32" customFormat="1" ht="27.6">
      <c r="A676" s="338" t="s">
        <v>942</v>
      </c>
      <c r="B676" s="338" t="s">
        <v>945</v>
      </c>
      <c r="C676" s="358">
        <v>44238</v>
      </c>
      <c r="D676" s="351" t="s">
        <v>1028</v>
      </c>
      <c r="E676" s="352" t="s">
        <v>1163</v>
      </c>
      <c r="F676" s="338">
        <v>0.4916666666666667</v>
      </c>
      <c r="G676" s="338">
        <v>0.49236111111111108</v>
      </c>
      <c r="H676" s="338" t="s">
        <v>999</v>
      </c>
      <c r="I676" s="353">
        <v>706</v>
      </c>
      <c r="J676" s="338" t="str">
        <f>IFERROR(VLOOKUP(I676,'Chart of accounts'!A:H,2,FALSE),"")</f>
        <v>50101020 00</v>
      </c>
      <c r="K676" s="338" t="str">
        <f>IFERROR(VLOOKUP(I676,'Chart of accounts'!A:H,3,FALSE),"")</f>
        <v>Basic Salary - Contractual</v>
      </c>
      <c r="L676" s="338" t="str">
        <f>IFERROR(VLOOKUP(I676,'Chart of accounts'!A:H,4,FALSE),"")</f>
        <v>50101020 00 - Basic Salary - Contractual (706)</v>
      </c>
      <c r="M676" s="361">
        <v>3</v>
      </c>
      <c r="N676" s="355" t="s">
        <v>867</v>
      </c>
      <c r="O676" s="355" t="s">
        <v>1125</v>
      </c>
      <c r="P676" s="355"/>
      <c r="Q676" s="363">
        <v>33575</v>
      </c>
      <c r="R676" s="319">
        <f t="shared" ref="R676:R705" si="12">P676-Q676</f>
        <v>-33575</v>
      </c>
      <c r="S676" s="319" t="str">
        <f>VLOOKUP(H676,'Fund Utilization Report'!$A$4:$U$1800,13,FALSE)</f>
        <v>PS</v>
      </c>
      <c r="T676" s="319" t="str">
        <f>VLOOKUP(H676,'Fund Utilization Report'!$A$4:$U$1800,2,FALSE)</f>
        <v>SAA15</v>
      </c>
      <c r="U676" s="319" t="str">
        <f>VLOOKUP(H676,'Fund Utilization Report'!$A$4:$U$1800,3,FALSE)</f>
        <v>2021-01-0015</v>
      </c>
      <c r="V676" s="319" t="str">
        <f>VLOOKUP(H676,'Fund Utilization Report'!$A$4:$U$1800,4,FALSE)</f>
        <v>CARP</v>
      </c>
      <c r="W676" s="319" t="str">
        <f>VLOOKUP(H676,'Fund Utilization Report'!$A$4:$U$1800,5,FALSE)</f>
        <v>01101101</v>
      </c>
      <c r="X676" s="319" t="str">
        <f>VLOOKUP(H676,'Fund Utilization Report'!$A$4:$U$1800,6,FALSE)</f>
        <v>GOP</v>
      </c>
      <c r="Y676" s="320">
        <f>VLOOKUP(H676,'Fund Utilization Report'!$A$4:$U$1800,7,FALSE)</f>
        <v>706</v>
      </c>
      <c r="Z676" s="321" t="str">
        <f>VLOOKUP(H676,'Fund Utilization Report'!$A$4:$U$1800,8,FALSE)</f>
        <v>50101020 00</v>
      </c>
      <c r="AA676" s="319" t="str">
        <f>VLOOKUP(H676,'Fund Utilization Report'!$A$4:$U$1800,14,FALSE)</f>
        <v>330100100003000</v>
      </c>
      <c r="AB676" s="349" t="str">
        <f>VLOOKUP(H676,'Fund Utilization Report'!$A$4:$U$1800,15,FALSE)</f>
        <v>MSME Development Program : Program Beneficiaries Development Component of the Comprehensive Agrarian Reform Program</v>
      </c>
      <c r="AC676" s="39"/>
      <c r="AD676" s="34"/>
      <c r="AE676" s="39"/>
      <c r="AF676" s="51"/>
      <c r="AG676" s="40"/>
      <c r="AH676" s="40"/>
    </row>
    <row r="677" spans="1:34" s="32" customFormat="1" ht="27.6">
      <c r="A677" s="338" t="s">
        <v>942</v>
      </c>
      <c r="B677" s="338" t="s">
        <v>945</v>
      </c>
      <c r="C677" s="358">
        <v>44238</v>
      </c>
      <c r="D677" s="351" t="s">
        <v>1028</v>
      </c>
      <c r="E677" s="352" t="s">
        <v>1163</v>
      </c>
      <c r="F677" s="338">
        <v>0.4916666666666667</v>
      </c>
      <c r="G677" s="338">
        <v>0.49236111111111108</v>
      </c>
      <c r="H677" s="338" t="s">
        <v>999</v>
      </c>
      <c r="I677" s="353">
        <v>711</v>
      </c>
      <c r="J677" s="338" t="str">
        <f>IFERROR(VLOOKUP(I677,'Chart of accounts'!A:H,2,FALSE),"")</f>
        <v>50102010 01</v>
      </c>
      <c r="K677" s="338" t="str">
        <f>IFERROR(VLOOKUP(I677,'Chart of accounts'!A:H,3,FALSE),"")</f>
        <v>PERA - Civilian</v>
      </c>
      <c r="L677" s="338" t="str">
        <f>IFERROR(VLOOKUP(I677,'Chart of accounts'!A:H,4,FALSE),"")</f>
        <v>50102010 01 - PERA - Civilian (711)</v>
      </c>
      <c r="M677" s="361">
        <v>3</v>
      </c>
      <c r="N677" s="355" t="s">
        <v>867</v>
      </c>
      <c r="O677" s="355" t="s">
        <v>1125</v>
      </c>
      <c r="P677" s="355"/>
      <c r="Q677" s="363">
        <v>2000</v>
      </c>
      <c r="R677" s="319">
        <f t="shared" si="12"/>
        <v>-2000</v>
      </c>
      <c r="S677" s="319" t="str">
        <f>VLOOKUP(H677,'Fund Utilization Report'!$A$4:$U$1800,13,FALSE)</f>
        <v>PS</v>
      </c>
      <c r="T677" s="319" t="str">
        <f>VLOOKUP(H677,'Fund Utilization Report'!$A$4:$U$1800,2,FALSE)</f>
        <v>SAA15</v>
      </c>
      <c r="U677" s="319" t="str">
        <f>VLOOKUP(H677,'Fund Utilization Report'!$A$4:$U$1800,3,FALSE)</f>
        <v>2021-01-0015</v>
      </c>
      <c r="V677" s="319" t="str">
        <f>VLOOKUP(H677,'Fund Utilization Report'!$A$4:$U$1800,4,FALSE)</f>
        <v>CARP</v>
      </c>
      <c r="W677" s="319" t="str">
        <f>VLOOKUP(H677,'Fund Utilization Report'!$A$4:$U$1800,5,FALSE)</f>
        <v>01101101</v>
      </c>
      <c r="X677" s="319" t="str">
        <f>VLOOKUP(H677,'Fund Utilization Report'!$A$4:$U$1800,6,FALSE)</f>
        <v>GOP</v>
      </c>
      <c r="Y677" s="320">
        <f>VLOOKUP(H677,'Fund Utilization Report'!$A$4:$U$1800,7,FALSE)</f>
        <v>706</v>
      </c>
      <c r="Z677" s="321" t="str">
        <f>VLOOKUP(H677,'Fund Utilization Report'!$A$4:$U$1800,8,FALSE)</f>
        <v>50101020 00</v>
      </c>
      <c r="AA677" s="319" t="str">
        <f>VLOOKUP(H677,'Fund Utilization Report'!$A$4:$U$1800,14,FALSE)</f>
        <v>330100100003000</v>
      </c>
      <c r="AB677" s="349" t="str">
        <f>VLOOKUP(H677,'Fund Utilization Report'!$A$4:$U$1800,15,FALSE)</f>
        <v>MSME Development Program : Program Beneficiaries Development Component of the Comprehensive Agrarian Reform Program</v>
      </c>
      <c r="AC677" s="39"/>
      <c r="AD677" s="34"/>
      <c r="AE677" s="39"/>
      <c r="AF677" s="51"/>
      <c r="AG677" s="40"/>
      <c r="AH677" s="40"/>
    </row>
    <row r="678" spans="1:34" s="32" customFormat="1" ht="27.6">
      <c r="A678" s="338" t="s">
        <v>942</v>
      </c>
      <c r="B678" s="338" t="s">
        <v>945</v>
      </c>
      <c r="C678" s="358">
        <v>44238</v>
      </c>
      <c r="D678" s="351" t="s">
        <v>1028</v>
      </c>
      <c r="E678" s="352" t="s">
        <v>1163</v>
      </c>
      <c r="F678" s="338">
        <v>0.4916666666666667</v>
      </c>
      <c r="G678" s="338">
        <v>0.49236111111111108</v>
      </c>
      <c r="H678" s="338" t="s">
        <v>999</v>
      </c>
      <c r="I678" s="353">
        <v>731</v>
      </c>
      <c r="J678" s="338" t="str">
        <f>IFERROR(VLOOKUP(I678,'Chart of accounts'!A:H,2,FALSE),"")</f>
        <v>50103010 00</v>
      </c>
      <c r="K678" s="338" t="str">
        <f>IFERROR(VLOOKUP(I678,'Chart of accounts'!A:H,3,FALSE),"")</f>
        <v>Retirement and Life Insurance Premiums</v>
      </c>
      <c r="L678" s="338" t="str">
        <f>IFERROR(VLOOKUP(I678,'Chart of accounts'!A:H,4,FALSE),"")</f>
        <v>50103010 00 - Retirement and Life Insurance Premiums (731)</v>
      </c>
      <c r="M678" s="361">
        <v>3</v>
      </c>
      <c r="N678" s="355" t="s">
        <v>867</v>
      </c>
      <c r="O678" s="355" t="s">
        <v>1125</v>
      </c>
      <c r="P678" s="355"/>
      <c r="Q678" s="363">
        <v>4029</v>
      </c>
      <c r="R678" s="319">
        <f t="shared" si="12"/>
        <v>-4029</v>
      </c>
      <c r="S678" s="319" t="str">
        <f>VLOOKUP(H678,'Fund Utilization Report'!$A$4:$U$1800,13,FALSE)</f>
        <v>PS</v>
      </c>
      <c r="T678" s="319" t="str">
        <f>VLOOKUP(H678,'Fund Utilization Report'!$A$4:$U$1800,2,FALSE)</f>
        <v>SAA15</v>
      </c>
      <c r="U678" s="319" t="str">
        <f>VLOOKUP(H678,'Fund Utilization Report'!$A$4:$U$1800,3,FALSE)</f>
        <v>2021-01-0015</v>
      </c>
      <c r="V678" s="319" t="str">
        <f>VLOOKUP(H678,'Fund Utilization Report'!$A$4:$U$1800,4,FALSE)</f>
        <v>CARP</v>
      </c>
      <c r="W678" s="319" t="str">
        <f>VLOOKUP(H678,'Fund Utilization Report'!$A$4:$U$1800,5,FALSE)</f>
        <v>01101101</v>
      </c>
      <c r="X678" s="319" t="str">
        <f>VLOOKUP(H678,'Fund Utilization Report'!$A$4:$U$1800,6,FALSE)</f>
        <v>GOP</v>
      </c>
      <c r="Y678" s="320">
        <f>VLOOKUP(H678,'Fund Utilization Report'!$A$4:$U$1800,7,FALSE)</f>
        <v>706</v>
      </c>
      <c r="Z678" s="321" t="str">
        <f>VLOOKUP(H678,'Fund Utilization Report'!$A$4:$U$1800,8,FALSE)</f>
        <v>50101020 00</v>
      </c>
      <c r="AA678" s="319" t="str">
        <f>VLOOKUP(H678,'Fund Utilization Report'!$A$4:$U$1800,14,FALSE)</f>
        <v>330100100003000</v>
      </c>
      <c r="AB678" s="349" t="str">
        <f>VLOOKUP(H678,'Fund Utilization Report'!$A$4:$U$1800,15,FALSE)</f>
        <v>MSME Development Program : Program Beneficiaries Development Component of the Comprehensive Agrarian Reform Program</v>
      </c>
      <c r="AC678" s="39"/>
      <c r="AD678" s="34"/>
      <c r="AE678" s="39"/>
      <c r="AF678" s="51"/>
      <c r="AG678" s="40"/>
      <c r="AH678" s="40"/>
    </row>
    <row r="679" spans="1:34" s="32" customFormat="1" ht="27.6">
      <c r="A679" s="338" t="s">
        <v>942</v>
      </c>
      <c r="B679" s="338" t="s">
        <v>945</v>
      </c>
      <c r="C679" s="358">
        <v>44238</v>
      </c>
      <c r="D679" s="351" t="s">
        <v>1028</v>
      </c>
      <c r="E679" s="352" t="s">
        <v>1163</v>
      </c>
      <c r="F679" s="338">
        <v>0.4916666666666667</v>
      </c>
      <c r="G679" s="338">
        <v>0.49236111111111108</v>
      </c>
      <c r="H679" s="338" t="s">
        <v>999</v>
      </c>
      <c r="I679" s="353">
        <v>732</v>
      </c>
      <c r="J679" s="338" t="str">
        <f>IFERROR(VLOOKUP(I679,'Chart of accounts'!A:H,2,FALSE),"")</f>
        <v>50103020 01</v>
      </c>
      <c r="K679" s="338" t="str">
        <f>IFERROR(VLOOKUP(I679,'Chart of accounts'!A:H,3,FALSE),"")</f>
        <v>Pag-IBIG - Civilian</v>
      </c>
      <c r="L679" s="338" t="str">
        <f>IFERROR(VLOOKUP(I679,'Chart of accounts'!A:H,4,FALSE),"")</f>
        <v>50103020 01 - Pag-IBIG - Civilian (732)</v>
      </c>
      <c r="M679" s="361">
        <v>3</v>
      </c>
      <c r="N679" s="355" t="s">
        <v>867</v>
      </c>
      <c r="O679" s="355" t="s">
        <v>1125</v>
      </c>
      <c r="P679" s="355"/>
      <c r="Q679" s="363">
        <v>100</v>
      </c>
      <c r="R679" s="319">
        <f t="shared" si="12"/>
        <v>-100</v>
      </c>
      <c r="S679" s="319" t="str">
        <f>VLOOKUP(H679,'Fund Utilization Report'!$A$4:$U$1800,13,FALSE)</f>
        <v>PS</v>
      </c>
      <c r="T679" s="319" t="str">
        <f>VLOOKUP(H679,'Fund Utilization Report'!$A$4:$U$1800,2,FALSE)</f>
        <v>SAA15</v>
      </c>
      <c r="U679" s="319" t="str">
        <f>VLOOKUP(H679,'Fund Utilization Report'!$A$4:$U$1800,3,FALSE)</f>
        <v>2021-01-0015</v>
      </c>
      <c r="V679" s="319" t="str">
        <f>VLOOKUP(H679,'Fund Utilization Report'!$A$4:$U$1800,4,FALSE)</f>
        <v>CARP</v>
      </c>
      <c r="W679" s="319" t="str">
        <f>VLOOKUP(H679,'Fund Utilization Report'!$A$4:$U$1800,5,FALSE)</f>
        <v>01101101</v>
      </c>
      <c r="X679" s="319" t="str">
        <f>VLOOKUP(H679,'Fund Utilization Report'!$A$4:$U$1800,6,FALSE)</f>
        <v>GOP</v>
      </c>
      <c r="Y679" s="320">
        <f>VLOOKUP(H679,'Fund Utilization Report'!$A$4:$U$1800,7,FALSE)</f>
        <v>706</v>
      </c>
      <c r="Z679" s="321" t="str">
        <f>VLOOKUP(H679,'Fund Utilization Report'!$A$4:$U$1800,8,FALSE)</f>
        <v>50101020 00</v>
      </c>
      <c r="AA679" s="319" t="str">
        <f>VLOOKUP(H679,'Fund Utilization Report'!$A$4:$U$1800,14,FALSE)</f>
        <v>330100100003000</v>
      </c>
      <c r="AB679" s="349" t="str">
        <f>VLOOKUP(H679,'Fund Utilization Report'!$A$4:$U$1800,15,FALSE)</f>
        <v>MSME Development Program : Program Beneficiaries Development Component of the Comprehensive Agrarian Reform Program</v>
      </c>
      <c r="AC679" s="39"/>
      <c r="AD679" s="34"/>
      <c r="AE679" s="39"/>
      <c r="AF679" s="51"/>
      <c r="AG679" s="40"/>
      <c r="AH679" s="40"/>
    </row>
    <row r="680" spans="1:34" s="32" customFormat="1" ht="27.6">
      <c r="A680" s="338" t="s">
        <v>942</v>
      </c>
      <c r="B680" s="338" t="s">
        <v>945</v>
      </c>
      <c r="C680" s="358">
        <v>44238</v>
      </c>
      <c r="D680" s="351" t="s">
        <v>1028</v>
      </c>
      <c r="E680" s="352" t="s">
        <v>1163</v>
      </c>
      <c r="F680" s="338">
        <v>0.4916666666666667</v>
      </c>
      <c r="G680" s="338">
        <v>0.49236111111111108</v>
      </c>
      <c r="H680" s="338" t="s">
        <v>999</v>
      </c>
      <c r="I680" s="353">
        <v>733</v>
      </c>
      <c r="J680" s="338" t="str">
        <f>IFERROR(VLOOKUP(I680,'Chart of accounts'!A:H,2,FALSE),"")</f>
        <v>50103030 01</v>
      </c>
      <c r="K680" s="338" t="str">
        <f>IFERROR(VLOOKUP(I680,'Chart of accounts'!A:H,3,FALSE),"")</f>
        <v>PhilHealth - Civilian</v>
      </c>
      <c r="L680" s="338" t="str">
        <f>IFERROR(VLOOKUP(I680,'Chart of accounts'!A:H,4,FALSE),"")</f>
        <v>50103030 01 - PhilHealth - Civilian (733)</v>
      </c>
      <c r="M680" s="361">
        <v>3</v>
      </c>
      <c r="N680" s="355" t="s">
        <v>867</v>
      </c>
      <c r="O680" s="355" t="s">
        <v>1125</v>
      </c>
      <c r="P680" s="355"/>
      <c r="Q680" s="363">
        <v>503.63</v>
      </c>
      <c r="R680" s="319">
        <f t="shared" si="12"/>
        <v>-503.63</v>
      </c>
      <c r="S680" s="319" t="str">
        <f>VLOOKUP(H680,'Fund Utilization Report'!$A$4:$U$1800,13,FALSE)</f>
        <v>PS</v>
      </c>
      <c r="T680" s="319" t="str">
        <f>VLOOKUP(H680,'Fund Utilization Report'!$A$4:$U$1800,2,FALSE)</f>
        <v>SAA15</v>
      </c>
      <c r="U680" s="319" t="str">
        <f>VLOOKUP(H680,'Fund Utilization Report'!$A$4:$U$1800,3,FALSE)</f>
        <v>2021-01-0015</v>
      </c>
      <c r="V680" s="319" t="str">
        <f>VLOOKUP(H680,'Fund Utilization Report'!$A$4:$U$1800,4,FALSE)</f>
        <v>CARP</v>
      </c>
      <c r="W680" s="319" t="str">
        <f>VLOOKUP(H680,'Fund Utilization Report'!$A$4:$U$1800,5,FALSE)</f>
        <v>01101101</v>
      </c>
      <c r="X680" s="319" t="str">
        <f>VLOOKUP(H680,'Fund Utilization Report'!$A$4:$U$1800,6,FALSE)</f>
        <v>GOP</v>
      </c>
      <c r="Y680" s="320">
        <f>VLOOKUP(H680,'Fund Utilization Report'!$A$4:$U$1800,7,FALSE)</f>
        <v>706</v>
      </c>
      <c r="Z680" s="321" t="str">
        <f>VLOOKUP(H680,'Fund Utilization Report'!$A$4:$U$1800,8,FALSE)</f>
        <v>50101020 00</v>
      </c>
      <c r="AA680" s="319" t="str">
        <f>VLOOKUP(H680,'Fund Utilization Report'!$A$4:$U$1800,14,FALSE)</f>
        <v>330100100003000</v>
      </c>
      <c r="AB680" s="349" t="str">
        <f>VLOOKUP(H680,'Fund Utilization Report'!$A$4:$U$1800,15,FALSE)</f>
        <v>MSME Development Program : Program Beneficiaries Development Component of the Comprehensive Agrarian Reform Program</v>
      </c>
      <c r="AC680" s="39"/>
      <c r="AD680" s="34"/>
      <c r="AE680" s="39"/>
      <c r="AF680" s="51"/>
      <c r="AG680" s="40"/>
      <c r="AH680" s="40"/>
    </row>
    <row r="681" spans="1:34" s="32" customFormat="1" ht="27.6">
      <c r="A681" s="338" t="s">
        <v>942</v>
      </c>
      <c r="B681" s="338" t="s">
        <v>945</v>
      </c>
      <c r="C681" s="358">
        <v>44238</v>
      </c>
      <c r="D681" s="351" t="s">
        <v>1028</v>
      </c>
      <c r="E681" s="352" t="s">
        <v>1163</v>
      </c>
      <c r="F681" s="338">
        <v>0.4916666666666667</v>
      </c>
      <c r="G681" s="338">
        <v>0.49236111111111108</v>
      </c>
      <c r="H681" s="338" t="s">
        <v>999</v>
      </c>
      <c r="I681" s="353">
        <v>734</v>
      </c>
      <c r="J681" s="338" t="str">
        <f>IFERROR(VLOOKUP(I681,'Chart of accounts'!A:H,2,FALSE),"")</f>
        <v>50103040 01</v>
      </c>
      <c r="K681" s="338" t="str">
        <f>IFERROR(VLOOKUP(I681,'Chart of accounts'!A:H,3,FALSE),"")</f>
        <v>ECIP - Civilian</v>
      </c>
      <c r="L681" s="338" t="str">
        <f>IFERROR(VLOOKUP(I681,'Chart of accounts'!A:H,4,FALSE),"")</f>
        <v>50103040 01 - ECIP - Civilian (734)</v>
      </c>
      <c r="M681" s="361">
        <v>3</v>
      </c>
      <c r="N681" s="355" t="s">
        <v>867</v>
      </c>
      <c r="O681" s="355" t="s">
        <v>1125</v>
      </c>
      <c r="P681" s="355"/>
      <c r="Q681" s="363">
        <v>100</v>
      </c>
      <c r="R681" s="319">
        <f t="shared" si="12"/>
        <v>-100</v>
      </c>
      <c r="S681" s="319" t="str">
        <f>VLOOKUP(H681,'Fund Utilization Report'!$A$4:$U$1800,13,FALSE)</f>
        <v>PS</v>
      </c>
      <c r="T681" s="319" t="str">
        <f>VLOOKUP(H681,'Fund Utilization Report'!$A$4:$U$1800,2,FALSE)</f>
        <v>SAA15</v>
      </c>
      <c r="U681" s="319" t="str">
        <f>VLOOKUP(H681,'Fund Utilization Report'!$A$4:$U$1800,3,FALSE)</f>
        <v>2021-01-0015</v>
      </c>
      <c r="V681" s="319" t="str">
        <f>VLOOKUP(H681,'Fund Utilization Report'!$A$4:$U$1800,4,FALSE)</f>
        <v>CARP</v>
      </c>
      <c r="W681" s="319" t="str">
        <f>VLOOKUP(H681,'Fund Utilization Report'!$A$4:$U$1800,5,FALSE)</f>
        <v>01101101</v>
      </c>
      <c r="X681" s="319" t="str">
        <f>VLOOKUP(H681,'Fund Utilization Report'!$A$4:$U$1800,6,FALSE)</f>
        <v>GOP</v>
      </c>
      <c r="Y681" s="320">
        <f>VLOOKUP(H681,'Fund Utilization Report'!$A$4:$U$1800,7,FALSE)</f>
        <v>706</v>
      </c>
      <c r="Z681" s="321" t="str">
        <f>VLOOKUP(H681,'Fund Utilization Report'!$A$4:$U$1800,8,FALSE)</f>
        <v>50101020 00</v>
      </c>
      <c r="AA681" s="319" t="str">
        <f>VLOOKUP(H681,'Fund Utilization Report'!$A$4:$U$1800,14,FALSE)</f>
        <v>330100100003000</v>
      </c>
      <c r="AB681" s="349" t="str">
        <f>VLOOKUP(H681,'Fund Utilization Report'!$A$4:$U$1800,15,FALSE)</f>
        <v>MSME Development Program : Program Beneficiaries Development Component of the Comprehensive Agrarian Reform Program</v>
      </c>
      <c r="AC681" s="39"/>
      <c r="AD681" s="34"/>
      <c r="AE681" s="39"/>
      <c r="AF681" s="51"/>
      <c r="AG681" s="40"/>
      <c r="AH681" s="40"/>
    </row>
    <row r="682" spans="1:34" s="32" customFormat="1" ht="27.6">
      <c r="A682" s="338" t="s">
        <v>942</v>
      </c>
      <c r="B682" s="338" t="s">
        <v>945</v>
      </c>
      <c r="C682" s="358">
        <v>44238</v>
      </c>
      <c r="D682" s="351" t="s">
        <v>1028</v>
      </c>
      <c r="E682" s="352" t="s">
        <v>1164</v>
      </c>
      <c r="F682" s="338">
        <v>0.49236111111111108</v>
      </c>
      <c r="G682" s="338">
        <v>0.49861111111111112</v>
      </c>
      <c r="H682" s="338" t="s">
        <v>960</v>
      </c>
      <c r="I682" s="353">
        <v>701</v>
      </c>
      <c r="J682" s="338" t="str">
        <f>IFERROR(VLOOKUP(I682,'Chart of accounts'!A:H,2,FALSE),"")</f>
        <v>50101010 01</v>
      </c>
      <c r="K682" s="338" t="str">
        <f>IFERROR(VLOOKUP(I682,'Chart of accounts'!A:H,3,FALSE),"")</f>
        <v>Basic Salary - Civilian</v>
      </c>
      <c r="L682" s="338" t="str">
        <f>IFERROR(VLOOKUP(I682,'Chart of accounts'!A:H,4,FALSE),"")</f>
        <v>50101010 01 - Basic Salary - Civilian (701)</v>
      </c>
      <c r="M682" s="361">
        <v>68</v>
      </c>
      <c r="N682" s="355" t="s">
        <v>764</v>
      </c>
      <c r="O682" s="355" t="s">
        <v>1113</v>
      </c>
      <c r="P682" s="355"/>
      <c r="Q682" s="363">
        <v>99206</v>
      </c>
      <c r="R682" s="319">
        <f t="shared" si="12"/>
        <v>-99206</v>
      </c>
      <c r="S682" s="319" t="str">
        <f>VLOOKUP(H682,'Fund Utilization Report'!$A$4:$U$1800,13,FALSE)</f>
        <v>PS</v>
      </c>
      <c r="T682" s="319" t="str">
        <f>VLOOKUP(H682,'Fund Utilization Report'!$A$4:$U$1800,2,FALSE)</f>
        <v>GAA</v>
      </c>
      <c r="U682" s="319" t="str">
        <f>VLOOKUP(H682,'Fund Utilization Report'!$A$4:$U$1800,3,FALSE)</f>
        <v>FY2021, RA11518</v>
      </c>
      <c r="V682" s="319" t="str">
        <f>VLOOKUP(H682,'Fund Utilization Report'!$A$4:$U$1800,4,FALSE)</f>
        <v>GAS(GMS)</v>
      </c>
      <c r="W682" s="319" t="str">
        <f>VLOOKUP(H682,'Fund Utilization Report'!$A$4:$U$1800,5,FALSE)</f>
        <v>01101101</v>
      </c>
      <c r="X682" s="319" t="str">
        <f>VLOOKUP(H682,'Fund Utilization Report'!$A$4:$U$1800,6,FALSE)</f>
        <v>GOP</v>
      </c>
      <c r="Y682" s="320" t="str">
        <f>VLOOKUP(H682,'Fund Utilization Report'!$A$4:$U$1800,7,FALSE)</f>
        <v>PS</v>
      </c>
      <c r="Z682" s="321">
        <f>VLOOKUP(H682,'Fund Utilization Report'!$A$4:$U$1800,8,FALSE)</f>
        <v>5010000000</v>
      </c>
      <c r="AA682" s="319" t="str">
        <f>VLOOKUP(H682,'Fund Utilization Report'!$A$4:$U$1800,14,FALSE)</f>
        <v>100000100001000</v>
      </c>
      <c r="AB682" s="349" t="str">
        <f>VLOOKUP(H682,'Fund Utilization Report'!$A$4:$U$1800,15,FALSE)</f>
        <v>General Administration and Supervision - General Management and Supervision</v>
      </c>
      <c r="AC682" s="39"/>
      <c r="AD682" s="34"/>
      <c r="AE682" s="39"/>
      <c r="AF682" s="51"/>
      <c r="AG682" s="40"/>
      <c r="AH682" s="40"/>
    </row>
    <row r="683" spans="1:34" s="32" customFormat="1" ht="27.6">
      <c r="A683" s="338" t="s">
        <v>942</v>
      </c>
      <c r="B683" s="338" t="s">
        <v>945</v>
      </c>
      <c r="C683" s="358">
        <v>44238</v>
      </c>
      <c r="D683" s="351" t="s">
        <v>1028</v>
      </c>
      <c r="E683" s="352" t="s">
        <v>1164</v>
      </c>
      <c r="F683" s="338">
        <v>0.49236111111111108</v>
      </c>
      <c r="G683" s="338">
        <v>0.49861111111111112</v>
      </c>
      <c r="H683" s="338" t="s">
        <v>960</v>
      </c>
      <c r="I683" s="353">
        <v>711</v>
      </c>
      <c r="J683" s="338" t="str">
        <f>IFERROR(VLOOKUP(I683,'Chart of accounts'!A:H,2,FALSE),"")</f>
        <v>50102010 01</v>
      </c>
      <c r="K683" s="338" t="str">
        <f>IFERROR(VLOOKUP(I683,'Chart of accounts'!A:H,3,FALSE),"")</f>
        <v>PERA - Civilian</v>
      </c>
      <c r="L683" s="338" t="str">
        <f>IFERROR(VLOOKUP(I683,'Chart of accounts'!A:H,4,FALSE),"")</f>
        <v>50102010 01 - PERA - Civilian (711)</v>
      </c>
      <c r="M683" s="361">
        <v>68</v>
      </c>
      <c r="N683" s="355" t="s">
        <v>764</v>
      </c>
      <c r="O683" s="355" t="s">
        <v>1113</v>
      </c>
      <c r="P683" s="355"/>
      <c r="Q683" s="363">
        <v>8000</v>
      </c>
      <c r="R683" s="319">
        <f t="shared" si="12"/>
        <v>-8000</v>
      </c>
      <c r="S683" s="319" t="str">
        <f>VLOOKUP(H683,'Fund Utilization Report'!$A$4:$U$1800,13,FALSE)</f>
        <v>PS</v>
      </c>
      <c r="T683" s="319" t="str">
        <f>VLOOKUP(H683,'Fund Utilization Report'!$A$4:$U$1800,2,FALSE)</f>
        <v>GAA</v>
      </c>
      <c r="U683" s="319" t="str">
        <f>VLOOKUP(H683,'Fund Utilization Report'!$A$4:$U$1800,3,FALSE)</f>
        <v>FY2021, RA11518</v>
      </c>
      <c r="V683" s="319" t="str">
        <f>VLOOKUP(H683,'Fund Utilization Report'!$A$4:$U$1800,4,FALSE)</f>
        <v>GAS(GMS)</v>
      </c>
      <c r="W683" s="319" t="str">
        <f>VLOOKUP(H683,'Fund Utilization Report'!$A$4:$U$1800,5,FALSE)</f>
        <v>01101101</v>
      </c>
      <c r="X683" s="319" t="str">
        <f>VLOOKUP(H683,'Fund Utilization Report'!$A$4:$U$1800,6,FALSE)</f>
        <v>GOP</v>
      </c>
      <c r="Y683" s="320" t="str">
        <f>VLOOKUP(H683,'Fund Utilization Report'!$A$4:$U$1800,7,FALSE)</f>
        <v>PS</v>
      </c>
      <c r="Z683" s="321">
        <f>VLOOKUP(H683,'Fund Utilization Report'!$A$4:$U$1800,8,FALSE)</f>
        <v>5010000000</v>
      </c>
      <c r="AA683" s="319" t="str">
        <f>VLOOKUP(H683,'Fund Utilization Report'!$A$4:$U$1800,14,FALSE)</f>
        <v>100000100001000</v>
      </c>
      <c r="AB683" s="349" t="str">
        <f>VLOOKUP(H683,'Fund Utilization Report'!$A$4:$U$1800,15,FALSE)</f>
        <v>General Administration and Supervision - General Management and Supervision</v>
      </c>
      <c r="AC683" s="39"/>
      <c r="AD683" s="34"/>
      <c r="AE683" s="39"/>
      <c r="AF683" s="51"/>
      <c r="AG683" s="40"/>
      <c r="AH683" s="40"/>
    </row>
    <row r="684" spans="1:34" s="32" customFormat="1" ht="27.6">
      <c r="A684" s="338" t="s">
        <v>942</v>
      </c>
      <c r="B684" s="338" t="s">
        <v>945</v>
      </c>
      <c r="C684" s="358">
        <v>44238</v>
      </c>
      <c r="D684" s="351" t="s">
        <v>1028</v>
      </c>
      <c r="E684" s="352" t="s">
        <v>1164</v>
      </c>
      <c r="F684" s="338">
        <v>0.49236111111111108</v>
      </c>
      <c r="G684" s="338">
        <v>0.49861111111111112</v>
      </c>
      <c r="H684" s="338" t="s">
        <v>962</v>
      </c>
      <c r="I684" s="353">
        <v>731</v>
      </c>
      <c r="J684" s="338" t="str">
        <f>IFERROR(VLOOKUP(I684,'Chart of accounts'!A:H,2,FALSE),"")</f>
        <v>50103010 00</v>
      </c>
      <c r="K684" s="338" t="str">
        <f>IFERROR(VLOOKUP(I684,'Chart of accounts'!A:H,3,FALSE),"")</f>
        <v>Retirement and Life Insurance Premiums</v>
      </c>
      <c r="L684" s="338" t="str">
        <f>IFERROR(VLOOKUP(I684,'Chart of accounts'!A:H,4,FALSE),"")</f>
        <v>50103010 00 - Retirement and Life Insurance Premiums (731)</v>
      </c>
      <c r="M684" s="361">
        <v>68</v>
      </c>
      <c r="N684" s="355" t="s">
        <v>764</v>
      </c>
      <c r="O684" s="355" t="s">
        <v>1113</v>
      </c>
      <c r="P684" s="355"/>
      <c r="Q684" s="363">
        <v>11904.72</v>
      </c>
      <c r="R684" s="319">
        <f t="shared" si="12"/>
        <v>-11904.72</v>
      </c>
      <c r="S684" s="319" t="str">
        <f>VLOOKUP(H684,'Fund Utilization Report'!$A$4:$U$1800,13,FALSE)</f>
        <v>PS</v>
      </c>
      <c r="T684" s="319" t="str">
        <f>VLOOKUP(H684,'Fund Utilization Report'!$A$4:$U$1800,2,FALSE)</f>
        <v>GAA</v>
      </c>
      <c r="U684" s="319" t="str">
        <f>VLOOKUP(H684,'Fund Utilization Report'!$A$4:$U$1800,3,FALSE)</f>
        <v>FY2021, RA11518</v>
      </c>
      <c r="V684" s="319" t="str">
        <f>VLOOKUP(H684,'Fund Utilization Report'!$A$4:$U$1800,4,FALSE)</f>
        <v>GAS(GMS)</v>
      </c>
      <c r="W684" s="319" t="str">
        <f>VLOOKUP(H684,'Fund Utilization Report'!$A$4:$U$1800,5,FALSE)</f>
        <v>01101101</v>
      </c>
      <c r="X684" s="319" t="str">
        <f>VLOOKUP(H684,'Fund Utilization Report'!$A$4:$U$1800,6,FALSE)</f>
        <v>GOP</v>
      </c>
      <c r="Y684" s="320" t="str">
        <f>VLOOKUP(H684,'Fund Utilization Report'!$A$4:$U$1800,7,FALSE)</f>
        <v>RLIP</v>
      </c>
      <c r="Z684" s="321" t="str">
        <f>VLOOKUP(H684,'Fund Utilization Report'!$A$4:$U$1800,8,FALSE)</f>
        <v>50103010-00</v>
      </c>
      <c r="AA684" s="319" t="str">
        <f>VLOOKUP(H684,'Fund Utilization Report'!$A$4:$U$1800,14,FALSE)</f>
        <v>100000100001000</v>
      </c>
      <c r="AB684" s="349" t="str">
        <f>VLOOKUP(H684,'Fund Utilization Report'!$A$4:$U$1800,15,FALSE)</f>
        <v>General Administration and Supervision - General Management and Supervision</v>
      </c>
      <c r="AC684" s="39"/>
      <c r="AD684" s="34"/>
      <c r="AE684" s="39"/>
      <c r="AF684" s="51"/>
      <c r="AG684" s="40"/>
      <c r="AH684" s="40"/>
    </row>
    <row r="685" spans="1:34" s="32" customFormat="1" ht="27.6">
      <c r="A685" s="338" t="s">
        <v>942</v>
      </c>
      <c r="B685" s="338" t="s">
        <v>945</v>
      </c>
      <c r="C685" s="358">
        <v>44238</v>
      </c>
      <c r="D685" s="351" t="s">
        <v>1028</v>
      </c>
      <c r="E685" s="352" t="s">
        <v>1164</v>
      </c>
      <c r="F685" s="338">
        <v>0.49236111111111108</v>
      </c>
      <c r="G685" s="338">
        <v>0.49861111111111112</v>
      </c>
      <c r="H685" s="338" t="s">
        <v>960</v>
      </c>
      <c r="I685" s="353">
        <v>732</v>
      </c>
      <c r="J685" s="338" t="str">
        <f>IFERROR(VLOOKUP(I685,'Chart of accounts'!A:H,2,FALSE),"")</f>
        <v>50103020 01</v>
      </c>
      <c r="K685" s="338" t="str">
        <f>IFERROR(VLOOKUP(I685,'Chart of accounts'!A:H,3,FALSE),"")</f>
        <v>Pag-IBIG - Civilian</v>
      </c>
      <c r="L685" s="338" t="str">
        <f>IFERROR(VLOOKUP(I685,'Chart of accounts'!A:H,4,FALSE),"")</f>
        <v>50103020 01 - Pag-IBIG - Civilian (732)</v>
      </c>
      <c r="M685" s="361">
        <v>68</v>
      </c>
      <c r="N685" s="355" t="s">
        <v>764</v>
      </c>
      <c r="O685" s="355" t="s">
        <v>1113</v>
      </c>
      <c r="P685" s="355"/>
      <c r="Q685" s="363">
        <v>400</v>
      </c>
      <c r="R685" s="319">
        <f t="shared" si="12"/>
        <v>-400</v>
      </c>
      <c r="S685" s="319" t="str">
        <f>VLOOKUP(H685,'Fund Utilization Report'!$A$4:$U$1800,13,FALSE)</f>
        <v>PS</v>
      </c>
      <c r="T685" s="319" t="str">
        <f>VLOOKUP(H685,'Fund Utilization Report'!$A$4:$U$1800,2,FALSE)</f>
        <v>GAA</v>
      </c>
      <c r="U685" s="319" t="str">
        <f>VLOOKUP(H685,'Fund Utilization Report'!$A$4:$U$1800,3,FALSE)</f>
        <v>FY2021, RA11518</v>
      </c>
      <c r="V685" s="319" t="str">
        <f>VLOOKUP(H685,'Fund Utilization Report'!$A$4:$U$1800,4,FALSE)</f>
        <v>GAS(GMS)</v>
      </c>
      <c r="W685" s="319" t="str">
        <f>VLOOKUP(H685,'Fund Utilization Report'!$A$4:$U$1800,5,FALSE)</f>
        <v>01101101</v>
      </c>
      <c r="X685" s="319" t="str">
        <f>VLOOKUP(H685,'Fund Utilization Report'!$A$4:$U$1800,6,FALSE)</f>
        <v>GOP</v>
      </c>
      <c r="Y685" s="320" t="str">
        <f>VLOOKUP(H685,'Fund Utilization Report'!$A$4:$U$1800,7,FALSE)</f>
        <v>PS</v>
      </c>
      <c r="Z685" s="321">
        <f>VLOOKUP(H685,'Fund Utilization Report'!$A$4:$U$1800,8,FALSE)</f>
        <v>5010000000</v>
      </c>
      <c r="AA685" s="319" t="str">
        <f>VLOOKUP(H685,'Fund Utilization Report'!$A$4:$U$1800,14,FALSE)</f>
        <v>100000100001000</v>
      </c>
      <c r="AB685" s="349" t="str">
        <f>VLOOKUP(H685,'Fund Utilization Report'!$A$4:$U$1800,15,FALSE)</f>
        <v>General Administration and Supervision - General Management and Supervision</v>
      </c>
      <c r="AC685" s="39"/>
      <c r="AD685" s="34"/>
      <c r="AE685" s="39"/>
      <c r="AF685" s="51"/>
      <c r="AG685" s="40"/>
      <c r="AH685" s="40"/>
    </row>
    <row r="686" spans="1:34" s="32" customFormat="1" ht="27.6">
      <c r="A686" s="338" t="s">
        <v>942</v>
      </c>
      <c r="B686" s="338" t="s">
        <v>945</v>
      </c>
      <c r="C686" s="358">
        <v>44238</v>
      </c>
      <c r="D686" s="351" t="s">
        <v>1028</v>
      </c>
      <c r="E686" s="352" t="s">
        <v>1164</v>
      </c>
      <c r="F686" s="338">
        <v>0.49236111111111108</v>
      </c>
      <c r="G686" s="338">
        <v>0.49861111111111112</v>
      </c>
      <c r="H686" s="338" t="s">
        <v>960</v>
      </c>
      <c r="I686" s="353">
        <v>733</v>
      </c>
      <c r="J686" s="338" t="str">
        <f>IFERROR(VLOOKUP(I686,'Chart of accounts'!A:H,2,FALSE),"")</f>
        <v>50103030 01</v>
      </c>
      <c r="K686" s="338" t="str">
        <f>IFERROR(VLOOKUP(I686,'Chart of accounts'!A:H,3,FALSE),"")</f>
        <v>PhilHealth - Civilian</v>
      </c>
      <c r="L686" s="338" t="str">
        <f>IFERROR(VLOOKUP(I686,'Chart of accounts'!A:H,4,FALSE),"")</f>
        <v>50103030 01 - PhilHealth - Civilian (733)</v>
      </c>
      <c r="M686" s="361">
        <v>68</v>
      </c>
      <c r="N686" s="355" t="s">
        <v>764</v>
      </c>
      <c r="O686" s="355" t="s">
        <v>1113</v>
      </c>
      <c r="P686" s="355"/>
      <c r="Q686" s="363">
        <v>1488.1</v>
      </c>
      <c r="R686" s="319">
        <f t="shared" si="12"/>
        <v>-1488.1</v>
      </c>
      <c r="S686" s="319" t="str">
        <f>VLOOKUP(H686,'Fund Utilization Report'!$A$4:$U$1800,13,FALSE)</f>
        <v>PS</v>
      </c>
      <c r="T686" s="319" t="str">
        <f>VLOOKUP(H686,'Fund Utilization Report'!$A$4:$U$1800,2,FALSE)</f>
        <v>GAA</v>
      </c>
      <c r="U686" s="319" t="str">
        <f>VLOOKUP(H686,'Fund Utilization Report'!$A$4:$U$1800,3,FALSE)</f>
        <v>FY2021, RA11518</v>
      </c>
      <c r="V686" s="319" t="str">
        <f>VLOOKUP(H686,'Fund Utilization Report'!$A$4:$U$1800,4,FALSE)</f>
        <v>GAS(GMS)</v>
      </c>
      <c r="W686" s="319" t="str">
        <f>VLOOKUP(H686,'Fund Utilization Report'!$A$4:$U$1800,5,FALSE)</f>
        <v>01101101</v>
      </c>
      <c r="X686" s="319" t="str">
        <f>VLOOKUP(H686,'Fund Utilization Report'!$A$4:$U$1800,6,FALSE)</f>
        <v>GOP</v>
      </c>
      <c r="Y686" s="320" t="str">
        <f>VLOOKUP(H686,'Fund Utilization Report'!$A$4:$U$1800,7,FALSE)</f>
        <v>PS</v>
      </c>
      <c r="Z686" s="321">
        <f>VLOOKUP(H686,'Fund Utilization Report'!$A$4:$U$1800,8,FALSE)</f>
        <v>5010000000</v>
      </c>
      <c r="AA686" s="319" t="str">
        <f>VLOOKUP(H686,'Fund Utilization Report'!$A$4:$U$1800,14,FALSE)</f>
        <v>100000100001000</v>
      </c>
      <c r="AB686" s="349" t="str">
        <f>VLOOKUP(H686,'Fund Utilization Report'!$A$4:$U$1800,15,FALSE)</f>
        <v>General Administration and Supervision - General Management and Supervision</v>
      </c>
      <c r="AC686" s="39"/>
      <c r="AD686" s="34"/>
      <c r="AE686" s="39"/>
      <c r="AF686" s="51"/>
      <c r="AG686" s="40"/>
      <c r="AH686" s="40"/>
    </row>
    <row r="687" spans="1:34" s="32" customFormat="1" ht="27.6">
      <c r="A687" s="338" t="s">
        <v>942</v>
      </c>
      <c r="B687" s="338" t="s">
        <v>945</v>
      </c>
      <c r="C687" s="358">
        <v>44238</v>
      </c>
      <c r="D687" s="351" t="s">
        <v>1028</v>
      </c>
      <c r="E687" s="352" t="s">
        <v>1164</v>
      </c>
      <c r="F687" s="338">
        <v>0.49236111111111108</v>
      </c>
      <c r="G687" s="338">
        <v>0.49861111111111112</v>
      </c>
      <c r="H687" s="338" t="s">
        <v>960</v>
      </c>
      <c r="I687" s="353">
        <v>734</v>
      </c>
      <c r="J687" s="338" t="str">
        <f>IFERROR(VLOOKUP(I687,'Chart of accounts'!A:H,2,FALSE),"")</f>
        <v>50103040 01</v>
      </c>
      <c r="K687" s="338" t="str">
        <f>IFERROR(VLOOKUP(I687,'Chart of accounts'!A:H,3,FALSE),"")</f>
        <v>ECIP - Civilian</v>
      </c>
      <c r="L687" s="338" t="str">
        <f>IFERROR(VLOOKUP(I687,'Chart of accounts'!A:H,4,FALSE),"")</f>
        <v>50103040 01 - ECIP - Civilian (734)</v>
      </c>
      <c r="M687" s="361">
        <v>68</v>
      </c>
      <c r="N687" s="355" t="s">
        <v>764</v>
      </c>
      <c r="O687" s="355" t="s">
        <v>1113</v>
      </c>
      <c r="P687" s="355"/>
      <c r="Q687" s="363">
        <v>400</v>
      </c>
      <c r="R687" s="319">
        <f t="shared" si="12"/>
        <v>-400</v>
      </c>
      <c r="S687" s="319" t="str">
        <f>VLOOKUP(H687,'Fund Utilization Report'!$A$4:$U$1800,13,FALSE)</f>
        <v>PS</v>
      </c>
      <c r="T687" s="319" t="str">
        <f>VLOOKUP(H687,'Fund Utilization Report'!$A$4:$U$1800,2,FALSE)</f>
        <v>GAA</v>
      </c>
      <c r="U687" s="319" t="str">
        <f>VLOOKUP(H687,'Fund Utilization Report'!$A$4:$U$1800,3,FALSE)</f>
        <v>FY2021, RA11518</v>
      </c>
      <c r="V687" s="319" t="str">
        <f>VLOOKUP(H687,'Fund Utilization Report'!$A$4:$U$1800,4,FALSE)</f>
        <v>GAS(GMS)</v>
      </c>
      <c r="W687" s="319" t="str">
        <f>VLOOKUP(H687,'Fund Utilization Report'!$A$4:$U$1800,5,FALSE)</f>
        <v>01101101</v>
      </c>
      <c r="X687" s="319" t="str">
        <f>VLOOKUP(H687,'Fund Utilization Report'!$A$4:$U$1800,6,FALSE)</f>
        <v>GOP</v>
      </c>
      <c r="Y687" s="320" t="str">
        <f>VLOOKUP(H687,'Fund Utilization Report'!$A$4:$U$1800,7,FALSE)</f>
        <v>PS</v>
      </c>
      <c r="Z687" s="321">
        <f>VLOOKUP(H687,'Fund Utilization Report'!$A$4:$U$1800,8,FALSE)</f>
        <v>5010000000</v>
      </c>
      <c r="AA687" s="319" t="str">
        <f>VLOOKUP(H687,'Fund Utilization Report'!$A$4:$U$1800,14,FALSE)</f>
        <v>100000100001000</v>
      </c>
      <c r="AB687" s="349" t="str">
        <f>VLOOKUP(H687,'Fund Utilization Report'!$A$4:$U$1800,15,FALSE)</f>
        <v>General Administration and Supervision - General Management and Supervision</v>
      </c>
      <c r="AC687" s="39"/>
      <c r="AD687" s="34"/>
      <c r="AE687" s="39"/>
      <c r="AF687" s="51"/>
      <c r="AG687" s="40"/>
      <c r="AH687" s="40"/>
    </row>
    <row r="688" spans="1:34" s="32" customFormat="1" ht="27.6">
      <c r="A688" s="338" t="s">
        <v>942</v>
      </c>
      <c r="B688" s="338" t="s">
        <v>945</v>
      </c>
      <c r="C688" s="358">
        <v>44238</v>
      </c>
      <c r="D688" s="351" t="s">
        <v>1028</v>
      </c>
      <c r="E688" s="352" t="s">
        <v>1164</v>
      </c>
      <c r="F688" s="338">
        <v>0.49236111111111108</v>
      </c>
      <c r="G688" s="338">
        <v>0.49861111111111112</v>
      </c>
      <c r="H688" s="338" t="s">
        <v>964</v>
      </c>
      <c r="I688" s="353">
        <v>701</v>
      </c>
      <c r="J688" s="338" t="str">
        <f>IFERROR(VLOOKUP(I688,'Chart of accounts'!A:H,2,FALSE),"")</f>
        <v>50101010 01</v>
      </c>
      <c r="K688" s="338" t="str">
        <f>IFERROR(VLOOKUP(I688,'Chart of accounts'!A:H,3,FALSE),"")</f>
        <v>Basic Salary - Civilian</v>
      </c>
      <c r="L688" s="338" t="str">
        <f>IFERROR(VLOOKUP(I688,'Chart of accounts'!A:H,4,FALSE),"")</f>
        <v>50101010 01 - Basic Salary - Civilian (701)</v>
      </c>
      <c r="M688" s="361">
        <v>68</v>
      </c>
      <c r="N688" s="355" t="s">
        <v>764</v>
      </c>
      <c r="O688" s="355" t="s">
        <v>1113</v>
      </c>
      <c r="P688" s="355"/>
      <c r="Q688" s="363">
        <v>44184</v>
      </c>
      <c r="R688" s="319">
        <f t="shared" si="12"/>
        <v>-44184</v>
      </c>
      <c r="S688" s="319" t="str">
        <f>VLOOKUP(H688,'Fund Utilization Report'!$A$4:$U$1800,13,FALSE)</f>
        <v>PS</v>
      </c>
      <c r="T688" s="319" t="str">
        <f>VLOOKUP(H688,'Fund Utilization Report'!$A$4:$U$1800,2,FALSE)</f>
        <v>GAA</v>
      </c>
      <c r="U688" s="319" t="str">
        <f>VLOOKUP(H688,'Fund Utilization Report'!$A$4:$U$1800,3,FALSE)</f>
        <v>FY2021, RA11518</v>
      </c>
      <c r="V688" s="319" t="str">
        <f>VLOOKUP(H688,'Fund Utilization Report'!$A$4:$U$1800,4,FALSE)</f>
        <v>OO1</v>
      </c>
      <c r="W688" s="319" t="str">
        <f>VLOOKUP(H688,'Fund Utilization Report'!$A$4:$U$1800,5,FALSE)</f>
        <v>01101101</v>
      </c>
      <c r="X688" s="319" t="str">
        <f>VLOOKUP(H688,'Fund Utilization Report'!$A$4:$U$1800,6,FALSE)</f>
        <v>GOP</v>
      </c>
      <c r="Y688" s="320" t="str">
        <f>VLOOKUP(H688,'Fund Utilization Report'!$A$4:$U$1800,7,FALSE)</f>
        <v>PS</v>
      </c>
      <c r="Z688" s="321">
        <f>VLOOKUP(H688,'Fund Utilization Report'!$A$4:$U$1800,8,FALSE)</f>
        <v>5010000000</v>
      </c>
      <c r="AA688" s="319" t="str">
        <f>VLOOKUP(H688,'Fund Utilization Report'!$A$4:$U$1800,14,FALSE)</f>
        <v>310100100002000</v>
      </c>
      <c r="AB688" s="349" t="str">
        <f>VLOOKUP(H688,'Fund Utilization Report'!$A$4:$U$1800,15,FALSE)</f>
        <v>Development,Facilitation, and promotion of exports and investment, domestic and foreign</v>
      </c>
      <c r="AC688" s="39"/>
      <c r="AD688" s="34"/>
      <c r="AE688" s="39"/>
      <c r="AF688" s="51"/>
      <c r="AG688" s="40"/>
      <c r="AH688" s="40"/>
    </row>
    <row r="689" spans="1:34" s="32" customFormat="1" ht="27.6">
      <c r="A689" s="338" t="s">
        <v>942</v>
      </c>
      <c r="B689" s="338" t="s">
        <v>945</v>
      </c>
      <c r="C689" s="358">
        <v>44238</v>
      </c>
      <c r="D689" s="351" t="s">
        <v>1028</v>
      </c>
      <c r="E689" s="352" t="s">
        <v>1164</v>
      </c>
      <c r="F689" s="338">
        <v>0.49236111111111108</v>
      </c>
      <c r="G689" s="338">
        <v>0.49861111111111112</v>
      </c>
      <c r="H689" s="338" t="s">
        <v>964</v>
      </c>
      <c r="I689" s="353">
        <v>711</v>
      </c>
      <c r="J689" s="338" t="str">
        <f>IFERROR(VLOOKUP(I689,'Chart of accounts'!A:H,2,FALSE),"")</f>
        <v>50102010 01</v>
      </c>
      <c r="K689" s="338" t="str">
        <f>IFERROR(VLOOKUP(I689,'Chart of accounts'!A:H,3,FALSE),"")</f>
        <v>PERA - Civilian</v>
      </c>
      <c r="L689" s="338" t="str">
        <f>IFERROR(VLOOKUP(I689,'Chart of accounts'!A:H,4,FALSE),"")</f>
        <v>50102010 01 - PERA - Civilian (711)</v>
      </c>
      <c r="M689" s="361">
        <v>68</v>
      </c>
      <c r="N689" s="355" t="s">
        <v>764</v>
      </c>
      <c r="O689" s="355" t="s">
        <v>1113</v>
      </c>
      <c r="P689" s="355"/>
      <c r="Q689" s="363">
        <v>2000</v>
      </c>
      <c r="R689" s="319">
        <f t="shared" si="12"/>
        <v>-2000</v>
      </c>
      <c r="S689" s="319" t="str">
        <f>VLOOKUP(H689,'Fund Utilization Report'!$A$4:$U$1800,13,FALSE)</f>
        <v>PS</v>
      </c>
      <c r="T689" s="319" t="str">
        <f>VLOOKUP(H689,'Fund Utilization Report'!$A$4:$U$1800,2,FALSE)</f>
        <v>GAA</v>
      </c>
      <c r="U689" s="319" t="str">
        <f>VLOOKUP(H689,'Fund Utilization Report'!$A$4:$U$1800,3,FALSE)</f>
        <v>FY2021, RA11518</v>
      </c>
      <c r="V689" s="319" t="str">
        <f>VLOOKUP(H689,'Fund Utilization Report'!$A$4:$U$1800,4,FALSE)</f>
        <v>OO1</v>
      </c>
      <c r="W689" s="319" t="str">
        <f>VLOOKUP(H689,'Fund Utilization Report'!$A$4:$U$1800,5,FALSE)</f>
        <v>01101101</v>
      </c>
      <c r="X689" s="319" t="str">
        <f>VLOOKUP(H689,'Fund Utilization Report'!$A$4:$U$1800,6,FALSE)</f>
        <v>GOP</v>
      </c>
      <c r="Y689" s="320" t="str">
        <f>VLOOKUP(H689,'Fund Utilization Report'!$A$4:$U$1800,7,FALSE)</f>
        <v>PS</v>
      </c>
      <c r="Z689" s="321">
        <f>VLOOKUP(H689,'Fund Utilization Report'!$A$4:$U$1800,8,FALSE)</f>
        <v>5010000000</v>
      </c>
      <c r="AA689" s="319" t="str">
        <f>VLOOKUP(H689,'Fund Utilization Report'!$A$4:$U$1800,14,FALSE)</f>
        <v>310100100002000</v>
      </c>
      <c r="AB689" s="349" t="str">
        <f>VLOOKUP(H689,'Fund Utilization Report'!$A$4:$U$1800,15,FALSE)</f>
        <v>Development,Facilitation, and promotion of exports and investment, domestic and foreign</v>
      </c>
      <c r="AC689" s="39"/>
      <c r="AD689" s="34"/>
      <c r="AE689" s="39"/>
      <c r="AF689" s="51"/>
      <c r="AG689" s="40"/>
      <c r="AH689" s="40"/>
    </row>
    <row r="690" spans="1:34" s="32" customFormat="1" ht="27.6">
      <c r="A690" s="338" t="s">
        <v>942</v>
      </c>
      <c r="B690" s="338" t="s">
        <v>945</v>
      </c>
      <c r="C690" s="358">
        <v>44238</v>
      </c>
      <c r="D690" s="351" t="s">
        <v>1028</v>
      </c>
      <c r="E690" s="352" t="s">
        <v>1164</v>
      </c>
      <c r="F690" s="338">
        <v>0.49236111111111108</v>
      </c>
      <c r="G690" s="338">
        <v>0.49861111111111112</v>
      </c>
      <c r="H690" s="338" t="s">
        <v>966</v>
      </c>
      <c r="I690" s="353">
        <v>731</v>
      </c>
      <c r="J690" s="338" t="str">
        <f>IFERROR(VLOOKUP(I690,'Chart of accounts'!A:H,2,FALSE),"")</f>
        <v>50103010 00</v>
      </c>
      <c r="K690" s="338" t="str">
        <f>IFERROR(VLOOKUP(I690,'Chart of accounts'!A:H,3,FALSE),"")</f>
        <v>Retirement and Life Insurance Premiums</v>
      </c>
      <c r="L690" s="338" t="str">
        <f>IFERROR(VLOOKUP(I690,'Chart of accounts'!A:H,4,FALSE),"")</f>
        <v>50103010 00 - Retirement and Life Insurance Premiums (731)</v>
      </c>
      <c r="M690" s="361">
        <v>68</v>
      </c>
      <c r="N690" s="355" t="s">
        <v>764</v>
      </c>
      <c r="O690" s="355" t="s">
        <v>1113</v>
      </c>
      <c r="P690" s="355"/>
      <c r="Q690" s="363">
        <v>5302.08</v>
      </c>
      <c r="R690" s="319">
        <f t="shared" si="12"/>
        <v>-5302.08</v>
      </c>
      <c r="S690" s="319" t="str">
        <f>VLOOKUP(H690,'Fund Utilization Report'!$A$4:$U$1800,13,FALSE)</f>
        <v>PS</v>
      </c>
      <c r="T690" s="319" t="str">
        <f>VLOOKUP(H690,'Fund Utilization Report'!$A$4:$U$1800,2,FALSE)</f>
        <v>GAA</v>
      </c>
      <c r="U690" s="319" t="str">
        <f>VLOOKUP(H690,'Fund Utilization Report'!$A$4:$U$1800,3,FALSE)</f>
        <v>FY2021, RA11518</v>
      </c>
      <c r="V690" s="319" t="str">
        <f>VLOOKUP(H690,'Fund Utilization Report'!$A$4:$U$1800,4,FALSE)</f>
        <v>OO1</v>
      </c>
      <c r="W690" s="319" t="str">
        <f>VLOOKUP(H690,'Fund Utilization Report'!$A$4:$U$1800,5,FALSE)</f>
        <v>01101101</v>
      </c>
      <c r="X690" s="319" t="str">
        <f>VLOOKUP(H690,'Fund Utilization Report'!$A$4:$U$1800,6,FALSE)</f>
        <v>GOP</v>
      </c>
      <c r="Y690" s="320" t="str">
        <f>VLOOKUP(H690,'Fund Utilization Report'!$A$4:$U$1800,7,FALSE)</f>
        <v>RLIP</v>
      </c>
      <c r="Z690" s="321" t="str">
        <f>VLOOKUP(H690,'Fund Utilization Report'!$A$4:$U$1800,8,FALSE)</f>
        <v>50103010-00</v>
      </c>
      <c r="AA690" s="319" t="str">
        <f>VLOOKUP(H690,'Fund Utilization Report'!$A$4:$U$1800,14,FALSE)</f>
        <v>310100100002000</v>
      </c>
      <c r="AB690" s="349" t="str">
        <f>VLOOKUP(H690,'Fund Utilization Report'!$A$4:$U$1800,15,FALSE)</f>
        <v>Development,Facilitation, and promotion of exports and investment, domestic and foreign</v>
      </c>
      <c r="AC690" s="39"/>
      <c r="AD690" s="34"/>
      <c r="AE690" s="39"/>
      <c r="AF690" s="51"/>
      <c r="AG690" s="40"/>
      <c r="AH690" s="40"/>
    </row>
    <row r="691" spans="1:34" s="32" customFormat="1" ht="27.6">
      <c r="A691" s="338" t="s">
        <v>942</v>
      </c>
      <c r="B691" s="338" t="s">
        <v>945</v>
      </c>
      <c r="C691" s="358">
        <v>44238</v>
      </c>
      <c r="D691" s="351" t="s">
        <v>1028</v>
      </c>
      <c r="E691" s="352" t="s">
        <v>1164</v>
      </c>
      <c r="F691" s="338">
        <v>0.49236111111111108</v>
      </c>
      <c r="G691" s="338">
        <v>0.49861111111111112</v>
      </c>
      <c r="H691" s="338" t="s">
        <v>964</v>
      </c>
      <c r="I691" s="353">
        <v>732</v>
      </c>
      <c r="J691" s="338" t="str">
        <f>IFERROR(VLOOKUP(I691,'Chart of accounts'!A:H,2,FALSE),"")</f>
        <v>50103020 01</v>
      </c>
      <c r="K691" s="338" t="str">
        <f>IFERROR(VLOOKUP(I691,'Chart of accounts'!A:H,3,FALSE),"")</f>
        <v>Pag-IBIG - Civilian</v>
      </c>
      <c r="L691" s="338" t="str">
        <f>IFERROR(VLOOKUP(I691,'Chart of accounts'!A:H,4,FALSE),"")</f>
        <v>50103020 01 - Pag-IBIG - Civilian (732)</v>
      </c>
      <c r="M691" s="361">
        <v>68</v>
      </c>
      <c r="N691" s="355" t="s">
        <v>764</v>
      </c>
      <c r="O691" s="355" t="s">
        <v>1113</v>
      </c>
      <c r="P691" s="355"/>
      <c r="Q691" s="363">
        <v>100</v>
      </c>
      <c r="R691" s="319">
        <f t="shared" si="12"/>
        <v>-100</v>
      </c>
      <c r="S691" s="319" t="str">
        <f>VLOOKUP(H691,'Fund Utilization Report'!$A$4:$U$1800,13,FALSE)</f>
        <v>PS</v>
      </c>
      <c r="T691" s="319" t="str">
        <f>VLOOKUP(H691,'Fund Utilization Report'!$A$4:$U$1800,2,FALSE)</f>
        <v>GAA</v>
      </c>
      <c r="U691" s="319" t="str">
        <f>VLOOKUP(H691,'Fund Utilization Report'!$A$4:$U$1800,3,FALSE)</f>
        <v>FY2021, RA11518</v>
      </c>
      <c r="V691" s="319" t="str">
        <f>VLOOKUP(H691,'Fund Utilization Report'!$A$4:$U$1800,4,FALSE)</f>
        <v>OO1</v>
      </c>
      <c r="W691" s="319" t="str">
        <f>VLOOKUP(H691,'Fund Utilization Report'!$A$4:$U$1800,5,FALSE)</f>
        <v>01101101</v>
      </c>
      <c r="X691" s="319" t="str">
        <f>VLOOKUP(H691,'Fund Utilization Report'!$A$4:$U$1800,6,FALSE)</f>
        <v>GOP</v>
      </c>
      <c r="Y691" s="320" t="str">
        <f>VLOOKUP(H691,'Fund Utilization Report'!$A$4:$U$1800,7,FALSE)</f>
        <v>PS</v>
      </c>
      <c r="Z691" s="321">
        <f>VLOOKUP(H691,'Fund Utilization Report'!$A$4:$U$1800,8,FALSE)</f>
        <v>5010000000</v>
      </c>
      <c r="AA691" s="319" t="str">
        <f>VLOOKUP(H691,'Fund Utilization Report'!$A$4:$U$1800,14,FALSE)</f>
        <v>310100100002000</v>
      </c>
      <c r="AB691" s="349" t="str">
        <f>VLOOKUP(H691,'Fund Utilization Report'!$A$4:$U$1800,15,FALSE)</f>
        <v>Development,Facilitation, and promotion of exports and investment, domestic and foreign</v>
      </c>
      <c r="AC691" s="39"/>
      <c r="AD691" s="34"/>
      <c r="AE691" s="39"/>
      <c r="AF691" s="51"/>
      <c r="AG691" s="40"/>
      <c r="AH691" s="40"/>
    </row>
    <row r="692" spans="1:34" s="32" customFormat="1" ht="27.6">
      <c r="A692" s="338" t="s">
        <v>942</v>
      </c>
      <c r="B692" s="338" t="s">
        <v>945</v>
      </c>
      <c r="C692" s="358">
        <v>44238</v>
      </c>
      <c r="D692" s="351" t="s">
        <v>1028</v>
      </c>
      <c r="E692" s="352" t="s">
        <v>1164</v>
      </c>
      <c r="F692" s="338">
        <v>0.49236111111111108</v>
      </c>
      <c r="G692" s="338">
        <v>0.49861111111111112</v>
      </c>
      <c r="H692" s="338" t="s">
        <v>964</v>
      </c>
      <c r="I692" s="353">
        <v>733</v>
      </c>
      <c r="J692" s="338" t="str">
        <f>IFERROR(VLOOKUP(I692,'Chart of accounts'!A:H,2,FALSE),"")</f>
        <v>50103030 01</v>
      </c>
      <c r="K692" s="338" t="str">
        <f>IFERROR(VLOOKUP(I692,'Chart of accounts'!A:H,3,FALSE),"")</f>
        <v>PhilHealth - Civilian</v>
      </c>
      <c r="L692" s="338" t="str">
        <f>IFERROR(VLOOKUP(I692,'Chart of accounts'!A:H,4,FALSE),"")</f>
        <v>50103030 01 - PhilHealth - Civilian (733)</v>
      </c>
      <c r="M692" s="361">
        <v>68</v>
      </c>
      <c r="N692" s="355" t="s">
        <v>764</v>
      </c>
      <c r="O692" s="355" t="s">
        <v>1113</v>
      </c>
      <c r="P692" s="355"/>
      <c r="Q692" s="363">
        <v>662.76</v>
      </c>
      <c r="R692" s="319">
        <f t="shared" si="12"/>
        <v>-662.76</v>
      </c>
      <c r="S692" s="319" t="str">
        <f>VLOOKUP(H692,'Fund Utilization Report'!$A$4:$U$1800,13,FALSE)</f>
        <v>PS</v>
      </c>
      <c r="T692" s="319" t="str">
        <f>VLOOKUP(H692,'Fund Utilization Report'!$A$4:$U$1800,2,FALSE)</f>
        <v>GAA</v>
      </c>
      <c r="U692" s="319" t="str">
        <f>VLOOKUP(H692,'Fund Utilization Report'!$A$4:$U$1800,3,FALSE)</f>
        <v>FY2021, RA11518</v>
      </c>
      <c r="V692" s="319" t="str">
        <f>VLOOKUP(H692,'Fund Utilization Report'!$A$4:$U$1800,4,FALSE)</f>
        <v>OO1</v>
      </c>
      <c r="W692" s="319" t="str">
        <f>VLOOKUP(H692,'Fund Utilization Report'!$A$4:$U$1800,5,FALSE)</f>
        <v>01101101</v>
      </c>
      <c r="X692" s="319" t="str">
        <f>VLOOKUP(H692,'Fund Utilization Report'!$A$4:$U$1800,6,FALSE)</f>
        <v>GOP</v>
      </c>
      <c r="Y692" s="320" t="str">
        <f>VLOOKUP(H692,'Fund Utilization Report'!$A$4:$U$1800,7,FALSE)</f>
        <v>PS</v>
      </c>
      <c r="Z692" s="321">
        <f>VLOOKUP(H692,'Fund Utilization Report'!$A$4:$U$1800,8,FALSE)</f>
        <v>5010000000</v>
      </c>
      <c r="AA692" s="319" t="str">
        <f>VLOOKUP(H692,'Fund Utilization Report'!$A$4:$U$1800,14,FALSE)</f>
        <v>310100100002000</v>
      </c>
      <c r="AB692" s="349" t="str">
        <f>VLOOKUP(H692,'Fund Utilization Report'!$A$4:$U$1800,15,FALSE)</f>
        <v>Development,Facilitation, and promotion of exports and investment, domestic and foreign</v>
      </c>
      <c r="AC692" s="39"/>
      <c r="AD692" s="34"/>
      <c r="AE692" s="39"/>
      <c r="AF692" s="51"/>
      <c r="AG692" s="40"/>
      <c r="AH692" s="40"/>
    </row>
    <row r="693" spans="1:34" s="32" customFormat="1" ht="27.6">
      <c r="A693" s="338" t="s">
        <v>942</v>
      </c>
      <c r="B693" s="338" t="s">
        <v>945</v>
      </c>
      <c r="C693" s="358">
        <v>44238</v>
      </c>
      <c r="D693" s="351" t="s">
        <v>1028</v>
      </c>
      <c r="E693" s="352" t="s">
        <v>1164</v>
      </c>
      <c r="F693" s="338">
        <v>0.49236111111111108</v>
      </c>
      <c r="G693" s="338">
        <v>0.49861111111111112</v>
      </c>
      <c r="H693" s="338" t="s">
        <v>964</v>
      </c>
      <c r="I693" s="353">
        <v>734</v>
      </c>
      <c r="J693" s="338" t="str">
        <f>IFERROR(VLOOKUP(I693,'Chart of accounts'!A:H,2,FALSE),"")</f>
        <v>50103040 01</v>
      </c>
      <c r="K693" s="338" t="str">
        <f>IFERROR(VLOOKUP(I693,'Chart of accounts'!A:H,3,FALSE),"")</f>
        <v>ECIP - Civilian</v>
      </c>
      <c r="L693" s="338" t="str">
        <f>IFERROR(VLOOKUP(I693,'Chart of accounts'!A:H,4,FALSE),"")</f>
        <v>50103040 01 - ECIP - Civilian (734)</v>
      </c>
      <c r="M693" s="361">
        <v>68</v>
      </c>
      <c r="N693" s="355" t="s">
        <v>764</v>
      </c>
      <c r="O693" s="355" t="s">
        <v>1113</v>
      </c>
      <c r="P693" s="355"/>
      <c r="Q693" s="363">
        <v>100</v>
      </c>
      <c r="R693" s="319">
        <f t="shared" si="12"/>
        <v>-100</v>
      </c>
      <c r="S693" s="319" t="str">
        <f>VLOOKUP(H693,'Fund Utilization Report'!$A$4:$U$1800,13,FALSE)</f>
        <v>PS</v>
      </c>
      <c r="T693" s="319" t="str">
        <f>VLOOKUP(H693,'Fund Utilization Report'!$A$4:$U$1800,2,FALSE)</f>
        <v>GAA</v>
      </c>
      <c r="U693" s="319" t="str">
        <f>VLOOKUP(H693,'Fund Utilization Report'!$A$4:$U$1800,3,FALSE)</f>
        <v>FY2021, RA11518</v>
      </c>
      <c r="V693" s="319" t="str">
        <f>VLOOKUP(H693,'Fund Utilization Report'!$A$4:$U$1800,4,FALSE)</f>
        <v>OO1</v>
      </c>
      <c r="W693" s="319" t="str">
        <f>VLOOKUP(H693,'Fund Utilization Report'!$A$4:$U$1800,5,FALSE)</f>
        <v>01101101</v>
      </c>
      <c r="X693" s="319" t="str">
        <f>VLOOKUP(H693,'Fund Utilization Report'!$A$4:$U$1800,6,FALSE)</f>
        <v>GOP</v>
      </c>
      <c r="Y693" s="320" t="str">
        <f>VLOOKUP(H693,'Fund Utilization Report'!$A$4:$U$1800,7,FALSE)</f>
        <v>PS</v>
      </c>
      <c r="Z693" s="321">
        <f>VLOOKUP(H693,'Fund Utilization Report'!$A$4:$U$1800,8,FALSE)</f>
        <v>5010000000</v>
      </c>
      <c r="AA693" s="319" t="str">
        <f>VLOOKUP(H693,'Fund Utilization Report'!$A$4:$U$1800,14,FALSE)</f>
        <v>310100100002000</v>
      </c>
      <c r="AB693" s="349" t="str">
        <f>VLOOKUP(H693,'Fund Utilization Report'!$A$4:$U$1800,15,FALSE)</f>
        <v>Development,Facilitation, and promotion of exports and investment, domestic and foreign</v>
      </c>
      <c r="AC693" s="39"/>
      <c r="AD693" s="34"/>
      <c r="AE693" s="39"/>
      <c r="AF693" s="51"/>
      <c r="AG693" s="40"/>
      <c r="AH693" s="40"/>
    </row>
    <row r="694" spans="1:34" s="32" customFormat="1" ht="27.6">
      <c r="A694" s="338" t="s">
        <v>942</v>
      </c>
      <c r="B694" s="338" t="s">
        <v>945</v>
      </c>
      <c r="C694" s="358">
        <v>44238</v>
      </c>
      <c r="D694" s="351" t="s">
        <v>1028</v>
      </c>
      <c r="E694" s="352" t="s">
        <v>1164</v>
      </c>
      <c r="F694" s="338">
        <v>0.49236111111111108</v>
      </c>
      <c r="G694" s="338">
        <v>0.49861111111111112</v>
      </c>
      <c r="H694" s="338" t="s">
        <v>970</v>
      </c>
      <c r="I694" s="353">
        <v>701</v>
      </c>
      <c r="J694" s="338" t="str">
        <f>IFERROR(VLOOKUP(I694,'Chart of accounts'!A:H,2,FALSE),"")</f>
        <v>50101010 01</v>
      </c>
      <c r="K694" s="338" t="str">
        <f>IFERROR(VLOOKUP(I694,'Chart of accounts'!A:H,3,FALSE),"")</f>
        <v>Basic Salary - Civilian</v>
      </c>
      <c r="L694" s="338" t="str">
        <f>IFERROR(VLOOKUP(I694,'Chart of accounts'!A:H,4,FALSE),"")</f>
        <v>50101010 01 - Basic Salary - Civilian (701)</v>
      </c>
      <c r="M694" s="361">
        <v>68</v>
      </c>
      <c r="N694" s="355" t="s">
        <v>764</v>
      </c>
      <c r="O694" s="355" t="s">
        <v>1113</v>
      </c>
      <c r="P694" s="355"/>
      <c r="Q694" s="363">
        <v>113498</v>
      </c>
      <c r="R694" s="319">
        <f t="shared" si="12"/>
        <v>-113498</v>
      </c>
      <c r="S694" s="319" t="str">
        <f>VLOOKUP(H694,'Fund Utilization Report'!$A$4:$U$1800,13,FALSE)</f>
        <v>PS</v>
      </c>
      <c r="T694" s="319" t="str">
        <f>VLOOKUP(H694,'Fund Utilization Report'!$A$4:$U$1800,2,FALSE)</f>
        <v>GAA</v>
      </c>
      <c r="U694" s="319" t="str">
        <f>VLOOKUP(H694,'Fund Utilization Report'!$A$4:$U$1800,3,FALSE)</f>
        <v>FY2021, RA11518</v>
      </c>
      <c r="V694" s="319" t="str">
        <f>VLOOKUP(H694,'Fund Utilization Report'!$A$4:$U$1800,4,FALSE)</f>
        <v>OO3</v>
      </c>
      <c r="W694" s="319" t="str">
        <f>VLOOKUP(H694,'Fund Utilization Report'!$A$4:$U$1800,5,FALSE)</f>
        <v>01101101</v>
      </c>
      <c r="X694" s="319" t="str">
        <f>VLOOKUP(H694,'Fund Utilization Report'!$A$4:$U$1800,6,FALSE)</f>
        <v>GOP</v>
      </c>
      <c r="Y694" s="320" t="str">
        <f>VLOOKUP(H694,'Fund Utilization Report'!$A$4:$U$1800,7,FALSE)</f>
        <v>PS</v>
      </c>
      <c r="Z694" s="321">
        <f>VLOOKUP(H694,'Fund Utilization Report'!$A$4:$U$1800,8,FALSE)</f>
        <v>5010000000</v>
      </c>
      <c r="AA694" s="319" t="str">
        <f>VLOOKUP(H694,'Fund Utilization Report'!$A$4:$U$1800,14,FALSE)</f>
        <v>330100100002000</v>
      </c>
      <c r="AB694" s="349" t="str">
        <f>VLOOKUP(H694,'Fund Utilization Report'!$A$4:$U$1800,15,FALSE)</f>
        <v>Implementation of the MSME Development Plan and other initiatives to promote the growth of Micro, Small and Medium Enterprises</v>
      </c>
      <c r="AC694" s="39"/>
      <c r="AD694" s="34"/>
      <c r="AE694" s="39"/>
      <c r="AF694" s="51"/>
      <c r="AG694" s="40"/>
      <c r="AH694" s="40"/>
    </row>
    <row r="695" spans="1:34" s="32" customFormat="1" ht="27.6">
      <c r="A695" s="338" t="s">
        <v>942</v>
      </c>
      <c r="B695" s="338" t="s">
        <v>945</v>
      </c>
      <c r="C695" s="358">
        <v>44238</v>
      </c>
      <c r="D695" s="351" t="s">
        <v>1028</v>
      </c>
      <c r="E695" s="352" t="s">
        <v>1164</v>
      </c>
      <c r="F695" s="338">
        <v>0.49236111111111108</v>
      </c>
      <c r="G695" s="338">
        <v>0.49861111111111112</v>
      </c>
      <c r="H695" s="338" t="s">
        <v>970</v>
      </c>
      <c r="I695" s="353">
        <v>711</v>
      </c>
      <c r="J695" s="338" t="str">
        <f>IFERROR(VLOOKUP(I695,'Chart of accounts'!A:H,2,FALSE),"")</f>
        <v>50102010 01</v>
      </c>
      <c r="K695" s="338" t="str">
        <f>IFERROR(VLOOKUP(I695,'Chart of accounts'!A:H,3,FALSE),"")</f>
        <v>PERA - Civilian</v>
      </c>
      <c r="L695" s="338" t="str">
        <f>IFERROR(VLOOKUP(I695,'Chart of accounts'!A:H,4,FALSE),"")</f>
        <v>50102010 01 - PERA - Civilian (711)</v>
      </c>
      <c r="M695" s="361">
        <v>68</v>
      </c>
      <c r="N695" s="355" t="s">
        <v>764</v>
      </c>
      <c r="O695" s="355" t="s">
        <v>1113</v>
      </c>
      <c r="P695" s="355"/>
      <c r="Q695" s="363">
        <v>6000</v>
      </c>
      <c r="R695" s="319">
        <f t="shared" si="12"/>
        <v>-6000</v>
      </c>
      <c r="S695" s="319" t="str">
        <f>VLOOKUP(H695,'Fund Utilization Report'!$A$4:$U$1800,13,FALSE)</f>
        <v>PS</v>
      </c>
      <c r="T695" s="319" t="str">
        <f>VLOOKUP(H695,'Fund Utilization Report'!$A$4:$U$1800,2,FALSE)</f>
        <v>GAA</v>
      </c>
      <c r="U695" s="319" t="str">
        <f>VLOOKUP(H695,'Fund Utilization Report'!$A$4:$U$1800,3,FALSE)</f>
        <v>FY2021, RA11518</v>
      </c>
      <c r="V695" s="319" t="str">
        <f>VLOOKUP(H695,'Fund Utilization Report'!$A$4:$U$1800,4,FALSE)</f>
        <v>OO3</v>
      </c>
      <c r="W695" s="319" t="str">
        <f>VLOOKUP(H695,'Fund Utilization Report'!$A$4:$U$1800,5,FALSE)</f>
        <v>01101101</v>
      </c>
      <c r="X695" s="319" t="str">
        <f>VLOOKUP(H695,'Fund Utilization Report'!$A$4:$U$1800,6,FALSE)</f>
        <v>GOP</v>
      </c>
      <c r="Y695" s="320" t="str">
        <f>VLOOKUP(H695,'Fund Utilization Report'!$A$4:$U$1800,7,FALSE)</f>
        <v>PS</v>
      </c>
      <c r="Z695" s="321">
        <f>VLOOKUP(H695,'Fund Utilization Report'!$A$4:$U$1800,8,FALSE)</f>
        <v>5010000000</v>
      </c>
      <c r="AA695" s="319" t="str">
        <f>VLOOKUP(H695,'Fund Utilization Report'!$A$4:$U$1800,14,FALSE)</f>
        <v>330100100002000</v>
      </c>
      <c r="AB695" s="349" t="str">
        <f>VLOOKUP(H695,'Fund Utilization Report'!$A$4:$U$1800,15,FALSE)</f>
        <v>Implementation of the MSME Development Plan and other initiatives to promote the growth of Micro, Small and Medium Enterprises</v>
      </c>
      <c r="AC695" s="39"/>
      <c r="AD695" s="34"/>
      <c r="AE695" s="39"/>
      <c r="AF695" s="51"/>
      <c r="AG695" s="40"/>
      <c r="AH695" s="40"/>
    </row>
    <row r="696" spans="1:34" s="32" customFormat="1" ht="27.6">
      <c r="A696" s="338" t="s">
        <v>942</v>
      </c>
      <c r="B696" s="338" t="s">
        <v>945</v>
      </c>
      <c r="C696" s="358">
        <v>44238</v>
      </c>
      <c r="D696" s="351" t="s">
        <v>1028</v>
      </c>
      <c r="E696" s="352" t="s">
        <v>1164</v>
      </c>
      <c r="F696" s="338">
        <v>0.49236111111111108</v>
      </c>
      <c r="G696" s="338">
        <v>0.49861111111111112</v>
      </c>
      <c r="H696" s="338" t="s">
        <v>972</v>
      </c>
      <c r="I696" s="353">
        <v>731</v>
      </c>
      <c r="J696" s="338" t="str">
        <f>IFERROR(VLOOKUP(I696,'Chart of accounts'!A:H,2,FALSE),"")</f>
        <v>50103010 00</v>
      </c>
      <c r="K696" s="338" t="str">
        <f>IFERROR(VLOOKUP(I696,'Chart of accounts'!A:H,3,FALSE),"")</f>
        <v>Retirement and Life Insurance Premiums</v>
      </c>
      <c r="L696" s="338" t="str">
        <f>IFERROR(VLOOKUP(I696,'Chart of accounts'!A:H,4,FALSE),"")</f>
        <v>50103010 00 - Retirement and Life Insurance Premiums (731)</v>
      </c>
      <c r="M696" s="361">
        <v>68</v>
      </c>
      <c r="N696" s="355" t="s">
        <v>764</v>
      </c>
      <c r="O696" s="355" t="s">
        <v>1113</v>
      </c>
      <c r="P696" s="355"/>
      <c r="Q696" s="363">
        <v>13619.76</v>
      </c>
      <c r="R696" s="319">
        <f t="shared" si="12"/>
        <v>-13619.76</v>
      </c>
      <c r="S696" s="319" t="str">
        <f>VLOOKUP(H696,'Fund Utilization Report'!$A$4:$U$1800,13,FALSE)</f>
        <v>PS</v>
      </c>
      <c r="T696" s="319" t="str">
        <f>VLOOKUP(H696,'Fund Utilization Report'!$A$4:$U$1800,2,FALSE)</f>
        <v>GAA</v>
      </c>
      <c r="U696" s="319" t="str">
        <f>VLOOKUP(H696,'Fund Utilization Report'!$A$4:$U$1800,3,FALSE)</f>
        <v>FY2021, RA11518</v>
      </c>
      <c r="V696" s="319" t="str">
        <f>VLOOKUP(H696,'Fund Utilization Report'!$A$4:$U$1800,4,FALSE)</f>
        <v>OO3</v>
      </c>
      <c r="W696" s="319" t="str">
        <f>VLOOKUP(H696,'Fund Utilization Report'!$A$4:$U$1800,5,FALSE)</f>
        <v>01101101</v>
      </c>
      <c r="X696" s="319" t="str">
        <f>VLOOKUP(H696,'Fund Utilization Report'!$A$4:$U$1800,6,FALSE)</f>
        <v>GOP</v>
      </c>
      <c r="Y696" s="320" t="str">
        <f>VLOOKUP(H696,'Fund Utilization Report'!$A$4:$U$1800,7,FALSE)</f>
        <v>RLIP</v>
      </c>
      <c r="Z696" s="321" t="str">
        <f>VLOOKUP(H696,'Fund Utilization Report'!$A$4:$U$1800,8,FALSE)</f>
        <v>50103010-00</v>
      </c>
      <c r="AA696" s="319" t="str">
        <f>VLOOKUP(H696,'Fund Utilization Report'!$A$4:$U$1800,14,FALSE)</f>
        <v>330100100002000</v>
      </c>
      <c r="AB696" s="349" t="str">
        <f>VLOOKUP(H696,'Fund Utilization Report'!$A$4:$U$1800,15,FALSE)</f>
        <v>Implementation of the MSME Development Plan and other initiatives to promote the growth of Micro, Small and Medium Enterprises</v>
      </c>
      <c r="AC696" s="39"/>
      <c r="AD696" s="34"/>
      <c r="AE696" s="39"/>
      <c r="AF696" s="51"/>
      <c r="AG696" s="40"/>
      <c r="AH696" s="40"/>
    </row>
    <row r="697" spans="1:34" s="32" customFormat="1" ht="27.6">
      <c r="A697" s="338" t="s">
        <v>942</v>
      </c>
      <c r="B697" s="338" t="s">
        <v>945</v>
      </c>
      <c r="C697" s="358">
        <v>44238</v>
      </c>
      <c r="D697" s="351" t="s">
        <v>1028</v>
      </c>
      <c r="E697" s="352" t="s">
        <v>1164</v>
      </c>
      <c r="F697" s="338">
        <v>0.49236111111111108</v>
      </c>
      <c r="G697" s="338">
        <v>0.49861111111111112</v>
      </c>
      <c r="H697" s="338" t="s">
        <v>970</v>
      </c>
      <c r="I697" s="353">
        <v>732</v>
      </c>
      <c r="J697" s="338" t="str">
        <f>IFERROR(VLOOKUP(I697,'Chart of accounts'!A:H,2,FALSE),"")</f>
        <v>50103020 01</v>
      </c>
      <c r="K697" s="338" t="str">
        <f>IFERROR(VLOOKUP(I697,'Chart of accounts'!A:H,3,FALSE),"")</f>
        <v>Pag-IBIG - Civilian</v>
      </c>
      <c r="L697" s="338" t="str">
        <f>IFERROR(VLOOKUP(I697,'Chart of accounts'!A:H,4,FALSE),"")</f>
        <v>50103020 01 - Pag-IBIG - Civilian (732)</v>
      </c>
      <c r="M697" s="361">
        <v>68</v>
      </c>
      <c r="N697" s="355" t="s">
        <v>764</v>
      </c>
      <c r="O697" s="355" t="s">
        <v>1113</v>
      </c>
      <c r="P697" s="355"/>
      <c r="Q697" s="363">
        <v>300</v>
      </c>
      <c r="R697" s="319">
        <f t="shared" si="12"/>
        <v>-300</v>
      </c>
      <c r="S697" s="319" t="str">
        <f>VLOOKUP(H697,'Fund Utilization Report'!$A$4:$U$1800,13,FALSE)</f>
        <v>PS</v>
      </c>
      <c r="T697" s="319" t="str">
        <f>VLOOKUP(H697,'Fund Utilization Report'!$A$4:$U$1800,2,FALSE)</f>
        <v>GAA</v>
      </c>
      <c r="U697" s="319" t="str">
        <f>VLOOKUP(H697,'Fund Utilization Report'!$A$4:$U$1800,3,FALSE)</f>
        <v>FY2021, RA11518</v>
      </c>
      <c r="V697" s="319" t="str">
        <f>VLOOKUP(H697,'Fund Utilization Report'!$A$4:$U$1800,4,FALSE)</f>
        <v>OO3</v>
      </c>
      <c r="W697" s="319" t="str">
        <f>VLOOKUP(H697,'Fund Utilization Report'!$A$4:$U$1800,5,FALSE)</f>
        <v>01101101</v>
      </c>
      <c r="X697" s="319" t="str">
        <f>VLOOKUP(H697,'Fund Utilization Report'!$A$4:$U$1800,6,FALSE)</f>
        <v>GOP</v>
      </c>
      <c r="Y697" s="320" t="str">
        <f>VLOOKUP(H697,'Fund Utilization Report'!$A$4:$U$1800,7,FALSE)</f>
        <v>PS</v>
      </c>
      <c r="Z697" s="321">
        <f>VLOOKUP(H697,'Fund Utilization Report'!$A$4:$U$1800,8,FALSE)</f>
        <v>5010000000</v>
      </c>
      <c r="AA697" s="319" t="str">
        <f>VLOOKUP(H697,'Fund Utilization Report'!$A$4:$U$1800,14,FALSE)</f>
        <v>330100100002000</v>
      </c>
      <c r="AB697" s="349" t="str">
        <f>VLOOKUP(H697,'Fund Utilization Report'!$A$4:$U$1800,15,FALSE)</f>
        <v>Implementation of the MSME Development Plan and other initiatives to promote the growth of Micro, Small and Medium Enterprises</v>
      </c>
      <c r="AC697" s="39"/>
      <c r="AD697" s="34"/>
      <c r="AE697" s="39"/>
      <c r="AF697" s="51"/>
      <c r="AG697" s="40"/>
      <c r="AH697" s="40"/>
    </row>
    <row r="698" spans="1:34" s="32" customFormat="1" ht="27.6">
      <c r="A698" s="338" t="s">
        <v>942</v>
      </c>
      <c r="B698" s="338" t="s">
        <v>945</v>
      </c>
      <c r="C698" s="358">
        <v>44238</v>
      </c>
      <c r="D698" s="351" t="s">
        <v>1028</v>
      </c>
      <c r="E698" s="352" t="s">
        <v>1164</v>
      </c>
      <c r="F698" s="338">
        <v>0.49236111111111108</v>
      </c>
      <c r="G698" s="338">
        <v>0.49861111111111112</v>
      </c>
      <c r="H698" s="338" t="s">
        <v>970</v>
      </c>
      <c r="I698" s="353">
        <v>733</v>
      </c>
      <c r="J698" s="338" t="str">
        <f>IFERROR(VLOOKUP(I698,'Chart of accounts'!A:H,2,FALSE),"")</f>
        <v>50103030 01</v>
      </c>
      <c r="K698" s="338" t="str">
        <f>IFERROR(VLOOKUP(I698,'Chart of accounts'!A:H,3,FALSE),"")</f>
        <v>PhilHealth - Civilian</v>
      </c>
      <c r="L698" s="338" t="str">
        <f>IFERROR(VLOOKUP(I698,'Chart of accounts'!A:H,4,FALSE),"")</f>
        <v>50103030 01 - PhilHealth - Civilian (733)</v>
      </c>
      <c r="M698" s="361">
        <v>68</v>
      </c>
      <c r="N698" s="355" t="s">
        <v>764</v>
      </c>
      <c r="O698" s="355" t="s">
        <v>1113</v>
      </c>
      <c r="P698" s="355"/>
      <c r="Q698" s="363">
        <v>1702.48</v>
      </c>
      <c r="R698" s="319">
        <f t="shared" si="12"/>
        <v>-1702.48</v>
      </c>
      <c r="S698" s="319" t="str">
        <f>VLOOKUP(H698,'Fund Utilization Report'!$A$4:$U$1800,13,FALSE)</f>
        <v>PS</v>
      </c>
      <c r="T698" s="319" t="str">
        <f>VLOOKUP(H698,'Fund Utilization Report'!$A$4:$U$1800,2,FALSE)</f>
        <v>GAA</v>
      </c>
      <c r="U698" s="319" t="str">
        <f>VLOOKUP(H698,'Fund Utilization Report'!$A$4:$U$1800,3,FALSE)</f>
        <v>FY2021, RA11518</v>
      </c>
      <c r="V698" s="319" t="str">
        <f>VLOOKUP(H698,'Fund Utilization Report'!$A$4:$U$1800,4,FALSE)</f>
        <v>OO3</v>
      </c>
      <c r="W698" s="319" t="str">
        <f>VLOOKUP(H698,'Fund Utilization Report'!$A$4:$U$1800,5,FALSE)</f>
        <v>01101101</v>
      </c>
      <c r="X698" s="319" t="str">
        <f>VLOOKUP(H698,'Fund Utilization Report'!$A$4:$U$1800,6,FALSE)</f>
        <v>GOP</v>
      </c>
      <c r="Y698" s="320" t="str">
        <f>VLOOKUP(H698,'Fund Utilization Report'!$A$4:$U$1800,7,FALSE)</f>
        <v>PS</v>
      </c>
      <c r="Z698" s="321">
        <f>VLOOKUP(H698,'Fund Utilization Report'!$A$4:$U$1800,8,FALSE)</f>
        <v>5010000000</v>
      </c>
      <c r="AA698" s="319" t="str">
        <f>VLOOKUP(H698,'Fund Utilization Report'!$A$4:$U$1800,14,FALSE)</f>
        <v>330100100002000</v>
      </c>
      <c r="AB698" s="349" t="str">
        <f>VLOOKUP(H698,'Fund Utilization Report'!$A$4:$U$1800,15,FALSE)</f>
        <v>Implementation of the MSME Development Plan and other initiatives to promote the growth of Micro, Small and Medium Enterprises</v>
      </c>
      <c r="AC698" s="39"/>
      <c r="AD698" s="34"/>
      <c r="AE698" s="39"/>
      <c r="AF698" s="51"/>
      <c r="AG698" s="40"/>
      <c r="AH698" s="40"/>
    </row>
    <row r="699" spans="1:34" s="32" customFormat="1" ht="27.6">
      <c r="A699" s="338" t="s">
        <v>942</v>
      </c>
      <c r="B699" s="338" t="s">
        <v>945</v>
      </c>
      <c r="C699" s="358">
        <v>44238</v>
      </c>
      <c r="D699" s="351" t="s">
        <v>1028</v>
      </c>
      <c r="E699" s="352" t="s">
        <v>1164</v>
      </c>
      <c r="F699" s="338">
        <v>0.49236111111111108</v>
      </c>
      <c r="G699" s="338">
        <v>0.49861111111111112</v>
      </c>
      <c r="H699" s="338" t="s">
        <v>970</v>
      </c>
      <c r="I699" s="353">
        <v>734</v>
      </c>
      <c r="J699" s="338" t="str">
        <f>IFERROR(VLOOKUP(I699,'Chart of accounts'!A:H,2,FALSE),"")</f>
        <v>50103040 01</v>
      </c>
      <c r="K699" s="338" t="str">
        <f>IFERROR(VLOOKUP(I699,'Chart of accounts'!A:H,3,FALSE),"")</f>
        <v>ECIP - Civilian</v>
      </c>
      <c r="L699" s="338" t="str">
        <f>IFERROR(VLOOKUP(I699,'Chart of accounts'!A:H,4,FALSE),"")</f>
        <v>50103040 01 - ECIP - Civilian (734)</v>
      </c>
      <c r="M699" s="361">
        <v>68</v>
      </c>
      <c r="N699" s="355" t="s">
        <v>764</v>
      </c>
      <c r="O699" s="355" t="s">
        <v>1113</v>
      </c>
      <c r="P699" s="355"/>
      <c r="Q699" s="363">
        <v>300</v>
      </c>
      <c r="R699" s="319">
        <f t="shared" si="12"/>
        <v>-300</v>
      </c>
      <c r="S699" s="319" t="str">
        <f>VLOOKUP(H699,'Fund Utilization Report'!$A$4:$U$1800,13,FALSE)</f>
        <v>PS</v>
      </c>
      <c r="T699" s="319" t="str">
        <f>VLOOKUP(H699,'Fund Utilization Report'!$A$4:$U$1800,2,FALSE)</f>
        <v>GAA</v>
      </c>
      <c r="U699" s="319" t="str">
        <f>VLOOKUP(H699,'Fund Utilization Report'!$A$4:$U$1800,3,FALSE)</f>
        <v>FY2021, RA11518</v>
      </c>
      <c r="V699" s="319" t="str">
        <f>VLOOKUP(H699,'Fund Utilization Report'!$A$4:$U$1800,4,FALSE)</f>
        <v>OO3</v>
      </c>
      <c r="W699" s="319" t="str">
        <f>VLOOKUP(H699,'Fund Utilization Report'!$A$4:$U$1800,5,FALSE)</f>
        <v>01101101</v>
      </c>
      <c r="X699" s="319" t="str">
        <f>VLOOKUP(H699,'Fund Utilization Report'!$A$4:$U$1800,6,FALSE)</f>
        <v>GOP</v>
      </c>
      <c r="Y699" s="320" t="str">
        <f>VLOOKUP(H699,'Fund Utilization Report'!$A$4:$U$1800,7,FALSE)</f>
        <v>PS</v>
      </c>
      <c r="Z699" s="321">
        <f>VLOOKUP(H699,'Fund Utilization Report'!$A$4:$U$1800,8,FALSE)</f>
        <v>5010000000</v>
      </c>
      <c r="AA699" s="319" t="str">
        <f>VLOOKUP(H699,'Fund Utilization Report'!$A$4:$U$1800,14,FALSE)</f>
        <v>330100100002000</v>
      </c>
      <c r="AB699" s="349" t="str">
        <f>VLOOKUP(H699,'Fund Utilization Report'!$A$4:$U$1800,15,FALSE)</f>
        <v>Implementation of the MSME Development Plan and other initiatives to promote the growth of Micro, Small and Medium Enterprises</v>
      </c>
      <c r="AC699" s="39"/>
      <c r="AD699" s="34"/>
      <c r="AE699" s="39"/>
      <c r="AF699" s="51"/>
      <c r="AG699" s="40"/>
      <c r="AH699" s="40"/>
    </row>
    <row r="700" spans="1:34" s="32" customFormat="1" ht="27.6">
      <c r="A700" s="338" t="s">
        <v>942</v>
      </c>
      <c r="B700" s="338" t="s">
        <v>945</v>
      </c>
      <c r="C700" s="358">
        <v>44238</v>
      </c>
      <c r="D700" s="351" t="s">
        <v>1028</v>
      </c>
      <c r="E700" s="352" t="s">
        <v>1164</v>
      </c>
      <c r="F700" s="338">
        <v>0.49236111111111108</v>
      </c>
      <c r="G700" s="338">
        <v>0.49861111111111112</v>
      </c>
      <c r="H700" s="338" t="s">
        <v>973</v>
      </c>
      <c r="I700" s="353">
        <v>701</v>
      </c>
      <c r="J700" s="338" t="str">
        <f>IFERROR(VLOOKUP(I700,'Chart of accounts'!A:H,2,FALSE),"")</f>
        <v>50101010 01</v>
      </c>
      <c r="K700" s="338" t="str">
        <f>IFERROR(VLOOKUP(I700,'Chart of accounts'!A:H,3,FALSE),"")</f>
        <v>Basic Salary - Civilian</v>
      </c>
      <c r="L700" s="338" t="str">
        <f>IFERROR(VLOOKUP(I700,'Chart of accounts'!A:H,4,FALSE),"")</f>
        <v>50101010 01 - Basic Salary - Civilian (701)</v>
      </c>
      <c r="M700" s="361">
        <v>68</v>
      </c>
      <c r="N700" s="355" t="s">
        <v>764</v>
      </c>
      <c r="O700" s="355" t="s">
        <v>1113</v>
      </c>
      <c r="P700" s="355"/>
      <c r="Q700" s="363">
        <v>136714</v>
      </c>
      <c r="R700" s="319">
        <f t="shared" si="12"/>
        <v>-136714</v>
      </c>
      <c r="S700" s="319" t="str">
        <f>VLOOKUP(H700,'Fund Utilization Report'!$A$4:$U$1800,13,FALSE)</f>
        <v>PS</v>
      </c>
      <c r="T700" s="319" t="str">
        <f>VLOOKUP(H700,'Fund Utilization Report'!$A$4:$U$1800,2,FALSE)</f>
        <v>GAA</v>
      </c>
      <c r="U700" s="319" t="str">
        <f>VLOOKUP(H700,'Fund Utilization Report'!$A$4:$U$1800,3,FALSE)</f>
        <v>FY2021, RA11518</v>
      </c>
      <c r="V700" s="319" t="str">
        <f>VLOOKUP(H700,'Fund Utilization Report'!$A$4:$U$1800,4,FALSE)</f>
        <v>OO4.1(FTL)</v>
      </c>
      <c r="W700" s="319" t="str">
        <f>VLOOKUP(H700,'Fund Utilization Report'!$A$4:$U$1800,5,FALSE)</f>
        <v>01101101</v>
      </c>
      <c r="X700" s="319" t="str">
        <f>VLOOKUP(H700,'Fund Utilization Report'!$A$4:$U$1800,6,FALSE)</f>
        <v>GOP</v>
      </c>
      <c r="Y700" s="320" t="str">
        <f>VLOOKUP(H700,'Fund Utilization Report'!$A$4:$U$1800,7,FALSE)</f>
        <v>PS</v>
      </c>
      <c r="Z700" s="321">
        <f>VLOOKUP(H700,'Fund Utilization Report'!$A$4:$U$1800,8,FALSE)</f>
        <v>5010000000</v>
      </c>
      <c r="AA700" s="319" t="str">
        <f>VLOOKUP(H700,'Fund Utilization Report'!$A$4:$U$1800,14,FALSE)</f>
        <v>340100100002000</v>
      </c>
      <c r="AB700" s="349" t="str">
        <f>VLOOKUP(H700,'Fund Utilization Report'!$A$4:$U$1800,15,FALSE)</f>
        <v>Monitoring and Enforcement of FTL including consumer complaints handling</v>
      </c>
      <c r="AC700" s="39"/>
      <c r="AD700" s="34"/>
      <c r="AE700" s="39"/>
      <c r="AF700" s="51"/>
      <c r="AG700" s="40"/>
      <c r="AH700" s="40"/>
    </row>
    <row r="701" spans="1:34" s="32" customFormat="1" ht="27.6">
      <c r="A701" s="338" t="s">
        <v>942</v>
      </c>
      <c r="B701" s="338" t="s">
        <v>945</v>
      </c>
      <c r="C701" s="358">
        <v>44238</v>
      </c>
      <c r="D701" s="351" t="s">
        <v>1028</v>
      </c>
      <c r="E701" s="352" t="s">
        <v>1164</v>
      </c>
      <c r="F701" s="338">
        <v>0.49236111111111108</v>
      </c>
      <c r="G701" s="338">
        <v>0.49861111111111112</v>
      </c>
      <c r="H701" s="338" t="s">
        <v>973</v>
      </c>
      <c r="I701" s="353">
        <v>711</v>
      </c>
      <c r="J701" s="338" t="str">
        <f>IFERROR(VLOOKUP(I701,'Chart of accounts'!A:H,2,FALSE),"")</f>
        <v>50102010 01</v>
      </c>
      <c r="K701" s="338" t="str">
        <f>IFERROR(VLOOKUP(I701,'Chart of accounts'!A:H,3,FALSE),"")</f>
        <v>PERA - Civilian</v>
      </c>
      <c r="L701" s="338" t="str">
        <f>IFERROR(VLOOKUP(I701,'Chart of accounts'!A:H,4,FALSE),"")</f>
        <v>50102010 01 - PERA - Civilian (711)</v>
      </c>
      <c r="M701" s="361">
        <v>68</v>
      </c>
      <c r="N701" s="355" t="s">
        <v>764</v>
      </c>
      <c r="O701" s="355" t="s">
        <v>1113</v>
      </c>
      <c r="P701" s="355"/>
      <c r="Q701" s="363">
        <v>6000</v>
      </c>
      <c r="R701" s="319">
        <f t="shared" si="12"/>
        <v>-6000</v>
      </c>
      <c r="S701" s="319" t="str">
        <f>VLOOKUP(H701,'Fund Utilization Report'!$A$4:$U$1800,13,FALSE)</f>
        <v>PS</v>
      </c>
      <c r="T701" s="319" t="str">
        <f>VLOOKUP(H701,'Fund Utilization Report'!$A$4:$U$1800,2,FALSE)</f>
        <v>GAA</v>
      </c>
      <c r="U701" s="319" t="str">
        <f>VLOOKUP(H701,'Fund Utilization Report'!$A$4:$U$1800,3,FALSE)</f>
        <v>FY2021, RA11518</v>
      </c>
      <c r="V701" s="319" t="str">
        <f>VLOOKUP(H701,'Fund Utilization Report'!$A$4:$U$1800,4,FALSE)</f>
        <v>OO4.1(FTL)</v>
      </c>
      <c r="W701" s="319" t="str">
        <f>VLOOKUP(H701,'Fund Utilization Report'!$A$4:$U$1800,5,FALSE)</f>
        <v>01101101</v>
      </c>
      <c r="X701" s="319" t="str">
        <f>VLOOKUP(H701,'Fund Utilization Report'!$A$4:$U$1800,6,FALSE)</f>
        <v>GOP</v>
      </c>
      <c r="Y701" s="320" t="str">
        <f>VLOOKUP(H701,'Fund Utilization Report'!$A$4:$U$1800,7,FALSE)</f>
        <v>PS</v>
      </c>
      <c r="Z701" s="321">
        <f>VLOOKUP(H701,'Fund Utilization Report'!$A$4:$U$1800,8,FALSE)</f>
        <v>5010000000</v>
      </c>
      <c r="AA701" s="319" t="str">
        <f>VLOOKUP(H701,'Fund Utilization Report'!$A$4:$U$1800,14,FALSE)</f>
        <v>340100100002000</v>
      </c>
      <c r="AB701" s="349" t="str">
        <f>VLOOKUP(H701,'Fund Utilization Report'!$A$4:$U$1800,15,FALSE)</f>
        <v>Monitoring and Enforcement of FTL including consumer complaints handling</v>
      </c>
      <c r="AC701" s="39"/>
      <c r="AD701" s="34"/>
      <c r="AE701" s="39"/>
      <c r="AF701" s="51"/>
      <c r="AG701" s="40"/>
      <c r="AH701" s="40"/>
    </row>
    <row r="702" spans="1:34" s="32" customFormat="1" ht="27.6">
      <c r="A702" s="338" t="s">
        <v>942</v>
      </c>
      <c r="B702" s="338" t="s">
        <v>945</v>
      </c>
      <c r="C702" s="358">
        <v>44238</v>
      </c>
      <c r="D702" s="351" t="s">
        <v>1028</v>
      </c>
      <c r="E702" s="352" t="s">
        <v>1164</v>
      </c>
      <c r="F702" s="338">
        <v>0.49236111111111108</v>
      </c>
      <c r="G702" s="338">
        <v>0.49861111111111112</v>
      </c>
      <c r="H702" s="338" t="s">
        <v>975</v>
      </c>
      <c r="I702" s="353">
        <v>731</v>
      </c>
      <c r="J702" s="338" t="str">
        <f>IFERROR(VLOOKUP(I702,'Chart of accounts'!A:H,2,FALSE),"")</f>
        <v>50103010 00</v>
      </c>
      <c r="K702" s="338" t="str">
        <f>IFERROR(VLOOKUP(I702,'Chart of accounts'!A:H,3,FALSE),"")</f>
        <v>Retirement and Life Insurance Premiums</v>
      </c>
      <c r="L702" s="338" t="str">
        <f>IFERROR(VLOOKUP(I702,'Chart of accounts'!A:H,4,FALSE),"")</f>
        <v>50103010 00 - Retirement and Life Insurance Premiums (731)</v>
      </c>
      <c r="M702" s="361">
        <v>68</v>
      </c>
      <c r="N702" s="355" t="s">
        <v>764</v>
      </c>
      <c r="O702" s="355" t="s">
        <v>1113</v>
      </c>
      <c r="P702" s="355"/>
      <c r="Q702" s="363">
        <v>16405.68</v>
      </c>
      <c r="R702" s="319">
        <f t="shared" si="12"/>
        <v>-16405.68</v>
      </c>
      <c r="S702" s="319" t="str">
        <f>VLOOKUP(H702,'Fund Utilization Report'!$A$4:$U$1800,13,FALSE)</f>
        <v>PS</v>
      </c>
      <c r="T702" s="319" t="str">
        <f>VLOOKUP(H702,'Fund Utilization Report'!$A$4:$U$1800,2,FALSE)</f>
        <v>GAA</v>
      </c>
      <c r="U702" s="319" t="str">
        <f>VLOOKUP(H702,'Fund Utilization Report'!$A$4:$U$1800,3,FALSE)</f>
        <v>FY2021, RA11518</v>
      </c>
      <c r="V702" s="319" t="str">
        <f>VLOOKUP(H702,'Fund Utilization Report'!$A$4:$U$1800,4,FALSE)</f>
        <v>OO4.1(FTL)</v>
      </c>
      <c r="W702" s="319" t="str">
        <f>VLOOKUP(H702,'Fund Utilization Report'!$A$4:$U$1800,5,FALSE)</f>
        <v>01101101</v>
      </c>
      <c r="X702" s="319" t="str">
        <f>VLOOKUP(H702,'Fund Utilization Report'!$A$4:$U$1800,6,FALSE)</f>
        <v>GOP</v>
      </c>
      <c r="Y702" s="320" t="str">
        <f>VLOOKUP(H702,'Fund Utilization Report'!$A$4:$U$1800,7,FALSE)</f>
        <v>RLIP</v>
      </c>
      <c r="Z702" s="321" t="str">
        <f>VLOOKUP(H702,'Fund Utilization Report'!$A$4:$U$1800,8,FALSE)</f>
        <v>50103010-00</v>
      </c>
      <c r="AA702" s="319" t="str">
        <f>VLOOKUP(H702,'Fund Utilization Report'!$A$4:$U$1800,14,FALSE)</f>
        <v>340100100002000</v>
      </c>
      <c r="AB702" s="349" t="str">
        <f>VLOOKUP(H702,'Fund Utilization Report'!$A$4:$U$1800,15,FALSE)</f>
        <v>Monitoring and Enforcement of FTL including consumer complaints handling</v>
      </c>
      <c r="AC702" s="39"/>
      <c r="AD702" s="34"/>
      <c r="AE702" s="39"/>
      <c r="AF702" s="51"/>
      <c r="AG702" s="40"/>
      <c r="AH702" s="40"/>
    </row>
    <row r="703" spans="1:34" s="32" customFormat="1" ht="27.6">
      <c r="A703" s="338" t="s">
        <v>942</v>
      </c>
      <c r="B703" s="338" t="s">
        <v>945</v>
      </c>
      <c r="C703" s="358">
        <v>44238</v>
      </c>
      <c r="D703" s="351" t="s">
        <v>1028</v>
      </c>
      <c r="E703" s="352" t="s">
        <v>1164</v>
      </c>
      <c r="F703" s="338">
        <v>0.49236111111111108</v>
      </c>
      <c r="G703" s="338">
        <v>0.49861111111111112</v>
      </c>
      <c r="H703" s="338" t="s">
        <v>973</v>
      </c>
      <c r="I703" s="353">
        <v>732</v>
      </c>
      <c r="J703" s="338" t="str">
        <f>IFERROR(VLOOKUP(I703,'Chart of accounts'!A:H,2,FALSE),"")</f>
        <v>50103020 01</v>
      </c>
      <c r="K703" s="338" t="str">
        <f>IFERROR(VLOOKUP(I703,'Chart of accounts'!A:H,3,FALSE),"")</f>
        <v>Pag-IBIG - Civilian</v>
      </c>
      <c r="L703" s="338" t="str">
        <f>IFERROR(VLOOKUP(I703,'Chart of accounts'!A:H,4,FALSE),"")</f>
        <v>50103020 01 - Pag-IBIG - Civilian (732)</v>
      </c>
      <c r="M703" s="361">
        <v>68</v>
      </c>
      <c r="N703" s="355" t="s">
        <v>764</v>
      </c>
      <c r="O703" s="355" t="s">
        <v>1113</v>
      </c>
      <c r="P703" s="355"/>
      <c r="Q703" s="363">
        <v>300</v>
      </c>
      <c r="R703" s="319">
        <f t="shared" si="12"/>
        <v>-300</v>
      </c>
      <c r="S703" s="319" t="str">
        <f>VLOOKUP(H703,'Fund Utilization Report'!$A$4:$U$1800,13,FALSE)</f>
        <v>PS</v>
      </c>
      <c r="T703" s="319" t="str">
        <f>VLOOKUP(H703,'Fund Utilization Report'!$A$4:$U$1800,2,FALSE)</f>
        <v>GAA</v>
      </c>
      <c r="U703" s="319" t="str">
        <f>VLOOKUP(H703,'Fund Utilization Report'!$A$4:$U$1800,3,FALSE)</f>
        <v>FY2021, RA11518</v>
      </c>
      <c r="V703" s="319" t="str">
        <f>VLOOKUP(H703,'Fund Utilization Report'!$A$4:$U$1800,4,FALSE)</f>
        <v>OO4.1(FTL)</v>
      </c>
      <c r="W703" s="319" t="str">
        <f>VLOOKUP(H703,'Fund Utilization Report'!$A$4:$U$1800,5,FALSE)</f>
        <v>01101101</v>
      </c>
      <c r="X703" s="319" t="str">
        <f>VLOOKUP(H703,'Fund Utilization Report'!$A$4:$U$1800,6,FALSE)</f>
        <v>GOP</v>
      </c>
      <c r="Y703" s="320" t="str">
        <f>VLOOKUP(H703,'Fund Utilization Report'!$A$4:$U$1800,7,FALSE)</f>
        <v>PS</v>
      </c>
      <c r="Z703" s="321">
        <f>VLOOKUP(H703,'Fund Utilization Report'!$A$4:$U$1800,8,FALSE)</f>
        <v>5010000000</v>
      </c>
      <c r="AA703" s="319" t="str">
        <f>VLOOKUP(H703,'Fund Utilization Report'!$A$4:$U$1800,14,FALSE)</f>
        <v>340100100002000</v>
      </c>
      <c r="AB703" s="349" t="str">
        <f>VLOOKUP(H703,'Fund Utilization Report'!$A$4:$U$1800,15,FALSE)</f>
        <v>Monitoring and Enforcement of FTL including consumer complaints handling</v>
      </c>
      <c r="AC703" s="39"/>
      <c r="AD703" s="34"/>
      <c r="AE703" s="39"/>
      <c r="AF703" s="51"/>
      <c r="AG703" s="40"/>
      <c r="AH703" s="40"/>
    </row>
    <row r="704" spans="1:34" s="32" customFormat="1" ht="27.6">
      <c r="A704" s="338" t="s">
        <v>942</v>
      </c>
      <c r="B704" s="338" t="s">
        <v>945</v>
      </c>
      <c r="C704" s="358">
        <v>44238</v>
      </c>
      <c r="D704" s="351" t="s">
        <v>1028</v>
      </c>
      <c r="E704" s="352" t="s">
        <v>1164</v>
      </c>
      <c r="F704" s="338">
        <v>0.49236111111111108</v>
      </c>
      <c r="G704" s="338">
        <v>0.49861111111111112</v>
      </c>
      <c r="H704" s="338" t="s">
        <v>973</v>
      </c>
      <c r="I704" s="353">
        <v>733</v>
      </c>
      <c r="J704" s="338" t="str">
        <f>IFERROR(VLOOKUP(I704,'Chart of accounts'!A:H,2,FALSE),"")</f>
        <v>50103030 01</v>
      </c>
      <c r="K704" s="338" t="str">
        <f>IFERROR(VLOOKUP(I704,'Chart of accounts'!A:H,3,FALSE),"")</f>
        <v>PhilHealth - Civilian</v>
      </c>
      <c r="L704" s="338" t="str">
        <f>IFERROR(VLOOKUP(I704,'Chart of accounts'!A:H,4,FALSE),"")</f>
        <v>50103030 01 - PhilHealth - Civilian (733)</v>
      </c>
      <c r="M704" s="361">
        <v>68</v>
      </c>
      <c r="N704" s="355" t="s">
        <v>764</v>
      </c>
      <c r="O704" s="355" t="s">
        <v>1113</v>
      </c>
      <c r="P704" s="355"/>
      <c r="Q704" s="363">
        <v>1924.49</v>
      </c>
      <c r="R704" s="319">
        <f t="shared" si="12"/>
        <v>-1924.49</v>
      </c>
      <c r="S704" s="319" t="str">
        <f>VLOOKUP(H704,'Fund Utilization Report'!$A$4:$U$1800,13,FALSE)</f>
        <v>PS</v>
      </c>
      <c r="T704" s="319" t="str">
        <f>VLOOKUP(H704,'Fund Utilization Report'!$A$4:$U$1800,2,FALSE)</f>
        <v>GAA</v>
      </c>
      <c r="U704" s="319" t="str">
        <f>VLOOKUP(H704,'Fund Utilization Report'!$A$4:$U$1800,3,FALSE)</f>
        <v>FY2021, RA11518</v>
      </c>
      <c r="V704" s="319" t="str">
        <f>VLOOKUP(H704,'Fund Utilization Report'!$A$4:$U$1800,4,FALSE)</f>
        <v>OO4.1(FTL)</v>
      </c>
      <c r="W704" s="319" t="str">
        <f>VLOOKUP(H704,'Fund Utilization Report'!$A$4:$U$1800,5,FALSE)</f>
        <v>01101101</v>
      </c>
      <c r="X704" s="319" t="str">
        <f>VLOOKUP(H704,'Fund Utilization Report'!$A$4:$U$1800,6,FALSE)</f>
        <v>GOP</v>
      </c>
      <c r="Y704" s="320" t="str">
        <f>VLOOKUP(H704,'Fund Utilization Report'!$A$4:$U$1800,7,FALSE)</f>
        <v>PS</v>
      </c>
      <c r="Z704" s="321">
        <f>VLOOKUP(H704,'Fund Utilization Report'!$A$4:$U$1800,8,FALSE)</f>
        <v>5010000000</v>
      </c>
      <c r="AA704" s="319" t="str">
        <f>VLOOKUP(H704,'Fund Utilization Report'!$A$4:$U$1800,14,FALSE)</f>
        <v>340100100002000</v>
      </c>
      <c r="AB704" s="349" t="str">
        <f>VLOOKUP(H704,'Fund Utilization Report'!$A$4:$U$1800,15,FALSE)</f>
        <v>Monitoring and Enforcement of FTL including consumer complaints handling</v>
      </c>
      <c r="AC704" s="39"/>
      <c r="AD704" s="34"/>
      <c r="AE704" s="39"/>
      <c r="AF704" s="51"/>
      <c r="AG704" s="40"/>
      <c r="AH704" s="40"/>
    </row>
    <row r="705" spans="1:34" s="32" customFormat="1" ht="27.6">
      <c r="A705" s="338" t="s">
        <v>942</v>
      </c>
      <c r="B705" s="338" t="s">
        <v>945</v>
      </c>
      <c r="C705" s="358">
        <v>44238</v>
      </c>
      <c r="D705" s="351" t="s">
        <v>1028</v>
      </c>
      <c r="E705" s="352" t="s">
        <v>1164</v>
      </c>
      <c r="F705" s="338">
        <v>0.49236111111111108</v>
      </c>
      <c r="G705" s="338">
        <v>0.49861111111111112</v>
      </c>
      <c r="H705" s="338" t="s">
        <v>973</v>
      </c>
      <c r="I705" s="353">
        <v>734</v>
      </c>
      <c r="J705" s="338" t="str">
        <f>IFERROR(VLOOKUP(I705,'Chart of accounts'!A:H,2,FALSE),"")</f>
        <v>50103040 01</v>
      </c>
      <c r="K705" s="338" t="str">
        <f>IFERROR(VLOOKUP(I705,'Chart of accounts'!A:H,3,FALSE),"")</f>
        <v>ECIP - Civilian</v>
      </c>
      <c r="L705" s="338" t="str">
        <f>IFERROR(VLOOKUP(I705,'Chart of accounts'!A:H,4,FALSE),"")</f>
        <v>50103040 01 - ECIP - Civilian (734)</v>
      </c>
      <c r="M705" s="361">
        <v>68</v>
      </c>
      <c r="N705" s="355" t="s">
        <v>764</v>
      </c>
      <c r="O705" s="355" t="s">
        <v>1113</v>
      </c>
      <c r="P705" s="355"/>
      <c r="Q705" s="363">
        <v>300</v>
      </c>
      <c r="R705" s="319">
        <f t="shared" si="12"/>
        <v>-300</v>
      </c>
      <c r="S705" s="319" t="str">
        <f>VLOOKUP(H705,'Fund Utilization Report'!$A$4:$U$1800,13,FALSE)</f>
        <v>PS</v>
      </c>
      <c r="T705" s="319" t="str">
        <f>VLOOKUP(H705,'Fund Utilization Report'!$A$4:$U$1800,2,FALSE)</f>
        <v>GAA</v>
      </c>
      <c r="U705" s="319" t="str">
        <f>VLOOKUP(H705,'Fund Utilization Report'!$A$4:$U$1800,3,FALSE)</f>
        <v>FY2021, RA11518</v>
      </c>
      <c r="V705" s="319" t="str">
        <f>VLOOKUP(H705,'Fund Utilization Report'!$A$4:$U$1800,4,FALSE)</f>
        <v>OO4.1(FTL)</v>
      </c>
      <c r="W705" s="319" t="str">
        <f>VLOOKUP(H705,'Fund Utilization Report'!$A$4:$U$1800,5,FALSE)</f>
        <v>01101101</v>
      </c>
      <c r="X705" s="319" t="str">
        <f>VLOOKUP(H705,'Fund Utilization Report'!$A$4:$U$1800,6,FALSE)</f>
        <v>GOP</v>
      </c>
      <c r="Y705" s="320" t="str">
        <f>VLOOKUP(H705,'Fund Utilization Report'!$A$4:$U$1800,7,FALSE)</f>
        <v>PS</v>
      </c>
      <c r="Z705" s="321">
        <f>VLOOKUP(H705,'Fund Utilization Report'!$A$4:$U$1800,8,FALSE)</f>
        <v>5010000000</v>
      </c>
      <c r="AA705" s="319" t="str">
        <f>VLOOKUP(H705,'Fund Utilization Report'!$A$4:$U$1800,14,FALSE)</f>
        <v>340100100002000</v>
      </c>
      <c r="AB705" s="349" t="str">
        <f>VLOOKUP(H705,'Fund Utilization Report'!$A$4:$U$1800,15,FALSE)</f>
        <v>Monitoring and Enforcement of FTL including consumer complaints handling</v>
      </c>
      <c r="AC705" s="39"/>
      <c r="AD705" s="34"/>
      <c r="AE705" s="39"/>
      <c r="AF705" s="51"/>
      <c r="AG705" s="40"/>
      <c r="AH705" s="40"/>
    </row>
    <row r="706" spans="1:34" s="32" customFormat="1" ht="27.6">
      <c r="A706" s="338" t="s">
        <v>942</v>
      </c>
      <c r="B706" s="338" t="s">
        <v>945</v>
      </c>
      <c r="C706" s="358">
        <v>44238</v>
      </c>
      <c r="D706" s="351" t="s">
        <v>1028</v>
      </c>
      <c r="E706" s="352" t="s">
        <v>1167</v>
      </c>
      <c r="F706" s="338">
        <v>0.55555555555555558</v>
      </c>
      <c r="G706" s="338">
        <v>0.55625000000000002</v>
      </c>
      <c r="H706" s="338" t="s">
        <v>999</v>
      </c>
      <c r="I706" s="353">
        <v>706</v>
      </c>
      <c r="J706" s="338" t="str">
        <f>IFERROR(VLOOKUP(I706,'Chart of accounts'!A:H,2,FALSE),"")</f>
        <v>50101020 00</v>
      </c>
      <c r="K706" s="338" t="str">
        <f>IFERROR(VLOOKUP(I706,'Chart of accounts'!A:H,3,FALSE),"")</f>
        <v>Basic Salary - Contractual</v>
      </c>
      <c r="L706" s="338" t="str">
        <f>IFERROR(VLOOKUP(I706,'Chart of accounts'!A:H,4,FALSE),"")</f>
        <v>50101020 00 - Basic Salary - Contractual (706)</v>
      </c>
      <c r="M706" s="361">
        <v>68</v>
      </c>
      <c r="N706" s="355" t="s">
        <v>869</v>
      </c>
      <c r="O706" s="355" t="s">
        <v>1125</v>
      </c>
      <c r="P706" s="355"/>
      <c r="Q706" s="363">
        <v>33575</v>
      </c>
      <c r="R706" s="319">
        <f t="shared" ref="R706:R711" si="13">P706-Q706</f>
        <v>-33575</v>
      </c>
      <c r="S706" s="319" t="str">
        <f>VLOOKUP(H706,'Fund Utilization Report'!$A$4:$U$1800,13,FALSE)</f>
        <v>PS</v>
      </c>
      <c r="T706" s="319" t="str">
        <f>VLOOKUP(H706,'Fund Utilization Report'!$A$4:$U$1800,2,FALSE)</f>
        <v>SAA15</v>
      </c>
      <c r="U706" s="319" t="str">
        <f>VLOOKUP(H706,'Fund Utilization Report'!$A$4:$U$1800,3,FALSE)</f>
        <v>2021-01-0015</v>
      </c>
      <c r="V706" s="319" t="str">
        <f>VLOOKUP(H706,'Fund Utilization Report'!$A$4:$U$1800,4,FALSE)</f>
        <v>CARP</v>
      </c>
      <c r="W706" s="319" t="str">
        <f>VLOOKUP(H706,'Fund Utilization Report'!$A$4:$U$1800,5,FALSE)</f>
        <v>01101101</v>
      </c>
      <c r="X706" s="319" t="str">
        <f>VLOOKUP(H706,'Fund Utilization Report'!$A$4:$U$1800,6,FALSE)</f>
        <v>GOP</v>
      </c>
      <c r="Y706" s="320">
        <f>VLOOKUP(H706,'Fund Utilization Report'!$A$4:$U$1800,7,FALSE)</f>
        <v>706</v>
      </c>
      <c r="Z706" s="321" t="str">
        <f>VLOOKUP(H706,'Fund Utilization Report'!$A$4:$U$1800,8,FALSE)</f>
        <v>50101020 00</v>
      </c>
      <c r="AA706" s="319" t="str">
        <f>VLOOKUP(H706,'Fund Utilization Report'!$A$4:$U$1800,14,FALSE)</f>
        <v>330100100003000</v>
      </c>
      <c r="AB706" s="349" t="str">
        <f>VLOOKUP(H706,'Fund Utilization Report'!$A$4:$U$1800,15,FALSE)</f>
        <v>MSME Development Program : Program Beneficiaries Development Component of the Comprehensive Agrarian Reform Program</v>
      </c>
      <c r="AC706" s="39"/>
      <c r="AD706" s="34"/>
      <c r="AE706" s="39"/>
      <c r="AF706" s="51"/>
      <c r="AG706" s="40"/>
      <c r="AH706" s="40"/>
    </row>
    <row r="707" spans="1:34" s="32" customFormat="1" ht="27.6">
      <c r="A707" s="338" t="s">
        <v>942</v>
      </c>
      <c r="B707" s="338" t="s">
        <v>945</v>
      </c>
      <c r="C707" s="358">
        <v>44238</v>
      </c>
      <c r="D707" s="351" t="s">
        <v>1028</v>
      </c>
      <c r="E707" s="352" t="s">
        <v>1167</v>
      </c>
      <c r="F707" s="338">
        <v>0.55555555555555558</v>
      </c>
      <c r="G707" s="338">
        <v>0.55625000000000002</v>
      </c>
      <c r="H707" s="338" t="s">
        <v>999</v>
      </c>
      <c r="I707" s="353">
        <v>711</v>
      </c>
      <c r="J707" s="338" t="str">
        <f>IFERROR(VLOOKUP(I707,'Chart of accounts'!A:H,2,FALSE),"")</f>
        <v>50102010 01</v>
      </c>
      <c r="K707" s="338" t="str">
        <f>IFERROR(VLOOKUP(I707,'Chart of accounts'!A:H,3,FALSE),"")</f>
        <v>PERA - Civilian</v>
      </c>
      <c r="L707" s="338" t="str">
        <f>IFERROR(VLOOKUP(I707,'Chart of accounts'!A:H,4,FALSE),"")</f>
        <v>50102010 01 - PERA - Civilian (711)</v>
      </c>
      <c r="M707" s="361">
        <v>68</v>
      </c>
      <c r="N707" s="355" t="s">
        <v>869</v>
      </c>
      <c r="O707" s="355" t="s">
        <v>1125</v>
      </c>
      <c r="P707" s="355"/>
      <c r="Q707" s="363">
        <v>2000</v>
      </c>
      <c r="R707" s="319">
        <f t="shared" si="13"/>
        <v>-2000</v>
      </c>
      <c r="S707" s="319" t="str">
        <f>VLOOKUP(H707,'Fund Utilization Report'!$A$4:$U$1800,13,FALSE)</f>
        <v>PS</v>
      </c>
      <c r="T707" s="319" t="str">
        <f>VLOOKUP(H707,'Fund Utilization Report'!$A$4:$U$1800,2,FALSE)</f>
        <v>SAA15</v>
      </c>
      <c r="U707" s="319" t="str">
        <f>VLOOKUP(H707,'Fund Utilization Report'!$A$4:$U$1800,3,FALSE)</f>
        <v>2021-01-0015</v>
      </c>
      <c r="V707" s="319" t="str">
        <f>VLOOKUP(H707,'Fund Utilization Report'!$A$4:$U$1800,4,FALSE)</f>
        <v>CARP</v>
      </c>
      <c r="W707" s="319" t="str">
        <f>VLOOKUP(H707,'Fund Utilization Report'!$A$4:$U$1800,5,FALSE)</f>
        <v>01101101</v>
      </c>
      <c r="X707" s="319" t="str">
        <f>VLOOKUP(H707,'Fund Utilization Report'!$A$4:$U$1800,6,FALSE)</f>
        <v>GOP</v>
      </c>
      <c r="Y707" s="320">
        <f>VLOOKUP(H707,'Fund Utilization Report'!$A$4:$U$1800,7,FALSE)</f>
        <v>706</v>
      </c>
      <c r="Z707" s="321" t="str">
        <f>VLOOKUP(H707,'Fund Utilization Report'!$A$4:$U$1800,8,FALSE)</f>
        <v>50101020 00</v>
      </c>
      <c r="AA707" s="319" t="str">
        <f>VLOOKUP(H707,'Fund Utilization Report'!$A$4:$U$1800,14,FALSE)</f>
        <v>330100100003000</v>
      </c>
      <c r="AB707" s="349" t="str">
        <f>VLOOKUP(H707,'Fund Utilization Report'!$A$4:$U$1800,15,FALSE)</f>
        <v>MSME Development Program : Program Beneficiaries Development Component of the Comprehensive Agrarian Reform Program</v>
      </c>
      <c r="AC707" s="39"/>
      <c r="AD707" s="34"/>
      <c r="AE707" s="39"/>
      <c r="AF707" s="51"/>
      <c r="AG707" s="40"/>
      <c r="AH707" s="40"/>
    </row>
    <row r="708" spans="1:34" s="32" customFormat="1" ht="27.6">
      <c r="A708" s="338" t="s">
        <v>942</v>
      </c>
      <c r="B708" s="338" t="s">
        <v>945</v>
      </c>
      <c r="C708" s="358">
        <v>44238</v>
      </c>
      <c r="D708" s="351" t="s">
        <v>1028</v>
      </c>
      <c r="E708" s="352" t="s">
        <v>1167</v>
      </c>
      <c r="F708" s="338">
        <v>0.55555555555555558</v>
      </c>
      <c r="G708" s="338">
        <v>0.55625000000000002</v>
      </c>
      <c r="H708" s="338" t="s">
        <v>999</v>
      </c>
      <c r="I708" s="353">
        <v>731</v>
      </c>
      <c r="J708" s="338" t="str">
        <f>IFERROR(VLOOKUP(I708,'Chart of accounts'!A:H,2,FALSE),"")</f>
        <v>50103010 00</v>
      </c>
      <c r="K708" s="338" t="str">
        <f>IFERROR(VLOOKUP(I708,'Chart of accounts'!A:H,3,FALSE),"")</f>
        <v>Retirement and Life Insurance Premiums</v>
      </c>
      <c r="L708" s="338" t="str">
        <f>IFERROR(VLOOKUP(I708,'Chart of accounts'!A:H,4,FALSE),"")</f>
        <v>50103010 00 - Retirement and Life Insurance Premiums (731)</v>
      </c>
      <c r="M708" s="361">
        <v>68</v>
      </c>
      <c r="N708" s="355" t="s">
        <v>869</v>
      </c>
      <c r="O708" s="355" t="s">
        <v>1125</v>
      </c>
      <c r="P708" s="355"/>
      <c r="Q708" s="363">
        <v>4029</v>
      </c>
      <c r="R708" s="319">
        <f t="shared" si="13"/>
        <v>-4029</v>
      </c>
      <c r="S708" s="319" t="str">
        <f>VLOOKUP(H708,'Fund Utilization Report'!$A$4:$U$1800,13,FALSE)</f>
        <v>PS</v>
      </c>
      <c r="T708" s="319" t="str">
        <f>VLOOKUP(H708,'Fund Utilization Report'!$A$4:$U$1800,2,FALSE)</f>
        <v>SAA15</v>
      </c>
      <c r="U708" s="319" t="str">
        <f>VLOOKUP(H708,'Fund Utilization Report'!$A$4:$U$1800,3,FALSE)</f>
        <v>2021-01-0015</v>
      </c>
      <c r="V708" s="319" t="str">
        <f>VLOOKUP(H708,'Fund Utilization Report'!$A$4:$U$1800,4,FALSE)</f>
        <v>CARP</v>
      </c>
      <c r="W708" s="319" t="str">
        <f>VLOOKUP(H708,'Fund Utilization Report'!$A$4:$U$1800,5,FALSE)</f>
        <v>01101101</v>
      </c>
      <c r="X708" s="319" t="str">
        <f>VLOOKUP(H708,'Fund Utilization Report'!$A$4:$U$1800,6,FALSE)</f>
        <v>GOP</v>
      </c>
      <c r="Y708" s="320">
        <f>VLOOKUP(H708,'Fund Utilization Report'!$A$4:$U$1800,7,FALSE)</f>
        <v>706</v>
      </c>
      <c r="Z708" s="321" t="str">
        <f>VLOOKUP(H708,'Fund Utilization Report'!$A$4:$U$1800,8,FALSE)</f>
        <v>50101020 00</v>
      </c>
      <c r="AA708" s="319" t="str">
        <f>VLOOKUP(H708,'Fund Utilization Report'!$A$4:$U$1800,14,FALSE)</f>
        <v>330100100003000</v>
      </c>
      <c r="AB708" s="349" t="str">
        <f>VLOOKUP(H708,'Fund Utilization Report'!$A$4:$U$1800,15,FALSE)</f>
        <v>MSME Development Program : Program Beneficiaries Development Component of the Comprehensive Agrarian Reform Program</v>
      </c>
      <c r="AC708" s="39"/>
      <c r="AD708" s="34"/>
      <c r="AE708" s="39"/>
      <c r="AF708" s="51"/>
      <c r="AG708" s="40"/>
      <c r="AH708" s="40"/>
    </row>
    <row r="709" spans="1:34" s="32" customFormat="1" ht="27.6">
      <c r="A709" s="338" t="s">
        <v>942</v>
      </c>
      <c r="B709" s="338" t="s">
        <v>945</v>
      </c>
      <c r="C709" s="358">
        <v>44238</v>
      </c>
      <c r="D709" s="351" t="s">
        <v>1028</v>
      </c>
      <c r="E709" s="352" t="s">
        <v>1167</v>
      </c>
      <c r="F709" s="338">
        <v>0.55555555555555558</v>
      </c>
      <c r="G709" s="338">
        <v>0.55625000000000002</v>
      </c>
      <c r="H709" s="338" t="s">
        <v>999</v>
      </c>
      <c r="I709" s="353">
        <v>732</v>
      </c>
      <c r="J709" s="338" t="str">
        <f>IFERROR(VLOOKUP(I709,'Chart of accounts'!A:H,2,FALSE),"")</f>
        <v>50103020 01</v>
      </c>
      <c r="K709" s="338" t="str">
        <f>IFERROR(VLOOKUP(I709,'Chart of accounts'!A:H,3,FALSE),"")</f>
        <v>Pag-IBIG - Civilian</v>
      </c>
      <c r="L709" s="338" t="str">
        <f>IFERROR(VLOOKUP(I709,'Chart of accounts'!A:H,4,FALSE),"")</f>
        <v>50103020 01 - Pag-IBIG - Civilian (732)</v>
      </c>
      <c r="M709" s="361">
        <v>68</v>
      </c>
      <c r="N709" s="355" t="s">
        <v>869</v>
      </c>
      <c r="O709" s="355" t="s">
        <v>1125</v>
      </c>
      <c r="P709" s="355"/>
      <c r="Q709" s="363">
        <v>100</v>
      </c>
      <c r="R709" s="319">
        <f t="shared" si="13"/>
        <v>-100</v>
      </c>
      <c r="S709" s="319" t="str">
        <f>VLOOKUP(H709,'Fund Utilization Report'!$A$4:$U$1800,13,FALSE)</f>
        <v>PS</v>
      </c>
      <c r="T709" s="319" t="str">
        <f>VLOOKUP(H709,'Fund Utilization Report'!$A$4:$U$1800,2,FALSE)</f>
        <v>SAA15</v>
      </c>
      <c r="U709" s="319" t="str">
        <f>VLOOKUP(H709,'Fund Utilization Report'!$A$4:$U$1800,3,FALSE)</f>
        <v>2021-01-0015</v>
      </c>
      <c r="V709" s="319" t="str">
        <f>VLOOKUP(H709,'Fund Utilization Report'!$A$4:$U$1800,4,FALSE)</f>
        <v>CARP</v>
      </c>
      <c r="W709" s="319" t="str">
        <f>VLOOKUP(H709,'Fund Utilization Report'!$A$4:$U$1800,5,FALSE)</f>
        <v>01101101</v>
      </c>
      <c r="X709" s="319" t="str">
        <f>VLOOKUP(H709,'Fund Utilization Report'!$A$4:$U$1800,6,FALSE)</f>
        <v>GOP</v>
      </c>
      <c r="Y709" s="320">
        <f>VLOOKUP(H709,'Fund Utilization Report'!$A$4:$U$1800,7,FALSE)</f>
        <v>706</v>
      </c>
      <c r="Z709" s="321" t="str">
        <f>VLOOKUP(H709,'Fund Utilization Report'!$A$4:$U$1800,8,FALSE)</f>
        <v>50101020 00</v>
      </c>
      <c r="AA709" s="319" t="str">
        <f>VLOOKUP(H709,'Fund Utilization Report'!$A$4:$U$1800,14,FALSE)</f>
        <v>330100100003000</v>
      </c>
      <c r="AB709" s="349" t="str">
        <f>VLOOKUP(H709,'Fund Utilization Report'!$A$4:$U$1800,15,FALSE)</f>
        <v>MSME Development Program : Program Beneficiaries Development Component of the Comprehensive Agrarian Reform Program</v>
      </c>
      <c r="AC709" s="39"/>
      <c r="AD709" s="34"/>
      <c r="AE709" s="39"/>
      <c r="AF709" s="51"/>
      <c r="AG709" s="40"/>
      <c r="AH709" s="40"/>
    </row>
    <row r="710" spans="1:34" s="32" customFormat="1" ht="27.6">
      <c r="A710" s="338" t="s">
        <v>942</v>
      </c>
      <c r="B710" s="338" t="s">
        <v>945</v>
      </c>
      <c r="C710" s="358">
        <v>44238</v>
      </c>
      <c r="D710" s="351" t="s">
        <v>1028</v>
      </c>
      <c r="E710" s="352" t="s">
        <v>1167</v>
      </c>
      <c r="F710" s="338">
        <v>0.55555555555555558</v>
      </c>
      <c r="G710" s="338">
        <v>0.55625000000000002</v>
      </c>
      <c r="H710" s="338" t="s">
        <v>999</v>
      </c>
      <c r="I710" s="353">
        <v>733</v>
      </c>
      <c r="J710" s="338" t="str">
        <f>IFERROR(VLOOKUP(I710,'Chart of accounts'!A:H,2,FALSE),"")</f>
        <v>50103030 01</v>
      </c>
      <c r="K710" s="338" t="str">
        <f>IFERROR(VLOOKUP(I710,'Chart of accounts'!A:H,3,FALSE),"")</f>
        <v>PhilHealth - Civilian</v>
      </c>
      <c r="L710" s="338" t="str">
        <f>IFERROR(VLOOKUP(I710,'Chart of accounts'!A:H,4,FALSE),"")</f>
        <v>50103030 01 - PhilHealth - Civilian (733)</v>
      </c>
      <c r="M710" s="361">
        <v>68</v>
      </c>
      <c r="N710" s="355" t="s">
        <v>869</v>
      </c>
      <c r="O710" s="355" t="s">
        <v>1125</v>
      </c>
      <c r="P710" s="355"/>
      <c r="Q710" s="363">
        <v>503.63</v>
      </c>
      <c r="R710" s="319">
        <f t="shared" si="13"/>
        <v>-503.63</v>
      </c>
      <c r="S710" s="319" t="str">
        <f>VLOOKUP(H710,'Fund Utilization Report'!$A$4:$U$1800,13,FALSE)</f>
        <v>PS</v>
      </c>
      <c r="T710" s="319" t="str">
        <f>VLOOKUP(H710,'Fund Utilization Report'!$A$4:$U$1800,2,FALSE)</f>
        <v>SAA15</v>
      </c>
      <c r="U710" s="319" t="str">
        <f>VLOOKUP(H710,'Fund Utilization Report'!$A$4:$U$1800,3,FALSE)</f>
        <v>2021-01-0015</v>
      </c>
      <c r="V710" s="319" t="str">
        <f>VLOOKUP(H710,'Fund Utilization Report'!$A$4:$U$1800,4,FALSE)</f>
        <v>CARP</v>
      </c>
      <c r="W710" s="319" t="str">
        <f>VLOOKUP(H710,'Fund Utilization Report'!$A$4:$U$1800,5,FALSE)</f>
        <v>01101101</v>
      </c>
      <c r="X710" s="319" t="str">
        <f>VLOOKUP(H710,'Fund Utilization Report'!$A$4:$U$1800,6,FALSE)</f>
        <v>GOP</v>
      </c>
      <c r="Y710" s="320">
        <f>VLOOKUP(H710,'Fund Utilization Report'!$A$4:$U$1800,7,FALSE)</f>
        <v>706</v>
      </c>
      <c r="Z710" s="321" t="str">
        <f>VLOOKUP(H710,'Fund Utilization Report'!$A$4:$U$1800,8,FALSE)</f>
        <v>50101020 00</v>
      </c>
      <c r="AA710" s="319" t="str">
        <f>VLOOKUP(H710,'Fund Utilization Report'!$A$4:$U$1800,14,FALSE)</f>
        <v>330100100003000</v>
      </c>
      <c r="AB710" s="349" t="str">
        <f>VLOOKUP(H710,'Fund Utilization Report'!$A$4:$U$1800,15,FALSE)</f>
        <v>MSME Development Program : Program Beneficiaries Development Component of the Comprehensive Agrarian Reform Program</v>
      </c>
      <c r="AC710" s="39"/>
      <c r="AD710" s="34"/>
      <c r="AE710" s="39"/>
      <c r="AF710" s="51"/>
      <c r="AG710" s="40"/>
      <c r="AH710" s="40"/>
    </row>
    <row r="711" spans="1:34" s="32" customFormat="1" ht="27.6">
      <c r="A711" s="338" t="s">
        <v>942</v>
      </c>
      <c r="B711" s="338" t="s">
        <v>945</v>
      </c>
      <c r="C711" s="358">
        <v>44238</v>
      </c>
      <c r="D711" s="351" t="s">
        <v>1028</v>
      </c>
      <c r="E711" s="352" t="s">
        <v>1167</v>
      </c>
      <c r="F711" s="338">
        <v>0.55555555555555558</v>
      </c>
      <c r="G711" s="338">
        <v>0.55625000000000002</v>
      </c>
      <c r="H711" s="338" t="s">
        <v>999</v>
      </c>
      <c r="I711" s="353">
        <v>734</v>
      </c>
      <c r="J711" s="338" t="str">
        <f>IFERROR(VLOOKUP(I711,'Chart of accounts'!A:H,2,FALSE),"")</f>
        <v>50103040 01</v>
      </c>
      <c r="K711" s="338" t="str">
        <f>IFERROR(VLOOKUP(I711,'Chart of accounts'!A:H,3,FALSE),"")</f>
        <v>ECIP - Civilian</v>
      </c>
      <c r="L711" s="338" t="str">
        <f>IFERROR(VLOOKUP(I711,'Chart of accounts'!A:H,4,FALSE),"")</f>
        <v>50103040 01 - ECIP - Civilian (734)</v>
      </c>
      <c r="M711" s="361">
        <v>68</v>
      </c>
      <c r="N711" s="355" t="s">
        <v>869</v>
      </c>
      <c r="O711" s="355" t="s">
        <v>1125</v>
      </c>
      <c r="P711" s="355"/>
      <c r="Q711" s="363">
        <v>100</v>
      </c>
      <c r="R711" s="319">
        <f t="shared" si="13"/>
        <v>-100</v>
      </c>
      <c r="S711" s="319" t="str">
        <f>VLOOKUP(H711,'Fund Utilization Report'!$A$4:$U$1800,13,FALSE)</f>
        <v>PS</v>
      </c>
      <c r="T711" s="319" t="str">
        <f>VLOOKUP(H711,'Fund Utilization Report'!$A$4:$U$1800,2,FALSE)</f>
        <v>SAA15</v>
      </c>
      <c r="U711" s="319" t="str">
        <f>VLOOKUP(H711,'Fund Utilization Report'!$A$4:$U$1800,3,FALSE)</f>
        <v>2021-01-0015</v>
      </c>
      <c r="V711" s="319" t="str">
        <f>VLOOKUP(H711,'Fund Utilization Report'!$A$4:$U$1800,4,FALSE)</f>
        <v>CARP</v>
      </c>
      <c r="W711" s="319" t="str">
        <f>VLOOKUP(H711,'Fund Utilization Report'!$A$4:$U$1800,5,FALSE)</f>
        <v>01101101</v>
      </c>
      <c r="X711" s="319" t="str">
        <f>VLOOKUP(H711,'Fund Utilization Report'!$A$4:$U$1800,6,FALSE)</f>
        <v>GOP</v>
      </c>
      <c r="Y711" s="320">
        <f>VLOOKUP(H711,'Fund Utilization Report'!$A$4:$U$1800,7,FALSE)</f>
        <v>706</v>
      </c>
      <c r="Z711" s="321" t="str">
        <f>VLOOKUP(H711,'Fund Utilization Report'!$A$4:$U$1800,8,FALSE)</f>
        <v>50101020 00</v>
      </c>
      <c r="AA711" s="319" t="str">
        <f>VLOOKUP(H711,'Fund Utilization Report'!$A$4:$U$1800,14,FALSE)</f>
        <v>330100100003000</v>
      </c>
      <c r="AB711" s="349" t="str">
        <f>VLOOKUP(H711,'Fund Utilization Report'!$A$4:$U$1800,15,FALSE)</f>
        <v>MSME Development Program : Program Beneficiaries Development Component of the Comprehensive Agrarian Reform Program</v>
      </c>
      <c r="AC711" s="39"/>
      <c r="AD711" s="34"/>
      <c r="AE711" s="39"/>
      <c r="AF711" s="51"/>
      <c r="AG711" s="40"/>
      <c r="AH711" s="40"/>
    </row>
    <row r="712" spans="1:34" s="32" customFormat="1" ht="27.6">
      <c r="A712" s="338" t="s">
        <v>942</v>
      </c>
      <c r="B712" s="338" t="s">
        <v>945</v>
      </c>
      <c r="C712" s="358">
        <v>44238</v>
      </c>
      <c r="D712" s="351" t="s">
        <v>1028</v>
      </c>
      <c r="E712" s="352" t="s">
        <v>1168</v>
      </c>
      <c r="F712" s="338">
        <v>0.56111111111111112</v>
      </c>
      <c r="G712" s="338">
        <v>0.5625</v>
      </c>
      <c r="H712" s="338" t="s">
        <v>970</v>
      </c>
      <c r="I712" s="353">
        <v>701</v>
      </c>
      <c r="J712" s="338" t="str">
        <f>IFERROR(VLOOKUP(I712,'Chart of accounts'!A:H,2,FALSE),"")</f>
        <v>50101010 01</v>
      </c>
      <c r="K712" s="338" t="str">
        <f>IFERROR(VLOOKUP(I712,'Chart of accounts'!A:H,3,FALSE),"")</f>
        <v>Basic Salary - Civilian</v>
      </c>
      <c r="L712" s="338" t="str">
        <f>IFERROR(VLOOKUP(I712,'Chart of accounts'!A:H,4,FALSE),"")</f>
        <v>50101010 01 - Basic Salary - Civilian (701)</v>
      </c>
      <c r="M712" s="361">
        <v>1</v>
      </c>
      <c r="N712" s="355" t="s">
        <v>1165</v>
      </c>
      <c r="O712" s="355" t="s">
        <v>1166</v>
      </c>
      <c r="P712" s="355"/>
      <c r="Q712" s="363">
        <v>10853.18</v>
      </c>
      <c r="R712" s="319">
        <f t="shared" ref="R712:R717" si="14">P712-Q712</f>
        <v>-10853.18</v>
      </c>
      <c r="S712" s="319" t="str">
        <f>VLOOKUP(H712,'Fund Utilization Report'!$A$4:$U$1800,13,FALSE)</f>
        <v>PS</v>
      </c>
      <c r="T712" s="319" t="str">
        <f>VLOOKUP(H712,'Fund Utilization Report'!$A$4:$U$1800,2,FALSE)</f>
        <v>GAA</v>
      </c>
      <c r="U712" s="319" t="str">
        <f>VLOOKUP(H712,'Fund Utilization Report'!$A$4:$U$1800,3,FALSE)</f>
        <v>FY2021, RA11518</v>
      </c>
      <c r="V712" s="319" t="str">
        <f>VLOOKUP(H712,'Fund Utilization Report'!$A$4:$U$1800,4,FALSE)</f>
        <v>OO3</v>
      </c>
      <c r="W712" s="319" t="str">
        <f>VLOOKUP(H712,'Fund Utilization Report'!$A$4:$U$1800,5,FALSE)</f>
        <v>01101101</v>
      </c>
      <c r="X712" s="319" t="str">
        <f>VLOOKUP(H712,'Fund Utilization Report'!$A$4:$U$1800,6,FALSE)</f>
        <v>GOP</v>
      </c>
      <c r="Y712" s="320" t="str">
        <f>VLOOKUP(H712,'Fund Utilization Report'!$A$4:$U$1800,7,FALSE)</f>
        <v>PS</v>
      </c>
      <c r="Z712" s="321">
        <f>VLOOKUP(H712,'Fund Utilization Report'!$A$4:$U$1800,8,FALSE)</f>
        <v>5010000000</v>
      </c>
      <c r="AA712" s="319" t="str">
        <f>VLOOKUP(H712,'Fund Utilization Report'!$A$4:$U$1800,14,FALSE)</f>
        <v>330100100002000</v>
      </c>
      <c r="AB712" s="349" t="str">
        <f>VLOOKUP(H712,'Fund Utilization Report'!$A$4:$U$1800,15,FALSE)</f>
        <v>Implementation of the MSME Development Plan and other initiatives to promote the growth of Micro, Small and Medium Enterprises</v>
      </c>
      <c r="AC712" s="39"/>
      <c r="AD712" s="34"/>
      <c r="AE712" s="39"/>
      <c r="AF712" s="51"/>
      <c r="AG712" s="40"/>
      <c r="AH712" s="40"/>
    </row>
    <row r="713" spans="1:34" s="32" customFormat="1" ht="27.6">
      <c r="A713" s="338" t="s">
        <v>942</v>
      </c>
      <c r="B713" s="338" t="s">
        <v>945</v>
      </c>
      <c r="C713" s="358">
        <v>44238</v>
      </c>
      <c r="D713" s="351" t="s">
        <v>1028</v>
      </c>
      <c r="E713" s="352" t="s">
        <v>1168</v>
      </c>
      <c r="F713" s="338">
        <v>0.56111111111111112</v>
      </c>
      <c r="G713" s="338">
        <v>0.5625</v>
      </c>
      <c r="H713" s="338" t="s">
        <v>970</v>
      </c>
      <c r="I713" s="353">
        <v>711</v>
      </c>
      <c r="J713" s="338" t="str">
        <f>IFERROR(VLOOKUP(I713,'Chart of accounts'!A:H,2,FALSE),"")</f>
        <v>50102010 01</v>
      </c>
      <c r="K713" s="338" t="str">
        <f>IFERROR(VLOOKUP(I713,'Chart of accounts'!A:H,3,FALSE),"")</f>
        <v>PERA - Civilian</v>
      </c>
      <c r="L713" s="338" t="str">
        <f>IFERROR(VLOOKUP(I713,'Chart of accounts'!A:H,4,FALSE),"")</f>
        <v>50102010 01 - PERA - Civilian (711)</v>
      </c>
      <c r="M713" s="361">
        <v>1</v>
      </c>
      <c r="N713" s="355" t="s">
        <v>1165</v>
      </c>
      <c r="O713" s="355" t="s">
        <v>1166</v>
      </c>
      <c r="P713" s="355"/>
      <c r="Q713" s="363">
        <v>909.09</v>
      </c>
      <c r="R713" s="319">
        <f t="shared" si="14"/>
        <v>-909.09</v>
      </c>
      <c r="S713" s="319" t="str">
        <f>VLOOKUP(H713,'Fund Utilization Report'!$A$4:$U$1800,13,FALSE)</f>
        <v>PS</v>
      </c>
      <c r="T713" s="319" t="str">
        <f>VLOOKUP(H713,'Fund Utilization Report'!$A$4:$U$1800,2,FALSE)</f>
        <v>GAA</v>
      </c>
      <c r="U713" s="319" t="str">
        <f>VLOOKUP(H713,'Fund Utilization Report'!$A$4:$U$1800,3,FALSE)</f>
        <v>FY2021, RA11518</v>
      </c>
      <c r="V713" s="319" t="str">
        <f>VLOOKUP(H713,'Fund Utilization Report'!$A$4:$U$1800,4,FALSE)</f>
        <v>OO3</v>
      </c>
      <c r="W713" s="319" t="str">
        <f>VLOOKUP(H713,'Fund Utilization Report'!$A$4:$U$1800,5,FALSE)</f>
        <v>01101101</v>
      </c>
      <c r="X713" s="319" t="str">
        <f>VLOOKUP(H713,'Fund Utilization Report'!$A$4:$U$1800,6,FALSE)</f>
        <v>GOP</v>
      </c>
      <c r="Y713" s="320" t="str">
        <f>VLOOKUP(H713,'Fund Utilization Report'!$A$4:$U$1800,7,FALSE)</f>
        <v>PS</v>
      </c>
      <c r="Z713" s="321">
        <f>VLOOKUP(H713,'Fund Utilization Report'!$A$4:$U$1800,8,FALSE)</f>
        <v>5010000000</v>
      </c>
      <c r="AA713" s="319" t="str">
        <f>VLOOKUP(H713,'Fund Utilization Report'!$A$4:$U$1800,14,FALSE)</f>
        <v>330100100002000</v>
      </c>
      <c r="AB713" s="349" t="str">
        <f>VLOOKUP(H713,'Fund Utilization Report'!$A$4:$U$1800,15,FALSE)</f>
        <v>Implementation of the MSME Development Plan and other initiatives to promote the growth of Micro, Small and Medium Enterprises</v>
      </c>
      <c r="AC713" s="39"/>
      <c r="AD713" s="34"/>
      <c r="AE713" s="39"/>
      <c r="AF713" s="51"/>
      <c r="AG713" s="40"/>
      <c r="AH713" s="40"/>
    </row>
    <row r="714" spans="1:34" s="32" customFormat="1" ht="27.6">
      <c r="A714" s="338" t="s">
        <v>942</v>
      </c>
      <c r="B714" s="338" t="s">
        <v>945</v>
      </c>
      <c r="C714" s="358">
        <v>44238</v>
      </c>
      <c r="D714" s="351" t="s">
        <v>1028</v>
      </c>
      <c r="E714" s="352" t="s">
        <v>1168</v>
      </c>
      <c r="F714" s="338">
        <v>0.56111111111111112</v>
      </c>
      <c r="G714" s="338">
        <v>0.5625</v>
      </c>
      <c r="H714" s="338" t="s">
        <v>972</v>
      </c>
      <c r="I714" s="353">
        <v>731</v>
      </c>
      <c r="J714" s="338" t="str">
        <f>IFERROR(VLOOKUP(I714,'Chart of accounts'!A:H,2,FALSE),"")</f>
        <v>50103010 00</v>
      </c>
      <c r="K714" s="338" t="str">
        <f>IFERROR(VLOOKUP(I714,'Chart of accounts'!A:H,3,FALSE),"")</f>
        <v>Retirement and Life Insurance Premiums</v>
      </c>
      <c r="L714" s="338" t="str">
        <f>IFERROR(VLOOKUP(I714,'Chart of accounts'!A:H,4,FALSE),"")</f>
        <v>50103010 00 - Retirement and Life Insurance Premiums (731)</v>
      </c>
      <c r="M714" s="361">
        <v>1</v>
      </c>
      <c r="N714" s="355" t="s">
        <v>1165</v>
      </c>
      <c r="O714" s="355" t="s">
        <v>1166</v>
      </c>
      <c r="P714" s="355"/>
      <c r="Q714" s="363">
        <v>1293.98</v>
      </c>
      <c r="R714" s="319">
        <f t="shared" si="14"/>
        <v>-1293.98</v>
      </c>
      <c r="S714" s="319" t="str">
        <f>VLOOKUP(H714,'Fund Utilization Report'!$A$4:$U$1800,13,FALSE)</f>
        <v>PS</v>
      </c>
      <c r="T714" s="319" t="str">
        <f>VLOOKUP(H714,'Fund Utilization Report'!$A$4:$U$1800,2,FALSE)</f>
        <v>GAA</v>
      </c>
      <c r="U714" s="319" t="str">
        <f>VLOOKUP(H714,'Fund Utilization Report'!$A$4:$U$1800,3,FALSE)</f>
        <v>FY2021, RA11518</v>
      </c>
      <c r="V714" s="319" t="str">
        <f>VLOOKUP(H714,'Fund Utilization Report'!$A$4:$U$1800,4,FALSE)</f>
        <v>OO3</v>
      </c>
      <c r="W714" s="319" t="str">
        <f>VLOOKUP(H714,'Fund Utilization Report'!$A$4:$U$1800,5,FALSE)</f>
        <v>01101101</v>
      </c>
      <c r="X714" s="319" t="str">
        <f>VLOOKUP(H714,'Fund Utilization Report'!$A$4:$U$1800,6,FALSE)</f>
        <v>GOP</v>
      </c>
      <c r="Y714" s="320" t="str">
        <f>VLOOKUP(H714,'Fund Utilization Report'!$A$4:$U$1800,7,FALSE)</f>
        <v>RLIP</v>
      </c>
      <c r="Z714" s="321" t="str">
        <f>VLOOKUP(H714,'Fund Utilization Report'!$A$4:$U$1800,8,FALSE)</f>
        <v>50103010-00</v>
      </c>
      <c r="AA714" s="319" t="str">
        <f>VLOOKUP(H714,'Fund Utilization Report'!$A$4:$U$1800,14,FALSE)</f>
        <v>330100100002000</v>
      </c>
      <c r="AB714" s="349" t="str">
        <f>VLOOKUP(H714,'Fund Utilization Report'!$A$4:$U$1800,15,FALSE)</f>
        <v>Implementation of the MSME Development Plan and other initiatives to promote the growth of Micro, Small and Medium Enterprises</v>
      </c>
      <c r="AC714" s="39"/>
      <c r="AD714" s="34"/>
      <c r="AE714" s="39"/>
      <c r="AF714" s="51"/>
      <c r="AG714" s="40"/>
      <c r="AH714" s="40"/>
    </row>
    <row r="715" spans="1:34" s="32" customFormat="1" ht="27.6">
      <c r="A715" s="338" t="s">
        <v>942</v>
      </c>
      <c r="B715" s="338" t="s">
        <v>945</v>
      </c>
      <c r="C715" s="358">
        <v>44238</v>
      </c>
      <c r="D715" s="351" t="s">
        <v>1028</v>
      </c>
      <c r="E715" s="352" t="s">
        <v>1168</v>
      </c>
      <c r="F715" s="338">
        <v>0.56111111111111112</v>
      </c>
      <c r="G715" s="338">
        <v>0.5625</v>
      </c>
      <c r="H715" s="338" t="s">
        <v>970</v>
      </c>
      <c r="I715" s="353">
        <v>732</v>
      </c>
      <c r="J715" s="338" t="str">
        <f>IFERROR(VLOOKUP(I715,'Chart of accounts'!A:H,2,FALSE),"")</f>
        <v>50103020 01</v>
      </c>
      <c r="K715" s="338" t="str">
        <f>IFERROR(VLOOKUP(I715,'Chart of accounts'!A:H,3,FALSE),"")</f>
        <v>Pag-IBIG - Civilian</v>
      </c>
      <c r="L715" s="338" t="str">
        <f>IFERROR(VLOOKUP(I715,'Chart of accounts'!A:H,4,FALSE),"")</f>
        <v>50103020 01 - Pag-IBIG - Civilian (732)</v>
      </c>
      <c r="M715" s="361">
        <v>1</v>
      </c>
      <c r="N715" s="355" t="s">
        <v>1165</v>
      </c>
      <c r="O715" s="355" t="s">
        <v>1166</v>
      </c>
      <c r="P715" s="355"/>
      <c r="Q715" s="363">
        <v>100</v>
      </c>
      <c r="R715" s="319">
        <f t="shared" si="14"/>
        <v>-100</v>
      </c>
      <c r="S715" s="319" t="str">
        <f>VLOOKUP(H715,'Fund Utilization Report'!$A$4:$U$1800,13,FALSE)</f>
        <v>PS</v>
      </c>
      <c r="T715" s="319" t="str">
        <f>VLOOKUP(H715,'Fund Utilization Report'!$A$4:$U$1800,2,FALSE)</f>
        <v>GAA</v>
      </c>
      <c r="U715" s="319" t="str">
        <f>VLOOKUP(H715,'Fund Utilization Report'!$A$4:$U$1800,3,FALSE)</f>
        <v>FY2021, RA11518</v>
      </c>
      <c r="V715" s="319" t="str">
        <f>VLOOKUP(H715,'Fund Utilization Report'!$A$4:$U$1800,4,FALSE)</f>
        <v>OO3</v>
      </c>
      <c r="W715" s="319" t="str">
        <f>VLOOKUP(H715,'Fund Utilization Report'!$A$4:$U$1800,5,FALSE)</f>
        <v>01101101</v>
      </c>
      <c r="X715" s="319" t="str">
        <f>VLOOKUP(H715,'Fund Utilization Report'!$A$4:$U$1800,6,FALSE)</f>
        <v>GOP</v>
      </c>
      <c r="Y715" s="320" t="str">
        <f>VLOOKUP(H715,'Fund Utilization Report'!$A$4:$U$1800,7,FALSE)</f>
        <v>PS</v>
      </c>
      <c r="Z715" s="321">
        <f>VLOOKUP(H715,'Fund Utilization Report'!$A$4:$U$1800,8,FALSE)</f>
        <v>5010000000</v>
      </c>
      <c r="AA715" s="319" t="str">
        <f>VLOOKUP(H715,'Fund Utilization Report'!$A$4:$U$1800,14,FALSE)</f>
        <v>330100100002000</v>
      </c>
      <c r="AB715" s="349" t="str">
        <f>VLOOKUP(H715,'Fund Utilization Report'!$A$4:$U$1800,15,FALSE)</f>
        <v>Implementation of the MSME Development Plan and other initiatives to promote the growth of Micro, Small and Medium Enterprises</v>
      </c>
      <c r="AC715" s="39"/>
      <c r="AD715" s="34"/>
      <c r="AE715" s="39"/>
      <c r="AF715" s="51"/>
      <c r="AG715" s="40"/>
      <c r="AH715" s="40"/>
    </row>
    <row r="716" spans="1:34" s="32" customFormat="1" ht="27.6">
      <c r="A716" s="338" t="s">
        <v>942</v>
      </c>
      <c r="B716" s="338" t="s">
        <v>945</v>
      </c>
      <c r="C716" s="358">
        <v>44238</v>
      </c>
      <c r="D716" s="351" t="s">
        <v>1028</v>
      </c>
      <c r="E716" s="352" t="s">
        <v>1168</v>
      </c>
      <c r="F716" s="338">
        <v>0.56111111111111112</v>
      </c>
      <c r="G716" s="338">
        <v>0.5625</v>
      </c>
      <c r="H716" s="338" t="s">
        <v>970</v>
      </c>
      <c r="I716" s="353">
        <v>733</v>
      </c>
      <c r="J716" s="338" t="str">
        <f>IFERROR(VLOOKUP(I716,'Chart of accounts'!A:H,2,FALSE),"")</f>
        <v>50103030 01</v>
      </c>
      <c r="K716" s="338" t="str">
        <f>IFERROR(VLOOKUP(I716,'Chart of accounts'!A:H,3,FALSE),"")</f>
        <v>PhilHealth - Civilian</v>
      </c>
      <c r="L716" s="338" t="str">
        <f>IFERROR(VLOOKUP(I716,'Chart of accounts'!A:H,4,FALSE),"")</f>
        <v>50103030 01 - PhilHealth - Civilian (733)</v>
      </c>
      <c r="M716" s="361">
        <v>1</v>
      </c>
      <c r="N716" s="355" t="s">
        <v>1165</v>
      </c>
      <c r="O716" s="355" t="s">
        <v>1166</v>
      </c>
      <c r="P716" s="355"/>
      <c r="Q716" s="363">
        <v>358.16</v>
      </c>
      <c r="R716" s="319">
        <f t="shared" si="14"/>
        <v>-358.16</v>
      </c>
      <c r="S716" s="319" t="str">
        <f>VLOOKUP(H716,'Fund Utilization Report'!$A$4:$U$1800,13,FALSE)</f>
        <v>PS</v>
      </c>
      <c r="T716" s="319" t="str">
        <f>VLOOKUP(H716,'Fund Utilization Report'!$A$4:$U$1800,2,FALSE)</f>
        <v>GAA</v>
      </c>
      <c r="U716" s="319" t="str">
        <f>VLOOKUP(H716,'Fund Utilization Report'!$A$4:$U$1800,3,FALSE)</f>
        <v>FY2021, RA11518</v>
      </c>
      <c r="V716" s="319" t="str">
        <f>VLOOKUP(H716,'Fund Utilization Report'!$A$4:$U$1800,4,FALSE)</f>
        <v>OO3</v>
      </c>
      <c r="W716" s="319" t="str">
        <f>VLOOKUP(H716,'Fund Utilization Report'!$A$4:$U$1800,5,FALSE)</f>
        <v>01101101</v>
      </c>
      <c r="X716" s="319" t="str">
        <f>VLOOKUP(H716,'Fund Utilization Report'!$A$4:$U$1800,6,FALSE)</f>
        <v>GOP</v>
      </c>
      <c r="Y716" s="320" t="str">
        <f>VLOOKUP(H716,'Fund Utilization Report'!$A$4:$U$1800,7,FALSE)</f>
        <v>PS</v>
      </c>
      <c r="Z716" s="321">
        <f>VLOOKUP(H716,'Fund Utilization Report'!$A$4:$U$1800,8,FALSE)</f>
        <v>5010000000</v>
      </c>
      <c r="AA716" s="319" t="str">
        <f>VLOOKUP(H716,'Fund Utilization Report'!$A$4:$U$1800,14,FALSE)</f>
        <v>330100100002000</v>
      </c>
      <c r="AB716" s="349" t="str">
        <f>VLOOKUP(H716,'Fund Utilization Report'!$A$4:$U$1800,15,FALSE)</f>
        <v>Implementation of the MSME Development Plan and other initiatives to promote the growth of Micro, Small and Medium Enterprises</v>
      </c>
      <c r="AC716" s="39"/>
      <c r="AD716" s="34"/>
      <c r="AE716" s="39"/>
      <c r="AF716" s="51"/>
      <c r="AG716" s="40"/>
      <c r="AH716" s="40"/>
    </row>
    <row r="717" spans="1:34" s="32" customFormat="1" ht="27.6">
      <c r="A717" s="338" t="s">
        <v>942</v>
      </c>
      <c r="B717" s="338" t="s">
        <v>945</v>
      </c>
      <c r="C717" s="358">
        <v>44238</v>
      </c>
      <c r="D717" s="351" t="s">
        <v>1028</v>
      </c>
      <c r="E717" s="352" t="s">
        <v>1168</v>
      </c>
      <c r="F717" s="338">
        <v>0.56111111111111112</v>
      </c>
      <c r="G717" s="338">
        <v>0.5625</v>
      </c>
      <c r="H717" s="338" t="s">
        <v>970</v>
      </c>
      <c r="I717" s="353">
        <v>734</v>
      </c>
      <c r="J717" s="338" t="str">
        <f>IFERROR(VLOOKUP(I717,'Chart of accounts'!A:H,2,FALSE),"")</f>
        <v>50103040 01</v>
      </c>
      <c r="K717" s="338" t="str">
        <f>IFERROR(VLOOKUP(I717,'Chart of accounts'!A:H,3,FALSE),"")</f>
        <v>ECIP - Civilian</v>
      </c>
      <c r="L717" s="338" t="str">
        <f>IFERROR(VLOOKUP(I717,'Chart of accounts'!A:H,4,FALSE),"")</f>
        <v>50103040 01 - ECIP - Civilian (734)</v>
      </c>
      <c r="M717" s="361">
        <v>1</v>
      </c>
      <c r="N717" s="355" t="s">
        <v>1165</v>
      </c>
      <c r="O717" s="355" t="s">
        <v>1166</v>
      </c>
      <c r="P717" s="355"/>
      <c r="Q717" s="363">
        <v>100</v>
      </c>
      <c r="R717" s="319">
        <f t="shared" si="14"/>
        <v>-100</v>
      </c>
      <c r="S717" s="319" t="str">
        <f>VLOOKUP(H717,'Fund Utilization Report'!$A$4:$U$1800,13,FALSE)</f>
        <v>PS</v>
      </c>
      <c r="T717" s="319" t="str">
        <f>VLOOKUP(H717,'Fund Utilization Report'!$A$4:$U$1800,2,FALSE)</f>
        <v>GAA</v>
      </c>
      <c r="U717" s="319" t="str">
        <f>VLOOKUP(H717,'Fund Utilization Report'!$A$4:$U$1800,3,FALSE)</f>
        <v>FY2021, RA11518</v>
      </c>
      <c r="V717" s="319" t="str">
        <f>VLOOKUP(H717,'Fund Utilization Report'!$A$4:$U$1800,4,FALSE)</f>
        <v>OO3</v>
      </c>
      <c r="W717" s="319" t="str">
        <f>VLOOKUP(H717,'Fund Utilization Report'!$A$4:$U$1800,5,FALSE)</f>
        <v>01101101</v>
      </c>
      <c r="X717" s="319" t="str">
        <f>VLOOKUP(H717,'Fund Utilization Report'!$A$4:$U$1800,6,FALSE)</f>
        <v>GOP</v>
      </c>
      <c r="Y717" s="320" t="str">
        <f>VLOOKUP(H717,'Fund Utilization Report'!$A$4:$U$1800,7,FALSE)</f>
        <v>PS</v>
      </c>
      <c r="Z717" s="321">
        <f>VLOOKUP(H717,'Fund Utilization Report'!$A$4:$U$1800,8,FALSE)</f>
        <v>5010000000</v>
      </c>
      <c r="AA717" s="319" t="str">
        <f>VLOOKUP(H717,'Fund Utilization Report'!$A$4:$U$1800,14,FALSE)</f>
        <v>330100100002000</v>
      </c>
      <c r="AB717" s="349" t="str">
        <f>VLOOKUP(H717,'Fund Utilization Report'!$A$4:$U$1800,15,FALSE)</f>
        <v>Implementation of the MSME Development Plan and other initiatives to promote the growth of Micro, Small and Medium Enterprises</v>
      </c>
      <c r="AC717" s="39"/>
      <c r="AD717" s="34"/>
      <c r="AE717" s="39"/>
      <c r="AF717" s="51"/>
      <c r="AG717" s="40"/>
      <c r="AH717" s="40"/>
    </row>
    <row r="718" spans="1:34" s="32" customFormat="1" ht="27.6">
      <c r="A718" s="338" t="s">
        <v>942</v>
      </c>
      <c r="B718" s="338" t="s">
        <v>945</v>
      </c>
      <c r="C718" s="358">
        <v>44238</v>
      </c>
      <c r="D718" s="351" t="s">
        <v>1028</v>
      </c>
      <c r="E718" s="352" t="s">
        <v>1169</v>
      </c>
      <c r="F718" s="338">
        <v>0.5625</v>
      </c>
      <c r="G718" s="338">
        <v>0.56388888888888888</v>
      </c>
      <c r="H718" s="338" t="s">
        <v>970</v>
      </c>
      <c r="I718" s="353">
        <v>701</v>
      </c>
      <c r="J718" s="338" t="str">
        <f>IFERROR(VLOOKUP(I718,'Chart of accounts'!A:H,2,FALSE),"")</f>
        <v>50101010 01</v>
      </c>
      <c r="K718" s="338" t="str">
        <f>IFERROR(VLOOKUP(I718,'Chart of accounts'!A:H,3,FALSE),"")</f>
        <v>Basic Salary - Civilian</v>
      </c>
      <c r="L718" s="338" t="str">
        <f>IFERROR(VLOOKUP(I718,'Chart of accounts'!A:H,4,FALSE),"")</f>
        <v>50101010 01 - Basic Salary - Civilian (701)</v>
      </c>
      <c r="M718" s="361">
        <v>3</v>
      </c>
      <c r="N718" s="355" t="s">
        <v>1170</v>
      </c>
      <c r="O718" s="355" t="s">
        <v>1166</v>
      </c>
      <c r="P718" s="355"/>
      <c r="Q718" s="363">
        <v>10853.18</v>
      </c>
      <c r="R718" s="319">
        <f t="shared" ref="R718:R723" si="15">P718-Q718</f>
        <v>-10853.18</v>
      </c>
      <c r="S718" s="319" t="str">
        <f>VLOOKUP(H718,'Fund Utilization Report'!$A$4:$U$1800,13,FALSE)</f>
        <v>PS</v>
      </c>
      <c r="T718" s="319" t="str">
        <f>VLOOKUP(H718,'Fund Utilization Report'!$A$4:$U$1800,2,FALSE)</f>
        <v>GAA</v>
      </c>
      <c r="U718" s="319" t="str">
        <f>VLOOKUP(H718,'Fund Utilization Report'!$A$4:$U$1800,3,FALSE)</f>
        <v>FY2021, RA11518</v>
      </c>
      <c r="V718" s="319" t="str">
        <f>VLOOKUP(H718,'Fund Utilization Report'!$A$4:$U$1800,4,FALSE)</f>
        <v>OO3</v>
      </c>
      <c r="W718" s="319" t="str">
        <f>VLOOKUP(H718,'Fund Utilization Report'!$A$4:$U$1800,5,FALSE)</f>
        <v>01101101</v>
      </c>
      <c r="X718" s="319" t="str">
        <f>VLOOKUP(H718,'Fund Utilization Report'!$A$4:$U$1800,6,FALSE)</f>
        <v>GOP</v>
      </c>
      <c r="Y718" s="320" t="str">
        <f>VLOOKUP(H718,'Fund Utilization Report'!$A$4:$U$1800,7,FALSE)</f>
        <v>PS</v>
      </c>
      <c r="Z718" s="321">
        <f>VLOOKUP(H718,'Fund Utilization Report'!$A$4:$U$1800,8,FALSE)</f>
        <v>5010000000</v>
      </c>
      <c r="AA718" s="319" t="str">
        <f>VLOOKUP(H718,'Fund Utilization Report'!$A$4:$U$1800,14,FALSE)</f>
        <v>330100100002000</v>
      </c>
      <c r="AB718" s="349" t="str">
        <f>VLOOKUP(H718,'Fund Utilization Report'!$A$4:$U$1800,15,FALSE)</f>
        <v>Implementation of the MSME Development Plan and other initiatives to promote the growth of Micro, Small and Medium Enterprises</v>
      </c>
      <c r="AC718" s="39"/>
      <c r="AD718" s="34"/>
      <c r="AE718" s="39"/>
      <c r="AF718" s="51"/>
      <c r="AG718" s="40"/>
      <c r="AH718" s="40"/>
    </row>
    <row r="719" spans="1:34" s="32" customFormat="1" ht="27.6">
      <c r="A719" s="338" t="s">
        <v>942</v>
      </c>
      <c r="B719" s="338" t="s">
        <v>945</v>
      </c>
      <c r="C719" s="358">
        <v>44238</v>
      </c>
      <c r="D719" s="351" t="s">
        <v>1028</v>
      </c>
      <c r="E719" s="352" t="s">
        <v>1169</v>
      </c>
      <c r="F719" s="338">
        <v>0.5625</v>
      </c>
      <c r="G719" s="338">
        <v>0.56388888888888888</v>
      </c>
      <c r="H719" s="338" t="s">
        <v>970</v>
      </c>
      <c r="I719" s="353">
        <v>711</v>
      </c>
      <c r="J719" s="338" t="str">
        <f>IFERROR(VLOOKUP(I719,'Chart of accounts'!A:H,2,FALSE),"")</f>
        <v>50102010 01</v>
      </c>
      <c r="K719" s="338" t="str">
        <f>IFERROR(VLOOKUP(I719,'Chart of accounts'!A:H,3,FALSE),"")</f>
        <v>PERA - Civilian</v>
      </c>
      <c r="L719" s="338" t="str">
        <f>IFERROR(VLOOKUP(I719,'Chart of accounts'!A:H,4,FALSE),"")</f>
        <v>50102010 01 - PERA - Civilian (711)</v>
      </c>
      <c r="M719" s="361">
        <v>3</v>
      </c>
      <c r="N719" s="355" t="s">
        <v>1170</v>
      </c>
      <c r="O719" s="355" t="s">
        <v>1166</v>
      </c>
      <c r="P719" s="355"/>
      <c r="Q719" s="363">
        <v>909.09</v>
      </c>
      <c r="R719" s="319">
        <f t="shared" si="15"/>
        <v>-909.09</v>
      </c>
      <c r="S719" s="319" t="str">
        <f>VLOOKUP(H719,'Fund Utilization Report'!$A$4:$U$1800,13,FALSE)</f>
        <v>PS</v>
      </c>
      <c r="T719" s="319" t="str">
        <f>VLOOKUP(H719,'Fund Utilization Report'!$A$4:$U$1800,2,FALSE)</f>
        <v>GAA</v>
      </c>
      <c r="U719" s="319" t="str">
        <f>VLOOKUP(H719,'Fund Utilization Report'!$A$4:$U$1800,3,FALSE)</f>
        <v>FY2021, RA11518</v>
      </c>
      <c r="V719" s="319" t="str">
        <f>VLOOKUP(H719,'Fund Utilization Report'!$A$4:$U$1800,4,FALSE)</f>
        <v>OO3</v>
      </c>
      <c r="W719" s="319" t="str">
        <f>VLOOKUP(H719,'Fund Utilization Report'!$A$4:$U$1800,5,FALSE)</f>
        <v>01101101</v>
      </c>
      <c r="X719" s="319" t="str">
        <f>VLOOKUP(H719,'Fund Utilization Report'!$A$4:$U$1800,6,FALSE)</f>
        <v>GOP</v>
      </c>
      <c r="Y719" s="320" t="str">
        <f>VLOOKUP(H719,'Fund Utilization Report'!$A$4:$U$1800,7,FALSE)</f>
        <v>PS</v>
      </c>
      <c r="Z719" s="321">
        <f>VLOOKUP(H719,'Fund Utilization Report'!$A$4:$U$1800,8,FALSE)</f>
        <v>5010000000</v>
      </c>
      <c r="AA719" s="319" t="str">
        <f>VLOOKUP(H719,'Fund Utilization Report'!$A$4:$U$1800,14,FALSE)</f>
        <v>330100100002000</v>
      </c>
      <c r="AB719" s="349" t="str">
        <f>VLOOKUP(H719,'Fund Utilization Report'!$A$4:$U$1800,15,FALSE)</f>
        <v>Implementation of the MSME Development Plan and other initiatives to promote the growth of Micro, Small and Medium Enterprises</v>
      </c>
      <c r="AC719" s="39"/>
      <c r="AD719" s="34"/>
      <c r="AE719" s="39"/>
      <c r="AF719" s="51"/>
      <c r="AG719" s="40"/>
      <c r="AH719" s="40"/>
    </row>
    <row r="720" spans="1:34" s="32" customFormat="1" ht="27.6">
      <c r="A720" s="338" t="s">
        <v>942</v>
      </c>
      <c r="B720" s="338" t="s">
        <v>945</v>
      </c>
      <c r="C720" s="358">
        <v>44238</v>
      </c>
      <c r="D720" s="351" t="s">
        <v>1028</v>
      </c>
      <c r="E720" s="352" t="s">
        <v>1169</v>
      </c>
      <c r="F720" s="338">
        <v>0.5625</v>
      </c>
      <c r="G720" s="338">
        <v>0.56388888888888888</v>
      </c>
      <c r="H720" s="338" t="s">
        <v>972</v>
      </c>
      <c r="I720" s="353">
        <v>731</v>
      </c>
      <c r="J720" s="338" t="str">
        <f>IFERROR(VLOOKUP(I720,'Chart of accounts'!A:H,2,FALSE),"")</f>
        <v>50103010 00</v>
      </c>
      <c r="K720" s="338" t="str">
        <f>IFERROR(VLOOKUP(I720,'Chart of accounts'!A:H,3,FALSE),"")</f>
        <v>Retirement and Life Insurance Premiums</v>
      </c>
      <c r="L720" s="338" t="str">
        <f>IFERROR(VLOOKUP(I720,'Chart of accounts'!A:H,4,FALSE),"")</f>
        <v>50103010 00 - Retirement and Life Insurance Premiums (731)</v>
      </c>
      <c r="M720" s="361">
        <v>3</v>
      </c>
      <c r="N720" s="355" t="s">
        <v>1170</v>
      </c>
      <c r="O720" s="355" t="s">
        <v>1166</v>
      </c>
      <c r="P720" s="355"/>
      <c r="Q720" s="363">
        <v>1293.98</v>
      </c>
      <c r="R720" s="319">
        <f t="shared" si="15"/>
        <v>-1293.98</v>
      </c>
      <c r="S720" s="319" t="str">
        <f>VLOOKUP(H720,'Fund Utilization Report'!$A$4:$U$1800,13,FALSE)</f>
        <v>PS</v>
      </c>
      <c r="T720" s="319" t="str">
        <f>VLOOKUP(H720,'Fund Utilization Report'!$A$4:$U$1800,2,FALSE)</f>
        <v>GAA</v>
      </c>
      <c r="U720" s="319" t="str">
        <f>VLOOKUP(H720,'Fund Utilization Report'!$A$4:$U$1800,3,FALSE)</f>
        <v>FY2021, RA11518</v>
      </c>
      <c r="V720" s="319" t="str">
        <f>VLOOKUP(H720,'Fund Utilization Report'!$A$4:$U$1800,4,FALSE)</f>
        <v>OO3</v>
      </c>
      <c r="W720" s="319" t="str">
        <f>VLOOKUP(H720,'Fund Utilization Report'!$A$4:$U$1800,5,FALSE)</f>
        <v>01101101</v>
      </c>
      <c r="X720" s="319" t="str">
        <f>VLOOKUP(H720,'Fund Utilization Report'!$A$4:$U$1800,6,FALSE)</f>
        <v>GOP</v>
      </c>
      <c r="Y720" s="320" t="str">
        <f>VLOOKUP(H720,'Fund Utilization Report'!$A$4:$U$1800,7,FALSE)</f>
        <v>RLIP</v>
      </c>
      <c r="Z720" s="321" t="str">
        <f>VLOOKUP(H720,'Fund Utilization Report'!$A$4:$U$1800,8,FALSE)</f>
        <v>50103010-00</v>
      </c>
      <c r="AA720" s="319" t="str">
        <f>VLOOKUP(H720,'Fund Utilization Report'!$A$4:$U$1800,14,FALSE)</f>
        <v>330100100002000</v>
      </c>
      <c r="AB720" s="349" t="str">
        <f>VLOOKUP(H720,'Fund Utilization Report'!$A$4:$U$1800,15,FALSE)</f>
        <v>Implementation of the MSME Development Plan and other initiatives to promote the growth of Micro, Small and Medium Enterprises</v>
      </c>
      <c r="AC720" s="39"/>
      <c r="AD720" s="34"/>
      <c r="AE720" s="39"/>
      <c r="AF720" s="51"/>
      <c r="AG720" s="40"/>
      <c r="AH720" s="40"/>
    </row>
    <row r="721" spans="1:34" s="32" customFormat="1" ht="27.6">
      <c r="A721" s="338" t="s">
        <v>942</v>
      </c>
      <c r="B721" s="338" t="s">
        <v>945</v>
      </c>
      <c r="C721" s="358">
        <v>44238</v>
      </c>
      <c r="D721" s="351" t="s">
        <v>1028</v>
      </c>
      <c r="E721" s="352" t="s">
        <v>1169</v>
      </c>
      <c r="F721" s="338">
        <v>0.5625</v>
      </c>
      <c r="G721" s="338">
        <v>0.56388888888888888</v>
      </c>
      <c r="H721" s="338" t="s">
        <v>970</v>
      </c>
      <c r="I721" s="353">
        <v>732</v>
      </c>
      <c r="J721" s="338" t="str">
        <f>IFERROR(VLOOKUP(I721,'Chart of accounts'!A:H,2,FALSE),"")</f>
        <v>50103020 01</v>
      </c>
      <c r="K721" s="338" t="str">
        <f>IFERROR(VLOOKUP(I721,'Chart of accounts'!A:H,3,FALSE),"")</f>
        <v>Pag-IBIG - Civilian</v>
      </c>
      <c r="L721" s="338" t="str">
        <f>IFERROR(VLOOKUP(I721,'Chart of accounts'!A:H,4,FALSE),"")</f>
        <v>50103020 01 - Pag-IBIG - Civilian (732)</v>
      </c>
      <c r="M721" s="361">
        <v>3</v>
      </c>
      <c r="N721" s="355" t="s">
        <v>1170</v>
      </c>
      <c r="O721" s="355" t="s">
        <v>1166</v>
      </c>
      <c r="P721" s="355"/>
      <c r="Q721" s="363">
        <v>100</v>
      </c>
      <c r="R721" s="319">
        <f t="shared" si="15"/>
        <v>-100</v>
      </c>
      <c r="S721" s="319" t="str">
        <f>VLOOKUP(H721,'Fund Utilization Report'!$A$4:$U$1800,13,FALSE)</f>
        <v>PS</v>
      </c>
      <c r="T721" s="319" t="str">
        <f>VLOOKUP(H721,'Fund Utilization Report'!$A$4:$U$1800,2,FALSE)</f>
        <v>GAA</v>
      </c>
      <c r="U721" s="319" t="str">
        <f>VLOOKUP(H721,'Fund Utilization Report'!$A$4:$U$1800,3,FALSE)</f>
        <v>FY2021, RA11518</v>
      </c>
      <c r="V721" s="319" t="str">
        <f>VLOOKUP(H721,'Fund Utilization Report'!$A$4:$U$1800,4,FALSE)</f>
        <v>OO3</v>
      </c>
      <c r="W721" s="319" t="str">
        <f>VLOOKUP(H721,'Fund Utilization Report'!$A$4:$U$1800,5,FALSE)</f>
        <v>01101101</v>
      </c>
      <c r="X721" s="319" t="str">
        <f>VLOOKUP(H721,'Fund Utilization Report'!$A$4:$U$1800,6,FALSE)</f>
        <v>GOP</v>
      </c>
      <c r="Y721" s="320" t="str">
        <f>VLOOKUP(H721,'Fund Utilization Report'!$A$4:$U$1800,7,FALSE)</f>
        <v>PS</v>
      </c>
      <c r="Z721" s="321">
        <f>VLOOKUP(H721,'Fund Utilization Report'!$A$4:$U$1800,8,FALSE)</f>
        <v>5010000000</v>
      </c>
      <c r="AA721" s="319" t="str">
        <f>VLOOKUP(H721,'Fund Utilization Report'!$A$4:$U$1800,14,FALSE)</f>
        <v>330100100002000</v>
      </c>
      <c r="AB721" s="349" t="str">
        <f>VLOOKUP(H721,'Fund Utilization Report'!$A$4:$U$1800,15,FALSE)</f>
        <v>Implementation of the MSME Development Plan and other initiatives to promote the growth of Micro, Small and Medium Enterprises</v>
      </c>
      <c r="AC721" s="39"/>
      <c r="AD721" s="34"/>
      <c r="AE721" s="39"/>
      <c r="AF721" s="51"/>
      <c r="AG721" s="40"/>
      <c r="AH721" s="40"/>
    </row>
    <row r="722" spans="1:34" s="32" customFormat="1" ht="27.6">
      <c r="A722" s="338" t="s">
        <v>942</v>
      </c>
      <c r="B722" s="338" t="s">
        <v>945</v>
      </c>
      <c r="C722" s="358">
        <v>44238</v>
      </c>
      <c r="D722" s="351" t="s">
        <v>1028</v>
      </c>
      <c r="E722" s="352" t="s">
        <v>1169</v>
      </c>
      <c r="F722" s="338">
        <v>0.5625</v>
      </c>
      <c r="G722" s="338">
        <v>0.56388888888888888</v>
      </c>
      <c r="H722" s="338" t="s">
        <v>970</v>
      </c>
      <c r="I722" s="353">
        <v>733</v>
      </c>
      <c r="J722" s="338" t="str">
        <f>IFERROR(VLOOKUP(I722,'Chart of accounts'!A:H,2,FALSE),"")</f>
        <v>50103030 01</v>
      </c>
      <c r="K722" s="338" t="str">
        <f>IFERROR(VLOOKUP(I722,'Chart of accounts'!A:H,3,FALSE),"")</f>
        <v>PhilHealth - Civilian</v>
      </c>
      <c r="L722" s="338" t="str">
        <f>IFERROR(VLOOKUP(I722,'Chart of accounts'!A:H,4,FALSE),"")</f>
        <v>50103030 01 - PhilHealth - Civilian (733)</v>
      </c>
      <c r="M722" s="361">
        <v>3</v>
      </c>
      <c r="N722" s="355" t="s">
        <v>1170</v>
      </c>
      <c r="O722" s="355" t="s">
        <v>1166</v>
      </c>
      <c r="P722" s="355"/>
      <c r="Q722" s="363">
        <v>358.16</v>
      </c>
      <c r="R722" s="319">
        <f t="shared" si="15"/>
        <v>-358.16</v>
      </c>
      <c r="S722" s="319" t="str">
        <f>VLOOKUP(H722,'Fund Utilization Report'!$A$4:$U$1800,13,FALSE)</f>
        <v>PS</v>
      </c>
      <c r="T722" s="319" t="str">
        <f>VLOOKUP(H722,'Fund Utilization Report'!$A$4:$U$1800,2,FALSE)</f>
        <v>GAA</v>
      </c>
      <c r="U722" s="319" t="str">
        <f>VLOOKUP(H722,'Fund Utilization Report'!$A$4:$U$1800,3,FALSE)</f>
        <v>FY2021, RA11518</v>
      </c>
      <c r="V722" s="319" t="str">
        <f>VLOOKUP(H722,'Fund Utilization Report'!$A$4:$U$1800,4,FALSE)</f>
        <v>OO3</v>
      </c>
      <c r="W722" s="319" t="str">
        <f>VLOOKUP(H722,'Fund Utilization Report'!$A$4:$U$1800,5,FALSE)</f>
        <v>01101101</v>
      </c>
      <c r="X722" s="319" t="str">
        <f>VLOOKUP(H722,'Fund Utilization Report'!$A$4:$U$1800,6,FALSE)</f>
        <v>GOP</v>
      </c>
      <c r="Y722" s="320" t="str">
        <f>VLOOKUP(H722,'Fund Utilization Report'!$A$4:$U$1800,7,FALSE)</f>
        <v>PS</v>
      </c>
      <c r="Z722" s="321">
        <f>VLOOKUP(H722,'Fund Utilization Report'!$A$4:$U$1800,8,FALSE)</f>
        <v>5010000000</v>
      </c>
      <c r="AA722" s="319" t="str">
        <f>VLOOKUP(H722,'Fund Utilization Report'!$A$4:$U$1800,14,FALSE)</f>
        <v>330100100002000</v>
      </c>
      <c r="AB722" s="349" t="str">
        <f>VLOOKUP(H722,'Fund Utilization Report'!$A$4:$U$1800,15,FALSE)</f>
        <v>Implementation of the MSME Development Plan and other initiatives to promote the growth of Micro, Small and Medium Enterprises</v>
      </c>
      <c r="AC722" s="39"/>
      <c r="AD722" s="34"/>
      <c r="AE722" s="39"/>
      <c r="AF722" s="51"/>
      <c r="AG722" s="40"/>
      <c r="AH722" s="40"/>
    </row>
    <row r="723" spans="1:34" s="32" customFormat="1" ht="27.6">
      <c r="A723" s="338" t="s">
        <v>942</v>
      </c>
      <c r="B723" s="338" t="s">
        <v>945</v>
      </c>
      <c r="C723" s="358">
        <v>44238</v>
      </c>
      <c r="D723" s="351" t="s">
        <v>1028</v>
      </c>
      <c r="E723" s="352" t="s">
        <v>1169</v>
      </c>
      <c r="F723" s="338">
        <v>0.5625</v>
      </c>
      <c r="G723" s="338">
        <v>0.56388888888888888</v>
      </c>
      <c r="H723" s="338" t="s">
        <v>970</v>
      </c>
      <c r="I723" s="353">
        <v>734</v>
      </c>
      <c r="J723" s="338" t="str">
        <f>IFERROR(VLOOKUP(I723,'Chart of accounts'!A:H,2,FALSE),"")</f>
        <v>50103040 01</v>
      </c>
      <c r="K723" s="338" t="str">
        <f>IFERROR(VLOOKUP(I723,'Chart of accounts'!A:H,3,FALSE),"")</f>
        <v>ECIP - Civilian</v>
      </c>
      <c r="L723" s="338" t="str">
        <f>IFERROR(VLOOKUP(I723,'Chart of accounts'!A:H,4,FALSE),"")</f>
        <v>50103040 01 - ECIP - Civilian (734)</v>
      </c>
      <c r="M723" s="361">
        <v>3</v>
      </c>
      <c r="N723" s="355" t="s">
        <v>1170</v>
      </c>
      <c r="O723" s="355" t="s">
        <v>1166</v>
      </c>
      <c r="P723" s="355"/>
      <c r="Q723" s="363">
        <v>100</v>
      </c>
      <c r="R723" s="319">
        <f t="shared" si="15"/>
        <v>-100</v>
      </c>
      <c r="S723" s="319" t="str">
        <f>VLOOKUP(H723,'Fund Utilization Report'!$A$4:$U$1800,13,FALSE)</f>
        <v>PS</v>
      </c>
      <c r="T723" s="319" t="str">
        <f>VLOOKUP(H723,'Fund Utilization Report'!$A$4:$U$1800,2,FALSE)</f>
        <v>GAA</v>
      </c>
      <c r="U723" s="319" t="str">
        <f>VLOOKUP(H723,'Fund Utilization Report'!$A$4:$U$1800,3,FALSE)</f>
        <v>FY2021, RA11518</v>
      </c>
      <c r="V723" s="319" t="str">
        <f>VLOOKUP(H723,'Fund Utilization Report'!$A$4:$U$1800,4,FALSE)</f>
        <v>OO3</v>
      </c>
      <c r="W723" s="319" t="str">
        <f>VLOOKUP(H723,'Fund Utilization Report'!$A$4:$U$1800,5,FALSE)</f>
        <v>01101101</v>
      </c>
      <c r="X723" s="319" t="str">
        <f>VLOOKUP(H723,'Fund Utilization Report'!$A$4:$U$1800,6,FALSE)</f>
        <v>GOP</v>
      </c>
      <c r="Y723" s="320" t="str">
        <f>VLOOKUP(H723,'Fund Utilization Report'!$A$4:$U$1800,7,FALSE)</f>
        <v>PS</v>
      </c>
      <c r="Z723" s="321">
        <f>VLOOKUP(H723,'Fund Utilization Report'!$A$4:$U$1800,8,FALSE)</f>
        <v>5010000000</v>
      </c>
      <c r="AA723" s="319" t="str">
        <f>VLOOKUP(H723,'Fund Utilization Report'!$A$4:$U$1800,14,FALSE)</f>
        <v>330100100002000</v>
      </c>
      <c r="AB723" s="349" t="str">
        <f>VLOOKUP(H723,'Fund Utilization Report'!$A$4:$U$1800,15,FALSE)</f>
        <v>Implementation of the MSME Development Plan and other initiatives to promote the growth of Micro, Small and Medium Enterprises</v>
      </c>
      <c r="AC723" s="39"/>
      <c r="AD723" s="34"/>
      <c r="AE723" s="39"/>
      <c r="AF723" s="51"/>
      <c r="AG723" s="40"/>
      <c r="AH723" s="40"/>
    </row>
    <row r="724" spans="1:34" s="32" customFormat="1" ht="27.6">
      <c r="A724" s="338" t="s">
        <v>942</v>
      </c>
      <c r="B724" s="338" t="s">
        <v>945</v>
      </c>
      <c r="C724" s="358">
        <v>44238</v>
      </c>
      <c r="D724" s="351" t="s">
        <v>1028</v>
      </c>
      <c r="E724" s="352" t="s">
        <v>1171</v>
      </c>
      <c r="F724" s="338">
        <v>0.56388888888888888</v>
      </c>
      <c r="G724" s="338">
        <v>0.56527777777777777</v>
      </c>
      <c r="H724" s="338" t="s">
        <v>970</v>
      </c>
      <c r="I724" s="353">
        <v>701</v>
      </c>
      <c r="J724" s="338" t="str">
        <f>IFERROR(VLOOKUP(I724,'Chart of accounts'!A:H,2,FALSE),"")</f>
        <v>50101010 01</v>
      </c>
      <c r="K724" s="338" t="str">
        <f>IFERROR(VLOOKUP(I724,'Chart of accounts'!A:H,3,FALSE),"")</f>
        <v>Basic Salary - Civilian</v>
      </c>
      <c r="L724" s="338" t="str">
        <f>IFERROR(VLOOKUP(I724,'Chart of accounts'!A:H,4,FALSE),"")</f>
        <v>50101010 01 - Basic Salary - Civilian (701)</v>
      </c>
      <c r="M724" s="361">
        <v>2</v>
      </c>
      <c r="N724" s="355" t="s">
        <v>1172</v>
      </c>
      <c r="O724" s="355" t="s">
        <v>1166</v>
      </c>
      <c r="P724" s="355"/>
      <c r="Q724" s="363">
        <v>10853.18</v>
      </c>
      <c r="R724" s="319">
        <f t="shared" ref="R724:R729" si="16">P724-Q724</f>
        <v>-10853.18</v>
      </c>
      <c r="S724" s="319" t="str">
        <f>VLOOKUP(H724,'Fund Utilization Report'!$A$4:$U$1800,13,FALSE)</f>
        <v>PS</v>
      </c>
      <c r="T724" s="319" t="str">
        <f>VLOOKUP(H724,'Fund Utilization Report'!$A$4:$U$1800,2,FALSE)</f>
        <v>GAA</v>
      </c>
      <c r="U724" s="319" t="str">
        <f>VLOOKUP(H724,'Fund Utilization Report'!$A$4:$U$1800,3,FALSE)</f>
        <v>FY2021, RA11518</v>
      </c>
      <c r="V724" s="319" t="str">
        <f>VLOOKUP(H724,'Fund Utilization Report'!$A$4:$U$1800,4,FALSE)</f>
        <v>OO3</v>
      </c>
      <c r="W724" s="319" t="str">
        <f>VLOOKUP(H724,'Fund Utilization Report'!$A$4:$U$1800,5,FALSE)</f>
        <v>01101101</v>
      </c>
      <c r="X724" s="319" t="str">
        <f>VLOOKUP(H724,'Fund Utilization Report'!$A$4:$U$1800,6,FALSE)</f>
        <v>GOP</v>
      </c>
      <c r="Y724" s="320" t="str">
        <f>VLOOKUP(H724,'Fund Utilization Report'!$A$4:$U$1800,7,FALSE)</f>
        <v>PS</v>
      </c>
      <c r="Z724" s="321">
        <f>VLOOKUP(H724,'Fund Utilization Report'!$A$4:$U$1800,8,FALSE)</f>
        <v>5010000000</v>
      </c>
      <c r="AA724" s="319" t="str">
        <f>VLOOKUP(H724,'Fund Utilization Report'!$A$4:$U$1800,14,FALSE)</f>
        <v>330100100002000</v>
      </c>
      <c r="AB724" s="349" t="str">
        <f>VLOOKUP(H724,'Fund Utilization Report'!$A$4:$U$1800,15,FALSE)</f>
        <v>Implementation of the MSME Development Plan and other initiatives to promote the growth of Micro, Small and Medium Enterprises</v>
      </c>
      <c r="AC724" s="39"/>
      <c r="AD724" s="34"/>
      <c r="AE724" s="39"/>
      <c r="AF724" s="51"/>
      <c r="AG724" s="40"/>
      <c r="AH724" s="40"/>
    </row>
    <row r="725" spans="1:34" s="32" customFormat="1" ht="27.6">
      <c r="A725" s="338" t="s">
        <v>942</v>
      </c>
      <c r="B725" s="338" t="s">
        <v>945</v>
      </c>
      <c r="C725" s="358">
        <v>44238</v>
      </c>
      <c r="D725" s="351" t="s">
        <v>1028</v>
      </c>
      <c r="E725" s="352" t="s">
        <v>1171</v>
      </c>
      <c r="F725" s="338">
        <v>0.56388888888888888</v>
      </c>
      <c r="G725" s="338">
        <v>0.56527777777777777</v>
      </c>
      <c r="H725" s="338" t="s">
        <v>970</v>
      </c>
      <c r="I725" s="353">
        <v>711</v>
      </c>
      <c r="J725" s="338" t="str">
        <f>IFERROR(VLOOKUP(I725,'Chart of accounts'!A:H,2,FALSE),"")</f>
        <v>50102010 01</v>
      </c>
      <c r="K725" s="338" t="str">
        <f>IFERROR(VLOOKUP(I725,'Chart of accounts'!A:H,3,FALSE),"")</f>
        <v>PERA - Civilian</v>
      </c>
      <c r="L725" s="338" t="str">
        <f>IFERROR(VLOOKUP(I725,'Chart of accounts'!A:H,4,FALSE),"")</f>
        <v>50102010 01 - PERA - Civilian (711)</v>
      </c>
      <c r="M725" s="361">
        <v>2</v>
      </c>
      <c r="N725" s="355" t="s">
        <v>1172</v>
      </c>
      <c r="O725" s="355" t="s">
        <v>1166</v>
      </c>
      <c r="P725" s="355"/>
      <c r="Q725" s="363">
        <v>909.09</v>
      </c>
      <c r="R725" s="319">
        <f t="shared" si="16"/>
        <v>-909.09</v>
      </c>
      <c r="S725" s="319" t="str">
        <f>VLOOKUP(H725,'Fund Utilization Report'!$A$4:$U$1800,13,FALSE)</f>
        <v>PS</v>
      </c>
      <c r="T725" s="319" t="str">
        <f>VLOOKUP(H725,'Fund Utilization Report'!$A$4:$U$1800,2,FALSE)</f>
        <v>GAA</v>
      </c>
      <c r="U725" s="319" t="str">
        <f>VLOOKUP(H725,'Fund Utilization Report'!$A$4:$U$1800,3,FALSE)</f>
        <v>FY2021, RA11518</v>
      </c>
      <c r="V725" s="319" t="str">
        <f>VLOOKUP(H725,'Fund Utilization Report'!$A$4:$U$1800,4,FALSE)</f>
        <v>OO3</v>
      </c>
      <c r="W725" s="319" t="str">
        <f>VLOOKUP(H725,'Fund Utilization Report'!$A$4:$U$1800,5,FALSE)</f>
        <v>01101101</v>
      </c>
      <c r="X725" s="319" t="str">
        <f>VLOOKUP(H725,'Fund Utilization Report'!$A$4:$U$1800,6,FALSE)</f>
        <v>GOP</v>
      </c>
      <c r="Y725" s="320" t="str">
        <f>VLOOKUP(H725,'Fund Utilization Report'!$A$4:$U$1800,7,FALSE)</f>
        <v>PS</v>
      </c>
      <c r="Z725" s="321">
        <f>VLOOKUP(H725,'Fund Utilization Report'!$A$4:$U$1800,8,FALSE)</f>
        <v>5010000000</v>
      </c>
      <c r="AA725" s="319" t="str">
        <f>VLOOKUP(H725,'Fund Utilization Report'!$A$4:$U$1800,14,FALSE)</f>
        <v>330100100002000</v>
      </c>
      <c r="AB725" s="349" t="str">
        <f>VLOOKUP(H725,'Fund Utilization Report'!$A$4:$U$1800,15,FALSE)</f>
        <v>Implementation of the MSME Development Plan and other initiatives to promote the growth of Micro, Small and Medium Enterprises</v>
      </c>
      <c r="AC725" s="39"/>
      <c r="AD725" s="34"/>
      <c r="AE725" s="39"/>
      <c r="AF725" s="51"/>
      <c r="AG725" s="40"/>
      <c r="AH725" s="40"/>
    </row>
    <row r="726" spans="1:34" s="32" customFormat="1" ht="27.6">
      <c r="A726" s="338" t="s">
        <v>942</v>
      </c>
      <c r="B726" s="338" t="s">
        <v>945</v>
      </c>
      <c r="C726" s="358">
        <v>44238</v>
      </c>
      <c r="D726" s="351" t="s">
        <v>1028</v>
      </c>
      <c r="E726" s="352" t="s">
        <v>1171</v>
      </c>
      <c r="F726" s="338">
        <v>0.56388888888888888</v>
      </c>
      <c r="G726" s="338">
        <v>0.56527777777777777</v>
      </c>
      <c r="H726" s="338" t="s">
        <v>972</v>
      </c>
      <c r="I726" s="353">
        <v>731</v>
      </c>
      <c r="J726" s="338" t="str">
        <f>IFERROR(VLOOKUP(I726,'Chart of accounts'!A:H,2,FALSE),"")</f>
        <v>50103010 00</v>
      </c>
      <c r="K726" s="338" t="str">
        <f>IFERROR(VLOOKUP(I726,'Chart of accounts'!A:H,3,FALSE),"")</f>
        <v>Retirement and Life Insurance Premiums</v>
      </c>
      <c r="L726" s="338" t="str">
        <f>IFERROR(VLOOKUP(I726,'Chart of accounts'!A:H,4,FALSE),"")</f>
        <v>50103010 00 - Retirement and Life Insurance Premiums (731)</v>
      </c>
      <c r="M726" s="361">
        <v>2</v>
      </c>
      <c r="N726" s="355" t="s">
        <v>1172</v>
      </c>
      <c r="O726" s="355" t="s">
        <v>1166</v>
      </c>
      <c r="P726" s="355"/>
      <c r="Q726" s="363">
        <v>1293.98</v>
      </c>
      <c r="R726" s="319">
        <f t="shared" si="16"/>
        <v>-1293.98</v>
      </c>
      <c r="S726" s="319" t="str">
        <f>VLOOKUP(H726,'Fund Utilization Report'!$A$4:$U$1800,13,FALSE)</f>
        <v>PS</v>
      </c>
      <c r="T726" s="319" t="str">
        <f>VLOOKUP(H726,'Fund Utilization Report'!$A$4:$U$1800,2,FALSE)</f>
        <v>GAA</v>
      </c>
      <c r="U726" s="319" t="str">
        <f>VLOOKUP(H726,'Fund Utilization Report'!$A$4:$U$1800,3,FALSE)</f>
        <v>FY2021, RA11518</v>
      </c>
      <c r="V726" s="319" t="str">
        <f>VLOOKUP(H726,'Fund Utilization Report'!$A$4:$U$1800,4,FALSE)</f>
        <v>OO3</v>
      </c>
      <c r="W726" s="319" t="str">
        <f>VLOOKUP(H726,'Fund Utilization Report'!$A$4:$U$1800,5,FALSE)</f>
        <v>01101101</v>
      </c>
      <c r="X726" s="319" t="str">
        <f>VLOOKUP(H726,'Fund Utilization Report'!$A$4:$U$1800,6,FALSE)</f>
        <v>GOP</v>
      </c>
      <c r="Y726" s="320" t="str">
        <f>VLOOKUP(H726,'Fund Utilization Report'!$A$4:$U$1800,7,FALSE)</f>
        <v>RLIP</v>
      </c>
      <c r="Z726" s="321" t="str">
        <f>VLOOKUP(H726,'Fund Utilization Report'!$A$4:$U$1800,8,FALSE)</f>
        <v>50103010-00</v>
      </c>
      <c r="AA726" s="319" t="str">
        <f>VLOOKUP(H726,'Fund Utilization Report'!$A$4:$U$1800,14,FALSE)</f>
        <v>330100100002000</v>
      </c>
      <c r="AB726" s="349" t="str">
        <f>VLOOKUP(H726,'Fund Utilization Report'!$A$4:$U$1800,15,FALSE)</f>
        <v>Implementation of the MSME Development Plan and other initiatives to promote the growth of Micro, Small and Medium Enterprises</v>
      </c>
      <c r="AC726" s="39"/>
      <c r="AD726" s="34"/>
      <c r="AE726" s="39"/>
      <c r="AF726" s="51"/>
      <c r="AG726" s="40"/>
      <c r="AH726" s="40"/>
    </row>
    <row r="727" spans="1:34" s="32" customFormat="1" ht="27.6">
      <c r="A727" s="338" t="s">
        <v>942</v>
      </c>
      <c r="B727" s="338" t="s">
        <v>945</v>
      </c>
      <c r="C727" s="358">
        <v>44238</v>
      </c>
      <c r="D727" s="351" t="s">
        <v>1028</v>
      </c>
      <c r="E727" s="352" t="s">
        <v>1171</v>
      </c>
      <c r="F727" s="338">
        <v>0.56388888888888888</v>
      </c>
      <c r="G727" s="338">
        <v>0.56527777777777777</v>
      </c>
      <c r="H727" s="338" t="s">
        <v>970</v>
      </c>
      <c r="I727" s="353">
        <v>732</v>
      </c>
      <c r="J727" s="338" t="str">
        <f>IFERROR(VLOOKUP(I727,'Chart of accounts'!A:H,2,FALSE),"")</f>
        <v>50103020 01</v>
      </c>
      <c r="K727" s="338" t="str">
        <f>IFERROR(VLOOKUP(I727,'Chart of accounts'!A:H,3,FALSE),"")</f>
        <v>Pag-IBIG - Civilian</v>
      </c>
      <c r="L727" s="338" t="str">
        <f>IFERROR(VLOOKUP(I727,'Chart of accounts'!A:H,4,FALSE),"")</f>
        <v>50103020 01 - Pag-IBIG - Civilian (732)</v>
      </c>
      <c r="M727" s="361">
        <v>2</v>
      </c>
      <c r="N727" s="355" t="s">
        <v>1172</v>
      </c>
      <c r="O727" s="355" t="s">
        <v>1166</v>
      </c>
      <c r="P727" s="355"/>
      <c r="Q727" s="363">
        <v>100</v>
      </c>
      <c r="R727" s="319">
        <f t="shared" si="16"/>
        <v>-100</v>
      </c>
      <c r="S727" s="319" t="str">
        <f>VLOOKUP(H727,'Fund Utilization Report'!$A$4:$U$1800,13,FALSE)</f>
        <v>PS</v>
      </c>
      <c r="T727" s="319" t="str">
        <f>VLOOKUP(H727,'Fund Utilization Report'!$A$4:$U$1800,2,FALSE)</f>
        <v>GAA</v>
      </c>
      <c r="U727" s="319" t="str">
        <f>VLOOKUP(H727,'Fund Utilization Report'!$A$4:$U$1800,3,FALSE)</f>
        <v>FY2021, RA11518</v>
      </c>
      <c r="V727" s="319" t="str">
        <f>VLOOKUP(H727,'Fund Utilization Report'!$A$4:$U$1800,4,FALSE)</f>
        <v>OO3</v>
      </c>
      <c r="W727" s="319" t="str">
        <f>VLOOKUP(H727,'Fund Utilization Report'!$A$4:$U$1800,5,FALSE)</f>
        <v>01101101</v>
      </c>
      <c r="X727" s="319" t="str">
        <f>VLOOKUP(H727,'Fund Utilization Report'!$A$4:$U$1800,6,FALSE)</f>
        <v>GOP</v>
      </c>
      <c r="Y727" s="320" t="str">
        <f>VLOOKUP(H727,'Fund Utilization Report'!$A$4:$U$1800,7,FALSE)</f>
        <v>PS</v>
      </c>
      <c r="Z727" s="321">
        <f>VLOOKUP(H727,'Fund Utilization Report'!$A$4:$U$1800,8,FALSE)</f>
        <v>5010000000</v>
      </c>
      <c r="AA727" s="319" t="str">
        <f>VLOOKUP(H727,'Fund Utilization Report'!$A$4:$U$1800,14,FALSE)</f>
        <v>330100100002000</v>
      </c>
      <c r="AB727" s="349" t="str">
        <f>VLOOKUP(H727,'Fund Utilization Report'!$A$4:$U$1800,15,FALSE)</f>
        <v>Implementation of the MSME Development Plan and other initiatives to promote the growth of Micro, Small and Medium Enterprises</v>
      </c>
      <c r="AC727" s="39"/>
      <c r="AD727" s="34"/>
      <c r="AE727" s="39"/>
      <c r="AF727" s="51"/>
      <c r="AG727" s="40"/>
      <c r="AH727" s="40"/>
    </row>
    <row r="728" spans="1:34" s="32" customFormat="1" ht="27.6">
      <c r="A728" s="338" t="s">
        <v>942</v>
      </c>
      <c r="B728" s="338" t="s">
        <v>945</v>
      </c>
      <c r="C728" s="358">
        <v>44238</v>
      </c>
      <c r="D728" s="351" t="s">
        <v>1028</v>
      </c>
      <c r="E728" s="352" t="s">
        <v>1171</v>
      </c>
      <c r="F728" s="338">
        <v>0.56388888888888888</v>
      </c>
      <c r="G728" s="338">
        <v>0.56527777777777777</v>
      </c>
      <c r="H728" s="338" t="s">
        <v>970</v>
      </c>
      <c r="I728" s="353">
        <v>733</v>
      </c>
      <c r="J728" s="338" t="str">
        <f>IFERROR(VLOOKUP(I728,'Chart of accounts'!A:H,2,FALSE),"")</f>
        <v>50103030 01</v>
      </c>
      <c r="K728" s="338" t="str">
        <f>IFERROR(VLOOKUP(I728,'Chart of accounts'!A:H,3,FALSE),"")</f>
        <v>PhilHealth - Civilian</v>
      </c>
      <c r="L728" s="338" t="str">
        <f>IFERROR(VLOOKUP(I728,'Chart of accounts'!A:H,4,FALSE),"")</f>
        <v>50103030 01 - PhilHealth - Civilian (733)</v>
      </c>
      <c r="M728" s="361">
        <v>2</v>
      </c>
      <c r="N728" s="355" t="s">
        <v>1172</v>
      </c>
      <c r="O728" s="355" t="s">
        <v>1166</v>
      </c>
      <c r="P728" s="355"/>
      <c r="Q728" s="363">
        <v>358.16</v>
      </c>
      <c r="R728" s="319">
        <f t="shared" si="16"/>
        <v>-358.16</v>
      </c>
      <c r="S728" s="319" t="str">
        <f>VLOOKUP(H728,'Fund Utilization Report'!$A$4:$U$1800,13,FALSE)</f>
        <v>PS</v>
      </c>
      <c r="T728" s="319" t="str">
        <f>VLOOKUP(H728,'Fund Utilization Report'!$A$4:$U$1800,2,FALSE)</f>
        <v>GAA</v>
      </c>
      <c r="U728" s="319" t="str">
        <f>VLOOKUP(H728,'Fund Utilization Report'!$A$4:$U$1800,3,FALSE)</f>
        <v>FY2021, RA11518</v>
      </c>
      <c r="V728" s="319" t="str">
        <f>VLOOKUP(H728,'Fund Utilization Report'!$A$4:$U$1800,4,FALSE)</f>
        <v>OO3</v>
      </c>
      <c r="W728" s="319" t="str">
        <f>VLOOKUP(H728,'Fund Utilization Report'!$A$4:$U$1800,5,FALSE)</f>
        <v>01101101</v>
      </c>
      <c r="X728" s="319" t="str">
        <f>VLOOKUP(H728,'Fund Utilization Report'!$A$4:$U$1800,6,FALSE)</f>
        <v>GOP</v>
      </c>
      <c r="Y728" s="320" t="str">
        <f>VLOOKUP(H728,'Fund Utilization Report'!$A$4:$U$1800,7,FALSE)</f>
        <v>PS</v>
      </c>
      <c r="Z728" s="321">
        <f>VLOOKUP(H728,'Fund Utilization Report'!$A$4:$U$1800,8,FALSE)</f>
        <v>5010000000</v>
      </c>
      <c r="AA728" s="319" t="str">
        <f>VLOOKUP(H728,'Fund Utilization Report'!$A$4:$U$1800,14,FALSE)</f>
        <v>330100100002000</v>
      </c>
      <c r="AB728" s="349" t="str">
        <f>VLOOKUP(H728,'Fund Utilization Report'!$A$4:$U$1800,15,FALSE)</f>
        <v>Implementation of the MSME Development Plan and other initiatives to promote the growth of Micro, Small and Medium Enterprises</v>
      </c>
      <c r="AC728" s="39"/>
      <c r="AD728" s="34"/>
      <c r="AE728" s="39"/>
      <c r="AF728" s="51"/>
      <c r="AG728" s="40"/>
      <c r="AH728" s="40"/>
    </row>
    <row r="729" spans="1:34" s="32" customFormat="1" ht="27.6">
      <c r="A729" s="338" t="s">
        <v>942</v>
      </c>
      <c r="B729" s="338" t="s">
        <v>945</v>
      </c>
      <c r="C729" s="358">
        <v>44238</v>
      </c>
      <c r="D729" s="351" t="s">
        <v>1028</v>
      </c>
      <c r="E729" s="352" t="s">
        <v>1171</v>
      </c>
      <c r="F729" s="338">
        <v>0.56388888888888888</v>
      </c>
      <c r="G729" s="338">
        <v>0.56527777777777777</v>
      </c>
      <c r="H729" s="338" t="s">
        <v>970</v>
      </c>
      <c r="I729" s="353">
        <v>734</v>
      </c>
      <c r="J729" s="338" t="str">
        <f>IFERROR(VLOOKUP(I729,'Chart of accounts'!A:H,2,FALSE),"")</f>
        <v>50103040 01</v>
      </c>
      <c r="K729" s="338" t="str">
        <f>IFERROR(VLOOKUP(I729,'Chart of accounts'!A:H,3,FALSE),"")</f>
        <v>ECIP - Civilian</v>
      </c>
      <c r="L729" s="338" t="str">
        <f>IFERROR(VLOOKUP(I729,'Chart of accounts'!A:H,4,FALSE),"")</f>
        <v>50103040 01 - ECIP - Civilian (734)</v>
      </c>
      <c r="M729" s="361">
        <v>2</v>
      </c>
      <c r="N729" s="355" t="s">
        <v>1172</v>
      </c>
      <c r="O729" s="355" t="s">
        <v>1166</v>
      </c>
      <c r="P729" s="355"/>
      <c r="Q729" s="363">
        <v>100</v>
      </c>
      <c r="R729" s="319">
        <f t="shared" si="16"/>
        <v>-100</v>
      </c>
      <c r="S729" s="319" t="str">
        <f>VLOOKUP(H729,'Fund Utilization Report'!$A$4:$U$1800,13,FALSE)</f>
        <v>PS</v>
      </c>
      <c r="T729" s="319" t="str">
        <f>VLOOKUP(H729,'Fund Utilization Report'!$A$4:$U$1800,2,FALSE)</f>
        <v>GAA</v>
      </c>
      <c r="U729" s="319" t="str">
        <f>VLOOKUP(H729,'Fund Utilization Report'!$A$4:$U$1800,3,FALSE)</f>
        <v>FY2021, RA11518</v>
      </c>
      <c r="V729" s="319" t="str">
        <f>VLOOKUP(H729,'Fund Utilization Report'!$A$4:$U$1800,4,FALSE)</f>
        <v>OO3</v>
      </c>
      <c r="W729" s="319" t="str">
        <f>VLOOKUP(H729,'Fund Utilization Report'!$A$4:$U$1800,5,FALSE)</f>
        <v>01101101</v>
      </c>
      <c r="X729" s="319" t="str">
        <f>VLOOKUP(H729,'Fund Utilization Report'!$A$4:$U$1800,6,FALSE)</f>
        <v>GOP</v>
      </c>
      <c r="Y729" s="320" t="str">
        <f>VLOOKUP(H729,'Fund Utilization Report'!$A$4:$U$1800,7,FALSE)</f>
        <v>PS</v>
      </c>
      <c r="Z729" s="321">
        <f>VLOOKUP(H729,'Fund Utilization Report'!$A$4:$U$1800,8,FALSE)</f>
        <v>5010000000</v>
      </c>
      <c r="AA729" s="319" t="str">
        <f>VLOOKUP(H729,'Fund Utilization Report'!$A$4:$U$1800,14,FALSE)</f>
        <v>330100100002000</v>
      </c>
      <c r="AB729" s="349" t="str">
        <f>VLOOKUP(H729,'Fund Utilization Report'!$A$4:$U$1800,15,FALSE)</f>
        <v>Implementation of the MSME Development Plan and other initiatives to promote the growth of Micro, Small and Medium Enterprises</v>
      </c>
      <c r="AC729" s="39"/>
      <c r="AD729" s="34"/>
      <c r="AE729" s="39"/>
      <c r="AF729" s="51"/>
      <c r="AG729" s="40"/>
      <c r="AH729" s="40"/>
    </row>
    <row r="730" spans="1:34" s="32" customFormat="1" ht="27.6">
      <c r="A730" s="338" t="s">
        <v>942</v>
      </c>
      <c r="B730" s="338" t="s">
        <v>945</v>
      </c>
      <c r="C730" s="358">
        <v>44238</v>
      </c>
      <c r="D730" s="351" t="s">
        <v>1028</v>
      </c>
      <c r="E730" s="352" t="s">
        <v>1173</v>
      </c>
      <c r="F730" s="338">
        <v>0.56527777777777777</v>
      </c>
      <c r="G730" s="338">
        <v>0.56666666666666665</v>
      </c>
      <c r="H730" s="338" t="s">
        <v>970</v>
      </c>
      <c r="I730" s="353">
        <v>701</v>
      </c>
      <c r="J730" s="338" t="str">
        <f>IFERROR(VLOOKUP(I730,'Chart of accounts'!A:H,2,FALSE),"")</f>
        <v>50101010 01</v>
      </c>
      <c r="K730" s="338" t="str">
        <f>IFERROR(VLOOKUP(I730,'Chart of accounts'!A:H,3,FALSE),"")</f>
        <v>Basic Salary - Civilian</v>
      </c>
      <c r="L730" s="338" t="str">
        <f>IFERROR(VLOOKUP(I730,'Chart of accounts'!A:H,4,FALSE),"")</f>
        <v>50101010 01 - Basic Salary - Civilian (701)</v>
      </c>
      <c r="M730" s="361">
        <v>85</v>
      </c>
      <c r="N730" s="355" t="s">
        <v>1174</v>
      </c>
      <c r="O730" s="355" t="s">
        <v>1166</v>
      </c>
      <c r="P730" s="355"/>
      <c r="Q730" s="363">
        <v>10853.18</v>
      </c>
      <c r="R730" s="319">
        <f t="shared" ref="R730:R735" si="17">P730-Q730</f>
        <v>-10853.18</v>
      </c>
      <c r="S730" s="319" t="str">
        <f>VLOOKUP(H730,'Fund Utilization Report'!$A$4:$U$1800,13,FALSE)</f>
        <v>PS</v>
      </c>
      <c r="T730" s="319" t="str">
        <f>VLOOKUP(H730,'Fund Utilization Report'!$A$4:$U$1800,2,FALSE)</f>
        <v>GAA</v>
      </c>
      <c r="U730" s="319" t="str">
        <f>VLOOKUP(H730,'Fund Utilization Report'!$A$4:$U$1800,3,FALSE)</f>
        <v>FY2021, RA11518</v>
      </c>
      <c r="V730" s="319" t="str">
        <f>VLOOKUP(H730,'Fund Utilization Report'!$A$4:$U$1800,4,FALSE)</f>
        <v>OO3</v>
      </c>
      <c r="W730" s="319" t="str">
        <f>VLOOKUP(H730,'Fund Utilization Report'!$A$4:$U$1800,5,FALSE)</f>
        <v>01101101</v>
      </c>
      <c r="X730" s="319" t="str">
        <f>VLOOKUP(H730,'Fund Utilization Report'!$A$4:$U$1800,6,FALSE)</f>
        <v>GOP</v>
      </c>
      <c r="Y730" s="320" t="str">
        <f>VLOOKUP(H730,'Fund Utilization Report'!$A$4:$U$1800,7,FALSE)</f>
        <v>PS</v>
      </c>
      <c r="Z730" s="321">
        <f>VLOOKUP(H730,'Fund Utilization Report'!$A$4:$U$1800,8,FALSE)</f>
        <v>5010000000</v>
      </c>
      <c r="AA730" s="319" t="str">
        <f>VLOOKUP(H730,'Fund Utilization Report'!$A$4:$U$1800,14,FALSE)</f>
        <v>330100100002000</v>
      </c>
      <c r="AB730" s="349" t="str">
        <f>VLOOKUP(H730,'Fund Utilization Report'!$A$4:$U$1800,15,FALSE)</f>
        <v>Implementation of the MSME Development Plan and other initiatives to promote the growth of Micro, Small and Medium Enterprises</v>
      </c>
      <c r="AC730" s="39"/>
      <c r="AD730" s="34"/>
      <c r="AE730" s="39"/>
      <c r="AF730" s="51"/>
      <c r="AG730" s="40"/>
      <c r="AH730" s="40"/>
    </row>
    <row r="731" spans="1:34" s="32" customFormat="1" ht="27.6">
      <c r="A731" s="338" t="s">
        <v>942</v>
      </c>
      <c r="B731" s="338" t="s">
        <v>945</v>
      </c>
      <c r="C731" s="358">
        <v>44238</v>
      </c>
      <c r="D731" s="351" t="s">
        <v>1028</v>
      </c>
      <c r="E731" s="352" t="s">
        <v>1173</v>
      </c>
      <c r="F731" s="338">
        <v>0.56527777777777777</v>
      </c>
      <c r="G731" s="338">
        <v>0.56666666666666665</v>
      </c>
      <c r="H731" s="338" t="s">
        <v>970</v>
      </c>
      <c r="I731" s="353">
        <v>711</v>
      </c>
      <c r="J731" s="338" t="str">
        <f>IFERROR(VLOOKUP(I731,'Chart of accounts'!A:H,2,FALSE),"")</f>
        <v>50102010 01</v>
      </c>
      <c r="K731" s="338" t="str">
        <f>IFERROR(VLOOKUP(I731,'Chart of accounts'!A:H,3,FALSE),"")</f>
        <v>PERA - Civilian</v>
      </c>
      <c r="L731" s="338" t="str">
        <f>IFERROR(VLOOKUP(I731,'Chart of accounts'!A:H,4,FALSE),"")</f>
        <v>50102010 01 - PERA - Civilian (711)</v>
      </c>
      <c r="M731" s="361">
        <v>85</v>
      </c>
      <c r="N731" s="355" t="s">
        <v>1174</v>
      </c>
      <c r="O731" s="355" t="s">
        <v>1166</v>
      </c>
      <c r="P731" s="355"/>
      <c r="Q731" s="363">
        <v>909.09</v>
      </c>
      <c r="R731" s="319">
        <f t="shared" si="17"/>
        <v>-909.09</v>
      </c>
      <c r="S731" s="319" t="str">
        <f>VLOOKUP(H731,'Fund Utilization Report'!$A$4:$U$1800,13,FALSE)</f>
        <v>PS</v>
      </c>
      <c r="T731" s="319" t="str">
        <f>VLOOKUP(H731,'Fund Utilization Report'!$A$4:$U$1800,2,FALSE)</f>
        <v>GAA</v>
      </c>
      <c r="U731" s="319" t="str">
        <f>VLOOKUP(H731,'Fund Utilization Report'!$A$4:$U$1800,3,FALSE)</f>
        <v>FY2021, RA11518</v>
      </c>
      <c r="V731" s="319" t="str">
        <f>VLOOKUP(H731,'Fund Utilization Report'!$A$4:$U$1800,4,FALSE)</f>
        <v>OO3</v>
      </c>
      <c r="W731" s="319" t="str">
        <f>VLOOKUP(H731,'Fund Utilization Report'!$A$4:$U$1800,5,FALSE)</f>
        <v>01101101</v>
      </c>
      <c r="X731" s="319" t="str">
        <f>VLOOKUP(H731,'Fund Utilization Report'!$A$4:$U$1800,6,FALSE)</f>
        <v>GOP</v>
      </c>
      <c r="Y731" s="320" t="str">
        <f>VLOOKUP(H731,'Fund Utilization Report'!$A$4:$U$1800,7,FALSE)</f>
        <v>PS</v>
      </c>
      <c r="Z731" s="321">
        <f>VLOOKUP(H731,'Fund Utilization Report'!$A$4:$U$1800,8,FALSE)</f>
        <v>5010000000</v>
      </c>
      <c r="AA731" s="319" t="str">
        <f>VLOOKUP(H731,'Fund Utilization Report'!$A$4:$U$1800,14,FALSE)</f>
        <v>330100100002000</v>
      </c>
      <c r="AB731" s="349" t="str">
        <f>VLOOKUP(H731,'Fund Utilization Report'!$A$4:$U$1800,15,FALSE)</f>
        <v>Implementation of the MSME Development Plan and other initiatives to promote the growth of Micro, Small and Medium Enterprises</v>
      </c>
      <c r="AC731" s="39"/>
      <c r="AD731" s="34"/>
      <c r="AE731" s="39"/>
      <c r="AF731" s="51"/>
      <c r="AG731" s="40"/>
      <c r="AH731" s="40"/>
    </row>
    <row r="732" spans="1:34" s="32" customFormat="1" ht="27.6">
      <c r="A732" s="338" t="s">
        <v>942</v>
      </c>
      <c r="B732" s="338" t="s">
        <v>945</v>
      </c>
      <c r="C732" s="358">
        <v>44238</v>
      </c>
      <c r="D732" s="351" t="s">
        <v>1028</v>
      </c>
      <c r="E732" s="352" t="s">
        <v>1173</v>
      </c>
      <c r="F732" s="338">
        <v>0.56527777777777777</v>
      </c>
      <c r="G732" s="338">
        <v>0.56666666666666665</v>
      </c>
      <c r="H732" s="338" t="s">
        <v>972</v>
      </c>
      <c r="I732" s="353">
        <v>731</v>
      </c>
      <c r="J732" s="338" t="str">
        <f>IFERROR(VLOOKUP(I732,'Chart of accounts'!A:H,2,FALSE),"")</f>
        <v>50103010 00</v>
      </c>
      <c r="K732" s="338" t="str">
        <f>IFERROR(VLOOKUP(I732,'Chart of accounts'!A:H,3,FALSE),"")</f>
        <v>Retirement and Life Insurance Premiums</v>
      </c>
      <c r="L732" s="338" t="str">
        <f>IFERROR(VLOOKUP(I732,'Chart of accounts'!A:H,4,FALSE),"")</f>
        <v>50103010 00 - Retirement and Life Insurance Premiums (731)</v>
      </c>
      <c r="M732" s="361">
        <v>85</v>
      </c>
      <c r="N732" s="355" t="s">
        <v>1174</v>
      </c>
      <c r="O732" s="355" t="s">
        <v>1166</v>
      </c>
      <c r="P732" s="355"/>
      <c r="Q732" s="363">
        <v>1293.98</v>
      </c>
      <c r="R732" s="319">
        <f t="shared" si="17"/>
        <v>-1293.98</v>
      </c>
      <c r="S732" s="319" t="str">
        <f>VLOOKUP(H732,'Fund Utilization Report'!$A$4:$U$1800,13,FALSE)</f>
        <v>PS</v>
      </c>
      <c r="T732" s="319" t="str">
        <f>VLOOKUP(H732,'Fund Utilization Report'!$A$4:$U$1800,2,FALSE)</f>
        <v>GAA</v>
      </c>
      <c r="U732" s="319" t="str">
        <f>VLOOKUP(H732,'Fund Utilization Report'!$A$4:$U$1800,3,FALSE)</f>
        <v>FY2021, RA11518</v>
      </c>
      <c r="V732" s="319" t="str">
        <f>VLOOKUP(H732,'Fund Utilization Report'!$A$4:$U$1800,4,FALSE)</f>
        <v>OO3</v>
      </c>
      <c r="W732" s="319" t="str">
        <f>VLOOKUP(H732,'Fund Utilization Report'!$A$4:$U$1800,5,FALSE)</f>
        <v>01101101</v>
      </c>
      <c r="X732" s="319" t="str">
        <f>VLOOKUP(H732,'Fund Utilization Report'!$A$4:$U$1800,6,FALSE)</f>
        <v>GOP</v>
      </c>
      <c r="Y732" s="320" t="str">
        <f>VLOOKUP(H732,'Fund Utilization Report'!$A$4:$U$1800,7,FALSE)</f>
        <v>RLIP</v>
      </c>
      <c r="Z732" s="321" t="str">
        <f>VLOOKUP(H732,'Fund Utilization Report'!$A$4:$U$1800,8,FALSE)</f>
        <v>50103010-00</v>
      </c>
      <c r="AA732" s="319" t="str">
        <f>VLOOKUP(H732,'Fund Utilization Report'!$A$4:$U$1800,14,FALSE)</f>
        <v>330100100002000</v>
      </c>
      <c r="AB732" s="349" t="str">
        <f>VLOOKUP(H732,'Fund Utilization Report'!$A$4:$U$1800,15,FALSE)</f>
        <v>Implementation of the MSME Development Plan and other initiatives to promote the growth of Micro, Small and Medium Enterprises</v>
      </c>
      <c r="AC732" s="39"/>
      <c r="AD732" s="34"/>
      <c r="AE732" s="39"/>
      <c r="AF732" s="51"/>
      <c r="AG732" s="40"/>
      <c r="AH732" s="40"/>
    </row>
    <row r="733" spans="1:34" s="32" customFormat="1" ht="27.6">
      <c r="A733" s="338" t="s">
        <v>942</v>
      </c>
      <c r="B733" s="338" t="s">
        <v>945</v>
      </c>
      <c r="C733" s="358">
        <v>44238</v>
      </c>
      <c r="D733" s="351" t="s">
        <v>1028</v>
      </c>
      <c r="E733" s="352" t="s">
        <v>1173</v>
      </c>
      <c r="F733" s="338">
        <v>0.56527777777777777</v>
      </c>
      <c r="G733" s="338">
        <v>0.56666666666666665</v>
      </c>
      <c r="H733" s="338" t="s">
        <v>970</v>
      </c>
      <c r="I733" s="353">
        <v>732</v>
      </c>
      <c r="J733" s="338" t="str">
        <f>IFERROR(VLOOKUP(I733,'Chart of accounts'!A:H,2,FALSE),"")</f>
        <v>50103020 01</v>
      </c>
      <c r="K733" s="338" t="str">
        <f>IFERROR(VLOOKUP(I733,'Chart of accounts'!A:H,3,FALSE),"")</f>
        <v>Pag-IBIG - Civilian</v>
      </c>
      <c r="L733" s="338" t="str">
        <f>IFERROR(VLOOKUP(I733,'Chart of accounts'!A:H,4,FALSE),"")</f>
        <v>50103020 01 - Pag-IBIG - Civilian (732)</v>
      </c>
      <c r="M733" s="361">
        <v>85</v>
      </c>
      <c r="N733" s="355" t="s">
        <v>1174</v>
      </c>
      <c r="O733" s="355" t="s">
        <v>1166</v>
      </c>
      <c r="P733" s="355"/>
      <c r="Q733" s="363">
        <v>100</v>
      </c>
      <c r="R733" s="319">
        <f t="shared" si="17"/>
        <v>-100</v>
      </c>
      <c r="S733" s="319" t="str">
        <f>VLOOKUP(H733,'Fund Utilization Report'!$A$4:$U$1800,13,FALSE)</f>
        <v>PS</v>
      </c>
      <c r="T733" s="319" t="str">
        <f>VLOOKUP(H733,'Fund Utilization Report'!$A$4:$U$1800,2,FALSE)</f>
        <v>GAA</v>
      </c>
      <c r="U733" s="319" t="str">
        <f>VLOOKUP(H733,'Fund Utilization Report'!$A$4:$U$1800,3,FALSE)</f>
        <v>FY2021, RA11518</v>
      </c>
      <c r="V733" s="319" t="str">
        <f>VLOOKUP(H733,'Fund Utilization Report'!$A$4:$U$1800,4,FALSE)</f>
        <v>OO3</v>
      </c>
      <c r="W733" s="319" t="str">
        <f>VLOOKUP(H733,'Fund Utilization Report'!$A$4:$U$1800,5,FALSE)</f>
        <v>01101101</v>
      </c>
      <c r="X733" s="319" t="str">
        <f>VLOOKUP(H733,'Fund Utilization Report'!$A$4:$U$1800,6,FALSE)</f>
        <v>GOP</v>
      </c>
      <c r="Y733" s="320" t="str">
        <f>VLOOKUP(H733,'Fund Utilization Report'!$A$4:$U$1800,7,FALSE)</f>
        <v>PS</v>
      </c>
      <c r="Z733" s="321">
        <f>VLOOKUP(H733,'Fund Utilization Report'!$A$4:$U$1800,8,FALSE)</f>
        <v>5010000000</v>
      </c>
      <c r="AA733" s="319" t="str">
        <f>VLOOKUP(H733,'Fund Utilization Report'!$A$4:$U$1800,14,FALSE)</f>
        <v>330100100002000</v>
      </c>
      <c r="AB733" s="349" t="str">
        <f>VLOOKUP(H733,'Fund Utilization Report'!$A$4:$U$1800,15,FALSE)</f>
        <v>Implementation of the MSME Development Plan and other initiatives to promote the growth of Micro, Small and Medium Enterprises</v>
      </c>
      <c r="AC733" s="39"/>
      <c r="AD733" s="34"/>
      <c r="AE733" s="39"/>
      <c r="AF733" s="51"/>
      <c r="AG733" s="40"/>
      <c r="AH733" s="40"/>
    </row>
    <row r="734" spans="1:34" s="32" customFormat="1" ht="27.6">
      <c r="A734" s="338" t="s">
        <v>942</v>
      </c>
      <c r="B734" s="338" t="s">
        <v>945</v>
      </c>
      <c r="C734" s="358">
        <v>44238</v>
      </c>
      <c r="D734" s="351" t="s">
        <v>1028</v>
      </c>
      <c r="E734" s="352" t="s">
        <v>1173</v>
      </c>
      <c r="F734" s="338">
        <v>0.56527777777777777</v>
      </c>
      <c r="G734" s="338">
        <v>0.56666666666666665</v>
      </c>
      <c r="H734" s="338" t="s">
        <v>970</v>
      </c>
      <c r="I734" s="353">
        <v>733</v>
      </c>
      <c r="J734" s="338" t="str">
        <f>IFERROR(VLOOKUP(I734,'Chart of accounts'!A:H,2,FALSE),"")</f>
        <v>50103030 01</v>
      </c>
      <c r="K734" s="338" t="str">
        <f>IFERROR(VLOOKUP(I734,'Chart of accounts'!A:H,3,FALSE),"")</f>
        <v>PhilHealth - Civilian</v>
      </c>
      <c r="L734" s="338" t="str">
        <f>IFERROR(VLOOKUP(I734,'Chart of accounts'!A:H,4,FALSE),"")</f>
        <v>50103030 01 - PhilHealth - Civilian (733)</v>
      </c>
      <c r="M734" s="361">
        <v>85</v>
      </c>
      <c r="N734" s="355" t="s">
        <v>1174</v>
      </c>
      <c r="O734" s="355" t="s">
        <v>1166</v>
      </c>
      <c r="P734" s="355"/>
      <c r="Q734" s="363">
        <v>358.16</v>
      </c>
      <c r="R734" s="319">
        <f t="shared" si="17"/>
        <v>-358.16</v>
      </c>
      <c r="S734" s="319" t="str">
        <f>VLOOKUP(H734,'Fund Utilization Report'!$A$4:$U$1800,13,FALSE)</f>
        <v>PS</v>
      </c>
      <c r="T734" s="319" t="str">
        <f>VLOOKUP(H734,'Fund Utilization Report'!$A$4:$U$1800,2,FALSE)</f>
        <v>GAA</v>
      </c>
      <c r="U734" s="319" t="str">
        <f>VLOOKUP(H734,'Fund Utilization Report'!$A$4:$U$1800,3,FALSE)</f>
        <v>FY2021, RA11518</v>
      </c>
      <c r="V734" s="319" t="str">
        <f>VLOOKUP(H734,'Fund Utilization Report'!$A$4:$U$1800,4,FALSE)</f>
        <v>OO3</v>
      </c>
      <c r="W734" s="319" t="str">
        <f>VLOOKUP(H734,'Fund Utilization Report'!$A$4:$U$1800,5,FALSE)</f>
        <v>01101101</v>
      </c>
      <c r="X734" s="319" t="str">
        <f>VLOOKUP(H734,'Fund Utilization Report'!$A$4:$U$1800,6,FALSE)</f>
        <v>GOP</v>
      </c>
      <c r="Y734" s="320" t="str">
        <f>VLOOKUP(H734,'Fund Utilization Report'!$A$4:$U$1800,7,FALSE)</f>
        <v>PS</v>
      </c>
      <c r="Z734" s="321">
        <f>VLOOKUP(H734,'Fund Utilization Report'!$A$4:$U$1800,8,FALSE)</f>
        <v>5010000000</v>
      </c>
      <c r="AA734" s="319" t="str">
        <f>VLOOKUP(H734,'Fund Utilization Report'!$A$4:$U$1800,14,FALSE)</f>
        <v>330100100002000</v>
      </c>
      <c r="AB734" s="349" t="str">
        <f>VLOOKUP(H734,'Fund Utilization Report'!$A$4:$U$1800,15,FALSE)</f>
        <v>Implementation of the MSME Development Plan and other initiatives to promote the growth of Micro, Small and Medium Enterprises</v>
      </c>
      <c r="AC734" s="39"/>
      <c r="AD734" s="34"/>
      <c r="AE734" s="39"/>
      <c r="AF734" s="51"/>
      <c r="AG734" s="40"/>
      <c r="AH734" s="40"/>
    </row>
    <row r="735" spans="1:34" s="32" customFormat="1" ht="27.6">
      <c r="A735" s="338" t="s">
        <v>942</v>
      </c>
      <c r="B735" s="338" t="s">
        <v>945</v>
      </c>
      <c r="C735" s="358">
        <v>44238</v>
      </c>
      <c r="D735" s="351" t="s">
        <v>1028</v>
      </c>
      <c r="E735" s="352" t="s">
        <v>1173</v>
      </c>
      <c r="F735" s="338">
        <v>0.56527777777777777</v>
      </c>
      <c r="G735" s="338">
        <v>0.56666666666666665</v>
      </c>
      <c r="H735" s="338" t="s">
        <v>970</v>
      </c>
      <c r="I735" s="353">
        <v>734</v>
      </c>
      <c r="J735" s="338" t="str">
        <f>IFERROR(VLOOKUP(I735,'Chart of accounts'!A:H,2,FALSE),"")</f>
        <v>50103040 01</v>
      </c>
      <c r="K735" s="338" t="str">
        <f>IFERROR(VLOOKUP(I735,'Chart of accounts'!A:H,3,FALSE),"")</f>
        <v>ECIP - Civilian</v>
      </c>
      <c r="L735" s="338" t="str">
        <f>IFERROR(VLOOKUP(I735,'Chart of accounts'!A:H,4,FALSE),"")</f>
        <v>50103040 01 - ECIP - Civilian (734)</v>
      </c>
      <c r="M735" s="361">
        <v>85</v>
      </c>
      <c r="N735" s="355" t="s">
        <v>1174</v>
      </c>
      <c r="O735" s="355" t="s">
        <v>1166</v>
      </c>
      <c r="P735" s="355"/>
      <c r="Q735" s="363">
        <v>100</v>
      </c>
      <c r="R735" s="319">
        <f t="shared" si="17"/>
        <v>-100</v>
      </c>
      <c r="S735" s="319" t="str">
        <f>VLOOKUP(H735,'Fund Utilization Report'!$A$4:$U$1800,13,FALSE)</f>
        <v>PS</v>
      </c>
      <c r="T735" s="319" t="str">
        <f>VLOOKUP(H735,'Fund Utilization Report'!$A$4:$U$1800,2,FALSE)</f>
        <v>GAA</v>
      </c>
      <c r="U735" s="319" t="str">
        <f>VLOOKUP(H735,'Fund Utilization Report'!$A$4:$U$1800,3,FALSE)</f>
        <v>FY2021, RA11518</v>
      </c>
      <c r="V735" s="319" t="str">
        <f>VLOOKUP(H735,'Fund Utilization Report'!$A$4:$U$1800,4,FALSE)</f>
        <v>OO3</v>
      </c>
      <c r="W735" s="319" t="str">
        <f>VLOOKUP(H735,'Fund Utilization Report'!$A$4:$U$1800,5,FALSE)</f>
        <v>01101101</v>
      </c>
      <c r="X735" s="319" t="str">
        <f>VLOOKUP(H735,'Fund Utilization Report'!$A$4:$U$1800,6,FALSE)</f>
        <v>GOP</v>
      </c>
      <c r="Y735" s="320" t="str">
        <f>VLOOKUP(H735,'Fund Utilization Report'!$A$4:$U$1800,7,FALSE)</f>
        <v>PS</v>
      </c>
      <c r="Z735" s="321">
        <f>VLOOKUP(H735,'Fund Utilization Report'!$A$4:$U$1800,8,FALSE)</f>
        <v>5010000000</v>
      </c>
      <c r="AA735" s="319" t="str">
        <f>VLOOKUP(H735,'Fund Utilization Report'!$A$4:$U$1800,14,FALSE)</f>
        <v>330100100002000</v>
      </c>
      <c r="AB735" s="349" t="str">
        <f>VLOOKUP(H735,'Fund Utilization Report'!$A$4:$U$1800,15,FALSE)</f>
        <v>Implementation of the MSME Development Plan and other initiatives to promote the growth of Micro, Small and Medium Enterprises</v>
      </c>
      <c r="AC735" s="39"/>
      <c r="AD735" s="34"/>
      <c r="AE735" s="39"/>
      <c r="AF735" s="51"/>
      <c r="AG735" s="40"/>
      <c r="AH735" s="40"/>
    </row>
    <row r="736" spans="1:34" s="32" customFormat="1" ht="27.6">
      <c r="A736" s="338" t="s">
        <v>942</v>
      </c>
      <c r="B736" s="338" t="s">
        <v>945</v>
      </c>
      <c r="C736" s="358">
        <v>44238</v>
      </c>
      <c r="D736" s="351" t="s">
        <v>1028</v>
      </c>
      <c r="E736" s="352" t="s">
        <v>1175</v>
      </c>
      <c r="F736" s="338">
        <v>0.56666666666666665</v>
      </c>
      <c r="G736" s="338">
        <v>0.56736111111111109</v>
      </c>
      <c r="H736" s="338" t="s">
        <v>970</v>
      </c>
      <c r="I736" s="353">
        <v>701</v>
      </c>
      <c r="J736" s="338" t="str">
        <f>IFERROR(VLOOKUP(I736,'Chart of accounts'!A:H,2,FALSE),"")</f>
        <v>50101010 01</v>
      </c>
      <c r="K736" s="338" t="str">
        <f>IFERROR(VLOOKUP(I736,'Chart of accounts'!A:H,3,FALSE),"")</f>
        <v>Basic Salary - Civilian</v>
      </c>
      <c r="L736" s="338" t="str">
        <f>IFERROR(VLOOKUP(I736,'Chart of accounts'!A:H,4,FALSE),"")</f>
        <v>50101010 01 - Basic Salary - Civilian (701)</v>
      </c>
      <c r="M736" s="361">
        <v>68</v>
      </c>
      <c r="N736" s="355" t="s">
        <v>1176</v>
      </c>
      <c r="O736" s="355" t="s">
        <v>1166</v>
      </c>
      <c r="P736" s="355"/>
      <c r="Q736" s="363">
        <v>10853.18</v>
      </c>
      <c r="R736" s="319">
        <f t="shared" ref="R736:R747" si="18">P736-Q736</f>
        <v>-10853.18</v>
      </c>
      <c r="S736" s="319" t="str">
        <f>VLOOKUP(H736,'Fund Utilization Report'!$A$4:$U$1800,13,FALSE)</f>
        <v>PS</v>
      </c>
      <c r="T736" s="319" t="str">
        <f>VLOOKUP(H736,'Fund Utilization Report'!$A$4:$U$1800,2,FALSE)</f>
        <v>GAA</v>
      </c>
      <c r="U736" s="319" t="str">
        <f>VLOOKUP(H736,'Fund Utilization Report'!$A$4:$U$1800,3,FALSE)</f>
        <v>FY2021, RA11518</v>
      </c>
      <c r="V736" s="319" t="str">
        <f>VLOOKUP(H736,'Fund Utilization Report'!$A$4:$U$1800,4,FALSE)</f>
        <v>OO3</v>
      </c>
      <c r="W736" s="319" t="str">
        <f>VLOOKUP(H736,'Fund Utilization Report'!$A$4:$U$1800,5,FALSE)</f>
        <v>01101101</v>
      </c>
      <c r="X736" s="319" t="str">
        <f>VLOOKUP(H736,'Fund Utilization Report'!$A$4:$U$1800,6,FALSE)</f>
        <v>GOP</v>
      </c>
      <c r="Y736" s="320" t="str">
        <f>VLOOKUP(H736,'Fund Utilization Report'!$A$4:$U$1800,7,FALSE)</f>
        <v>PS</v>
      </c>
      <c r="Z736" s="321">
        <f>VLOOKUP(H736,'Fund Utilization Report'!$A$4:$U$1800,8,FALSE)</f>
        <v>5010000000</v>
      </c>
      <c r="AA736" s="319" t="str">
        <f>VLOOKUP(H736,'Fund Utilization Report'!$A$4:$U$1800,14,FALSE)</f>
        <v>330100100002000</v>
      </c>
      <c r="AB736" s="349" t="str">
        <f>VLOOKUP(H736,'Fund Utilization Report'!$A$4:$U$1800,15,FALSE)</f>
        <v>Implementation of the MSME Development Plan and other initiatives to promote the growth of Micro, Small and Medium Enterprises</v>
      </c>
      <c r="AC736" s="39"/>
      <c r="AD736" s="34"/>
      <c r="AE736" s="39"/>
      <c r="AF736" s="51"/>
      <c r="AG736" s="40"/>
      <c r="AH736" s="40"/>
    </row>
    <row r="737" spans="1:34" s="32" customFormat="1" ht="27.6">
      <c r="A737" s="338" t="s">
        <v>942</v>
      </c>
      <c r="B737" s="338" t="s">
        <v>945</v>
      </c>
      <c r="C737" s="358">
        <v>44238</v>
      </c>
      <c r="D737" s="351" t="s">
        <v>1028</v>
      </c>
      <c r="E737" s="352" t="s">
        <v>1175</v>
      </c>
      <c r="F737" s="338">
        <v>0.56666666666666665</v>
      </c>
      <c r="G737" s="338">
        <v>0.56736111111111109</v>
      </c>
      <c r="H737" s="338" t="s">
        <v>970</v>
      </c>
      <c r="I737" s="353">
        <v>711</v>
      </c>
      <c r="J737" s="338" t="str">
        <f>IFERROR(VLOOKUP(I737,'Chart of accounts'!A:H,2,FALSE),"")</f>
        <v>50102010 01</v>
      </c>
      <c r="K737" s="338" t="str">
        <f>IFERROR(VLOOKUP(I737,'Chart of accounts'!A:H,3,FALSE),"")</f>
        <v>PERA - Civilian</v>
      </c>
      <c r="L737" s="338" t="str">
        <f>IFERROR(VLOOKUP(I737,'Chart of accounts'!A:H,4,FALSE),"")</f>
        <v>50102010 01 - PERA - Civilian (711)</v>
      </c>
      <c r="M737" s="361">
        <v>68</v>
      </c>
      <c r="N737" s="355" t="s">
        <v>1176</v>
      </c>
      <c r="O737" s="355" t="s">
        <v>1166</v>
      </c>
      <c r="P737" s="355"/>
      <c r="Q737" s="363">
        <v>909.09</v>
      </c>
      <c r="R737" s="319">
        <f t="shared" si="18"/>
        <v>-909.09</v>
      </c>
      <c r="S737" s="319" t="str">
        <f>VLOOKUP(H737,'Fund Utilization Report'!$A$4:$U$1800,13,FALSE)</f>
        <v>PS</v>
      </c>
      <c r="T737" s="319" t="str">
        <f>VLOOKUP(H737,'Fund Utilization Report'!$A$4:$U$1800,2,FALSE)</f>
        <v>GAA</v>
      </c>
      <c r="U737" s="319" t="str">
        <f>VLOOKUP(H737,'Fund Utilization Report'!$A$4:$U$1800,3,FALSE)</f>
        <v>FY2021, RA11518</v>
      </c>
      <c r="V737" s="319" t="str">
        <f>VLOOKUP(H737,'Fund Utilization Report'!$A$4:$U$1800,4,FALSE)</f>
        <v>OO3</v>
      </c>
      <c r="W737" s="319" t="str">
        <f>VLOOKUP(H737,'Fund Utilization Report'!$A$4:$U$1800,5,FALSE)</f>
        <v>01101101</v>
      </c>
      <c r="X737" s="319" t="str">
        <f>VLOOKUP(H737,'Fund Utilization Report'!$A$4:$U$1800,6,FALSE)</f>
        <v>GOP</v>
      </c>
      <c r="Y737" s="320" t="str">
        <f>VLOOKUP(H737,'Fund Utilization Report'!$A$4:$U$1800,7,FALSE)</f>
        <v>PS</v>
      </c>
      <c r="Z737" s="321">
        <f>VLOOKUP(H737,'Fund Utilization Report'!$A$4:$U$1800,8,FALSE)</f>
        <v>5010000000</v>
      </c>
      <c r="AA737" s="319" t="str">
        <f>VLOOKUP(H737,'Fund Utilization Report'!$A$4:$U$1800,14,FALSE)</f>
        <v>330100100002000</v>
      </c>
      <c r="AB737" s="349" t="str">
        <f>VLOOKUP(H737,'Fund Utilization Report'!$A$4:$U$1800,15,FALSE)</f>
        <v>Implementation of the MSME Development Plan and other initiatives to promote the growth of Micro, Small and Medium Enterprises</v>
      </c>
      <c r="AC737" s="39"/>
      <c r="AD737" s="34"/>
      <c r="AE737" s="39"/>
      <c r="AF737" s="51"/>
      <c r="AG737" s="40"/>
      <c r="AH737" s="40"/>
    </row>
    <row r="738" spans="1:34" s="32" customFormat="1" ht="27.6">
      <c r="A738" s="338" t="s">
        <v>942</v>
      </c>
      <c r="B738" s="338" t="s">
        <v>945</v>
      </c>
      <c r="C738" s="358">
        <v>44238</v>
      </c>
      <c r="D738" s="351" t="s">
        <v>1028</v>
      </c>
      <c r="E738" s="352" t="s">
        <v>1175</v>
      </c>
      <c r="F738" s="338">
        <v>0.56666666666666665</v>
      </c>
      <c r="G738" s="338">
        <v>0.56736111111111109</v>
      </c>
      <c r="H738" s="338" t="s">
        <v>972</v>
      </c>
      <c r="I738" s="353">
        <v>731</v>
      </c>
      <c r="J738" s="338" t="str">
        <f>IFERROR(VLOOKUP(I738,'Chart of accounts'!A:H,2,FALSE),"")</f>
        <v>50103010 00</v>
      </c>
      <c r="K738" s="338" t="str">
        <f>IFERROR(VLOOKUP(I738,'Chart of accounts'!A:H,3,FALSE),"")</f>
        <v>Retirement and Life Insurance Premiums</v>
      </c>
      <c r="L738" s="338" t="str">
        <f>IFERROR(VLOOKUP(I738,'Chart of accounts'!A:H,4,FALSE),"")</f>
        <v>50103010 00 - Retirement and Life Insurance Premiums (731)</v>
      </c>
      <c r="M738" s="361">
        <v>68</v>
      </c>
      <c r="N738" s="355" t="s">
        <v>1176</v>
      </c>
      <c r="O738" s="355" t="s">
        <v>1166</v>
      </c>
      <c r="P738" s="355"/>
      <c r="Q738" s="363">
        <v>1293.98</v>
      </c>
      <c r="R738" s="319">
        <f t="shared" si="18"/>
        <v>-1293.98</v>
      </c>
      <c r="S738" s="319" t="str">
        <f>VLOOKUP(H738,'Fund Utilization Report'!$A$4:$U$1800,13,FALSE)</f>
        <v>PS</v>
      </c>
      <c r="T738" s="319" t="str">
        <f>VLOOKUP(H738,'Fund Utilization Report'!$A$4:$U$1800,2,FALSE)</f>
        <v>GAA</v>
      </c>
      <c r="U738" s="319" t="str">
        <f>VLOOKUP(H738,'Fund Utilization Report'!$A$4:$U$1800,3,FALSE)</f>
        <v>FY2021, RA11518</v>
      </c>
      <c r="V738" s="319" t="str">
        <f>VLOOKUP(H738,'Fund Utilization Report'!$A$4:$U$1800,4,FALSE)</f>
        <v>OO3</v>
      </c>
      <c r="W738" s="319" t="str">
        <f>VLOOKUP(H738,'Fund Utilization Report'!$A$4:$U$1800,5,FALSE)</f>
        <v>01101101</v>
      </c>
      <c r="X738" s="319" t="str">
        <f>VLOOKUP(H738,'Fund Utilization Report'!$A$4:$U$1800,6,FALSE)</f>
        <v>GOP</v>
      </c>
      <c r="Y738" s="320" t="str">
        <f>VLOOKUP(H738,'Fund Utilization Report'!$A$4:$U$1800,7,FALSE)</f>
        <v>RLIP</v>
      </c>
      <c r="Z738" s="321" t="str">
        <f>VLOOKUP(H738,'Fund Utilization Report'!$A$4:$U$1800,8,FALSE)</f>
        <v>50103010-00</v>
      </c>
      <c r="AA738" s="319" t="str">
        <f>VLOOKUP(H738,'Fund Utilization Report'!$A$4:$U$1800,14,FALSE)</f>
        <v>330100100002000</v>
      </c>
      <c r="AB738" s="349" t="str">
        <f>VLOOKUP(H738,'Fund Utilization Report'!$A$4:$U$1800,15,FALSE)</f>
        <v>Implementation of the MSME Development Plan and other initiatives to promote the growth of Micro, Small and Medium Enterprises</v>
      </c>
      <c r="AC738" s="39"/>
      <c r="AD738" s="34"/>
      <c r="AE738" s="39"/>
      <c r="AF738" s="51"/>
      <c r="AG738" s="40"/>
      <c r="AH738" s="40"/>
    </row>
    <row r="739" spans="1:34" s="32" customFormat="1" ht="27.6">
      <c r="A739" s="338" t="s">
        <v>942</v>
      </c>
      <c r="B739" s="338" t="s">
        <v>945</v>
      </c>
      <c r="C739" s="358">
        <v>44238</v>
      </c>
      <c r="D739" s="351" t="s">
        <v>1028</v>
      </c>
      <c r="E739" s="352" t="s">
        <v>1175</v>
      </c>
      <c r="F739" s="338">
        <v>0.56666666666666665</v>
      </c>
      <c r="G739" s="338">
        <v>0.56736111111111109</v>
      </c>
      <c r="H739" s="338" t="s">
        <v>970</v>
      </c>
      <c r="I739" s="353">
        <v>732</v>
      </c>
      <c r="J739" s="338" t="str">
        <f>IFERROR(VLOOKUP(I739,'Chart of accounts'!A:H,2,FALSE),"")</f>
        <v>50103020 01</v>
      </c>
      <c r="K739" s="338" t="str">
        <f>IFERROR(VLOOKUP(I739,'Chart of accounts'!A:H,3,FALSE),"")</f>
        <v>Pag-IBIG - Civilian</v>
      </c>
      <c r="L739" s="338" t="str">
        <f>IFERROR(VLOOKUP(I739,'Chart of accounts'!A:H,4,FALSE),"")</f>
        <v>50103020 01 - Pag-IBIG - Civilian (732)</v>
      </c>
      <c r="M739" s="361">
        <v>68</v>
      </c>
      <c r="N739" s="355" t="s">
        <v>1176</v>
      </c>
      <c r="O739" s="355" t="s">
        <v>1166</v>
      </c>
      <c r="P739" s="355"/>
      <c r="Q739" s="363">
        <v>100</v>
      </c>
      <c r="R739" s="319">
        <f t="shared" si="18"/>
        <v>-100</v>
      </c>
      <c r="S739" s="319" t="str">
        <f>VLOOKUP(H739,'Fund Utilization Report'!$A$4:$U$1800,13,FALSE)</f>
        <v>PS</v>
      </c>
      <c r="T739" s="319" t="str">
        <f>VLOOKUP(H739,'Fund Utilization Report'!$A$4:$U$1800,2,FALSE)</f>
        <v>GAA</v>
      </c>
      <c r="U739" s="319" t="str">
        <f>VLOOKUP(H739,'Fund Utilization Report'!$A$4:$U$1800,3,FALSE)</f>
        <v>FY2021, RA11518</v>
      </c>
      <c r="V739" s="319" t="str">
        <f>VLOOKUP(H739,'Fund Utilization Report'!$A$4:$U$1800,4,FALSE)</f>
        <v>OO3</v>
      </c>
      <c r="W739" s="319" t="str">
        <f>VLOOKUP(H739,'Fund Utilization Report'!$A$4:$U$1800,5,FALSE)</f>
        <v>01101101</v>
      </c>
      <c r="X739" s="319" t="str">
        <f>VLOOKUP(H739,'Fund Utilization Report'!$A$4:$U$1800,6,FALSE)</f>
        <v>GOP</v>
      </c>
      <c r="Y739" s="320" t="str">
        <f>VLOOKUP(H739,'Fund Utilization Report'!$A$4:$U$1800,7,FALSE)</f>
        <v>PS</v>
      </c>
      <c r="Z739" s="321">
        <f>VLOOKUP(H739,'Fund Utilization Report'!$A$4:$U$1800,8,FALSE)</f>
        <v>5010000000</v>
      </c>
      <c r="AA739" s="319" t="str">
        <f>VLOOKUP(H739,'Fund Utilization Report'!$A$4:$U$1800,14,FALSE)</f>
        <v>330100100002000</v>
      </c>
      <c r="AB739" s="349" t="str">
        <f>VLOOKUP(H739,'Fund Utilization Report'!$A$4:$U$1800,15,FALSE)</f>
        <v>Implementation of the MSME Development Plan and other initiatives to promote the growth of Micro, Small and Medium Enterprises</v>
      </c>
      <c r="AC739" s="39"/>
      <c r="AD739" s="34"/>
      <c r="AE739" s="39"/>
      <c r="AF739" s="51"/>
      <c r="AG739" s="40"/>
      <c r="AH739" s="40"/>
    </row>
    <row r="740" spans="1:34" s="32" customFormat="1" ht="27.6">
      <c r="A740" s="338" t="s">
        <v>942</v>
      </c>
      <c r="B740" s="338" t="s">
        <v>945</v>
      </c>
      <c r="C740" s="358">
        <v>44238</v>
      </c>
      <c r="D740" s="351" t="s">
        <v>1028</v>
      </c>
      <c r="E740" s="352" t="s">
        <v>1175</v>
      </c>
      <c r="F740" s="338">
        <v>0.56666666666666665</v>
      </c>
      <c r="G740" s="338">
        <v>0.56736111111111109</v>
      </c>
      <c r="H740" s="338" t="s">
        <v>970</v>
      </c>
      <c r="I740" s="353">
        <v>733</v>
      </c>
      <c r="J740" s="338" t="str">
        <f>IFERROR(VLOOKUP(I740,'Chart of accounts'!A:H,2,FALSE),"")</f>
        <v>50103030 01</v>
      </c>
      <c r="K740" s="338" t="str">
        <f>IFERROR(VLOOKUP(I740,'Chart of accounts'!A:H,3,FALSE),"")</f>
        <v>PhilHealth - Civilian</v>
      </c>
      <c r="L740" s="338" t="str">
        <f>IFERROR(VLOOKUP(I740,'Chart of accounts'!A:H,4,FALSE),"")</f>
        <v>50103030 01 - PhilHealth - Civilian (733)</v>
      </c>
      <c r="M740" s="361">
        <v>68</v>
      </c>
      <c r="N740" s="355" t="s">
        <v>1176</v>
      </c>
      <c r="O740" s="355" t="s">
        <v>1166</v>
      </c>
      <c r="P740" s="355"/>
      <c r="Q740" s="363">
        <v>358.16</v>
      </c>
      <c r="R740" s="319">
        <f t="shared" si="18"/>
        <v>-358.16</v>
      </c>
      <c r="S740" s="319" t="str">
        <f>VLOOKUP(H740,'Fund Utilization Report'!$A$4:$U$1800,13,FALSE)</f>
        <v>PS</v>
      </c>
      <c r="T740" s="319" t="str">
        <f>VLOOKUP(H740,'Fund Utilization Report'!$A$4:$U$1800,2,FALSE)</f>
        <v>GAA</v>
      </c>
      <c r="U740" s="319" t="str">
        <f>VLOOKUP(H740,'Fund Utilization Report'!$A$4:$U$1800,3,FALSE)</f>
        <v>FY2021, RA11518</v>
      </c>
      <c r="V740" s="319" t="str">
        <f>VLOOKUP(H740,'Fund Utilization Report'!$A$4:$U$1800,4,FALSE)</f>
        <v>OO3</v>
      </c>
      <c r="W740" s="319" t="str">
        <f>VLOOKUP(H740,'Fund Utilization Report'!$A$4:$U$1800,5,FALSE)</f>
        <v>01101101</v>
      </c>
      <c r="X740" s="319" t="str">
        <f>VLOOKUP(H740,'Fund Utilization Report'!$A$4:$U$1800,6,FALSE)</f>
        <v>GOP</v>
      </c>
      <c r="Y740" s="320" t="str">
        <f>VLOOKUP(H740,'Fund Utilization Report'!$A$4:$U$1800,7,FALSE)</f>
        <v>PS</v>
      </c>
      <c r="Z740" s="321">
        <f>VLOOKUP(H740,'Fund Utilization Report'!$A$4:$U$1800,8,FALSE)</f>
        <v>5010000000</v>
      </c>
      <c r="AA740" s="319" t="str">
        <f>VLOOKUP(H740,'Fund Utilization Report'!$A$4:$U$1800,14,FALSE)</f>
        <v>330100100002000</v>
      </c>
      <c r="AB740" s="349" t="str">
        <f>VLOOKUP(H740,'Fund Utilization Report'!$A$4:$U$1800,15,FALSE)</f>
        <v>Implementation of the MSME Development Plan and other initiatives to promote the growth of Micro, Small and Medium Enterprises</v>
      </c>
      <c r="AC740" s="39"/>
      <c r="AD740" s="34"/>
      <c r="AE740" s="39"/>
      <c r="AF740" s="51"/>
      <c r="AG740" s="40"/>
      <c r="AH740" s="40"/>
    </row>
    <row r="741" spans="1:34" s="32" customFormat="1" ht="27.6">
      <c r="A741" s="338" t="s">
        <v>942</v>
      </c>
      <c r="B741" s="338" t="s">
        <v>945</v>
      </c>
      <c r="C741" s="358">
        <v>44238</v>
      </c>
      <c r="D741" s="351" t="s">
        <v>1028</v>
      </c>
      <c r="E741" s="352" t="s">
        <v>1175</v>
      </c>
      <c r="F741" s="338">
        <v>0.56666666666666665</v>
      </c>
      <c r="G741" s="338">
        <v>0.56736111111111109</v>
      </c>
      <c r="H741" s="338" t="s">
        <v>970</v>
      </c>
      <c r="I741" s="353">
        <v>734</v>
      </c>
      <c r="J741" s="338" t="str">
        <f>IFERROR(VLOOKUP(I741,'Chart of accounts'!A:H,2,FALSE),"")</f>
        <v>50103040 01</v>
      </c>
      <c r="K741" s="338" t="str">
        <f>IFERROR(VLOOKUP(I741,'Chart of accounts'!A:H,3,FALSE),"")</f>
        <v>ECIP - Civilian</v>
      </c>
      <c r="L741" s="338" t="str">
        <f>IFERROR(VLOOKUP(I741,'Chart of accounts'!A:H,4,FALSE),"")</f>
        <v>50103040 01 - ECIP - Civilian (734)</v>
      </c>
      <c r="M741" s="361">
        <v>68</v>
      </c>
      <c r="N741" s="355" t="s">
        <v>1176</v>
      </c>
      <c r="O741" s="355" t="s">
        <v>1166</v>
      </c>
      <c r="P741" s="355"/>
      <c r="Q741" s="363">
        <v>100</v>
      </c>
      <c r="R741" s="319">
        <f t="shared" si="18"/>
        <v>-100</v>
      </c>
      <c r="S741" s="319" t="str">
        <f>VLOOKUP(H741,'Fund Utilization Report'!$A$4:$U$1800,13,FALSE)</f>
        <v>PS</v>
      </c>
      <c r="T741" s="319" t="str">
        <f>VLOOKUP(H741,'Fund Utilization Report'!$A$4:$U$1800,2,FALSE)</f>
        <v>GAA</v>
      </c>
      <c r="U741" s="319" t="str">
        <f>VLOOKUP(H741,'Fund Utilization Report'!$A$4:$U$1800,3,FALSE)</f>
        <v>FY2021, RA11518</v>
      </c>
      <c r="V741" s="319" t="str">
        <f>VLOOKUP(H741,'Fund Utilization Report'!$A$4:$U$1800,4,FALSE)</f>
        <v>OO3</v>
      </c>
      <c r="W741" s="319" t="str">
        <f>VLOOKUP(H741,'Fund Utilization Report'!$A$4:$U$1800,5,FALSE)</f>
        <v>01101101</v>
      </c>
      <c r="X741" s="319" t="str">
        <f>VLOOKUP(H741,'Fund Utilization Report'!$A$4:$U$1800,6,FALSE)</f>
        <v>GOP</v>
      </c>
      <c r="Y741" s="320" t="str">
        <f>VLOOKUP(H741,'Fund Utilization Report'!$A$4:$U$1800,7,FALSE)</f>
        <v>PS</v>
      </c>
      <c r="Z741" s="321">
        <f>VLOOKUP(H741,'Fund Utilization Report'!$A$4:$U$1800,8,FALSE)</f>
        <v>5010000000</v>
      </c>
      <c r="AA741" s="319" t="str">
        <f>VLOOKUP(H741,'Fund Utilization Report'!$A$4:$U$1800,14,FALSE)</f>
        <v>330100100002000</v>
      </c>
      <c r="AB741" s="349" t="str">
        <f>VLOOKUP(H741,'Fund Utilization Report'!$A$4:$U$1800,15,FALSE)</f>
        <v>Implementation of the MSME Development Plan and other initiatives to promote the growth of Micro, Small and Medium Enterprises</v>
      </c>
      <c r="AC741" s="39"/>
      <c r="AD741" s="34"/>
      <c r="AE741" s="39"/>
      <c r="AF741" s="51"/>
      <c r="AG741" s="40"/>
      <c r="AH741" s="40"/>
    </row>
    <row r="742" spans="1:34" s="32" customFormat="1" ht="27.6">
      <c r="A742" s="338" t="s">
        <v>942</v>
      </c>
      <c r="B742" s="338" t="s">
        <v>945</v>
      </c>
      <c r="C742" s="358">
        <v>44238</v>
      </c>
      <c r="D742" s="351" t="s">
        <v>1028</v>
      </c>
      <c r="E742" s="352" t="s">
        <v>1177</v>
      </c>
      <c r="F742" s="338">
        <v>0.56736111111111109</v>
      </c>
      <c r="G742" s="338">
        <v>0.56874999999999998</v>
      </c>
      <c r="H742" s="338" t="s">
        <v>970</v>
      </c>
      <c r="I742" s="353">
        <v>701</v>
      </c>
      <c r="J742" s="338" t="str">
        <f>IFERROR(VLOOKUP(I742,'Chart of accounts'!A:H,2,FALSE),"")</f>
        <v>50101010 01</v>
      </c>
      <c r="K742" s="338" t="str">
        <f>IFERROR(VLOOKUP(I742,'Chart of accounts'!A:H,3,FALSE),"")</f>
        <v>Basic Salary - Civilian</v>
      </c>
      <c r="L742" s="338" t="str">
        <f>IFERROR(VLOOKUP(I742,'Chart of accounts'!A:H,4,FALSE),"")</f>
        <v>50101010 01 - Basic Salary - Civilian (701)</v>
      </c>
      <c r="M742" s="361">
        <v>1</v>
      </c>
      <c r="N742" s="355" t="s">
        <v>1165</v>
      </c>
      <c r="O742" s="355" t="s">
        <v>1178</v>
      </c>
      <c r="P742" s="355"/>
      <c r="Q742" s="363">
        <v>23877</v>
      </c>
      <c r="R742" s="319">
        <f t="shared" si="18"/>
        <v>-23877</v>
      </c>
      <c r="S742" s="319" t="str">
        <f>VLOOKUP(H742,'Fund Utilization Report'!$A$4:$U$1800,13,FALSE)</f>
        <v>PS</v>
      </c>
      <c r="T742" s="319" t="str">
        <f>VLOOKUP(H742,'Fund Utilization Report'!$A$4:$U$1800,2,FALSE)</f>
        <v>GAA</v>
      </c>
      <c r="U742" s="319" t="str">
        <f>VLOOKUP(H742,'Fund Utilization Report'!$A$4:$U$1800,3,FALSE)</f>
        <v>FY2021, RA11518</v>
      </c>
      <c r="V742" s="319" t="str">
        <f>VLOOKUP(H742,'Fund Utilization Report'!$A$4:$U$1800,4,FALSE)</f>
        <v>OO3</v>
      </c>
      <c r="W742" s="319" t="str">
        <f>VLOOKUP(H742,'Fund Utilization Report'!$A$4:$U$1800,5,FALSE)</f>
        <v>01101101</v>
      </c>
      <c r="X742" s="319" t="str">
        <f>VLOOKUP(H742,'Fund Utilization Report'!$A$4:$U$1800,6,FALSE)</f>
        <v>GOP</v>
      </c>
      <c r="Y742" s="320" t="str">
        <f>VLOOKUP(H742,'Fund Utilization Report'!$A$4:$U$1800,7,FALSE)</f>
        <v>PS</v>
      </c>
      <c r="Z742" s="321">
        <f>VLOOKUP(H742,'Fund Utilization Report'!$A$4:$U$1800,8,FALSE)</f>
        <v>5010000000</v>
      </c>
      <c r="AA742" s="319" t="str">
        <f>VLOOKUP(H742,'Fund Utilization Report'!$A$4:$U$1800,14,FALSE)</f>
        <v>330100100002000</v>
      </c>
      <c r="AB742" s="349" t="str">
        <f>VLOOKUP(H742,'Fund Utilization Report'!$A$4:$U$1800,15,FALSE)</f>
        <v>Implementation of the MSME Development Plan and other initiatives to promote the growth of Micro, Small and Medium Enterprises</v>
      </c>
      <c r="AC742" s="39"/>
      <c r="AD742" s="34"/>
      <c r="AE742" s="39"/>
      <c r="AF742" s="51"/>
      <c r="AG742" s="40"/>
      <c r="AH742" s="40"/>
    </row>
    <row r="743" spans="1:34" s="32" customFormat="1" ht="27.6">
      <c r="A743" s="338" t="s">
        <v>942</v>
      </c>
      <c r="B743" s="338" t="s">
        <v>945</v>
      </c>
      <c r="C743" s="358">
        <v>44238</v>
      </c>
      <c r="D743" s="351" t="s">
        <v>1028</v>
      </c>
      <c r="E743" s="352" t="s">
        <v>1177</v>
      </c>
      <c r="F743" s="338">
        <v>0.56736111111111109</v>
      </c>
      <c r="G743" s="338">
        <v>0.56874999999999998</v>
      </c>
      <c r="H743" s="338" t="s">
        <v>970</v>
      </c>
      <c r="I743" s="353">
        <v>711</v>
      </c>
      <c r="J743" s="338" t="str">
        <f>IFERROR(VLOOKUP(I743,'Chart of accounts'!A:H,2,FALSE),"")</f>
        <v>50102010 01</v>
      </c>
      <c r="K743" s="338" t="str">
        <f>IFERROR(VLOOKUP(I743,'Chart of accounts'!A:H,3,FALSE),"")</f>
        <v>PERA - Civilian</v>
      </c>
      <c r="L743" s="338" t="str">
        <f>IFERROR(VLOOKUP(I743,'Chart of accounts'!A:H,4,FALSE),"")</f>
        <v>50102010 01 - PERA - Civilian (711)</v>
      </c>
      <c r="M743" s="361">
        <v>1</v>
      </c>
      <c r="N743" s="355" t="s">
        <v>1165</v>
      </c>
      <c r="O743" s="355" t="s">
        <v>1178</v>
      </c>
      <c r="P743" s="355"/>
      <c r="Q743" s="363">
        <v>2000</v>
      </c>
      <c r="R743" s="319">
        <f t="shared" si="18"/>
        <v>-2000</v>
      </c>
      <c r="S743" s="319" t="str">
        <f>VLOOKUP(H743,'Fund Utilization Report'!$A$4:$U$1800,13,FALSE)</f>
        <v>PS</v>
      </c>
      <c r="T743" s="319" t="str">
        <f>VLOOKUP(H743,'Fund Utilization Report'!$A$4:$U$1800,2,FALSE)</f>
        <v>GAA</v>
      </c>
      <c r="U743" s="319" t="str">
        <f>VLOOKUP(H743,'Fund Utilization Report'!$A$4:$U$1800,3,FALSE)</f>
        <v>FY2021, RA11518</v>
      </c>
      <c r="V743" s="319" t="str">
        <f>VLOOKUP(H743,'Fund Utilization Report'!$A$4:$U$1800,4,FALSE)</f>
        <v>OO3</v>
      </c>
      <c r="W743" s="319" t="str">
        <f>VLOOKUP(H743,'Fund Utilization Report'!$A$4:$U$1800,5,FALSE)</f>
        <v>01101101</v>
      </c>
      <c r="X743" s="319" t="str">
        <f>VLOOKUP(H743,'Fund Utilization Report'!$A$4:$U$1800,6,FALSE)</f>
        <v>GOP</v>
      </c>
      <c r="Y743" s="320" t="str">
        <f>VLOOKUP(H743,'Fund Utilization Report'!$A$4:$U$1800,7,FALSE)</f>
        <v>PS</v>
      </c>
      <c r="Z743" s="321">
        <f>VLOOKUP(H743,'Fund Utilization Report'!$A$4:$U$1800,8,FALSE)</f>
        <v>5010000000</v>
      </c>
      <c r="AA743" s="319" t="str">
        <f>VLOOKUP(H743,'Fund Utilization Report'!$A$4:$U$1800,14,FALSE)</f>
        <v>330100100002000</v>
      </c>
      <c r="AB743" s="349" t="str">
        <f>VLOOKUP(H743,'Fund Utilization Report'!$A$4:$U$1800,15,FALSE)</f>
        <v>Implementation of the MSME Development Plan and other initiatives to promote the growth of Micro, Small and Medium Enterprises</v>
      </c>
      <c r="AC743" s="39"/>
      <c r="AD743" s="34"/>
      <c r="AE743" s="39"/>
      <c r="AF743" s="51"/>
      <c r="AG743" s="40"/>
      <c r="AH743" s="40"/>
    </row>
    <row r="744" spans="1:34" s="32" customFormat="1" ht="27.6">
      <c r="A744" s="338" t="s">
        <v>942</v>
      </c>
      <c r="B744" s="338" t="s">
        <v>945</v>
      </c>
      <c r="C744" s="358">
        <v>44238</v>
      </c>
      <c r="D744" s="351" t="s">
        <v>1028</v>
      </c>
      <c r="E744" s="352" t="s">
        <v>1177</v>
      </c>
      <c r="F744" s="338">
        <v>0.56736111111111109</v>
      </c>
      <c r="G744" s="338">
        <v>0.56874999999999998</v>
      </c>
      <c r="H744" s="338" t="s">
        <v>972</v>
      </c>
      <c r="I744" s="353">
        <v>731</v>
      </c>
      <c r="J744" s="338" t="str">
        <f>IFERROR(VLOOKUP(I744,'Chart of accounts'!A:H,2,FALSE),"")</f>
        <v>50103010 00</v>
      </c>
      <c r="K744" s="338" t="str">
        <f>IFERROR(VLOOKUP(I744,'Chart of accounts'!A:H,3,FALSE),"")</f>
        <v>Retirement and Life Insurance Premiums</v>
      </c>
      <c r="L744" s="338" t="str">
        <f>IFERROR(VLOOKUP(I744,'Chart of accounts'!A:H,4,FALSE),"")</f>
        <v>50103010 00 - Retirement and Life Insurance Premiums (731)</v>
      </c>
      <c r="M744" s="361">
        <v>1</v>
      </c>
      <c r="N744" s="355" t="s">
        <v>1165</v>
      </c>
      <c r="O744" s="355" t="s">
        <v>1178</v>
      </c>
      <c r="P744" s="355"/>
      <c r="Q744" s="363">
        <v>2865.24</v>
      </c>
      <c r="R744" s="319">
        <f t="shared" si="18"/>
        <v>-2865.24</v>
      </c>
      <c r="S744" s="319" t="str">
        <f>VLOOKUP(H744,'Fund Utilization Report'!$A$4:$U$1800,13,FALSE)</f>
        <v>PS</v>
      </c>
      <c r="T744" s="319" t="str">
        <f>VLOOKUP(H744,'Fund Utilization Report'!$A$4:$U$1800,2,FALSE)</f>
        <v>GAA</v>
      </c>
      <c r="U744" s="319" t="str">
        <f>VLOOKUP(H744,'Fund Utilization Report'!$A$4:$U$1800,3,FALSE)</f>
        <v>FY2021, RA11518</v>
      </c>
      <c r="V744" s="319" t="str">
        <f>VLOOKUP(H744,'Fund Utilization Report'!$A$4:$U$1800,4,FALSE)</f>
        <v>OO3</v>
      </c>
      <c r="W744" s="319" t="str">
        <f>VLOOKUP(H744,'Fund Utilization Report'!$A$4:$U$1800,5,FALSE)</f>
        <v>01101101</v>
      </c>
      <c r="X744" s="319" t="str">
        <f>VLOOKUP(H744,'Fund Utilization Report'!$A$4:$U$1800,6,FALSE)</f>
        <v>GOP</v>
      </c>
      <c r="Y744" s="320" t="str">
        <f>VLOOKUP(H744,'Fund Utilization Report'!$A$4:$U$1800,7,FALSE)</f>
        <v>RLIP</v>
      </c>
      <c r="Z744" s="321" t="str">
        <f>VLOOKUP(H744,'Fund Utilization Report'!$A$4:$U$1800,8,FALSE)</f>
        <v>50103010-00</v>
      </c>
      <c r="AA744" s="319" t="str">
        <f>VLOOKUP(H744,'Fund Utilization Report'!$A$4:$U$1800,14,FALSE)</f>
        <v>330100100002000</v>
      </c>
      <c r="AB744" s="349" t="str">
        <f>VLOOKUP(H744,'Fund Utilization Report'!$A$4:$U$1800,15,FALSE)</f>
        <v>Implementation of the MSME Development Plan and other initiatives to promote the growth of Micro, Small and Medium Enterprises</v>
      </c>
      <c r="AC744" s="39"/>
      <c r="AD744" s="34"/>
      <c r="AE744" s="39"/>
      <c r="AF744" s="51"/>
      <c r="AG744" s="40"/>
      <c r="AH744" s="40"/>
    </row>
    <row r="745" spans="1:34" s="32" customFormat="1" ht="27.6">
      <c r="A745" s="338" t="s">
        <v>942</v>
      </c>
      <c r="B745" s="338" t="s">
        <v>945</v>
      </c>
      <c r="C745" s="358">
        <v>44238</v>
      </c>
      <c r="D745" s="351" t="s">
        <v>1028</v>
      </c>
      <c r="E745" s="352" t="s">
        <v>1177</v>
      </c>
      <c r="F745" s="338">
        <v>0.56736111111111109</v>
      </c>
      <c r="G745" s="338">
        <v>0.56874999999999998</v>
      </c>
      <c r="H745" s="338" t="s">
        <v>970</v>
      </c>
      <c r="I745" s="353">
        <v>732</v>
      </c>
      <c r="J745" s="338" t="str">
        <f>IFERROR(VLOOKUP(I745,'Chart of accounts'!A:H,2,FALSE),"")</f>
        <v>50103020 01</v>
      </c>
      <c r="K745" s="338" t="str">
        <f>IFERROR(VLOOKUP(I745,'Chart of accounts'!A:H,3,FALSE),"")</f>
        <v>Pag-IBIG - Civilian</v>
      </c>
      <c r="L745" s="338" t="str">
        <f>IFERROR(VLOOKUP(I745,'Chart of accounts'!A:H,4,FALSE),"")</f>
        <v>50103020 01 - Pag-IBIG - Civilian (732)</v>
      </c>
      <c r="M745" s="361">
        <v>1</v>
      </c>
      <c r="N745" s="355" t="s">
        <v>1165</v>
      </c>
      <c r="O745" s="355" t="s">
        <v>1178</v>
      </c>
      <c r="P745" s="355"/>
      <c r="Q745" s="363">
        <v>100</v>
      </c>
      <c r="R745" s="319">
        <f t="shared" si="18"/>
        <v>-100</v>
      </c>
      <c r="S745" s="319" t="str">
        <f>VLOOKUP(H745,'Fund Utilization Report'!$A$4:$U$1800,13,FALSE)</f>
        <v>PS</v>
      </c>
      <c r="T745" s="319" t="str">
        <f>VLOOKUP(H745,'Fund Utilization Report'!$A$4:$U$1800,2,FALSE)</f>
        <v>GAA</v>
      </c>
      <c r="U745" s="319" t="str">
        <f>VLOOKUP(H745,'Fund Utilization Report'!$A$4:$U$1800,3,FALSE)</f>
        <v>FY2021, RA11518</v>
      </c>
      <c r="V745" s="319" t="str">
        <f>VLOOKUP(H745,'Fund Utilization Report'!$A$4:$U$1800,4,FALSE)</f>
        <v>OO3</v>
      </c>
      <c r="W745" s="319" t="str">
        <f>VLOOKUP(H745,'Fund Utilization Report'!$A$4:$U$1800,5,FALSE)</f>
        <v>01101101</v>
      </c>
      <c r="X745" s="319" t="str">
        <f>VLOOKUP(H745,'Fund Utilization Report'!$A$4:$U$1800,6,FALSE)</f>
        <v>GOP</v>
      </c>
      <c r="Y745" s="320" t="str">
        <f>VLOOKUP(H745,'Fund Utilization Report'!$A$4:$U$1800,7,FALSE)</f>
        <v>PS</v>
      </c>
      <c r="Z745" s="321">
        <f>VLOOKUP(H745,'Fund Utilization Report'!$A$4:$U$1800,8,FALSE)</f>
        <v>5010000000</v>
      </c>
      <c r="AA745" s="319" t="str">
        <f>VLOOKUP(H745,'Fund Utilization Report'!$A$4:$U$1800,14,FALSE)</f>
        <v>330100100002000</v>
      </c>
      <c r="AB745" s="349" t="str">
        <f>VLOOKUP(H745,'Fund Utilization Report'!$A$4:$U$1800,15,FALSE)</f>
        <v>Implementation of the MSME Development Plan and other initiatives to promote the growth of Micro, Small and Medium Enterprises</v>
      </c>
      <c r="AC745" s="39"/>
      <c r="AD745" s="34"/>
      <c r="AE745" s="39"/>
      <c r="AF745" s="51"/>
      <c r="AG745" s="40"/>
      <c r="AH745" s="40"/>
    </row>
    <row r="746" spans="1:34" s="32" customFormat="1" ht="27.6">
      <c r="A746" s="338" t="s">
        <v>942</v>
      </c>
      <c r="B746" s="338" t="s">
        <v>945</v>
      </c>
      <c r="C746" s="358">
        <v>44238</v>
      </c>
      <c r="D746" s="351" t="s">
        <v>1028</v>
      </c>
      <c r="E746" s="352" t="s">
        <v>1177</v>
      </c>
      <c r="F746" s="338">
        <v>0.56736111111111109</v>
      </c>
      <c r="G746" s="338">
        <v>0.56874999999999998</v>
      </c>
      <c r="H746" s="338" t="s">
        <v>970</v>
      </c>
      <c r="I746" s="353">
        <v>733</v>
      </c>
      <c r="J746" s="338" t="str">
        <f>IFERROR(VLOOKUP(I746,'Chart of accounts'!A:H,2,FALSE),"")</f>
        <v>50103030 01</v>
      </c>
      <c r="K746" s="338" t="str">
        <f>IFERROR(VLOOKUP(I746,'Chart of accounts'!A:H,3,FALSE),"")</f>
        <v>PhilHealth - Civilian</v>
      </c>
      <c r="L746" s="338" t="str">
        <f>IFERROR(VLOOKUP(I746,'Chart of accounts'!A:H,4,FALSE),"")</f>
        <v>50103030 01 - PhilHealth - Civilian (733)</v>
      </c>
      <c r="M746" s="361">
        <v>1</v>
      </c>
      <c r="N746" s="355" t="s">
        <v>1165</v>
      </c>
      <c r="O746" s="355" t="s">
        <v>1178</v>
      </c>
      <c r="P746" s="355"/>
      <c r="Q746" s="363">
        <v>358.16</v>
      </c>
      <c r="R746" s="319">
        <f t="shared" si="18"/>
        <v>-358.16</v>
      </c>
      <c r="S746" s="319" t="str">
        <f>VLOOKUP(H746,'Fund Utilization Report'!$A$4:$U$1800,13,FALSE)</f>
        <v>PS</v>
      </c>
      <c r="T746" s="319" t="str">
        <f>VLOOKUP(H746,'Fund Utilization Report'!$A$4:$U$1800,2,FALSE)</f>
        <v>GAA</v>
      </c>
      <c r="U746" s="319" t="str">
        <f>VLOOKUP(H746,'Fund Utilization Report'!$A$4:$U$1800,3,FALSE)</f>
        <v>FY2021, RA11518</v>
      </c>
      <c r="V746" s="319" t="str">
        <f>VLOOKUP(H746,'Fund Utilization Report'!$A$4:$U$1800,4,FALSE)</f>
        <v>OO3</v>
      </c>
      <c r="W746" s="319" t="str">
        <f>VLOOKUP(H746,'Fund Utilization Report'!$A$4:$U$1800,5,FALSE)</f>
        <v>01101101</v>
      </c>
      <c r="X746" s="319" t="str">
        <f>VLOOKUP(H746,'Fund Utilization Report'!$A$4:$U$1800,6,FALSE)</f>
        <v>GOP</v>
      </c>
      <c r="Y746" s="320" t="str">
        <f>VLOOKUP(H746,'Fund Utilization Report'!$A$4:$U$1800,7,FALSE)</f>
        <v>PS</v>
      </c>
      <c r="Z746" s="321">
        <f>VLOOKUP(H746,'Fund Utilization Report'!$A$4:$U$1800,8,FALSE)</f>
        <v>5010000000</v>
      </c>
      <c r="AA746" s="319" t="str">
        <f>VLOOKUP(H746,'Fund Utilization Report'!$A$4:$U$1800,14,FALSE)</f>
        <v>330100100002000</v>
      </c>
      <c r="AB746" s="349" t="str">
        <f>VLOOKUP(H746,'Fund Utilization Report'!$A$4:$U$1800,15,FALSE)</f>
        <v>Implementation of the MSME Development Plan and other initiatives to promote the growth of Micro, Small and Medium Enterprises</v>
      </c>
      <c r="AC746" s="39"/>
      <c r="AD746" s="34"/>
      <c r="AE746" s="39"/>
      <c r="AF746" s="51"/>
      <c r="AG746" s="40"/>
      <c r="AH746" s="40"/>
    </row>
    <row r="747" spans="1:34" s="32" customFormat="1" ht="27.6">
      <c r="A747" s="338" t="s">
        <v>942</v>
      </c>
      <c r="B747" s="338" t="s">
        <v>945</v>
      </c>
      <c r="C747" s="358">
        <v>44238</v>
      </c>
      <c r="D747" s="351" t="s">
        <v>1028</v>
      </c>
      <c r="E747" s="352" t="s">
        <v>1177</v>
      </c>
      <c r="F747" s="338">
        <v>0.56736111111111109</v>
      </c>
      <c r="G747" s="338">
        <v>0.56874999999999998</v>
      </c>
      <c r="H747" s="338" t="s">
        <v>970</v>
      </c>
      <c r="I747" s="353">
        <v>734</v>
      </c>
      <c r="J747" s="338" t="str">
        <f>IFERROR(VLOOKUP(I747,'Chart of accounts'!A:H,2,FALSE),"")</f>
        <v>50103040 01</v>
      </c>
      <c r="K747" s="338" t="str">
        <f>IFERROR(VLOOKUP(I747,'Chart of accounts'!A:H,3,FALSE),"")</f>
        <v>ECIP - Civilian</v>
      </c>
      <c r="L747" s="338" t="str">
        <f>IFERROR(VLOOKUP(I747,'Chart of accounts'!A:H,4,FALSE),"")</f>
        <v>50103040 01 - ECIP - Civilian (734)</v>
      </c>
      <c r="M747" s="361">
        <v>1</v>
      </c>
      <c r="N747" s="355" t="s">
        <v>1165</v>
      </c>
      <c r="O747" s="355" t="s">
        <v>1178</v>
      </c>
      <c r="P747" s="355"/>
      <c r="Q747" s="363">
        <v>100</v>
      </c>
      <c r="R747" s="319">
        <f t="shared" si="18"/>
        <v>-100</v>
      </c>
      <c r="S747" s="319" t="str">
        <f>VLOOKUP(H747,'Fund Utilization Report'!$A$4:$U$1800,13,FALSE)</f>
        <v>PS</v>
      </c>
      <c r="T747" s="319" t="str">
        <f>VLOOKUP(H747,'Fund Utilization Report'!$A$4:$U$1800,2,FALSE)</f>
        <v>GAA</v>
      </c>
      <c r="U747" s="319" t="str">
        <f>VLOOKUP(H747,'Fund Utilization Report'!$A$4:$U$1800,3,FALSE)</f>
        <v>FY2021, RA11518</v>
      </c>
      <c r="V747" s="319" t="str">
        <f>VLOOKUP(H747,'Fund Utilization Report'!$A$4:$U$1800,4,FALSE)</f>
        <v>OO3</v>
      </c>
      <c r="W747" s="319" t="str">
        <f>VLOOKUP(H747,'Fund Utilization Report'!$A$4:$U$1800,5,FALSE)</f>
        <v>01101101</v>
      </c>
      <c r="X747" s="319" t="str">
        <f>VLOOKUP(H747,'Fund Utilization Report'!$A$4:$U$1800,6,FALSE)</f>
        <v>GOP</v>
      </c>
      <c r="Y747" s="320" t="str">
        <f>VLOOKUP(H747,'Fund Utilization Report'!$A$4:$U$1800,7,FALSE)</f>
        <v>PS</v>
      </c>
      <c r="Z747" s="321">
        <f>VLOOKUP(H747,'Fund Utilization Report'!$A$4:$U$1800,8,FALSE)</f>
        <v>5010000000</v>
      </c>
      <c r="AA747" s="319" t="str">
        <f>VLOOKUP(H747,'Fund Utilization Report'!$A$4:$U$1800,14,FALSE)</f>
        <v>330100100002000</v>
      </c>
      <c r="AB747" s="349" t="str">
        <f>VLOOKUP(H747,'Fund Utilization Report'!$A$4:$U$1800,15,FALSE)</f>
        <v>Implementation of the MSME Development Plan and other initiatives to promote the growth of Micro, Small and Medium Enterprises</v>
      </c>
      <c r="AC747" s="39"/>
      <c r="AD747" s="34"/>
      <c r="AE747" s="39"/>
      <c r="AF747" s="51"/>
      <c r="AG747" s="40"/>
      <c r="AH747" s="40"/>
    </row>
    <row r="748" spans="1:34" s="32" customFormat="1" ht="27.6">
      <c r="A748" s="338" t="s">
        <v>942</v>
      </c>
      <c r="B748" s="338" t="s">
        <v>945</v>
      </c>
      <c r="C748" s="358">
        <v>44243</v>
      </c>
      <c r="D748" s="351" t="s">
        <v>1028</v>
      </c>
      <c r="E748" s="352" t="s">
        <v>1179</v>
      </c>
      <c r="F748" s="338">
        <v>0.40138888888888885</v>
      </c>
      <c r="G748" s="338">
        <v>0.40208333333333335</v>
      </c>
      <c r="H748" s="338" t="s">
        <v>961</v>
      </c>
      <c r="I748" s="353">
        <v>772</v>
      </c>
      <c r="J748" s="338" t="str">
        <f>IFERROR(VLOOKUP(I748,'Chart of accounts'!A:H,2,FALSE),"")</f>
        <v>50205020 02</v>
      </c>
      <c r="K748" s="338" t="str">
        <f>IFERROR(VLOOKUP(I748,'Chart of accounts'!A:H,3,FALSE),"")</f>
        <v xml:space="preserve">Telephone Expenses - Landline </v>
      </c>
      <c r="L748" s="338" t="str">
        <f>IFERROR(VLOOKUP(I748,'Chart of accounts'!A:H,4,FALSE),"")</f>
        <v>50205020 02 - Telephone Expenses - Landline  (772)</v>
      </c>
      <c r="M748" s="361">
        <v>1</v>
      </c>
      <c r="N748" s="355" t="s">
        <v>1180</v>
      </c>
      <c r="O748" s="355" t="s">
        <v>1181</v>
      </c>
      <c r="P748" s="355"/>
      <c r="Q748" s="363">
        <v>1959.81</v>
      </c>
      <c r="R748" s="319">
        <f t="shared" ref="R748:R816" si="19">P748-Q748</f>
        <v>-1959.81</v>
      </c>
      <c r="S748" s="319" t="str">
        <f>VLOOKUP(H748,'Fund Utilization Report'!$A$4:$U$1800,13,FALSE)</f>
        <v>MOOE</v>
      </c>
      <c r="T748" s="319" t="str">
        <f>VLOOKUP(H748,'Fund Utilization Report'!$A$4:$U$1800,2,FALSE)</f>
        <v>GAA</v>
      </c>
      <c r="U748" s="319" t="str">
        <f>VLOOKUP(H748,'Fund Utilization Report'!$A$4:$U$1800,3,FALSE)</f>
        <v>FY2021, RA11518</v>
      </c>
      <c r="V748" s="319" t="str">
        <f>VLOOKUP(H748,'Fund Utilization Report'!$A$4:$U$1800,4,FALSE)</f>
        <v>GAS(GMS)</v>
      </c>
      <c r="W748" s="319" t="str">
        <f>VLOOKUP(H748,'Fund Utilization Report'!$A$4:$U$1800,5,FALSE)</f>
        <v>01101101</v>
      </c>
      <c r="X748" s="319" t="str">
        <f>VLOOKUP(H748,'Fund Utilization Report'!$A$4:$U$1800,6,FALSE)</f>
        <v>GOP</v>
      </c>
      <c r="Y748" s="320" t="str">
        <f>VLOOKUP(H748,'Fund Utilization Report'!$A$4:$U$1800,7,FALSE)</f>
        <v>MOOE</v>
      </c>
      <c r="Z748" s="321">
        <f>VLOOKUP(H748,'Fund Utilization Report'!$A$4:$U$1800,8,FALSE)</f>
        <v>5020000000</v>
      </c>
      <c r="AA748" s="319" t="str">
        <f>VLOOKUP(H748,'Fund Utilization Report'!$A$4:$U$1800,14,FALSE)</f>
        <v>100000100001000</v>
      </c>
      <c r="AB748" s="349" t="str">
        <f>VLOOKUP(H748,'Fund Utilization Report'!$A$4:$U$1800,15,FALSE)</f>
        <v>General Administration and Supervision - General Management and Supervision</v>
      </c>
      <c r="AC748" s="39"/>
      <c r="AD748" s="34"/>
      <c r="AE748" s="39"/>
      <c r="AF748" s="51"/>
      <c r="AG748" s="40"/>
      <c r="AH748" s="40"/>
    </row>
    <row r="749" spans="1:34" s="32" customFormat="1" ht="27.6">
      <c r="A749" s="338" t="s">
        <v>942</v>
      </c>
      <c r="B749" s="338" t="s">
        <v>945</v>
      </c>
      <c r="C749" s="358">
        <v>44243</v>
      </c>
      <c r="D749" s="351" t="s">
        <v>1028</v>
      </c>
      <c r="E749" s="352" t="s">
        <v>1179</v>
      </c>
      <c r="F749" s="338">
        <v>0.40138888888888885</v>
      </c>
      <c r="G749" s="338">
        <v>0.40208333333333335</v>
      </c>
      <c r="H749" s="338" t="s">
        <v>961</v>
      </c>
      <c r="I749" s="353">
        <v>774</v>
      </c>
      <c r="J749" s="338" t="str">
        <f>IFERROR(VLOOKUP(I749,'Chart of accounts'!A:H,2,FALSE),"")</f>
        <v>50205030 00</v>
      </c>
      <c r="K749" s="338" t="str">
        <f>IFERROR(VLOOKUP(I749,'Chart of accounts'!A:H,3,FALSE),"")</f>
        <v>Internet Subscription Expenses</v>
      </c>
      <c r="L749" s="338" t="str">
        <f>IFERROR(VLOOKUP(I749,'Chart of accounts'!A:H,4,FALSE),"")</f>
        <v>50205030 00 - Internet Subscription Expenses (774)</v>
      </c>
      <c r="M749" s="361">
        <v>1</v>
      </c>
      <c r="N749" s="355" t="s">
        <v>1180</v>
      </c>
      <c r="O749" s="355" t="s">
        <v>1181</v>
      </c>
      <c r="P749" s="355"/>
      <c r="Q749" s="363">
        <v>26880</v>
      </c>
      <c r="R749" s="319">
        <f t="shared" si="19"/>
        <v>-26880</v>
      </c>
      <c r="S749" s="319" t="str">
        <f>VLOOKUP(H749,'Fund Utilization Report'!$A$4:$U$1800,13,FALSE)</f>
        <v>MOOE</v>
      </c>
      <c r="T749" s="319" t="str">
        <f>VLOOKUP(H749,'Fund Utilization Report'!$A$4:$U$1800,2,FALSE)</f>
        <v>GAA</v>
      </c>
      <c r="U749" s="319" t="str">
        <f>VLOOKUP(H749,'Fund Utilization Report'!$A$4:$U$1800,3,FALSE)</f>
        <v>FY2021, RA11518</v>
      </c>
      <c r="V749" s="319" t="str">
        <f>VLOOKUP(H749,'Fund Utilization Report'!$A$4:$U$1800,4,FALSE)</f>
        <v>GAS(GMS)</v>
      </c>
      <c r="W749" s="319" t="str">
        <f>VLOOKUP(H749,'Fund Utilization Report'!$A$4:$U$1800,5,FALSE)</f>
        <v>01101101</v>
      </c>
      <c r="X749" s="319" t="str">
        <f>VLOOKUP(H749,'Fund Utilization Report'!$A$4:$U$1800,6,FALSE)</f>
        <v>GOP</v>
      </c>
      <c r="Y749" s="320" t="str">
        <f>VLOOKUP(H749,'Fund Utilization Report'!$A$4:$U$1800,7,FALSE)</f>
        <v>MOOE</v>
      </c>
      <c r="Z749" s="321">
        <f>VLOOKUP(H749,'Fund Utilization Report'!$A$4:$U$1800,8,FALSE)</f>
        <v>5020000000</v>
      </c>
      <c r="AA749" s="319" t="str">
        <f>VLOOKUP(H749,'Fund Utilization Report'!$A$4:$U$1800,14,FALSE)</f>
        <v>100000100001000</v>
      </c>
      <c r="AB749" s="349" t="str">
        <f>VLOOKUP(H749,'Fund Utilization Report'!$A$4:$U$1800,15,FALSE)</f>
        <v>General Administration and Supervision - General Management and Supervision</v>
      </c>
      <c r="AC749" s="39"/>
      <c r="AD749" s="34"/>
      <c r="AE749" s="39"/>
      <c r="AF749" s="51"/>
      <c r="AG749" s="40"/>
      <c r="AH749" s="40"/>
    </row>
    <row r="750" spans="1:34" s="32" customFormat="1" ht="27.6">
      <c r="A750" s="338" t="s">
        <v>942</v>
      </c>
      <c r="B750" s="338" t="s">
        <v>945</v>
      </c>
      <c r="C750" s="358">
        <v>44243</v>
      </c>
      <c r="D750" s="351" t="s">
        <v>1028</v>
      </c>
      <c r="E750" s="352" t="s">
        <v>1182</v>
      </c>
      <c r="F750" s="338">
        <v>0.40208333333333335</v>
      </c>
      <c r="G750" s="338">
        <v>0.40277777777777773</v>
      </c>
      <c r="H750" s="338" t="s">
        <v>961</v>
      </c>
      <c r="I750" s="353">
        <v>772</v>
      </c>
      <c r="J750" s="338" t="str">
        <f>IFERROR(VLOOKUP(I750,'Chart of accounts'!A:H,2,FALSE),"")</f>
        <v>50205020 02</v>
      </c>
      <c r="K750" s="338" t="str">
        <f>IFERROR(VLOOKUP(I750,'Chart of accounts'!A:H,3,FALSE),"")</f>
        <v xml:space="preserve">Telephone Expenses - Landline </v>
      </c>
      <c r="L750" s="338" t="str">
        <f>IFERROR(VLOOKUP(I750,'Chart of accounts'!A:H,4,FALSE),"")</f>
        <v>50205020 02 - Telephone Expenses - Landline  (772)</v>
      </c>
      <c r="M750" s="361">
        <v>1</v>
      </c>
      <c r="N750" s="355" t="s">
        <v>1180</v>
      </c>
      <c r="O750" s="355" t="s">
        <v>1183</v>
      </c>
      <c r="P750" s="355"/>
      <c r="Q750" s="363">
        <v>18000</v>
      </c>
      <c r="R750" s="319">
        <f t="shared" si="19"/>
        <v>-18000</v>
      </c>
      <c r="S750" s="319" t="str">
        <f>VLOOKUP(H750,'Fund Utilization Report'!$A$4:$U$1800,13,FALSE)</f>
        <v>MOOE</v>
      </c>
      <c r="T750" s="319" t="str">
        <f>VLOOKUP(H750,'Fund Utilization Report'!$A$4:$U$1800,2,FALSE)</f>
        <v>GAA</v>
      </c>
      <c r="U750" s="319" t="str">
        <f>VLOOKUP(H750,'Fund Utilization Report'!$A$4:$U$1800,3,FALSE)</f>
        <v>FY2021, RA11518</v>
      </c>
      <c r="V750" s="319" t="str">
        <f>VLOOKUP(H750,'Fund Utilization Report'!$A$4:$U$1800,4,FALSE)</f>
        <v>GAS(GMS)</v>
      </c>
      <c r="W750" s="319" t="str">
        <f>VLOOKUP(H750,'Fund Utilization Report'!$A$4:$U$1800,5,FALSE)</f>
        <v>01101101</v>
      </c>
      <c r="X750" s="319" t="str">
        <f>VLOOKUP(H750,'Fund Utilization Report'!$A$4:$U$1800,6,FALSE)</f>
        <v>GOP</v>
      </c>
      <c r="Y750" s="320" t="str">
        <f>VLOOKUP(H750,'Fund Utilization Report'!$A$4:$U$1800,7,FALSE)</f>
        <v>MOOE</v>
      </c>
      <c r="Z750" s="321">
        <f>VLOOKUP(H750,'Fund Utilization Report'!$A$4:$U$1800,8,FALSE)</f>
        <v>5020000000</v>
      </c>
      <c r="AA750" s="319" t="str">
        <f>VLOOKUP(H750,'Fund Utilization Report'!$A$4:$U$1800,14,FALSE)</f>
        <v>100000100001000</v>
      </c>
      <c r="AB750" s="349" t="str">
        <f>VLOOKUP(H750,'Fund Utilization Report'!$A$4:$U$1800,15,FALSE)</f>
        <v>General Administration and Supervision - General Management and Supervision</v>
      </c>
      <c r="AC750" s="39"/>
      <c r="AD750" s="34"/>
      <c r="AE750" s="39"/>
      <c r="AF750" s="51"/>
      <c r="AG750" s="40"/>
      <c r="AH750" s="40"/>
    </row>
    <row r="751" spans="1:34" s="32" customFormat="1" ht="27.6">
      <c r="A751" s="338" t="s">
        <v>942</v>
      </c>
      <c r="B751" s="338" t="s">
        <v>945</v>
      </c>
      <c r="C751" s="358">
        <v>44243</v>
      </c>
      <c r="D751" s="351" t="s">
        <v>1028</v>
      </c>
      <c r="E751" s="352" t="s">
        <v>1184</v>
      </c>
      <c r="F751" s="338">
        <v>0.40277777777777773</v>
      </c>
      <c r="G751" s="338">
        <v>0.40347222222222223</v>
      </c>
      <c r="H751" s="338" t="s">
        <v>961</v>
      </c>
      <c r="I751" s="353">
        <v>772</v>
      </c>
      <c r="J751" s="338" t="str">
        <f>IFERROR(VLOOKUP(I751,'Chart of accounts'!A:H,2,FALSE),"")</f>
        <v>50205020 02</v>
      </c>
      <c r="K751" s="338" t="str">
        <f>IFERROR(VLOOKUP(I751,'Chart of accounts'!A:H,3,FALSE),"")</f>
        <v xml:space="preserve">Telephone Expenses - Landline </v>
      </c>
      <c r="L751" s="338" t="str">
        <f>IFERROR(VLOOKUP(I751,'Chart of accounts'!A:H,4,FALSE),"")</f>
        <v>50205020 02 - Telephone Expenses - Landline  (772)</v>
      </c>
      <c r="M751" s="361">
        <v>1</v>
      </c>
      <c r="N751" s="355" t="s">
        <v>1180</v>
      </c>
      <c r="O751" s="355" t="s">
        <v>1185</v>
      </c>
      <c r="P751" s="355"/>
      <c r="Q751" s="363">
        <v>560</v>
      </c>
      <c r="R751" s="319">
        <f t="shared" si="19"/>
        <v>-560</v>
      </c>
      <c r="S751" s="319" t="str">
        <f>VLOOKUP(H751,'Fund Utilization Report'!$A$4:$U$1800,13,FALSE)</f>
        <v>MOOE</v>
      </c>
      <c r="T751" s="319" t="str">
        <f>VLOOKUP(H751,'Fund Utilization Report'!$A$4:$U$1800,2,FALSE)</f>
        <v>GAA</v>
      </c>
      <c r="U751" s="319" t="str">
        <f>VLOOKUP(H751,'Fund Utilization Report'!$A$4:$U$1800,3,FALSE)</f>
        <v>FY2021, RA11518</v>
      </c>
      <c r="V751" s="319" t="str">
        <f>VLOOKUP(H751,'Fund Utilization Report'!$A$4:$U$1800,4,FALSE)</f>
        <v>GAS(GMS)</v>
      </c>
      <c r="W751" s="319" t="str">
        <f>VLOOKUP(H751,'Fund Utilization Report'!$A$4:$U$1800,5,FALSE)</f>
        <v>01101101</v>
      </c>
      <c r="X751" s="319" t="str">
        <f>VLOOKUP(H751,'Fund Utilization Report'!$A$4:$U$1800,6,FALSE)</f>
        <v>GOP</v>
      </c>
      <c r="Y751" s="320" t="str">
        <f>VLOOKUP(H751,'Fund Utilization Report'!$A$4:$U$1800,7,FALSE)</f>
        <v>MOOE</v>
      </c>
      <c r="Z751" s="321">
        <f>VLOOKUP(H751,'Fund Utilization Report'!$A$4:$U$1800,8,FALSE)</f>
        <v>5020000000</v>
      </c>
      <c r="AA751" s="319" t="str">
        <f>VLOOKUP(H751,'Fund Utilization Report'!$A$4:$U$1800,14,FALSE)</f>
        <v>100000100001000</v>
      </c>
      <c r="AB751" s="349" t="str">
        <f>VLOOKUP(H751,'Fund Utilization Report'!$A$4:$U$1800,15,FALSE)</f>
        <v>General Administration and Supervision - General Management and Supervision</v>
      </c>
      <c r="AC751" s="39"/>
      <c r="AD751" s="34"/>
      <c r="AE751" s="39"/>
      <c r="AF751" s="51"/>
      <c r="AG751" s="40"/>
      <c r="AH751" s="40"/>
    </row>
    <row r="752" spans="1:34" s="32" customFormat="1" ht="27.6">
      <c r="A752" s="338" t="s">
        <v>942</v>
      </c>
      <c r="B752" s="338" t="s">
        <v>945</v>
      </c>
      <c r="C752" s="358">
        <v>44243</v>
      </c>
      <c r="D752" s="351" t="s">
        <v>1028</v>
      </c>
      <c r="E752" s="352" t="s">
        <v>1186</v>
      </c>
      <c r="F752" s="338">
        <v>0.40347222222222223</v>
      </c>
      <c r="G752" s="338">
        <v>0.40416666666666662</v>
      </c>
      <c r="H752" s="338" t="s">
        <v>961</v>
      </c>
      <c r="I752" s="353">
        <v>772</v>
      </c>
      <c r="J752" s="338" t="str">
        <f>IFERROR(VLOOKUP(I752,'Chart of accounts'!A:H,2,FALSE),"")</f>
        <v>50205020 02</v>
      </c>
      <c r="K752" s="338" t="str">
        <f>IFERROR(VLOOKUP(I752,'Chart of accounts'!A:H,3,FALSE),"")</f>
        <v xml:space="preserve">Telephone Expenses - Landline </v>
      </c>
      <c r="L752" s="338" t="str">
        <f>IFERROR(VLOOKUP(I752,'Chart of accounts'!A:H,4,FALSE),"")</f>
        <v>50205020 02 - Telephone Expenses - Landline  (772)</v>
      </c>
      <c r="M752" s="361">
        <v>1</v>
      </c>
      <c r="N752" s="355" t="s">
        <v>1180</v>
      </c>
      <c r="O752" s="355" t="s">
        <v>1187</v>
      </c>
      <c r="P752" s="355"/>
      <c r="Q752" s="363">
        <v>918.4</v>
      </c>
      <c r="R752" s="319">
        <f t="shared" si="19"/>
        <v>-918.4</v>
      </c>
      <c r="S752" s="319" t="str">
        <f>VLOOKUP(H752,'Fund Utilization Report'!$A$4:$U$1800,13,FALSE)</f>
        <v>MOOE</v>
      </c>
      <c r="T752" s="319" t="str">
        <f>VLOOKUP(H752,'Fund Utilization Report'!$A$4:$U$1800,2,FALSE)</f>
        <v>GAA</v>
      </c>
      <c r="U752" s="319" t="str">
        <f>VLOOKUP(H752,'Fund Utilization Report'!$A$4:$U$1800,3,FALSE)</f>
        <v>FY2021, RA11518</v>
      </c>
      <c r="V752" s="319" t="str">
        <f>VLOOKUP(H752,'Fund Utilization Report'!$A$4:$U$1800,4,FALSE)</f>
        <v>GAS(GMS)</v>
      </c>
      <c r="W752" s="319" t="str">
        <f>VLOOKUP(H752,'Fund Utilization Report'!$A$4:$U$1800,5,FALSE)</f>
        <v>01101101</v>
      </c>
      <c r="X752" s="319" t="str">
        <f>VLOOKUP(H752,'Fund Utilization Report'!$A$4:$U$1800,6,FALSE)</f>
        <v>GOP</v>
      </c>
      <c r="Y752" s="320" t="str">
        <f>VLOOKUP(H752,'Fund Utilization Report'!$A$4:$U$1800,7,FALSE)</f>
        <v>MOOE</v>
      </c>
      <c r="Z752" s="321">
        <f>VLOOKUP(H752,'Fund Utilization Report'!$A$4:$U$1800,8,FALSE)</f>
        <v>5020000000</v>
      </c>
      <c r="AA752" s="319" t="str">
        <f>VLOOKUP(H752,'Fund Utilization Report'!$A$4:$U$1800,14,FALSE)</f>
        <v>100000100001000</v>
      </c>
      <c r="AB752" s="349" t="str">
        <f>VLOOKUP(H752,'Fund Utilization Report'!$A$4:$U$1800,15,FALSE)</f>
        <v>General Administration and Supervision - General Management and Supervision</v>
      </c>
      <c r="AC752" s="39"/>
      <c r="AD752" s="34"/>
      <c r="AE752" s="39"/>
      <c r="AF752" s="51"/>
      <c r="AG752" s="40"/>
      <c r="AH752" s="40"/>
    </row>
    <row r="753" spans="1:34" s="32" customFormat="1" ht="41.4">
      <c r="A753" s="338" t="s">
        <v>942</v>
      </c>
      <c r="B753" s="338" t="s">
        <v>945</v>
      </c>
      <c r="C753" s="358">
        <v>44243</v>
      </c>
      <c r="D753" s="351" t="s">
        <v>1028</v>
      </c>
      <c r="E753" s="352" t="s">
        <v>1188</v>
      </c>
      <c r="F753" s="338">
        <v>0.40416666666666662</v>
      </c>
      <c r="G753" s="338">
        <v>0.40486111111111112</v>
      </c>
      <c r="H753" s="338" t="s">
        <v>961</v>
      </c>
      <c r="I753" s="353">
        <v>783</v>
      </c>
      <c r="J753" s="338" t="str">
        <f>IFERROR(VLOOKUP(I753,'Chart of accounts'!A:H,2,FALSE),"")</f>
        <v>50299030 00</v>
      </c>
      <c r="K753" s="338" t="str">
        <f>IFERROR(VLOOKUP(I753,'Chart of accounts'!A:H,3,FALSE),"")</f>
        <v>Representation Expenses</v>
      </c>
      <c r="L753" s="338" t="str">
        <f>IFERROR(VLOOKUP(I753,'Chart of accounts'!A:H,4,FALSE),"")</f>
        <v>50299030 00 - Representation Expenses (783)</v>
      </c>
      <c r="M753" s="361" t="s">
        <v>1256</v>
      </c>
      <c r="N753" s="355" t="s">
        <v>1189</v>
      </c>
      <c r="O753" s="355" t="s">
        <v>1190</v>
      </c>
      <c r="P753" s="355"/>
      <c r="Q753" s="363">
        <v>14000</v>
      </c>
      <c r="R753" s="319">
        <f t="shared" si="19"/>
        <v>-14000</v>
      </c>
      <c r="S753" s="319" t="str">
        <f>VLOOKUP(H753,'Fund Utilization Report'!$A$4:$U$1800,13,FALSE)</f>
        <v>MOOE</v>
      </c>
      <c r="T753" s="319" t="str">
        <f>VLOOKUP(H753,'Fund Utilization Report'!$A$4:$U$1800,2,FALSE)</f>
        <v>GAA</v>
      </c>
      <c r="U753" s="319" t="str">
        <f>VLOOKUP(H753,'Fund Utilization Report'!$A$4:$U$1800,3,FALSE)</f>
        <v>FY2021, RA11518</v>
      </c>
      <c r="V753" s="319" t="str">
        <f>VLOOKUP(H753,'Fund Utilization Report'!$A$4:$U$1800,4,FALSE)</f>
        <v>GAS(GMS)</v>
      </c>
      <c r="W753" s="319" t="str">
        <f>VLOOKUP(H753,'Fund Utilization Report'!$A$4:$U$1800,5,FALSE)</f>
        <v>01101101</v>
      </c>
      <c r="X753" s="319" t="str">
        <f>VLOOKUP(H753,'Fund Utilization Report'!$A$4:$U$1800,6,FALSE)</f>
        <v>GOP</v>
      </c>
      <c r="Y753" s="320" t="str">
        <f>VLOOKUP(H753,'Fund Utilization Report'!$A$4:$U$1800,7,FALSE)</f>
        <v>MOOE</v>
      </c>
      <c r="Z753" s="321">
        <f>VLOOKUP(H753,'Fund Utilization Report'!$A$4:$U$1800,8,FALSE)</f>
        <v>5020000000</v>
      </c>
      <c r="AA753" s="319" t="str">
        <f>VLOOKUP(H753,'Fund Utilization Report'!$A$4:$U$1800,14,FALSE)</f>
        <v>100000100001000</v>
      </c>
      <c r="AB753" s="349" t="str">
        <f>VLOOKUP(H753,'Fund Utilization Report'!$A$4:$U$1800,15,FALSE)</f>
        <v>General Administration and Supervision - General Management and Supervision</v>
      </c>
      <c r="AC753" s="39"/>
      <c r="AD753" s="34"/>
      <c r="AE753" s="39"/>
      <c r="AF753" s="51"/>
      <c r="AG753" s="40"/>
      <c r="AH753" s="40"/>
    </row>
    <row r="754" spans="1:34" s="32" customFormat="1" ht="27.6">
      <c r="A754" s="338" t="s">
        <v>942</v>
      </c>
      <c r="B754" s="338" t="s">
        <v>945</v>
      </c>
      <c r="C754" s="358">
        <v>44243</v>
      </c>
      <c r="D754" s="351" t="s">
        <v>1028</v>
      </c>
      <c r="E754" s="352" t="s">
        <v>1191</v>
      </c>
      <c r="F754" s="338">
        <v>0.40486111111111101</v>
      </c>
      <c r="G754" s="338">
        <v>0.405555555555556</v>
      </c>
      <c r="H754" s="338" t="s">
        <v>968</v>
      </c>
      <c r="I754" s="353">
        <v>841</v>
      </c>
      <c r="J754" s="338" t="str">
        <f>IFERROR(VLOOKUP(I754,'Chart of accounts'!A:H,2,FALSE),"")</f>
        <v>50213060 01</v>
      </c>
      <c r="K754" s="338" t="str">
        <f>IFERROR(VLOOKUP(I754,'Chart of accounts'!A:H,3,FALSE),"")</f>
        <v>Motor Vehicles</v>
      </c>
      <c r="L754" s="338" t="str">
        <f>IFERROR(VLOOKUP(I754,'Chart of accounts'!A:H,4,FALSE),"")</f>
        <v>50213060 01 - Motor Vehicles (841)</v>
      </c>
      <c r="M754" s="361">
        <v>1</v>
      </c>
      <c r="N754" s="355" t="s">
        <v>1192</v>
      </c>
      <c r="O754" s="355" t="s">
        <v>1193</v>
      </c>
      <c r="P754" s="355"/>
      <c r="Q754" s="363">
        <v>8774</v>
      </c>
      <c r="R754" s="319">
        <f t="shared" si="19"/>
        <v>-8774</v>
      </c>
      <c r="S754" s="319" t="str">
        <f>VLOOKUP(H754,'Fund Utilization Report'!$A$4:$U$1800,13,FALSE)</f>
        <v>MOOE</v>
      </c>
      <c r="T754" s="319" t="str">
        <f>VLOOKUP(H754,'Fund Utilization Report'!$A$4:$U$1800,2,FALSE)</f>
        <v>GAA</v>
      </c>
      <c r="U754" s="319" t="str">
        <f>VLOOKUP(H754,'Fund Utilization Report'!$A$4:$U$1800,3,FALSE)</f>
        <v>FY2021, RA11518</v>
      </c>
      <c r="V754" s="319" t="str">
        <f>VLOOKUP(H754,'Fund Utilization Report'!$A$4:$U$1800,4,FALSE)</f>
        <v>OO2</v>
      </c>
      <c r="W754" s="319" t="str">
        <f>VLOOKUP(H754,'Fund Utilization Report'!$A$4:$U$1800,5,FALSE)</f>
        <v>01101101</v>
      </c>
      <c r="X754" s="319" t="str">
        <f>VLOOKUP(H754,'Fund Utilization Report'!$A$4:$U$1800,6,FALSE)</f>
        <v>GOP</v>
      </c>
      <c r="Y754" s="320" t="str">
        <f>VLOOKUP(H754,'Fund Utilization Report'!$A$4:$U$1800,7,FALSE)</f>
        <v>MOOE</v>
      </c>
      <c r="Z754" s="321">
        <f>VLOOKUP(H754,'Fund Utilization Report'!$A$4:$U$1800,8,FALSE)</f>
        <v>5020000000</v>
      </c>
      <c r="AA754" s="319" t="str">
        <f>VLOOKUP(H754,'Fund Utilization Report'!$A$4:$U$1800,14,FALSE)</f>
        <v>320100100001000</v>
      </c>
      <c r="AB754" s="349" t="str">
        <f>VLOOKUP(H754,'Fund Utilization Report'!$A$4:$U$1800,15,FALSE)</f>
        <v>Formulation of Strategic plans,programs, and policies to develop competitve industries</v>
      </c>
      <c r="AC754" s="39"/>
      <c r="AD754" s="34"/>
      <c r="AE754" s="39"/>
      <c r="AF754" s="51"/>
      <c r="AG754" s="40"/>
      <c r="AH754" s="40"/>
    </row>
    <row r="755" spans="1:34" s="32" customFormat="1" ht="41.4">
      <c r="A755" s="338" t="s">
        <v>942</v>
      </c>
      <c r="B755" s="338" t="s">
        <v>945</v>
      </c>
      <c r="C755" s="358">
        <v>44243</v>
      </c>
      <c r="D755" s="351" t="s">
        <v>1028</v>
      </c>
      <c r="E755" s="352" t="s">
        <v>1194</v>
      </c>
      <c r="F755" s="338">
        <v>0.405555555555555</v>
      </c>
      <c r="G755" s="338">
        <v>0.40625</v>
      </c>
      <c r="H755" s="338" t="s">
        <v>965</v>
      </c>
      <c r="I755" s="353">
        <v>751</v>
      </c>
      <c r="J755" s="338" t="str">
        <f>IFERROR(VLOOKUP(I755,'Chart of accounts'!A:H,2,FALSE),"")</f>
        <v>50201010 00</v>
      </c>
      <c r="K755" s="338" t="str">
        <f>IFERROR(VLOOKUP(I755,'Chart of accounts'!A:H,3,FALSE),"")</f>
        <v>Traveling Expenses - Local</v>
      </c>
      <c r="L755" s="338" t="str">
        <f>IFERROR(VLOOKUP(I755,'Chart of accounts'!A:H,4,FALSE),"")</f>
        <v>50201010 00 - Traveling Expenses - Local (751)</v>
      </c>
      <c r="M755" s="361">
        <v>1</v>
      </c>
      <c r="N755" s="355" t="s">
        <v>1195</v>
      </c>
      <c r="O755" s="355" t="s">
        <v>1196</v>
      </c>
      <c r="P755" s="355"/>
      <c r="Q755" s="363">
        <v>2850</v>
      </c>
      <c r="R755" s="319">
        <f t="shared" si="19"/>
        <v>-2850</v>
      </c>
      <c r="S755" s="319" t="str">
        <f>VLOOKUP(H755,'Fund Utilization Report'!$A$4:$U$1800,13,FALSE)</f>
        <v>MOOE</v>
      </c>
      <c r="T755" s="319" t="str">
        <f>VLOOKUP(H755,'Fund Utilization Report'!$A$4:$U$1800,2,FALSE)</f>
        <v>GAA</v>
      </c>
      <c r="U755" s="319" t="str">
        <f>VLOOKUP(H755,'Fund Utilization Report'!$A$4:$U$1800,3,FALSE)</f>
        <v>FY2021, RA11518</v>
      </c>
      <c r="V755" s="319" t="str">
        <f>VLOOKUP(H755,'Fund Utilization Report'!$A$4:$U$1800,4,FALSE)</f>
        <v>OO1</v>
      </c>
      <c r="W755" s="319" t="str">
        <f>VLOOKUP(H755,'Fund Utilization Report'!$A$4:$U$1800,5,FALSE)</f>
        <v>01101101</v>
      </c>
      <c r="X755" s="319" t="str">
        <f>VLOOKUP(H755,'Fund Utilization Report'!$A$4:$U$1800,6,FALSE)</f>
        <v>GOP</v>
      </c>
      <c r="Y755" s="320" t="str">
        <f>VLOOKUP(H755,'Fund Utilization Report'!$A$4:$U$1800,7,FALSE)</f>
        <v>MOOE</v>
      </c>
      <c r="Z755" s="321">
        <f>VLOOKUP(H755,'Fund Utilization Report'!$A$4:$U$1800,8,FALSE)</f>
        <v>5020000000</v>
      </c>
      <c r="AA755" s="319" t="str">
        <f>VLOOKUP(H755,'Fund Utilization Report'!$A$4:$U$1800,14,FALSE)</f>
        <v>310100100002000</v>
      </c>
      <c r="AB755" s="349" t="str">
        <f>VLOOKUP(H755,'Fund Utilization Report'!$A$4:$U$1800,15,FALSE)</f>
        <v>Development,Facilitation, and promotion of exports and investment, domestic and foreign</v>
      </c>
      <c r="AC755" s="39"/>
      <c r="AD755" s="34"/>
      <c r="AE755" s="39"/>
      <c r="AF755" s="51"/>
      <c r="AG755" s="40"/>
      <c r="AH755" s="40"/>
    </row>
    <row r="756" spans="1:34" s="32" customFormat="1" ht="41.4">
      <c r="A756" s="338" t="s">
        <v>942</v>
      </c>
      <c r="B756" s="338" t="s">
        <v>945</v>
      </c>
      <c r="C756" s="358">
        <v>44243</v>
      </c>
      <c r="D756" s="351" t="s">
        <v>1028</v>
      </c>
      <c r="E756" s="352" t="s">
        <v>1197</v>
      </c>
      <c r="F756" s="338">
        <v>0.40625</v>
      </c>
      <c r="G756" s="338">
        <v>0.406944444444445</v>
      </c>
      <c r="H756" s="338" t="s">
        <v>983</v>
      </c>
      <c r="I756" s="353">
        <v>761</v>
      </c>
      <c r="J756" s="338" t="str">
        <f>IFERROR(VLOOKUP(I756,'Chart of accounts'!A:H,2,FALSE),"")</f>
        <v>50203090 00</v>
      </c>
      <c r="K756" s="338" t="str">
        <f>IFERROR(VLOOKUP(I756,'Chart of accounts'!A:H,3,FALSE),"")</f>
        <v>Fuel, Oil and Lubricants Expenses</v>
      </c>
      <c r="L756" s="338" t="str">
        <f>IFERROR(VLOOKUP(I756,'Chart of accounts'!A:H,4,FALSE),"")</f>
        <v>50203090 00 - Fuel, Oil and Lubricants Expenses (761)</v>
      </c>
      <c r="M756" s="361">
        <v>1</v>
      </c>
      <c r="N756" s="355" t="s">
        <v>1195</v>
      </c>
      <c r="O756" s="355" t="s">
        <v>1205</v>
      </c>
      <c r="P756" s="355"/>
      <c r="Q756" s="363">
        <v>500</v>
      </c>
      <c r="R756" s="319">
        <f t="shared" si="19"/>
        <v>-500</v>
      </c>
      <c r="S756" s="319" t="str">
        <f>VLOOKUP(H756,'Fund Utilization Report'!$A$4:$U$1800,13,FALSE)</f>
        <v>MOOE</v>
      </c>
      <c r="T756" s="319" t="str">
        <f>VLOOKUP(H756,'Fund Utilization Report'!$A$4:$U$1800,2,FALSE)</f>
        <v>GAA</v>
      </c>
      <c r="U756" s="319" t="str">
        <f>VLOOKUP(H756,'Fund Utilization Report'!$A$4:$U$1800,3,FALSE)</f>
        <v>FY2021, RA11518</v>
      </c>
      <c r="V756" s="319" t="str">
        <f>VLOOKUP(H756,'Fund Utilization Report'!$A$4:$U$1800,4,FALSE)</f>
        <v>SSF</v>
      </c>
      <c r="W756" s="319" t="str">
        <f>VLOOKUP(H756,'Fund Utilization Report'!$A$4:$U$1800,5,FALSE)</f>
        <v>01101101</v>
      </c>
      <c r="X756" s="319" t="str">
        <f>VLOOKUP(H756,'Fund Utilization Report'!$A$4:$U$1800,6,FALSE)</f>
        <v>GOP</v>
      </c>
      <c r="Y756" s="320" t="str">
        <f>VLOOKUP(H756,'Fund Utilization Report'!$A$4:$U$1800,7,FALSE)</f>
        <v>MOOE</v>
      </c>
      <c r="Z756" s="321">
        <f>VLOOKUP(H756,'Fund Utilization Report'!$A$4:$U$1800,8,FALSE)</f>
        <v>5020000000</v>
      </c>
      <c r="AA756" s="319" t="str">
        <f>VLOOKUP(H756,'Fund Utilization Report'!$A$4:$U$1800,14,FALSE)</f>
        <v>330100200003000</v>
      </c>
      <c r="AB756" s="349" t="str">
        <f>VLOOKUP(H756,'Fund Utilization Report'!$A$4:$U$1800,15,FALSE)</f>
        <v>Shared Service Facilities Project</v>
      </c>
      <c r="AC756" s="39"/>
      <c r="AD756" s="34"/>
      <c r="AE756" s="39"/>
      <c r="AF756" s="51"/>
      <c r="AG756" s="40"/>
      <c r="AH756" s="40"/>
    </row>
    <row r="757" spans="1:34" s="32" customFormat="1" ht="27.6">
      <c r="A757" s="338" t="s">
        <v>942</v>
      </c>
      <c r="B757" s="338" t="s">
        <v>945</v>
      </c>
      <c r="C757" s="358">
        <v>44243</v>
      </c>
      <c r="D757" s="351" t="s">
        <v>1028</v>
      </c>
      <c r="E757" s="352" t="s">
        <v>1198</v>
      </c>
      <c r="F757" s="338">
        <v>0.406944444444444</v>
      </c>
      <c r="G757" s="338">
        <v>0.40763888888888899</v>
      </c>
      <c r="H757" s="338" t="s">
        <v>974</v>
      </c>
      <c r="I757" s="353">
        <v>751</v>
      </c>
      <c r="J757" s="338" t="str">
        <f>IFERROR(VLOOKUP(I757,'Chart of accounts'!A:H,2,FALSE),"")</f>
        <v>50201010 00</v>
      </c>
      <c r="K757" s="338" t="str">
        <f>IFERROR(VLOOKUP(I757,'Chart of accounts'!A:H,3,FALSE),"")</f>
        <v>Traveling Expenses - Local</v>
      </c>
      <c r="L757" s="338" t="str">
        <f>IFERROR(VLOOKUP(I757,'Chart of accounts'!A:H,4,FALSE),"")</f>
        <v>50201010 00 - Traveling Expenses - Local (751)</v>
      </c>
      <c r="M757" s="361">
        <v>85</v>
      </c>
      <c r="N757" s="355" t="s">
        <v>823</v>
      </c>
      <c r="O757" s="355" t="s">
        <v>1206</v>
      </c>
      <c r="P757" s="355"/>
      <c r="Q757" s="363">
        <v>15000</v>
      </c>
      <c r="R757" s="319">
        <f t="shared" si="19"/>
        <v>-15000</v>
      </c>
      <c r="S757" s="319" t="str">
        <f>VLOOKUP(H757,'Fund Utilization Report'!$A$4:$U$1800,13,FALSE)</f>
        <v>MOOE</v>
      </c>
      <c r="T757" s="319" t="str">
        <f>VLOOKUP(H757,'Fund Utilization Report'!$A$4:$U$1800,2,FALSE)</f>
        <v>GAA</v>
      </c>
      <c r="U757" s="319" t="str">
        <f>VLOOKUP(H757,'Fund Utilization Report'!$A$4:$U$1800,3,FALSE)</f>
        <v>FY2021, RA11518</v>
      </c>
      <c r="V757" s="319" t="str">
        <f>VLOOKUP(H757,'Fund Utilization Report'!$A$4:$U$1800,4,FALSE)</f>
        <v>OO4.1(FTL)</v>
      </c>
      <c r="W757" s="319" t="str">
        <f>VLOOKUP(H757,'Fund Utilization Report'!$A$4:$U$1800,5,FALSE)</f>
        <v>01101101</v>
      </c>
      <c r="X757" s="319" t="str">
        <f>VLOOKUP(H757,'Fund Utilization Report'!$A$4:$U$1800,6,FALSE)</f>
        <v>GOP</v>
      </c>
      <c r="Y757" s="320" t="str">
        <f>VLOOKUP(H757,'Fund Utilization Report'!$A$4:$U$1800,7,FALSE)</f>
        <v>MOOE</v>
      </c>
      <c r="Z757" s="321">
        <f>VLOOKUP(H757,'Fund Utilization Report'!$A$4:$U$1800,8,FALSE)</f>
        <v>5020000000</v>
      </c>
      <c r="AA757" s="319" t="str">
        <f>VLOOKUP(H757,'Fund Utilization Report'!$A$4:$U$1800,14,FALSE)</f>
        <v>340100100002000</v>
      </c>
      <c r="AB757" s="349" t="str">
        <f>VLOOKUP(H757,'Fund Utilization Report'!$A$4:$U$1800,15,FALSE)</f>
        <v>Monitoring and Enforcement of FTL including consumer complaints handling</v>
      </c>
      <c r="AC757" s="39"/>
      <c r="AD757" s="34"/>
      <c r="AE757" s="39"/>
      <c r="AF757" s="51"/>
      <c r="AG757" s="40"/>
      <c r="AH757" s="40"/>
    </row>
    <row r="758" spans="1:34" s="32" customFormat="1" ht="27.6">
      <c r="A758" s="338" t="s">
        <v>942</v>
      </c>
      <c r="B758" s="338" t="s">
        <v>945</v>
      </c>
      <c r="C758" s="358">
        <v>44243</v>
      </c>
      <c r="D758" s="351" t="s">
        <v>1028</v>
      </c>
      <c r="E758" s="352" t="s">
        <v>1198</v>
      </c>
      <c r="F758" s="338">
        <v>0.406944444444444</v>
      </c>
      <c r="G758" s="338">
        <v>0.40763888888888899</v>
      </c>
      <c r="H758" s="338" t="s">
        <v>974</v>
      </c>
      <c r="I758" s="353">
        <v>783</v>
      </c>
      <c r="J758" s="338" t="str">
        <f>IFERROR(VLOOKUP(I758,'Chart of accounts'!A:H,2,FALSE),"")</f>
        <v>50299030 00</v>
      </c>
      <c r="K758" s="338" t="str">
        <f>IFERROR(VLOOKUP(I758,'Chart of accounts'!A:H,3,FALSE),"")</f>
        <v>Representation Expenses</v>
      </c>
      <c r="L758" s="338" t="str">
        <f>IFERROR(VLOOKUP(I758,'Chart of accounts'!A:H,4,FALSE),"")</f>
        <v>50299030 00 - Representation Expenses (783)</v>
      </c>
      <c r="M758" s="361">
        <v>85</v>
      </c>
      <c r="N758" s="355" t="s">
        <v>823</v>
      </c>
      <c r="O758" s="355" t="s">
        <v>1206</v>
      </c>
      <c r="P758" s="355"/>
      <c r="Q758" s="363">
        <v>25000</v>
      </c>
      <c r="R758" s="319">
        <f>P758-Q758</f>
        <v>-25000</v>
      </c>
      <c r="S758" s="319" t="str">
        <f>VLOOKUP(H758,'Fund Utilization Report'!$A$4:$U$1800,13,FALSE)</f>
        <v>MOOE</v>
      </c>
      <c r="T758" s="319" t="str">
        <f>VLOOKUP(H758,'Fund Utilization Report'!$A$4:$U$1800,2,FALSE)</f>
        <v>GAA</v>
      </c>
      <c r="U758" s="319" t="str">
        <f>VLOOKUP(H758,'Fund Utilization Report'!$A$4:$U$1800,3,FALSE)</f>
        <v>FY2021, RA11518</v>
      </c>
      <c r="V758" s="319" t="str">
        <f>VLOOKUP(H758,'Fund Utilization Report'!$A$4:$U$1800,4,FALSE)</f>
        <v>OO4.1(FTL)</v>
      </c>
      <c r="W758" s="319" t="str">
        <f>VLOOKUP(H758,'Fund Utilization Report'!$A$4:$U$1800,5,FALSE)</f>
        <v>01101101</v>
      </c>
      <c r="X758" s="319" t="str">
        <f>VLOOKUP(H758,'Fund Utilization Report'!$A$4:$U$1800,6,FALSE)</f>
        <v>GOP</v>
      </c>
      <c r="Y758" s="320" t="str">
        <f>VLOOKUP(H758,'Fund Utilization Report'!$A$4:$U$1800,7,FALSE)</f>
        <v>MOOE</v>
      </c>
      <c r="Z758" s="321">
        <f>VLOOKUP(H758,'Fund Utilization Report'!$A$4:$U$1800,8,FALSE)</f>
        <v>5020000000</v>
      </c>
      <c r="AA758" s="319" t="str">
        <f>VLOOKUP(H758,'Fund Utilization Report'!$A$4:$U$1800,14,FALSE)</f>
        <v>340100100002000</v>
      </c>
      <c r="AB758" s="349" t="str">
        <f>VLOOKUP(H758,'Fund Utilization Report'!$A$4:$U$1800,15,FALSE)</f>
        <v>Monitoring and Enforcement of FTL including consumer complaints handling</v>
      </c>
      <c r="AC758" s="39"/>
      <c r="AD758" s="34"/>
      <c r="AE758" s="39"/>
      <c r="AF758" s="51"/>
      <c r="AG758" s="40"/>
      <c r="AH758" s="40"/>
    </row>
    <row r="759" spans="1:34" s="32" customFormat="1" ht="27.6">
      <c r="A759" s="338" t="s">
        <v>942</v>
      </c>
      <c r="B759" s="338" t="s">
        <v>945</v>
      </c>
      <c r="C759" s="358">
        <v>44243</v>
      </c>
      <c r="D759" s="351" t="s">
        <v>1028</v>
      </c>
      <c r="E759" s="352" t="s">
        <v>1198</v>
      </c>
      <c r="F759" s="338">
        <v>0.406944444444444</v>
      </c>
      <c r="G759" s="338">
        <v>0.40763888888888899</v>
      </c>
      <c r="H759" s="338" t="s">
        <v>977</v>
      </c>
      <c r="I759" s="353">
        <v>751</v>
      </c>
      <c r="J759" s="338" t="str">
        <f>IFERROR(VLOOKUP(I759,'Chart of accounts'!A:H,2,FALSE),"")</f>
        <v>50201010 00</v>
      </c>
      <c r="K759" s="338" t="str">
        <f>IFERROR(VLOOKUP(I759,'Chart of accounts'!A:H,3,FALSE),"")</f>
        <v>Traveling Expenses - Local</v>
      </c>
      <c r="L759" s="338" t="str">
        <f>IFERROR(VLOOKUP(I759,'Chart of accounts'!A:H,4,FALSE),"")</f>
        <v>50201010 00 - Traveling Expenses - Local (751)</v>
      </c>
      <c r="M759" s="361">
        <v>85</v>
      </c>
      <c r="N759" s="355" t="s">
        <v>823</v>
      </c>
      <c r="O759" s="355" t="s">
        <v>1206</v>
      </c>
      <c r="P759" s="355"/>
      <c r="Q759" s="363">
        <v>15000</v>
      </c>
      <c r="R759" s="319">
        <f>P759-Q759</f>
        <v>-15000</v>
      </c>
      <c r="S759" s="319" t="str">
        <f>VLOOKUP(H759,'Fund Utilization Report'!$A$4:$U$1800,13,FALSE)</f>
        <v>MOOE</v>
      </c>
      <c r="T759" s="319" t="str">
        <f>VLOOKUP(H759,'Fund Utilization Report'!$A$4:$U$1800,2,FALSE)</f>
        <v>GAA</v>
      </c>
      <c r="U759" s="319" t="str">
        <f>VLOOKUP(H759,'Fund Utilization Report'!$A$4:$U$1800,3,FALSE)</f>
        <v>FY2021, RA11518</v>
      </c>
      <c r="V759" s="319" t="str">
        <f>VLOOKUP(H759,'Fund Utilization Report'!$A$4:$U$1800,4,FALSE)</f>
        <v>OO4.1(Acc)</v>
      </c>
      <c r="W759" s="319" t="str">
        <f>VLOOKUP(H759,'Fund Utilization Report'!$A$4:$U$1800,5,FALSE)</f>
        <v>01101101</v>
      </c>
      <c r="X759" s="319" t="str">
        <f>VLOOKUP(H759,'Fund Utilization Report'!$A$4:$U$1800,6,FALSE)</f>
        <v>GOP</v>
      </c>
      <c r="Y759" s="320" t="str">
        <f>VLOOKUP(H759,'Fund Utilization Report'!$A$4:$U$1800,7,FALSE)</f>
        <v>MOOE</v>
      </c>
      <c r="Z759" s="321">
        <f>VLOOKUP(H759,'Fund Utilization Report'!$A$4:$U$1800,8,FALSE)</f>
        <v>5020000000</v>
      </c>
      <c r="AA759" s="319" t="str">
        <f>VLOOKUP(H759,'Fund Utilization Report'!$A$4:$U$1800,14,FALSE)</f>
        <v>340100100003000</v>
      </c>
      <c r="AB759" s="349" t="str">
        <f>VLOOKUP(H759,'Fund Utilization Report'!$A$4:$U$1800,15,FALSE)</f>
        <v>Accreditation and Issuance of Business Licenses, Permits, registration and authorities</v>
      </c>
      <c r="AC759" s="39"/>
      <c r="AD759" s="34"/>
      <c r="AE759" s="39"/>
      <c r="AF759" s="51"/>
      <c r="AG759" s="40"/>
      <c r="AH759" s="40"/>
    </row>
    <row r="760" spans="1:34" s="32" customFormat="1" ht="27.6">
      <c r="A760" s="338" t="s">
        <v>942</v>
      </c>
      <c r="B760" s="338" t="s">
        <v>945</v>
      </c>
      <c r="C760" s="358">
        <v>44243</v>
      </c>
      <c r="D760" s="351" t="s">
        <v>1028</v>
      </c>
      <c r="E760" s="352" t="s">
        <v>1198</v>
      </c>
      <c r="F760" s="338">
        <v>0.406944444444444</v>
      </c>
      <c r="G760" s="338">
        <v>0.40763888888888899</v>
      </c>
      <c r="H760" s="338" t="s">
        <v>977</v>
      </c>
      <c r="I760" s="353">
        <v>783</v>
      </c>
      <c r="J760" s="338" t="str">
        <f>IFERROR(VLOOKUP(I760,'Chart of accounts'!A:H,2,FALSE),"")</f>
        <v>50299030 00</v>
      </c>
      <c r="K760" s="338" t="str">
        <f>IFERROR(VLOOKUP(I760,'Chart of accounts'!A:H,3,FALSE),"")</f>
        <v>Representation Expenses</v>
      </c>
      <c r="L760" s="338" t="str">
        <f>IFERROR(VLOOKUP(I760,'Chart of accounts'!A:H,4,FALSE),"")</f>
        <v>50299030 00 - Representation Expenses (783)</v>
      </c>
      <c r="M760" s="361">
        <v>85</v>
      </c>
      <c r="N760" s="355" t="s">
        <v>823</v>
      </c>
      <c r="O760" s="355" t="s">
        <v>1206</v>
      </c>
      <c r="P760" s="355"/>
      <c r="Q760" s="363">
        <v>35000</v>
      </c>
      <c r="R760" s="319">
        <f>P760-Q760</f>
        <v>-35000</v>
      </c>
      <c r="S760" s="319" t="str">
        <f>VLOOKUP(H760,'Fund Utilization Report'!$A$4:$U$1800,13,FALSE)</f>
        <v>MOOE</v>
      </c>
      <c r="T760" s="319" t="str">
        <f>VLOOKUP(H760,'Fund Utilization Report'!$A$4:$U$1800,2,FALSE)</f>
        <v>GAA</v>
      </c>
      <c r="U760" s="319" t="str">
        <f>VLOOKUP(H760,'Fund Utilization Report'!$A$4:$U$1800,3,FALSE)</f>
        <v>FY2021, RA11518</v>
      </c>
      <c r="V760" s="319" t="str">
        <f>VLOOKUP(H760,'Fund Utilization Report'!$A$4:$U$1800,4,FALSE)</f>
        <v>OO4.1(Acc)</v>
      </c>
      <c r="W760" s="319" t="str">
        <f>VLOOKUP(H760,'Fund Utilization Report'!$A$4:$U$1800,5,FALSE)</f>
        <v>01101101</v>
      </c>
      <c r="X760" s="319" t="str">
        <f>VLOOKUP(H760,'Fund Utilization Report'!$A$4:$U$1800,6,FALSE)</f>
        <v>GOP</v>
      </c>
      <c r="Y760" s="320" t="str">
        <f>VLOOKUP(H760,'Fund Utilization Report'!$A$4:$U$1800,7,FALSE)</f>
        <v>MOOE</v>
      </c>
      <c r="Z760" s="321">
        <f>VLOOKUP(H760,'Fund Utilization Report'!$A$4:$U$1800,8,FALSE)</f>
        <v>5020000000</v>
      </c>
      <c r="AA760" s="319" t="str">
        <f>VLOOKUP(H760,'Fund Utilization Report'!$A$4:$U$1800,14,FALSE)</f>
        <v>340100100003000</v>
      </c>
      <c r="AB760" s="349" t="str">
        <f>VLOOKUP(H760,'Fund Utilization Report'!$A$4:$U$1800,15,FALSE)</f>
        <v>Accreditation and Issuance of Business Licenses, Permits, registration and authorities</v>
      </c>
      <c r="AC760" s="39"/>
      <c r="AD760" s="34"/>
      <c r="AE760" s="39"/>
      <c r="AF760" s="51"/>
      <c r="AG760" s="40"/>
      <c r="AH760" s="40"/>
    </row>
    <row r="761" spans="1:34" s="32" customFormat="1" ht="27.6">
      <c r="A761" s="338" t="s">
        <v>942</v>
      </c>
      <c r="B761" s="338" t="s">
        <v>945</v>
      </c>
      <c r="C761" s="358">
        <v>44243</v>
      </c>
      <c r="D761" s="351" t="s">
        <v>1028</v>
      </c>
      <c r="E761" s="352" t="s">
        <v>1198</v>
      </c>
      <c r="F761" s="338">
        <v>0.406944444444444</v>
      </c>
      <c r="G761" s="338">
        <v>0.40763888888888899</v>
      </c>
      <c r="H761" s="338" t="s">
        <v>979</v>
      </c>
      <c r="I761" s="353">
        <v>755</v>
      </c>
      <c r="J761" s="338" t="str">
        <f>IFERROR(VLOOKUP(I761,'Chart of accounts'!A:H,2,FALSE),"")</f>
        <v>50203010 00</v>
      </c>
      <c r="K761" s="338" t="str">
        <f>IFERROR(VLOOKUP(I761,'Chart of accounts'!A:H,3,FALSE),"")</f>
        <v>Office Supplies Expenses</v>
      </c>
      <c r="L761" s="338" t="str">
        <f>IFERROR(VLOOKUP(I761,'Chart of accounts'!A:H,4,FALSE),"")</f>
        <v>50203010 00 - Office Supplies Expenses (755)</v>
      </c>
      <c r="M761" s="361">
        <v>85</v>
      </c>
      <c r="N761" s="355" t="s">
        <v>823</v>
      </c>
      <c r="O761" s="355" t="s">
        <v>1206</v>
      </c>
      <c r="P761" s="355"/>
      <c r="Q761" s="363">
        <v>10000</v>
      </c>
      <c r="R761" s="319">
        <f>P761-Q761</f>
        <v>-10000</v>
      </c>
      <c r="S761" s="319" t="str">
        <f>VLOOKUP(H761,'Fund Utilization Report'!$A$4:$U$1800,13,FALSE)</f>
        <v>MOOE</v>
      </c>
      <c r="T761" s="319" t="str">
        <f>VLOOKUP(H761,'Fund Utilization Report'!$A$4:$U$1800,2,FALSE)</f>
        <v>GAA</v>
      </c>
      <c r="U761" s="319" t="str">
        <f>VLOOKUP(H761,'Fund Utilization Report'!$A$4:$U$1800,3,FALSE)</f>
        <v>FY2021, RA11518</v>
      </c>
      <c r="V761" s="319" t="str">
        <f>VLOOKUP(H761,'Fund Utilization Report'!$A$4:$U$1800,4,FALSE)</f>
        <v>OO 4.2</v>
      </c>
      <c r="W761" s="319" t="str">
        <f>VLOOKUP(H761,'Fund Utilization Report'!$A$4:$U$1800,5,FALSE)</f>
        <v>01101101</v>
      </c>
      <c r="X761" s="319" t="str">
        <f>VLOOKUP(H761,'Fund Utilization Report'!$A$4:$U$1800,6,FALSE)</f>
        <v>GOP</v>
      </c>
      <c r="Y761" s="320" t="str">
        <f>VLOOKUP(H761,'Fund Utilization Report'!$A$4:$U$1800,7,FALSE)</f>
        <v>MOOE</v>
      </c>
      <c r="Z761" s="321">
        <f>VLOOKUP(H761,'Fund Utilization Report'!$A$4:$U$1800,8,FALSE)</f>
        <v>5020000000</v>
      </c>
      <c r="AA761" s="319" t="str">
        <f>VLOOKUP(H761,'Fund Utilization Report'!$A$4:$U$1800,14,FALSE)</f>
        <v>340200100002000</v>
      </c>
      <c r="AB761" s="349" t="str">
        <f>VLOOKUP(H761,'Fund Utilization Report'!$A$4:$U$1800,15,FALSE)</f>
        <v>Implementation of Plans, projects and activities on consumer awareness, education, and advocacy</v>
      </c>
      <c r="AC761" s="39"/>
      <c r="AD761" s="34"/>
      <c r="AE761" s="39"/>
      <c r="AF761" s="51"/>
      <c r="AG761" s="40"/>
      <c r="AH761" s="40"/>
    </row>
    <row r="762" spans="1:34" s="411" customFormat="1" ht="27.6">
      <c r="A762" s="405" t="s">
        <v>942</v>
      </c>
      <c r="B762" s="405" t="s">
        <v>945</v>
      </c>
      <c r="C762" s="402">
        <v>44243</v>
      </c>
      <c r="D762" s="403" t="s">
        <v>1028</v>
      </c>
      <c r="E762" s="404" t="s">
        <v>1199</v>
      </c>
      <c r="F762" s="405">
        <v>0.40763888888888899</v>
      </c>
      <c r="G762" s="405">
        <v>0.40833333333333399</v>
      </c>
      <c r="H762" s="405" t="s">
        <v>974</v>
      </c>
      <c r="I762" s="416">
        <v>751</v>
      </c>
      <c r="J762" s="405" t="str">
        <f>IFERROR(VLOOKUP(I762,'Chart of accounts'!A:H,2,FALSE),"")</f>
        <v>50201010 00</v>
      </c>
      <c r="K762" s="405" t="str">
        <f>IFERROR(VLOOKUP(I762,'Chart of accounts'!A:H,3,FALSE),"")</f>
        <v>Traveling Expenses - Local</v>
      </c>
      <c r="L762" s="405" t="str">
        <f>IFERROR(VLOOKUP(I762,'Chart of accounts'!A:H,4,FALSE),"")</f>
        <v>50201010 00 - Traveling Expenses - Local (751)</v>
      </c>
      <c r="M762" s="408">
        <v>67</v>
      </c>
      <c r="N762" s="409" t="s">
        <v>822</v>
      </c>
      <c r="O762" s="409" t="s">
        <v>1206</v>
      </c>
      <c r="P762" s="409"/>
      <c r="Q762" s="65">
        <f>20000-20000</f>
        <v>0</v>
      </c>
      <c r="R762" s="63">
        <f t="shared" si="19"/>
        <v>0</v>
      </c>
      <c r="S762" s="63" t="str">
        <f>VLOOKUP(H762,'Fund Utilization Report'!$A$4:$U$1800,13,FALSE)</f>
        <v>MOOE</v>
      </c>
      <c r="T762" s="63" t="str">
        <f>VLOOKUP(H762,'Fund Utilization Report'!$A$4:$U$1800,2,FALSE)</f>
        <v>GAA</v>
      </c>
      <c r="U762" s="63" t="str">
        <f>VLOOKUP(H762,'Fund Utilization Report'!$A$4:$U$1800,3,FALSE)</f>
        <v>FY2021, RA11518</v>
      </c>
      <c r="V762" s="63" t="str">
        <f>VLOOKUP(H762,'Fund Utilization Report'!$A$4:$U$1800,4,FALSE)</f>
        <v>OO4.1(FTL)</v>
      </c>
      <c r="W762" s="63" t="str">
        <f>VLOOKUP(H762,'Fund Utilization Report'!$A$4:$U$1800,5,FALSE)</f>
        <v>01101101</v>
      </c>
      <c r="X762" s="63" t="str">
        <f>VLOOKUP(H762,'Fund Utilization Report'!$A$4:$U$1800,6,FALSE)</f>
        <v>GOP</v>
      </c>
      <c r="Y762" s="417" t="str">
        <f>VLOOKUP(H762,'Fund Utilization Report'!$A$4:$U$1800,7,FALSE)</f>
        <v>MOOE</v>
      </c>
      <c r="Z762" s="418">
        <f>VLOOKUP(H762,'Fund Utilization Report'!$A$4:$U$1800,8,FALSE)</f>
        <v>5020000000</v>
      </c>
      <c r="AA762" s="63" t="str">
        <f>VLOOKUP(H762,'Fund Utilization Report'!$A$4:$U$1800,14,FALSE)</f>
        <v>340100100002000</v>
      </c>
      <c r="AB762" s="419" t="str">
        <f>VLOOKUP(H762,'Fund Utilization Report'!$A$4:$U$1800,15,FALSE)</f>
        <v>Monitoring and Enforcement of FTL including consumer complaints handling</v>
      </c>
      <c r="AC762" s="406"/>
      <c r="AD762" s="403"/>
      <c r="AE762" s="406"/>
      <c r="AF762" s="406"/>
      <c r="AG762" s="407"/>
      <c r="AH762" s="407"/>
    </row>
    <row r="763" spans="1:34" s="411" customFormat="1" ht="27.6">
      <c r="A763" s="405" t="s">
        <v>942</v>
      </c>
      <c r="B763" s="405" t="s">
        <v>945</v>
      </c>
      <c r="C763" s="402">
        <v>44243</v>
      </c>
      <c r="D763" s="403" t="s">
        <v>1028</v>
      </c>
      <c r="E763" s="404" t="s">
        <v>1199</v>
      </c>
      <c r="F763" s="405">
        <v>0.40763888888888899</v>
      </c>
      <c r="G763" s="405">
        <v>0.40833333333333399</v>
      </c>
      <c r="H763" s="405" t="s">
        <v>974</v>
      </c>
      <c r="I763" s="416">
        <v>783</v>
      </c>
      <c r="J763" s="405" t="str">
        <f>IFERROR(VLOOKUP(I763,'Chart of accounts'!A:H,2,FALSE),"")</f>
        <v>50299030 00</v>
      </c>
      <c r="K763" s="405" t="str">
        <f>IFERROR(VLOOKUP(I763,'Chart of accounts'!A:H,3,FALSE),"")</f>
        <v>Representation Expenses</v>
      </c>
      <c r="L763" s="405" t="str">
        <f>IFERROR(VLOOKUP(I763,'Chart of accounts'!A:H,4,FALSE),"")</f>
        <v>50299030 00 - Representation Expenses (783)</v>
      </c>
      <c r="M763" s="408">
        <v>67</v>
      </c>
      <c r="N763" s="409" t="s">
        <v>822</v>
      </c>
      <c r="O763" s="409" t="s">
        <v>1206</v>
      </c>
      <c r="P763" s="409"/>
      <c r="Q763" s="65">
        <f>35000-35000</f>
        <v>0</v>
      </c>
      <c r="R763" s="63">
        <f>P763-Q763</f>
        <v>0</v>
      </c>
      <c r="S763" s="63" t="str">
        <f>VLOOKUP(H763,'Fund Utilization Report'!$A$4:$U$1800,13,FALSE)</f>
        <v>MOOE</v>
      </c>
      <c r="T763" s="63" t="str">
        <f>VLOOKUP(H763,'Fund Utilization Report'!$A$4:$U$1800,2,FALSE)</f>
        <v>GAA</v>
      </c>
      <c r="U763" s="63" t="str">
        <f>VLOOKUP(H763,'Fund Utilization Report'!$A$4:$U$1800,3,FALSE)</f>
        <v>FY2021, RA11518</v>
      </c>
      <c r="V763" s="63" t="str">
        <f>VLOOKUP(H763,'Fund Utilization Report'!$A$4:$U$1800,4,FALSE)</f>
        <v>OO4.1(FTL)</v>
      </c>
      <c r="W763" s="63" t="str">
        <f>VLOOKUP(H763,'Fund Utilization Report'!$A$4:$U$1800,5,FALSE)</f>
        <v>01101101</v>
      </c>
      <c r="X763" s="63" t="str">
        <f>VLOOKUP(H763,'Fund Utilization Report'!$A$4:$U$1800,6,FALSE)</f>
        <v>GOP</v>
      </c>
      <c r="Y763" s="417" t="str">
        <f>VLOOKUP(H763,'Fund Utilization Report'!$A$4:$U$1800,7,FALSE)</f>
        <v>MOOE</v>
      </c>
      <c r="Z763" s="418">
        <f>VLOOKUP(H763,'Fund Utilization Report'!$A$4:$U$1800,8,FALSE)</f>
        <v>5020000000</v>
      </c>
      <c r="AA763" s="63" t="str">
        <f>VLOOKUP(H763,'Fund Utilization Report'!$A$4:$U$1800,14,FALSE)</f>
        <v>340100100002000</v>
      </c>
      <c r="AB763" s="419" t="str">
        <f>VLOOKUP(H763,'Fund Utilization Report'!$A$4:$U$1800,15,FALSE)</f>
        <v>Monitoring and Enforcement of FTL including consumer complaints handling</v>
      </c>
      <c r="AC763" s="406"/>
      <c r="AD763" s="403"/>
      <c r="AE763" s="406"/>
      <c r="AF763" s="406"/>
      <c r="AG763" s="407"/>
      <c r="AH763" s="407"/>
    </row>
    <row r="764" spans="1:34" s="411" customFormat="1" ht="27.6">
      <c r="A764" s="405" t="s">
        <v>942</v>
      </c>
      <c r="B764" s="405" t="s">
        <v>945</v>
      </c>
      <c r="C764" s="402">
        <v>44243</v>
      </c>
      <c r="D764" s="403" t="s">
        <v>1028</v>
      </c>
      <c r="E764" s="404" t="s">
        <v>1199</v>
      </c>
      <c r="F764" s="405">
        <v>0.40763888888888899</v>
      </c>
      <c r="G764" s="405">
        <v>0.40833333333333399</v>
      </c>
      <c r="H764" s="405" t="s">
        <v>977</v>
      </c>
      <c r="I764" s="416">
        <v>751</v>
      </c>
      <c r="J764" s="405" t="str">
        <f>IFERROR(VLOOKUP(I764,'Chart of accounts'!A:H,2,FALSE),"")</f>
        <v>50201010 00</v>
      </c>
      <c r="K764" s="405" t="str">
        <f>IFERROR(VLOOKUP(I764,'Chart of accounts'!A:H,3,FALSE),"")</f>
        <v>Traveling Expenses - Local</v>
      </c>
      <c r="L764" s="405" t="str">
        <f>IFERROR(VLOOKUP(I764,'Chart of accounts'!A:H,4,FALSE),"")</f>
        <v>50201010 00 - Traveling Expenses - Local (751)</v>
      </c>
      <c r="M764" s="408">
        <v>67</v>
      </c>
      <c r="N764" s="409" t="s">
        <v>822</v>
      </c>
      <c r="O764" s="409" t="s">
        <v>1206</v>
      </c>
      <c r="P764" s="409"/>
      <c r="Q764" s="65">
        <f>20000-20000</f>
        <v>0</v>
      </c>
      <c r="R764" s="63">
        <f>P764-Q764</f>
        <v>0</v>
      </c>
      <c r="S764" s="63" t="str">
        <f>VLOOKUP(H764,'Fund Utilization Report'!$A$4:$U$1800,13,FALSE)</f>
        <v>MOOE</v>
      </c>
      <c r="T764" s="63" t="str">
        <f>VLOOKUP(H764,'Fund Utilization Report'!$A$4:$U$1800,2,FALSE)</f>
        <v>GAA</v>
      </c>
      <c r="U764" s="63" t="str">
        <f>VLOOKUP(H764,'Fund Utilization Report'!$A$4:$U$1800,3,FALSE)</f>
        <v>FY2021, RA11518</v>
      </c>
      <c r="V764" s="63" t="str">
        <f>VLOOKUP(H764,'Fund Utilization Report'!$A$4:$U$1800,4,FALSE)</f>
        <v>OO4.1(Acc)</v>
      </c>
      <c r="W764" s="63" t="str">
        <f>VLOOKUP(H764,'Fund Utilization Report'!$A$4:$U$1800,5,FALSE)</f>
        <v>01101101</v>
      </c>
      <c r="X764" s="63" t="str">
        <f>VLOOKUP(H764,'Fund Utilization Report'!$A$4:$U$1800,6,FALSE)</f>
        <v>GOP</v>
      </c>
      <c r="Y764" s="417" t="str">
        <f>VLOOKUP(H764,'Fund Utilization Report'!$A$4:$U$1800,7,FALSE)</f>
        <v>MOOE</v>
      </c>
      <c r="Z764" s="418">
        <f>VLOOKUP(H764,'Fund Utilization Report'!$A$4:$U$1800,8,FALSE)</f>
        <v>5020000000</v>
      </c>
      <c r="AA764" s="63" t="str">
        <f>VLOOKUP(H764,'Fund Utilization Report'!$A$4:$U$1800,14,FALSE)</f>
        <v>340100100003000</v>
      </c>
      <c r="AB764" s="419" t="str">
        <f>VLOOKUP(H764,'Fund Utilization Report'!$A$4:$U$1800,15,FALSE)</f>
        <v>Accreditation and Issuance of Business Licenses, Permits, registration and authorities</v>
      </c>
      <c r="AC764" s="406"/>
      <c r="AD764" s="403"/>
      <c r="AE764" s="406"/>
      <c r="AF764" s="406"/>
      <c r="AG764" s="407"/>
      <c r="AH764" s="407"/>
    </row>
    <row r="765" spans="1:34" s="411" customFormat="1" ht="27.6">
      <c r="A765" s="405" t="s">
        <v>942</v>
      </c>
      <c r="B765" s="405" t="s">
        <v>945</v>
      </c>
      <c r="C765" s="402">
        <v>44243</v>
      </c>
      <c r="D765" s="403" t="s">
        <v>1028</v>
      </c>
      <c r="E765" s="404" t="s">
        <v>1199</v>
      </c>
      <c r="F765" s="405">
        <v>0.40763888888888899</v>
      </c>
      <c r="G765" s="405">
        <v>0.40833333333333399</v>
      </c>
      <c r="H765" s="405" t="s">
        <v>977</v>
      </c>
      <c r="I765" s="416">
        <v>783</v>
      </c>
      <c r="J765" s="405" t="str">
        <f>IFERROR(VLOOKUP(I765,'Chart of accounts'!A:H,2,FALSE),"")</f>
        <v>50299030 00</v>
      </c>
      <c r="K765" s="405" t="str">
        <f>IFERROR(VLOOKUP(I765,'Chart of accounts'!A:H,3,FALSE),"")</f>
        <v>Representation Expenses</v>
      </c>
      <c r="L765" s="405" t="str">
        <f>IFERROR(VLOOKUP(I765,'Chart of accounts'!A:H,4,FALSE),"")</f>
        <v>50299030 00 - Representation Expenses (783)</v>
      </c>
      <c r="M765" s="408">
        <v>67</v>
      </c>
      <c r="N765" s="409" t="s">
        <v>822</v>
      </c>
      <c r="O765" s="409" t="s">
        <v>1206</v>
      </c>
      <c r="P765" s="409"/>
      <c r="Q765" s="65">
        <f>50000-50000</f>
        <v>0</v>
      </c>
      <c r="R765" s="63">
        <f>P765-Q765</f>
        <v>0</v>
      </c>
      <c r="S765" s="63" t="str">
        <f>VLOOKUP(H765,'Fund Utilization Report'!$A$4:$U$1800,13,FALSE)</f>
        <v>MOOE</v>
      </c>
      <c r="T765" s="63" t="str">
        <f>VLOOKUP(H765,'Fund Utilization Report'!$A$4:$U$1800,2,FALSE)</f>
        <v>GAA</v>
      </c>
      <c r="U765" s="63" t="str">
        <f>VLOOKUP(H765,'Fund Utilization Report'!$A$4:$U$1800,3,FALSE)</f>
        <v>FY2021, RA11518</v>
      </c>
      <c r="V765" s="63" t="str">
        <f>VLOOKUP(H765,'Fund Utilization Report'!$A$4:$U$1800,4,FALSE)</f>
        <v>OO4.1(Acc)</v>
      </c>
      <c r="W765" s="63" t="str">
        <f>VLOOKUP(H765,'Fund Utilization Report'!$A$4:$U$1800,5,FALSE)</f>
        <v>01101101</v>
      </c>
      <c r="X765" s="63" t="str">
        <f>VLOOKUP(H765,'Fund Utilization Report'!$A$4:$U$1800,6,FALSE)</f>
        <v>GOP</v>
      </c>
      <c r="Y765" s="417" t="str">
        <f>VLOOKUP(H765,'Fund Utilization Report'!$A$4:$U$1800,7,FALSE)</f>
        <v>MOOE</v>
      </c>
      <c r="Z765" s="418">
        <f>VLOOKUP(H765,'Fund Utilization Report'!$A$4:$U$1800,8,FALSE)</f>
        <v>5020000000</v>
      </c>
      <c r="AA765" s="63" t="str">
        <f>VLOOKUP(H765,'Fund Utilization Report'!$A$4:$U$1800,14,FALSE)</f>
        <v>340100100003000</v>
      </c>
      <c r="AB765" s="419" t="str">
        <f>VLOOKUP(H765,'Fund Utilization Report'!$A$4:$U$1800,15,FALSE)</f>
        <v>Accreditation and Issuance of Business Licenses, Permits, registration and authorities</v>
      </c>
      <c r="AC765" s="406"/>
      <c r="AD765" s="403"/>
      <c r="AE765" s="406"/>
      <c r="AF765" s="406"/>
      <c r="AG765" s="407"/>
      <c r="AH765" s="407"/>
    </row>
    <row r="766" spans="1:34" s="411" customFormat="1" ht="27.6">
      <c r="A766" s="405" t="s">
        <v>942</v>
      </c>
      <c r="B766" s="405" t="s">
        <v>945</v>
      </c>
      <c r="C766" s="402">
        <v>44243</v>
      </c>
      <c r="D766" s="403" t="s">
        <v>1028</v>
      </c>
      <c r="E766" s="404" t="s">
        <v>1199</v>
      </c>
      <c r="F766" s="405">
        <v>0.40763888888888899</v>
      </c>
      <c r="G766" s="405">
        <v>0.40833333333333399</v>
      </c>
      <c r="H766" s="405" t="s">
        <v>979</v>
      </c>
      <c r="I766" s="416">
        <v>755</v>
      </c>
      <c r="J766" s="405" t="str">
        <f>IFERROR(VLOOKUP(I766,'Chart of accounts'!A:H,2,FALSE),"")</f>
        <v>50203010 00</v>
      </c>
      <c r="K766" s="405" t="str">
        <f>IFERROR(VLOOKUP(I766,'Chart of accounts'!A:H,3,FALSE),"")</f>
        <v>Office Supplies Expenses</v>
      </c>
      <c r="L766" s="405" t="str">
        <f>IFERROR(VLOOKUP(I766,'Chart of accounts'!A:H,4,FALSE),"")</f>
        <v>50203010 00 - Office Supplies Expenses (755)</v>
      </c>
      <c r="M766" s="408">
        <v>67</v>
      </c>
      <c r="N766" s="409" t="s">
        <v>822</v>
      </c>
      <c r="O766" s="409" t="s">
        <v>1206</v>
      </c>
      <c r="P766" s="409"/>
      <c r="Q766" s="65">
        <f>21950-21950</f>
        <v>0</v>
      </c>
      <c r="R766" s="63">
        <f>P766-Q766</f>
        <v>0</v>
      </c>
      <c r="S766" s="63" t="str">
        <f>VLOOKUP(H766,'Fund Utilization Report'!$A$4:$U$1800,13,FALSE)</f>
        <v>MOOE</v>
      </c>
      <c r="T766" s="63" t="str">
        <f>VLOOKUP(H766,'Fund Utilization Report'!$A$4:$U$1800,2,FALSE)</f>
        <v>GAA</v>
      </c>
      <c r="U766" s="63" t="str">
        <f>VLOOKUP(H766,'Fund Utilization Report'!$A$4:$U$1800,3,FALSE)</f>
        <v>FY2021, RA11518</v>
      </c>
      <c r="V766" s="63" t="str">
        <f>VLOOKUP(H766,'Fund Utilization Report'!$A$4:$U$1800,4,FALSE)</f>
        <v>OO 4.2</v>
      </c>
      <c r="W766" s="63" t="str">
        <f>VLOOKUP(H766,'Fund Utilization Report'!$A$4:$U$1800,5,FALSE)</f>
        <v>01101101</v>
      </c>
      <c r="X766" s="63" t="str">
        <f>VLOOKUP(H766,'Fund Utilization Report'!$A$4:$U$1800,6,FALSE)</f>
        <v>GOP</v>
      </c>
      <c r="Y766" s="417" t="str">
        <f>VLOOKUP(H766,'Fund Utilization Report'!$A$4:$U$1800,7,FALSE)</f>
        <v>MOOE</v>
      </c>
      <c r="Z766" s="418">
        <f>VLOOKUP(H766,'Fund Utilization Report'!$A$4:$U$1800,8,FALSE)</f>
        <v>5020000000</v>
      </c>
      <c r="AA766" s="63" t="str">
        <f>VLOOKUP(H766,'Fund Utilization Report'!$A$4:$U$1800,14,FALSE)</f>
        <v>340200100002000</v>
      </c>
      <c r="AB766" s="419" t="str">
        <f>VLOOKUP(H766,'Fund Utilization Report'!$A$4:$U$1800,15,FALSE)</f>
        <v>Implementation of Plans, projects and activities on consumer awareness, education, and advocacy</v>
      </c>
      <c r="AC766" s="406"/>
      <c r="AD766" s="403"/>
      <c r="AE766" s="406"/>
      <c r="AF766" s="406"/>
      <c r="AG766" s="407"/>
      <c r="AH766" s="407"/>
    </row>
    <row r="767" spans="1:34" s="411" customFormat="1" ht="27.6">
      <c r="A767" s="405" t="s">
        <v>942</v>
      </c>
      <c r="B767" s="405" t="s">
        <v>945</v>
      </c>
      <c r="C767" s="402">
        <v>44243</v>
      </c>
      <c r="D767" s="403" t="s">
        <v>1028</v>
      </c>
      <c r="E767" s="404" t="s">
        <v>1200</v>
      </c>
      <c r="F767" s="405">
        <v>0.40833333333333299</v>
      </c>
      <c r="G767" s="405">
        <v>0.40902777777777799</v>
      </c>
      <c r="H767" s="405" t="s">
        <v>974</v>
      </c>
      <c r="I767" s="416">
        <v>751</v>
      </c>
      <c r="J767" s="405" t="str">
        <f>IFERROR(VLOOKUP(I767,'Chart of accounts'!A:H,2,FALSE),"")</f>
        <v>50201010 00</v>
      </c>
      <c r="K767" s="405" t="str">
        <f>IFERROR(VLOOKUP(I767,'Chart of accounts'!A:H,3,FALSE),"")</f>
        <v>Traveling Expenses - Local</v>
      </c>
      <c r="L767" s="405" t="str">
        <f>IFERROR(VLOOKUP(I767,'Chart of accounts'!A:H,4,FALSE),"")</f>
        <v>50201010 00 - Traveling Expenses - Local (751)</v>
      </c>
      <c r="M767" s="408">
        <v>68</v>
      </c>
      <c r="N767" s="409" t="s">
        <v>821</v>
      </c>
      <c r="O767" s="409" t="s">
        <v>1206</v>
      </c>
      <c r="P767" s="409"/>
      <c r="Q767" s="65">
        <f>20000-20000</f>
        <v>0</v>
      </c>
      <c r="R767" s="63">
        <f>P767-Q767</f>
        <v>0</v>
      </c>
      <c r="S767" s="63" t="str">
        <f>VLOOKUP(H767,'Fund Utilization Report'!$A$4:$U$1800,13,FALSE)</f>
        <v>MOOE</v>
      </c>
      <c r="T767" s="63" t="str">
        <f>VLOOKUP(H767,'Fund Utilization Report'!$A$4:$U$1800,2,FALSE)</f>
        <v>GAA</v>
      </c>
      <c r="U767" s="63" t="str">
        <f>VLOOKUP(H767,'Fund Utilization Report'!$A$4:$U$1800,3,FALSE)</f>
        <v>FY2021, RA11518</v>
      </c>
      <c r="V767" s="63" t="str">
        <f>VLOOKUP(H767,'Fund Utilization Report'!$A$4:$U$1800,4,FALSE)</f>
        <v>OO4.1(FTL)</v>
      </c>
      <c r="W767" s="63" t="str">
        <f>VLOOKUP(H767,'Fund Utilization Report'!$A$4:$U$1800,5,FALSE)</f>
        <v>01101101</v>
      </c>
      <c r="X767" s="63" t="str">
        <f>VLOOKUP(H767,'Fund Utilization Report'!$A$4:$U$1800,6,FALSE)</f>
        <v>GOP</v>
      </c>
      <c r="Y767" s="417" t="str">
        <f>VLOOKUP(H767,'Fund Utilization Report'!$A$4:$U$1800,7,FALSE)</f>
        <v>MOOE</v>
      </c>
      <c r="Z767" s="418">
        <f>VLOOKUP(H767,'Fund Utilization Report'!$A$4:$U$1800,8,FALSE)</f>
        <v>5020000000</v>
      </c>
      <c r="AA767" s="63" t="str">
        <f>VLOOKUP(H767,'Fund Utilization Report'!$A$4:$U$1800,14,FALSE)</f>
        <v>340100100002000</v>
      </c>
      <c r="AB767" s="419" t="str">
        <f>VLOOKUP(H767,'Fund Utilization Report'!$A$4:$U$1800,15,FALSE)</f>
        <v>Monitoring and Enforcement of FTL including consumer complaints handling</v>
      </c>
      <c r="AC767" s="406"/>
      <c r="AD767" s="403"/>
      <c r="AE767" s="406"/>
      <c r="AF767" s="406"/>
      <c r="AG767" s="407"/>
      <c r="AH767" s="407"/>
    </row>
    <row r="768" spans="1:34" s="411" customFormat="1" ht="27.6">
      <c r="A768" s="405" t="s">
        <v>942</v>
      </c>
      <c r="B768" s="405" t="s">
        <v>945</v>
      </c>
      <c r="C768" s="402">
        <v>44243</v>
      </c>
      <c r="D768" s="403" t="s">
        <v>1028</v>
      </c>
      <c r="E768" s="404" t="s">
        <v>1200</v>
      </c>
      <c r="F768" s="405">
        <v>0.40833333333333299</v>
      </c>
      <c r="G768" s="405">
        <v>0.40902777777777799</v>
      </c>
      <c r="H768" s="405" t="s">
        <v>974</v>
      </c>
      <c r="I768" s="416">
        <v>783</v>
      </c>
      <c r="J768" s="405" t="str">
        <f>IFERROR(VLOOKUP(I768,'Chart of accounts'!A:H,2,FALSE),"")</f>
        <v>50299030 00</v>
      </c>
      <c r="K768" s="405" t="str">
        <f>IFERROR(VLOOKUP(I768,'Chart of accounts'!A:H,3,FALSE),"")</f>
        <v>Representation Expenses</v>
      </c>
      <c r="L768" s="405" t="str">
        <f>IFERROR(VLOOKUP(I768,'Chart of accounts'!A:H,4,FALSE),"")</f>
        <v>50299030 00 - Representation Expenses (783)</v>
      </c>
      <c r="M768" s="408">
        <v>68</v>
      </c>
      <c r="N768" s="409" t="s">
        <v>821</v>
      </c>
      <c r="O768" s="409" t="s">
        <v>1206</v>
      </c>
      <c r="P768" s="409"/>
      <c r="Q768" s="65">
        <f>35000-35000</f>
        <v>0</v>
      </c>
      <c r="R768" s="63">
        <f t="shared" si="19"/>
        <v>0</v>
      </c>
      <c r="S768" s="63" t="str">
        <f>VLOOKUP(H768,'Fund Utilization Report'!$A$4:$U$1800,13,FALSE)</f>
        <v>MOOE</v>
      </c>
      <c r="T768" s="63" t="str">
        <f>VLOOKUP(H768,'Fund Utilization Report'!$A$4:$U$1800,2,FALSE)</f>
        <v>GAA</v>
      </c>
      <c r="U768" s="63" t="str">
        <f>VLOOKUP(H768,'Fund Utilization Report'!$A$4:$U$1800,3,FALSE)</f>
        <v>FY2021, RA11518</v>
      </c>
      <c r="V768" s="63" t="str">
        <f>VLOOKUP(H768,'Fund Utilization Report'!$A$4:$U$1800,4,FALSE)</f>
        <v>OO4.1(FTL)</v>
      </c>
      <c r="W768" s="63" t="str">
        <f>VLOOKUP(H768,'Fund Utilization Report'!$A$4:$U$1800,5,FALSE)</f>
        <v>01101101</v>
      </c>
      <c r="X768" s="63" t="str">
        <f>VLOOKUP(H768,'Fund Utilization Report'!$A$4:$U$1800,6,FALSE)</f>
        <v>GOP</v>
      </c>
      <c r="Y768" s="417" t="str">
        <f>VLOOKUP(H768,'Fund Utilization Report'!$A$4:$U$1800,7,FALSE)</f>
        <v>MOOE</v>
      </c>
      <c r="Z768" s="418">
        <f>VLOOKUP(H768,'Fund Utilization Report'!$A$4:$U$1800,8,FALSE)</f>
        <v>5020000000</v>
      </c>
      <c r="AA768" s="63" t="str">
        <f>VLOOKUP(H768,'Fund Utilization Report'!$A$4:$U$1800,14,FALSE)</f>
        <v>340100100002000</v>
      </c>
      <c r="AB768" s="419" t="str">
        <f>VLOOKUP(H768,'Fund Utilization Report'!$A$4:$U$1800,15,FALSE)</f>
        <v>Monitoring and Enforcement of FTL including consumer complaints handling</v>
      </c>
      <c r="AC768" s="406"/>
      <c r="AD768" s="403"/>
      <c r="AE768" s="406"/>
      <c r="AF768" s="406"/>
      <c r="AG768" s="407"/>
      <c r="AH768" s="407"/>
    </row>
    <row r="769" spans="1:34" s="411" customFormat="1" ht="27.6">
      <c r="A769" s="405" t="s">
        <v>942</v>
      </c>
      <c r="B769" s="405" t="s">
        <v>945</v>
      </c>
      <c r="C769" s="402">
        <v>44243</v>
      </c>
      <c r="D769" s="403" t="s">
        <v>1028</v>
      </c>
      <c r="E769" s="404" t="s">
        <v>1200</v>
      </c>
      <c r="F769" s="405">
        <v>0.40833333333333299</v>
      </c>
      <c r="G769" s="405">
        <v>0.40902777777777799</v>
      </c>
      <c r="H769" s="405" t="s">
        <v>977</v>
      </c>
      <c r="I769" s="416">
        <v>751</v>
      </c>
      <c r="J769" s="405" t="str">
        <f>IFERROR(VLOOKUP(I769,'Chart of accounts'!A:H,2,FALSE),"")</f>
        <v>50201010 00</v>
      </c>
      <c r="K769" s="405" t="str">
        <f>IFERROR(VLOOKUP(I769,'Chart of accounts'!A:H,3,FALSE),"")</f>
        <v>Traveling Expenses - Local</v>
      </c>
      <c r="L769" s="405" t="str">
        <f>IFERROR(VLOOKUP(I769,'Chart of accounts'!A:H,4,FALSE),"")</f>
        <v>50201010 00 - Traveling Expenses - Local (751)</v>
      </c>
      <c r="M769" s="408">
        <v>68</v>
      </c>
      <c r="N769" s="409" t="s">
        <v>821</v>
      </c>
      <c r="O769" s="409" t="s">
        <v>1206</v>
      </c>
      <c r="P769" s="409"/>
      <c r="Q769" s="65">
        <f>20000-20000</f>
        <v>0</v>
      </c>
      <c r="R769" s="63">
        <f>P769-Q769</f>
        <v>0</v>
      </c>
      <c r="S769" s="63" t="str">
        <f>VLOOKUP(H769,'Fund Utilization Report'!$A$4:$U$1800,13,FALSE)</f>
        <v>MOOE</v>
      </c>
      <c r="T769" s="63" t="str">
        <f>VLOOKUP(H769,'Fund Utilization Report'!$A$4:$U$1800,2,FALSE)</f>
        <v>GAA</v>
      </c>
      <c r="U769" s="63" t="str">
        <f>VLOOKUP(H769,'Fund Utilization Report'!$A$4:$U$1800,3,FALSE)</f>
        <v>FY2021, RA11518</v>
      </c>
      <c r="V769" s="63" t="str">
        <f>VLOOKUP(H769,'Fund Utilization Report'!$A$4:$U$1800,4,FALSE)</f>
        <v>OO4.1(Acc)</v>
      </c>
      <c r="W769" s="63" t="str">
        <f>VLOOKUP(H769,'Fund Utilization Report'!$A$4:$U$1800,5,FALSE)</f>
        <v>01101101</v>
      </c>
      <c r="X769" s="63" t="str">
        <f>VLOOKUP(H769,'Fund Utilization Report'!$A$4:$U$1800,6,FALSE)</f>
        <v>GOP</v>
      </c>
      <c r="Y769" s="417" t="str">
        <f>VLOOKUP(H769,'Fund Utilization Report'!$A$4:$U$1800,7,FALSE)</f>
        <v>MOOE</v>
      </c>
      <c r="Z769" s="418">
        <f>VLOOKUP(H769,'Fund Utilization Report'!$A$4:$U$1800,8,FALSE)</f>
        <v>5020000000</v>
      </c>
      <c r="AA769" s="63" t="str">
        <f>VLOOKUP(H769,'Fund Utilization Report'!$A$4:$U$1800,14,FALSE)</f>
        <v>340100100003000</v>
      </c>
      <c r="AB769" s="419" t="str">
        <f>VLOOKUP(H769,'Fund Utilization Report'!$A$4:$U$1800,15,FALSE)</f>
        <v>Accreditation and Issuance of Business Licenses, Permits, registration and authorities</v>
      </c>
      <c r="AC769" s="406"/>
      <c r="AD769" s="403"/>
      <c r="AE769" s="406"/>
      <c r="AF769" s="406"/>
      <c r="AG769" s="407"/>
      <c r="AH769" s="407"/>
    </row>
    <row r="770" spans="1:34" s="411" customFormat="1" ht="27.6">
      <c r="A770" s="405" t="s">
        <v>942</v>
      </c>
      <c r="B770" s="405" t="s">
        <v>945</v>
      </c>
      <c r="C770" s="402">
        <v>44243</v>
      </c>
      <c r="D770" s="403" t="s">
        <v>1028</v>
      </c>
      <c r="E770" s="404" t="s">
        <v>1200</v>
      </c>
      <c r="F770" s="405">
        <v>0.40833333333333299</v>
      </c>
      <c r="G770" s="405">
        <v>0.40902777777777799</v>
      </c>
      <c r="H770" s="405" t="s">
        <v>977</v>
      </c>
      <c r="I770" s="416">
        <v>783</v>
      </c>
      <c r="J770" s="405" t="str">
        <f>IFERROR(VLOOKUP(I770,'Chart of accounts'!A:H,2,FALSE),"")</f>
        <v>50299030 00</v>
      </c>
      <c r="K770" s="405" t="str">
        <f>IFERROR(VLOOKUP(I770,'Chart of accounts'!A:H,3,FALSE),"")</f>
        <v>Representation Expenses</v>
      </c>
      <c r="L770" s="405" t="str">
        <f>IFERROR(VLOOKUP(I770,'Chart of accounts'!A:H,4,FALSE),"")</f>
        <v>50299030 00 - Representation Expenses (783)</v>
      </c>
      <c r="M770" s="408">
        <v>68</v>
      </c>
      <c r="N770" s="409" t="s">
        <v>821</v>
      </c>
      <c r="O770" s="409" t="s">
        <v>1206</v>
      </c>
      <c r="P770" s="409"/>
      <c r="Q770" s="65">
        <f>50000-50000</f>
        <v>0</v>
      </c>
      <c r="R770" s="63">
        <f>P770-Q770</f>
        <v>0</v>
      </c>
      <c r="S770" s="63" t="str">
        <f>VLOOKUP(H770,'Fund Utilization Report'!$A$4:$U$1800,13,FALSE)</f>
        <v>MOOE</v>
      </c>
      <c r="T770" s="63" t="str">
        <f>VLOOKUP(H770,'Fund Utilization Report'!$A$4:$U$1800,2,FALSE)</f>
        <v>GAA</v>
      </c>
      <c r="U770" s="63" t="str">
        <f>VLOOKUP(H770,'Fund Utilization Report'!$A$4:$U$1800,3,FALSE)</f>
        <v>FY2021, RA11518</v>
      </c>
      <c r="V770" s="63" t="str">
        <f>VLOOKUP(H770,'Fund Utilization Report'!$A$4:$U$1800,4,FALSE)</f>
        <v>OO4.1(Acc)</v>
      </c>
      <c r="W770" s="63" t="str">
        <f>VLOOKUP(H770,'Fund Utilization Report'!$A$4:$U$1800,5,FALSE)</f>
        <v>01101101</v>
      </c>
      <c r="X770" s="63" t="str">
        <f>VLOOKUP(H770,'Fund Utilization Report'!$A$4:$U$1800,6,FALSE)</f>
        <v>GOP</v>
      </c>
      <c r="Y770" s="417" t="str">
        <f>VLOOKUP(H770,'Fund Utilization Report'!$A$4:$U$1800,7,FALSE)</f>
        <v>MOOE</v>
      </c>
      <c r="Z770" s="418">
        <f>VLOOKUP(H770,'Fund Utilization Report'!$A$4:$U$1800,8,FALSE)</f>
        <v>5020000000</v>
      </c>
      <c r="AA770" s="63" t="str">
        <f>VLOOKUP(H770,'Fund Utilization Report'!$A$4:$U$1800,14,FALSE)</f>
        <v>340100100003000</v>
      </c>
      <c r="AB770" s="419" t="str">
        <f>VLOOKUP(H770,'Fund Utilization Report'!$A$4:$U$1800,15,FALSE)</f>
        <v>Accreditation and Issuance of Business Licenses, Permits, registration and authorities</v>
      </c>
      <c r="AC770" s="406"/>
      <c r="AD770" s="403"/>
      <c r="AE770" s="406"/>
      <c r="AF770" s="406"/>
      <c r="AG770" s="407"/>
      <c r="AH770" s="407"/>
    </row>
    <row r="771" spans="1:34" s="411" customFormat="1" ht="27.6">
      <c r="A771" s="405" t="s">
        <v>942</v>
      </c>
      <c r="B771" s="405" t="s">
        <v>945</v>
      </c>
      <c r="C771" s="402">
        <v>44243</v>
      </c>
      <c r="D771" s="403" t="s">
        <v>1028</v>
      </c>
      <c r="E771" s="404" t="s">
        <v>1200</v>
      </c>
      <c r="F771" s="405">
        <v>0.40833333333333299</v>
      </c>
      <c r="G771" s="405">
        <v>0.40902777777777799</v>
      </c>
      <c r="H771" s="405" t="s">
        <v>979</v>
      </c>
      <c r="I771" s="416">
        <v>755</v>
      </c>
      <c r="J771" s="405" t="str">
        <f>IFERROR(VLOOKUP(I771,'Chart of accounts'!A:H,2,FALSE),"")</f>
        <v>50203010 00</v>
      </c>
      <c r="K771" s="405" t="str">
        <f>IFERROR(VLOOKUP(I771,'Chart of accounts'!A:H,3,FALSE),"")</f>
        <v>Office Supplies Expenses</v>
      </c>
      <c r="L771" s="405" t="str">
        <f>IFERROR(VLOOKUP(I771,'Chart of accounts'!A:H,4,FALSE),"")</f>
        <v>50203010 00 - Office Supplies Expenses (755)</v>
      </c>
      <c r="M771" s="408">
        <v>68</v>
      </c>
      <c r="N771" s="409" t="s">
        <v>821</v>
      </c>
      <c r="O771" s="409" t="s">
        <v>1206</v>
      </c>
      <c r="P771" s="409"/>
      <c r="Q771" s="65">
        <f>19200-19200</f>
        <v>0</v>
      </c>
      <c r="R771" s="63">
        <f>P771-Q771</f>
        <v>0</v>
      </c>
      <c r="S771" s="63" t="str">
        <f>VLOOKUP(H771,'Fund Utilization Report'!$A$4:$U$1800,13,FALSE)</f>
        <v>MOOE</v>
      </c>
      <c r="T771" s="63" t="str">
        <f>VLOOKUP(H771,'Fund Utilization Report'!$A$4:$U$1800,2,FALSE)</f>
        <v>GAA</v>
      </c>
      <c r="U771" s="63" t="str">
        <f>VLOOKUP(H771,'Fund Utilization Report'!$A$4:$U$1800,3,FALSE)</f>
        <v>FY2021, RA11518</v>
      </c>
      <c r="V771" s="63" t="str">
        <f>VLOOKUP(H771,'Fund Utilization Report'!$A$4:$U$1800,4,FALSE)</f>
        <v>OO 4.2</v>
      </c>
      <c r="W771" s="63" t="str">
        <f>VLOOKUP(H771,'Fund Utilization Report'!$A$4:$U$1800,5,FALSE)</f>
        <v>01101101</v>
      </c>
      <c r="X771" s="63" t="str">
        <f>VLOOKUP(H771,'Fund Utilization Report'!$A$4:$U$1800,6,FALSE)</f>
        <v>GOP</v>
      </c>
      <c r="Y771" s="417" t="str">
        <f>VLOOKUP(H771,'Fund Utilization Report'!$A$4:$U$1800,7,FALSE)</f>
        <v>MOOE</v>
      </c>
      <c r="Z771" s="418">
        <f>VLOOKUP(H771,'Fund Utilization Report'!$A$4:$U$1800,8,FALSE)</f>
        <v>5020000000</v>
      </c>
      <c r="AA771" s="63" t="str">
        <f>VLOOKUP(H771,'Fund Utilization Report'!$A$4:$U$1800,14,FALSE)</f>
        <v>340200100002000</v>
      </c>
      <c r="AB771" s="419" t="str">
        <f>VLOOKUP(H771,'Fund Utilization Report'!$A$4:$U$1800,15,FALSE)</f>
        <v>Implementation of Plans, projects and activities on consumer awareness, education, and advocacy</v>
      </c>
      <c r="AC771" s="406"/>
      <c r="AD771" s="403"/>
      <c r="AE771" s="406"/>
      <c r="AF771" s="406"/>
      <c r="AG771" s="407"/>
      <c r="AH771" s="407"/>
    </row>
    <row r="772" spans="1:34" s="32" customFormat="1" ht="27.6">
      <c r="A772" s="338" t="s">
        <v>942</v>
      </c>
      <c r="B772" s="338" t="s">
        <v>945</v>
      </c>
      <c r="C772" s="358">
        <v>44243</v>
      </c>
      <c r="D772" s="351" t="s">
        <v>1028</v>
      </c>
      <c r="E772" s="352" t="s">
        <v>1201</v>
      </c>
      <c r="F772" s="338">
        <v>0.40902777777777699</v>
      </c>
      <c r="G772" s="338">
        <v>0.40972222222222299</v>
      </c>
      <c r="H772" s="338" t="s">
        <v>974</v>
      </c>
      <c r="I772" s="353">
        <v>751</v>
      </c>
      <c r="J772" s="338" t="str">
        <f>IFERROR(VLOOKUP(I772,'Chart of accounts'!A:H,2,FALSE),"")</f>
        <v>50201010 00</v>
      </c>
      <c r="K772" s="338" t="str">
        <f>IFERROR(VLOOKUP(I772,'Chart of accounts'!A:H,3,FALSE),"")</f>
        <v>Traveling Expenses - Local</v>
      </c>
      <c r="L772" s="338" t="str">
        <f>IFERROR(VLOOKUP(I772,'Chart of accounts'!A:H,4,FALSE),"")</f>
        <v>50201010 00 - Traveling Expenses - Local (751)</v>
      </c>
      <c r="M772" s="361">
        <v>3</v>
      </c>
      <c r="N772" s="355" t="s">
        <v>820</v>
      </c>
      <c r="O772" s="355" t="s">
        <v>1206</v>
      </c>
      <c r="P772" s="355"/>
      <c r="Q772" s="363">
        <v>20000</v>
      </c>
      <c r="R772" s="319">
        <f t="shared" si="19"/>
        <v>-20000</v>
      </c>
      <c r="S772" s="319" t="str">
        <f>VLOOKUP(H772,'Fund Utilization Report'!$A$4:$U$1800,13,FALSE)</f>
        <v>MOOE</v>
      </c>
      <c r="T772" s="319" t="str">
        <f>VLOOKUP(H772,'Fund Utilization Report'!$A$4:$U$1800,2,FALSE)</f>
        <v>GAA</v>
      </c>
      <c r="U772" s="319" t="str">
        <f>VLOOKUP(H772,'Fund Utilization Report'!$A$4:$U$1800,3,FALSE)</f>
        <v>FY2021, RA11518</v>
      </c>
      <c r="V772" s="319" t="str">
        <f>VLOOKUP(H772,'Fund Utilization Report'!$A$4:$U$1800,4,FALSE)</f>
        <v>OO4.1(FTL)</v>
      </c>
      <c r="W772" s="319" t="str">
        <f>VLOOKUP(H772,'Fund Utilization Report'!$A$4:$U$1800,5,FALSE)</f>
        <v>01101101</v>
      </c>
      <c r="X772" s="319" t="str">
        <f>VLOOKUP(H772,'Fund Utilization Report'!$A$4:$U$1800,6,FALSE)</f>
        <v>GOP</v>
      </c>
      <c r="Y772" s="320" t="str">
        <f>VLOOKUP(H772,'Fund Utilization Report'!$A$4:$U$1800,7,FALSE)</f>
        <v>MOOE</v>
      </c>
      <c r="Z772" s="321">
        <f>VLOOKUP(H772,'Fund Utilization Report'!$A$4:$U$1800,8,FALSE)</f>
        <v>5020000000</v>
      </c>
      <c r="AA772" s="319" t="str">
        <f>VLOOKUP(H772,'Fund Utilization Report'!$A$4:$U$1800,14,FALSE)</f>
        <v>340100100002000</v>
      </c>
      <c r="AB772" s="349" t="str">
        <f>VLOOKUP(H772,'Fund Utilization Report'!$A$4:$U$1800,15,FALSE)</f>
        <v>Monitoring and Enforcement of FTL including consumer complaints handling</v>
      </c>
      <c r="AC772" s="39"/>
      <c r="AD772" s="34"/>
      <c r="AE772" s="39"/>
      <c r="AF772" s="51"/>
      <c r="AG772" s="40"/>
      <c r="AH772" s="40"/>
    </row>
    <row r="773" spans="1:34" s="32" customFormat="1" ht="27.6">
      <c r="A773" s="338" t="s">
        <v>942</v>
      </c>
      <c r="B773" s="338" t="s">
        <v>945</v>
      </c>
      <c r="C773" s="358">
        <v>44243</v>
      </c>
      <c r="D773" s="351" t="s">
        <v>1028</v>
      </c>
      <c r="E773" s="352" t="s">
        <v>1201</v>
      </c>
      <c r="F773" s="338">
        <v>0.40902777777777699</v>
      </c>
      <c r="G773" s="338">
        <v>0.40972222222222299</v>
      </c>
      <c r="H773" s="338" t="s">
        <v>974</v>
      </c>
      <c r="I773" s="353">
        <v>783</v>
      </c>
      <c r="J773" s="338" t="str">
        <f>IFERROR(VLOOKUP(I773,'Chart of accounts'!A:H,2,FALSE),"")</f>
        <v>50299030 00</v>
      </c>
      <c r="K773" s="338" t="str">
        <f>IFERROR(VLOOKUP(I773,'Chart of accounts'!A:H,3,FALSE),"")</f>
        <v>Representation Expenses</v>
      </c>
      <c r="L773" s="338" t="str">
        <f>IFERROR(VLOOKUP(I773,'Chart of accounts'!A:H,4,FALSE),"")</f>
        <v>50299030 00 - Representation Expenses (783)</v>
      </c>
      <c r="M773" s="361">
        <v>3</v>
      </c>
      <c r="N773" s="355" t="s">
        <v>820</v>
      </c>
      <c r="O773" s="355" t="s">
        <v>1206</v>
      </c>
      <c r="P773" s="355"/>
      <c r="Q773" s="363">
        <v>35000</v>
      </c>
      <c r="R773" s="319">
        <f>P773-Q773</f>
        <v>-35000</v>
      </c>
      <c r="S773" s="319" t="str">
        <f>VLOOKUP(H773,'Fund Utilization Report'!$A$4:$U$1800,13,FALSE)</f>
        <v>MOOE</v>
      </c>
      <c r="T773" s="319" t="str">
        <f>VLOOKUP(H773,'Fund Utilization Report'!$A$4:$U$1800,2,FALSE)</f>
        <v>GAA</v>
      </c>
      <c r="U773" s="319" t="str">
        <f>VLOOKUP(H773,'Fund Utilization Report'!$A$4:$U$1800,3,FALSE)</f>
        <v>FY2021, RA11518</v>
      </c>
      <c r="V773" s="319" t="str">
        <f>VLOOKUP(H773,'Fund Utilization Report'!$A$4:$U$1800,4,FALSE)</f>
        <v>OO4.1(FTL)</v>
      </c>
      <c r="W773" s="319" t="str">
        <f>VLOOKUP(H773,'Fund Utilization Report'!$A$4:$U$1800,5,FALSE)</f>
        <v>01101101</v>
      </c>
      <c r="X773" s="319" t="str">
        <f>VLOOKUP(H773,'Fund Utilization Report'!$A$4:$U$1800,6,FALSE)</f>
        <v>GOP</v>
      </c>
      <c r="Y773" s="320" t="str">
        <f>VLOOKUP(H773,'Fund Utilization Report'!$A$4:$U$1800,7,FALSE)</f>
        <v>MOOE</v>
      </c>
      <c r="Z773" s="321">
        <f>VLOOKUP(H773,'Fund Utilization Report'!$A$4:$U$1800,8,FALSE)</f>
        <v>5020000000</v>
      </c>
      <c r="AA773" s="319" t="str">
        <f>VLOOKUP(H773,'Fund Utilization Report'!$A$4:$U$1800,14,FALSE)</f>
        <v>340100100002000</v>
      </c>
      <c r="AB773" s="349" t="str">
        <f>VLOOKUP(H773,'Fund Utilization Report'!$A$4:$U$1800,15,FALSE)</f>
        <v>Monitoring and Enforcement of FTL including consumer complaints handling</v>
      </c>
      <c r="AC773" s="39"/>
      <c r="AD773" s="34"/>
      <c r="AE773" s="39"/>
      <c r="AF773" s="51"/>
      <c r="AG773" s="40"/>
      <c r="AH773" s="40"/>
    </row>
    <row r="774" spans="1:34" s="32" customFormat="1" ht="27.6">
      <c r="A774" s="338" t="s">
        <v>942</v>
      </c>
      <c r="B774" s="338" t="s">
        <v>945</v>
      </c>
      <c r="C774" s="358">
        <v>44243</v>
      </c>
      <c r="D774" s="351" t="s">
        <v>1028</v>
      </c>
      <c r="E774" s="352" t="s">
        <v>1201</v>
      </c>
      <c r="F774" s="338">
        <v>0.40902777777777699</v>
      </c>
      <c r="G774" s="338">
        <v>0.40972222222222299</v>
      </c>
      <c r="H774" s="338" t="s">
        <v>977</v>
      </c>
      <c r="I774" s="353">
        <v>751</v>
      </c>
      <c r="J774" s="338" t="str">
        <f>IFERROR(VLOOKUP(I774,'Chart of accounts'!A:H,2,FALSE),"")</f>
        <v>50201010 00</v>
      </c>
      <c r="K774" s="338" t="str">
        <f>IFERROR(VLOOKUP(I774,'Chart of accounts'!A:H,3,FALSE),"")</f>
        <v>Traveling Expenses - Local</v>
      </c>
      <c r="L774" s="338" t="str">
        <f>IFERROR(VLOOKUP(I774,'Chart of accounts'!A:H,4,FALSE),"")</f>
        <v>50201010 00 - Traveling Expenses - Local (751)</v>
      </c>
      <c r="M774" s="361">
        <v>3</v>
      </c>
      <c r="N774" s="355" t="s">
        <v>820</v>
      </c>
      <c r="O774" s="355" t="s">
        <v>1206</v>
      </c>
      <c r="P774" s="355"/>
      <c r="Q774" s="363">
        <v>20000</v>
      </c>
      <c r="R774" s="319">
        <f>P774-Q774</f>
        <v>-20000</v>
      </c>
      <c r="S774" s="319" t="str">
        <f>VLOOKUP(H774,'Fund Utilization Report'!$A$4:$U$1800,13,FALSE)</f>
        <v>MOOE</v>
      </c>
      <c r="T774" s="319" t="str">
        <f>VLOOKUP(H774,'Fund Utilization Report'!$A$4:$U$1800,2,FALSE)</f>
        <v>GAA</v>
      </c>
      <c r="U774" s="319" t="str">
        <f>VLOOKUP(H774,'Fund Utilization Report'!$A$4:$U$1800,3,FALSE)</f>
        <v>FY2021, RA11518</v>
      </c>
      <c r="V774" s="319" t="str">
        <f>VLOOKUP(H774,'Fund Utilization Report'!$A$4:$U$1800,4,FALSE)</f>
        <v>OO4.1(Acc)</v>
      </c>
      <c r="W774" s="319" t="str">
        <f>VLOOKUP(H774,'Fund Utilization Report'!$A$4:$U$1800,5,FALSE)</f>
        <v>01101101</v>
      </c>
      <c r="X774" s="319" t="str">
        <f>VLOOKUP(H774,'Fund Utilization Report'!$A$4:$U$1800,6,FALSE)</f>
        <v>GOP</v>
      </c>
      <c r="Y774" s="320" t="str">
        <f>VLOOKUP(H774,'Fund Utilization Report'!$A$4:$U$1800,7,FALSE)</f>
        <v>MOOE</v>
      </c>
      <c r="Z774" s="321">
        <f>VLOOKUP(H774,'Fund Utilization Report'!$A$4:$U$1800,8,FALSE)</f>
        <v>5020000000</v>
      </c>
      <c r="AA774" s="319" t="str">
        <f>VLOOKUP(H774,'Fund Utilization Report'!$A$4:$U$1800,14,FALSE)</f>
        <v>340100100003000</v>
      </c>
      <c r="AB774" s="349" t="str">
        <f>VLOOKUP(H774,'Fund Utilization Report'!$A$4:$U$1800,15,FALSE)</f>
        <v>Accreditation and Issuance of Business Licenses, Permits, registration and authorities</v>
      </c>
      <c r="AC774" s="39"/>
      <c r="AD774" s="34"/>
      <c r="AE774" s="39"/>
      <c r="AF774" s="51"/>
      <c r="AG774" s="40"/>
      <c r="AH774" s="40"/>
    </row>
    <row r="775" spans="1:34" s="32" customFormat="1" ht="27.6">
      <c r="A775" s="338" t="s">
        <v>942</v>
      </c>
      <c r="B775" s="338" t="s">
        <v>945</v>
      </c>
      <c r="C775" s="358">
        <v>44243</v>
      </c>
      <c r="D775" s="351" t="s">
        <v>1028</v>
      </c>
      <c r="E775" s="352" t="s">
        <v>1201</v>
      </c>
      <c r="F775" s="338">
        <v>0.40902777777777699</v>
      </c>
      <c r="G775" s="338">
        <v>0.40972222222222299</v>
      </c>
      <c r="H775" s="338" t="s">
        <v>977</v>
      </c>
      <c r="I775" s="353">
        <v>783</v>
      </c>
      <c r="J775" s="338" t="str">
        <f>IFERROR(VLOOKUP(I775,'Chart of accounts'!A:H,2,FALSE),"")</f>
        <v>50299030 00</v>
      </c>
      <c r="K775" s="338" t="str">
        <f>IFERROR(VLOOKUP(I775,'Chart of accounts'!A:H,3,FALSE),"")</f>
        <v>Representation Expenses</v>
      </c>
      <c r="L775" s="338" t="str">
        <f>IFERROR(VLOOKUP(I775,'Chart of accounts'!A:H,4,FALSE),"")</f>
        <v>50299030 00 - Representation Expenses (783)</v>
      </c>
      <c r="M775" s="361">
        <v>3</v>
      </c>
      <c r="N775" s="355" t="s">
        <v>820</v>
      </c>
      <c r="O775" s="355" t="s">
        <v>1206</v>
      </c>
      <c r="P775" s="355"/>
      <c r="Q775" s="363">
        <v>50000</v>
      </c>
      <c r="R775" s="319">
        <f>P775-Q775</f>
        <v>-50000</v>
      </c>
      <c r="S775" s="319" t="str">
        <f>VLOOKUP(H775,'Fund Utilization Report'!$A$4:$U$1800,13,FALSE)</f>
        <v>MOOE</v>
      </c>
      <c r="T775" s="319" t="str">
        <f>VLOOKUP(H775,'Fund Utilization Report'!$A$4:$U$1800,2,FALSE)</f>
        <v>GAA</v>
      </c>
      <c r="U775" s="319" t="str">
        <f>VLOOKUP(H775,'Fund Utilization Report'!$A$4:$U$1800,3,FALSE)</f>
        <v>FY2021, RA11518</v>
      </c>
      <c r="V775" s="319" t="str">
        <f>VLOOKUP(H775,'Fund Utilization Report'!$A$4:$U$1800,4,FALSE)</f>
        <v>OO4.1(Acc)</v>
      </c>
      <c r="W775" s="319" t="str">
        <f>VLOOKUP(H775,'Fund Utilization Report'!$A$4:$U$1800,5,FALSE)</f>
        <v>01101101</v>
      </c>
      <c r="X775" s="319" t="str">
        <f>VLOOKUP(H775,'Fund Utilization Report'!$A$4:$U$1800,6,FALSE)</f>
        <v>GOP</v>
      </c>
      <c r="Y775" s="320" t="str">
        <f>VLOOKUP(H775,'Fund Utilization Report'!$A$4:$U$1800,7,FALSE)</f>
        <v>MOOE</v>
      </c>
      <c r="Z775" s="321">
        <f>VLOOKUP(H775,'Fund Utilization Report'!$A$4:$U$1800,8,FALSE)</f>
        <v>5020000000</v>
      </c>
      <c r="AA775" s="319" t="str">
        <f>VLOOKUP(H775,'Fund Utilization Report'!$A$4:$U$1800,14,FALSE)</f>
        <v>340100100003000</v>
      </c>
      <c r="AB775" s="349" t="str">
        <f>VLOOKUP(H775,'Fund Utilization Report'!$A$4:$U$1800,15,FALSE)</f>
        <v>Accreditation and Issuance of Business Licenses, Permits, registration and authorities</v>
      </c>
      <c r="AC775" s="39"/>
      <c r="AD775" s="34"/>
      <c r="AE775" s="39"/>
      <c r="AF775" s="51"/>
      <c r="AG775" s="40"/>
      <c r="AH775" s="40"/>
    </row>
    <row r="776" spans="1:34" s="32" customFormat="1" ht="27.6">
      <c r="A776" s="338" t="s">
        <v>942</v>
      </c>
      <c r="B776" s="338" t="s">
        <v>945</v>
      </c>
      <c r="C776" s="358">
        <v>44243</v>
      </c>
      <c r="D776" s="351" t="s">
        <v>1028</v>
      </c>
      <c r="E776" s="352" t="s">
        <v>1201</v>
      </c>
      <c r="F776" s="338">
        <v>0.40902777777777699</v>
      </c>
      <c r="G776" s="338">
        <v>0.40972222222222299</v>
      </c>
      <c r="H776" s="338" t="s">
        <v>979</v>
      </c>
      <c r="I776" s="353">
        <v>755</v>
      </c>
      <c r="J776" s="338" t="str">
        <f>IFERROR(VLOOKUP(I776,'Chart of accounts'!A:H,2,FALSE),"")</f>
        <v>50203010 00</v>
      </c>
      <c r="K776" s="338" t="str">
        <f>IFERROR(VLOOKUP(I776,'Chart of accounts'!A:H,3,FALSE),"")</f>
        <v>Office Supplies Expenses</v>
      </c>
      <c r="L776" s="338" t="str">
        <f>IFERROR(VLOOKUP(I776,'Chart of accounts'!A:H,4,FALSE),"")</f>
        <v>50203010 00 - Office Supplies Expenses (755)</v>
      </c>
      <c r="M776" s="361">
        <v>3</v>
      </c>
      <c r="N776" s="355" t="s">
        <v>820</v>
      </c>
      <c r="O776" s="355" t="s">
        <v>1206</v>
      </c>
      <c r="P776" s="355"/>
      <c r="Q776" s="363">
        <v>10125</v>
      </c>
      <c r="R776" s="319">
        <f>P776-Q776</f>
        <v>-10125</v>
      </c>
      <c r="S776" s="319" t="str">
        <f>VLOOKUP(H776,'Fund Utilization Report'!$A$4:$U$1800,13,FALSE)</f>
        <v>MOOE</v>
      </c>
      <c r="T776" s="319" t="str">
        <f>VLOOKUP(H776,'Fund Utilization Report'!$A$4:$U$1800,2,FALSE)</f>
        <v>GAA</v>
      </c>
      <c r="U776" s="319" t="str">
        <f>VLOOKUP(H776,'Fund Utilization Report'!$A$4:$U$1800,3,FALSE)</f>
        <v>FY2021, RA11518</v>
      </c>
      <c r="V776" s="319" t="str">
        <f>VLOOKUP(H776,'Fund Utilization Report'!$A$4:$U$1800,4,FALSE)</f>
        <v>OO 4.2</v>
      </c>
      <c r="W776" s="319" t="str">
        <f>VLOOKUP(H776,'Fund Utilization Report'!$A$4:$U$1800,5,FALSE)</f>
        <v>01101101</v>
      </c>
      <c r="X776" s="319" t="str">
        <f>VLOOKUP(H776,'Fund Utilization Report'!$A$4:$U$1800,6,FALSE)</f>
        <v>GOP</v>
      </c>
      <c r="Y776" s="320" t="str">
        <f>VLOOKUP(H776,'Fund Utilization Report'!$A$4:$U$1800,7,FALSE)</f>
        <v>MOOE</v>
      </c>
      <c r="Z776" s="321">
        <f>VLOOKUP(H776,'Fund Utilization Report'!$A$4:$U$1800,8,FALSE)</f>
        <v>5020000000</v>
      </c>
      <c r="AA776" s="319" t="str">
        <f>VLOOKUP(H776,'Fund Utilization Report'!$A$4:$U$1800,14,FALSE)</f>
        <v>340200100002000</v>
      </c>
      <c r="AB776" s="349" t="str">
        <f>VLOOKUP(H776,'Fund Utilization Report'!$A$4:$U$1800,15,FALSE)</f>
        <v>Implementation of Plans, projects and activities on consumer awareness, education, and advocacy</v>
      </c>
      <c r="AC776" s="39"/>
      <c r="AD776" s="34"/>
      <c r="AE776" s="39"/>
      <c r="AF776" s="51"/>
      <c r="AG776" s="40"/>
      <c r="AH776" s="40"/>
    </row>
    <row r="777" spans="1:34" s="411" customFormat="1" ht="27.6">
      <c r="A777" s="405" t="s">
        <v>942</v>
      </c>
      <c r="B777" s="405" t="s">
        <v>945</v>
      </c>
      <c r="C777" s="402">
        <v>44243</v>
      </c>
      <c r="D777" s="403" t="s">
        <v>1028</v>
      </c>
      <c r="E777" s="404" t="s">
        <v>1202</v>
      </c>
      <c r="F777" s="405">
        <v>0.40972222222222199</v>
      </c>
      <c r="G777" s="405">
        <v>0.41041666666666698</v>
      </c>
      <c r="H777" s="405" t="s">
        <v>974</v>
      </c>
      <c r="I777" s="416">
        <v>751</v>
      </c>
      <c r="J777" s="405" t="str">
        <f>IFERROR(VLOOKUP(I777,'Chart of accounts'!A:H,2,FALSE),"")</f>
        <v>50201010 00</v>
      </c>
      <c r="K777" s="405" t="str">
        <f>IFERROR(VLOOKUP(I777,'Chart of accounts'!A:H,3,FALSE),"")</f>
        <v>Traveling Expenses - Local</v>
      </c>
      <c r="L777" s="405" t="str">
        <f>IFERROR(VLOOKUP(I777,'Chart of accounts'!A:H,4,FALSE),"")</f>
        <v>50201010 00 - Traveling Expenses - Local (751)</v>
      </c>
      <c r="M777" s="408">
        <v>2</v>
      </c>
      <c r="N777" s="409" t="s">
        <v>818</v>
      </c>
      <c r="O777" s="409" t="s">
        <v>1206</v>
      </c>
      <c r="P777" s="409"/>
      <c r="Q777" s="65">
        <f>20000-20000</f>
        <v>0</v>
      </c>
      <c r="R777" s="63">
        <f t="shared" si="19"/>
        <v>0</v>
      </c>
      <c r="S777" s="63" t="str">
        <f>VLOOKUP(H777,'Fund Utilization Report'!$A$4:$U$1800,13,FALSE)</f>
        <v>MOOE</v>
      </c>
      <c r="T777" s="63" t="str">
        <f>VLOOKUP(H777,'Fund Utilization Report'!$A$4:$U$1800,2,FALSE)</f>
        <v>GAA</v>
      </c>
      <c r="U777" s="63" t="str">
        <f>VLOOKUP(H777,'Fund Utilization Report'!$A$4:$U$1800,3,FALSE)</f>
        <v>FY2021, RA11518</v>
      </c>
      <c r="V777" s="63" t="str">
        <f>VLOOKUP(H777,'Fund Utilization Report'!$A$4:$U$1800,4,FALSE)</f>
        <v>OO4.1(FTL)</v>
      </c>
      <c r="W777" s="63" t="str">
        <f>VLOOKUP(H777,'Fund Utilization Report'!$A$4:$U$1800,5,FALSE)</f>
        <v>01101101</v>
      </c>
      <c r="X777" s="63" t="str">
        <f>VLOOKUP(H777,'Fund Utilization Report'!$A$4:$U$1800,6,FALSE)</f>
        <v>GOP</v>
      </c>
      <c r="Y777" s="417" t="str">
        <f>VLOOKUP(H777,'Fund Utilization Report'!$A$4:$U$1800,7,FALSE)</f>
        <v>MOOE</v>
      </c>
      <c r="Z777" s="418">
        <f>VLOOKUP(H777,'Fund Utilization Report'!$A$4:$U$1800,8,FALSE)</f>
        <v>5020000000</v>
      </c>
      <c r="AA777" s="63" t="str">
        <f>VLOOKUP(H777,'Fund Utilization Report'!$A$4:$U$1800,14,FALSE)</f>
        <v>340100100002000</v>
      </c>
      <c r="AB777" s="419" t="str">
        <f>VLOOKUP(H777,'Fund Utilization Report'!$A$4:$U$1800,15,FALSE)</f>
        <v>Monitoring and Enforcement of FTL including consumer complaints handling</v>
      </c>
      <c r="AC777" s="406"/>
      <c r="AD777" s="403"/>
      <c r="AE777" s="406"/>
      <c r="AF777" s="406"/>
      <c r="AG777" s="407"/>
      <c r="AH777" s="407"/>
    </row>
    <row r="778" spans="1:34" s="411" customFormat="1" ht="27.6">
      <c r="A778" s="405" t="s">
        <v>942</v>
      </c>
      <c r="B778" s="405" t="s">
        <v>945</v>
      </c>
      <c r="C778" s="402">
        <v>44243</v>
      </c>
      <c r="D778" s="403" t="s">
        <v>1028</v>
      </c>
      <c r="E778" s="404" t="s">
        <v>1202</v>
      </c>
      <c r="F778" s="405">
        <v>0.40972222222222199</v>
      </c>
      <c r="G778" s="405">
        <v>0.41041666666666698</v>
      </c>
      <c r="H778" s="405" t="s">
        <v>974</v>
      </c>
      <c r="I778" s="416">
        <v>783</v>
      </c>
      <c r="J778" s="405" t="str">
        <f>IFERROR(VLOOKUP(I778,'Chart of accounts'!A:H,2,FALSE),"")</f>
        <v>50299030 00</v>
      </c>
      <c r="K778" s="405" t="str">
        <f>IFERROR(VLOOKUP(I778,'Chart of accounts'!A:H,3,FALSE),"")</f>
        <v>Representation Expenses</v>
      </c>
      <c r="L778" s="405" t="str">
        <f>IFERROR(VLOOKUP(I778,'Chart of accounts'!A:H,4,FALSE),"")</f>
        <v>50299030 00 - Representation Expenses (783)</v>
      </c>
      <c r="M778" s="408">
        <v>2</v>
      </c>
      <c r="N778" s="409" t="s">
        <v>818</v>
      </c>
      <c r="O778" s="409" t="s">
        <v>1206</v>
      </c>
      <c r="P778" s="409"/>
      <c r="Q778" s="65">
        <f>40000-40000</f>
        <v>0</v>
      </c>
      <c r="R778" s="63">
        <f>P778-Q778</f>
        <v>0</v>
      </c>
      <c r="S778" s="63" t="str">
        <f>VLOOKUP(H778,'Fund Utilization Report'!$A$4:$U$1800,13,FALSE)</f>
        <v>MOOE</v>
      </c>
      <c r="T778" s="63" t="str">
        <f>VLOOKUP(H778,'Fund Utilization Report'!$A$4:$U$1800,2,FALSE)</f>
        <v>GAA</v>
      </c>
      <c r="U778" s="63" t="str">
        <f>VLOOKUP(H778,'Fund Utilization Report'!$A$4:$U$1800,3,FALSE)</f>
        <v>FY2021, RA11518</v>
      </c>
      <c r="V778" s="63" t="str">
        <f>VLOOKUP(H778,'Fund Utilization Report'!$A$4:$U$1800,4,FALSE)</f>
        <v>OO4.1(FTL)</v>
      </c>
      <c r="W778" s="63" t="str">
        <f>VLOOKUP(H778,'Fund Utilization Report'!$A$4:$U$1800,5,FALSE)</f>
        <v>01101101</v>
      </c>
      <c r="X778" s="63" t="str">
        <f>VLOOKUP(H778,'Fund Utilization Report'!$A$4:$U$1800,6,FALSE)</f>
        <v>GOP</v>
      </c>
      <c r="Y778" s="417" t="str">
        <f>VLOOKUP(H778,'Fund Utilization Report'!$A$4:$U$1800,7,FALSE)</f>
        <v>MOOE</v>
      </c>
      <c r="Z778" s="418">
        <f>VLOOKUP(H778,'Fund Utilization Report'!$A$4:$U$1800,8,FALSE)</f>
        <v>5020000000</v>
      </c>
      <c r="AA778" s="63" t="str">
        <f>VLOOKUP(H778,'Fund Utilization Report'!$A$4:$U$1800,14,FALSE)</f>
        <v>340100100002000</v>
      </c>
      <c r="AB778" s="419" t="str">
        <f>VLOOKUP(H778,'Fund Utilization Report'!$A$4:$U$1800,15,FALSE)</f>
        <v>Monitoring and Enforcement of FTL including consumer complaints handling</v>
      </c>
      <c r="AC778" s="406"/>
      <c r="AD778" s="403"/>
      <c r="AE778" s="406"/>
      <c r="AF778" s="406"/>
      <c r="AG778" s="407"/>
      <c r="AH778" s="407"/>
    </row>
    <row r="779" spans="1:34" s="411" customFormat="1" ht="27.6">
      <c r="A779" s="405" t="s">
        <v>942</v>
      </c>
      <c r="B779" s="405" t="s">
        <v>945</v>
      </c>
      <c r="C779" s="402">
        <v>44243</v>
      </c>
      <c r="D779" s="403" t="s">
        <v>1028</v>
      </c>
      <c r="E779" s="404" t="s">
        <v>1202</v>
      </c>
      <c r="F779" s="405">
        <v>0.40972222222222199</v>
      </c>
      <c r="G779" s="405">
        <v>0.41041666666666698</v>
      </c>
      <c r="H779" s="405" t="s">
        <v>977</v>
      </c>
      <c r="I779" s="416">
        <v>751</v>
      </c>
      <c r="J779" s="405" t="str">
        <f>IFERROR(VLOOKUP(I779,'Chart of accounts'!A:H,2,FALSE),"")</f>
        <v>50201010 00</v>
      </c>
      <c r="K779" s="405" t="str">
        <f>IFERROR(VLOOKUP(I779,'Chart of accounts'!A:H,3,FALSE),"")</f>
        <v>Traveling Expenses - Local</v>
      </c>
      <c r="L779" s="405" t="str">
        <f>IFERROR(VLOOKUP(I779,'Chart of accounts'!A:H,4,FALSE),"")</f>
        <v>50201010 00 - Traveling Expenses - Local (751)</v>
      </c>
      <c r="M779" s="408">
        <v>2</v>
      </c>
      <c r="N779" s="409" t="s">
        <v>818</v>
      </c>
      <c r="O779" s="409" t="s">
        <v>1206</v>
      </c>
      <c r="P779" s="409"/>
      <c r="Q779" s="65">
        <f>20000-20000</f>
        <v>0</v>
      </c>
      <c r="R779" s="63">
        <f>P779-Q779</f>
        <v>0</v>
      </c>
      <c r="S779" s="63" t="str">
        <f>VLOOKUP(H779,'Fund Utilization Report'!$A$4:$U$1800,13,FALSE)</f>
        <v>MOOE</v>
      </c>
      <c r="T779" s="63" t="str">
        <f>VLOOKUP(H779,'Fund Utilization Report'!$A$4:$U$1800,2,FALSE)</f>
        <v>GAA</v>
      </c>
      <c r="U779" s="63" t="str">
        <f>VLOOKUP(H779,'Fund Utilization Report'!$A$4:$U$1800,3,FALSE)</f>
        <v>FY2021, RA11518</v>
      </c>
      <c r="V779" s="63" t="str">
        <f>VLOOKUP(H779,'Fund Utilization Report'!$A$4:$U$1800,4,FALSE)</f>
        <v>OO4.1(Acc)</v>
      </c>
      <c r="W779" s="63" t="str">
        <f>VLOOKUP(H779,'Fund Utilization Report'!$A$4:$U$1800,5,FALSE)</f>
        <v>01101101</v>
      </c>
      <c r="X779" s="63" t="str">
        <f>VLOOKUP(H779,'Fund Utilization Report'!$A$4:$U$1800,6,FALSE)</f>
        <v>GOP</v>
      </c>
      <c r="Y779" s="417" t="str">
        <f>VLOOKUP(H779,'Fund Utilization Report'!$A$4:$U$1800,7,FALSE)</f>
        <v>MOOE</v>
      </c>
      <c r="Z779" s="418">
        <f>VLOOKUP(H779,'Fund Utilization Report'!$A$4:$U$1800,8,FALSE)</f>
        <v>5020000000</v>
      </c>
      <c r="AA779" s="63" t="str">
        <f>VLOOKUP(H779,'Fund Utilization Report'!$A$4:$U$1800,14,FALSE)</f>
        <v>340100100003000</v>
      </c>
      <c r="AB779" s="419" t="str">
        <f>VLOOKUP(H779,'Fund Utilization Report'!$A$4:$U$1800,15,FALSE)</f>
        <v>Accreditation and Issuance of Business Licenses, Permits, registration and authorities</v>
      </c>
      <c r="AC779" s="406"/>
      <c r="AD779" s="403"/>
      <c r="AE779" s="406"/>
      <c r="AF779" s="406"/>
      <c r="AG779" s="407"/>
      <c r="AH779" s="407"/>
    </row>
    <row r="780" spans="1:34" s="411" customFormat="1" ht="27.6">
      <c r="A780" s="405" t="s">
        <v>942</v>
      </c>
      <c r="B780" s="405" t="s">
        <v>945</v>
      </c>
      <c r="C780" s="402">
        <v>44243</v>
      </c>
      <c r="D780" s="403" t="s">
        <v>1028</v>
      </c>
      <c r="E780" s="404" t="s">
        <v>1202</v>
      </c>
      <c r="F780" s="405">
        <v>0.40972222222222199</v>
      </c>
      <c r="G780" s="405">
        <v>0.41041666666666698</v>
      </c>
      <c r="H780" s="405" t="s">
        <v>977</v>
      </c>
      <c r="I780" s="416">
        <v>783</v>
      </c>
      <c r="J780" s="405" t="str">
        <f>IFERROR(VLOOKUP(I780,'Chart of accounts'!A:H,2,FALSE),"")</f>
        <v>50299030 00</v>
      </c>
      <c r="K780" s="405" t="str">
        <f>IFERROR(VLOOKUP(I780,'Chart of accounts'!A:H,3,FALSE),"")</f>
        <v>Representation Expenses</v>
      </c>
      <c r="L780" s="405" t="str">
        <f>IFERROR(VLOOKUP(I780,'Chart of accounts'!A:H,4,FALSE),"")</f>
        <v>50299030 00 - Representation Expenses (783)</v>
      </c>
      <c r="M780" s="408">
        <v>2</v>
      </c>
      <c r="N780" s="409" t="s">
        <v>818</v>
      </c>
      <c r="O780" s="409" t="s">
        <v>1206</v>
      </c>
      <c r="P780" s="409"/>
      <c r="Q780" s="65">
        <f>60000-60000</f>
        <v>0</v>
      </c>
      <c r="R780" s="63">
        <f>P780-Q780</f>
        <v>0</v>
      </c>
      <c r="S780" s="63" t="str">
        <f>VLOOKUP(H780,'Fund Utilization Report'!$A$4:$U$1800,13,FALSE)</f>
        <v>MOOE</v>
      </c>
      <c r="T780" s="63" t="str">
        <f>VLOOKUP(H780,'Fund Utilization Report'!$A$4:$U$1800,2,FALSE)</f>
        <v>GAA</v>
      </c>
      <c r="U780" s="63" t="str">
        <f>VLOOKUP(H780,'Fund Utilization Report'!$A$4:$U$1800,3,FALSE)</f>
        <v>FY2021, RA11518</v>
      </c>
      <c r="V780" s="63" t="str">
        <f>VLOOKUP(H780,'Fund Utilization Report'!$A$4:$U$1800,4,FALSE)</f>
        <v>OO4.1(Acc)</v>
      </c>
      <c r="W780" s="63" t="str">
        <f>VLOOKUP(H780,'Fund Utilization Report'!$A$4:$U$1800,5,FALSE)</f>
        <v>01101101</v>
      </c>
      <c r="X780" s="63" t="str">
        <f>VLOOKUP(H780,'Fund Utilization Report'!$A$4:$U$1800,6,FALSE)</f>
        <v>GOP</v>
      </c>
      <c r="Y780" s="417" t="str">
        <f>VLOOKUP(H780,'Fund Utilization Report'!$A$4:$U$1800,7,FALSE)</f>
        <v>MOOE</v>
      </c>
      <c r="Z780" s="418">
        <f>VLOOKUP(H780,'Fund Utilization Report'!$A$4:$U$1800,8,FALSE)</f>
        <v>5020000000</v>
      </c>
      <c r="AA780" s="63" t="str">
        <f>VLOOKUP(H780,'Fund Utilization Report'!$A$4:$U$1800,14,FALSE)</f>
        <v>340100100003000</v>
      </c>
      <c r="AB780" s="419" t="str">
        <f>VLOOKUP(H780,'Fund Utilization Report'!$A$4:$U$1800,15,FALSE)</f>
        <v>Accreditation and Issuance of Business Licenses, Permits, registration and authorities</v>
      </c>
      <c r="AC780" s="406"/>
      <c r="AD780" s="403"/>
      <c r="AE780" s="406"/>
      <c r="AF780" s="406"/>
      <c r="AG780" s="407"/>
      <c r="AH780" s="407"/>
    </row>
    <row r="781" spans="1:34" s="411" customFormat="1" ht="27.6">
      <c r="A781" s="405" t="s">
        <v>942</v>
      </c>
      <c r="B781" s="405" t="s">
        <v>945</v>
      </c>
      <c r="C781" s="402">
        <v>44243</v>
      </c>
      <c r="D781" s="403" t="s">
        <v>1028</v>
      </c>
      <c r="E781" s="404" t="s">
        <v>1202</v>
      </c>
      <c r="F781" s="405">
        <v>0.40972222222222199</v>
      </c>
      <c r="G781" s="405">
        <v>0.41041666666666698</v>
      </c>
      <c r="H781" s="405" t="s">
        <v>979</v>
      </c>
      <c r="I781" s="416">
        <v>755</v>
      </c>
      <c r="J781" s="405" t="str">
        <f>IFERROR(VLOOKUP(I781,'Chart of accounts'!A:H,2,FALSE),"")</f>
        <v>50203010 00</v>
      </c>
      <c r="K781" s="405" t="str">
        <f>IFERROR(VLOOKUP(I781,'Chart of accounts'!A:H,3,FALSE),"")</f>
        <v>Office Supplies Expenses</v>
      </c>
      <c r="L781" s="405" t="str">
        <f>IFERROR(VLOOKUP(I781,'Chart of accounts'!A:H,4,FALSE),"")</f>
        <v>50203010 00 - Office Supplies Expenses (755)</v>
      </c>
      <c r="M781" s="408">
        <v>2</v>
      </c>
      <c r="N781" s="409" t="s">
        <v>818</v>
      </c>
      <c r="O781" s="409" t="s">
        <v>1206</v>
      </c>
      <c r="P781" s="409"/>
      <c r="Q781" s="65">
        <f>20000-20000</f>
        <v>0</v>
      </c>
      <c r="R781" s="63">
        <f>P781-Q781</f>
        <v>0</v>
      </c>
      <c r="S781" s="63" t="str">
        <f>VLOOKUP(H781,'Fund Utilization Report'!$A$4:$U$1800,13,FALSE)</f>
        <v>MOOE</v>
      </c>
      <c r="T781" s="63" t="str">
        <f>VLOOKUP(H781,'Fund Utilization Report'!$A$4:$U$1800,2,FALSE)</f>
        <v>GAA</v>
      </c>
      <c r="U781" s="63" t="str">
        <f>VLOOKUP(H781,'Fund Utilization Report'!$A$4:$U$1800,3,FALSE)</f>
        <v>FY2021, RA11518</v>
      </c>
      <c r="V781" s="63" t="str">
        <f>VLOOKUP(H781,'Fund Utilization Report'!$A$4:$U$1800,4,FALSE)</f>
        <v>OO 4.2</v>
      </c>
      <c r="W781" s="63" t="str">
        <f>VLOOKUP(H781,'Fund Utilization Report'!$A$4:$U$1800,5,FALSE)</f>
        <v>01101101</v>
      </c>
      <c r="X781" s="63" t="str">
        <f>VLOOKUP(H781,'Fund Utilization Report'!$A$4:$U$1800,6,FALSE)</f>
        <v>GOP</v>
      </c>
      <c r="Y781" s="417" t="str">
        <f>VLOOKUP(H781,'Fund Utilization Report'!$A$4:$U$1800,7,FALSE)</f>
        <v>MOOE</v>
      </c>
      <c r="Z781" s="418">
        <f>VLOOKUP(H781,'Fund Utilization Report'!$A$4:$U$1800,8,FALSE)</f>
        <v>5020000000</v>
      </c>
      <c r="AA781" s="63" t="str">
        <f>VLOOKUP(H781,'Fund Utilization Report'!$A$4:$U$1800,14,FALSE)</f>
        <v>340200100002000</v>
      </c>
      <c r="AB781" s="419" t="str">
        <f>VLOOKUP(H781,'Fund Utilization Report'!$A$4:$U$1800,15,FALSE)</f>
        <v>Implementation of Plans, projects and activities on consumer awareness, education, and advocacy</v>
      </c>
      <c r="AC781" s="406"/>
      <c r="AD781" s="403"/>
      <c r="AE781" s="406"/>
      <c r="AF781" s="406"/>
      <c r="AG781" s="407"/>
      <c r="AH781" s="407"/>
    </row>
    <row r="782" spans="1:34" s="411" customFormat="1">
      <c r="A782" s="405" t="s">
        <v>942</v>
      </c>
      <c r="B782" s="405" t="s">
        <v>945</v>
      </c>
      <c r="C782" s="402">
        <v>44243</v>
      </c>
      <c r="D782" s="403" t="s">
        <v>1028</v>
      </c>
      <c r="E782" s="404" t="s">
        <v>1203</v>
      </c>
      <c r="F782" s="405">
        <v>0.41041666666666599</v>
      </c>
      <c r="G782" s="405">
        <v>0.41111111111111198</v>
      </c>
      <c r="H782" s="405" t="s">
        <v>961</v>
      </c>
      <c r="I782" s="416">
        <v>755</v>
      </c>
      <c r="J782" s="405" t="str">
        <f>IFERROR(VLOOKUP(I782,'Chart of accounts'!A:H,2,FALSE),"")</f>
        <v>50203010 00</v>
      </c>
      <c r="K782" s="405" t="str">
        <f>IFERROR(VLOOKUP(I782,'Chart of accounts'!A:H,3,FALSE),"")</f>
        <v>Office Supplies Expenses</v>
      </c>
      <c r="L782" s="405" t="str">
        <f>IFERROR(VLOOKUP(I782,'Chart of accounts'!A:H,4,FALSE),"")</f>
        <v>50203010 00 - Office Supplies Expenses (755)</v>
      </c>
      <c r="M782" s="408">
        <v>1</v>
      </c>
      <c r="N782" s="409" t="s">
        <v>1036</v>
      </c>
      <c r="O782" s="409" t="s">
        <v>1207</v>
      </c>
      <c r="P782" s="409"/>
      <c r="Q782" s="65">
        <f>2404.78-2404.78</f>
        <v>0</v>
      </c>
      <c r="R782" s="319">
        <f t="shared" si="19"/>
        <v>0</v>
      </c>
      <c r="S782" s="63" t="str">
        <f>VLOOKUP(H782,'Fund Utilization Report'!$A$4:$U$1800,13,FALSE)</f>
        <v>MOOE</v>
      </c>
      <c r="T782" s="63" t="str">
        <f>VLOOKUP(H782,'Fund Utilization Report'!$A$4:$U$1800,2,FALSE)</f>
        <v>GAA</v>
      </c>
      <c r="U782" s="63" t="str">
        <f>VLOOKUP(H782,'Fund Utilization Report'!$A$4:$U$1800,3,FALSE)</f>
        <v>FY2021, RA11518</v>
      </c>
      <c r="V782" s="63" t="str">
        <f>VLOOKUP(H782,'Fund Utilization Report'!$A$4:$U$1800,4,FALSE)</f>
        <v>GAS(GMS)</v>
      </c>
      <c r="W782" s="63" t="str">
        <f>VLOOKUP(H782,'Fund Utilization Report'!$A$4:$U$1800,5,FALSE)</f>
        <v>01101101</v>
      </c>
      <c r="X782" s="63" t="str">
        <f>VLOOKUP(H782,'Fund Utilization Report'!$A$4:$U$1800,6,FALSE)</f>
        <v>GOP</v>
      </c>
      <c r="Y782" s="417" t="str">
        <f>VLOOKUP(H782,'Fund Utilization Report'!$A$4:$U$1800,7,FALSE)</f>
        <v>MOOE</v>
      </c>
      <c r="Z782" s="418">
        <f>VLOOKUP(H782,'Fund Utilization Report'!$A$4:$U$1800,8,FALSE)</f>
        <v>5020000000</v>
      </c>
      <c r="AA782" s="63" t="str">
        <f>VLOOKUP(H782,'Fund Utilization Report'!$A$4:$U$1800,14,FALSE)</f>
        <v>100000100001000</v>
      </c>
      <c r="AB782" s="419" t="str">
        <f>VLOOKUP(H782,'Fund Utilization Report'!$A$4:$U$1800,15,FALSE)</f>
        <v>General Administration and Supervision - General Management and Supervision</v>
      </c>
      <c r="AC782" s="406"/>
      <c r="AD782" s="403"/>
      <c r="AE782" s="406"/>
      <c r="AF782" s="406"/>
      <c r="AG782" s="407"/>
      <c r="AH782" s="407"/>
    </row>
    <row r="783" spans="1:34" s="411" customFormat="1">
      <c r="A783" s="405" t="s">
        <v>942</v>
      </c>
      <c r="B783" s="405" t="s">
        <v>945</v>
      </c>
      <c r="C783" s="402">
        <v>44243</v>
      </c>
      <c r="D783" s="403" t="s">
        <v>1028</v>
      </c>
      <c r="E783" s="404" t="s">
        <v>1204</v>
      </c>
      <c r="F783" s="405">
        <v>0.41111111111110998</v>
      </c>
      <c r="G783" s="405">
        <v>0.41180555555555598</v>
      </c>
      <c r="H783" s="405" t="s">
        <v>982</v>
      </c>
      <c r="I783" s="416">
        <v>751</v>
      </c>
      <c r="J783" s="405" t="str">
        <f>IFERROR(VLOOKUP(I783,'Chart of accounts'!A:H,2,FALSE),"")</f>
        <v>50201010 00</v>
      </c>
      <c r="K783" s="405" t="str">
        <f>IFERROR(VLOOKUP(I783,'Chart of accounts'!A:H,3,FALSE),"")</f>
        <v>Traveling Expenses - Local</v>
      </c>
      <c r="L783" s="405" t="str">
        <f>IFERROR(VLOOKUP(I783,'Chart of accounts'!A:H,4,FALSE),"")</f>
        <v>50201010 00 - Traveling Expenses - Local (751)</v>
      </c>
      <c r="M783" s="408">
        <v>85</v>
      </c>
      <c r="N783" s="409" t="s">
        <v>823</v>
      </c>
      <c r="O783" s="409" t="s">
        <v>1213</v>
      </c>
      <c r="P783" s="409"/>
      <c r="Q783" s="65">
        <f>50000-50000</f>
        <v>0</v>
      </c>
      <c r="R783" s="63">
        <f t="shared" si="19"/>
        <v>0</v>
      </c>
      <c r="S783" s="63" t="str">
        <f>VLOOKUP(H783,'Fund Utilization Report'!$A$4:$U$1800,13,FALSE)</f>
        <v>MOOE</v>
      </c>
      <c r="T783" s="63" t="str">
        <f>VLOOKUP(H783,'Fund Utilization Report'!$A$4:$U$1800,2,FALSE)</f>
        <v>GAA</v>
      </c>
      <c r="U783" s="63" t="str">
        <f>VLOOKUP(H783,'Fund Utilization Report'!$A$4:$U$1800,3,FALSE)</f>
        <v>FY2021, RA11518</v>
      </c>
      <c r="V783" s="63" t="str">
        <f>VLOOKUP(H783,'Fund Utilization Report'!$A$4:$U$1800,4,FALSE)</f>
        <v>OTOP</v>
      </c>
      <c r="W783" s="63" t="str">
        <f>VLOOKUP(H783,'Fund Utilization Report'!$A$4:$U$1800,5,FALSE)</f>
        <v>01101101</v>
      </c>
      <c r="X783" s="63" t="str">
        <f>VLOOKUP(H783,'Fund Utilization Report'!$A$4:$U$1800,6,FALSE)</f>
        <v>GOP</v>
      </c>
      <c r="Y783" s="417" t="str">
        <f>VLOOKUP(H783,'Fund Utilization Report'!$A$4:$U$1800,7,FALSE)</f>
        <v>MOOE</v>
      </c>
      <c r="Z783" s="418">
        <f>VLOOKUP(H783,'Fund Utilization Report'!$A$4:$U$1800,8,FALSE)</f>
        <v>5020000000</v>
      </c>
      <c r="AA783" s="63" t="str">
        <f>VLOOKUP(H783,'Fund Utilization Report'!$A$4:$U$1800,14,FALSE)</f>
        <v>330100200002000</v>
      </c>
      <c r="AB783" s="419" t="str">
        <f>VLOOKUP(H783,'Fund Utilization Report'!$A$4:$U$1800,15,FALSE)</f>
        <v>OTOP - Next Generation</v>
      </c>
      <c r="AC783" s="406"/>
      <c r="AD783" s="403"/>
      <c r="AE783" s="406"/>
      <c r="AF783" s="406"/>
      <c r="AG783" s="407"/>
      <c r="AH783" s="407"/>
    </row>
    <row r="784" spans="1:34" s="411" customFormat="1">
      <c r="A784" s="405" t="s">
        <v>942</v>
      </c>
      <c r="B784" s="405" t="s">
        <v>945</v>
      </c>
      <c r="C784" s="402">
        <v>44243</v>
      </c>
      <c r="D784" s="403" t="s">
        <v>1028</v>
      </c>
      <c r="E784" s="404" t="s">
        <v>1204</v>
      </c>
      <c r="F784" s="405">
        <v>0.41111111111110998</v>
      </c>
      <c r="G784" s="405">
        <v>0.41180555555555598</v>
      </c>
      <c r="H784" s="405" t="s">
        <v>982</v>
      </c>
      <c r="I784" s="416">
        <v>780</v>
      </c>
      <c r="J784" s="405" t="str">
        <f>IFERROR(VLOOKUP(I784,'Chart of accounts'!A:H,2,FALSE),"")</f>
        <v>50299010 00</v>
      </c>
      <c r="K784" s="405" t="str">
        <f>IFERROR(VLOOKUP(I784,'Chart of accounts'!A:H,3,FALSE),"")</f>
        <v>Advertising Expenses</v>
      </c>
      <c r="L784" s="405" t="str">
        <f>IFERROR(VLOOKUP(I784,'Chart of accounts'!A:H,4,FALSE),"")</f>
        <v>50299010 00 - Advertising Expenses (780)</v>
      </c>
      <c r="M784" s="408">
        <v>85</v>
      </c>
      <c r="N784" s="409" t="s">
        <v>823</v>
      </c>
      <c r="O784" s="409" t="s">
        <v>1213</v>
      </c>
      <c r="P784" s="409"/>
      <c r="Q784" s="65">
        <f>50000-50000</f>
        <v>0</v>
      </c>
      <c r="R784" s="63">
        <f>P784-Q784</f>
        <v>0</v>
      </c>
      <c r="S784" s="63" t="str">
        <f>VLOOKUP(H784,'Fund Utilization Report'!$A$4:$U$1800,13,FALSE)</f>
        <v>MOOE</v>
      </c>
      <c r="T784" s="63" t="str">
        <f>VLOOKUP(H784,'Fund Utilization Report'!$A$4:$U$1800,2,FALSE)</f>
        <v>GAA</v>
      </c>
      <c r="U784" s="63" t="str">
        <f>VLOOKUP(H784,'Fund Utilization Report'!$A$4:$U$1800,3,FALSE)</f>
        <v>FY2021, RA11518</v>
      </c>
      <c r="V784" s="63" t="str">
        <f>VLOOKUP(H784,'Fund Utilization Report'!$A$4:$U$1800,4,FALSE)</f>
        <v>OTOP</v>
      </c>
      <c r="W784" s="63" t="str">
        <f>VLOOKUP(H784,'Fund Utilization Report'!$A$4:$U$1800,5,FALSE)</f>
        <v>01101101</v>
      </c>
      <c r="X784" s="63" t="str">
        <f>VLOOKUP(H784,'Fund Utilization Report'!$A$4:$U$1800,6,FALSE)</f>
        <v>GOP</v>
      </c>
      <c r="Y784" s="417" t="str">
        <f>VLOOKUP(H784,'Fund Utilization Report'!$A$4:$U$1800,7,FALSE)</f>
        <v>MOOE</v>
      </c>
      <c r="Z784" s="418">
        <f>VLOOKUP(H784,'Fund Utilization Report'!$A$4:$U$1800,8,FALSE)</f>
        <v>5020000000</v>
      </c>
      <c r="AA784" s="63" t="str">
        <f>VLOOKUP(H784,'Fund Utilization Report'!$A$4:$U$1800,14,FALSE)</f>
        <v>330100200002000</v>
      </c>
      <c r="AB784" s="419" t="str">
        <f>VLOOKUP(H784,'Fund Utilization Report'!$A$4:$U$1800,15,FALSE)</f>
        <v>OTOP - Next Generation</v>
      </c>
      <c r="AC784" s="406"/>
      <c r="AD784" s="403"/>
      <c r="AE784" s="406"/>
      <c r="AF784" s="406"/>
      <c r="AG784" s="407"/>
      <c r="AH784" s="407"/>
    </row>
    <row r="785" spans="1:34" s="411" customFormat="1">
      <c r="A785" s="405" t="s">
        <v>942</v>
      </c>
      <c r="B785" s="405" t="s">
        <v>945</v>
      </c>
      <c r="C785" s="402">
        <v>44243</v>
      </c>
      <c r="D785" s="403" t="s">
        <v>1028</v>
      </c>
      <c r="E785" s="404" t="s">
        <v>1204</v>
      </c>
      <c r="F785" s="405">
        <v>0.41111111111110998</v>
      </c>
      <c r="G785" s="405">
        <v>0.41180555555555598</v>
      </c>
      <c r="H785" s="405" t="s">
        <v>982</v>
      </c>
      <c r="I785" s="416">
        <v>781</v>
      </c>
      <c r="J785" s="405" t="str">
        <f>IFERROR(VLOOKUP(I785,'Chart of accounts'!A:H,2,FALSE),"")</f>
        <v>50299020 00</v>
      </c>
      <c r="K785" s="405" t="str">
        <f>IFERROR(VLOOKUP(I785,'Chart of accounts'!A:H,3,FALSE),"")</f>
        <v>Printing and Binding Expenses</v>
      </c>
      <c r="L785" s="405" t="str">
        <f>IFERROR(VLOOKUP(I785,'Chart of accounts'!A:H,4,FALSE),"")</f>
        <v>50299020 00 - Printing and Binding Expenses (781)</v>
      </c>
      <c r="M785" s="408">
        <v>85</v>
      </c>
      <c r="N785" s="409" t="s">
        <v>823</v>
      </c>
      <c r="O785" s="409" t="s">
        <v>1213</v>
      </c>
      <c r="P785" s="409"/>
      <c r="Q785" s="65">
        <f>65000-65000</f>
        <v>0</v>
      </c>
      <c r="R785" s="63">
        <f>P785-Q785</f>
        <v>0</v>
      </c>
      <c r="S785" s="63" t="str">
        <f>VLOOKUP(H785,'Fund Utilization Report'!$A$4:$U$1800,13,FALSE)</f>
        <v>MOOE</v>
      </c>
      <c r="T785" s="63" t="str">
        <f>VLOOKUP(H785,'Fund Utilization Report'!$A$4:$U$1800,2,FALSE)</f>
        <v>GAA</v>
      </c>
      <c r="U785" s="63" t="str">
        <f>VLOOKUP(H785,'Fund Utilization Report'!$A$4:$U$1800,3,FALSE)</f>
        <v>FY2021, RA11518</v>
      </c>
      <c r="V785" s="63" t="str">
        <f>VLOOKUP(H785,'Fund Utilization Report'!$A$4:$U$1800,4,FALSE)</f>
        <v>OTOP</v>
      </c>
      <c r="W785" s="63" t="str">
        <f>VLOOKUP(H785,'Fund Utilization Report'!$A$4:$U$1800,5,FALSE)</f>
        <v>01101101</v>
      </c>
      <c r="X785" s="63" t="str">
        <f>VLOOKUP(H785,'Fund Utilization Report'!$A$4:$U$1800,6,FALSE)</f>
        <v>GOP</v>
      </c>
      <c r="Y785" s="417" t="str">
        <f>VLOOKUP(H785,'Fund Utilization Report'!$A$4:$U$1800,7,FALSE)</f>
        <v>MOOE</v>
      </c>
      <c r="Z785" s="418">
        <f>VLOOKUP(H785,'Fund Utilization Report'!$A$4:$U$1800,8,FALSE)</f>
        <v>5020000000</v>
      </c>
      <c r="AA785" s="63" t="str">
        <f>VLOOKUP(H785,'Fund Utilization Report'!$A$4:$U$1800,14,FALSE)</f>
        <v>330100200002000</v>
      </c>
      <c r="AB785" s="419" t="str">
        <f>VLOOKUP(H785,'Fund Utilization Report'!$A$4:$U$1800,15,FALSE)</f>
        <v>OTOP - Next Generation</v>
      </c>
      <c r="AC785" s="406"/>
      <c r="AD785" s="403"/>
      <c r="AE785" s="406"/>
      <c r="AF785" s="406"/>
      <c r="AG785" s="407"/>
      <c r="AH785" s="407"/>
    </row>
    <row r="786" spans="1:34" s="411" customFormat="1">
      <c r="A786" s="405" t="s">
        <v>942</v>
      </c>
      <c r="B786" s="405" t="s">
        <v>945</v>
      </c>
      <c r="C786" s="402">
        <v>44243</v>
      </c>
      <c r="D786" s="403" t="s">
        <v>1028</v>
      </c>
      <c r="E786" s="404" t="s">
        <v>1204</v>
      </c>
      <c r="F786" s="405">
        <v>0.41111111111110998</v>
      </c>
      <c r="G786" s="405">
        <v>0.41180555555555598</v>
      </c>
      <c r="H786" s="405" t="s">
        <v>982</v>
      </c>
      <c r="I786" s="416">
        <v>783</v>
      </c>
      <c r="J786" s="405" t="str">
        <f>IFERROR(VLOOKUP(I786,'Chart of accounts'!A:H,2,FALSE),"")</f>
        <v>50299030 00</v>
      </c>
      <c r="K786" s="405" t="str">
        <f>IFERROR(VLOOKUP(I786,'Chart of accounts'!A:H,3,FALSE),"")</f>
        <v>Representation Expenses</v>
      </c>
      <c r="L786" s="405" t="str">
        <f>IFERROR(VLOOKUP(I786,'Chart of accounts'!A:H,4,FALSE),"")</f>
        <v>50299030 00 - Representation Expenses (783)</v>
      </c>
      <c r="M786" s="408">
        <v>85</v>
      </c>
      <c r="N786" s="409" t="s">
        <v>823</v>
      </c>
      <c r="O786" s="409" t="s">
        <v>1213</v>
      </c>
      <c r="P786" s="409"/>
      <c r="Q786" s="65">
        <f>56609.67-56609.67</f>
        <v>0</v>
      </c>
      <c r="R786" s="63">
        <f>P786-Q786</f>
        <v>0</v>
      </c>
      <c r="S786" s="63" t="str">
        <f>VLOOKUP(H786,'Fund Utilization Report'!$A$4:$U$1800,13,FALSE)</f>
        <v>MOOE</v>
      </c>
      <c r="T786" s="63" t="str">
        <f>VLOOKUP(H786,'Fund Utilization Report'!$A$4:$U$1800,2,FALSE)</f>
        <v>GAA</v>
      </c>
      <c r="U786" s="63" t="str">
        <f>VLOOKUP(H786,'Fund Utilization Report'!$A$4:$U$1800,3,FALSE)</f>
        <v>FY2021, RA11518</v>
      </c>
      <c r="V786" s="63" t="str">
        <f>VLOOKUP(H786,'Fund Utilization Report'!$A$4:$U$1800,4,FALSE)</f>
        <v>OTOP</v>
      </c>
      <c r="W786" s="63" t="str">
        <f>VLOOKUP(H786,'Fund Utilization Report'!$A$4:$U$1800,5,FALSE)</f>
        <v>01101101</v>
      </c>
      <c r="X786" s="63" t="str">
        <f>VLOOKUP(H786,'Fund Utilization Report'!$A$4:$U$1800,6,FALSE)</f>
        <v>GOP</v>
      </c>
      <c r="Y786" s="417" t="str">
        <f>VLOOKUP(H786,'Fund Utilization Report'!$A$4:$U$1800,7,FALSE)</f>
        <v>MOOE</v>
      </c>
      <c r="Z786" s="418">
        <f>VLOOKUP(H786,'Fund Utilization Report'!$A$4:$U$1800,8,FALSE)</f>
        <v>5020000000</v>
      </c>
      <c r="AA786" s="63" t="str">
        <f>VLOOKUP(H786,'Fund Utilization Report'!$A$4:$U$1800,14,FALSE)</f>
        <v>330100200002000</v>
      </c>
      <c r="AB786" s="419" t="str">
        <f>VLOOKUP(H786,'Fund Utilization Report'!$A$4:$U$1800,15,FALSE)</f>
        <v>OTOP - Next Generation</v>
      </c>
      <c r="AC786" s="406"/>
      <c r="AD786" s="403"/>
      <c r="AE786" s="406"/>
      <c r="AF786" s="406"/>
      <c r="AG786" s="407"/>
      <c r="AH786" s="407"/>
    </row>
    <row r="787" spans="1:34" s="411" customFormat="1">
      <c r="A787" s="405" t="s">
        <v>942</v>
      </c>
      <c r="B787" s="405" t="s">
        <v>945</v>
      </c>
      <c r="C787" s="402">
        <v>44243</v>
      </c>
      <c r="D787" s="403" t="s">
        <v>1028</v>
      </c>
      <c r="E787" s="404" t="s">
        <v>1208</v>
      </c>
      <c r="F787" s="405">
        <v>0.41180555555555598</v>
      </c>
      <c r="G787" s="405">
        <v>0.41250000000000003</v>
      </c>
      <c r="H787" s="405" t="s">
        <v>982</v>
      </c>
      <c r="I787" s="416">
        <v>751</v>
      </c>
      <c r="J787" s="405" t="str">
        <f>IFERROR(VLOOKUP(I787,'Chart of accounts'!A:H,2,FALSE),"")</f>
        <v>50201010 00</v>
      </c>
      <c r="K787" s="405" t="str">
        <f>IFERROR(VLOOKUP(I787,'Chart of accounts'!A:H,3,FALSE),"")</f>
        <v>Traveling Expenses - Local</v>
      </c>
      <c r="L787" s="405" t="str">
        <f>IFERROR(VLOOKUP(I787,'Chart of accounts'!A:H,4,FALSE),"")</f>
        <v>50201010 00 - Traveling Expenses - Local (751)</v>
      </c>
      <c r="M787" s="408">
        <v>67</v>
      </c>
      <c r="N787" s="409" t="s">
        <v>822</v>
      </c>
      <c r="O787" s="409" t="s">
        <v>1213</v>
      </c>
      <c r="P787" s="409"/>
      <c r="Q787" s="65">
        <f>50000-50000</f>
        <v>0</v>
      </c>
      <c r="R787" s="63">
        <f t="shared" si="19"/>
        <v>0</v>
      </c>
      <c r="S787" s="63" t="str">
        <f>VLOOKUP(H787,'Fund Utilization Report'!$A$4:$U$1800,13,FALSE)</f>
        <v>MOOE</v>
      </c>
      <c r="T787" s="63" t="str">
        <f>VLOOKUP(H787,'Fund Utilization Report'!$A$4:$U$1800,2,FALSE)</f>
        <v>GAA</v>
      </c>
      <c r="U787" s="63" t="str">
        <f>VLOOKUP(H787,'Fund Utilization Report'!$A$4:$U$1800,3,FALSE)</f>
        <v>FY2021, RA11518</v>
      </c>
      <c r="V787" s="63" t="str">
        <f>VLOOKUP(H787,'Fund Utilization Report'!$A$4:$U$1800,4,FALSE)</f>
        <v>OTOP</v>
      </c>
      <c r="W787" s="63" t="str">
        <f>VLOOKUP(H787,'Fund Utilization Report'!$A$4:$U$1800,5,FALSE)</f>
        <v>01101101</v>
      </c>
      <c r="X787" s="63" t="str">
        <f>VLOOKUP(H787,'Fund Utilization Report'!$A$4:$U$1800,6,FALSE)</f>
        <v>GOP</v>
      </c>
      <c r="Y787" s="417" t="str">
        <f>VLOOKUP(H787,'Fund Utilization Report'!$A$4:$U$1800,7,FALSE)</f>
        <v>MOOE</v>
      </c>
      <c r="Z787" s="418">
        <f>VLOOKUP(H787,'Fund Utilization Report'!$A$4:$U$1800,8,FALSE)</f>
        <v>5020000000</v>
      </c>
      <c r="AA787" s="63" t="str">
        <f>VLOOKUP(H787,'Fund Utilization Report'!$A$4:$U$1800,14,FALSE)</f>
        <v>330100200002000</v>
      </c>
      <c r="AB787" s="419" t="str">
        <f>VLOOKUP(H787,'Fund Utilization Report'!$A$4:$U$1800,15,FALSE)</f>
        <v>OTOP - Next Generation</v>
      </c>
      <c r="AC787" s="406"/>
      <c r="AD787" s="403"/>
      <c r="AE787" s="406"/>
      <c r="AF787" s="406"/>
      <c r="AG787" s="407"/>
      <c r="AH787" s="407"/>
    </row>
    <row r="788" spans="1:34" s="411" customFormat="1">
      <c r="A788" s="405" t="s">
        <v>942</v>
      </c>
      <c r="B788" s="405" t="s">
        <v>945</v>
      </c>
      <c r="C788" s="402">
        <v>44243</v>
      </c>
      <c r="D788" s="403" t="s">
        <v>1028</v>
      </c>
      <c r="E788" s="404" t="s">
        <v>1208</v>
      </c>
      <c r="F788" s="405">
        <v>0.41180555555555598</v>
      </c>
      <c r="G788" s="405">
        <v>0.41250000000000003</v>
      </c>
      <c r="H788" s="405" t="s">
        <v>982</v>
      </c>
      <c r="I788" s="416">
        <v>780</v>
      </c>
      <c r="J788" s="405" t="str">
        <f>IFERROR(VLOOKUP(I788,'Chart of accounts'!A:H,2,FALSE),"")</f>
        <v>50299010 00</v>
      </c>
      <c r="K788" s="405" t="str">
        <f>IFERROR(VLOOKUP(I788,'Chart of accounts'!A:H,3,FALSE),"")</f>
        <v>Advertising Expenses</v>
      </c>
      <c r="L788" s="405" t="str">
        <f>IFERROR(VLOOKUP(I788,'Chart of accounts'!A:H,4,FALSE),"")</f>
        <v>50299010 00 - Advertising Expenses (780)</v>
      </c>
      <c r="M788" s="408">
        <v>67</v>
      </c>
      <c r="N788" s="409" t="s">
        <v>822</v>
      </c>
      <c r="O788" s="409" t="s">
        <v>1213</v>
      </c>
      <c r="P788" s="409"/>
      <c r="Q788" s="65">
        <f>50000-50000</f>
        <v>0</v>
      </c>
      <c r="R788" s="63">
        <f>P788-Q788</f>
        <v>0</v>
      </c>
      <c r="S788" s="63" t="str">
        <f>VLOOKUP(H788,'Fund Utilization Report'!$A$4:$U$1800,13,FALSE)</f>
        <v>MOOE</v>
      </c>
      <c r="T788" s="63" t="str">
        <f>VLOOKUP(H788,'Fund Utilization Report'!$A$4:$U$1800,2,FALSE)</f>
        <v>GAA</v>
      </c>
      <c r="U788" s="63" t="str">
        <f>VLOOKUP(H788,'Fund Utilization Report'!$A$4:$U$1800,3,FALSE)</f>
        <v>FY2021, RA11518</v>
      </c>
      <c r="V788" s="63" t="str">
        <f>VLOOKUP(H788,'Fund Utilization Report'!$A$4:$U$1800,4,FALSE)</f>
        <v>OTOP</v>
      </c>
      <c r="W788" s="63" t="str">
        <f>VLOOKUP(H788,'Fund Utilization Report'!$A$4:$U$1800,5,FALSE)</f>
        <v>01101101</v>
      </c>
      <c r="X788" s="63" t="str">
        <f>VLOOKUP(H788,'Fund Utilization Report'!$A$4:$U$1800,6,FALSE)</f>
        <v>GOP</v>
      </c>
      <c r="Y788" s="417" t="str">
        <f>VLOOKUP(H788,'Fund Utilization Report'!$A$4:$U$1800,7,FALSE)</f>
        <v>MOOE</v>
      </c>
      <c r="Z788" s="418">
        <f>VLOOKUP(H788,'Fund Utilization Report'!$A$4:$U$1800,8,FALSE)</f>
        <v>5020000000</v>
      </c>
      <c r="AA788" s="63" t="str">
        <f>VLOOKUP(H788,'Fund Utilization Report'!$A$4:$U$1800,14,FALSE)</f>
        <v>330100200002000</v>
      </c>
      <c r="AB788" s="419" t="str">
        <f>VLOOKUP(H788,'Fund Utilization Report'!$A$4:$U$1800,15,FALSE)</f>
        <v>OTOP - Next Generation</v>
      </c>
      <c r="AC788" s="406"/>
      <c r="AD788" s="403"/>
      <c r="AE788" s="406"/>
      <c r="AF788" s="406"/>
      <c r="AG788" s="407"/>
      <c r="AH788" s="407"/>
    </row>
    <row r="789" spans="1:34" s="411" customFormat="1">
      <c r="A789" s="405" t="s">
        <v>942</v>
      </c>
      <c r="B789" s="405" t="s">
        <v>945</v>
      </c>
      <c r="C789" s="402">
        <v>44243</v>
      </c>
      <c r="D789" s="403" t="s">
        <v>1028</v>
      </c>
      <c r="E789" s="404" t="s">
        <v>1208</v>
      </c>
      <c r="F789" s="405">
        <v>0.41180555555555598</v>
      </c>
      <c r="G789" s="405">
        <v>0.41250000000000003</v>
      </c>
      <c r="H789" s="405" t="s">
        <v>982</v>
      </c>
      <c r="I789" s="416">
        <v>781</v>
      </c>
      <c r="J789" s="405" t="str">
        <f>IFERROR(VLOOKUP(I789,'Chart of accounts'!A:H,2,FALSE),"")</f>
        <v>50299020 00</v>
      </c>
      <c r="K789" s="405" t="str">
        <f>IFERROR(VLOOKUP(I789,'Chart of accounts'!A:H,3,FALSE),"")</f>
        <v>Printing and Binding Expenses</v>
      </c>
      <c r="L789" s="405" t="str">
        <f>IFERROR(VLOOKUP(I789,'Chart of accounts'!A:H,4,FALSE),"")</f>
        <v>50299020 00 - Printing and Binding Expenses (781)</v>
      </c>
      <c r="M789" s="408">
        <v>67</v>
      </c>
      <c r="N789" s="409" t="s">
        <v>822</v>
      </c>
      <c r="O789" s="409" t="s">
        <v>1213</v>
      </c>
      <c r="P789" s="409"/>
      <c r="Q789" s="65">
        <f>65000-65000</f>
        <v>0</v>
      </c>
      <c r="R789" s="63">
        <f>P789-Q789</f>
        <v>0</v>
      </c>
      <c r="S789" s="63" t="str">
        <f>VLOOKUP(H789,'Fund Utilization Report'!$A$4:$U$1800,13,FALSE)</f>
        <v>MOOE</v>
      </c>
      <c r="T789" s="63" t="str">
        <f>VLOOKUP(H789,'Fund Utilization Report'!$A$4:$U$1800,2,FALSE)</f>
        <v>GAA</v>
      </c>
      <c r="U789" s="63" t="str">
        <f>VLOOKUP(H789,'Fund Utilization Report'!$A$4:$U$1800,3,FALSE)</f>
        <v>FY2021, RA11518</v>
      </c>
      <c r="V789" s="63" t="str">
        <f>VLOOKUP(H789,'Fund Utilization Report'!$A$4:$U$1800,4,FALSE)</f>
        <v>OTOP</v>
      </c>
      <c r="W789" s="63" t="str">
        <f>VLOOKUP(H789,'Fund Utilization Report'!$A$4:$U$1800,5,FALSE)</f>
        <v>01101101</v>
      </c>
      <c r="X789" s="63" t="str">
        <f>VLOOKUP(H789,'Fund Utilization Report'!$A$4:$U$1800,6,FALSE)</f>
        <v>GOP</v>
      </c>
      <c r="Y789" s="417" t="str">
        <f>VLOOKUP(H789,'Fund Utilization Report'!$A$4:$U$1800,7,FALSE)</f>
        <v>MOOE</v>
      </c>
      <c r="Z789" s="418">
        <f>VLOOKUP(H789,'Fund Utilization Report'!$A$4:$U$1800,8,FALSE)</f>
        <v>5020000000</v>
      </c>
      <c r="AA789" s="63" t="str">
        <f>VLOOKUP(H789,'Fund Utilization Report'!$A$4:$U$1800,14,FALSE)</f>
        <v>330100200002000</v>
      </c>
      <c r="AB789" s="419" t="str">
        <f>VLOOKUP(H789,'Fund Utilization Report'!$A$4:$U$1800,15,FALSE)</f>
        <v>OTOP - Next Generation</v>
      </c>
      <c r="AC789" s="406"/>
      <c r="AD789" s="403"/>
      <c r="AE789" s="406"/>
      <c r="AF789" s="406"/>
      <c r="AG789" s="407"/>
      <c r="AH789" s="407"/>
    </row>
    <row r="790" spans="1:34" s="411" customFormat="1">
      <c r="A790" s="405" t="s">
        <v>942</v>
      </c>
      <c r="B790" s="405" t="s">
        <v>945</v>
      </c>
      <c r="C790" s="402">
        <v>44243</v>
      </c>
      <c r="D790" s="403" t="s">
        <v>1028</v>
      </c>
      <c r="E790" s="404" t="s">
        <v>1208</v>
      </c>
      <c r="F790" s="405">
        <v>0.41180555555555598</v>
      </c>
      <c r="G790" s="405">
        <v>0.41250000000000003</v>
      </c>
      <c r="H790" s="405" t="s">
        <v>982</v>
      </c>
      <c r="I790" s="416">
        <v>783</v>
      </c>
      <c r="J790" s="405" t="str">
        <f>IFERROR(VLOOKUP(I790,'Chart of accounts'!A:H,2,FALSE),"")</f>
        <v>50299030 00</v>
      </c>
      <c r="K790" s="405" t="str">
        <f>IFERROR(VLOOKUP(I790,'Chart of accounts'!A:H,3,FALSE),"")</f>
        <v>Representation Expenses</v>
      </c>
      <c r="L790" s="405" t="str">
        <f>IFERROR(VLOOKUP(I790,'Chart of accounts'!A:H,4,FALSE),"")</f>
        <v>50299030 00 - Representation Expenses (783)</v>
      </c>
      <c r="M790" s="408">
        <v>67</v>
      </c>
      <c r="N790" s="409" t="s">
        <v>822</v>
      </c>
      <c r="O790" s="409" t="s">
        <v>1213</v>
      </c>
      <c r="P790" s="409"/>
      <c r="Q790" s="65">
        <f>47249.48-47249.48</f>
        <v>0</v>
      </c>
      <c r="R790" s="63">
        <f>P790-Q790</f>
        <v>0</v>
      </c>
      <c r="S790" s="63" t="str">
        <f>VLOOKUP(H790,'Fund Utilization Report'!$A$4:$U$1800,13,FALSE)</f>
        <v>MOOE</v>
      </c>
      <c r="T790" s="63" t="str">
        <f>VLOOKUP(H790,'Fund Utilization Report'!$A$4:$U$1800,2,FALSE)</f>
        <v>GAA</v>
      </c>
      <c r="U790" s="63" t="str">
        <f>VLOOKUP(H790,'Fund Utilization Report'!$A$4:$U$1800,3,FALSE)</f>
        <v>FY2021, RA11518</v>
      </c>
      <c r="V790" s="63" t="str">
        <f>VLOOKUP(H790,'Fund Utilization Report'!$A$4:$U$1800,4,FALSE)</f>
        <v>OTOP</v>
      </c>
      <c r="W790" s="63" t="str">
        <f>VLOOKUP(H790,'Fund Utilization Report'!$A$4:$U$1800,5,FALSE)</f>
        <v>01101101</v>
      </c>
      <c r="X790" s="63" t="str">
        <f>VLOOKUP(H790,'Fund Utilization Report'!$A$4:$U$1800,6,FALSE)</f>
        <v>GOP</v>
      </c>
      <c r="Y790" s="417" t="str">
        <f>VLOOKUP(H790,'Fund Utilization Report'!$A$4:$U$1800,7,FALSE)</f>
        <v>MOOE</v>
      </c>
      <c r="Z790" s="418">
        <f>VLOOKUP(H790,'Fund Utilization Report'!$A$4:$U$1800,8,FALSE)</f>
        <v>5020000000</v>
      </c>
      <c r="AA790" s="63" t="str">
        <f>VLOOKUP(H790,'Fund Utilization Report'!$A$4:$U$1800,14,FALSE)</f>
        <v>330100200002000</v>
      </c>
      <c r="AB790" s="419" t="str">
        <f>VLOOKUP(H790,'Fund Utilization Report'!$A$4:$U$1800,15,FALSE)</f>
        <v>OTOP - Next Generation</v>
      </c>
      <c r="AC790" s="406"/>
      <c r="AD790" s="403"/>
      <c r="AE790" s="406"/>
      <c r="AF790" s="406"/>
      <c r="AG790" s="407"/>
      <c r="AH790" s="407"/>
    </row>
    <row r="791" spans="1:34" s="411" customFormat="1">
      <c r="A791" s="405" t="s">
        <v>942</v>
      </c>
      <c r="B791" s="405" t="s">
        <v>945</v>
      </c>
      <c r="C791" s="402">
        <v>44243</v>
      </c>
      <c r="D791" s="403" t="s">
        <v>1028</v>
      </c>
      <c r="E791" s="404" t="s">
        <v>1209</v>
      </c>
      <c r="F791" s="405">
        <v>0.41250000000000003</v>
      </c>
      <c r="G791" s="405">
        <v>0.41319444444444442</v>
      </c>
      <c r="H791" s="405" t="s">
        <v>982</v>
      </c>
      <c r="I791" s="416">
        <v>751</v>
      </c>
      <c r="J791" s="405" t="str">
        <f>IFERROR(VLOOKUP(I791,'Chart of accounts'!A:H,2,FALSE),"")</f>
        <v>50201010 00</v>
      </c>
      <c r="K791" s="405" t="str">
        <f>IFERROR(VLOOKUP(I791,'Chart of accounts'!A:H,3,FALSE),"")</f>
        <v>Traveling Expenses - Local</v>
      </c>
      <c r="L791" s="405" t="str">
        <f>IFERROR(VLOOKUP(I791,'Chart of accounts'!A:H,4,FALSE),"")</f>
        <v>50201010 00 - Traveling Expenses - Local (751)</v>
      </c>
      <c r="M791" s="408">
        <v>68</v>
      </c>
      <c r="N791" s="409" t="s">
        <v>821</v>
      </c>
      <c r="O791" s="409" t="s">
        <v>1213</v>
      </c>
      <c r="P791" s="409"/>
      <c r="Q791" s="65">
        <f>50000-50000</f>
        <v>0</v>
      </c>
      <c r="R791" s="63">
        <f t="shared" si="19"/>
        <v>0</v>
      </c>
      <c r="S791" s="63" t="str">
        <f>VLOOKUP(H791,'Fund Utilization Report'!$A$4:$U$1800,13,FALSE)</f>
        <v>MOOE</v>
      </c>
      <c r="T791" s="63" t="str">
        <f>VLOOKUP(H791,'Fund Utilization Report'!$A$4:$U$1800,2,FALSE)</f>
        <v>GAA</v>
      </c>
      <c r="U791" s="63" t="str">
        <f>VLOOKUP(H791,'Fund Utilization Report'!$A$4:$U$1800,3,FALSE)</f>
        <v>FY2021, RA11518</v>
      </c>
      <c r="V791" s="63" t="str">
        <f>VLOOKUP(H791,'Fund Utilization Report'!$A$4:$U$1800,4,FALSE)</f>
        <v>OTOP</v>
      </c>
      <c r="W791" s="63" t="str">
        <f>VLOOKUP(H791,'Fund Utilization Report'!$A$4:$U$1800,5,FALSE)</f>
        <v>01101101</v>
      </c>
      <c r="X791" s="63" t="str">
        <f>VLOOKUP(H791,'Fund Utilization Report'!$A$4:$U$1800,6,FALSE)</f>
        <v>GOP</v>
      </c>
      <c r="Y791" s="417" t="str">
        <f>VLOOKUP(H791,'Fund Utilization Report'!$A$4:$U$1800,7,FALSE)</f>
        <v>MOOE</v>
      </c>
      <c r="Z791" s="418">
        <f>VLOOKUP(H791,'Fund Utilization Report'!$A$4:$U$1800,8,FALSE)</f>
        <v>5020000000</v>
      </c>
      <c r="AA791" s="63" t="str">
        <f>VLOOKUP(H791,'Fund Utilization Report'!$A$4:$U$1800,14,FALSE)</f>
        <v>330100200002000</v>
      </c>
      <c r="AB791" s="419" t="str">
        <f>VLOOKUP(H791,'Fund Utilization Report'!$A$4:$U$1800,15,FALSE)</f>
        <v>OTOP - Next Generation</v>
      </c>
      <c r="AC791" s="406"/>
      <c r="AD791" s="403"/>
      <c r="AE791" s="406"/>
      <c r="AF791" s="406"/>
      <c r="AG791" s="407"/>
      <c r="AH791" s="407"/>
    </row>
    <row r="792" spans="1:34" s="411" customFormat="1">
      <c r="A792" s="405" t="s">
        <v>942</v>
      </c>
      <c r="B792" s="405" t="s">
        <v>945</v>
      </c>
      <c r="C792" s="402">
        <v>44243</v>
      </c>
      <c r="D792" s="403" t="s">
        <v>1028</v>
      </c>
      <c r="E792" s="404" t="s">
        <v>1209</v>
      </c>
      <c r="F792" s="405">
        <v>0.41250000000000003</v>
      </c>
      <c r="G792" s="405">
        <v>0.41319444444444442</v>
      </c>
      <c r="H792" s="405" t="s">
        <v>982</v>
      </c>
      <c r="I792" s="416">
        <v>780</v>
      </c>
      <c r="J792" s="405" t="str">
        <f>IFERROR(VLOOKUP(I792,'Chart of accounts'!A:H,2,FALSE),"")</f>
        <v>50299010 00</v>
      </c>
      <c r="K792" s="405" t="str">
        <f>IFERROR(VLOOKUP(I792,'Chart of accounts'!A:H,3,FALSE),"")</f>
        <v>Advertising Expenses</v>
      </c>
      <c r="L792" s="405" t="str">
        <f>IFERROR(VLOOKUP(I792,'Chart of accounts'!A:H,4,FALSE),"")</f>
        <v>50299010 00 - Advertising Expenses (780)</v>
      </c>
      <c r="M792" s="408">
        <v>68</v>
      </c>
      <c r="N792" s="409" t="s">
        <v>821</v>
      </c>
      <c r="O792" s="409" t="s">
        <v>1213</v>
      </c>
      <c r="P792" s="409"/>
      <c r="Q792" s="65">
        <f>50000-50000</f>
        <v>0</v>
      </c>
      <c r="R792" s="63">
        <f>P792-Q792</f>
        <v>0</v>
      </c>
      <c r="S792" s="63" t="str">
        <f>VLOOKUP(H792,'Fund Utilization Report'!$A$4:$U$1800,13,FALSE)</f>
        <v>MOOE</v>
      </c>
      <c r="T792" s="63" t="str">
        <f>VLOOKUP(H792,'Fund Utilization Report'!$A$4:$U$1800,2,FALSE)</f>
        <v>GAA</v>
      </c>
      <c r="U792" s="63" t="str">
        <f>VLOOKUP(H792,'Fund Utilization Report'!$A$4:$U$1800,3,FALSE)</f>
        <v>FY2021, RA11518</v>
      </c>
      <c r="V792" s="63" t="str">
        <f>VLOOKUP(H792,'Fund Utilization Report'!$A$4:$U$1800,4,FALSE)</f>
        <v>OTOP</v>
      </c>
      <c r="W792" s="63" t="str">
        <f>VLOOKUP(H792,'Fund Utilization Report'!$A$4:$U$1800,5,FALSE)</f>
        <v>01101101</v>
      </c>
      <c r="X792" s="63" t="str">
        <f>VLOOKUP(H792,'Fund Utilization Report'!$A$4:$U$1800,6,FALSE)</f>
        <v>GOP</v>
      </c>
      <c r="Y792" s="417" t="str">
        <f>VLOOKUP(H792,'Fund Utilization Report'!$A$4:$U$1800,7,FALSE)</f>
        <v>MOOE</v>
      </c>
      <c r="Z792" s="418">
        <f>VLOOKUP(H792,'Fund Utilization Report'!$A$4:$U$1800,8,FALSE)</f>
        <v>5020000000</v>
      </c>
      <c r="AA792" s="63" t="str">
        <f>VLOOKUP(H792,'Fund Utilization Report'!$A$4:$U$1800,14,FALSE)</f>
        <v>330100200002000</v>
      </c>
      <c r="AB792" s="419" t="str">
        <f>VLOOKUP(H792,'Fund Utilization Report'!$A$4:$U$1800,15,FALSE)</f>
        <v>OTOP - Next Generation</v>
      </c>
      <c r="AC792" s="406"/>
      <c r="AD792" s="403"/>
      <c r="AE792" s="406"/>
      <c r="AF792" s="406"/>
      <c r="AG792" s="407"/>
      <c r="AH792" s="407"/>
    </row>
    <row r="793" spans="1:34" s="411" customFormat="1">
      <c r="A793" s="405" t="s">
        <v>942</v>
      </c>
      <c r="B793" s="405" t="s">
        <v>945</v>
      </c>
      <c r="C793" s="402">
        <v>44243</v>
      </c>
      <c r="D793" s="403" t="s">
        <v>1028</v>
      </c>
      <c r="E793" s="404" t="s">
        <v>1209</v>
      </c>
      <c r="F793" s="405">
        <v>0.41250000000000003</v>
      </c>
      <c r="G793" s="405">
        <v>0.41319444444444442</v>
      </c>
      <c r="H793" s="405" t="s">
        <v>982</v>
      </c>
      <c r="I793" s="416">
        <v>781</v>
      </c>
      <c r="J793" s="405" t="str">
        <f>IFERROR(VLOOKUP(I793,'Chart of accounts'!A:H,2,FALSE),"")</f>
        <v>50299020 00</v>
      </c>
      <c r="K793" s="405" t="str">
        <f>IFERROR(VLOOKUP(I793,'Chart of accounts'!A:H,3,FALSE),"")</f>
        <v>Printing and Binding Expenses</v>
      </c>
      <c r="L793" s="405" t="str">
        <f>IFERROR(VLOOKUP(I793,'Chart of accounts'!A:H,4,FALSE),"")</f>
        <v>50299020 00 - Printing and Binding Expenses (781)</v>
      </c>
      <c r="M793" s="408">
        <v>68</v>
      </c>
      <c r="N793" s="409" t="s">
        <v>821</v>
      </c>
      <c r="O793" s="409" t="s">
        <v>1213</v>
      </c>
      <c r="P793" s="409"/>
      <c r="Q793" s="65">
        <f>65000-65000</f>
        <v>0</v>
      </c>
      <c r="R793" s="63">
        <f>P793-Q793</f>
        <v>0</v>
      </c>
      <c r="S793" s="63" t="str">
        <f>VLOOKUP(H793,'Fund Utilization Report'!$A$4:$U$1800,13,FALSE)</f>
        <v>MOOE</v>
      </c>
      <c r="T793" s="63" t="str">
        <f>VLOOKUP(H793,'Fund Utilization Report'!$A$4:$U$1800,2,FALSE)</f>
        <v>GAA</v>
      </c>
      <c r="U793" s="63" t="str">
        <f>VLOOKUP(H793,'Fund Utilization Report'!$A$4:$U$1800,3,FALSE)</f>
        <v>FY2021, RA11518</v>
      </c>
      <c r="V793" s="63" t="str">
        <f>VLOOKUP(H793,'Fund Utilization Report'!$A$4:$U$1800,4,FALSE)</f>
        <v>OTOP</v>
      </c>
      <c r="W793" s="63" t="str">
        <f>VLOOKUP(H793,'Fund Utilization Report'!$A$4:$U$1800,5,FALSE)</f>
        <v>01101101</v>
      </c>
      <c r="X793" s="63" t="str">
        <f>VLOOKUP(H793,'Fund Utilization Report'!$A$4:$U$1800,6,FALSE)</f>
        <v>GOP</v>
      </c>
      <c r="Y793" s="417" t="str">
        <f>VLOOKUP(H793,'Fund Utilization Report'!$A$4:$U$1800,7,FALSE)</f>
        <v>MOOE</v>
      </c>
      <c r="Z793" s="418">
        <f>VLOOKUP(H793,'Fund Utilization Report'!$A$4:$U$1800,8,FALSE)</f>
        <v>5020000000</v>
      </c>
      <c r="AA793" s="63" t="str">
        <f>VLOOKUP(H793,'Fund Utilization Report'!$A$4:$U$1800,14,FALSE)</f>
        <v>330100200002000</v>
      </c>
      <c r="AB793" s="419" t="str">
        <f>VLOOKUP(H793,'Fund Utilization Report'!$A$4:$U$1800,15,FALSE)</f>
        <v>OTOP - Next Generation</v>
      </c>
      <c r="AC793" s="406"/>
      <c r="AD793" s="403"/>
      <c r="AE793" s="406"/>
      <c r="AF793" s="406"/>
      <c r="AG793" s="407"/>
      <c r="AH793" s="407"/>
    </row>
    <row r="794" spans="1:34" s="411" customFormat="1">
      <c r="A794" s="405" t="s">
        <v>942</v>
      </c>
      <c r="B794" s="405" t="s">
        <v>945</v>
      </c>
      <c r="C794" s="402">
        <v>44243</v>
      </c>
      <c r="D794" s="403" t="s">
        <v>1028</v>
      </c>
      <c r="E794" s="404" t="s">
        <v>1209</v>
      </c>
      <c r="F794" s="405">
        <v>0.41250000000000003</v>
      </c>
      <c r="G794" s="405">
        <v>0.41319444444444442</v>
      </c>
      <c r="H794" s="405" t="s">
        <v>982</v>
      </c>
      <c r="I794" s="416">
        <v>783</v>
      </c>
      <c r="J794" s="405" t="str">
        <f>IFERROR(VLOOKUP(I794,'Chart of accounts'!A:H,2,FALSE),"")</f>
        <v>50299030 00</v>
      </c>
      <c r="K794" s="405" t="str">
        <f>IFERROR(VLOOKUP(I794,'Chart of accounts'!A:H,3,FALSE),"")</f>
        <v>Representation Expenses</v>
      </c>
      <c r="L794" s="405" t="str">
        <f>IFERROR(VLOOKUP(I794,'Chart of accounts'!A:H,4,FALSE),"")</f>
        <v>50299030 00 - Representation Expenses (783)</v>
      </c>
      <c r="M794" s="408">
        <v>68</v>
      </c>
      <c r="N794" s="409" t="s">
        <v>821</v>
      </c>
      <c r="O794" s="409" t="s">
        <v>1213</v>
      </c>
      <c r="P794" s="409"/>
      <c r="Q794" s="65">
        <f>47249.48-47249.48</f>
        <v>0</v>
      </c>
      <c r="R794" s="63">
        <f>P794-Q794</f>
        <v>0</v>
      </c>
      <c r="S794" s="63" t="str">
        <f>VLOOKUP(H794,'Fund Utilization Report'!$A$4:$U$1800,13,FALSE)</f>
        <v>MOOE</v>
      </c>
      <c r="T794" s="63" t="str">
        <f>VLOOKUP(H794,'Fund Utilization Report'!$A$4:$U$1800,2,FALSE)</f>
        <v>GAA</v>
      </c>
      <c r="U794" s="63" t="str">
        <f>VLOOKUP(H794,'Fund Utilization Report'!$A$4:$U$1800,3,FALSE)</f>
        <v>FY2021, RA11518</v>
      </c>
      <c r="V794" s="63" t="str">
        <f>VLOOKUP(H794,'Fund Utilization Report'!$A$4:$U$1800,4,FALSE)</f>
        <v>OTOP</v>
      </c>
      <c r="W794" s="63" t="str">
        <f>VLOOKUP(H794,'Fund Utilization Report'!$A$4:$U$1800,5,FALSE)</f>
        <v>01101101</v>
      </c>
      <c r="X794" s="63" t="str">
        <f>VLOOKUP(H794,'Fund Utilization Report'!$A$4:$U$1800,6,FALSE)</f>
        <v>GOP</v>
      </c>
      <c r="Y794" s="417" t="str">
        <f>VLOOKUP(H794,'Fund Utilization Report'!$A$4:$U$1800,7,FALSE)</f>
        <v>MOOE</v>
      </c>
      <c r="Z794" s="418">
        <f>VLOOKUP(H794,'Fund Utilization Report'!$A$4:$U$1800,8,FALSE)</f>
        <v>5020000000</v>
      </c>
      <c r="AA794" s="63" t="str">
        <f>VLOOKUP(H794,'Fund Utilization Report'!$A$4:$U$1800,14,FALSE)</f>
        <v>330100200002000</v>
      </c>
      <c r="AB794" s="419" t="str">
        <f>VLOOKUP(H794,'Fund Utilization Report'!$A$4:$U$1800,15,FALSE)</f>
        <v>OTOP - Next Generation</v>
      </c>
      <c r="AC794" s="406"/>
      <c r="AD794" s="403"/>
      <c r="AE794" s="406"/>
      <c r="AF794" s="406"/>
      <c r="AG794" s="407"/>
      <c r="AH794" s="407"/>
    </row>
    <row r="795" spans="1:34" s="411" customFormat="1">
      <c r="A795" s="405" t="s">
        <v>942</v>
      </c>
      <c r="B795" s="405" t="s">
        <v>945</v>
      </c>
      <c r="C795" s="402">
        <v>44243</v>
      </c>
      <c r="D795" s="403" t="s">
        <v>1028</v>
      </c>
      <c r="E795" s="404" t="s">
        <v>1210</v>
      </c>
      <c r="F795" s="405">
        <v>0.41319444444444442</v>
      </c>
      <c r="G795" s="405">
        <v>0.41388888888888892</v>
      </c>
      <c r="H795" s="405" t="s">
        <v>982</v>
      </c>
      <c r="I795" s="416">
        <v>751</v>
      </c>
      <c r="J795" s="405" t="str">
        <f>IFERROR(VLOOKUP(I795,'Chart of accounts'!A:H,2,FALSE),"")</f>
        <v>50201010 00</v>
      </c>
      <c r="K795" s="405" t="str">
        <f>IFERROR(VLOOKUP(I795,'Chart of accounts'!A:H,3,FALSE),"")</f>
        <v>Traveling Expenses - Local</v>
      </c>
      <c r="L795" s="405" t="str">
        <f>IFERROR(VLOOKUP(I795,'Chart of accounts'!A:H,4,FALSE),"")</f>
        <v>50201010 00 - Traveling Expenses - Local (751)</v>
      </c>
      <c r="M795" s="408">
        <v>3</v>
      </c>
      <c r="N795" s="409" t="s">
        <v>820</v>
      </c>
      <c r="O795" s="409" t="s">
        <v>1213</v>
      </c>
      <c r="P795" s="409"/>
      <c r="Q795" s="65">
        <f>50000-50000</f>
        <v>0</v>
      </c>
      <c r="R795" s="63">
        <f t="shared" si="19"/>
        <v>0</v>
      </c>
      <c r="S795" s="63" t="str">
        <f>VLOOKUP(H795,'Fund Utilization Report'!$A$4:$U$1800,13,FALSE)</f>
        <v>MOOE</v>
      </c>
      <c r="T795" s="63" t="str">
        <f>VLOOKUP(H795,'Fund Utilization Report'!$A$4:$U$1800,2,FALSE)</f>
        <v>GAA</v>
      </c>
      <c r="U795" s="63" t="str">
        <f>VLOOKUP(H795,'Fund Utilization Report'!$A$4:$U$1800,3,FALSE)</f>
        <v>FY2021, RA11518</v>
      </c>
      <c r="V795" s="63" t="str">
        <f>VLOOKUP(H795,'Fund Utilization Report'!$A$4:$U$1800,4,FALSE)</f>
        <v>OTOP</v>
      </c>
      <c r="W795" s="63" t="str">
        <f>VLOOKUP(H795,'Fund Utilization Report'!$A$4:$U$1800,5,FALSE)</f>
        <v>01101101</v>
      </c>
      <c r="X795" s="63" t="str">
        <f>VLOOKUP(H795,'Fund Utilization Report'!$A$4:$U$1800,6,FALSE)</f>
        <v>GOP</v>
      </c>
      <c r="Y795" s="417" t="str">
        <f>VLOOKUP(H795,'Fund Utilization Report'!$A$4:$U$1800,7,FALSE)</f>
        <v>MOOE</v>
      </c>
      <c r="Z795" s="418">
        <f>VLOOKUP(H795,'Fund Utilization Report'!$A$4:$U$1800,8,FALSE)</f>
        <v>5020000000</v>
      </c>
      <c r="AA795" s="63" t="str">
        <f>VLOOKUP(H795,'Fund Utilization Report'!$A$4:$U$1800,14,FALSE)</f>
        <v>330100200002000</v>
      </c>
      <c r="AB795" s="419" t="str">
        <f>VLOOKUP(H795,'Fund Utilization Report'!$A$4:$U$1800,15,FALSE)</f>
        <v>OTOP - Next Generation</v>
      </c>
      <c r="AC795" s="406"/>
      <c r="AD795" s="403"/>
      <c r="AE795" s="406"/>
      <c r="AF795" s="406"/>
      <c r="AG795" s="407"/>
      <c r="AH795" s="407"/>
    </row>
    <row r="796" spans="1:34" s="411" customFormat="1">
      <c r="A796" s="405" t="s">
        <v>942</v>
      </c>
      <c r="B796" s="405" t="s">
        <v>945</v>
      </c>
      <c r="C796" s="402">
        <v>44243</v>
      </c>
      <c r="D796" s="403" t="s">
        <v>1028</v>
      </c>
      <c r="E796" s="404" t="s">
        <v>1210</v>
      </c>
      <c r="F796" s="405">
        <v>0.41319444444444442</v>
      </c>
      <c r="G796" s="405">
        <v>0.41388888888888892</v>
      </c>
      <c r="H796" s="405" t="s">
        <v>982</v>
      </c>
      <c r="I796" s="416">
        <v>780</v>
      </c>
      <c r="J796" s="405" t="str">
        <f>IFERROR(VLOOKUP(I796,'Chart of accounts'!A:H,2,FALSE),"")</f>
        <v>50299010 00</v>
      </c>
      <c r="K796" s="405" t="str">
        <f>IFERROR(VLOOKUP(I796,'Chart of accounts'!A:H,3,FALSE),"")</f>
        <v>Advertising Expenses</v>
      </c>
      <c r="L796" s="405" t="str">
        <f>IFERROR(VLOOKUP(I796,'Chart of accounts'!A:H,4,FALSE),"")</f>
        <v>50299010 00 - Advertising Expenses (780)</v>
      </c>
      <c r="M796" s="408">
        <v>3</v>
      </c>
      <c r="N796" s="409" t="s">
        <v>820</v>
      </c>
      <c r="O796" s="409" t="s">
        <v>1213</v>
      </c>
      <c r="P796" s="409"/>
      <c r="Q796" s="65">
        <f>50000-50000</f>
        <v>0</v>
      </c>
      <c r="R796" s="63">
        <f>P796-Q796</f>
        <v>0</v>
      </c>
      <c r="S796" s="63" t="str">
        <f>VLOOKUP(H796,'Fund Utilization Report'!$A$4:$U$1800,13,FALSE)</f>
        <v>MOOE</v>
      </c>
      <c r="T796" s="63" t="str">
        <f>VLOOKUP(H796,'Fund Utilization Report'!$A$4:$U$1800,2,FALSE)</f>
        <v>GAA</v>
      </c>
      <c r="U796" s="63" t="str">
        <f>VLOOKUP(H796,'Fund Utilization Report'!$A$4:$U$1800,3,FALSE)</f>
        <v>FY2021, RA11518</v>
      </c>
      <c r="V796" s="63" t="str">
        <f>VLOOKUP(H796,'Fund Utilization Report'!$A$4:$U$1800,4,FALSE)</f>
        <v>OTOP</v>
      </c>
      <c r="W796" s="63" t="str">
        <f>VLOOKUP(H796,'Fund Utilization Report'!$A$4:$U$1800,5,FALSE)</f>
        <v>01101101</v>
      </c>
      <c r="X796" s="63" t="str">
        <f>VLOOKUP(H796,'Fund Utilization Report'!$A$4:$U$1800,6,FALSE)</f>
        <v>GOP</v>
      </c>
      <c r="Y796" s="417" t="str">
        <f>VLOOKUP(H796,'Fund Utilization Report'!$A$4:$U$1800,7,FALSE)</f>
        <v>MOOE</v>
      </c>
      <c r="Z796" s="418">
        <f>VLOOKUP(H796,'Fund Utilization Report'!$A$4:$U$1800,8,FALSE)</f>
        <v>5020000000</v>
      </c>
      <c r="AA796" s="63" t="str">
        <f>VLOOKUP(H796,'Fund Utilization Report'!$A$4:$U$1800,14,FALSE)</f>
        <v>330100200002000</v>
      </c>
      <c r="AB796" s="419" t="str">
        <f>VLOOKUP(H796,'Fund Utilization Report'!$A$4:$U$1800,15,FALSE)</f>
        <v>OTOP - Next Generation</v>
      </c>
      <c r="AC796" s="406"/>
      <c r="AD796" s="403"/>
      <c r="AE796" s="406"/>
      <c r="AF796" s="406"/>
      <c r="AG796" s="407"/>
      <c r="AH796" s="407"/>
    </row>
    <row r="797" spans="1:34" s="411" customFormat="1">
      <c r="A797" s="405" t="s">
        <v>942</v>
      </c>
      <c r="B797" s="405" t="s">
        <v>945</v>
      </c>
      <c r="C797" s="402">
        <v>44243</v>
      </c>
      <c r="D797" s="403" t="s">
        <v>1028</v>
      </c>
      <c r="E797" s="404" t="s">
        <v>1210</v>
      </c>
      <c r="F797" s="405">
        <v>0.41319444444444442</v>
      </c>
      <c r="G797" s="405">
        <v>0.41388888888888892</v>
      </c>
      <c r="H797" s="405" t="s">
        <v>982</v>
      </c>
      <c r="I797" s="416">
        <v>781</v>
      </c>
      <c r="J797" s="405" t="str">
        <f>IFERROR(VLOOKUP(I797,'Chart of accounts'!A:H,2,FALSE),"")</f>
        <v>50299020 00</v>
      </c>
      <c r="K797" s="405" t="str">
        <f>IFERROR(VLOOKUP(I797,'Chart of accounts'!A:H,3,FALSE),"")</f>
        <v>Printing and Binding Expenses</v>
      </c>
      <c r="L797" s="405" t="str">
        <f>IFERROR(VLOOKUP(I797,'Chart of accounts'!A:H,4,FALSE),"")</f>
        <v>50299020 00 - Printing and Binding Expenses (781)</v>
      </c>
      <c r="M797" s="408">
        <v>3</v>
      </c>
      <c r="N797" s="409" t="s">
        <v>820</v>
      </c>
      <c r="O797" s="409" t="s">
        <v>1213</v>
      </c>
      <c r="P797" s="409"/>
      <c r="Q797" s="65">
        <f>65000-65000</f>
        <v>0</v>
      </c>
      <c r="R797" s="63">
        <f>P797-Q797</f>
        <v>0</v>
      </c>
      <c r="S797" s="63" t="str">
        <f>VLOOKUP(H797,'Fund Utilization Report'!$A$4:$U$1800,13,FALSE)</f>
        <v>MOOE</v>
      </c>
      <c r="T797" s="63" t="str">
        <f>VLOOKUP(H797,'Fund Utilization Report'!$A$4:$U$1800,2,FALSE)</f>
        <v>GAA</v>
      </c>
      <c r="U797" s="63" t="str">
        <f>VLOOKUP(H797,'Fund Utilization Report'!$A$4:$U$1800,3,FALSE)</f>
        <v>FY2021, RA11518</v>
      </c>
      <c r="V797" s="63" t="str">
        <f>VLOOKUP(H797,'Fund Utilization Report'!$A$4:$U$1800,4,FALSE)</f>
        <v>OTOP</v>
      </c>
      <c r="W797" s="63" t="str">
        <f>VLOOKUP(H797,'Fund Utilization Report'!$A$4:$U$1800,5,FALSE)</f>
        <v>01101101</v>
      </c>
      <c r="X797" s="63" t="str">
        <f>VLOOKUP(H797,'Fund Utilization Report'!$A$4:$U$1800,6,FALSE)</f>
        <v>GOP</v>
      </c>
      <c r="Y797" s="417" t="str">
        <f>VLOOKUP(H797,'Fund Utilization Report'!$A$4:$U$1800,7,FALSE)</f>
        <v>MOOE</v>
      </c>
      <c r="Z797" s="418">
        <f>VLOOKUP(H797,'Fund Utilization Report'!$A$4:$U$1800,8,FALSE)</f>
        <v>5020000000</v>
      </c>
      <c r="AA797" s="63" t="str">
        <f>VLOOKUP(H797,'Fund Utilization Report'!$A$4:$U$1800,14,FALSE)</f>
        <v>330100200002000</v>
      </c>
      <c r="AB797" s="419" t="str">
        <f>VLOOKUP(H797,'Fund Utilization Report'!$A$4:$U$1800,15,FALSE)</f>
        <v>OTOP - Next Generation</v>
      </c>
      <c r="AC797" s="406"/>
      <c r="AD797" s="403"/>
      <c r="AE797" s="406"/>
      <c r="AF797" s="406"/>
      <c r="AG797" s="407"/>
      <c r="AH797" s="407"/>
    </row>
    <row r="798" spans="1:34" s="411" customFormat="1">
      <c r="A798" s="405" t="s">
        <v>942</v>
      </c>
      <c r="B798" s="405" t="s">
        <v>945</v>
      </c>
      <c r="C798" s="402">
        <v>44243</v>
      </c>
      <c r="D798" s="403" t="s">
        <v>1028</v>
      </c>
      <c r="E798" s="404" t="s">
        <v>1210</v>
      </c>
      <c r="F798" s="405">
        <v>0.41319444444444442</v>
      </c>
      <c r="G798" s="405">
        <v>0.41388888888888892</v>
      </c>
      <c r="H798" s="405" t="s">
        <v>982</v>
      </c>
      <c r="I798" s="416">
        <v>783</v>
      </c>
      <c r="J798" s="405" t="str">
        <f>IFERROR(VLOOKUP(I798,'Chart of accounts'!A:H,2,FALSE),"")</f>
        <v>50299030 00</v>
      </c>
      <c r="K798" s="405" t="str">
        <f>IFERROR(VLOOKUP(I798,'Chart of accounts'!A:H,3,FALSE),"")</f>
        <v>Representation Expenses</v>
      </c>
      <c r="L798" s="405" t="str">
        <f>IFERROR(VLOOKUP(I798,'Chart of accounts'!A:H,4,FALSE),"")</f>
        <v>50299030 00 - Representation Expenses (783)</v>
      </c>
      <c r="M798" s="408">
        <v>3</v>
      </c>
      <c r="N798" s="409" t="s">
        <v>820</v>
      </c>
      <c r="O798" s="409" t="s">
        <v>1213</v>
      </c>
      <c r="P798" s="409"/>
      <c r="Q798" s="65">
        <f>38249.3-38249.3</f>
        <v>0</v>
      </c>
      <c r="R798" s="63">
        <f>P798-Q798</f>
        <v>0</v>
      </c>
      <c r="S798" s="63" t="str">
        <f>VLOOKUP(H798,'Fund Utilization Report'!$A$4:$U$1800,13,FALSE)</f>
        <v>MOOE</v>
      </c>
      <c r="T798" s="63" t="str">
        <f>VLOOKUP(H798,'Fund Utilization Report'!$A$4:$U$1800,2,FALSE)</f>
        <v>GAA</v>
      </c>
      <c r="U798" s="63" t="str">
        <f>VLOOKUP(H798,'Fund Utilization Report'!$A$4:$U$1800,3,FALSE)</f>
        <v>FY2021, RA11518</v>
      </c>
      <c r="V798" s="63" t="str">
        <f>VLOOKUP(H798,'Fund Utilization Report'!$A$4:$U$1800,4,FALSE)</f>
        <v>OTOP</v>
      </c>
      <c r="W798" s="63" t="str">
        <f>VLOOKUP(H798,'Fund Utilization Report'!$A$4:$U$1800,5,FALSE)</f>
        <v>01101101</v>
      </c>
      <c r="X798" s="63" t="str">
        <f>VLOOKUP(H798,'Fund Utilization Report'!$A$4:$U$1800,6,FALSE)</f>
        <v>GOP</v>
      </c>
      <c r="Y798" s="417" t="str">
        <f>VLOOKUP(H798,'Fund Utilization Report'!$A$4:$U$1800,7,FALSE)</f>
        <v>MOOE</v>
      </c>
      <c r="Z798" s="418">
        <f>VLOOKUP(H798,'Fund Utilization Report'!$A$4:$U$1800,8,FALSE)</f>
        <v>5020000000</v>
      </c>
      <c r="AA798" s="63" t="str">
        <f>VLOOKUP(H798,'Fund Utilization Report'!$A$4:$U$1800,14,FALSE)</f>
        <v>330100200002000</v>
      </c>
      <c r="AB798" s="419" t="str">
        <f>VLOOKUP(H798,'Fund Utilization Report'!$A$4:$U$1800,15,FALSE)</f>
        <v>OTOP - Next Generation</v>
      </c>
      <c r="AC798" s="406"/>
      <c r="AD798" s="403"/>
      <c r="AE798" s="406"/>
      <c r="AF798" s="406"/>
      <c r="AG798" s="407"/>
      <c r="AH798" s="407"/>
    </row>
    <row r="799" spans="1:34" s="411" customFormat="1">
      <c r="A799" s="405" t="s">
        <v>942</v>
      </c>
      <c r="B799" s="405" t="s">
        <v>945</v>
      </c>
      <c r="C799" s="402">
        <v>44243</v>
      </c>
      <c r="D799" s="403" t="s">
        <v>1028</v>
      </c>
      <c r="E799" s="404" t="s">
        <v>1211</v>
      </c>
      <c r="F799" s="405">
        <v>0.41388888888888892</v>
      </c>
      <c r="G799" s="405">
        <v>0.4145833333333333</v>
      </c>
      <c r="H799" s="405" t="s">
        <v>982</v>
      </c>
      <c r="I799" s="416">
        <v>751</v>
      </c>
      <c r="J799" s="405" t="str">
        <f>IFERROR(VLOOKUP(I799,'Chart of accounts'!A:H,2,FALSE),"")</f>
        <v>50201010 00</v>
      </c>
      <c r="K799" s="405" t="str">
        <f>IFERROR(VLOOKUP(I799,'Chart of accounts'!A:H,3,FALSE),"")</f>
        <v>Traveling Expenses - Local</v>
      </c>
      <c r="L799" s="405" t="str">
        <f>IFERROR(VLOOKUP(I799,'Chart of accounts'!A:H,4,FALSE),"")</f>
        <v>50201010 00 - Traveling Expenses - Local (751)</v>
      </c>
      <c r="M799" s="408">
        <v>2</v>
      </c>
      <c r="N799" s="409" t="s">
        <v>818</v>
      </c>
      <c r="O799" s="409" t="s">
        <v>1213</v>
      </c>
      <c r="P799" s="409"/>
      <c r="Q799" s="65">
        <f>50000-50000</f>
        <v>0</v>
      </c>
      <c r="R799" s="63">
        <f t="shared" si="19"/>
        <v>0</v>
      </c>
      <c r="S799" s="63" t="str">
        <f>VLOOKUP(H799,'Fund Utilization Report'!$A$4:$U$1800,13,FALSE)</f>
        <v>MOOE</v>
      </c>
      <c r="T799" s="63" t="str">
        <f>VLOOKUP(H799,'Fund Utilization Report'!$A$4:$U$1800,2,FALSE)</f>
        <v>GAA</v>
      </c>
      <c r="U799" s="63" t="str">
        <f>VLOOKUP(H799,'Fund Utilization Report'!$A$4:$U$1800,3,FALSE)</f>
        <v>FY2021, RA11518</v>
      </c>
      <c r="V799" s="63" t="str">
        <f>VLOOKUP(H799,'Fund Utilization Report'!$A$4:$U$1800,4,FALSE)</f>
        <v>OTOP</v>
      </c>
      <c r="W799" s="63" t="str">
        <f>VLOOKUP(H799,'Fund Utilization Report'!$A$4:$U$1800,5,FALSE)</f>
        <v>01101101</v>
      </c>
      <c r="X799" s="63" t="str">
        <f>VLOOKUP(H799,'Fund Utilization Report'!$A$4:$U$1800,6,FALSE)</f>
        <v>GOP</v>
      </c>
      <c r="Y799" s="417" t="str">
        <f>VLOOKUP(H799,'Fund Utilization Report'!$A$4:$U$1800,7,FALSE)</f>
        <v>MOOE</v>
      </c>
      <c r="Z799" s="418">
        <f>VLOOKUP(H799,'Fund Utilization Report'!$A$4:$U$1800,8,FALSE)</f>
        <v>5020000000</v>
      </c>
      <c r="AA799" s="63" t="str">
        <f>VLOOKUP(H799,'Fund Utilization Report'!$A$4:$U$1800,14,FALSE)</f>
        <v>330100200002000</v>
      </c>
      <c r="AB799" s="419" t="str">
        <f>VLOOKUP(H799,'Fund Utilization Report'!$A$4:$U$1800,15,FALSE)</f>
        <v>OTOP - Next Generation</v>
      </c>
      <c r="AC799" s="406"/>
      <c r="AD799" s="403"/>
      <c r="AE799" s="406"/>
      <c r="AF799" s="406"/>
      <c r="AG799" s="407"/>
      <c r="AH799" s="407"/>
    </row>
    <row r="800" spans="1:34" s="411" customFormat="1">
      <c r="A800" s="405" t="s">
        <v>942</v>
      </c>
      <c r="B800" s="405" t="s">
        <v>945</v>
      </c>
      <c r="C800" s="402">
        <v>44243</v>
      </c>
      <c r="D800" s="403" t="s">
        <v>1028</v>
      </c>
      <c r="E800" s="404" t="s">
        <v>1211</v>
      </c>
      <c r="F800" s="405">
        <v>0.41388888888888892</v>
      </c>
      <c r="G800" s="405">
        <v>0.4145833333333333</v>
      </c>
      <c r="H800" s="405" t="s">
        <v>982</v>
      </c>
      <c r="I800" s="416">
        <v>780</v>
      </c>
      <c r="J800" s="405" t="str">
        <f>IFERROR(VLOOKUP(I800,'Chart of accounts'!A:H,2,FALSE),"")</f>
        <v>50299010 00</v>
      </c>
      <c r="K800" s="405" t="str">
        <f>IFERROR(VLOOKUP(I800,'Chart of accounts'!A:H,3,FALSE),"")</f>
        <v>Advertising Expenses</v>
      </c>
      <c r="L800" s="405" t="str">
        <f>IFERROR(VLOOKUP(I800,'Chart of accounts'!A:H,4,FALSE),"")</f>
        <v>50299010 00 - Advertising Expenses (780)</v>
      </c>
      <c r="M800" s="408">
        <v>2</v>
      </c>
      <c r="N800" s="409" t="s">
        <v>818</v>
      </c>
      <c r="O800" s="409" t="s">
        <v>1213</v>
      </c>
      <c r="P800" s="409"/>
      <c r="Q800" s="65">
        <f>50000-50000</f>
        <v>0</v>
      </c>
      <c r="R800" s="63">
        <f>P800-Q800</f>
        <v>0</v>
      </c>
      <c r="S800" s="63" t="str">
        <f>VLOOKUP(H800,'Fund Utilization Report'!$A$4:$U$1800,13,FALSE)</f>
        <v>MOOE</v>
      </c>
      <c r="T800" s="63" t="str">
        <f>VLOOKUP(H800,'Fund Utilization Report'!$A$4:$U$1800,2,FALSE)</f>
        <v>GAA</v>
      </c>
      <c r="U800" s="63" t="str">
        <f>VLOOKUP(H800,'Fund Utilization Report'!$A$4:$U$1800,3,FALSE)</f>
        <v>FY2021, RA11518</v>
      </c>
      <c r="V800" s="63" t="str">
        <f>VLOOKUP(H800,'Fund Utilization Report'!$A$4:$U$1800,4,FALSE)</f>
        <v>OTOP</v>
      </c>
      <c r="W800" s="63" t="str">
        <f>VLOOKUP(H800,'Fund Utilization Report'!$A$4:$U$1800,5,FALSE)</f>
        <v>01101101</v>
      </c>
      <c r="X800" s="63" t="str">
        <f>VLOOKUP(H800,'Fund Utilization Report'!$A$4:$U$1800,6,FALSE)</f>
        <v>GOP</v>
      </c>
      <c r="Y800" s="417" t="str">
        <f>VLOOKUP(H800,'Fund Utilization Report'!$A$4:$U$1800,7,FALSE)</f>
        <v>MOOE</v>
      </c>
      <c r="Z800" s="418">
        <f>VLOOKUP(H800,'Fund Utilization Report'!$A$4:$U$1800,8,FALSE)</f>
        <v>5020000000</v>
      </c>
      <c r="AA800" s="63" t="str">
        <f>VLOOKUP(H800,'Fund Utilization Report'!$A$4:$U$1800,14,FALSE)</f>
        <v>330100200002000</v>
      </c>
      <c r="AB800" s="419" t="str">
        <f>VLOOKUP(H800,'Fund Utilization Report'!$A$4:$U$1800,15,FALSE)</f>
        <v>OTOP - Next Generation</v>
      </c>
      <c r="AC800" s="406"/>
      <c r="AD800" s="403"/>
      <c r="AE800" s="406"/>
      <c r="AF800" s="406"/>
      <c r="AG800" s="407"/>
      <c r="AH800" s="407"/>
    </row>
    <row r="801" spans="1:34" s="411" customFormat="1">
      <c r="A801" s="405" t="s">
        <v>942</v>
      </c>
      <c r="B801" s="405" t="s">
        <v>945</v>
      </c>
      <c r="C801" s="402">
        <v>44243</v>
      </c>
      <c r="D801" s="403" t="s">
        <v>1028</v>
      </c>
      <c r="E801" s="404" t="s">
        <v>1211</v>
      </c>
      <c r="F801" s="405">
        <v>0.41388888888888892</v>
      </c>
      <c r="G801" s="405">
        <v>0.4145833333333333</v>
      </c>
      <c r="H801" s="405" t="s">
        <v>982</v>
      </c>
      <c r="I801" s="416">
        <v>781</v>
      </c>
      <c r="J801" s="405" t="str">
        <f>IFERROR(VLOOKUP(I801,'Chart of accounts'!A:H,2,FALSE),"")</f>
        <v>50299020 00</v>
      </c>
      <c r="K801" s="405" t="str">
        <f>IFERROR(VLOOKUP(I801,'Chart of accounts'!A:H,3,FALSE),"")</f>
        <v>Printing and Binding Expenses</v>
      </c>
      <c r="L801" s="405" t="str">
        <f>IFERROR(VLOOKUP(I801,'Chart of accounts'!A:H,4,FALSE),"")</f>
        <v>50299020 00 - Printing and Binding Expenses (781)</v>
      </c>
      <c r="M801" s="408">
        <v>2</v>
      </c>
      <c r="N801" s="409" t="s">
        <v>818</v>
      </c>
      <c r="O801" s="409" t="s">
        <v>1213</v>
      </c>
      <c r="P801" s="409"/>
      <c r="Q801" s="65">
        <f>65000-65000</f>
        <v>0</v>
      </c>
      <c r="R801" s="63">
        <f>P801-Q801</f>
        <v>0</v>
      </c>
      <c r="S801" s="63" t="str">
        <f>VLOOKUP(H801,'Fund Utilization Report'!$A$4:$U$1800,13,FALSE)</f>
        <v>MOOE</v>
      </c>
      <c r="T801" s="63" t="str">
        <f>VLOOKUP(H801,'Fund Utilization Report'!$A$4:$U$1800,2,FALSE)</f>
        <v>GAA</v>
      </c>
      <c r="U801" s="63" t="str">
        <f>VLOOKUP(H801,'Fund Utilization Report'!$A$4:$U$1800,3,FALSE)</f>
        <v>FY2021, RA11518</v>
      </c>
      <c r="V801" s="63" t="str">
        <f>VLOOKUP(H801,'Fund Utilization Report'!$A$4:$U$1800,4,FALSE)</f>
        <v>OTOP</v>
      </c>
      <c r="W801" s="63" t="str">
        <f>VLOOKUP(H801,'Fund Utilization Report'!$A$4:$U$1800,5,FALSE)</f>
        <v>01101101</v>
      </c>
      <c r="X801" s="63" t="str">
        <f>VLOOKUP(H801,'Fund Utilization Report'!$A$4:$U$1800,6,FALSE)</f>
        <v>GOP</v>
      </c>
      <c r="Y801" s="417" t="str">
        <f>VLOOKUP(H801,'Fund Utilization Report'!$A$4:$U$1800,7,FALSE)</f>
        <v>MOOE</v>
      </c>
      <c r="Z801" s="418">
        <f>VLOOKUP(H801,'Fund Utilization Report'!$A$4:$U$1800,8,FALSE)</f>
        <v>5020000000</v>
      </c>
      <c r="AA801" s="63" t="str">
        <f>VLOOKUP(H801,'Fund Utilization Report'!$A$4:$U$1800,14,FALSE)</f>
        <v>330100200002000</v>
      </c>
      <c r="AB801" s="419" t="str">
        <f>VLOOKUP(H801,'Fund Utilization Report'!$A$4:$U$1800,15,FALSE)</f>
        <v>OTOP - Next Generation</v>
      </c>
      <c r="AC801" s="406"/>
      <c r="AD801" s="403"/>
      <c r="AE801" s="406"/>
      <c r="AF801" s="406"/>
      <c r="AG801" s="407"/>
      <c r="AH801" s="407"/>
    </row>
    <row r="802" spans="1:34" s="411" customFormat="1">
      <c r="A802" s="405" t="s">
        <v>942</v>
      </c>
      <c r="B802" s="405" t="s">
        <v>945</v>
      </c>
      <c r="C802" s="402">
        <v>44243</v>
      </c>
      <c r="D802" s="403" t="s">
        <v>1028</v>
      </c>
      <c r="E802" s="404" t="s">
        <v>1211</v>
      </c>
      <c r="F802" s="405">
        <v>0.41388888888888892</v>
      </c>
      <c r="G802" s="405">
        <v>0.4145833333333333</v>
      </c>
      <c r="H802" s="405" t="s">
        <v>982</v>
      </c>
      <c r="I802" s="416">
        <v>783</v>
      </c>
      <c r="J802" s="405" t="str">
        <f>IFERROR(VLOOKUP(I802,'Chart of accounts'!A:H,2,FALSE),"")</f>
        <v>50299030 00</v>
      </c>
      <c r="K802" s="405" t="str">
        <f>IFERROR(VLOOKUP(I802,'Chart of accounts'!A:H,3,FALSE),"")</f>
        <v>Representation Expenses</v>
      </c>
      <c r="L802" s="405" t="str">
        <f>IFERROR(VLOOKUP(I802,'Chart of accounts'!A:H,4,FALSE),"")</f>
        <v>50299030 00 - Representation Expenses (783)</v>
      </c>
      <c r="M802" s="408">
        <v>2</v>
      </c>
      <c r="N802" s="409" t="s">
        <v>818</v>
      </c>
      <c r="O802" s="409" t="s">
        <v>1213</v>
      </c>
      <c r="P802" s="409"/>
      <c r="Q802" s="65">
        <f>56609.67-56609.67</f>
        <v>0</v>
      </c>
      <c r="R802" s="63">
        <f>P802-Q802</f>
        <v>0</v>
      </c>
      <c r="S802" s="63" t="str">
        <f>VLOOKUP(H802,'Fund Utilization Report'!$A$4:$U$1800,13,FALSE)</f>
        <v>MOOE</v>
      </c>
      <c r="T802" s="63" t="str">
        <f>VLOOKUP(H802,'Fund Utilization Report'!$A$4:$U$1800,2,FALSE)</f>
        <v>GAA</v>
      </c>
      <c r="U802" s="63" t="str">
        <f>VLOOKUP(H802,'Fund Utilization Report'!$A$4:$U$1800,3,FALSE)</f>
        <v>FY2021, RA11518</v>
      </c>
      <c r="V802" s="63" t="str">
        <f>VLOOKUP(H802,'Fund Utilization Report'!$A$4:$U$1800,4,FALSE)</f>
        <v>OTOP</v>
      </c>
      <c r="W802" s="63" t="str">
        <f>VLOOKUP(H802,'Fund Utilization Report'!$A$4:$U$1800,5,FALSE)</f>
        <v>01101101</v>
      </c>
      <c r="X802" s="63" t="str">
        <f>VLOOKUP(H802,'Fund Utilization Report'!$A$4:$U$1800,6,FALSE)</f>
        <v>GOP</v>
      </c>
      <c r="Y802" s="417" t="str">
        <f>VLOOKUP(H802,'Fund Utilization Report'!$A$4:$U$1800,7,FALSE)</f>
        <v>MOOE</v>
      </c>
      <c r="Z802" s="418">
        <f>VLOOKUP(H802,'Fund Utilization Report'!$A$4:$U$1800,8,FALSE)</f>
        <v>5020000000</v>
      </c>
      <c r="AA802" s="63" t="str">
        <f>VLOOKUP(H802,'Fund Utilization Report'!$A$4:$U$1800,14,FALSE)</f>
        <v>330100200002000</v>
      </c>
      <c r="AB802" s="419" t="str">
        <f>VLOOKUP(H802,'Fund Utilization Report'!$A$4:$U$1800,15,FALSE)</f>
        <v>OTOP - Next Generation</v>
      </c>
      <c r="AC802" s="406"/>
      <c r="AD802" s="403"/>
      <c r="AE802" s="406"/>
      <c r="AF802" s="406"/>
      <c r="AG802" s="407"/>
      <c r="AH802" s="407"/>
    </row>
    <row r="803" spans="1:34" s="32" customFormat="1">
      <c r="A803" s="338" t="s">
        <v>942</v>
      </c>
      <c r="B803" s="338" t="s">
        <v>945</v>
      </c>
      <c r="C803" s="358">
        <v>44243</v>
      </c>
      <c r="D803" s="351" t="s">
        <v>1028</v>
      </c>
      <c r="E803" s="352" t="s">
        <v>1212</v>
      </c>
      <c r="F803" s="338">
        <v>0.4145833333333333</v>
      </c>
      <c r="G803" s="338">
        <v>0.4152777777777778</v>
      </c>
      <c r="H803" s="338" t="s">
        <v>968</v>
      </c>
      <c r="I803" s="353">
        <v>755</v>
      </c>
      <c r="J803" s="338" t="str">
        <f>IFERROR(VLOOKUP(I803,'Chart of accounts'!A:H,2,FALSE),"")</f>
        <v>50203010 00</v>
      </c>
      <c r="K803" s="338" t="str">
        <f>IFERROR(VLOOKUP(I803,'Chart of accounts'!A:H,3,FALSE),"")</f>
        <v>Office Supplies Expenses</v>
      </c>
      <c r="L803" s="338" t="str">
        <f>IFERROR(VLOOKUP(I803,'Chart of accounts'!A:H,4,FALSE),"")</f>
        <v>50203010 00 - Office Supplies Expenses (755)</v>
      </c>
      <c r="M803" s="361" t="s">
        <v>814</v>
      </c>
      <c r="N803" s="355" t="s">
        <v>1214</v>
      </c>
      <c r="O803" s="355" t="s">
        <v>1215</v>
      </c>
      <c r="P803" s="355"/>
      <c r="Q803" s="363">
        <v>22320</v>
      </c>
      <c r="R803" s="319">
        <f t="shared" si="19"/>
        <v>-22320</v>
      </c>
      <c r="S803" s="319" t="str">
        <f>VLOOKUP(H803,'Fund Utilization Report'!$A$4:$U$1800,13,FALSE)</f>
        <v>MOOE</v>
      </c>
      <c r="T803" s="319" t="str">
        <f>VLOOKUP(H803,'Fund Utilization Report'!$A$4:$U$1800,2,FALSE)</f>
        <v>GAA</v>
      </c>
      <c r="U803" s="319" t="str">
        <f>VLOOKUP(H803,'Fund Utilization Report'!$A$4:$U$1800,3,FALSE)</f>
        <v>FY2021, RA11518</v>
      </c>
      <c r="V803" s="319" t="str">
        <f>VLOOKUP(H803,'Fund Utilization Report'!$A$4:$U$1800,4,FALSE)</f>
        <v>OO2</v>
      </c>
      <c r="W803" s="319" t="str">
        <f>VLOOKUP(H803,'Fund Utilization Report'!$A$4:$U$1800,5,FALSE)</f>
        <v>01101101</v>
      </c>
      <c r="X803" s="319" t="str">
        <f>VLOOKUP(H803,'Fund Utilization Report'!$A$4:$U$1800,6,FALSE)</f>
        <v>GOP</v>
      </c>
      <c r="Y803" s="320" t="str">
        <f>VLOOKUP(H803,'Fund Utilization Report'!$A$4:$U$1800,7,FALSE)</f>
        <v>MOOE</v>
      </c>
      <c r="Z803" s="321">
        <f>VLOOKUP(H803,'Fund Utilization Report'!$A$4:$U$1800,8,FALSE)</f>
        <v>5020000000</v>
      </c>
      <c r="AA803" s="319" t="str">
        <f>VLOOKUP(H803,'Fund Utilization Report'!$A$4:$U$1800,14,FALSE)</f>
        <v>320100100001000</v>
      </c>
      <c r="AB803" s="349" t="str">
        <f>VLOOKUP(H803,'Fund Utilization Report'!$A$4:$U$1800,15,FALSE)</f>
        <v>Formulation of Strategic plans,programs, and policies to develop competitve industries</v>
      </c>
      <c r="AC803" s="39"/>
      <c r="AD803" s="34"/>
      <c r="AE803" s="39"/>
      <c r="AF803" s="51"/>
      <c r="AG803" s="40"/>
      <c r="AH803" s="40"/>
    </row>
    <row r="804" spans="1:34" s="32" customFormat="1">
      <c r="A804" s="338" t="s">
        <v>942</v>
      </c>
      <c r="B804" s="338" t="s">
        <v>945</v>
      </c>
      <c r="C804" s="358">
        <v>44243</v>
      </c>
      <c r="D804" s="351" t="s">
        <v>1028</v>
      </c>
      <c r="E804" s="352" t="s">
        <v>1222</v>
      </c>
      <c r="F804" s="338">
        <v>0.73541666666666661</v>
      </c>
      <c r="G804" s="338">
        <v>0.7368055555555556</v>
      </c>
      <c r="H804" s="338" t="s">
        <v>1221</v>
      </c>
      <c r="I804" s="353">
        <v>799</v>
      </c>
      <c r="J804" s="338" t="str">
        <f>IFERROR(VLOOKUP(I804,'Chart of accounts'!A:H,2,FALSE),"")</f>
        <v>50211990 00</v>
      </c>
      <c r="K804" s="338" t="str">
        <f>IFERROR(VLOOKUP(I804,'Chart of accounts'!A:H,3,FALSE),"")</f>
        <v>Other Professional Services</v>
      </c>
      <c r="L804" s="338" t="str">
        <f>IFERROR(VLOOKUP(I804,'Chart of accounts'!A:H,4,FALSE),"")</f>
        <v>50211990 00 - Other Professional Services (799)</v>
      </c>
      <c r="M804" s="361">
        <v>1</v>
      </c>
      <c r="N804" s="355" t="s">
        <v>1030</v>
      </c>
      <c r="O804" s="355" t="s">
        <v>1223</v>
      </c>
      <c r="P804" s="355"/>
      <c r="Q804" s="363">
        <v>144603.29</v>
      </c>
      <c r="R804" s="319">
        <f t="shared" si="19"/>
        <v>-144603.29</v>
      </c>
      <c r="S804" s="319" t="str">
        <f>VLOOKUP(H804,'Fund Utilization Report'!$A$4:$U$1800,13,FALSE)</f>
        <v>MOOE</v>
      </c>
      <c r="T804" s="319" t="str">
        <f>VLOOKUP(H804,'Fund Utilization Report'!$A$4:$U$1800,2,FALSE)</f>
        <v>SAA040</v>
      </c>
      <c r="U804" s="319" t="str">
        <f>VLOOKUP(H804,'Fund Utilization Report'!$A$4:$U$1800,3,FALSE)</f>
        <v>21-02-0040</v>
      </c>
      <c r="V804" s="319" t="str">
        <f>VLOOKUP(H804,'Fund Utilization Report'!$A$4:$U$1800,4,FALSE)</f>
        <v>RAPID GOP</v>
      </c>
      <c r="W804" s="319" t="str">
        <f>VLOOKUP(H804,'Fund Utilization Report'!$A$4:$U$1800,5,FALSE)</f>
        <v>01101101</v>
      </c>
      <c r="X804" s="319" t="str">
        <f>VLOOKUP(H804,'Fund Utilization Report'!$A$4:$U$1800,6,FALSE)</f>
        <v>GOP</v>
      </c>
      <c r="Y804" s="320">
        <f>VLOOKUP(H804,'Fund Utilization Report'!$A$4:$U$1800,7,FALSE)</f>
        <v>799</v>
      </c>
      <c r="Z804" s="321">
        <f>VLOOKUP(H804,'Fund Utilization Report'!$A$4:$U$1800,8,FALSE)</f>
        <v>5021199000</v>
      </c>
      <c r="AA804" s="319" t="str">
        <f>VLOOKUP(H804,'Fund Utilization Report'!$A$4:$U$1800,14,FALSE)</f>
        <v>330100300001000</v>
      </c>
      <c r="AB804" s="349" t="str">
        <f>VLOOKUP(H804,'Fund Utilization Report'!$A$4:$U$1800,15,FALSE)</f>
        <v>Rural Agro Enterprise Partnership for Inclusive Development (RAPID) Growth GOP Continuing</v>
      </c>
      <c r="AC804" s="39"/>
      <c r="AD804" s="34"/>
      <c r="AE804" s="39"/>
      <c r="AF804" s="51"/>
      <c r="AG804" s="40"/>
      <c r="AH804" s="40"/>
    </row>
    <row r="805" spans="1:34" s="32" customFormat="1">
      <c r="A805" s="338" t="s">
        <v>942</v>
      </c>
      <c r="B805" s="338" t="s">
        <v>945</v>
      </c>
      <c r="C805" s="358">
        <v>44244</v>
      </c>
      <c r="D805" s="351" t="s">
        <v>1028</v>
      </c>
      <c r="E805" s="352" t="s">
        <v>1224</v>
      </c>
      <c r="F805" s="338">
        <v>0.55972222222222223</v>
      </c>
      <c r="G805" s="338">
        <v>0.56180555555555556</v>
      </c>
      <c r="H805" s="338" t="s">
        <v>1221</v>
      </c>
      <c r="I805" s="353">
        <v>799</v>
      </c>
      <c r="J805" s="338" t="str">
        <f>IFERROR(VLOOKUP(I805,'Chart of accounts'!A:H,2,FALSE),"")</f>
        <v>50211990 00</v>
      </c>
      <c r="K805" s="338" t="str">
        <f>IFERROR(VLOOKUP(I805,'Chart of accounts'!A:H,3,FALSE),"")</f>
        <v>Other Professional Services</v>
      </c>
      <c r="L805" s="338" t="str">
        <f>IFERROR(VLOOKUP(I805,'Chart of accounts'!A:H,4,FALSE),"")</f>
        <v>50211990 00 - Other Professional Services (799)</v>
      </c>
      <c r="M805" s="361">
        <v>2</v>
      </c>
      <c r="N805" s="355" t="s">
        <v>1030</v>
      </c>
      <c r="O805" s="355" t="s">
        <v>1225</v>
      </c>
      <c r="P805" s="355"/>
      <c r="Q805" s="363">
        <v>119889.07</v>
      </c>
      <c r="R805" s="319">
        <f t="shared" si="19"/>
        <v>-119889.07</v>
      </c>
      <c r="S805" s="319" t="str">
        <f>VLOOKUP(H805,'Fund Utilization Report'!$A$4:$U$1800,13,FALSE)</f>
        <v>MOOE</v>
      </c>
      <c r="T805" s="319" t="str">
        <f>VLOOKUP(H805,'Fund Utilization Report'!$A$4:$U$1800,2,FALSE)</f>
        <v>SAA040</v>
      </c>
      <c r="U805" s="319" t="str">
        <f>VLOOKUP(H805,'Fund Utilization Report'!$A$4:$U$1800,3,FALSE)</f>
        <v>21-02-0040</v>
      </c>
      <c r="V805" s="319" t="str">
        <f>VLOOKUP(H805,'Fund Utilization Report'!$A$4:$U$1800,4,FALSE)</f>
        <v>RAPID GOP</v>
      </c>
      <c r="W805" s="319" t="str">
        <f>VLOOKUP(H805,'Fund Utilization Report'!$A$4:$U$1800,5,FALSE)</f>
        <v>01101101</v>
      </c>
      <c r="X805" s="319" t="str">
        <f>VLOOKUP(H805,'Fund Utilization Report'!$A$4:$U$1800,6,FALSE)</f>
        <v>GOP</v>
      </c>
      <c r="Y805" s="320">
        <f>VLOOKUP(H805,'Fund Utilization Report'!$A$4:$U$1800,7,FALSE)</f>
        <v>799</v>
      </c>
      <c r="Z805" s="321">
        <f>VLOOKUP(H805,'Fund Utilization Report'!$A$4:$U$1800,8,FALSE)</f>
        <v>5021199000</v>
      </c>
      <c r="AA805" s="319" t="str">
        <f>VLOOKUP(H805,'Fund Utilization Report'!$A$4:$U$1800,14,FALSE)</f>
        <v>330100300001000</v>
      </c>
      <c r="AB805" s="349" t="str">
        <f>VLOOKUP(H805,'Fund Utilization Report'!$A$4:$U$1800,15,FALSE)</f>
        <v>Rural Agro Enterprise Partnership for Inclusive Development (RAPID) Growth GOP Continuing</v>
      </c>
      <c r="AC805" s="39"/>
      <c r="AD805" s="34"/>
      <c r="AE805" s="39"/>
      <c r="AF805" s="51"/>
      <c r="AG805" s="40"/>
      <c r="AH805" s="40"/>
    </row>
    <row r="806" spans="1:34" s="32" customFormat="1">
      <c r="A806" s="338" t="s">
        <v>942</v>
      </c>
      <c r="B806" s="338" t="s">
        <v>945</v>
      </c>
      <c r="C806" s="358">
        <v>44244</v>
      </c>
      <c r="D806" s="351" t="s">
        <v>1028</v>
      </c>
      <c r="E806" s="352" t="s">
        <v>1226</v>
      </c>
      <c r="F806" s="338">
        <v>0.71319444444444446</v>
      </c>
      <c r="G806" s="338">
        <v>0.71388888888888891</v>
      </c>
      <c r="H806" s="338" t="s">
        <v>1221</v>
      </c>
      <c r="I806" s="353">
        <v>799</v>
      </c>
      <c r="J806" s="338" t="str">
        <f>IFERROR(VLOOKUP(I806,'Chart of accounts'!A:H,2,FALSE),"")</f>
        <v>50211990 00</v>
      </c>
      <c r="K806" s="338" t="str">
        <f>IFERROR(VLOOKUP(I806,'Chart of accounts'!A:H,3,FALSE),"")</f>
        <v>Other Professional Services</v>
      </c>
      <c r="L806" s="338" t="str">
        <f>IFERROR(VLOOKUP(I806,'Chart of accounts'!A:H,4,FALSE),"")</f>
        <v>50211990 00 - Other Professional Services (799)</v>
      </c>
      <c r="M806" s="361">
        <v>67</v>
      </c>
      <c r="N806" s="355" t="s">
        <v>1030</v>
      </c>
      <c r="O806" s="355" t="s">
        <v>1227</v>
      </c>
      <c r="P806" s="355"/>
      <c r="Q806" s="363">
        <v>83142.720000000001</v>
      </c>
      <c r="R806" s="319">
        <f t="shared" si="19"/>
        <v>-83142.720000000001</v>
      </c>
      <c r="S806" s="319" t="str">
        <f>VLOOKUP(H806,'Fund Utilization Report'!$A$4:$U$1800,13,FALSE)</f>
        <v>MOOE</v>
      </c>
      <c r="T806" s="319" t="str">
        <f>VLOOKUP(H806,'Fund Utilization Report'!$A$4:$U$1800,2,FALSE)</f>
        <v>SAA040</v>
      </c>
      <c r="U806" s="319" t="str">
        <f>VLOOKUP(H806,'Fund Utilization Report'!$A$4:$U$1800,3,FALSE)</f>
        <v>21-02-0040</v>
      </c>
      <c r="V806" s="319" t="str">
        <f>VLOOKUP(H806,'Fund Utilization Report'!$A$4:$U$1800,4,FALSE)</f>
        <v>RAPID GOP</v>
      </c>
      <c r="W806" s="319" t="str">
        <f>VLOOKUP(H806,'Fund Utilization Report'!$A$4:$U$1800,5,FALSE)</f>
        <v>01101101</v>
      </c>
      <c r="X806" s="319" t="str">
        <f>VLOOKUP(H806,'Fund Utilization Report'!$A$4:$U$1800,6,FALSE)</f>
        <v>GOP</v>
      </c>
      <c r="Y806" s="320">
        <f>VLOOKUP(H806,'Fund Utilization Report'!$A$4:$U$1800,7,FALSE)</f>
        <v>799</v>
      </c>
      <c r="Z806" s="321">
        <f>VLOOKUP(H806,'Fund Utilization Report'!$A$4:$U$1800,8,FALSE)</f>
        <v>5021199000</v>
      </c>
      <c r="AA806" s="319" t="str">
        <f>VLOOKUP(H806,'Fund Utilization Report'!$A$4:$U$1800,14,FALSE)</f>
        <v>330100300001000</v>
      </c>
      <c r="AB806" s="349" t="str">
        <f>VLOOKUP(H806,'Fund Utilization Report'!$A$4:$U$1800,15,FALSE)</f>
        <v>Rural Agro Enterprise Partnership for Inclusive Development (RAPID) Growth GOP Continuing</v>
      </c>
      <c r="AC806" s="39"/>
      <c r="AD806" s="34"/>
      <c r="AE806" s="39"/>
      <c r="AF806" s="51"/>
      <c r="AG806" s="40"/>
      <c r="AH806" s="40"/>
    </row>
    <row r="807" spans="1:34" s="32" customFormat="1">
      <c r="A807" s="338" t="s">
        <v>942</v>
      </c>
      <c r="B807" s="338" t="s">
        <v>945</v>
      </c>
      <c r="C807" s="358">
        <v>44246</v>
      </c>
      <c r="D807" s="351" t="s">
        <v>1028</v>
      </c>
      <c r="E807" s="352" t="s">
        <v>1228</v>
      </c>
      <c r="F807" s="338">
        <v>0.40486111111111112</v>
      </c>
      <c r="G807" s="338">
        <v>0.4055555555555555</v>
      </c>
      <c r="H807" s="338" t="s">
        <v>1221</v>
      </c>
      <c r="I807" s="353">
        <v>799</v>
      </c>
      <c r="J807" s="338" t="str">
        <f>IFERROR(VLOOKUP(I807,'Chart of accounts'!A:H,2,FALSE),"")</f>
        <v>50211990 00</v>
      </c>
      <c r="K807" s="338" t="str">
        <f>IFERROR(VLOOKUP(I807,'Chart of accounts'!A:H,3,FALSE),"")</f>
        <v>Other Professional Services</v>
      </c>
      <c r="L807" s="338" t="str">
        <f>IFERROR(VLOOKUP(I807,'Chart of accounts'!A:H,4,FALSE),"")</f>
        <v>50211990 00 - Other Professional Services (799)</v>
      </c>
      <c r="M807" s="361">
        <v>3</v>
      </c>
      <c r="N807" s="355" t="s">
        <v>1030</v>
      </c>
      <c r="O807" s="355" t="s">
        <v>1227</v>
      </c>
      <c r="P807" s="355"/>
      <c r="Q807" s="363">
        <v>106531.33</v>
      </c>
      <c r="R807" s="319">
        <f t="shared" si="19"/>
        <v>-106531.33</v>
      </c>
      <c r="S807" s="319" t="str">
        <f>VLOOKUP(H807,'Fund Utilization Report'!$A$4:$U$1800,13,FALSE)</f>
        <v>MOOE</v>
      </c>
      <c r="T807" s="319" t="str">
        <f>VLOOKUP(H807,'Fund Utilization Report'!$A$4:$U$1800,2,FALSE)</f>
        <v>SAA040</v>
      </c>
      <c r="U807" s="319" t="str">
        <f>VLOOKUP(H807,'Fund Utilization Report'!$A$4:$U$1800,3,FALSE)</f>
        <v>21-02-0040</v>
      </c>
      <c r="V807" s="319" t="str">
        <f>VLOOKUP(H807,'Fund Utilization Report'!$A$4:$U$1800,4,FALSE)</f>
        <v>RAPID GOP</v>
      </c>
      <c r="W807" s="319" t="str">
        <f>VLOOKUP(H807,'Fund Utilization Report'!$A$4:$U$1800,5,FALSE)</f>
        <v>01101101</v>
      </c>
      <c r="X807" s="319" t="str">
        <f>VLOOKUP(H807,'Fund Utilization Report'!$A$4:$U$1800,6,FALSE)</f>
        <v>GOP</v>
      </c>
      <c r="Y807" s="320">
        <f>VLOOKUP(H807,'Fund Utilization Report'!$A$4:$U$1800,7,FALSE)</f>
        <v>799</v>
      </c>
      <c r="Z807" s="321">
        <f>VLOOKUP(H807,'Fund Utilization Report'!$A$4:$U$1800,8,FALSE)</f>
        <v>5021199000</v>
      </c>
      <c r="AA807" s="319" t="str">
        <f>VLOOKUP(H807,'Fund Utilization Report'!$A$4:$U$1800,14,FALSE)</f>
        <v>330100300001000</v>
      </c>
      <c r="AB807" s="349" t="str">
        <f>VLOOKUP(H807,'Fund Utilization Report'!$A$4:$U$1800,15,FALSE)</f>
        <v>Rural Agro Enterprise Partnership for Inclusive Development (RAPID) Growth GOP Continuing</v>
      </c>
      <c r="AC807" s="39"/>
      <c r="AD807" s="34"/>
      <c r="AE807" s="39"/>
      <c r="AF807" s="51"/>
      <c r="AG807" s="40"/>
      <c r="AH807" s="40"/>
    </row>
    <row r="808" spans="1:34" s="411" customFormat="1" ht="27.6">
      <c r="A808" s="405" t="s">
        <v>942</v>
      </c>
      <c r="B808" s="405" t="s">
        <v>945</v>
      </c>
      <c r="C808" s="402">
        <v>44251</v>
      </c>
      <c r="D808" s="403" t="s">
        <v>1028</v>
      </c>
      <c r="E808" s="404" t="s">
        <v>1229</v>
      </c>
      <c r="F808" s="405">
        <v>0.38194444444444442</v>
      </c>
      <c r="G808" s="405">
        <v>0.38263888888888892</v>
      </c>
      <c r="H808" s="405" t="s">
        <v>968</v>
      </c>
      <c r="I808" s="416">
        <v>783</v>
      </c>
      <c r="J808" s="405" t="str">
        <f>IFERROR(VLOOKUP(I808,'Chart of accounts'!A:H,2,FALSE),"")</f>
        <v>50299030 00</v>
      </c>
      <c r="K808" s="405" t="str">
        <f>IFERROR(VLOOKUP(I808,'Chart of accounts'!A:H,3,FALSE),"")</f>
        <v>Representation Expenses</v>
      </c>
      <c r="L808" s="405" t="str">
        <f>IFERROR(VLOOKUP(I808,'Chart of accounts'!A:H,4,FALSE),"")</f>
        <v>50299030 00 - Representation Expenses (783)</v>
      </c>
      <c r="M808" s="408">
        <v>1</v>
      </c>
      <c r="N808" s="409" t="s">
        <v>1230</v>
      </c>
      <c r="O808" s="409" t="s">
        <v>1231</v>
      </c>
      <c r="P808" s="409"/>
      <c r="Q808" s="65">
        <f>11000-11000</f>
        <v>0</v>
      </c>
      <c r="R808" s="63">
        <f t="shared" si="19"/>
        <v>0</v>
      </c>
      <c r="S808" s="63" t="str">
        <f>VLOOKUP(H808,'Fund Utilization Report'!$A$4:$U$1800,13,FALSE)</f>
        <v>MOOE</v>
      </c>
      <c r="T808" s="63" t="str">
        <f>VLOOKUP(H808,'Fund Utilization Report'!$A$4:$U$1800,2,FALSE)</f>
        <v>GAA</v>
      </c>
      <c r="U808" s="63" t="str">
        <f>VLOOKUP(H808,'Fund Utilization Report'!$A$4:$U$1800,3,FALSE)</f>
        <v>FY2021, RA11518</v>
      </c>
      <c r="V808" s="63" t="str">
        <f>VLOOKUP(H808,'Fund Utilization Report'!$A$4:$U$1800,4,FALSE)</f>
        <v>OO2</v>
      </c>
      <c r="W808" s="63" t="str">
        <f>VLOOKUP(H808,'Fund Utilization Report'!$A$4:$U$1800,5,FALSE)</f>
        <v>01101101</v>
      </c>
      <c r="X808" s="63" t="str">
        <f>VLOOKUP(H808,'Fund Utilization Report'!$A$4:$U$1800,6,FALSE)</f>
        <v>GOP</v>
      </c>
      <c r="Y808" s="417" t="str">
        <f>VLOOKUP(H808,'Fund Utilization Report'!$A$4:$U$1800,7,FALSE)</f>
        <v>MOOE</v>
      </c>
      <c r="Z808" s="418">
        <f>VLOOKUP(H808,'Fund Utilization Report'!$A$4:$U$1800,8,FALSE)</f>
        <v>5020000000</v>
      </c>
      <c r="AA808" s="63" t="str">
        <f>VLOOKUP(H808,'Fund Utilization Report'!$A$4:$U$1800,14,FALSE)</f>
        <v>320100100001000</v>
      </c>
      <c r="AB808" s="419" t="str">
        <f>VLOOKUP(H808,'Fund Utilization Report'!$A$4:$U$1800,15,FALSE)</f>
        <v>Formulation of Strategic plans,programs, and policies to develop competitve industries</v>
      </c>
      <c r="AC808" s="406"/>
      <c r="AD808" s="403"/>
      <c r="AE808" s="406"/>
      <c r="AF808" s="406"/>
      <c r="AG808" s="407"/>
      <c r="AH808" s="407"/>
    </row>
    <row r="809" spans="1:34" s="411" customFormat="1" ht="27.6">
      <c r="A809" s="405" t="s">
        <v>942</v>
      </c>
      <c r="B809" s="405" t="s">
        <v>945</v>
      </c>
      <c r="C809" s="402">
        <v>44251</v>
      </c>
      <c r="D809" s="403" t="s">
        <v>1028</v>
      </c>
      <c r="E809" s="404" t="s">
        <v>1232</v>
      </c>
      <c r="F809" s="405">
        <v>0.38263888888888892</v>
      </c>
      <c r="G809" s="405">
        <v>0.3833333333333333</v>
      </c>
      <c r="H809" s="405" t="s">
        <v>961</v>
      </c>
      <c r="I809" s="416">
        <v>773</v>
      </c>
      <c r="J809" s="405" t="str">
        <f>IFERROR(VLOOKUP(I809,'Chart of accounts'!A:H,2,FALSE),"")</f>
        <v>50205020 01</v>
      </c>
      <c r="K809" s="405" t="str">
        <f>IFERROR(VLOOKUP(I809,'Chart of accounts'!A:H,3,FALSE),"")</f>
        <v xml:space="preserve">Telephone Expenses - Mobile </v>
      </c>
      <c r="L809" s="405" t="str">
        <f>IFERROR(VLOOKUP(I809,'Chart of accounts'!A:H,4,FALSE),"")</f>
        <v>50205020 01 - Telephone Expenses - Mobile  (773)</v>
      </c>
      <c r="M809" s="408">
        <v>1</v>
      </c>
      <c r="N809" s="409" t="s">
        <v>1102</v>
      </c>
      <c r="O809" s="409" t="s">
        <v>1233</v>
      </c>
      <c r="P809" s="409"/>
      <c r="Q809" s="65">
        <f>2500-2500</f>
        <v>0</v>
      </c>
      <c r="R809" s="63">
        <f t="shared" si="19"/>
        <v>0</v>
      </c>
      <c r="S809" s="63" t="str">
        <f>VLOOKUP(H809,'Fund Utilization Report'!$A$4:$U$1800,13,FALSE)</f>
        <v>MOOE</v>
      </c>
      <c r="T809" s="63" t="str">
        <f>VLOOKUP(H809,'Fund Utilization Report'!$A$4:$U$1800,2,FALSE)</f>
        <v>GAA</v>
      </c>
      <c r="U809" s="63" t="str">
        <f>VLOOKUP(H809,'Fund Utilization Report'!$A$4:$U$1800,3,FALSE)</f>
        <v>FY2021, RA11518</v>
      </c>
      <c r="V809" s="63" t="str">
        <f>VLOOKUP(H809,'Fund Utilization Report'!$A$4:$U$1800,4,FALSE)</f>
        <v>GAS(GMS)</v>
      </c>
      <c r="W809" s="63" t="str">
        <f>VLOOKUP(H809,'Fund Utilization Report'!$A$4:$U$1800,5,FALSE)</f>
        <v>01101101</v>
      </c>
      <c r="X809" s="63" t="str">
        <f>VLOOKUP(H809,'Fund Utilization Report'!$A$4:$U$1800,6,FALSE)</f>
        <v>GOP</v>
      </c>
      <c r="Y809" s="417" t="str">
        <f>VLOOKUP(H809,'Fund Utilization Report'!$A$4:$U$1800,7,FALSE)</f>
        <v>MOOE</v>
      </c>
      <c r="Z809" s="418">
        <f>VLOOKUP(H809,'Fund Utilization Report'!$A$4:$U$1800,8,FALSE)</f>
        <v>5020000000</v>
      </c>
      <c r="AA809" s="63" t="str">
        <f>VLOOKUP(H809,'Fund Utilization Report'!$A$4:$U$1800,14,FALSE)</f>
        <v>100000100001000</v>
      </c>
      <c r="AB809" s="419" t="str">
        <f>VLOOKUP(H809,'Fund Utilization Report'!$A$4:$U$1800,15,FALSE)</f>
        <v>General Administration and Supervision - General Management and Supervision</v>
      </c>
      <c r="AC809" s="406"/>
      <c r="AD809" s="403"/>
      <c r="AE809" s="406"/>
      <c r="AF809" s="406"/>
      <c r="AG809" s="407"/>
      <c r="AH809" s="407"/>
    </row>
    <row r="810" spans="1:34" s="32" customFormat="1">
      <c r="A810" s="338" t="s">
        <v>942</v>
      </c>
      <c r="B810" s="338" t="s">
        <v>945</v>
      </c>
      <c r="C810" s="358">
        <v>44251</v>
      </c>
      <c r="D810" s="351" t="s">
        <v>1028</v>
      </c>
      <c r="E810" s="352" t="s">
        <v>1234</v>
      </c>
      <c r="F810" s="338">
        <v>0.3833333333333333</v>
      </c>
      <c r="G810" s="338">
        <v>0.3840277777777778</v>
      </c>
      <c r="H810" s="338" t="s">
        <v>983</v>
      </c>
      <c r="I810" s="353">
        <v>799</v>
      </c>
      <c r="J810" s="338" t="str">
        <f>IFERROR(VLOOKUP(I810,'Chart of accounts'!A:H,2,FALSE),"")</f>
        <v>50211990 00</v>
      </c>
      <c r="K810" s="338" t="str">
        <f>IFERROR(VLOOKUP(I810,'Chart of accounts'!A:H,3,FALSE),"")</f>
        <v>Other Professional Services</v>
      </c>
      <c r="L810" s="338" t="str">
        <f>IFERROR(VLOOKUP(I810,'Chart of accounts'!A:H,4,FALSE),"")</f>
        <v>50211990 00 - Other Professional Services (799)</v>
      </c>
      <c r="M810" s="361">
        <v>1</v>
      </c>
      <c r="N810" s="355" t="s">
        <v>1235</v>
      </c>
      <c r="O810" s="355" t="s">
        <v>1236</v>
      </c>
      <c r="P810" s="355"/>
      <c r="Q810" s="363">
        <v>10000</v>
      </c>
      <c r="R810" s="319">
        <f t="shared" si="19"/>
        <v>-10000</v>
      </c>
      <c r="S810" s="319" t="str">
        <f>VLOOKUP(H810,'Fund Utilization Report'!$A$4:$U$1800,13,FALSE)</f>
        <v>MOOE</v>
      </c>
      <c r="T810" s="319" t="str">
        <f>VLOOKUP(H810,'Fund Utilization Report'!$A$4:$U$1800,2,FALSE)</f>
        <v>GAA</v>
      </c>
      <c r="U810" s="319" t="str">
        <f>VLOOKUP(H810,'Fund Utilization Report'!$A$4:$U$1800,3,FALSE)</f>
        <v>FY2021, RA11518</v>
      </c>
      <c r="V810" s="319" t="str">
        <f>VLOOKUP(H810,'Fund Utilization Report'!$A$4:$U$1800,4,FALSE)</f>
        <v>SSF</v>
      </c>
      <c r="W810" s="319" t="str">
        <f>VLOOKUP(H810,'Fund Utilization Report'!$A$4:$U$1800,5,FALSE)</f>
        <v>01101101</v>
      </c>
      <c r="X810" s="319" t="str">
        <f>VLOOKUP(H810,'Fund Utilization Report'!$A$4:$U$1800,6,FALSE)</f>
        <v>GOP</v>
      </c>
      <c r="Y810" s="320" t="str">
        <f>VLOOKUP(H810,'Fund Utilization Report'!$A$4:$U$1800,7,FALSE)</f>
        <v>MOOE</v>
      </c>
      <c r="Z810" s="321">
        <f>VLOOKUP(H810,'Fund Utilization Report'!$A$4:$U$1800,8,FALSE)</f>
        <v>5020000000</v>
      </c>
      <c r="AA810" s="319" t="str">
        <f>VLOOKUP(H810,'Fund Utilization Report'!$A$4:$U$1800,14,FALSE)</f>
        <v>330100200003000</v>
      </c>
      <c r="AB810" s="349" t="str">
        <f>VLOOKUP(H810,'Fund Utilization Report'!$A$4:$U$1800,15,FALSE)</f>
        <v>Shared Service Facilities Project</v>
      </c>
      <c r="AC810" s="39"/>
      <c r="AD810" s="34"/>
      <c r="AE810" s="39"/>
      <c r="AF810" s="51"/>
      <c r="AG810" s="40"/>
      <c r="AH810" s="40"/>
    </row>
    <row r="811" spans="1:34" s="32" customFormat="1">
      <c r="A811" s="338" t="s">
        <v>942</v>
      </c>
      <c r="B811" s="338" t="s">
        <v>945</v>
      </c>
      <c r="C811" s="358">
        <v>44251</v>
      </c>
      <c r="D811" s="351" t="s">
        <v>1028</v>
      </c>
      <c r="E811" s="352" t="s">
        <v>1237</v>
      </c>
      <c r="F811" s="338">
        <v>0.3840277777777778</v>
      </c>
      <c r="G811" s="338">
        <v>0.38472222222222219</v>
      </c>
      <c r="H811" s="338" t="s">
        <v>961</v>
      </c>
      <c r="I811" s="353">
        <v>795</v>
      </c>
      <c r="J811" s="338" t="str">
        <f>IFERROR(VLOOKUP(I811,'Chart of accounts'!A:H,2,FALSE),"")</f>
        <v>50212990 00</v>
      </c>
      <c r="K811" s="338" t="str">
        <f>IFERROR(VLOOKUP(I811,'Chart of accounts'!A:H,3,FALSE),"")</f>
        <v>Other General Services</v>
      </c>
      <c r="L811" s="338" t="str">
        <f>IFERROR(VLOOKUP(I811,'Chart of accounts'!A:H,4,FALSE),"")</f>
        <v>50212990 00 - Other General Services (795)</v>
      </c>
      <c r="M811" s="361" t="s">
        <v>816</v>
      </c>
      <c r="N811" s="355" t="s">
        <v>1075</v>
      </c>
      <c r="O811" s="355" t="s">
        <v>1236</v>
      </c>
      <c r="P811" s="355"/>
      <c r="Q811" s="428">
        <v>2790</v>
      </c>
      <c r="R811" s="319">
        <f t="shared" si="19"/>
        <v>-2790</v>
      </c>
      <c r="S811" s="319" t="str">
        <f>VLOOKUP(H811,'Fund Utilization Report'!$A$4:$U$1800,13,FALSE)</f>
        <v>MOOE</v>
      </c>
      <c r="T811" s="319" t="str">
        <f>VLOOKUP(H811,'Fund Utilization Report'!$A$4:$U$1800,2,FALSE)</f>
        <v>GAA</v>
      </c>
      <c r="U811" s="319" t="str">
        <f>VLOOKUP(H811,'Fund Utilization Report'!$A$4:$U$1800,3,FALSE)</f>
        <v>FY2021, RA11518</v>
      </c>
      <c r="V811" s="319" t="str">
        <f>VLOOKUP(H811,'Fund Utilization Report'!$A$4:$U$1800,4,FALSE)</f>
        <v>GAS(GMS)</v>
      </c>
      <c r="W811" s="319" t="str">
        <f>VLOOKUP(H811,'Fund Utilization Report'!$A$4:$U$1800,5,FALSE)</f>
        <v>01101101</v>
      </c>
      <c r="X811" s="319" t="str">
        <f>VLOOKUP(H811,'Fund Utilization Report'!$A$4:$U$1800,6,FALSE)</f>
        <v>GOP</v>
      </c>
      <c r="Y811" s="320" t="str">
        <f>VLOOKUP(H811,'Fund Utilization Report'!$A$4:$U$1800,7,FALSE)</f>
        <v>MOOE</v>
      </c>
      <c r="Z811" s="321">
        <f>VLOOKUP(H811,'Fund Utilization Report'!$A$4:$U$1800,8,FALSE)</f>
        <v>5020000000</v>
      </c>
      <c r="AA811" s="319" t="str">
        <f>VLOOKUP(H811,'Fund Utilization Report'!$A$4:$U$1800,14,FALSE)</f>
        <v>100000100001000</v>
      </c>
      <c r="AB811" s="349" t="str">
        <f>VLOOKUP(H811,'Fund Utilization Report'!$A$4:$U$1800,15,FALSE)</f>
        <v>General Administration and Supervision - General Management and Supervision</v>
      </c>
      <c r="AC811" s="39"/>
      <c r="AD811" s="34"/>
      <c r="AE811" s="39"/>
      <c r="AF811" s="51"/>
      <c r="AG811" s="40"/>
      <c r="AH811" s="40"/>
    </row>
    <row r="812" spans="1:34" s="32" customFormat="1">
      <c r="A812" s="338" t="s">
        <v>942</v>
      </c>
      <c r="B812" s="338" t="s">
        <v>945</v>
      </c>
      <c r="C812" s="358">
        <v>44251</v>
      </c>
      <c r="D812" s="351" t="s">
        <v>1028</v>
      </c>
      <c r="E812" s="352" t="s">
        <v>1237</v>
      </c>
      <c r="F812" s="338">
        <v>0.3840277777777778</v>
      </c>
      <c r="G812" s="338">
        <v>0.38472222222222219</v>
      </c>
      <c r="H812" s="338" t="s">
        <v>961</v>
      </c>
      <c r="I812" s="353">
        <v>796</v>
      </c>
      <c r="J812" s="338" t="str">
        <f>IFERROR(VLOOKUP(I812,'Chart of accounts'!A:H,2,FALSE),"")</f>
        <v>50212020 00</v>
      </c>
      <c r="K812" s="338" t="str">
        <f>IFERROR(VLOOKUP(I812,'Chart of accounts'!A:H,3,FALSE),"")</f>
        <v>Janitorial Services</v>
      </c>
      <c r="L812" s="338" t="str">
        <f>IFERROR(VLOOKUP(I812,'Chart of accounts'!A:H,4,FALSE),"")</f>
        <v>50212020 00 - Janitorial Services (796)</v>
      </c>
      <c r="M812" s="361" t="s">
        <v>816</v>
      </c>
      <c r="N812" s="355" t="s">
        <v>1075</v>
      </c>
      <c r="O812" s="355" t="s">
        <v>1236</v>
      </c>
      <c r="P812" s="355"/>
      <c r="Q812" s="428">
        <f>3600+4400</f>
        <v>8000</v>
      </c>
      <c r="R812" s="319">
        <f t="shared" si="19"/>
        <v>-8000</v>
      </c>
      <c r="S812" s="319" t="str">
        <f>VLOOKUP(H812,'Fund Utilization Report'!$A$4:$U$1800,13,FALSE)</f>
        <v>MOOE</v>
      </c>
      <c r="T812" s="319" t="str">
        <f>VLOOKUP(H812,'Fund Utilization Report'!$A$4:$U$1800,2,FALSE)</f>
        <v>GAA</v>
      </c>
      <c r="U812" s="319" t="str">
        <f>VLOOKUP(H812,'Fund Utilization Report'!$A$4:$U$1800,3,FALSE)</f>
        <v>FY2021, RA11518</v>
      </c>
      <c r="V812" s="319" t="str">
        <f>VLOOKUP(H812,'Fund Utilization Report'!$A$4:$U$1800,4,FALSE)</f>
        <v>GAS(GMS)</v>
      </c>
      <c r="W812" s="319" t="str">
        <f>VLOOKUP(H812,'Fund Utilization Report'!$A$4:$U$1800,5,FALSE)</f>
        <v>01101101</v>
      </c>
      <c r="X812" s="319" t="str">
        <f>VLOOKUP(H812,'Fund Utilization Report'!$A$4:$U$1800,6,FALSE)</f>
        <v>GOP</v>
      </c>
      <c r="Y812" s="320" t="str">
        <f>VLOOKUP(H812,'Fund Utilization Report'!$A$4:$U$1800,7,FALSE)</f>
        <v>MOOE</v>
      </c>
      <c r="Z812" s="321">
        <f>VLOOKUP(H812,'Fund Utilization Report'!$A$4:$U$1800,8,FALSE)</f>
        <v>5020000000</v>
      </c>
      <c r="AA812" s="319" t="str">
        <f>VLOOKUP(H812,'Fund Utilization Report'!$A$4:$U$1800,14,FALSE)</f>
        <v>100000100001000</v>
      </c>
      <c r="AB812" s="349" t="str">
        <f>VLOOKUP(H812,'Fund Utilization Report'!$A$4:$U$1800,15,FALSE)</f>
        <v>General Administration and Supervision - General Management and Supervision</v>
      </c>
      <c r="AC812" s="39"/>
      <c r="AD812" s="34"/>
      <c r="AE812" s="39"/>
      <c r="AF812" s="51"/>
      <c r="AG812" s="40"/>
      <c r="AH812" s="40"/>
    </row>
    <row r="813" spans="1:34" s="32" customFormat="1">
      <c r="A813" s="338" t="s">
        <v>942</v>
      </c>
      <c r="B813" s="338" t="s">
        <v>945</v>
      </c>
      <c r="C813" s="358">
        <v>44251</v>
      </c>
      <c r="D813" s="351" t="s">
        <v>1028</v>
      </c>
      <c r="E813" s="352" t="s">
        <v>1238</v>
      </c>
      <c r="F813" s="338">
        <v>0.38472222222222219</v>
      </c>
      <c r="G813" s="338">
        <v>0.38541666666666669</v>
      </c>
      <c r="H813" s="338" t="s">
        <v>961</v>
      </c>
      <c r="I813" s="353">
        <v>795</v>
      </c>
      <c r="J813" s="338" t="str">
        <f>IFERROR(VLOOKUP(I813,'Chart of accounts'!A:H,2,FALSE),"")</f>
        <v>50212990 00</v>
      </c>
      <c r="K813" s="338" t="str">
        <f>IFERROR(VLOOKUP(I813,'Chart of accounts'!A:H,3,FALSE),"")</f>
        <v>Other General Services</v>
      </c>
      <c r="L813" s="338" t="str">
        <f>IFERROR(VLOOKUP(I813,'Chart of accounts'!A:H,4,FALSE),"")</f>
        <v>50212990 00 - Other General Services (795)</v>
      </c>
      <c r="M813" s="361" t="s">
        <v>812</v>
      </c>
      <c r="N813" s="355" t="s">
        <v>1075</v>
      </c>
      <c r="O813" s="355" t="s">
        <v>1236</v>
      </c>
      <c r="P813" s="355"/>
      <c r="Q813" s="428">
        <v>12352.18</v>
      </c>
      <c r="R813" s="319">
        <f t="shared" si="19"/>
        <v>-12352.18</v>
      </c>
      <c r="S813" s="319" t="str">
        <f>VLOOKUP(H813,'Fund Utilization Report'!$A$4:$U$1800,13,FALSE)</f>
        <v>MOOE</v>
      </c>
      <c r="T813" s="319" t="str">
        <f>VLOOKUP(H813,'Fund Utilization Report'!$A$4:$U$1800,2,FALSE)</f>
        <v>GAA</v>
      </c>
      <c r="U813" s="319" t="str">
        <f>VLOOKUP(H813,'Fund Utilization Report'!$A$4:$U$1800,3,FALSE)</f>
        <v>FY2021, RA11518</v>
      </c>
      <c r="V813" s="319" t="str">
        <f>VLOOKUP(H813,'Fund Utilization Report'!$A$4:$U$1800,4,FALSE)</f>
        <v>GAS(GMS)</v>
      </c>
      <c r="W813" s="319" t="str">
        <f>VLOOKUP(H813,'Fund Utilization Report'!$A$4:$U$1800,5,FALSE)</f>
        <v>01101101</v>
      </c>
      <c r="X813" s="319" t="str">
        <f>VLOOKUP(H813,'Fund Utilization Report'!$A$4:$U$1800,6,FALSE)</f>
        <v>GOP</v>
      </c>
      <c r="Y813" s="320" t="str">
        <f>VLOOKUP(H813,'Fund Utilization Report'!$A$4:$U$1800,7,FALSE)</f>
        <v>MOOE</v>
      </c>
      <c r="Z813" s="321">
        <f>VLOOKUP(H813,'Fund Utilization Report'!$A$4:$U$1800,8,FALSE)</f>
        <v>5020000000</v>
      </c>
      <c r="AA813" s="319" t="str">
        <f>VLOOKUP(H813,'Fund Utilization Report'!$A$4:$U$1800,14,FALSE)</f>
        <v>100000100001000</v>
      </c>
      <c r="AB813" s="349" t="str">
        <f>VLOOKUP(H813,'Fund Utilization Report'!$A$4:$U$1800,15,FALSE)</f>
        <v>General Administration and Supervision - General Management and Supervision</v>
      </c>
      <c r="AC813" s="39"/>
      <c r="AD813" s="34"/>
      <c r="AE813" s="39"/>
      <c r="AF813" s="51"/>
      <c r="AG813" s="40"/>
      <c r="AH813" s="40"/>
    </row>
    <row r="814" spans="1:34" s="32" customFormat="1">
      <c r="A814" s="338" t="s">
        <v>942</v>
      </c>
      <c r="B814" s="338" t="s">
        <v>945</v>
      </c>
      <c r="C814" s="358">
        <v>44251</v>
      </c>
      <c r="D814" s="351" t="s">
        <v>1028</v>
      </c>
      <c r="E814" s="352" t="s">
        <v>1239</v>
      </c>
      <c r="F814" s="338">
        <v>0.38541666666666669</v>
      </c>
      <c r="G814" s="338">
        <v>0.38611111111111113</v>
      </c>
      <c r="H814" s="338" t="s">
        <v>982</v>
      </c>
      <c r="I814" s="353">
        <v>799</v>
      </c>
      <c r="J814" s="338" t="str">
        <f>IFERROR(VLOOKUP(I814,'Chart of accounts'!A:H,2,FALSE),"")</f>
        <v>50211990 00</v>
      </c>
      <c r="K814" s="338" t="str">
        <f>IFERROR(VLOOKUP(I814,'Chart of accounts'!A:H,3,FALSE),"")</f>
        <v>Other Professional Services</v>
      </c>
      <c r="L814" s="338" t="str">
        <f>IFERROR(VLOOKUP(I814,'Chart of accounts'!A:H,4,FALSE),"")</f>
        <v>50211990 00 - Other Professional Services (799)</v>
      </c>
      <c r="M814" s="361" t="s">
        <v>905</v>
      </c>
      <c r="N814" s="355" t="s">
        <v>1075</v>
      </c>
      <c r="O814" s="355" t="s">
        <v>1236</v>
      </c>
      <c r="P814" s="355"/>
      <c r="Q814" s="428">
        <v>11158</v>
      </c>
      <c r="R814" s="319">
        <f t="shared" si="19"/>
        <v>-11158</v>
      </c>
      <c r="S814" s="319" t="str">
        <f>VLOOKUP(H814,'Fund Utilization Report'!$A$4:$U$1800,13,FALSE)</f>
        <v>MOOE</v>
      </c>
      <c r="T814" s="319" t="str">
        <f>VLOOKUP(H814,'Fund Utilization Report'!$A$4:$U$1800,2,FALSE)</f>
        <v>GAA</v>
      </c>
      <c r="U814" s="319" t="str">
        <f>VLOOKUP(H814,'Fund Utilization Report'!$A$4:$U$1800,3,FALSE)</f>
        <v>FY2021, RA11518</v>
      </c>
      <c r="V814" s="319" t="str">
        <f>VLOOKUP(H814,'Fund Utilization Report'!$A$4:$U$1800,4,FALSE)</f>
        <v>OTOP</v>
      </c>
      <c r="W814" s="319" t="str">
        <f>VLOOKUP(H814,'Fund Utilization Report'!$A$4:$U$1800,5,FALSE)</f>
        <v>01101101</v>
      </c>
      <c r="X814" s="319" t="str">
        <f>VLOOKUP(H814,'Fund Utilization Report'!$A$4:$U$1800,6,FALSE)</f>
        <v>GOP</v>
      </c>
      <c r="Y814" s="320" t="str">
        <f>VLOOKUP(H814,'Fund Utilization Report'!$A$4:$U$1800,7,FALSE)</f>
        <v>MOOE</v>
      </c>
      <c r="Z814" s="321">
        <f>VLOOKUP(H814,'Fund Utilization Report'!$A$4:$U$1800,8,FALSE)</f>
        <v>5020000000</v>
      </c>
      <c r="AA814" s="319" t="str">
        <f>VLOOKUP(H814,'Fund Utilization Report'!$A$4:$U$1800,14,FALSE)</f>
        <v>330100200002000</v>
      </c>
      <c r="AB814" s="349" t="str">
        <f>VLOOKUP(H814,'Fund Utilization Report'!$A$4:$U$1800,15,FALSE)</f>
        <v>OTOP - Next Generation</v>
      </c>
      <c r="AC814" s="39"/>
      <c r="AD814" s="34"/>
      <c r="AE814" s="39"/>
      <c r="AF814" s="51"/>
      <c r="AG814" s="40"/>
      <c r="AH814" s="40"/>
    </row>
    <row r="815" spans="1:34" s="32" customFormat="1">
      <c r="A815" s="338" t="s">
        <v>942</v>
      </c>
      <c r="B815" s="338" t="s">
        <v>945</v>
      </c>
      <c r="C815" s="358">
        <v>44251</v>
      </c>
      <c r="D815" s="351" t="s">
        <v>1028</v>
      </c>
      <c r="E815" s="352" t="s">
        <v>1239</v>
      </c>
      <c r="F815" s="338">
        <v>0.38541666666666669</v>
      </c>
      <c r="G815" s="338">
        <v>0.38611111111111113</v>
      </c>
      <c r="H815" s="338" t="s">
        <v>980</v>
      </c>
      <c r="I815" s="353">
        <v>799</v>
      </c>
      <c r="J815" s="338" t="str">
        <f>IFERROR(VLOOKUP(I815,'Chart of accounts'!A:H,2,FALSE),"")</f>
        <v>50211990 00</v>
      </c>
      <c r="K815" s="338" t="str">
        <f>IFERROR(VLOOKUP(I815,'Chart of accounts'!A:H,3,FALSE),"")</f>
        <v>Other Professional Services</v>
      </c>
      <c r="L815" s="338" t="str">
        <f>IFERROR(VLOOKUP(I815,'Chart of accounts'!A:H,4,FALSE),"")</f>
        <v>50211990 00 - Other Professional Services (799)</v>
      </c>
      <c r="M815" s="361" t="s">
        <v>845</v>
      </c>
      <c r="N815" s="355" t="s">
        <v>1075</v>
      </c>
      <c r="O815" s="355" t="s">
        <v>1236</v>
      </c>
      <c r="P815" s="355"/>
      <c r="Q815" s="428">
        <v>12316</v>
      </c>
      <c r="R815" s="319">
        <f t="shared" si="19"/>
        <v>-12316</v>
      </c>
      <c r="S815" s="319" t="str">
        <f>VLOOKUP(H815,'Fund Utilization Report'!$A$4:$U$1800,13,FALSE)</f>
        <v>MOOE</v>
      </c>
      <c r="T815" s="319" t="str">
        <f>VLOOKUP(H815,'Fund Utilization Report'!$A$4:$U$1800,2,FALSE)</f>
        <v>GAA</v>
      </c>
      <c r="U815" s="319" t="str">
        <f>VLOOKUP(H815,'Fund Utilization Report'!$A$4:$U$1800,3,FALSE)</f>
        <v>FY2021, RA11518</v>
      </c>
      <c r="V815" s="319" t="str">
        <f>VLOOKUP(H815,'Fund Utilization Report'!$A$4:$U$1800,4,FALSE)</f>
        <v>NC</v>
      </c>
      <c r="W815" s="319" t="str">
        <f>VLOOKUP(H815,'Fund Utilization Report'!$A$4:$U$1800,5,FALSE)</f>
        <v>01101101</v>
      </c>
      <c r="X815" s="319" t="str">
        <f>VLOOKUP(H815,'Fund Utilization Report'!$A$4:$U$1800,6,FALSE)</f>
        <v>GOP</v>
      </c>
      <c r="Y815" s="320" t="str">
        <f>VLOOKUP(H815,'Fund Utilization Report'!$A$4:$U$1800,7,FALSE)</f>
        <v>MOOE</v>
      </c>
      <c r="Z815" s="321">
        <f>VLOOKUP(H815,'Fund Utilization Report'!$A$4:$U$1800,8,FALSE)</f>
        <v>5020000000</v>
      </c>
      <c r="AA815" s="319" t="str">
        <f>VLOOKUP(H815,'Fund Utilization Report'!$A$4:$U$1800,14,FALSE)</f>
        <v>330100200001000</v>
      </c>
      <c r="AB815" s="349" t="str">
        <f>VLOOKUP(H815,'Fund Utilization Report'!$A$4:$U$1800,15,FALSE)</f>
        <v>Establishment of Negosyo Centers</v>
      </c>
      <c r="AC815" s="39"/>
      <c r="AD815" s="34"/>
      <c r="AE815" s="39"/>
      <c r="AF815" s="51"/>
      <c r="AG815" s="40"/>
      <c r="AH815" s="40"/>
    </row>
    <row r="816" spans="1:34" s="32" customFormat="1">
      <c r="A816" s="338" t="s">
        <v>942</v>
      </c>
      <c r="B816" s="338" t="s">
        <v>945</v>
      </c>
      <c r="C816" s="358">
        <v>44251</v>
      </c>
      <c r="D816" s="351" t="s">
        <v>1028</v>
      </c>
      <c r="E816" s="352" t="s">
        <v>1240</v>
      </c>
      <c r="F816" s="338">
        <v>0.38611111111111113</v>
      </c>
      <c r="G816" s="338">
        <v>0.38680555555555557</v>
      </c>
      <c r="H816" s="338" t="s">
        <v>982</v>
      </c>
      <c r="I816" s="353">
        <v>799</v>
      </c>
      <c r="J816" s="338" t="str">
        <f>IFERROR(VLOOKUP(I816,'Chart of accounts'!A:H,2,FALSE),"")</f>
        <v>50211990 00</v>
      </c>
      <c r="K816" s="338" t="str">
        <f>IFERROR(VLOOKUP(I816,'Chart of accounts'!A:H,3,FALSE),"")</f>
        <v>Other Professional Services</v>
      </c>
      <c r="L816" s="338" t="str">
        <f>IFERROR(VLOOKUP(I816,'Chart of accounts'!A:H,4,FALSE),"")</f>
        <v>50211990 00 - Other Professional Services (799)</v>
      </c>
      <c r="M816" s="361" t="s">
        <v>905</v>
      </c>
      <c r="N816" s="355" t="s">
        <v>1075</v>
      </c>
      <c r="O816" s="355" t="s">
        <v>1236</v>
      </c>
      <c r="P816" s="355"/>
      <c r="Q816" s="428">
        <v>5030.91</v>
      </c>
      <c r="R816" s="319">
        <f t="shared" si="19"/>
        <v>-5030.91</v>
      </c>
      <c r="S816" s="428" t="str">
        <f>VLOOKUP(H816,'Fund Utilization Report'!$A$4:$U$1800,13,FALSE)</f>
        <v>MOOE</v>
      </c>
      <c r="T816" s="428" t="str">
        <f>VLOOKUP(H816,'Fund Utilization Report'!$A$4:$U$1800,2,FALSE)</f>
        <v>GAA</v>
      </c>
      <c r="U816" s="428" t="str">
        <f>VLOOKUP(H816,'Fund Utilization Report'!$A$4:$U$1800,3,FALSE)</f>
        <v>FY2021, RA11518</v>
      </c>
      <c r="V816" s="428" t="str">
        <f>VLOOKUP(H816,'Fund Utilization Report'!$A$4:$U$1800,4,FALSE)</f>
        <v>OTOP</v>
      </c>
      <c r="W816" s="428" t="str">
        <f>VLOOKUP(H816,'Fund Utilization Report'!$A$4:$U$1800,5,FALSE)</f>
        <v>01101101</v>
      </c>
      <c r="X816" s="428" t="str">
        <f>VLOOKUP(H816,'Fund Utilization Report'!$A$4:$U$1800,6,FALSE)</f>
        <v>GOP</v>
      </c>
      <c r="Y816" s="320" t="str">
        <f>VLOOKUP(H816,'Fund Utilization Report'!$A$4:$U$1800,7,FALSE)</f>
        <v>MOOE</v>
      </c>
      <c r="Z816" s="425">
        <f>VLOOKUP(H816,'Fund Utilization Report'!$A$4:$U$1800,8,FALSE)</f>
        <v>5020000000</v>
      </c>
      <c r="AA816" s="428" t="str">
        <f>VLOOKUP(H816,'Fund Utilization Report'!$A$4:$U$1800,14,FALSE)</f>
        <v>330100200002000</v>
      </c>
      <c r="AB816" s="349" t="str">
        <f>VLOOKUP(H816,'Fund Utilization Report'!$A$4:$U$1800,15,FALSE)</f>
        <v>OTOP - Next Generation</v>
      </c>
      <c r="AC816" s="39"/>
      <c r="AD816" s="34"/>
      <c r="AE816" s="39"/>
      <c r="AF816" s="51"/>
      <c r="AG816" s="40"/>
      <c r="AH816" s="40"/>
    </row>
    <row r="817" spans="1:34" s="32" customFormat="1">
      <c r="A817" s="338" t="s">
        <v>942</v>
      </c>
      <c r="B817" s="338" t="s">
        <v>945</v>
      </c>
      <c r="C817" s="358">
        <v>44251</v>
      </c>
      <c r="D817" s="351" t="s">
        <v>1028</v>
      </c>
      <c r="E817" s="352" t="s">
        <v>1240</v>
      </c>
      <c r="F817" s="338">
        <v>0.38611111111111113</v>
      </c>
      <c r="G817" s="338">
        <v>0.38680555555555557</v>
      </c>
      <c r="H817" s="338" t="s">
        <v>961</v>
      </c>
      <c r="I817" s="353">
        <v>792</v>
      </c>
      <c r="J817" s="338" t="str">
        <f>IFERROR(VLOOKUP(I817,'Chart of accounts'!A:H,2,FALSE),"")</f>
        <v>50211020 00</v>
      </c>
      <c r="K817" s="338" t="str">
        <f>IFERROR(VLOOKUP(I817,'Chart of accounts'!A:H,3,FALSE),"")</f>
        <v>Auditing Services</v>
      </c>
      <c r="L817" s="338" t="str">
        <f>IFERROR(VLOOKUP(I817,'Chart of accounts'!A:H,4,FALSE),"")</f>
        <v>50211020 00 - Auditing Services (792)</v>
      </c>
      <c r="M817" s="361" t="s">
        <v>1404</v>
      </c>
      <c r="N817" s="355" t="s">
        <v>1075</v>
      </c>
      <c r="O817" s="355" t="s">
        <v>1236</v>
      </c>
      <c r="P817" s="355"/>
      <c r="Q817" s="428">
        <v>5534</v>
      </c>
      <c r="R817" s="319">
        <f t="shared" ref="R817:R880" si="20">P817-Q817</f>
        <v>-5534</v>
      </c>
      <c r="S817" s="428" t="str">
        <f>VLOOKUP(H817,'Fund Utilization Report'!$A$4:$U$1800,13,FALSE)</f>
        <v>MOOE</v>
      </c>
      <c r="T817" s="428" t="str">
        <f>VLOOKUP(H817,'Fund Utilization Report'!$A$4:$U$1800,2,FALSE)</f>
        <v>GAA</v>
      </c>
      <c r="U817" s="428" t="str">
        <f>VLOOKUP(H817,'Fund Utilization Report'!$A$4:$U$1800,3,FALSE)</f>
        <v>FY2021, RA11518</v>
      </c>
      <c r="V817" s="428" t="str">
        <f>VLOOKUP(H817,'Fund Utilization Report'!$A$4:$U$1800,4,FALSE)</f>
        <v>GAS(GMS)</v>
      </c>
      <c r="W817" s="428" t="str">
        <f>VLOOKUP(H817,'Fund Utilization Report'!$A$4:$U$1800,5,FALSE)</f>
        <v>01101101</v>
      </c>
      <c r="X817" s="428" t="str">
        <f>VLOOKUP(H817,'Fund Utilization Report'!$A$4:$U$1800,6,FALSE)</f>
        <v>GOP</v>
      </c>
      <c r="Y817" s="320" t="str">
        <f>VLOOKUP(H817,'Fund Utilization Report'!$A$4:$U$1800,7,FALSE)</f>
        <v>MOOE</v>
      </c>
      <c r="Z817" s="425">
        <f>VLOOKUP(H817,'Fund Utilization Report'!$A$4:$U$1800,8,FALSE)</f>
        <v>5020000000</v>
      </c>
      <c r="AA817" s="428" t="str">
        <f>VLOOKUP(H817,'Fund Utilization Report'!$A$4:$U$1800,14,FALSE)</f>
        <v>100000100001000</v>
      </c>
      <c r="AB817" s="349" t="str">
        <f>VLOOKUP(H817,'Fund Utilization Report'!$A$4:$U$1800,15,FALSE)</f>
        <v>General Administration and Supervision - General Management and Supervision</v>
      </c>
      <c r="AC817" s="39"/>
      <c r="AD817" s="34"/>
      <c r="AE817" s="39"/>
      <c r="AF817" s="51"/>
      <c r="AG817" s="40"/>
      <c r="AH817" s="40"/>
    </row>
    <row r="818" spans="1:34" s="32" customFormat="1">
      <c r="A818" s="338" t="s">
        <v>942</v>
      </c>
      <c r="B818" s="338" t="s">
        <v>945</v>
      </c>
      <c r="C818" s="358">
        <v>44251</v>
      </c>
      <c r="D818" s="351" t="s">
        <v>1028</v>
      </c>
      <c r="E818" s="352" t="s">
        <v>1240</v>
      </c>
      <c r="F818" s="338">
        <v>0.38611111111111113</v>
      </c>
      <c r="G818" s="338">
        <v>0.38680555555555557</v>
      </c>
      <c r="H818" s="338" t="s">
        <v>961</v>
      </c>
      <c r="I818" s="353">
        <v>795</v>
      </c>
      <c r="J818" s="338" t="str">
        <f>IFERROR(VLOOKUP(I818,'Chart of accounts'!A:H,2,FALSE),"")</f>
        <v>50212990 00</v>
      </c>
      <c r="K818" s="338" t="str">
        <f>IFERROR(VLOOKUP(I818,'Chart of accounts'!A:H,3,FALSE),"")</f>
        <v>Other General Services</v>
      </c>
      <c r="L818" s="338" t="str">
        <f>IFERROR(VLOOKUP(I818,'Chart of accounts'!A:H,4,FALSE),"")</f>
        <v>50212990 00 - Other General Services (795)</v>
      </c>
      <c r="M818" s="361" t="s">
        <v>816</v>
      </c>
      <c r="N818" s="355" t="s">
        <v>1075</v>
      </c>
      <c r="O818" s="355" t="s">
        <v>1236</v>
      </c>
      <c r="P818" s="355"/>
      <c r="Q818" s="428">
        <f>11158+5534</f>
        <v>16692</v>
      </c>
      <c r="R818" s="319">
        <f t="shared" si="20"/>
        <v>-16692</v>
      </c>
      <c r="S818" s="428" t="str">
        <f>VLOOKUP(H818,'Fund Utilization Report'!$A$4:$U$1800,13,FALSE)</f>
        <v>MOOE</v>
      </c>
      <c r="T818" s="428" t="str">
        <f>VLOOKUP(H818,'Fund Utilization Report'!$A$4:$U$1800,2,FALSE)</f>
        <v>GAA</v>
      </c>
      <c r="U818" s="428" t="str">
        <f>VLOOKUP(H818,'Fund Utilization Report'!$A$4:$U$1800,3,FALSE)</f>
        <v>FY2021, RA11518</v>
      </c>
      <c r="V818" s="428" t="str">
        <f>VLOOKUP(H818,'Fund Utilization Report'!$A$4:$U$1800,4,FALSE)</f>
        <v>GAS(GMS)</v>
      </c>
      <c r="W818" s="428" t="str">
        <f>VLOOKUP(H818,'Fund Utilization Report'!$A$4:$U$1800,5,FALSE)</f>
        <v>01101101</v>
      </c>
      <c r="X818" s="428" t="str">
        <f>VLOOKUP(H818,'Fund Utilization Report'!$A$4:$U$1800,6,FALSE)</f>
        <v>GOP</v>
      </c>
      <c r="Y818" s="320" t="str">
        <f>VLOOKUP(H818,'Fund Utilization Report'!$A$4:$U$1800,7,FALSE)</f>
        <v>MOOE</v>
      </c>
      <c r="Z818" s="425">
        <f>VLOOKUP(H818,'Fund Utilization Report'!$A$4:$U$1800,8,FALSE)</f>
        <v>5020000000</v>
      </c>
      <c r="AA818" s="428" t="str">
        <f>VLOOKUP(H818,'Fund Utilization Report'!$A$4:$U$1800,14,FALSE)</f>
        <v>100000100001000</v>
      </c>
      <c r="AB818" s="349" t="str">
        <f>VLOOKUP(H818,'Fund Utilization Report'!$A$4:$U$1800,15,FALSE)</f>
        <v>General Administration and Supervision - General Management and Supervision</v>
      </c>
      <c r="AC818" s="39"/>
      <c r="AD818" s="34"/>
      <c r="AE818" s="39"/>
      <c r="AF818" s="51"/>
      <c r="AG818" s="40"/>
      <c r="AH818" s="40"/>
    </row>
    <row r="819" spans="1:34" s="32" customFormat="1" ht="27.6">
      <c r="A819" s="338" t="s">
        <v>942</v>
      </c>
      <c r="B819" s="338" t="s">
        <v>945</v>
      </c>
      <c r="C819" s="358">
        <v>44251</v>
      </c>
      <c r="D819" s="351" t="s">
        <v>1028</v>
      </c>
      <c r="E819" s="352" t="s">
        <v>1241</v>
      </c>
      <c r="F819" s="338">
        <v>0.38680555555555557</v>
      </c>
      <c r="G819" s="338">
        <v>0.38750000000000001</v>
      </c>
      <c r="H819" s="338" t="s">
        <v>961</v>
      </c>
      <c r="I819" s="353">
        <v>795</v>
      </c>
      <c r="J819" s="338" t="str">
        <f>IFERROR(VLOOKUP(I819,'Chart of accounts'!A:H,2,FALSE),"")</f>
        <v>50212990 00</v>
      </c>
      <c r="K819" s="338" t="str">
        <f>IFERROR(VLOOKUP(I819,'Chart of accounts'!A:H,3,FALSE),"")</f>
        <v>Other General Services</v>
      </c>
      <c r="L819" s="338" t="str">
        <f>IFERROR(VLOOKUP(I819,'Chart of accounts'!A:H,4,FALSE),"")</f>
        <v>50212990 00 - Other General Services (795)</v>
      </c>
      <c r="M819" s="361">
        <v>1</v>
      </c>
      <c r="N819" s="355" t="s">
        <v>1242</v>
      </c>
      <c r="O819" s="355" t="s">
        <v>1243</v>
      </c>
      <c r="P819" s="355"/>
      <c r="Q819" s="363">
        <v>7321.62</v>
      </c>
      <c r="R819" s="319">
        <f t="shared" si="20"/>
        <v>-7321.62</v>
      </c>
      <c r="S819" s="428" t="str">
        <f>VLOOKUP(H819,'Fund Utilization Report'!$A$4:$U$1800,13,FALSE)</f>
        <v>MOOE</v>
      </c>
      <c r="T819" s="428" t="str">
        <f>VLOOKUP(H819,'Fund Utilization Report'!$A$4:$U$1800,2,FALSE)</f>
        <v>GAA</v>
      </c>
      <c r="U819" s="428" t="str">
        <f>VLOOKUP(H819,'Fund Utilization Report'!$A$4:$U$1800,3,FALSE)</f>
        <v>FY2021, RA11518</v>
      </c>
      <c r="V819" s="428" t="str">
        <f>VLOOKUP(H819,'Fund Utilization Report'!$A$4:$U$1800,4,FALSE)</f>
        <v>GAS(GMS)</v>
      </c>
      <c r="W819" s="428" t="str">
        <f>VLOOKUP(H819,'Fund Utilization Report'!$A$4:$U$1800,5,FALSE)</f>
        <v>01101101</v>
      </c>
      <c r="X819" s="428" t="str">
        <f>VLOOKUP(H819,'Fund Utilization Report'!$A$4:$U$1800,6,FALSE)</f>
        <v>GOP</v>
      </c>
      <c r="Y819" s="320" t="str">
        <f>VLOOKUP(H819,'Fund Utilization Report'!$A$4:$U$1800,7,FALSE)</f>
        <v>MOOE</v>
      </c>
      <c r="Z819" s="425">
        <f>VLOOKUP(H819,'Fund Utilization Report'!$A$4:$U$1800,8,FALSE)</f>
        <v>5020000000</v>
      </c>
      <c r="AA819" s="428" t="str">
        <f>VLOOKUP(H819,'Fund Utilization Report'!$A$4:$U$1800,14,FALSE)</f>
        <v>100000100001000</v>
      </c>
      <c r="AB819" s="349" t="str">
        <f>VLOOKUP(H819,'Fund Utilization Report'!$A$4:$U$1800,15,FALSE)</f>
        <v>General Administration and Supervision - General Management and Supervision</v>
      </c>
      <c r="AC819" s="39"/>
      <c r="AD819" s="34"/>
      <c r="AE819" s="39"/>
      <c r="AF819" s="51"/>
      <c r="AG819" s="40"/>
      <c r="AH819" s="40"/>
    </row>
    <row r="820" spans="1:34" s="411" customFormat="1" ht="27.6">
      <c r="A820" s="405" t="s">
        <v>942</v>
      </c>
      <c r="B820" s="405" t="s">
        <v>945</v>
      </c>
      <c r="C820" s="402">
        <v>44251</v>
      </c>
      <c r="D820" s="403" t="s">
        <v>1028</v>
      </c>
      <c r="E820" s="404" t="s">
        <v>1244</v>
      </c>
      <c r="F820" s="405">
        <v>0.38750000000000001</v>
      </c>
      <c r="G820" s="405">
        <v>0.38819444444444445</v>
      </c>
      <c r="H820" s="405" t="s">
        <v>961</v>
      </c>
      <c r="I820" s="416">
        <v>773</v>
      </c>
      <c r="J820" s="405" t="str">
        <f>IFERROR(VLOOKUP(I820,'Chart of accounts'!A:H,2,FALSE),"")</f>
        <v>50205020 01</v>
      </c>
      <c r="K820" s="405" t="str">
        <f>IFERROR(VLOOKUP(I820,'Chart of accounts'!A:H,3,FALSE),"")</f>
        <v xml:space="preserve">Telephone Expenses - Mobile </v>
      </c>
      <c r="L820" s="405" t="str">
        <f>IFERROR(VLOOKUP(I820,'Chart of accounts'!A:H,4,FALSE),"")</f>
        <v>50205020 01 - Telephone Expenses - Mobile  (773)</v>
      </c>
      <c r="M820" s="408">
        <v>1</v>
      </c>
      <c r="N820" s="409" t="s">
        <v>1245</v>
      </c>
      <c r="O820" s="409" t="s">
        <v>1246</v>
      </c>
      <c r="P820" s="409"/>
      <c r="Q820" s="65">
        <f>4032-4032</f>
        <v>0</v>
      </c>
      <c r="R820" s="319">
        <f t="shared" si="20"/>
        <v>0</v>
      </c>
      <c r="S820" s="63" t="str">
        <f>VLOOKUP(H820,'Fund Utilization Report'!$A$4:$U$1800,13,FALSE)</f>
        <v>MOOE</v>
      </c>
      <c r="T820" s="63" t="str">
        <f>VLOOKUP(H820,'Fund Utilization Report'!$A$4:$U$1800,2,FALSE)</f>
        <v>GAA</v>
      </c>
      <c r="U820" s="63" t="str">
        <f>VLOOKUP(H820,'Fund Utilization Report'!$A$4:$U$1800,3,FALSE)</f>
        <v>FY2021, RA11518</v>
      </c>
      <c r="V820" s="63" t="str">
        <f>VLOOKUP(H820,'Fund Utilization Report'!$A$4:$U$1800,4,FALSE)</f>
        <v>GAS(GMS)</v>
      </c>
      <c r="W820" s="63" t="str">
        <f>VLOOKUP(H820,'Fund Utilization Report'!$A$4:$U$1800,5,FALSE)</f>
        <v>01101101</v>
      </c>
      <c r="X820" s="63" t="str">
        <f>VLOOKUP(H820,'Fund Utilization Report'!$A$4:$U$1800,6,FALSE)</f>
        <v>GOP</v>
      </c>
      <c r="Y820" s="417" t="str">
        <f>VLOOKUP(H820,'Fund Utilization Report'!$A$4:$U$1800,7,FALSE)</f>
        <v>MOOE</v>
      </c>
      <c r="Z820" s="418">
        <f>VLOOKUP(H820,'Fund Utilization Report'!$A$4:$U$1800,8,FALSE)</f>
        <v>5020000000</v>
      </c>
      <c r="AA820" s="63" t="str">
        <f>VLOOKUP(H820,'Fund Utilization Report'!$A$4:$U$1800,14,FALSE)</f>
        <v>100000100001000</v>
      </c>
      <c r="AB820" s="419" t="str">
        <f>VLOOKUP(H820,'Fund Utilization Report'!$A$4:$U$1800,15,FALSE)</f>
        <v>General Administration and Supervision - General Management and Supervision</v>
      </c>
      <c r="AC820" s="406"/>
      <c r="AD820" s="403"/>
      <c r="AE820" s="406"/>
      <c r="AF820" s="406"/>
      <c r="AG820" s="407"/>
      <c r="AH820" s="407"/>
    </row>
    <row r="821" spans="1:34" s="411" customFormat="1" ht="27.6">
      <c r="A821" s="405" t="s">
        <v>942</v>
      </c>
      <c r="B821" s="405" t="s">
        <v>945</v>
      </c>
      <c r="C821" s="402">
        <v>44251</v>
      </c>
      <c r="D821" s="403" t="s">
        <v>1028</v>
      </c>
      <c r="E821" s="404" t="s">
        <v>1247</v>
      </c>
      <c r="F821" s="405">
        <v>0.38819444444444445</v>
      </c>
      <c r="G821" s="405">
        <v>0.3888888888888889</v>
      </c>
      <c r="H821" s="405" t="s">
        <v>961</v>
      </c>
      <c r="I821" s="416">
        <v>773</v>
      </c>
      <c r="J821" s="405" t="str">
        <f>IFERROR(VLOOKUP(I821,'Chart of accounts'!A:H,2,FALSE),"")</f>
        <v>50205020 01</v>
      </c>
      <c r="K821" s="405" t="str">
        <f>IFERROR(VLOOKUP(I821,'Chart of accounts'!A:H,3,FALSE),"")</f>
        <v xml:space="preserve">Telephone Expenses - Mobile </v>
      </c>
      <c r="L821" s="405" t="str">
        <f>IFERROR(VLOOKUP(I821,'Chart of accounts'!A:H,4,FALSE),"")</f>
        <v>50205020 01 - Telephone Expenses - Mobile  (773)</v>
      </c>
      <c r="M821" s="408" t="s">
        <v>812</v>
      </c>
      <c r="N821" s="409" t="s">
        <v>1245</v>
      </c>
      <c r="O821" s="409" t="s">
        <v>1248</v>
      </c>
      <c r="P821" s="409"/>
      <c r="Q821" s="65">
        <f>1344-1344</f>
        <v>0</v>
      </c>
      <c r="R821" s="319">
        <f t="shared" si="20"/>
        <v>0</v>
      </c>
      <c r="S821" s="63" t="str">
        <f>VLOOKUP(H821,'Fund Utilization Report'!$A$4:$U$1800,13,FALSE)</f>
        <v>MOOE</v>
      </c>
      <c r="T821" s="63" t="str">
        <f>VLOOKUP(H821,'Fund Utilization Report'!$A$4:$U$1800,2,FALSE)</f>
        <v>GAA</v>
      </c>
      <c r="U821" s="63" t="str">
        <f>VLOOKUP(H821,'Fund Utilization Report'!$A$4:$U$1800,3,FALSE)</f>
        <v>FY2021, RA11518</v>
      </c>
      <c r="V821" s="63" t="str">
        <f>VLOOKUP(H821,'Fund Utilization Report'!$A$4:$U$1800,4,FALSE)</f>
        <v>GAS(GMS)</v>
      </c>
      <c r="W821" s="63" t="str">
        <f>VLOOKUP(H821,'Fund Utilization Report'!$A$4:$U$1800,5,FALSE)</f>
        <v>01101101</v>
      </c>
      <c r="X821" s="63" t="str">
        <f>VLOOKUP(H821,'Fund Utilization Report'!$A$4:$U$1800,6,FALSE)</f>
        <v>GOP</v>
      </c>
      <c r="Y821" s="417" t="str">
        <f>VLOOKUP(H821,'Fund Utilization Report'!$A$4:$U$1800,7,FALSE)</f>
        <v>MOOE</v>
      </c>
      <c r="Z821" s="418">
        <f>VLOOKUP(H821,'Fund Utilization Report'!$A$4:$U$1800,8,FALSE)</f>
        <v>5020000000</v>
      </c>
      <c r="AA821" s="63" t="str">
        <f>VLOOKUP(H821,'Fund Utilization Report'!$A$4:$U$1800,14,FALSE)</f>
        <v>100000100001000</v>
      </c>
      <c r="AB821" s="419" t="str">
        <f>VLOOKUP(H821,'Fund Utilization Report'!$A$4:$U$1800,15,FALSE)</f>
        <v>General Administration and Supervision - General Management and Supervision</v>
      </c>
      <c r="AC821" s="406"/>
      <c r="AD821" s="403"/>
      <c r="AE821" s="406"/>
      <c r="AF821" s="406"/>
      <c r="AG821" s="407"/>
      <c r="AH821" s="407"/>
    </row>
    <row r="822" spans="1:34" s="32" customFormat="1">
      <c r="A822" s="338" t="s">
        <v>942</v>
      </c>
      <c r="B822" s="338" t="s">
        <v>945</v>
      </c>
      <c r="C822" s="358">
        <v>44251</v>
      </c>
      <c r="D822" s="351" t="s">
        <v>1028</v>
      </c>
      <c r="E822" s="352" t="s">
        <v>1249</v>
      </c>
      <c r="F822" s="338">
        <v>0.3888888888888889</v>
      </c>
      <c r="G822" s="338">
        <v>0.38958333333333334</v>
      </c>
      <c r="H822" s="338" t="s">
        <v>999</v>
      </c>
      <c r="I822" s="353">
        <v>733</v>
      </c>
      <c r="J822" s="338" t="str">
        <f>IFERROR(VLOOKUP(I822,'Chart of accounts'!A:H,2,FALSE),"")</f>
        <v>50103030 01</v>
      </c>
      <c r="K822" s="338" t="str">
        <f>IFERROR(VLOOKUP(I822,'Chart of accounts'!A:H,3,FALSE),"")</f>
        <v>PhilHealth - Civilian</v>
      </c>
      <c r="L822" s="338" t="str">
        <f>IFERROR(VLOOKUP(I822,'Chart of accounts'!A:H,4,FALSE),"")</f>
        <v>50103030 01 - PhilHealth - Civilian (733)</v>
      </c>
      <c r="M822" s="361">
        <v>1</v>
      </c>
      <c r="N822" s="355" t="s">
        <v>863</v>
      </c>
      <c r="O822" s="355" t="s">
        <v>1250</v>
      </c>
      <c r="P822" s="355"/>
      <c r="Q822" s="363">
        <v>0.01</v>
      </c>
      <c r="R822" s="319">
        <f t="shared" si="20"/>
        <v>-0.01</v>
      </c>
      <c r="S822" s="428" t="str">
        <f>VLOOKUP(H822,'Fund Utilization Report'!$A$4:$U$1800,13,FALSE)</f>
        <v>PS</v>
      </c>
      <c r="T822" s="428" t="str">
        <f>VLOOKUP(H822,'Fund Utilization Report'!$A$4:$U$1800,2,FALSE)</f>
        <v>SAA15</v>
      </c>
      <c r="U822" s="428" t="str">
        <f>VLOOKUP(H822,'Fund Utilization Report'!$A$4:$U$1800,3,FALSE)</f>
        <v>2021-01-0015</v>
      </c>
      <c r="V822" s="428" t="str">
        <f>VLOOKUP(H822,'Fund Utilization Report'!$A$4:$U$1800,4,FALSE)</f>
        <v>CARP</v>
      </c>
      <c r="W822" s="428" t="str">
        <f>VLOOKUP(H822,'Fund Utilization Report'!$A$4:$U$1800,5,FALSE)</f>
        <v>01101101</v>
      </c>
      <c r="X822" s="428" t="str">
        <f>VLOOKUP(H822,'Fund Utilization Report'!$A$4:$U$1800,6,FALSE)</f>
        <v>GOP</v>
      </c>
      <c r="Y822" s="320">
        <f>VLOOKUP(H822,'Fund Utilization Report'!$A$4:$U$1800,7,FALSE)</f>
        <v>706</v>
      </c>
      <c r="Z822" s="425" t="str">
        <f>VLOOKUP(H822,'Fund Utilization Report'!$A$4:$U$1800,8,FALSE)</f>
        <v>50101020 00</v>
      </c>
      <c r="AA822" s="428" t="str">
        <f>VLOOKUP(H822,'Fund Utilization Report'!$A$4:$U$1800,14,FALSE)</f>
        <v>330100100003000</v>
      </c>
      <c r="AB822" s="349" t="str">
        <f>VLOOKUP(H822,'Fund Utilization Report'!$A$4:$U$1800,15,FALSE)</f>
        <v>MSME Development Program : Program Beneficiaries Development Component of the Comprehensive Agrarian Reform Program</v>
      </c>
      <c r="AC822" s="39"/>
      <c r="AD822" s="34"/>
      <c r="AE822" s="39"/>
      <c r="AF822" s="51"/>
      <c r="AG822" s="40"/>
      <c r="AH822" s="40"/>
    </row>
    <row r="823" spans="1:34" s="411" customFormat="1" ht="27.6">
      <c r="A823" s="405" t="s">
        <v>942</v>
      </c>
      <c r="B823" s="405" t="s">
        <v>945</v>
      </c>
      <c r="C823" s="402">
        <v>44253</v>
      </c>
      <c r="D823" s="403" t="s">
        <v>1028</v>
      </c>
      <c r="E823" s="404" t="s">
        <v>1251</v>
      </c>
      <c r="F823" s="405">
        <v>0.39305555555555555</v>
      </c>
      <c r="G823" s="405">
        <v>0.39583333333333331</v>
      </c>
      <c r="H823" s="405" t="s">
        <v>1221</v>
      </c>
      <c r="I823" s="416">
        <v>799</v>
      </c>
      <c r="J823" s="405" t="str">
        <f>IFERROR(VLOOKUP(I823,'Chart of accounts'!A:H,2,FALSE),"")</f>
        <v>50211990 00</v>
      </c>
      <c r="K823" s="405" t="str">
        <f>IFERROR(VLOOKUP(I823,'Chart of accounts'!A:H,3,FALSE),"")</f>
        <v>Other Professional Services</v>
      </c>
      <c r="L823" s="405" t="str">
        <f>IFERROR(VLOOKUP(I823,'Chart of accounts'!A:H,4,FALSE),"")</f>
        <v>50211990 00 - Other Professional Services (799)</v>
      </c>
      <c r="M823" s="408">
        <v>2</v>
      </c>
      <c r="N823" s="409" t="s">
        <v>818</v>
      </c>
      <c r="O823" s="409" t="s">
        <v>1252</v>
      </c>
      <c r="P823" s="409"/>
      <c r="Q823" s="65">
        <f>125699.96-125699.96</f>
        <v>0</v>
      </c>
      <c r="R823" s="63">
        <f t="shared" si="20"/>
        <v>0</v>
      </c>
      <c r="S823" s="63" t="str">
        <f>VLOOKUP(H823,'Fund Utilization Report'!$A$4:$U$1800,13,FALSE)</f>
        <v>MOOE</v>
      </c>
      <c r="T823" s="63" t="str">
        <f>VLOOKUP(H823,'Fund Utilization Report'!$A$4:$U$1800,2,FALSE)</f>
        <v>SAA040</v>
      </c>
      <c r="U823" s="63" t="str">
        <f>VLOOKUP(H823,'Fund Utilization Report'!$A$4:$U$1800,3,FALSE)</f>
        <v>21-02-0040</v>
      </c>
      <c r="V823" s="63" t="str">
        <f>VLOOKUP(H823,'Fund Utilization Report'!$A$4:$U$1800,4,FALSE)</f>
        <v>RAPID GOP</v>
      </c>
      <c r="W823" s="63" t="str">
        <f>VLOOKUP(H823,'Fund Utilization Report'!$A$4:$U$1800,5,FALSE)</f>
        <v>01101101</v>
      </c>
      <c r="X823" s="63" t="str">
        <f>VLOOKUP(H823,'Fund Utilization Report'!$A$4:$U$1800,6,FALSE)</f>
        <v>GOP</v>
      </c>
      <c r="Y823" s="417">
        <f>VLOOKUP(H823,'Fund Utilization Report'!$A$4:$U$1800,7,FALSE)</f>
        <v>799</v>
      </c>
      <c r="Z823" s="418">
        <f>VLOOKUP(H823,'Fund Utilization Report'!$A$4:$U$1800,8,FALSE)</f>
        <v>5021199000</v>
      </c>
      <c r="AA823" s="63" t="str">
        <f>VLOOKUP(H823,'Fund Utilization Report'!$A$4:$U$1800,14,FALSE)</f>
        <v>330100300001000</v>
      </c>
      <c r="AB823" s="419" t="str">
        <f>VLOOKUP(H823,'Fund Utilization Report'!$A$4:$U$1800,15,FALSE)</f>
        <v>Rural Agro Enterprise Partnership for Inclusive Development (RAPID) Growth GOP Continuing</v>
      </c>
      <c r="AC823" s="406"/>
      <c r="AD823" s="403"/>
      <c r="AE823" s="406"/>
      <c r="AF823" s="406"/>
      <c r="AG823" s="407"/>
      <c r="AH823" s="407"/>
    </row>
    <row r="824" spans="1:34" s="411" customFormat="1" ht="27.6">
      <c r="A824" s="405" t="s">
        <v>942</v>
      </c>
      <c r="B824" s="405" t="s">
        <v>945</v>
      </c>
      <c r="C824" s="402">
        <v>44253</v>
      </c>
      <c r="D824" s="403" t="s">
        <v>1028</v>
      </c>
      <c r="E824" s="404" t="s">
        <v>1253</v>
      </c>
      <c r="F824" s="405">
        <v>0.39583333333333331</v>
      </c>
      <c r="G824" s="405">
        <v>0.39861111111111108</v>
      </c>
      <c r="H824" s="405" t="s">
        <v>1221</v>
      </c>
      <c r="I824" s="416">
        <v>799</v>
      </c>
      <c r="J824" s="405" t="str">
        <f>IFERROR(VLOOKUP(I824,'Chart of accounts'!A:H,2,FALSE),"")</f>
        <v>50211990 00</v>
      </c>
      <c r="K824" s="405" t="str">
        <f>IFERROR(VLOOKUP(I824,'Chart of accounts'!A:H,3,FALSE),"")</f>
        <v>Other Professional Services</v>
      </c>
      <c r="L824" s="405" t="str">
        <f>IFERROR(VLOOKUP(I824,'Chart of accounts'!A:H,4,FALSE),"")</f>
        <v>50211990 00 - Other Professional Services (799)</v>
      </c>
      <c r="M824" s="408">
        <v>3</v>
      </c>
      <c r="N824" s="409" t="s">
        <v>820</v>
      </c>
      <c r="O824" s="409" t="s">
        <v>1252</v>
      </c>
      <c r="P824" s="409"/>
      <c r="Q824" s="65">
        <f>125699.96-125699.96</f>
        <v>0</v>
      </c>
      <c r="R824" s="63">
        <f t="shared" si="20"/>
        <v>0</v>
      </c>
      <c r="S824" s="63" t="str">
        <f>VLOOKUP(H824,'Fund Utilization Report'!$A$4:$U$1800,13,FALSE)</f>
        <v>MOOE</v>
      </c>
      <c r="T824" s="63" t="str">
        <f>VLOOKUP(H824,'Fund Utilization Report'!$A$4:$U$1800,2,FALSE)</f>
        <v>SAA040</v>
      </c>
      <c r="U824" s="63" t="str">
        <f>VLOOKUP(H824,'Fund Utilization Report'!$A$4:$U$1800,3,FALSE)</f>
        <v>21-02-0040</v>
      </c>
      <c r="V824" s="63" t="str">
        <f>VLOOKUP(H824,'Fund Utilization Report'!$A$4:$U$1800,4,FALSE)</f>
        <v>RAPID GOP</v>
      </c>
      <c r="W824" s="63" t="str">
        <f>VLOOKUP(H824,'Fund Utilization Report'!$A$4:$U$1800,5,FALSE)</f>
        <v>01101101</v>
      </c>
      <c r="X824" s="63" t="str">
        <f>VLOOKUP(H824,'Fund Utilization Report'!$A$4:$U$1800,6,FALSE)</f>
        <v>GOP</v>
      </c>
      <c r="Y824" s="417">
        <f>VLOOKUP(H824,'Fund Utilization Report'!$A$4:$U$1800,7,FALSE)</f>
        <v>799</v>
      </c>
      <c r="Z824" s="418">
        <f>VLOOKUP(H824,'Fund Utilization Report'!$A$4:$U$1800,8,FALSE)</f>
        <v>5021199000</v>
      </c>
      <c r="AA824" s="63" t="str">
        <f>VLOOKUP(H824,'Fund Utilization Report'!$A$4:$U$1800,14,FALSE)</f>
        <v>330100300001000</v>
      </c>
      <c r="AB824" s="419" t="str">
        <f>VLOOKUP(H824,'Fund Utilization Report'!$A$4:$U$1800,15,FALSE)</f>
        <v>Rural Agro Enterprise Partnership for Inclusive Development (RAPID) Growth GOP Continuing</v>
      </c>
      <c r="AC824" s="406"/>
      <c r="AD824" s="403"/>
      <c r="AE824" s="406"/>
      <c r="AF824" s="406"/>
      <c r="AG824" s="407"/>
      <c r="AH824" s="407"/>
    </row>
    <row r="825" spans="1:34" s="411" customFormat="1" ht="27.6">
      <c r="A825" s="405" t="s">
        <v>942</v>
      </c>
      <c r="B825" s="405" t="s">
        <v>945</v>
      </c>
      <c r="C825" s="402">
        <v>44253</v>
      </c>
      <c r="D825" s="403" t="s">
        <v>1028</v>
      </c>
      <c r="E825" s="404" t="s">
        <v>1254</v>
      </c>
      <c r="F825" s="405">
        <v>0.39861111111111108</v>
      </c>
      <c r="G825" s="405">
        <v>0.40138888888888885</v>
      </c>
      <c r="H825" s="405" t="s">
        <v>1221</v>
      </c>
      <c r="I825" s="416">
        <v>799</v>
      </c>
      <c r="J825" s="405" t="str">
        <f>IFERROR(VLOOKUP(I825,'Chart of accounts'!A:H,2,FALSE),"")</f>
        <v>50211990 00</v>
      </c>
      <c r="K825" s="405" t="str">
        <f>IFERROR(VLOOKUP(I825,'Chart of accounts'!A:H,3,FALSE),"")</f>
        <v>Other Professional Services</v>
      </c>
      <c r="L825" s="405" t="str">
        <f>IFERROR(VLOOKUP(I825,'Chart of accounts'!A:H,4,FALSE),"")</f>
        <v>50211990 00 - Other Professional Services (799)</v>
      </c>
      <c r="M825" s="408">
        <v>67</v>
      </c>
      <c r="N825" s="409" t="s">
        <v>822</v>
      </c>
      <c r="O825" s="409" t="s">
        <v>1252</v>
      </c>
      <c r="P825" s="409"/>
      <c r="Q825" s="65">
        <f>125699.96-125699.96</f>
        <v>0</v>
      </c>
      <c r="R825" s="63">
        <f t="shared" si="20"/>
        <v>0</v>
      </c>
      <c r="S825" s="63" t="str">
        <f>VLOOKUP(H825,'Fund Utilization Report'!$A$4:$U$1800,13,FALSE)</f>
        <v>MOOE</v>
      </c>
      <c r="T825" s="63" t="str">
        <f>VLOOKUP(H825,'Fund Utilization Report'!$A$4:$U$1800,2,FALSE)</f>
        <v>SAA040</v>
      </c>
      <c r="U825" s="63" t="str">
        <f>VLOOKUP(H825,'Fund Utilization Report'!$A$4:$U$1800,3,FALSE)</f>
        <v>21-02-0040</v>
      </c>
      <c r="V825" s="63" t="str">
        <f>VLOOKUP(H825,'Fund Utilization Report'!$A$4:$U$1800,4,FALSE)</f>
        <v>RAPID GOP</v>
      </c>
      <c r="W825" s="63" t="str">
        <f>VLOOKUP(H825,'Fund Utilization Report'!$A$4:$U$1800,5,FALSE)</f>
        <v>01101101</v>
      </c>
      <c r="X825" s="63" t="str">
        <f>VLOOKUP(H825,'Fund Utilization Report'!$A$4:$U$1800,6,FALSE)</f>
        <v>GOP</v>
      </c>
      <c r="Y825" s="417">
        <f>VLOOKUP(H825,'Fund Utilization Report'!$A$4:$U$1800,7,FALSE)</f>
        <v>799</v>
      </c>
      <c r="Z825" s="418">
        <f>VLOOKUP(H825,'Fund Utilization Report'!$A$4:$U$1800,8,FALSE)</f>
        <v>5021199000</v>
      </c>
      <c r="AA825" s="63" t="str">
        <f>VLOOKUP(H825,'Fund Utilization Report'!$A$4:$U$1800,14,FALSE)</f>
        <v>330100300001000</v>
      </c>
      <c r="AB825" s="419" t="str">
        <f>VLOOKUP(H825,'Fund Utilization Report'!$A$4:$U$1800,15,FALSE)</f>
        <v>Rural Agro Enterprise Partnership for Inclusive Development (RAPID) Growth GOP Continuing</v>
      </c>
      <c r="AC825" s="406"/>
      <c r="AD825" s="403"/>
      <c r="AE825" s="406"/>
      <c r="AF825" s="406"/>
      <c r="AG825" s="407"/>
      <c r="AH825" s="407"/>
    </row>
    <row r="826" spans="1:34" s="411" customFormat="1" ht="41.4">
      <c r="A826" s="405" t="s">
        <v>942</v>
      </c>
      <c r="B826" s="405" t="s">
        <v>945</v>
      </c>
      <c r="C826" s="402">
        <v>44253</v>
      </c>
      <c r="D826" s="403" t="s">
        <v>1028</v>
      </c>
      <c r="E826" s="404" t="s">
        <v>1255</v>
      </c>
      <c r="F826" s="405">
        <v>0.40138888888888885</v>
      </c>
      <c r="G826" s="405">
        <v>0.40277777777777773</v>
      </c>
      <c r="H826" s="405" t="s">
        <v>961</v>
      </c>
      <c r="I826" s="416">
        <v>753</v>
      </c>
      <c r="J826" s="405" t="str">
        <f>IFERROR(VLOOKUP(I826,'Chart of accounts'!A:H,2,FALSE),"")</f>
        <v>50202010 00</v>
      </c>
      <c r="K826" s="405" t="str">
        <f>IFERROR(VLOOKUP(I826,'Chart of accounts'!A:H,3,FALSE),"")</f>
        <v>Training Expenses</v>
      </c>
      <c r="L826" s="405" t="str">
        <f>IFERROR(VLOOKUP(I826,'Chart of accounts'!A:H,4,FALSE),"")</f>
        <v>50202010 00 - Training Expenses (753)</v>
      </c>
      <c r="M826" s="408" t="s">
        <v>1256</v>
      </c>
      <c r="N826" s="409" t="s">
        <v>1257</v>
      </c>
      <c r="O826" s="409" t="s">
        <v>1258</v>
      </c>
      <c r="P826" s="409"/>
      <c r="Q826" s="65">
        <f>2800-2800</f>
        <v>0</v>
      </c>
      <c r="R826" s="63">
        <f t="shared" si="20"/>
        <v>0</v>
      </c>
      <c r="S826" s="63" t="str">
        <f>VLOOKUP(H826,'Fund Utilization Report'!$A$4:$U$1800,13,FALSE)</f>
        <v>MOOE</v>
      </c>
      <c r="T826" s="63" t="str">
        <f>VLOOKUP(H826,'Fund Utilization Report'!$A$4:$U$1800,2,FALSE)</f>
        <v>GAA</v>
      </c>
      <c r="U826" s="63" t="str">
        <f>VLOOKUP(H826,'Fund Utilization Report'!$A$4:$U$1800,3,FALSE)</f>
        <v>FY2021, RA11518</v>
      </c>
      <c r="V826" s="63" t="str">
        <f>VLOOKUP(H826,'Fund Utilization Report'!$A$4:$U$1800,4,FALSE)</f>
        <v>GAS(GMS)</v>
      </c>
      <c r="W826" s="63" t="str">
        <f>VLOOKUP(H826,'Fund Utilization Report'!$A$4:$U$1800,5,FALSE)</f>
        <v>01101101</v>
      </c>
      <c r="X826" s="63" t="str">
        <f>VLOOKUP(H826,'Fund Utilization Report'!$A$4:$U$1800,6,FALSE)</f>
        <v>GOP</v>
      </c>
      <c r="Y826" s="417" t="str">
        <f>VLOOKUP(H826,'Fund Utilization Report'!$A$4:$U$1800,7,FALSE)</f>
        <v>MOOE</v>
      </c>
      <c r="Z826" s="418">
        <f>VLOOKUP(H826,'Fund Utilization Report'!$A$4:$U$1800,8,FALSE)</f>
        <v>5020000000</v>
      </c>
      <c r="AA826" s="63" t="str">
        <f>VLOOKUP(H826,'Fund Utilization Report'!$A$4:$U$1800,14,FALSE)</f>
        <v>100000100001000</v>
      </c>
      <c r="AB826" s="419" t="str">
        <f>VLOOKUP(H826,'Fund Utilization Report'!$A$4:$U$1800,15,FALSE)</f>
        <v>General Administration and Supervision - General Management and Supervision</v>
      </c>
      <c r="AC826" s="406"/>
      <c r="AD826" s="403"/>
      <c r="AE826" s="406"/>
      <c r="AF826" s="406"/>
      <c r="AG826" s="407"/>
      <c r="AH826" s="407"/>
    </row>
    <row r="827" spans="1:34" s="411" customFormat="1" ht="27.6">
      <c r="A827" s="405" t="s">
        <v>942</v>
      </c>
      <c r="B827" s="405" t="s">
        <v>945</v>
      </c>
      <c r="C827" s="402">
        <v>44253</v>
      </c>
      <c r="D827" s="403" t="s">
        <v>1028</v>
      </c>
      <c r="E827" s="404" t="s">
        <v>1259</v>
      </c>
      <c r="F827" s="405">
        <v>0.40277777777777773</v>
      </c>
      <c r="G827" s="405">
        <v>0.4069444444444445</v>
      </c>
      <c r="H827" s="405" t="s">
        <v>970</v>
      </c>
      <c r="I827" s="416">
        <v>701</v>
      </c>
      <c r="J827" s="405" t="str">
        <f>IFERROR(VLOOKUP(I827,'Chart of accounts'!A:H,2,FALSE),"")</f>
        <v>50101010 01</v>
      </c>
      <c r="K827" s="405" t="str">
        <f>IFERROR(VLOOKUP(I827,'Chart of accounts'!A:H,3,FALSE),"")</f>
        <v>Basic Salary - Civilian</v>
      </c>
      <c r="L827" s="405" t="str">
        <f>IFERROR(VLOOKUP(I827,'Chart of accounts'!A:H,4,FALSE),"")</f>
        <v>50101010 01 - Basic Salary - Civilian (701)</v>
      </c>
      <c r="M827" s="408">
        <v>2</v>
      </c>
      <c r="N827" s="409" t="s">
        <v>1172</v>
      </c>
      <c r="O827" s="409" t="s">
        <v>1260</v>
      </c>
      <c r="P827" s="409"/>
      <c r="Q827" s="65">
        <f>23877-23877</f>
        <v>0</v>
      </c>
      <c r="R827" s="63">
        <f t="shared" si="20"/>
        <v>0</v>
      </c>
      <c r="S827" s="63" t="str">
        <f>VLOOKUP(H827,'Fund Utilization Report'!$A$4:$U$1800,13,FALSE)</f>
        <v>PS</v>
      </c>
      <c r="T827" s="63" t="str">
        <f>VLOOKUP(H827,'Fund Utilization Report'!$A$4:$U$1800,2,FALSE)</f>
        <v>GAA</v>
      </c>
      <c r="U827" s="63" t="str">
        <f>VLOOKUP(H827,'Fund Utilization Report'!$A$4:$U$1800,3,FALSE)</f>
        <v>FY2021, RA11518</v>
      </c>
      <c r="V827" s="63" t="str">
        <f>VLOOKUP(H827,'Fund Utilization Report'!$A$4:$U$1800,4,FALSE)</f>
        <v>OO3</v>
      </c>
      <c r="W827" s="63" t="str">
        <f>VLOOKUP(H827,'Fund Utilization Report'!$A$4:$U$1800,5,FALSE)</f>
        <v>01101101</v>
      </c>
      <c r="X827" s="63" t="str">
        <f>VLOOKUP(H827,'Fund Utilization Report'!$A$4:$U$1800,6,FALSE)</f>
        <v>GOP</v>
      </c>
      <c r="Y827" s="417" t="str">
        <f>VLOOKUP(H827,'Fund Utilization Report'!$A$4:$U$1800,7,FALSE)</f>
        <v>PS</v>
      </c>
      <c r="Z827" s="418">
        <f>VLOOKUP(H827,'Fund Utilization Report'!$A$4:$U$1800,8,FALSE)</f>
        <v>5010000000</v>
      </c>
      <c r="AA827" s="63" t="str">
        <f>VLOOKUP(H827,'Fund Utilization Report'!$A$4:$U$1800,14,FALSE)</f>
        <v>330100100002000</v>
      </c>
      <c r="AB827" s="419" t="str">
        <f>VLOOKUP(H827,'Fund Utilization Report'!$A$4:$U$1800,15,FALSE)</f>
        <v>Implementation of the MSME Development Plan and other initiatives to promote the growth of Micro, Small and Medium Enterprises</v>
      </c>
      <c r="AC827" s="406"/>
      <c r="AD827" s="403"/>
      <c r="AE827" s="406"/>
      <c r="AF827" s="406"/>
      <c r="AG827" s="407"/>
      <c r="AH827" s="407"/>
    </row>
    <row r="828" spans="1:34" s="411" customFormat="1" ht="27.6">
      <c r="A828" s="405" t="s">
        <v>942</v>
      </c>
      <c r="B828" s="405" t="s">
        <v>945</v>
      </c>
      <c r="C828" s="402">
        <v>44253</v>
      </c>
      <c r="D828" s="403" t="s">
        <v>1028</v>
      </c>
      <c r="E828" s="404" t="s">
        <v>1259</v>
      </c>
      <c r="F828" s="405">
        <v>0.40277777777777773</v>
      </c>
      <c r="G828" s="405">
        <v>0.4069444444444445</v>
      </c>
      <c r="H828" s="405" t="s">
        <v>970</v>
      </c>
      <c r="I828" s="416">
        <v>711</v>
      </c>
      <c r="J828" s="405" t="str">
        <f>IFERROR(VLOOKUP(I828,'Chart of accounts'!A:H,2,FALSE),"")</f>
        <v>50102010 01</v>
      </c>
      <c r="K828" s="405" t="str">
        <f>IFERROR(VLOOKUP(I828,'Chart of accounts'!A:H,3,FALSE),"")</f>
        <v>PERA - Civilian</v>
      </c>
      <c r="L828" s="405" t="str">
        <f>IFERROR(VLOOKUP(I828,'Chart of accounts'!A:H,4,FALSE),"")</f>
        <v>50102010 01 - PERA - Civilian (711)</v>
      </c>
      <c r="M828" s="408">
        <v>2</v>
      </c>
      <c r="N828" s="409" t="s">
        <v>1172</v>
      </c>
      <c r="O828" s="409" t="s">
        <v>1260</v>
      </c>
      <c r="P828" s="409"/>
      <c r="Q828" s="65">
        <f>2000-2000</f>
        <v>0</v>
      </c>
      <c r="R828" s="63">
        <f t="shared" si="20"/>
        <v>0</v>
      </c>
      <c r="S828" s="63" t="str">
        <f>VLOOKUP(H828,'Fund Utilization Report'!$A$4:$U$1800,13,FALSE)</f>
        <v>PS</v>
      </c>
      <c r="T828" s="63" t="str">
        <f>VLOOKUP(H828,'Fund Utilization Report'!$A$4:$U$1800,2,FALSE)</f>
        <v>GAA</v>
      </c>
      <c r="U828" s="63" t="str">
        <f>VLOOKUP(H828,'Fund Utilization Report'!$A$4:$U$1800,3,FALSE)</f>
        <v>FY2021, RA11518</v>
      </c>
      <c r="V828" s="63" t="str">
        <f>VLOOKUP(H828,'Fund Utilization Report'!$A$4:$U$1800,4,FALSE)</f>
        <v>OO3</v>
      </c>
      <c r="W828" s="63" t="str">
        <f>VLOOKUP(H828,'Fund Utilization Report'!$A$4:$U$1800,5,FALSE)</f>
        <v>01101101</v>
      </c>
      <c r="X828" s="63" t="str">
        <f>VLOOKUP(H828,'Fund Utilization Report'!$A$4:$U$1800,6,FALSE)</f>
        <v>GOP</v>
      </c>
      <c r="Y828" s="417" t="str">
        <f>VLOOKUP(H828,'Fund Utilization Report'!$A$4:$U$1800,7,FALSE)</f>
        <v>PS</v>
      </c>
      <c r="Z828" s="418">
        <f>VLOOKUP(H828,'Fund Utilization Report'!$A$4:$U$1800,8,FALSE)</f>
        <v>5010000000</v>
      </c>
      <c r="AA828" s="63" t="str">
        <f>VLOOKUP(H828,'Fund Utilization Report'!$A$4:$U$1800,14,FALSE)</f>
        <v>330100100002000</v>
      </c>
      <c r="AB828" s="419" t="str">
        <f>VLOOKUP(H828,'Fund Utilization Report'!$A$4:$U$1800,15,FALSE)</f>
        <v>Implementation of the MSME Development Plan and other initiatives to promote the growth of Micro, Small and Medium Enterprises</v>
      </c>
      <c r="AC828" s="406"/>
      <c r="AD828" s="403"/>
      <c r="AE828" s="406"/>
      <c r="AF828" s="406"/>
      <c r="AG828" s="407"/>
      <c r="AH828" s="407"/>
    </row>
    <row r="829" spans="1:34" s="411" customFormat="1" ht="27.6">
      <c r="A829" s="405" t="s">
        <v>942</v>
      </c>
      <c r="B829" s="405" t="s">
        <v>945</v>
      </c>
      <c r="C829" s="402">
        <v>44253</v>
      </c>
      <c r="D829" s="403" t="s">
        <v>1028</v>
      </c>
      <c r="E829" s="404" t="s">
        <v>1259</v>
      </c>
      <c r="F829" s="405">
        <v>0.40277777777777773</v>
      </c>
      <c r="G829" s="405">
        <v>0.4069444444444445</v>
      </c>
      <c r="H829" s="405" t="s">
        <v>970</v>
      </c>
      <c r="I829" s="416">
        <v>731</v>
      </c>
      <c r="J829" s="405" t="str">
        <f>IFERROR(VLOOKUP(I829,'Chart of accounts'!A:H,2,FALSE),"")</f>
        <v>50103010 00</v>
      </c>
      <c r="K829" s="405" t="str">
        <f>IFERROR(VLOOKUP(I829,'Chart of accounts'!A:H,3,FALSE),"")</f>
        <v>Retirement and Life Insurance Premiums</v>
      </c>
      <c r="L829" s="405" t="str">
        <f>IFERROR(VLOOKUP(I829,'Chart of accounts'!A:H,4,FALSE),"")</f>
        <v>50103010 00 - Retirement and Life Insurance Premiums (731)</v>
      </c>
      <c r="M829" s="408">
        <v>2</v>
      </c>
      <c r="N829" s="409" t="s">
        <v>1172</v>
      </c>
      <c r="O829" s="409" t="s">
        <v>1260</v>
      </c>
      <c r="P829" s="409"/>
      <c r="Q829" s="65">
        <f>2865.24-2865.24</f>
        <v>0</v>
      </c>
      <c r="R829" s="63">
        <f t="shared" si="20"/>
        <v>0</v>
      </c>
      <c r="S829" s="63" t="str">
        <f>VLOOKUP(H829,'Fund Utilization Report'!$A$4:$U$1800,13,FALSE)</f>
        <v>PS</v>
      </c>
      <c r="T829" s="63" t="str">
        <f>VLOOKUP(H829,'Fund Utilization Report'!$A$4:$U$1800,2,FALSE)</f>
        <v>GAA</v>
      </c>
      <c r="U829" s="63" t="str">
        <f>VLOOKUP(H829,'Fund Utilization Report'!$A$4:$U$1800,3,FALSE)</f>
        <v>FY2021, RA11518</v>
      </c>
      <c r="V829" s="63" t="str">
        <f>VLOOKUP(H829,'Fund Utilization Report'!$A$4:$U$1800,4,FALSE)</f>
        <v>OO3</v>
      </c>
      <c r="W829" s="63" t="str">
        <f>VLOOKUP(H829,'Fund Utilization Report'!$A$4:$U$1800,5,FALSE)</f>
        <v>01101101</v>
      </c>
      <c r="X829" s="63" t="str">
        <f>VLOOKUP(H829,'Fund Utilization Report'!$A$4:$U$1800,6,FALSE)</f>
        <v>GOP</v>
      </c>
      <c r="Y829" s="417" t="str">
        <f>VLOOKUP(H829,'Fund Utilization Report'!$A$4:$U$1800,7,FALSE)</f>
        <v>PS</v>
      </c>
      <c r="Z829" s="418">
        <f>VLOOKUP(H829,'Fund Utilization Report'!$A$4:$U$1800,8,FALSE)</f>
        <v>5010000000</v>
      </c>
      <c r="AA829" s="63" t="str">
        <f>VLOOKUP(H829,'Fund Utilization Report'!$A$4:$U$1800,14,FALSE)</f>
        <v>330100100002000</v>
      </c>
      <c r="AB829" s="419" t="str">
        <f>VLOOKUP(H829,'Fund Utilization Report'!$A$4:$U$1800,15,FALSE)</f>
        <v>Implementation of the MSME Development Plan and other initiatives to promote the growth of Micro, Small and Medium Enterprises</v>
      </c>
      <c r="AC829" s="406"/>
      <c r="AD829" s="403"/>
      <c r="AE829" s="406"/>
      <c r="AF829" s="406"/>
      <c r="AG829" s="407"/>
      <c r="AH829" s="407"/>
    </row>
    <row r="830" spans="1:34" s="411" customFormat="1" ht="27.6">
      <c r="A830" s="405" t="s">
        <v>942</v>
      </c>
      <c r="B830" s="405" t="s">
        <v>945</v>
      </c>
      <c r="C830" s="402">
        <v>44253</v>
      </c>
      <c r="D830" s="403" t="s">
        <v>1028</v>
      </c>
      <c r="E830" s="404" t="s">
        <v>1259</v>
      </c>
      <c r="F830" s="405">
        <v>0.40277777777777773</v>
      </c>
      <c r="G830" s="405">
        <v>0.4069444444444445</v>
      </c>
      <c r="H830" s="405" t="s">
        <v>970</v>
      </c>
      <c r="I830" s="416">
        <v>732</v>
      </c>
      <c r="J830" s="405" t="str">
        <f>IFERROR(VLOOKUP(I830,'Chart of accounts'!A:H,2,FALSE),"")</f>
        <v>50103020 01</v>
      </c>
      <c r="K830" s="405" t="str">
        <f>IFERROR(VLOOKUP(I830,'Chart of accounts'!A:H,3,FALSE),"")</f>
        <v>Pag-IBIG - Civilian</v>
      </c>
      <c r="L830" s="405" t="str">
        <f>IFERROR(VLOOKUP(I830,'Chart of accounts'!A:H,4,FALSE),"")</f>
        <v>50103020 01 - Pag-IBIG - Civilian (732)</v>
      </c>
      <c r="M830" s="408">
        <v>2</v>
      </c>
      <c r="N830" s="409" t="s">
        <v>1172</v>
      </c>
      <c r="O830" s="409" t="s">
        <v>1260</v>
      </c>
      <c r="P830" s="409"/>
      <c r="Q830" s="65">
        <f>100-100</f>
        <v>0</v>
      </c>
      <c r="R830" s="63">
        <f t="shared" si="20"/>
        <v>0</v>
      </c>
      <c r="S830" s="63" t="str">
        <f>VLOOKUP(H830,'Fund Utilization Report'!$A$4:$U$1800,13,FALSE)</f>
        <v>PS</v>
      </c>
      <c r="T830" s="63" t="str">
        <f>VLOOKUP(H830,'Fund Utilization Report'!$A$4:$U$1800,2,FALSE)</f>
        <v>GAA</v>
      </c>
      <c r="U830" s="63" t="str">
        <f>VLOOKUP(H830,'Fund Utilization Report'!$A$4:$U$1800,3,FALSE)</f>
        <v>FY2021, RA11518</v>
      </c>
      <c r="V830" s="63" t="str">
        <f>VLOOKUP(H830,'Fund Utilization Report'!$A$4:$U$1800,4,FALSE)</f>
        <v>OO3</v>
      </c>
      <c r="W830" s="63" t="str">
        <f>VLOOKUP(H830,'Fund Utilization Report'!$A$4:$U$1800,5,FALSE)</f>
        <v>01101101</v>
      </c>
      <c r="X830" s="63" t="str">
        <f>VLOOKUP(H830,'Fund Utilization Report'!$A$4:$U$1800,6,FALSE)</f>
        <v>GOP</v>
      </c>
      <c r="Y830" s="417" t="str">
        <f>VLOOKUP(H830,'Fund Utilization Report'!$A$4:$U$1800,7,FALSE)</f>
        <v>PS</v>
      </c>
      <c r="Z830" s="418">
        <f>VLOOKUP(H830,'Fund Utilization Report'!$A$4:$U$1800,8,FALSE)</f>
        <v>5010000000</v>
      </c>
      <c r="AA830" s="63" t="str">
        <f>VLOOKUP(H830,'Fund Utilization Report'!$A$4:$U$1800,14,FALSE)</f>
        <v>330100100002000</v>
      </c>
      <c r="AB830" s="419" t="str">
        <f>VLOOKUP(H830,'Fund Utilization Report'!$A$4:$U$1800,15,FALSE)</f>
        <v>Implementation of the MSME Development Plan and other initiatives to promote the growth of Micro, Small and Medium Enterprises</v>
      </c>
      <c r="AC830" s="406"/>
      <c r="AD830" s="403"/>
      <c r="AE830" s="406"/>
      <c r="AF830" s="406"/>
      <c r="AG830" s="407"/>
      <c r="AH830" s="407"/>
    </row>
    <row r="831" spans="1:34" s="411" customFormat="1" ht="27.6">
      <c r="A831" s="405" t="s">
        <v>942</v>
      </c>
      <c r="B831" s="405" t="s">
        <v>945</v>
      </c>
      <c r="C831" s="402">
        <v>44253</v>
      </c>
      <c r="D831" s="403" t="s">
        <v>1028</v>
      </c>
      <c r="E831" s="404" t="s">
        <v>1259</v>
      </c>
      <c r="F831" s="405">
        <v>0.40277777777777773</v>
      </c>
      <c r="G831" s="405">
        <v>0.4069444444444445</v>
      </c>
      <c r="H831" s="405" t="s">
        <v>970</v>
      </c>
      <c r="I831" s="416">
        <v>733</v>
      </c>
      <c r="J831" s="405" t="str">
        <f>IFERROR(VLOOKUP(I831,'Chart of accounts'!A:H,2,FALSE),"")</f>
        <v>50103030 01</v>
      </c>
      <c r="K831" s="405" t="str">
        <f>IFERROR(VLOOKUP(I831,'Chart of accounts'!A:H,3,FALSE),"")</f>
        <v>PhilHealth - Civilian</v>
      </c>
      <c r="L831" s="405" t="str">
        <f>IFERROR(VLOOKUP(I831,'Chart of accounts'!A:H,4,FALSE),"")</f>
        <v>50103030 01 - PhilHealth - Civilian (733)</v>
      </c>
      <c r="M831" s="408">
        <v>2</v>
      </c>
      <c r="N831" s="409" t="s">
        <v>1172</v>
      </c>
      <c r="O831" s="409" t="s">
        <v>1260</v>
      </c>
      <c r="P831" s="409"/>
      <c r="Q831" s="65">
        <f>358.16-358.16</f>
        <v>0</v>
      </c>
      <c r="R831" s="63">
        <f t="shared" si="20"/>
        <v>0</v>
      </c>
      <c r="S831" s="63" t="str">
        <f>VLOOKUP(H831,'Fund Utilization Report'!$A$4:$U$1800,13,FALSE)</f>
        <v>PS</v>
      </c>
      <c r="T831" s="63" t="str">
        <f>VLOOKUP(H831,'Fund Utilization Report'!$A$4:$U$1800,2,FALSE)</f>
        <v>GAA</v>
      </c>
      <c r="U831" s="63" t="str">
        <f>VLOOKUP(H831,'Fund Utilization Report'!$A$4:$U$1800,3,FALSE)</f>
        <v>FY2021, RA11518</v>
      </c>
      <c r="V831" s="63" t="str">
        <f>VLOOKUP(H831,'Fund Utilization Report'!$A$4:$U$1800,4,FALSE)</f>
        <v>OO3</v>
      </c>
      <c r="W831" s="63" t="str">
        <f>VLOOKUP(H831,'Fund Utilization Report'!$A$4:$U$1800,5,FALSE)</f>
        <v>01101101</v>
      </c>
      <c r="X831" s="63" t="str">
        <f>VLOOKUP(H831,'Fund Utilization Report'!$A$4:$U$1800,6,FALSE)</f>
        <v>GOP</v>
      </c>
      <c r="Y831" s="417" t="str">
        <f>VLOOKUP(H831,'Fund Utilization Report'!$A$4:$U$1800,7,FALSE)</f>
        <v>PS</v>
      </c>
      <c r="Z831" s="418">
        <f>VLOOKUP(H831,'Fund Utilization Report'!$A$4:$U$1800,8,FALSE)</f>
        <v>5010000000</v>
      </c>
      <c r="AA831" s="63" t="str">
        <f>VLOOKUP(H831,'Fund Utilization Report'!$A$4:$U$1800,14,FALSE)</f>
        <v>330100100002000</v>
      </c>
      <c r="AB831" s="419" t="str">
        <f>VLOOKUP(H831,'Fund Utilization Report'!$A$4:$U$1800,15,FALSE)</f>
        <v>Implementation of the MSME Development Plan and other initiatives to promote the growth of Micro, Small and Medium Enterprises</v>
      </c>
      <c r="AC831" s="406"/>
      <c r="AD831" s="403"/>
      <c r="AE831" s="406"/>
      <c r="AF831" s="406"/>
      <c r="AG831" s="407"/>
      <c r="AH831" s="407"/>
    </row>
    <row r="832" spans="1:34" s="411" customFormat="1" ht="27.6">
      <c r="A832" s="405" t="s">
        <v>942</v>
      </c>
      <c r="B832" s="405" t="s">
        <v>945</v>
      </c>
      <c r="C832" s="402">
        <v>44253</v>
      </c>
      <c r="D832" s="403" t="s">
        <v>1028</v>
      </c>
      <c r="E832" s="404" t="s">
        <v>1259</v>
      </c>
      <c r="F832" s="405">
        <v>0.40277777777777773</v>
      </c>
      <c r="G832" s="405">
        <v>0.4069444444444445</v>
      </c>
      <c r="H832" s="405" t="s">
        <v>970</v>
      </c>
      <c r="I832" s="416">
        <v>734</v>
      </c>
      <c r="J832" s="405" t="str">
        <f>IFERROR(VLOOKUP(I832,'Chart of accounts'!A:H,2,FALSE),"")</f>
        <v>50103040 01</v>
      </c>
      <c r="K832" s="405" t="str">
        <f>IFERROR(VLOOKUP(I832,'Chart of accounts'!A:H,3,FALSE),"")</f>
        <v>ECIP - Civilian</v>
      </c>
      <c r="L832" s="405" t="str">
        <f>IFERROR(VLOOKUP(I832,'Chart of accounts'!A:H,4,FALSE),"")</f>
        <v>50103040 01 - ECIP - Civilian (734)</v>
      </c>
      <c r="M832" s="408">
        <v>2</v>
      </c>
      <c r="N832" s="409" t="s">
        <v>1172</v>
      </c>
      <c r="O832" s="409" t="s">
        <v>1260</v>
      </c>
      <c r="P832" s="409"/>
      <c r="Q832" s="65">
        <f>100-100</f>
        <v>0</v>
      </c>
      <c r="R832" s="63">
        <f t="shared" si="20"/>
        <v>0</v>
      </c>
      <c r="S832" s="63" t="str">
        <f>VLOOKUP(H832,'Fund Utilization Report'!$A$4:$U$1800,13,FALSE)</f>
        <v>PS</v>
      </c>
      <c r="T832" s="63" t="str">
        <f>VLOOKUP(H832,'Fund Utilization Report'!$A$4:$U$1800,2,FALSE)</f>
        <v>GAA</v>
      </c>
      <c r="U832" s="63" t="str">
        <f>VLOOKUP(H832,'Fund Utilization Report'!$A$4:$U$1800,3,FALSE)</f>
        <v>FY2021, RA11518</v>
      </c>
      <c r="V832" s="63" t="str">
        <f>VLOOKUP(H832,'Fund Utilization Report'!$A$4:$U$1800,4,FALSE)</f>
        <v>OO3</v>
      </c>
      <c r="W832" s="63" t="str">
        <f>VLOOKUP(H832,'Fund Utilization Report'!$A$4:$U$1800,5,FALSE)</f>
        <v>01101101</v>
      </c>
      <c r="X832" s="63" t="str">
        <f>VLOOKUP(H832,'Fund Utilization Report'!$A$4:$U$1800,6,FALSE)</f>
        <v>GOP</v>
      </c>
      <c r="Y832" s="417" t="str">
        <f>VLOOKUP(H832,'Fund Utilization Report'!$A$4:$U$1800,7,FALSE)</f>
        <v>PS</v>
      </c>
      <c r="Z832" s="418">
        <f>VLOOKUP(H832,'Fund Utilization Report'!$A$4:$U$1800,8,FALSE)</f>
        <v>5010000000</v>
      </c>
      <c r="AA832" s="63" t="str">
        <f>VLOOKUP(H832,'Fund Utilization Report'!$A$4:$U$1800,14,FALSE)</f>
        <v>330100100002000</v>
      </c>
      <c r="AB832" s="419" t="str">
        <f>VLOOKUP(H832,'Fund Utilization Report'!$A$4:$U$1800,15,FALSE)</f>
        <v>Implementation of the MSME Development Plan and other initiatives to promote the growth of Micro, Small and Medium Enterprises</v>
      </c>
      <c r="AC832" s="406"/>
      <c r="AD832" s="403"/>
      <c r="AE832" s="406"/>
      <c r="AF832" s="406"/>
      <c r="AG832" s="407"/>
      <c r="AH832" s="407"/>
    </row>
    <row r="833" spans="1:34" s="411" customFormat="1" ht="27.6">
      <c r="A833" s="405" t="s">
        <v>942</v>
      </c>
      <c r="B833" s="405" t="s">
        <v>945</v>
      </c>
      <c r="C833" s="402">
        <v>44253</v>
      </c>
      <c r="D833" s="403" t="s">
        <v>1028</v>
      </c>
      <c r="E833" s="404" t="s">
        <v>1261</v>
      </c>
      <c r="F833" s="405">
        <v>0.4069444444444445</v>
      </c>
      <c r="G833" s="405">
        <v>0.41319444444444442</v>
      </c>
      <c r="H833" s="405" t="s">
        <v>970</v>
      </c>
      <c r="I833" s="416">
        <v>701</v>
      </c>
      <c r="J833" s="405" t="str">
        <f>IFERROR(VLOOKUP(I833,'Chart of accounts'!A:H,2,FALSE),"")</f>
        <v>50101010 01</v>
      </c>
      <c r="K833" s="405" t="str">
        <f>IFERROR(VLOOKUP(I833,'Chart of accounts'!A:H,3,FALSE),"")</f>
        <v>Basic Salary - Civilian</v>
      </c>
      <c r="L833" s="405" t="str">
        <f>IFERROR(VLOOKUP(I833,'Chart of accounts'!A:H,4,FALSE),"")</f>
        <v>50101010 01 - Basic Salary - Civilian (701)</v>
      </c>
      <c r="M833" s="408">
        <v>85</v>
      </c>
      <c r="N833" s="409" t="s">
        <v>1174</v>
      </c>
      <c r="O833" s="409" t="s">
        <v>1260</v>
      </c>
      <c r="P833" s="409"/>
      <c r="Q833" s="65">
        <f>23877-23877</f>
        <v>0</v>
      </c>
      <c r="R833" s="63">
        <f t="shared" si="20"/>
        <v>0</v>
      </c>
      <c r="S833" s="63" t="str">
        <f>VLOOKUP(H833,'Fund Utilization Report'!$A$4:$U$1800,13,FALSE)</f>
        <v>PS</v>
      </c>
      <c r="T833" s="63" t="str">
        <f>VLOOKUP(H833,'Fund Utilization Report'!$A$4:$U$1800,2,FALSE)</f>
        <v>GAA</v>
      </c>
      <c r="U833" s="63" t="str">
        <f>VLOOKUP(H833,'Fund Utilization Report'!$A$4:$U$1800,3,FALSE)</f>
        <v>FY2021, RA11518</v>
      </c>
      <c r="V833" s="63" t="str">
        <f>VLOOKUP(H833,'Fund Utilization Report'!$A$4:$U$1800,4,FALSE)</f>
        <v>OO3</v>
      </c>
      <c r="W833" s="63" t="str">
        <f>VLOOKUP(H833,'Fund Utilization Report'!$A$4:$U$1800,5,FALSE)</f>
        <v>01101101</v>
      </c>
      <c r="X833" s="63" t="str">
        <f>VLOOKUP(H833,'Fund Utilization Report'!$A$4:$U$1800,6,FALSE)</f>
        <v>GOP</v>
      </c>
      <c r="Y833" s="417" t="str">
        <f>VLOOKUP(H833,'Fund Utilization Report'!$A$4:$U$1800,7,FALSE)</f>
        <v>PS</v>
      </c>
      <c r="Z833" s="418">
        <f>VLOOKUP(H833,'Fund Utilization Report'!$A$4:$U$1800,8,FALSE)</f>
        <v>5010000000</v>
      </c>
      <c r="AA833" s="63" t="str">
        <f>VLOOKUP(H833,'Fund Utilization Report'!$A$4:$U$1800,14,FALSE)</f>
        <v>330100100002000</v>
      </c>
      <c r="AB833" s="419" t="str">
        <f>VLOOKUP(H833,'Fund Utilization Report'!$A$4:$U$1800,15,FALSE)</f>
        <v>Implementation of the MSME Development Plan and other initiatives to promote the growth of Micro, Small and Medium Enterprises</v>
      </c>
      <c r="AC833" s="406"/>
      <c r="AD833" s="403"/>
      <c r="AE833" s="406"/>
      <c r="AF833" s="406"/>
      <c r="AG833" s="407"/>
      <c r="AH833" s="407"/>
    </row>
    <row r="834" spans="1:34" s="411" customFormat="1" ht="27.6">
      <c r="A834" s="405" t="s">
        <v>942</v>
      </c>
      <c r="B834" s="405" t="s">
        <v>945</v>
      </c>
      <c r="C834" s="402">
        <v>44253</v>
      </c>
      <c r="D834" s="403" t="s">
        <v>1028</v>
      </c>
      <c r="E834" s="404" t="s">
        <v>1261</v>
      </c>
      <c r="F834" s="405">
        <v>0.4069444444444445</v>
      </c>
      <c r="G834" s="405">
        <v>0.41319444444444442</v>
      </c>
      <c r="H834" s="405" t="s">
        <v>970</v>
      </c>
      <c r="I834" s="416">
        <v>711</v>
      </c>
      <c r="J834" s="405" t="str">
        <f>IFERROR(VLOOKUP(I834,'Chart of accounts'!A:H,2,FALSE),"")</f>
        <v>50102010 01</v>
      </c>
      <c r="K834" s="405" t="str">
        <f>IFERROR(VLOOKUP(I834,'Chart of accounts'!A:H,3,FALSE),"")</f>
        <v>PERA - Civilian</v>
      </c>
      <c r="L834" s="405" t="str">
        <f>IFERROR(VLOOKUP(I834,'Chart of accounts'!A:H,4,FALSE),"")</f>
        <v>50102010 01 - PERA - Civilian (711)</v>
      </c>
      <c r="M834" s="408">
        <v>85</v>
      </c>
      <c r="N834" s="409" t="s">
        <v>1174</v>
      </c>
      <c r="O834" s="409" t="s">
        <v>1260</v>
      </c>
      <c r="P834" s="409"/>
      <c r="Q834" s="65">
        <f>2000-2000</f>
        <v>0</v>
      </c>
      <c r="R834" s="63">
        <f t="shared" si="20"/>
        <v>0</v>
      </c>
      <c r="S834" s="63" t="str">
        <f>VLOOKUP(H834,'Fund Utilization Report'!$A$4:$U$1800,13,FALSE)</f>
        <v>PS</v>
      </c>
      <c r="T834" s="63" t="str">
        <f>VLOOKUP(H834,'Fund Utilization Report'!$A$4:$U$1800,2,FALSE)</f>
        <v>GAA</v>
      </c>
      <c r="U834" s="63" t="str">
        <f>VLOOKUP(H834,'Fund Utilization Report'!$A$4:$U$1800,3,FALSE)</f>
        <v>FY2021, RA11518</v>
      </c>
      <c r="V834" s="63" t="str">
        <f>VLOOKUP(H834,'Fund Utilization Report'!$A$4:$U$1800,4,FALSE)</f>
        <v>OO3</v>
      </c>
      <c r="W834" s="63" t="str">
        <f>VLOOKUP(H834,'Fund Utilization Report'!$A$4:$U$1800,5,FALSE)</f>
        <v>01101101</v>
      </c>
      <c r="X834" s="63" t="str">
        <f>VLOOKUP(H834,'Fund Utilization Report'!$A$4:$U$1800,6,FALSE)</f>
        <v>GOP</v>
      </c>
      <c r="Y834" s="417" t="str">
        <f>VLOOKUP(H834,'Fund Utilization Report'!$A$4:$U$1800,7,FALSE)</f>
        <v>PS</v>
      </c>
      <c r="Z834" s="418">
        <f>VLOOKUP(H834,'Fund Utilization Report'!$A$4:$U$1800,8,FALSE)</f>
        <v>5010000000</v>
      </c>
      <c r="AA834" s="63" t="str">
        <f>VLOOKUP(H834,'Fund Utilization Report'!$A$4:$U$1800,14,FALSE)</f>
        <v>330100100002000</v>
      </c>
      <c r="AB834" s="419" t="str">
        <f>VLOOKUP(H834,'Fund Utilization Report'!$A$4:$U$1800,15,FALSE)</f>
        <v>Implementation of the MSME Development Plan and other initiatives to promote the growth of Micro, Small and Medium Enterprises</v>
      </c>
      <c r="AC834" s="406"/>
      <c r="AD834" s="403"/>
      <c r="AE834" s="406"/>
      <c r="AF834" s="406"/>
      <c r="AG834" s="407"/>
      <c r="AH834" s="407"/>
    </row>
    <row r="835" spans="1:34" s="411" customFormat="1" ht="27.6">
      <c r="A835" s="405" t="s">
        <v>942</v>
      </c>
      <c r="B835" s="405" t="s">
        <v>945</v>
      </c>
      <c r="C835" s="402">
        <v>44253</v>
      </c>
      <c r="D835" s="403" t="s">
        <v>1028</v>
      </c>
      <c r="E835" s="404" t="s">
        <v>1261</v>
      </c>
      <c r="F835" s="405">
        <v>0.4069444444444445</v>
      </c>
      <c r="G835" s="405">
        <v>0.41319444444444442</v>
      </c>
      <c r="H835" s="405" t="s">
        <v>970</v>
      </c>
      <c r="I835" s="416">
        <v>731</v>
      </c>
      <c r="J835" s="405" t="str">
        <f>IFERROR(VLOOKUP(I835,'Chart of accounts'!A:H,2,FALSE),"")</f>
        <v>50103010 00</v>
      </c>
      <c r="K835" s="405" t="str">
        <f>IFERROR(VLOOKUP(I835,'Chart of accounts'!A:H,3,FALSE),"")</f>
        <v>Retirement and Life Insurance Premiums</v>
      </c>
      <c r="L835" s="405" t="str">
        <f>IFERROR(VLOOKUP(I835,'Chart of accounts'!A:H,4,FALSE),"")</f>
        <v>50103010 00 - Retirement and Life Insurance Premiums (731)</v>
      </c>
      <c r="M835" s="408">
        <v>85</v>
      </c>
      <c r="N835" s="409" t="s">
        <v>1174</v>
      </c>
      <c r="O835" s="409" t="s">
        <v>1260</v>
      </c>
      <c r="P835" s="409"/>
      <c r="Q835" s="65">
        <f>2865.24-2865.24</f>
        <v>0</v>
      </c>
      <c r="R835" s="63">
        <f t="shared" si="20"/>
        <v>0</v>
      </c>
      <c r="S835" s="63" t="str">
        <f>VLOOKUP(H835,'Fund Utilization Report'!$A$4:$U$1800,13,FALSE)</f>
        <v>PS</v>
      </c>
      <c r="T835" s="63" t="str">
        <f>VLOOKUP(H835,'Fund Utilization Report'!$A$4:$U$1800,2,FALSE)</f>
        <v>GAA</v>
      </c>
      <c r="U835" s="63" t="str">
        <f>VLOOKUP(H835,'Fund Utilization Report'!$A$4:$U$1800,3,FALSE)</f>
        <v>FY2021, RA11518</v>
      </c>
      <c r="V835" s="63" t="str">
        <f>VLOOKUP(H835,'Fund Utilization Report'!$A$4:$U$1800,4,FALSE)</f>
        <v>OO3</v>
      </c>
      <c r="W835" s="63" t="str">
        <f>VLOOKUP(H835,'Fund Utilization Report'!$A$4:$U$1800,5,FALSE)</f>
        <v>01101101</v>
      </c>
      <c r="X835" s="63" t="str">
        <f>VLOOKUP(H835,'Fund Utilization Report'!$A$4:$U$1800,6,FALSE)</f>
        <v>GOP</v>
      </c>
      <c r="Y835" s="417" t="str">
        <f>VLOOKUP(H835,'Fund Utilization Report'!$A$4:$U$1800,7,FALSE)</f>
        <v>PS</v>
      </c>
      <c r="Z835" s="418">
        <f>VLOOKUP(H835,'Fund Utilization Report'!$A$4:$U$1800,8,FALSE)</f>
        <v>5010000000</v>
      </c>
      <c r="AA835" s="63" t="str">
        <f>VLOOKUP(H835,'Fund Utilization Report'!$A$4:$U$1800,14,FALSE)</f>
        <v>330100100002000</v>
      </c>
      <c r="AB835" s="419" t="str">
        <f>VLOOKUP(H835,'Fund Utilization Report'!$A$4:$U$1800,15,FALSE)</f>
        <v>Implementation of the MSME Development Plan and other initiatives to promote the growth of Micro, Small and Medium Enterprises</v>
      </c>
      <c r="AC835" s="406"/>
      <c r="AD835" s="403"/>
      <c r="AE835" s="406"/>
      <c r="AF835" s="406"/>
      <c r="AG835" s="407"/>
      <c r="AH835" s="407"/>
    </row>
    <row r="836" spans="1:34" s="411" customFormat="1" ht="27.6">
      <c r="A836" s="405" t="s">
        <v>942</v>
      </c>
      <c r="B836" s="405" t="s">
        <v>945</v>
      </c>
      <c r="C836" s="402">
        <v>44253</v>
      </c>
      <c r="D836" s="403" t="s">
        <v>1028</v>
      </c>
      <c r="E836" s="404" t="s">
        <v>1261</v>
      </c>
      <c r="F836" s="405">
        <v>0.4069444444444445</v>
      </c>
      <c r="G836" s="405">
        <v>0.41319444444444442</v>
      </c>
      <c r="H836" s="405" t="s">
        <v>970</v>
      </c>
      <c r="I836" s="416">
        <v>732</v>
      </c>
      <c r="J836" s="405" t="str">
        <f>IFERROR(VLOOKUP(I836,'Chart of accounts'!A:H,2,FALSE),"")</f>
        <v>50103020 01</v>
      </c>
      <c r="K836" s="405" t="str">
        <f>IFERROR(VLOOKUP(I836,'Chart of accounts'!A:H,3,FALSE),"")</f>
        <v>Pag-IBIG - Civilian</v>
      </c>
      <c r="L836" s="405" t="str">
        <f>IFERROR(VLOOKUP(I836,'Chart of accounts'!A:H,4,FALSE),"")</f>
        <v>50103020 01 - Pag-IBIG - Civilian (732)</v>
      </c>
      <c r="M836" s="408">
        <v>85</v>
      </c>
      <c r="N836" s="409" t="s">
        <v>1174</v>
      </c>
      <c r="O836" s="409" t="s">
        <v>1260</v>
      </c>
      <c r="P836" s="409"/>
      <c r="Q836" s="65">
        <f>100-100</f>
        <v>0</v>
      </c>
      <c r="R836" s="63">
        <f t="shared" si="20"/>
        <v>0</v>
      </c>
      <c r="S836" s="63" t="str">
        <f>VLOOKUP(H836,'Fund Utilization Report'!$A$4:$U$1800,13,FALSE)</f>
        <v>PS</v>
      </c>
      <c r="T836" s="63" t="str">
        <f>VLOOKUP(H836,'Fund Utilization Report'!$A$4:$U$1800,2,FALSE)</f>
        <v>GAA</v>
      </c>
      <c r="U836" s="63" t="str">
        <f>VLOOKUP(H836,'Fund Utilization Report'!$A$4:$U$1800,3,FALSE)</f>
        <v>FY2021, RA11518</v>
      </c>
      <c r="V836" s="63" t="str">
        <f>VLOOKUP(H836,'Fund Utilization Report'!$A$4:$U$1800,4,FALSE)</f>
        <v>OO3</v>
      </c>
      <c r="W836" s="63" t="str">
        <f>VLOOKUP(H836,'Fund Utilization Report'!$A$4:$U$1800,5,FALSE)</f>
        <v>01101101</v>
      </c>
      <c r="X836" s="63" t="str">
        <f>VLOOKUP(H836,'Fund Utilization Report'!$A$4:$U$1800,6,FALSE)</f>
        <v>GOP</v>
      </c>
      <c r="Y836" s="417" t="str">
        <f>VLOOKUP(H836,'Fund Utilization Report'!$A$4:$U$1800,7,FALSE)</f>
        <v>PS</v>
      </c>
      <c r="Z836" s="418">
        <f>VLOOKUP(H836,'Fund Utilization Report'!$A$4:$U$1800,8,FALSE)</f>
        <v>5010000000</v>
      </c>
      <c r="AA836" s="63" t="str">
        <f>VLOOKUP(H836,'Fund Utilization Report'!$A$4:$U$1800,14,FALSE)</f>
        <v>330100100002000</v>
      </c>
      <c r="AB836" s="419" t="str">
        <f>VLOOKUP(H836,'Fund Utilization Report'!$A$4:$U$1800,15,FALSE)</f>
        <v>Implementation of the MSME Development Plan and other initiatives to promote the growth of Micro, Small and Medium Enterprises</v>
      </c>
      <c r="AC836" s="406"/>
      <c r="AD836" s="403"/>
      <c r="AE836" s="406"/>
      <c r="AF836" s="406"/>
      <c r="AG836" s="407"/>
      <c r="AH836" s="407"/>
    </row>
    <row r="837" spans="1:34" s="411" customFormat="1" ht="27.6">
      <c r="A837" s="405" t="s">
        <v>942</v>
      </c>
      <c r="B837" s="405" t="s">
        <v>945</v>
      </c>
      <c r="C837" s="402">
        <v>44253</v>
      </c>
      <c r="D837" s="403" t="s">
        <v>1028</v>
      </c>
      <c r="E837" s="404" t="s">
        <v>1261</v>
      </c>
      <c r="F837" s="405">
        <v>0.4069444444444445</v>
      </c>
      <c r="G837" s="405">
        <v>0.41319444444444442</v>
      </c>
      <c r="H837" s="405" t="s">
        <v>970</v>
      </c>
      <c r="I837" s="416">
        <v>733</v>
      </c>
      <c r="J837" s="405" t="str">
        <f>IFERROR(VLOOKUP(I837,'Chart of accounts'!A:H,2,FALSE),"")</f>
        <v>50103030 01</v>
      </c>
      <c r="K837" s="405" t="str">
        <f>IFERROR(VLOOKUP(I837,'Chart of accounts'!A:H,3,FALSE),"")</f>
        <v>PhilHealth - Civilian</v>
      </c>
      <c r="L837" s="405" t="str">
        <f>IFERROR(VLOOKUP(I837,'Chart of accounts'!A:H,4,FALSE),"")</f>
        <v>50103030 01 - PhilHealth - Civilian (733)</v>
      </c>
      <c r="M837" s="408">
        <v>85</v>
      </c>
      <c r="N837" s="409" t="s">
        <v>1174</v>
      </c>
      <c r="O837" s="409" t="s">
        <v>1260</v>
      </c>
      <c r="P837" s="409"/>
      <c r="Q837" s="65">
        <f>358.16-358.16</f>
        <v>0</v>
      </c>
      <c r="R837" s="63">
        <f t="shared" si="20"/>
        <v>0</v>
      </c>
      <c r="S837" s="63" t="str">
        <f>VLOOKUP(H837,'Fund Utilization Report'!$A$4:$U$1800,13,FALSE)</f>
        <v>PS</v>
      </c>
      <c r="T837" s="63" t="str">
        <f>VLOOKUP(H837,'Fund Utilization Report'!$A$4:$U$1800,2,FALSE)</f>
        <v>GAA</v>
      </c>
      <c r="U837" s="63" t="str">
        <f>VLOOKUP(H837,'Fund Utilization Report'!$A$4:$U$1800,3,FALSE)</f>
        <v>FY2021, RA11518</v>
      </c>
      <c r="V837" s="63" t="str">
        <f>VLOOKUP(H837,'Fund Utilization Report'!$A$4:$U$1800,4,FALSE)</f>
        <v>OO3</v>
      </c>
      <c r="W837" s="63" t="str">
        <f>VLOOKUP(H837,'Fund Utilization Report'!$A$4:$U$1800,5,FALSE)</f>
        <v>01101101</v>
      </c>
      <c r="X837" s="63" t="str">
        <f>VLOOKUP(H837,'Fund Utilization Report'!$A$4:$U$1800,6,FALSE)</f>
        <v>GOP</v>
      </c>
      <c r="Y837" s="417" t="str">
        <f>VLOOKUP(H837,'Fund Utilization Report'!$A$4:$U$1800,7,FALSE)</f>
        <v>PS</v>
      </c>
      <c r="Z837" s="418">
        <f>VLOOKUP(H837,'Fund Utilization Report'!$A$4:$U$1800,8,FALSE)</f>
        <v>5010000000</v>
      </c>
      <c r="AA837" s="63" t="str">
        <f>VLOOKUP(H837,'Fund Utilization Report'!$A$4:$U$1800,14,FALSE)</f>
        <v>330100100002000</v>
      </c>
      <c r="AB837" s="419" t="str">
        <f>VLOOKUP(H837,'Fund Utilization Report'!$A$4:$U$1800,15,FALSE)</f>
        <v>Implementation of the MSME Development Plan and other initiatives to promote the growth of Micro, Small and Medium Enterprises</v>
      </c>
      <c r="AC837" s="406"/>
      <c r="AD837" s="403"/>
      <c r="AE837" s="406"/>
      <c r="AF837" s="406"/>
      <c r="AG837" s="407"/>
      <c r="AH837" s="407"/>
    </row>
    <row r="838" spans="1:34" s="411" customFormat="1" ht="27.6">
      <c r="A838" s="405" t="s">
        <v>942</v>
      </c>
      <c r="B838" s="405" t="s">
        <v>945</v>
      </c>
      <c r="C838" s="402">
        <v>44253</v>
      </c>
      <c r="D838" s="403" t="s">
        <v>1028</v>
      </c>
      <c r="E838" s="404" t="s">
        <v>1261</v>
      </c>
      <c r="F838" s="405">
        <v>0.4069444444444445</v>
      </c>
      <c r="G838" s="405">
        <v>0.41319444444444442</v>
      </c>
      <c r="H838" s="405" t="s">
        <v>970</v>
      </c>
      <c r="I838" s="416">
        <v>734</v>
      </c>
      <c r="J838" s="405" t="str">
        <f>IFERROR(VLOOKUP(I838,'Chart of accounts'!A:H,2,FALSE),"")</f>
        <v>50103040 01</v>
      </c>
      <c r="K838" s="405" t="str">
        <f>IFERROR(VLOOKUP(I838,'Chart of accounts'!A:H,3,FALSE),"")</f>
        <v>ECIP - Civilian</v>
      </c>
      <c r="L838" s="405" t="str">
        <f>IFERROR(VLOOKUP(I838,'Chart of accounts'!A:H,4,FALSE),"")</f>
        <v>50103040 01 - ECIP - Civilian (734)</v>
      </c>
      <c r="M838" s="408">
        <v>85</v>
      </c>
      <c r="N838" s="409" t="s">
        <v>1174</v>
      </c>
      <c r="O838" s="409" t="s">
        <v>1260</v>
      </c>
      <c r="P838" s="409"/>
      <c r="Q838" s="65">
        <f>100-100</f>
        <v>0</v>
      </c>
      <c r="R838" s="63">
        <f t="shared" si="20"/>
        <v>0</v>
      </c>
      <c r="S838" s="63" t="str">
        <f>VLOOKUP(H838,'Fund Utilization Report'!$A$4:$U$1800,13,FALSE)</f>
        <v>PS</v>
      </c>
      <c r="T838" s="63" t="str">
        <f>VLOOKUP(H838,'Fund Utilization Report'!$A$4:$U$1800,2,FALSE)</f>
        <v>GAA</v>
      </c>
      <c r="U838" s="63" t="str">
        <f>VLOOKUP(H838,'Fund Utilization Report'!$A$4:$U$1800,3,FALSE)</f>
        <v>FY2021, RA11518</v>
      </c>
      <c r="V838" s="63" t="str">
        <f>VLOOKUP(H838,'Fund Utilization Report'!$A$4:$U$1800,4,FALSE)</f>
        <v>OO3</v>
      </c>
      <c r="W838" s="63" t="str">
        <f>VLOOKUP(H838,'Fund Utilization Report'!$A$4:$U$1800,5,FALSE)</f>
        <v>01101101</v>
      </c>
      <c r="X838" s="63" t="str">
        <f>VLOOKUP(H838,'Fund Utilization Report'!$A$4:$U$1800,6,FALSE)</f>
        <v>GOP</v>
      </c>
      <c r="Y838" s="417" t="str">
        <f>VLOOKUP(H838,'Fund Utilization Report'!$A$4:$U$1800,7,FALSE)</f>
        <v>PS</v>
      </c>
      <c r="Z838" s="418">
        <f>VLOOKUP(H838,'Fund Utilization Report'!$A$4:$U$1800,8,FALSE)</f>
        <v>5010000000</v>
      </c>
      <c r="AA838" s="63" t="str">
        <f>VLOOKUP(H838,'Fund Utilization Report'!$A$4:$U$1800,14,FALSE)</f>
        <v>330100100002000</v>
      </c>
      <c r="AB838" s="419" t="str">
        <f>VLOOKUP(H838,'Fund Utilization Report'!$A$4:$U$1800,15,FALSE)</f>
        <v>Implementation of the MSME Development Plan and other initiatives to promote the growth of Micro, Small and Medium Enterprises</v>
      </c>
      <c r="AC838" s="406"/>
      <c r="AD838" s="403"/>
      <c r="AE838" s="406"/>
      <c r="AF838" s="406"/>
      <c r="AG838" s="407"/>
      <c r="AH838" s="407"/>
    </row>
    <row r="839" spans="1:34" s="411" customFormat="1">
      <c r="A839" s="405" t="s">
        <v>942</v>
      </c>
      <c r="B839" s="405" t="s">
        <v>945</v>
      </c>
      <c r="C839" s="402">
        <v>44253</v>
      </c>
      <c r="D839" s="403" t="s">
        <v>1028</v>
      </c>
      <c r="E839" s="404" t="s">
        <v>1262</v>
      </c>
      <c r="F839" s="405">
        <v>0.41944444444444445</v>
      </c>
      <c r="G839" s="405">
        <v>0.42083333333333334</v>
      </c>
      <c r="H839" s="405" t="s">
        <v>1221</v>
      </c>
      <c r="I839" s="416">
        <v>799</v>
      </c>
      <c r="J839" s="405" t="str">
        <f>IFERROR(VLOOKUP(I839,'Chart of accounts'!A:H,2,FALSE),"")</f>
        <v>50211990 00</v>
      </c>
      <c r="K839" s="405" t="str">
        <f>IFERROR(VLOOKUP(I839,'Chart of accounts'!A:H,3,FALSE),"")</f>
        <v>Other Professional Services</v>
      </c>
      <c r="L839" s="405" t="str">
        <f>IFERROR(VLOOKUP(I839,'Chart of accounts'!A:H,4,FALSE),"")</f>
        <v>50211990 00 - Other Professional Services (799)</v>
      </c>
      <c r="M839" s="408">
        <v>1</v>
      </c>
      <c r="N839" s="409" t="s">
        <v>1030</v>
      </c>
      <c r="O839" s="409" t="s">
        <v>1263</v>
      </c>
      <c r="P839" s="409"/>
      <c r="Q839" s="65">
        <f>83842.21-83842.21</f>
        <v>0</v>
      </c>
      <c r="R839" s="63">
        <f t="shared" si="20"/>
        <v>0</v>
      </c>
      <c r="S839" s="63" t="str">
        <f>VLOOKUP(H839,'Fund Utilization Report'!$A$4:$U$1800,13,FALSE)</f>
        <v>MOOE</v>
      </c>
      <c r="T839" s="63" t="str">
        <f>VLOOKUP(H839,'Fund Utilization Report'!$A$4:$U$1800,2,FALSE)</f>
        <v>SAA040</v>
      </c>
      <c r="U839" s="63" t="str">
        <f>VLOOKUP(H839,'Fund Utilization Report'!$A$4:$U$1800,3,FALSE)</f>
        <v>21-02-0040</v>
      </c>
      <c r="V839" s="63" t="str">
        <f>VLOOKUP(H839,'Fund Utilization Report'!$A$4:$U$1800,4,FALSE)</f>
        <v>RAPID GOP</v>
      </c>
      <c r="W839" s="63" t="str">
        <f>VLOOKUP(H839,'Fund Utilization Report'!$A$4:$U$1800,5,FALSE)</f>
        <v>01101101</v>
      </c>
      <c r="X839" s="63" t="str">
        <f>VLOOKUP(H839,'Fund Utilization Report'!$A$4:$U$1800,6,FALSE)</f>
        <v>GOP</v>
      </c>
      <c r="Y839" s="417">
        <f>VLOOKUP(H839,'Fund Utilization Report'!$A$4:$U$1800,7,FALSE)</f>
        <v>799</v>
      </c>
      <c r="Z839" s="418">
        <f>VLOOKUP(H839,'Fund Utilization Report'!$A$4:$U$1800,8,FALSE)</f>
        <v>5021199000</v>
      </c>
      <c r="AA839" s="63" t="str">
        <f>VLOOKUP(H839,'Fund Utilization Report'!$A$4:$U$1800,14,FALSE)</f>
        <v>330100300001000</v>
      </c>
      <c r="AB839" s="419" t="str">
        <f>VLOOKUP(H839,'Fund Utilization Report'!$A$4:$U$1800,15,FALSE)</f>
        <v>Rural Agro Enterprise Partnership for Inclusive Development (RAPID) Growth GOP Continuing</v>
      </c>
      <c r="AC839" s="406"/>
      <c r="AD839" s="403"/>
      <c r="AE839" s="406"/>
      <c r="AF839" s="406"/>
      <c r="AG839" s="407"/>
      <c r="AH839" s="407"/>
    </row>
    <row r="840" spans="1:34" s="443" customFormat="1">
      <c r="A840" s="434" t="s">
        <v>942</v>
      </c>
      <c r="B840" s="457" t="s">
        <v>946</v>
      </c>
      <c r="C840" s="233">
        <v>44257</v>
      </c>
      <c r="D840" s="435" t="s">
        <v>1267</v>
      </c>
      <c r="E840" s="436" t="s">
        <v>1268</v>
      </c>
      <c r="F840" s="434">
        <v>0.56874999999999998</v>
      </c>
      <c r="G840" s="434">
        <v>0.56944444444444442</v>
      </c>
      <c r="H840" s="434" t="s">
        <v>1221</v>
      </c>
      <c r="I840" s="437">
        <v>799</v>
      </c>
      <c r="J840" s="434" t="str">
        <f>IFERROR(VLOOKUP(I840,'Chart of accounts'!A:H,2,FALSE),"")</f>
        <v>50211990 00</v>
      </c>
      <c r="K840" s="434" t="str">
        <f>IFERROR(VLOOKUP(I840,'Chart of accounts'!A:H,3,FALSE),"")</f>
        <v>Other Professional Services</v>
      </c>
      <c r="L840" s="434" t="str">
        <f>IFERROR(VLOOKUP(I840,'Chart of accounts'!A:H,4,FALSE),"")</f>
        <v>50211990 00 - Other Professional Services (799)</v>
      </c>
      <c r="M840" s="438">
        <v>1</v>
      </c>
      <c r="N840" s="439" t="s">
        <v>1030</v>
      </c>
      <c r="O840" s="439" t="s">
        <v>1263</v>
      </c>
      <c r="P840" s="439"/>
      <c r="Q840" s="50">
        <f>83842.21</f>
        <v>83842.210000000006</v>
      </c>
      <c r="R840" s="239">
        <f>P840-Q840</f>
        <v>-83842.210000000006</v>
      </c>
      <c r="S840" s="239" t="str">
        <f>VLOOKUP(H840,'Fund Utilization Report'!$A$4:$U$1800,13,FALSE)</f>
        <v>MOOE</v>
      </c>
      <c r="T840" s="239" t="str">
        <f>VLOOKUP(H840,'Fund Utilization Report'!$A$4:$U$1800,2,FALSE)</f>
        <v>SAA040</v>
      </c>
      <c r="U840" s="239" t="str">
        <f>VLOOKUP(H840,'Fund Utilization Report'!$A$4:$U$1800,3,FALSE)</f>
        <v>21-02-0040</v>
      </c>
      <c r="V840" s="239" t="str">
        <f>VLOOKUP(H840,'Fund Utilization Report'!$A$4:$U$1800,4,FALSE)</f>
        <v>RAPID GOP</v>
      </c>
      <c r="W840" s="239" t="str">
        <f>VLOOKUP(H840,'Fund Utilization Report'!$A$4:$U$1800,5,FALSE)</f>
        <v>01101101</v>
      </c>
      <c r="X840" s="239" t="str">
        <f>VLOOKUP(H840,'Fund Utilization Report'!$A$4:$U$1800,6,FALSE)</f>
        <v>GOP</v>
      </c>
      <c r="Y840" s="440">
        <f>VLOOKUP(H840,'Fund Utilization Report'!$A$4:$U$1800,7,FALSE)</f>
        <v>799</v>
      </c>
      <c r="Z840" s="441">
        <f>VLOOKUP(H840,'Fund Utilization Report'!$A$4:$U$1800,8,FALSE)</f>
        <v>5021199000</v>
      </c>
      <c r="AA840" s="239" t="str">
        <f>VLOOKUP(H840,'Fund Utilization Report'!$A$4:$U$1800,14,FALSE)</f>
        <v>330100300001000</v>
      </c>
      <c r="AB840" s="242" t="str">
        <f>VLOOKUP(H840,'Fund Utilization Report'!$A$4:$U$1800,15,FALSE)</f>
        <v>Rural Agro Enterprise Partnership for Inclusive Development (RAPID) Growth GOP Continuing</v>
      </c>
      <c r="AC840" s="51"/>
      <c r="AD840" s="435"/>
      <c r="AE840" s="51"/>
      <c r="AF840" s="51"/>
      <c r="AG840" s="442"/>
      <c r="AH840" s="442"/>
    </row>
    <row r="841" spans="1:34" s="443" customFormat="1">
      <c r="A841" s="434" t="s">
        <v>942</v>
      </c>
      <c r="B841" s="457" t="s">
        <v>946</v>
      </c>
      <c r="C841" s="233">
        <v>44257</v>
      </c>
      <c r="D841" s="435" t="s">
        <v>1267</v>
      </c>
      <c r="E841" s="436" t="s">
        <v>1269</v>
      </c>
      <c r="F841" s="434">
        <v>0.56944444444444442</v>
      </c>
      <c r="G841" s="434">
        <v>0.57152777777777775</v>
      </c>
      <c r="H841" s="434" t="s">
        <v>1221</v>
      </c>
      <c r="I841" s="437">
        <v>799</v>
      </c>
      <c r="J841" s="434" t="str">
        <f>IFERROR(VLOOKUP(I841,'Chart of accounts'!A:H,2,FALSE),"")</f>
        <v>50211990 00</v>
      </c>
      <c r="K841" s="434" t="str">
        <f>IFERROR(VLOOKUP(I841,'Chart of accounts'!A:H,3,FALSE),"")</f>
        <v>Other Professional Services</v>
      </c>
      <c r="L841" s="434" t="str">
        <f>IFERROR(VLOOKUP(I841,'Chart of accounts'!A:H,4,FALSE),"")</f>
        <v>50211990 00 - Other Professional Services (799)</v>
      </c>
      <c r="M841" s="438">
        <v>1</v>
      </c>
      <c r="N841" s="439" t="s">
        <v>1030</v>
      </c>
      <c r="O841" s="439" t="s">
        <v>1263</v>
      </c>
      <c r="P841" s="439"/>
      <c r="Q841" s="50">
        <f>83842.21</f>
        <v>83842.210000000006</v>
      </c>
      <c r="R841" s="239">
        <f t="shared" ref="R841:R847" si="21">P841-Q841</f>
        <v>-83842.210000000006</v>
      </c>
      <c r="S841" s="239" t="str">
        <f>VLOOKUP(H841,'Fund Utilization Report'!$A$4:$U$1800,13,FALSE)</f>
        <v>MOOE</v>
      </c>
      <c r="T841" s="239" t="str">
        <f>VLOOKUP(H841,'Fund Utilization Report'!$A$4:$U$1800,2,FALSE)</f>
        <v>SAA040</v>
      </c>
      <c r="U841" s="239" t="str">
        <f>VLOOKUP(H841,'Fund Utilization Report'!$A$4:$U$1800,3,FALSE)</f>
        <v>21-02-0040</v>
      </c>
      <c r="V841" s="239" t="str">
        <f>VLOOKUP(H841,'Fund Utilization Report'!$A$4:$U$1800,4,FALSE)</f>
        <v>RAPID GOP</v>
      </c>
      <c r="W841" s="239" t="str">
        <f>VLOOKUP(H841,'Fund Utilization Report'!$A$4:$U$1800,5,FALSE)</f>
        <v>01101101</v>
      </c>
      <c r="X841" s="239" t="str">
        <f>VLOOKUP(H841,'Fund Utilization Report'!$A$4:$U$1800,6,FALSE)</f>
        <v>GOP</v>
      </c>
      <c r="Y841" s="440">
        <f>VLOOKUP(H841,'Fund Utilization Report'!$A$4:$U$1800,7,FALSE)</f>
        <v>799</v>
      </c>
      <c r="Z841" s="441">
        <f>VLOOKUP(H841,'Fund Utilization Report'!$A$4:$U$1800,8,FALSE)</f>
        <v>5021199000</v>
      </c>
      <c r="AA841" s="239" t="str">
        <f>VLOOKUP(H841,'Fund Utilization Report'!$A$4:$U$1800,14,FALSE)</f>
        <v>330100300001000</v>
      </c>
      <c r="AB841" s="242" t="str">
        <f>VLOOKUP(H841,'Fund Utilization Report'!$A$4:$U$1800,15,FALSE)</f>
        <v>Rural Agro Enterprise Partnership for Inclusive Development (RAPID) Growth GOP Continuing</v>
      </c>
      <c r="AC841" s="51"/>
      <c r="AD841" s="435"/>
      <c r="AE841" s="51"/>
      <c r="AF841" s="51"/>
      <c r="AG841" s="442"/>
      <c r="AH841" s="442"/>
    </row>
    <row r="842" spans="1:34" s="32" customFormat="1" ht="27.6">
      <c r="A842" s="434" t="s">
        <v>942</v>
      </c>
      <c r="B842" s="457" t="s">
        <v>946</v>
      </c>
      <c r="C842" s="233">
        <v>44257</v>
      </c>
      <c r="D842" s="435" t="s">
        <v>1267</v>
      </c>
      <c r="E842" s="436" t="s">
        <v>1270</v>
      </c>
      <c r="F842" s="434">
        <v>0.57152777777777775</v>
      </c>
      <c r="G842" s="338">
        <v>0.57430555555555551</v>
      </c>
      <c r="H842" s="338" t="s">
        <v>970</v>
      </c>
      <c r="I842" s="353">
        <v>701</v>
      </c>
      <c r="J842" s="338" t="str">
        <f>IFERROR(VLOOKUP(I842,'Chart of accounts'!A:H,2,FALSE),"")</f>
        <v>50101010 01</v>
      </c>
      <c r="K842" s="338" t="str">
        <f>IFERROR(VLOOKUP(I842,'Chart of accounts'!A:H,3,FALSE),"")</f>
        <v>Basic Salary - Civilian</v>
      </c>
      <c r="L842" s="338" t="str">
        <f>IFERROR(VLOOKUP(I842,'Chart of accounts'!A:H,4,FALSE),"")</f>
        <v>50101010 01 - Basic Salary - Civilian (701)</v>
      </c>
      <c r="M842" s="361">
        <v>68</v>
      </c>
      <c r="N842" s="355" t="s">
        <v>1176</v>
      </c>
      <c r="O842" s="355" t="s">
        <v>1260</v>
      </c>
      <c r="P842" s="355"/>
      <c r="Q842" s="363">
        <v>23877</v>
      </c>
      <c r="R842" s="428">
        <f t="shared" si="21"/>
        <v>-23877</v>
      </c>
      <c r="S842" s="428" t="str">
        <f>VLOOKUP(H842,'Fund Utilization Report'!$A$4:$U$1800,13,FALSE)</f>
        <v>PS</v>
      </c>
      <c r="T842" s="428" t="str">
        <f>VLOOKUP(H842,'Fund Utilization Report'!$A$4:$U$1800,2,FALSE)</f>
        <v>GAA</v>
      </c>
      <c r="U842" s="428" t="str">
        <f>VLOOKUP(H842,'Fund Utilization Report'!$A$4:$U$1800,3,FALSE)</f>
        <v>FY2021, RA11518</v>
      </c>
      <c r="V842" s="428" t="str">
        <f>VLOOKUP(H842,'Fund Utilization Report'!$A$4:$U$1800,4,FALSE)</f>
        <v>OO3</v>
      </c>
      <c r="W842" s="428" t="str">
        <f>VLOOKUP(H842,'Fund Utilization Report'!$A$4:$U$1800,5,FALSE)</f>
        <v>01101101</v>
      </c>
      <c r="X842" s="428" t="str">
        <f>VLOOKUP(H842,'Fund Utilization Report'!$A$4:$U$1800,6,FALSE)</f>
        <v>GOP</v>
      </c>
      <c r="Y842" s="320" t="str">
        <f>VLOOKUP(H842,'Fund Utilization Report'!$A$4:$U$1800,7,FALSE)</f>
        <v>PS</v>
      </c>
      <c r="Z842" s="425">
        <f>VLOOKUP(H842,'Fund Utilization Report'!$A$4:$U$1800,8,FALSE)</f>
        <v>5010000000</v>
      </c>
      <c r="AA842" s="428" t="str">
        <f>VLOOKUP(H842,'Fund Utilization Report'!$A$4:$U$1800,14,FALSE)</f>
        <v>330100100002000</v>
      </c>
      <c r="AB842" s="349" t="str">
        <f>VLOOKUP(H842,'Fund Utilization Report'!$A$4:$U$1800,15,FALSE)</f>
        <v>Implementation of the MSME Development Plan and other initiatives to promote the growth of Micro, Small and Medium Enterprises</v>
      </c>
      <c r="AC842" s="39"/>
      <c r="AD842" s="34"/>
      <c r="AE842" s="39"/>
      <c r="AF842" s="51"/>
      <c r="AG842" s="40"/>
      <c r="AH842" s="40"/>
    </row>
    <row r="843" spans="1:34" s="32" customFormat="1" ht="27.6">
      <c r="A843" s="434" t="s">
        <v>942</v>
      </c>
      <c r="B843" s="457" t="s">
        <v>946</v>
      </c>
      <c r="C843" s="233">
        <v>44257</v>
      </c>
      <c r="D843" s="435" t="s">
        <v>1267</v>
      </c>
      <c r="E843" s="436" t="s">
        <v>1270</v>
      </c>
      <c r="F843" s="434">
        <v>0.57152777777777775</v>
      </c>
      <c r="G843" s="338">
        <v>0.57430555555555551</v>
      </c>
      <c r="H843" s="338" t="s">
        <v>970</v>
      </c>
      <c r="I843" s="353">
        <v>711</v>
      </c>
      <c r="J843" s="338" t="str">
        <f>IFERROR(VLOOKUP(I843,'Chart of accounts'!A:H,2,FALSE),"")</f>
        <v>50102010 01</v>
      </c>
      <c r="K843" s="338" t="str">
        <f>IFERROR(VLOOKUP(I843,'Chart of accounts'!A:H,3,FALSE),"")</f>
        <v>PERA - Civilian</v>
      </c>
      <c r="L843" s="338" t="str">
        <f>IFERROR(VLOOKUP(I843,'Chart of accounts'!A:H,4,FALSE),"")</f>
        <v>50102010 01 - PERA - Civilian (711)</v>
      </c>
      <c r="M843" s="361">
        <v>68</v>
      </c>
      <c r="N843" s="355" t="s">
        <v>1176</v>
      </c>
      <c r="O843" s="355" t="s">
        <v>1260</v>
      </c>
      <c r="P843" s="355"/>
      <c r="Q843" s="363">
        <v>2000</v>
      </c>
      <c r="R843" s="428">
        <f t="shared" si="21"/>
        <v>-2000</v>
      </c>
      <c r="S843" s="428" t="str">
        <f>VLOOKUP(H843,'Fund Utilization Report'!$A$4:$U$1800,13,FALSE)</f>
        <v>PS</v>
      </c>
      <c r="T843" s="428" t="str">
        <f>VLOOKUP(H843,'Fund Utilization Report'!$A$4:$U$1800,2,FALSE)</f>
        <v>GAA</v>
      </c>
      <c r="U843" s="428" t="str">
        <f>VLOOKUP(H843,'Fund Utilization Report'!$A$4:$U$1800,3,FALSE)</f>
        <v>FY2021, RA11518</v>
      </c>
      <c r="V843" s="428" t="str">
        <f>VLOOKUP(H843,'Fund Utilization Report'!$A$4:$U$1800,4,FALSE)</f>
        <v>OO3</v>
      </c>
      <c r="W843" s="428" t="str">
        <f>VLOOKUP(H843,'Fund Utilization Report'!$A$4:$U$1800,5,FALSE)</f>
        <v>01101101</v>
      </c>
      <c r="X843" s="428" t="str">
        <f>VLOOKUP(H843,'Fund Utilization Report'!$A$4:$U$1800,6,FALSE)</f>
        <v>GOP</v>
      </c>
      <c r="Y843" s="320" t="str">
        <f>VLOOKUP(H843,'Fund Utilization Report'!$A$4:$U$1800,7,FALSE)</f>
        <v>PS</v>
      </c>
      <c r="Z843" s="425">
        <f>VLOOKUP(H843,'Fund Utilization Report'!$A$4:$U$1800,8,FALSE)</f>
        <v>5010000000</v>
      </c>
      <c r="AA843" s="428" t="str">
        <f>VLOOKUP(H843,'Fund Utilization Report'!$A$4:$U$1800,14,FALSE)</f>
        <v>330100100002000</v>
      </c>
      <c r="AB843" s="349" t="str">
        <f>VLOOKUP(H843,'Fund Utilization Report'!$A$4:$U$1800,15,FALSE)</f>
        <v>Implementation of the MSME Development Plan and other initiatives to promote the growth of Micro, Small and Medium Enterprises</v>
      </c>
      <c r="AC843" s="39"/>
      <c r="AD843" s="34"/>
      <c r="AE843" s="39"/>
      <c r="AF843" s="51"/>
      <c r="AG843" s="40"/>
      <c r="AH843" s="40"/>
    </row>
    <row r="844" spans="1:34" s="32" customFormat="1" ht="27.6">
      <c r="A844" s="434" t="s">
        <v>942</v>
      </c>
      <c r="B844" s="457" t="s">
        <v>946</v>
      </c>
      <c r="C844" s="233">
        <v>44257</v>
      </c>
      <c r="D844" s="435" t="s">
        <v>1267</v>
      </c>
      <c r="E844" s="436" t="s">
        <v>1270</v>
      </c>
      <c r="F844" s="434">
        <v>0.57152777777777775</v>
      </c>
      <c r="G844" s="338">
        <v>0.57430555555555551</v>
      </c>
      <c r="H844" s="338" t="s">
        <v>972</v>
      </c>
      <c r="I844" s="353">
        <v>731</v>
      </c>
      <c r="J844" s="338" t="str">
        <f>IFERROR(VLOOKUP(I844,'Chart of accounts'!A:H,2,FALSE),"")</f>
        <v>50103010 00</v>
      </c>
      <c r="K844" s="338" t="str">
        <f>IFERROR(VLOOKUP(I844,'Chart of accounts'!A:H,3,FALSE),"")</f>
        <v>Retirement and Life Insurance Premiums</v>
      </c>
      <c r="L844" s="338" t="str">
        <f>IFERROR(VLOOKUP(I844,'Chart of accounts'!A:H,4,FALSE),"")</f>
        <v>50103010 00 - Retirement and Life Insurance Premiums (731)</v>
      </c>
      <c r="M844" s="361">
        <v>68</v>
      </c>
      <c r="N844" s="355" t="s">
        <v>1176</v>
      </c>
      <c r="O844" s="355" t="s">
        <v>1260</v>
      </c>
      <c r="P844" s="355"/>
      <c r="Q844" s="363">
        <v>2865.24</v>
      </c>
      <c r="R844" s="428">
        <f t="shared" si="21"/>
        <v>-2865.24</v>
      </c>
      <c r="S844" s="428" t="str">
        <f>VLOOKUP(H844,'Fund Utilization Report'!$A$4:$U$1800,13,FALSE)</f>
        <v>PS</v>
      </c>
      <c r="T844" s="428" t="str">
        <f>VLOOKUP(H844,'Fund Utilization Report'!$A$4:$U$1800,2,FALSE)</f>
        <v>GAA</v>
      </c>
      <c r="U844" s="428" t="str">
        <f>VLOOKUP(H844,'Fund Utilization Report'!$A$4:$U$1800,3,FALSE)</f>
        <v>FY2021, RA11518</v>
      </c>
      <c r="V844" s="428" t="str">
        <f>VLOOKUP(H844,'Fund Utilization Report'!$A$4:$U$1800,4,FALSE)</f>
        <v>OO3</v>
      </c>
      <c r="W844" s="428" t="str">
        <f>VLOOKUP(H844,'Fund Utilization Report'!$A$4:$U$1800,5,FALSE)</f>
        <v>01101101</v>
      </c>
      <c r="X844" s="428" t="str">
        <f>VLOOKUP(H844,'Fund Utilization Report'!$A$4:$U$1800,6,FALSE)</f>
        <v>GOP</v>
      </c>
      <c r="Y844" s="320" t="str">
        <f>VLOOKUP(H844,'Fund Utilization Report'!$A$4:$U$1800,7,FALSE)</f>
        <v>RLIP</v>
      </c>
      <c r="Z844" s="425" t="str">
        <f>VLOOKUP(H844,'Fund Utilization Report'!$A$4:$U$1800,8,FALSE)</f>
        <v>50103010-00</v>
      </c>
      <c r="AA844" s="428" t="str">
        <f>VLOOKUP(H844,'Fund Utilization Report'!$A$4:$U$1800,14,FALSE)</f>
        <v>330100100002000</v>
      </c>
      <c r="AB844" s="349" t="str">
        <f>VLOOKUP(H844,'Fund Utilization Report'!$A$4:$U$1800,15,FALSE)</f>
        <v>Implementation of the MSME Development Plan and other initiatives to promote the growth of Micro, Small and Medium Enterprises</v>
      </c>
      <c r="AC844" s="39"/>
      <c r="AD844" s="34"/>
      <c r="AE844" s="39"/>
      <c r="AF844" s="51"/>
      <c r="AG844" s="40"/>
      <c r="AH844" s="40"/>
    </row>
    <row r="845" spans="1:34" s="32" customFormat="1" ht="27.6">
      <c r="A845" s="434" t="s">
        <v>942</v>
      </c>
      <c r="B845" s="457" t="s">
        <v>946</v>
      </c>
      <c r="C845" s="233">
        <v>44257</v>
      </c>
      <c r="D845" s="435" t="s">
        <v>1267</v>
      </c>
      <c r="E845" s="436" t="s">
        <v>1270</v>
      </c>
      <c r="F845" s="434">
        <v>0.57152777777777775</v>
      </c>
      <c r="G845" s="338">
        <v>0.57430555555555551</v>
      </c>
      <c r="H845" s="338" t="s">
        <v>970</v>
      </c>
      <c r="I845" s="353">
        <v>732</v>
      </c>
      <c r="J845" s="338" t="str">
        <f>IFERROR(VLOOKUP(I845,'Chart of accounts'!A:H,2,FALSE),"")</f>
        <v>50103020 01</v>
      </c>
      <c r="K845" s="338" t="str">
        <f>IFERROR(VLOOKUP(I845,'Chart of accounts'!A:H,3,FALSE),"")</f>
        <v>Pag-IBIG - Civilian</v>
      </c>
      <c r="L845" s="338" t="str">
        <f>IFERROR(VLOOKUP(I845,'Chart of accounts'!A:H,4,FALSE),"")</f>
        <v>50103020 01 - Pag-IBIG - Civilian (732)</v>
      </c>
      <c r="M845" s="361">
        <v>68</v>
      </c>
      <c r="N845" s="355" t="s">
        <v>1176</v>
      </c>
      <c r="O845" s="355" t="s">
        <v>1260</v>
      </c>
      <c r="P845" s="355"/>
      <c r="Q845" s="363">
        <v>100</v>
      </c>
      <c r="R845" s="428">
        <f t="shared" si="21"/>
        <v>-100</v>
      </c>
      <c r="S845" s="428" t="str">
        <f>VLOOKUP(H845,'Fund Utilization Report'!$A$4:$U$1800,13,FALSE)</f>
        <v>PS</v>
      </c>
      <c r="T845" s="428" t="str">
        <f>VLOOKUP(H845,'Fund Utilization Report'!$A$4:$U$1800,2,FALSE)</f>
        <v>GAA</v>
      </c>
      <c r="U845" s="428" t="str">
        <f>VLOOKUP(H845,'Fund Utilization Report'!$A$4:$U$1800,3,FALSE)</f>
        <v>FY2021, RA11518</v>
      </c>
      <c r="V845" s="428" t="str">
        <f>VLOOKUP(H845,'Fund Utilization Report'!$A$4:$U$1800,4,FALSE)</f>
        <v>OO3</v>
      </c>
      <c r="W845" s="428" t="str">
        <f>VLOOKUP(H845,'Fund Utilization Report'!$A$4:$U$1800,5,FALSE)</f>
        <v>01101101</v>
      </c>
      <c r="X845" s="428" t="str">
        <f>VLOOKUP(H845,'Fund Utilization Report'!$A$4:$U$1800,6,FALSE)</f>
        <v>GOP</v>
      </c>
      <c r="Y845" s="320" t="str">
        <f>VLOOKUP(H845,'Fund Utilization Report'!$A$4:$U$1800,7,FALSE)</f>
        <v>PS</v>
      </c>
      <c r="Z845" s="425">
        <f>VLOOKUP(H845,'Fund Utilization Report'!$A$4:$U$1800,8,FALSE)</f>
        <v>5010000000</v>
      </c>
      <c r="AA845" s="428" t="str">
        <f>VLOOKUP(H845,'Fund Utilization Report'!$A$4:$U$1800,14,FALSE)</f>
        <v>330100100002000</v>
      </c>
      <c r="AB845" s="349" t="str">
        <f>VLOOKUP(H845,'Fund Utilization Report'!$A$4:$U$1800,15,FALSE)</f>
        <v>Implementation of the MSME Development Plan and other initiatives to promote the growth of Micro, Small and Medium Enterprises</v>
      </c>
      <c r="AC845" s="39"/>
      <c r="AD845" s="34"/>
      <c r="AE845" s="39"/>
      <c r="AF845" s="51"/>
      <c r="AG845" s="40"/>
      <c r="AH845" s="40"/>
    </row>
    <row r="846" spans="1:34" s="32" customFormat="1" ht="27.6">
      <c r="A846" s="434" t="s">
        <v>942</v>
      </c>
      <c r="B846" s="457" t="s">
        <v>946</v>
      </c>
      <c r="C846" s="233">
        <v>44257</v>
      </c>
      <c r="D846" s="435" t="s">
        <v>1267</v>
      </c>
      <c r="E846" s="436" t="s">
        <v>1270</v>
      </c>
      <c r="F846" s="434">
        <v>0.57152777777777775</v>
      </c>
      <c r="G846" s="338">
        <v>0.57430555555555551</v>
      </c>
      <c r="H846" s="338" t="s">
        <v>970</v>
      </c>
      <c r="I846" s="353">
        <v>733</v>
      </c>
      <c r="J846" s="338" t="str">
        <f>IFERROR(VLOOKUP(I846,'Chart of accounts'!A:H,2,FALSE),"")</f>
        <v>50103030 01</v>
      </c>
      <c r="K846" s="338" t="str">
        <f>IFERROR(VLOOKUP(I846,'Chart of accounts'!A:H,3,FALSE),"")</f>
        <v>PhilHealth - Civilian</v>
      </c>
      <c r="L846" s="338" t="str">
        <f>IFERROR(VLOOKUP(I846,'Chart of accounts'!A:H,4,FALSE),"")</f>
        <v>50103030 01 - PhilHealth - Civilian (733)</v>
      </c>
      <c r="M846" s="361">
        <v>68</v>
      </c>
      <c r="N846" s="355" t="s">
        <v>1176</v>
      </c>
      <c r="O846" s="355" t="s">
        <v>1260</v>
      </c>
      <c r="P846" s="355"/>
      <c r="Q846" s="363">
        <v>358.16</v>
      </c>
      <c r="R846" s="428">
        <f t="shared" si="21"/>
        <v>-358.16</v>
      </c>
      <c r="S846" s="428" t="str">
        <f>VLOOKUP(H846,'Fund Utilization Report'!$A$4:$U$1800,13,FALSE)</f>
        <v>PS</v>
      </c>
      <c r="T846" s="428" t="str">
        <f>VLOOKUP(H846,'Fund Utilization Report'!$A$4:$U$1800,2,FALSE)</f>
        <v>GAA</v>
      </c>
      <c r="U846" s="428" t="str">
        <f>VLOOKUP(H846,'Fund Utilization Report'!$A$4:$U$1800,3,FALSE)</f>
        <v>FY2021, RA11518</v>
      </c>
      <c r="V846" s="428" t="str">
        <f>VLOOKUP(H846,'Fund Utilization Report'!$A$4:$U$1800,4,FALSE)</f>
        <v>OO3</v>
      </c>
      <c r="W846" s="428" t="str">
        <f>VLOOKUP(H846,'Fund Utilization Report'!$A$4:$U$1800,5,FALSE)</f>
        <v>01101101</v>
      </c>
      <c r="X846" s="428" t="str">
        <f>VLOOKUP(H846,'Fund Utilization Report'!$A$4:$U$1800,6,FALSE)</f>
        <v>GOP</v>
      </c>
      <c r="Y846" s="320" t="str">
        <f>VLOOKUP(H846,'Fund Utilization Report'!$A$4:$U$1800,7,FALSE)</f>
        <v>PS</v>
      </c>
      <c r="Z846" s="425">
        <f>VLOOKUP(H846,'Fund Utilization Report'!$A$4:$U$1800,8,FALSE)</f>
        <v>5010000000</v>
      </c>
      <c r="AA846" s="428" t="str">
        <f>VLOOKUP(H846,'Fund Utilization Report'!$A$4:$U$1800,14,FALSE)</f>
        <v>330100100002000</v>
      </c>
      <c r="AB846" s="349" t="str">
        <f>VLOOKUP(H846,'Fund Utilization Report'!$A$4:$U$1800,15,FALSE)</f>
        <v>Implementation of the MSME Development Plan and other initiatives to promote the growth of Micro, Small and Medium Enterprises</v>
      </c>
      <c r="AC846" s="39"/>
      <c r="AD846" s="34"/>
      <c r="AE846" s="39"/>
      <c r="AF846" s="51"/>
      <c r="AG846" s="40"/>
      <c r="AH846" s="40"/>
    </row>
    <row r="847" spans="1:34" s="32" customFormat="1" ht="27.6">
      <c r="A847" s="434" t="s">
        <v>942</v>
      </c>
      <c r="B847" s="457" t="s">
        <v>946</v>
      </c>
      <c r="C847" s="233">
        <v>44257</v>
      </c>
      <c r="D847" s="435" t="s">
        <v>1267</v>
      </c>
      <c r="E847" s="436" t="s">
        <v>1270</v>
      </c>
      <c r="F847" s="434">
        <v>0.57152777777777775</v>
      </c>
      <c r="G847" s="338">
        <v>0.57430555555555551</v>
      </c>
      <c r="H847" s="338" t="s">
        <v>970</v>
      </c>
      <c r="I847" s="353">
        <v>734</v>
      </c>
      <c r="J847" s="338" t="str">
        <f>IFERROR(VLOOKUP(I847,'Chart of accounts'!A:H,2,FALSE),"")</f>
        <v>50103040 01</v>
      </c>
      <c r="K847" s="338" t="str">
        <f>IFERROR(VLOOKUP(I847,'Chart of accounts'!A:H,3,FALSE),"")</f>
        <v>ECIP - Civilian</v>
      </c>
      <c r="L847" s="338" t="str">
        <f>IFERROR(VLOOKUP(I847,'Chart of accounts'!A:H,4,FALSE),"")</f>
        <v>50103040 01 - ECIP - Civilian (734)</v>
      </c>
      <c r="M847" s="361">
        <v>68</v>
      </c>
      <c r="N847" s="355" t="s">
        <v>1176</v>
      </c>
      <c r="O847" s="355" t="s">
        <v>1260</v>
      </c>
      <c r="P847" s="355"/>
      <c r="Q847" s="363">
        <v>100</v>
      </c>
      <c r="R847" s="428">
        <f t="shared" si="21"/>
        <v>-100</v>
      </c>
      <c r="S847" s="428" t="str">
        <f>VLOOKUP(H847,'Fund Utilization Report'!$A$4:$U$1800,13,FALSE)</f>
        <v>PS</v>
      </c>
      <c r="T847" s="428" t="str">
        <f>VLOOKUP(H847,'Fund Utilization Report'!$A$4:$U$1800,2,FALSE)</f>
        <v>GAA</v>
      </c>
      <c r="U847" s="428" t="str">
        <f>VLOOKUP(H847,'Fund Utilization Report'!$A$4:$U$1800,3,FALSE)</f>
        <v>FY2021, RA11518</v>
      </c>
      <c r="V847" s="428" t="str">
        <f>VLOOKUP(H847,'Fund Utilization Report'!$A$4:$U$1800,4,FALSE)</f>
        <v>OO3</v>
      </c>
      <c r="W847" s="428" t="str">
        <f>VLOOKUP(H847,'Fund Utilization Report'!$A$4:$U$1800,5,FALSE)</f>
        <v>01101101</v>
      </c>
      <c r="X847" s="428" t="str">
        <f>VLOOKUP(H847,'Fund Utilization Report'!$A$4:$U$1800,6,FALSE)</f>
        <v>GOP</v>
      </c>
      <c r="Y847" s="320" t="str">
        <f>VLOOKUP(H847,'Fund Utilization Report'!$A$4:$U$1800,7,FALSE)</f>
        <v>PS</v>
      </c>
      <c r="Z847" s="425">
        <f>VLOOKUP(H847,'Fund Utilization Report'!$A$4:$U$1800,8,FALSE)</f>
        <v>5010000000</v>
      </c>
      <c r="AA847" s="428" t="str">
        <f>VLOOKUP(H847,'Fund Utilization Report'!$A$4:$U$1800,14,FALSE)</f>
        <v>330100100002000</v>
      </c>
      <c r="AB847" s="349" t="str">
        <f>VLOOKUP(H847,'Fund Utilization Report'!$A$4:$U$1800,15,FALSE)</f>
        <v>Implementation of the MSME Development Plan and other initiatives to promote the growth of Micro, Small and Medium Enterprises</v>
      </c>
      <c r="AC847" s="39"/>
      <c r="AD847" s="34"/>
      <c r="AE847" s="39"/>
      <c r="AF847" s="51"/>
      <c r="AG847" s="40"/>
      <c r="AH847" s="40"/>
    </row>
    <row r="848" spans="1:34" s="32" customFormat="1">
      <c r="A848" s="434" t="s">
        <v>942</v>
      </c>
      <c r="B848" s="457" t="s">
        <v>946</v>
      </c>
      <c r="C848" s="233">
        <v>44257</v>
      </c>
      <c r="D848" s="435" t="s">
        <v>1267</v>
      </c>
      <c r="E848" s="436" t="s">
        <v>1271</v>
      </c>
      <c r="F848" s="338">
        <v>0.57430555555555551</v>
      </c>
      <c r="G848" s="338">
        <v>0.5756944444444444</v>
      </c>
      <c r="H848" s="338" t="s">
        <v>961</v>
      </c>
      <c r="I848" s="353">
        <v>795</v>
      </c>
      <c r="J848" s="338" t="str">
        <f>IFERROR(VLOOKUP(I848,'Chart of accounts'!A:H,2,FALSE),"")</f>
        <v>50212990 00</v>
      </c>
      <c r="K848" s="338" t="str">
        <f>IFERROR(VLOOKUP(I848,'Chart of accounts'!A:H,3,FALSE),"")</f>
        <v>Other General Services</v>
      </c>
      <c r="L848" s="338" t="str">
        <f>IFERROR(VLOOKUP(I848,'Chart of accounts'!A:H,4,FALSE),"")</f>
        <v>50212990 00 - Other General Services (795)</v>
      </c>
      <c r="M848" s="361" t="s">
        <v>816</v>
      </c>
      <c r="N848" s="355" t="s">
        <v>1272</v>
      </c>
      <c r="O848" s="355" t="s">
        <v>1273</v>
      </c>
      <c r="P848" s="355"/>
      <c r="Q848" s="428">
        <v>2170</v>
      </c>
      <c r="R848" s="319">
        <f t="shared" si="20"/>
        <v>-2170</v>
      </c>
      <c r="S848" s="428" t="str">
        <f>VLOOKUP(H848,'Fund Utilization Report'!$A$4:$U$1800,13,FALSE)</f>
        <v>MOOE</v>
      </c>
      <c r="T848" s="428" t="str">
        <f>VLOOKUP(H848,'Fund Utilization Report'!$A$4:$U$1800,2,FALSE)</f>
        <v>GAA</v>
      </c>
      <c r="U848" s="428" t="str">
        <f>VLOOKUP(H848,'Fund Utilization Report'!$A$4:$U$1800,3,FALSE)</f>
        <v>FY2021, RA11518</v>
      </c>
      <c r="V848" s="428" t="str">
        <f>VLOOKUP(H848,'Fund Utilization Report'!$A$4:$U$1800,4,FALSE)</f>
        <v>GAS(GMS)</v>
      </c>
      <c r="W848" s="428" t="str">
        <f>VLOOKUP(H848,'Fund Utilization Report'!$A$4:$U$1800,5,FALSE)</f>
        <v>01101101</v>
      </c>
      <c r="X848" s="428" t="str">
        <f>VLOOKUP(H848,'Fund Utilization Report'!$A$4:$U$1800,6,FALSE)</f>
        <v>GOP</v>
      </c>
      <c r="Y848" s="320" t="str">
        <f>VLOOKUP(H848,'Fund Utilization Report'!$A$4:$U$1800,7,FALSE)</f>
        <v>MOOE</v>
      </c>
      <c r="Z848" s="425">
        <f>VLOOKUP(H848,'Fund Utilization Report'!$A$4:$U$1800,8,FALSE)</f>
        <v>5020000000</v>
      </c>
      <c r="AA848" s="428" t="str">
        <f>VLOOKUP(H848,'Fund Utilization Report'!$A$4:$U$1800,14,FALSE)</f>
        <v>100000100001000</v>
      </c>
      <c r="AB848" s="349" t="str">
        <f>VLOOKUP(H848,'Fund Utilization Report'!$A$4:$U$1800,15,FALSE)</f>
        <v>General Administration and Supervision - General Management and Supervision</v>
      </c>
      <c r="AC848" s="39"/>
      <c r="AD848" s="34"/>
      <c r="AE848" s="39"/>
      <c r="AF848" s="51"/>
      <c r="AG848" s="40"/>
      <c r="AH848" s="40"/>
    </row>
    <row r="849" spans="1:34" s="32" customFormat="1">
      <c r="A849" s="434" t="s">
        <v>942</v>
      </c>
      <c r="B849" s="457" t="s">
        <v>946</v>
      </c>
      <c r="C849" s="233">
        <v>44257</v>
      </c>
      <c r="D849" s="435" t="s">
        <v>1267</v>
      </c>
      <c r="E849" s="436" t="s">
        <v>1271</v>
      </c>
      <c r="F849" s="338">
        <v>0.57430555555555551</v>
      </c>
      <c r="G849" s="338">
        <v>0.5756944444444444</v>
      </c>
      <c r="H849" s="338" t="s">
        <v>961</v>
      </c>
      <c r="I849" s="353">
        <v>796</v>
      </c>
      <c r="J849" s="338" t="str">
        <f>IFERROR(VLOOKUP(I849,'Chart of accounts'!A:H,2,FALSE),"")</f>
        <v>50212020 00</v>
      </c>
      <c r="K849" s="338" t="str">
        <f>IFERROR(VLOOKUP(I849,'Chart of accounts'!A:H,3,FALSE),"")</f>
        <v>Janitorial Services</v>
      </c>
      <c r="L849" s="338" t="str">
        <f>IFERROR(VLOOKUP(I849,'Chart of accounts'!A:H,4,FALSE),"")</f>
        <v>50212020 00 - Janitorial Services (796)</v>
      </c>
      <c r="M849" s="361" t="s">
        <v>816</v>
      </c>
      <c r="N849" s="355" t="s">
        <v>1272</v>
      </c>
      <c r="O849" s="355" t="s">
        <v>1273</v>
      </c>
      <c r="P849" s="355"/>
      <c r="Q849" s="428">
        <f>3000+4000</f>
        <v>7000</v>
      </c>
      <c r="R849" s="319">
        <f t="shared" si="20"/>
        <v>-7000</v>
      </c>
      <c r="S849" s="428" t="str">
        <f>VLOOKUP(H849,'Fund Utilization Report'!$A$4:$U$1800,13,FALSE)</f>
        <v>MOOE</v>
      </c>
      <c r="T849" s="428" t="str">
        <f>VLOOKUP(H849,'Fund Utilization Report'!$A$4:$U$1800,2,FALSE)</f>
        <v>GAA</v>
      </c>
      <c r="U849" s="428" t="str">
        <f>VLOOKUP(H849,'Fund Utilization Report'!$A$4:$U$1800,3,FALSE)</f>
        <v>FY2021, RA11518</v>
      </c>
      <c r="V849" s="428" t="str">
        <f>VLOOKUP(H849,'Fund Utilization Report'!$A$4:$U$1800,4,FALSE)</f>
        <v>GAS(GMS)</v>
      </c>
      <c r="W849" s="428" t="str">
        <f>VLOOKUP(H849,'Fund Utilization Report'!$A$4:$U$1800,5,FALSE)</f>
        <v>01101101</v>
      </c>
      <c r="X849" s="428" t="str">
        <f>VLOOKUP(H849,'Fund Utilization Report'!$A$4:$U$1800,6,FALSE)</f>
        <v>GOP</v>
      </c>
      <c r="Y849" s="320" t="str">
        <f>VLOOKUP(H849,'Fund Utilization Report'!$A$4:$U$1800,7,FALSE)</f>
        <v>MOOE</v>
      </c>
      <c r="Z849" s="425">
        <f>VLOOKUP(H849,'Fund Utilization Report'!$A$4:$U$1800,8,FALSE)</f>
        <v>5020000000</v>
      </c>
      <c r="AA849" s="428" t="str">
        <f>VLOOKUP(H849,'Fund Utilization Report'!$A$4:$U$1800,14,FALSE)</f>
        <v>100000100001000</v>
      </c>
      <c r="AB849" s="349" t="str">
        <f>VLOOKUP(H849,'Fund Utilization Report'!$A$4:$U$1800,15,FALSE)</f>
        <v>General Administration and Supervision - General Management and Supervision</v>
      </c>
      <c r="AC849" s="39"/>
      <c r="AD849" s="34"/>
      <c r="AE849" s="39"/>
      <c r="AF849" s="51"/>
      <c r="AG849" s="40"/>
      <c r="AH849" s="40"/>
    </row>
    <row r="850" spans="1:34" s="32" customFormat="1" ht="41.4">
      <c r="A850" s="434" t="s">
        <v>942</v>
      </c>
      <c r="B850" s="457" t="s">
        <v>946</v>
      </c>
      <c r="C850" s="233">
        <v>44257</v>
      </c>
      <c r="D850" s="435" t="s">
        <v>1267</v>
      </c>
      <c r="E850" s="436" t="s">
        <v>1274</v>
      </c>
      <c r="F850" s="338">
        <v>0.5756944444444444</v>
      </c>
      <c r="G850" s="338">
        <v>0.57986111111111105</v>
      </c>
      <c r="H850" s="338" t="s">
        <v>982</v>
      </c>
      <c r="I850" s="353">
        <v>751</v>
      </c>
      <c r="J850" s="338" t="str">
        <f>IFERROR(VLOOKUP(I850,'Chart of accounts'!A:H,2,FALSE),"")</f>
        <v>50201010 00</v>
      </c>
      <c r="K850" s="338" t="str">
        <f>IFERROR(VLOOKUP(I850,'Chart of accounts'!A:H,3,FALSE),"")</f>
        <v>Traveling Expenses - Local</v>
      </c>
      <c r="L850" s="338" t="str">
        <f>IFERROR(VLOOKUP(I850,'Chart of accounts'!A:H,4,FALSE),"")</f>
        <v>50201010 00 - Traveling Expenses - Local (751)</v>
      </c>
      <c r="M850" s="361">
        <v>1</v>
      </c>
      <c r="N850" s="355" t="s">
        <v>1275</v>
      </c>
      <c r="O850" s="355" t="s">
        <v>1276</v>
      </c>
      <c r="P850" s="355"/>
      <c r="Q850" s="363">
        <v>1200</v>
      </c>
      <c r="R850" s="319">
        <f t="shared" si="20"/>
        <v>-1200</v>
      </c>
      <c r="S850" s="428" t="str">
        <f>VLOOKUP(H850,'Fund Utilization Report'!$A$4:$U$1800,13,FALSE)</f>
        <v>MOOE</v>
      </c>
      <c r="T850" s="428" t="str">
        <f>VLOOKUP(H850,'Fund Utilization Report'!$A$4:$U$1800,2,FALSE)</f>
        <v>GAA</v>
      </c>
      <c r="U850" s="428" t="str">
        <f>VLOOKUP(H850,'Fund Utilization Report'!$A$4:$U$1800,3,FALSE)</f>
        <v>FY2021, RA11518</v>
      </c>
      <c r="V850" s="428" t="str">
        <f>VLOOKUP(H850,'Fund Utilization Report'!$A$4:$U$1800,4,FALSE)</f>
        <v>OTOP</v>
      </c>
      <c r="W850" s="428" t="str">
        <f>VLOOKUP(H850,'Fund Utilization Report'!$A$4:$U$1800,5,FALSE)</f>
        <v>01101101</v>
      </c>
      <c r="X850" s="428" t="str">
        <f>VLOOKUP(H850,'Fund Utilization Report'!$A$4:$U$1800,6,FALSE)</f>
        <v>GOP</v>
      </c>
      <c r="Y850" s="320" t="str">
        <f>VLOOKUP(H850,'Fund Utilization Report'!$A$4:$U$1800,7,FALSE)</f>
        <v>MOOE</v>
      </c>
      <c r="Z850" s="425">
        <f>VLOOKUP(H850,'Fund Utilization Report'!$A$4:$U$1800,8,FALSE)</f>
        <v>5020000000</v>
      </c>
      <c r="AA850" s="428" t="str">
        <f>VLOOKUP(H850,'Fund Utilization Report'!$A$4:$U$1800,14,FALSE)</f>
        <v>330100200002000</v>
      </c>
      <c r="AB850" s="349" t="str">
        <f>VLOOKUP(H850,'Fund Utilization Report'!$A$4:$U$1800,15,FALSE)</f>
        <v>OTOP - Next Generation</v>
      </c>
      <c r="AC850" s="39"/>
      <c r="AD850" s="34"/>
      <c r="AE850" s="39"/>
      <c r="AF850" s="51"/>
      <c r="AG850" s="40"/>
      <c r="AH850" s="40"/>
    </row>
    <row r="851" spans="1:34" s="32" customFormat="1">
      <c r="A851" s="434" t="s">
        <v>942</v>
      </c>
      <c r="B851" s="457" t="s">
        <v>946</v>
      </c>
      <c r="C851" s="233">
        <v>44257</v>
      </c>
      <c r="D851" s="435" t="s">
        <v>1267</v>
      </c>
      <c r="E851" s="436" t="s">
        <v>1277</v>
      </c>
      <c r="F851" s="338">
        <v>0.57986111111111105</v>
      </c>
      <c r="G851" s="338">
        <v>0.5805555555555556</v>
      </c>
      <c r="H851" s="338" t="s">
        <v>961</v>
      </c>
      <c r="I851" s="353">
        <v>755</v>
      </c>
      <c r="J851" s="338" t="str">
        <f>IFERROR(VLOOKUP(I851,'Chart of accounts'!A:H,2,FALSE),"")</f>
        <v>50203010 00</v>
      </c>
      <c r="K851" s="338" t="str">
        <f>IFERROR(VLOOKUP(I851,'Chart of accounts'!A:H,3,FALSE),"")</f>
        <v>Office Supplies Expenses</v>
      </c>
      <c r="L851" s="338" t="str">
        <f>IFERROR(VLOOKUP(I851,'Chart of accounts'!A:H,4,FALSE),"")</f>
        <v>50203010 00 - Office Supplies Expenses (755)</v>
      </c>
      <c r="M851" s="361">
        <v>1</v>
      </c>
      <c r="N851" s="355" t="s">
        <v>1036</v>
      </c>
      <c r="O851" s="355" t="s">
        <v>1207</v>
      </c>
      <c r="P851" s="355"/>
      <c r="Q851" s="363">
        <v>2404.7800000000002</v>
      </c>
      <c r="R851" s="319">
        <f t="shared" si="20"/>
        <v>-2404.7800000000002</v>
      </c>
      <c r="S851" s="428" t="str">
        <f>VLOOKUP(H851,'Fund Utilization Report'!$A$4:$U$1800,13,FALSE)</f>
        <v>MOOE</v>
      </c>
      <c r="T851" s="428" t="str">
        <f>VLOOKUP(H851,'Fund Utilization Report'!$A$4:$U$1800,2,FALSE)</f>
        <v>GAA</v>
      </c>
      <c r="U851" s="428" t="str">
        <f>VLOOKUP(H851,'Fund Utilization Report'!$A$4:$U$1800,3,FALSE)</f>
        <v>FY2021, RA11518</v>
      </c>
      <c r="V851" s="428" t="str">
        <f>VLOOKUP(H851,'Fund Utilization Report'!$A$4:$U$1800,4,FALSE)</f>
        <v>GAS(GMS)</v>
      </c>
      <c r="W851" s="428" t="str">
        <f>VLOOKUP(H851,'Fund Utilization Report'!$A$4:$U$1800,5,FALSE)</f>
        <v>01101101</v>
      </c>
      <c r="X851" s="428" t="str">
        <f>VLOOKUP(H851,'Fund Utilization Report'!$A$4:$U$1800,6,FALSE)</f>
        <v>GOP</v>
      </c>
      <c r="Y851" s="320" t="str">
        <f>VLOOKUP(H851,'Fund Utilization Report'!$A$4:$U$1800,7,FALSE)</f>
        <v>MOOE</v>
      </c>
      <c r="Z851" s="425">
        <f>VLOOKUP(H851,'Fund Utilization Report'!$A$4:$U$1800,8,FALSE)</f>
        <v>5020000000</v>
      </c>
      <c r="AA851" s="428" t="str">
        <f>VLOOKUP(H851,'Fund Utilization Report'!$A$4:$U$1800,14,FALSE)</f>
        <v>100000100001000</v>
      </c>
      <c r="AB851" s="349" t="str">
        <f>VLOOKUP(H851,'Fund Utilization Report'!$A$4:$U$1800,15,FALSE)</f>
        <v>General Administration and Supervision - General Management and Supervision</v>
      </c>
      <c r="AC851" s="39"/>
      <c r="AD851" s="34"/>
      <c r="AE851" s="39"/>
      <c r="AF851" s="51"/>
      <c r="AG851" s="40"/>
      <c r="AH851" s="40"/>
    </row>
    <row r="852" spans="1:34" s="443" customFormat="1" ht="41.4">
      <c r="A852" s="434" t="s">
        <v>942</v>
      </c>
      <c r="B852" s="457" t="s">
        <v>946</v>
      </c>
      <c r="C852" s="233">
        <v>44257</v>
      </c>
      <c r="D852" s="435" t="s">
        <v>1267</v>
      </c>
      <c r="E852" s="436" t="s">
        <v>1278</v>
      </c>
      <c r="F852" s="338">
        <v>0.5805555555555556</v>
      </c>
      <c r="G852" s="434">
        <v>0.5854166666666667</v>
      </c>
      <c r="H852" s="434" t="s">
        <v>961</v>
      </c>
      <c r="I852" s="437">
        <v>753</v>
      </c>
      <c r="J852" s="434" t="str">
        <f>IFERROR(VLOOKUP(I852,'Chart of accounts'!A:H,2,FALSE),"")</f>
        <v>50202010 00</v>
      </c>
      <c r="K852" s="434" t="str">
        <f>IFERROR(VLOOKUP(I852,'Chart of accounts'!A:H,3,FALSE),"")</f>
        <v>Training Expenses</v>
      </c>
      <c r="L852" s="434" t="str">
        <f>IFERROR(VLOOKUP(I852,'Chart of accounts'!A:H,4,FALSE),"")</f>
        <v>50202010 00 - Training Expenses (753)</v>
      </c>
      <c r="M852" s="438" t="s">
        <v>1256</v>
      </c>
      <c r="N852" s="439" t="s">
        <v>1257</v>
      </c>
      <c r="O852" s="439" t="s">
        <v>1258</v>
      </c>
      <c r="P852" s="439"/>
      <c r="Q852" s="50">
        <f>2800</f>
        <v>2800</v>
      </c>
      <c r="R852" s="239">
        <f t="shared" ref="R852:R866" si="22">P852-Q852</f>
        <v>-2800</v>
      </c>
      <c r="S852" s="239" t="str">
        <f>VLOOKUP(H852,'Fund Utilization Report'!$A$4:$U$1800,13,FALSE)</f>
        <v>MOOE</v>
      </c>
      <c r="T852" s="239" t="str">
        <f>VLOOKUP(H852,'Fund Utilization Report'!$A$4:$U$1800,2,FALSE)</f>
        <v>GAA</v>
      </c>
      <c r="U852" s="239" t="str">
        <f>VLOOKUP(H852,'Fund Utilization Report'!$A$4:$U$1800,3,FALSE)</f>
        <v>FY2021, RA11518</v>
      </c>
      <c r="V852" s="239" t="str">
        <f>VLOOKUP(H852,'Fund Utilization Report'!$A$4:$U$1800,4,FALSE)</f>
        <v>GAS(GMS)</v>
      </c>
      <c r="W852" s="239" t="str">
        <f>VLOOKUP(H852,'Fund Utilization Report'!$A$4:$U$1800,5,FALSE)</f>
        <v>01101101</v>
      </c>
      <c r="X852" s="239" t="str">
        <f>VLOOKUP(H852,'Fund Utilization Report'!$A$4:$U$1800,6,FALSE)</f>
        <v>GOP</v>
      </c>
      <c r="Y852" s="440" t="str">
        <f>VLOOKUP(H852,'Fund Utilization Report'!$A$4:$U$1800,7,FALSE)</f>
        <v>MOOE</v>
      </c>
      <c r="Z852" s="441">
        <f>VLOOKUP(H852,'Fund Utilization Report'!$A$4:$U$1800,8,FALSE)</f>
        <v>5020000000</v>
      </c>
      <c r="AA852" s="239" t="str">
        <f>VLOOKUP(H852,'Fund Utilization Report'!$A$4:$U$1800,14,FALSE)</f>
        <v>100000100001000</v>
      </c>
      <c r="AB852" s="242" t="str">
        <f>VLOOKUP(H852,'Fund Utilization Report'!$A$4:$U$1800,15,FALSE)</f>
        <v>General Administration and Supervision - General Management and Supervision</v>
      </c>
      <c r="AC852" s="51"/>
      <c r="AD852" s="435"/>
      <c r="AE852" s="51"/>
      <c r="AF852" s="51"/>
      <c r="AG852" s="442"/>
      <c r="AH852" s="442"/>
    </row>
    <row r="853" spans="1:34" s="443" customFormat="1" ht="27.6">
      <c r="A853" s="434" t="s">
        <v>942</v>
      </c>
      <c r="B853" s="457" t="s">
        <v>946</v>
      </c>
      <c r="C853" s="233">
        <v>44257</v>
      </c>
      <c r="D853" s="435" t="s">
        <v>1267</v>
      </c>
      <c r="E853" s="436" t="s">
        <v>1279</v>
      </c>
      <c r="F853" s="434">
        <v>0.5854166666666667</v>
      </c>
      <c r="G853" s="434">
        <v>0.58680555555555558</v>
      </c>
      <c r="H853" s="434" t="s">
        <v>970</v>
      </c>
      <c r="I853" s="437">
        <v>701</v>
      </c>
      <c r="J853" s="434" t="str">
        <f>IFERROR(VLOOKUP(I853,'Chart of accounts'!A:H,2,FALSE),"")</f>
        <v>50101010 01</v>
      </c>
      <c r="K853" s="434" t="str">
        <f>IFERROR(VLOOKUP(I853,'Chart of accounts'!A:H,3,FALSE),"")</f>
        <v>Basic Salary - Civilian</v>
      </c>
      <c r="L853" s="434" t="str">
        <f>IFERROR(VLOOKUP(I853,'Chart of accounts'!A:H,4,FALSE),"")</f>
        <v>50101010 01 - Basic Salary - Civilian (701)</v>
      </c>
      <c r="M853" s="438">
        <v>2</v>
      </c>
      <c r="N853" s="439" t="s">
        <v>1172</v>
      </c>
      <c r="O853" s="439" t="s">
        <v>1260</v>
      </c>
      <c r="P853" s="439"/>
      <c r="Q853" s="50">
        <f>23877</f>
        <v>23877</v>
      </c>
      <c r="R853" s="239">
        <f t="shared" si="22"/>
        <v>-23877</v>
      </c>
      <c r="S853" s="239" t="str">
        <f>VLOOKUP(H853,'Fund Utilization Report'!$A$4:$U$1800,13,FALSE)</f>
        <v>PS</v>
      </c>
      <c r="T853" s="239" t="str">
        <f>VLOOKUP(H853,'Fund Utilization Report'!$A$4:$U$1800,2,FALSE)</f>
        <v>GAA</v>
      </c>
      <c r="U853" s="239" t="str">
        <f>VLOOKUP(H853,'Fund Utilization Report'!$A$4:$U$1800,3,FALSE)</f>
        <v>FY2021, RA11518</v>
      </c>
      <c r="V853" s="239" t="str">
        <f>VLOOKUP(H853,'Fund Utilization Report'!$A$4:$U$1800,4,FALSE)</f>
        <v>OO3</v>
      </c>
      <c r="W853" s="239" t="str">
        <f>VLOOKUP(H853,'Fund Utilization Report'!$A$4:$U$1800,5,FALSE)</f>
        <v>01101101</v>
      </c>
      <c r="X853" s="239" t="str">
        <f>VLOOKUP(H853,'Fund Utilization Report'!$A$4:$U$1800,6,FALSE)</f>
        <v>GOP</v>
      </c>
      <c r="Y853" s="440" t="str">
        <f>VLOOKUP(H853,'Fund Utilization Report'!$A$4:$U$1800,7,FALSE)</f>
        <v>PS</v>
      </c>
      <c r="Z853" s="441">
        <f>VLOOKUP(H853,'Fund Utilization Report'!$A$4:$U$1800,8,FALSE)</f>
        <v>5010000000</v>
      </c>
      <c r="AA853" s="239" t="str">
        <f>VLOOKUP(H853,'Fund Utilization Report'!$A$4:$U$1800,14,FALSE)</f>
        <v>330100100002000</v>
      </c>
      <c r="AB853" s="242" t="str">
        <f>VLOOKUP(H853,'Fund Utilization Report'!$A$4:$U$1800,15,FALSE)</f>
        <v>Implementation of the MSME Development Plan and other initiatives to promote the growth of Micro, Small and Medium Enterprises</v>
      </c>
      <c r="AC853" s="51"/>
      <c r="AD853" s="435"/>
      <c r="AE853" s="51"/>
      <c r="AF853" s="51"/>
      <c r="AG853" s="442"/>
      <c r="AH853" s="442"/>
    </row>
    <row r="854" spans="1:34" s="443" customFormat="1" ht="27.6">
      <c r="A854" s="434" t="s">
        <v>942</v>
      </c>
      <c r="B854" s="457" t="s">
        <v>946</v>
      </c>
      <c r="C854" s="233">
        <v>44257</v>
      </c>
      <c r="D854" s="435" t="s">
        <v>1267</v>
      </c>
      <c r="E854" s="436" t="s">
        <v>1279</v>
      </c>
      <c r="F854" s="434">
        <v>0.5854166666666667</v>
      </c>
      <c r="G854" s="434">
        <v>0.58680555555555558</v>
      </c>
      <c r="H854" s="434" t="s">
        <v>970</v>
      </c>
      <c r="I854" s="437">
        <v>711</v>
      </c>
      <c r="J854" s="434" t="str">
        <f>IFERROR(VLOOKUP(I854,'Chart of accounts'!A:H,2,FALSE),"")</f>
        <v>50102010 01</v>
      </c>
      <c r="K854" s="434" t="str">
        <f>IFERROR(VLOOKUP(I854,'Chart of accounts'!A:H,3,FALSE),"")</f>
        <v>PERA - Civilian</v>
      </c>
      <c r="L854" s="434" t="str">
        <f>IFERROR(VLOOKUP(I854,'Chart of accounts'!A:H,4,FALSE),"")</f>
        <v>50102010 01 - PERA - Civilian (711)</v>
      </c>
      <c r="M854" s="438">
        <v>2</v>
      </c>
      <c r="N854" s="439" t="s">
        <v>1172</v>
      </c>
      <c r="O854" s="439" t="s">
        <v>1260</v>
      </c>
      <c r="P854" s="439"/>
      <c r="Q854" s="50">
        <f>2000</f>
        <v>2000</v>
      </c>
      <c r="R854" s="239">
        <f t="shared" si="22"/>
        <v>-2000</v>
      </c>
      <c r="S854" s="239" t="str">
        <f>VLOOKUP(H854,'Fund Utilization Report'!$A$4:$U$1800,13,FALSE)</f>
        <v>PS</v>
      </c>
      <c r="T854" s="239" t="str">
        <f>VLOOKUP(H854,'Fund Utilization Report'!$A$4:$U$1800,2,FALSE)</f>
        <v>GAA</v>
      </c>
      <c r="U854" s="239" t="str">
        <f>VLOOKUP(H854,'Fund Utilization Report'!$A$4:$U$1800,3,FALSE)</f>
        <v>FY2021, RA11518</v>
      </c>
      <c r="V854" s="239" t="str">
        <f>VLOOKUP(H854,'Fund Utilization Report'!$A$4:$U$1800,4,FALSE)</f>
        <v>OO3</v>
      </c>
      <c r="W854" s="239" t="str">
        <f>VLOOKUP(H854,'Fund Utilization Report'!$A$4:$U$1800,5,FALSE)</f>
        <v>01101101</v>
      </c>
      <c r="X854" s="239" t="str">
        <f>VLOOKUP(H854,'Fund Utilization Report'!$A$4:$U$1800,6,FALSE)</f>
        <v>GOP</v>
      </c>
      <c r="Y854" s="440" t="str">
        <f>VLOOKUP(H854,'Fund Utilization Report'!$A$4:$U$1800,7,FALSE)</f>
        <v>PS</v>
      </c>
      <c r="Z854" s="441">
        <f>VLOOKUP(H854,'Fund Utilization Report'!$A$4:$U$1800,8,FALSE)</f>
        <v>5010000000</v>
      </c>
      <c r="AA854" s="239" t="str">
        <f>VLOOKUP(H854,'Fund Utilization Report'!$A$4:$U$1800,14,FALSE)</f>
        <v>330100100002000</v>
      </c>
      <c r="AB854" s="242" t="str">
        <f>VLOOKUP(H854,'Fund Utilization Report'!$A$4:$U$1800,15,FALSE)</f>
        <v>Implementation of the MSME Development Plan and other initiatives to promote the growth of Micro, Small and Medium Enterprises</v>
      </c>
      <c r="AC854" s="51"/>
      <c r="AD854" s="435"/>
      <c r="AE854" s="51"/>
      <c r="AF854" s="51"/>
      <c r="AG854" s="442"/>
      <c r="AH854" s="442"/>
    </row>
    <row r="855" spans="1:34" s="443" customFormat="1" ht="27.6">
      <c r="A855" s="434" t="s">
        <v>942</v>
      </c>
      <c r="B855" s="457" t="s">
        <v>946</v>
      </c>
      <c r="C855" s="233">
        <v>44257</v>
      </c>
      <c r="D855" s="435" t="s">
        <v>1267</v>
      </c>
      <c r="E855" s="436" t="s">
        <v>1279</v>
      </c>
      <c r="F855" s="434">
        <v>0.5854166666666667</v>
      </c>
      <c r="G855" s="434">
        <v>0.58680555555555558</v>
      </c>
      <c r="H855" s="434" t="s">
        <v>972</v>
      </c>
      <c r="I855" s="437">
        <v>731</v>
      </c>
      <c r="J855" s="434" t="str">
        <f>IFERROR(VLOOKUP(I855,'Chart of accounts'!A:H,2,FALSE),"")</f>
        <v>50103010 00</v>
      </c>
      <c r="K855" s="434" t="str">
        <f>IFERROR(VLOOKUP(I855,'Chart of accounts'!A:H,3,FALSE),"")</f>
        <v>Retirement and Life Insurance Premiums</v>
      </c>
      <c r="L855" s="434" t="str">
        <f>IFERROR(VLOOKUP(I855,'Chart of accounts'!A:H,4,FALSE),"")</f>
        <v>50103010 00 - Retirement and Life Insurance Premiums (731)</v>
      </c>
      <c r="M855" s="438">
        <v>2</v>
      </c>
      <c r="N855" s="439" t="s">
        <v>1172</v>
      </c>
      <c r="O855" s="439" t="s">
        <v>1260</v>
      </c>
      <c r="P855" s="439"/>
      <c r="Q855" s="50">
        <f>2865.24</f>
        <v>2865.24</v>
      </c>
      <c r="R855" s="239">
        <f t="shared" si="22"/>
        <v>-2865.24</v>
      </c>
      <c r="S855" s="239" t="str">
        <f>VLOOKUP(H855,'Fund Utilization Report'!$A$4:$U$1800,13,FALSE)</f>
        <v>PS</v>
      </c>
      <c r="T855" s="239" t="str">
        <f>VLOOKUP(H855,'Fund Utilization Report'!$A$4:$U$1800,2,FALSE)</f>
        <v>GAA</v>
      </c>
      <c r="U855" s="239" t="str">
        <f>VLOOKUP(H855,'Fund Utilization Report'!$A$4:$U$1800,3,FALSE)</f>
        <v>FY2021, RA11518</v>
      </c>
      <c r="V855" s="239" t="str">
        <f>VLOOKUP(H855,'Fund Utilization Report'!$A$4:$U$1800,4,FALSE)</f>
        <v>OO3</v>
      </c>
      <c r="W855" s="239" t="str">
        <f>VLOOKUP(H855,'Fund Utilization Report'!$A$4:$U$1800,5,FALSE)</f>
        <v>01101101</v>
      </c>
      <c r="X855" s="239" t="str">
        <f>VLOOKUP(H855,'Fund Utilization Report'!$A$4:$U$1800,6,FALSE)</f>
        <v>GOP</v>
      </c>
      <c r="Y855" s="440" t="str">
        <f>VLOOKUP(H855,'Fund Utilization Report'!$A$4:$U$1800,7,FALSE)</f>
        <v>RLIP</v>
      </c>
      <c r="Z855" s="441" t="str">
        <f>VLOOKUP(H855,'Fund Utilization Report'!$A$4:$U$1800,8,FALSE)</f>
        <v>50103010-00</v>
      </c>
      <c r="AA855" s="239" t="str">
        <f>VLOOKUP(H855,'Fund Utilization Report'!$A$4:$U$1800,14,FALSE)</f>
        <v>330100100002000</v>
      </c>
      <c r="AB855" s="242" t="str">
        <f>VLOOKUP(H855,'Fund Utilization Report'!$A$4:$U$1800,15,FALSE)</f>
        <v>Implementation of the MSME Development Plan and other initiatives to promote the growth of Micro, Small and Medium Enterprises</v>
      </c>
      <c r="AC855" s="51"/>
      <c r="AD855" s="435"/>
      <c r="AE855" s="51"/>
      <c r="AF855" s="51"/>
      <c r="AG855" s="442"/>
      <c r="AH855" s="442"/>
    </row>
    <row r="856" spans="1:34" s="443" customFormat="1" ht="27.6">
      <c r="A856" s="434" t="s">
        <v>942</v>
      </c>
      <c r="B856" s="457" t="s">
        <v>946</v>
      </c>
      <c r="C856" s="233">
        <v>44257</v>
      </c>
      <c r="D856" s="435" t="s">
        <v>1267</v>
      </c>
      <c r="E856" s="436" t="s">
        <v>1279</v>
      </c>
      <c r="F856" s="434">
        <v>0.5854166666666667</v>
      </c>
      <c r="G856" s="434">
        <v>0.58680555555555558</v>
      </c>
      <c r="H856" s="434" t="s">
        <v>970</v>
      </c>
      <c r="I856" s="437">
        <v>732</v>
      </c>
      <c r="J856" s="434" t="str">
        <f>IFERROR(VLOOKUP(I856,'Chart of accounts'!A:H,2,FALSE),"")</f>
        <v>50103020 01</v>
      </c>
      <c r="K856" s="434" t="str">
        <f>IFERROR(VLOOKUP(I856,'Chart of accounts'!A:H,3,FALSE),"")</f>
        <v>Pag-IBIG - Civilian</v>
      </c>
      <c r="L856" s="434" t="str">
        <f>IFERROR(VLOOKUP(I856,'Chart of accounts'!A:H,4,FALSE),"")</f>
        <v>50103020 01 - Pag-IBIG - Civilian (732)</v>
      </c>
      <c r="M856" s="438">
        <v>2</v>
      </c>
      <c r="N856" s="439" t="s">
        <v>1172</v>
      </c>
      <c r="O856" s="439" t="s">
        <v>1260</v>
      </c>
      <c r="P856" s="439"/>
      <c r="Q856" s="50">
        <f>100</f>
        <v>100</v>
      </c>
      <c r="R856" s="239">
        <f t="shared" si="22"/>
        <v>-100</v>
      </c>
      <c r="S856" s="239" t="str">
        <f>VLOOKUP(H856,'Fund Utilization Report'!$A$4:$U$1800,13,FALSE)</f>
        <v>PS</v>
      </c>
      <c r="T856" s="239" t="str">
        <f>VLOOKUP(H856,'Fund Utilization Report'!$A$4:$U$1800,2,FALSE)</f>
        <v>GAA</v>
      </c>
      <c r="U856" s="239" t="str">
        <f>VLOOKUP(H856,'Fund Utilization Report'!$A$4:$U$1800,3,FALSE)</f>
        <v>FY2021, RA11518</v>
      </c>
      <c r="V856" s="239" t="str">
        <f>VLOOKUP(H856,'Fund Utilization Report'!$A$4:$U$1800,4,FALSE)</f>
        <v>OO3</v>
      </c>
      <c r="W856" s="239" t="str">
        <f>VLOOKUP(H856,'Fund Utilization Report'!$A$4:$U$1800,5,FALSE)</f>
        <v>01101101</v>
      </c>
      <c r="X856" s="239" t="str">
        <f>VLOOKUP(H856,'Fund Utilization Report'!$A$4:$U$1800,6,FALSE)</f>
        <v>GOP</v>
      </c>
      <c r="Y856" s="440" t="str">
        <f>VLOOKUP(H856,'Fund Utilization Report'!$A$4:$U$1800,7,FALSE)</f>
        <v>PS</v>
      </c>
      <c r="Z856" s="441">
        <f>VLOOKUP(H856,'Fund Utilization Report'!$A$4:$U$1800,8,FALSE)</f>
        <v>5010000000</v>
      </c>
      <c r="AA856" s="239" t="str">
        <f>VLOOKUP(H856,'Fund Utilization Report'!$A$4:$U$1800,14,FALSE)</f>
        <v>330100100002000</v>
      </c>
      <c r="AB856" s="242" t="str">
        <f>VLOOKUP(H856,'Fund Utilization Report'!$A$4:$U$1800,15,FALSE)</f>
        <v>Implementation of the MSME Development Plan and other initiatives to promote the growth of Micro, Small and Medium Enterprises</v>
      </c>
      <c r="AC856" s="51"/>
      <c r="AD856" s="435"/>
      <c r="AE856" s="51"/>
      <c r="AF856" s="51"/>
      <c r="AG856" s="442"/>
      <c r="AH856" s="442"/>
    </row>
    <row r="857" spans="1:34" s="443" customFormat="1" ht="27.6">
      <c r="A857" s="434" t="s">
        <v>942</v>
      </c>
      <c r="B857" s="457" t="s">
        <v>946</v>
      </c>
      <c r="C857" s="233">
        <v>44257</v>
      </c>
      <c r="D857" s="435" t="s">
        <v>1267</v>
      </c>
      <c r="E857" s="436" t="s">
        <v>1279</v>
      </c>
      <c r="F857" s="434">
        <v>0.5854166666666667</v>
      </c>
      <c r="G857" s="434">
        <v>0.58680555555555558</v>
      </c>
      <c r="H857" s="434" t="s">
        <v>970</v>
      </c>
      <c r="I857" s="437">
        <v>733</v>
      </c>
      <c r="J857" s="434" t="str">
        <f>IFERROR(VLOOKUP(I857,'Chart of accounts'!A:H,2,FALSE),"")</f>
        <v>50103030 01</v>
      </c>
      <c r="K857" s="434" t="str">
        <f>IFERROR(VLOOKUP(I857,'Chart of accounts'!A:H,3,FALSE),"")</f>
        <v>PhilHealth - Civilian</v>
      </c>
      <c r="L857" s="434" t="str">
        <f>IFERROR(VLOOKUP(I857,'Chart of accounts'!A:H,4,FALSE),"")</f>
        <v>50103030 01 - PhilHealth - Civilian (733)</v>
      </c>
      <c r="M857" s="438">
        <v>2</v>
      </c>
      <c r="N857" s="439" t="s">
        <v>1172</v>
      </c>
      <c r="O857" s="439" t="s">
        <v>1260</v>
      </c>
      <c r="P857" s="439"/>
      <c r="Q857" s="50">
        <f>358.16</f>
        <v>358.16</v>
      </c>
      <c r="R857" s="239">
        <f t="shared" si="22"/>
        <v>-358.16</v>
      </c>
      <c r="S857" s="239" t="str">
        <f>VLOOKUP(H857,'Fund Utilization Report'!$A$4:$U$1800,13,FALSE)</f>
        <v>PS</v>
      </c>
      <c r="T857" s="239" t="str">
        <f>VLOOKUP(H857,'Fund Utilization Report'!$A$4:$U$1800,2,FALSE)</f>
        <v>GAA</v>
      </c>
      <c r="U857" s="239" t="str">
        <f>VLOOKUP(H857,'Fund Utilization Report'!$A$4:$U$1800,3,FALSE)</f>
        <v>FY2021, RA11518</v>
      </c>
      <c r="V857" s="239" t="str">
        <f>VLOOKUP(H857,'Fund Utilization Report'!$A$4:$U$1800,4,FALSE)</f>
        <v>OO3</v>
      </c>
      <c r="W857" s="239" t="str">
        <f>VLOOKUP(H857,'Fund Utilization Report'!$A$4:$U$1800,5,FALSE)</f>
        <v>01101101</v>
      </c>
      <c r="X857" s="239" t="str">
        <f>VLOOKUP(H857,'Fund Utilization Report'!$A$4:$U$1800,6,FALSE)</f>
        <v>GOP</v>
      </c>
      <c r="Y857" s="440" t="str">
        <f>VLOOKUP(H857,'Fund Utilization Report'!$A$4:$U$1800,7,FALSE)</f>
        <v>PS</v>
      </c>
      <c r="Z857" s="441">
        <f>VLOOKUP(H857,'Fund Utilization Report'!$A$4:$U$1800,8,FALSE)</f>
        <v>5010000000</v>
      </c>
      <c r="AA857" s="239" t="str">
        <f>VLOOKUP(H857,'Fund Utilization Report'!$A$4:$U$1800,14,FALSE)</f>
        <v>330100100002000</v>
      </c>
      <c r="AB857" s="242" t="str">
        <f>VLOOKUP(H857,'Fund Utilization Report'!$A$4:$U$1800,15,FALSE)</f>
        <v>Implementation of the MSME Development Plan and other initiatives to promote the growth of Micro, Small and Medium Enterprises</v>
      </c>
      <c r="AC857" s="51"/>
      <c r="AD857" s="435"/>
      <c r="AE857" s="51"/>
      <c r="AF857" s="51"/>
      <c r="AG857" s="442"/>
      <c r="AH857" s="442"/>
    </row>
    <row r="858" spans="1:34" s="443" customFormat="1" ht="27.6">
      <c r="A858" s="434" t="s">
        <v>942</v>
      </c>
      <c r="B858" s="457" t="s">
        <v>946</v>
      </c>
      <c r="C858" s="233">
        <v>44257</v>
      </c>
      <c r="D858" s="435" t="s">
        <v>1267</v>
      </c>
      <c r="E858" s="436" t="s">
        <v>1279</v>
      </c>
      <c r="F858" s="434">
        <v>0.5854166666666667</v>
      </c>
      <c r="G858" s="434">
        <v>0.58680555555555558</v>
      </c>
      <c r="H858" s="434" t="s">
        <v>970</v>
      </c>
      <c r="I858" s="437">
        <v>734</v>
      </c>
      <c r="J858" s="434" t="str">
        <f>IFERROR(VLOOKUP(I858,'Chart of accounts'!A:H,2,FALSE),"")</f>
        <v>50103040 01</v>
      </c>
      <c r="K858" s="434" t="str">
        <f>IFERROR(VLOOKUP(I858,'Chart of accounts'!A:H,3,FALSE),"")</f>
        <v>ECIP - Civilian</v>
      </c>
      <c r="L858" s="434" t="str">
        <f>IFERROR(VLOOKUP(I858,'Chart of accounts'!A:H,4,FALSE),"")</f>
        <v>50103040 01 - ECIP - Civilian (734)</v>
      </c>
      <c r="M858" s="438">
        <v>2</v>
      </c>
      <c r="N858" s="439" t="s">
        <v>1172</v>
      </c>
      <c r="O858" s="439" t="s">
        <v>1260</v>
      </c>
      <c r="P858" s="439"/>
      <c r="Q858" s="50">
        <f>100</f>
        <v>100</v>
      </c>
      <c r="R858" s="239">
        <f t="shared" si="22"/>
        <v>-100</v>
      </c>
      <c r="S858" s="239" t="str">
        <f>VLOOKUP(H858,'Fund Utilization Report'!$A$4:$U$1800,13,FALSE)</f>
        <v>PS</v>
      </c>
      <c r="T858" s="239" t="str">
        <f>VLOOKUP(H858,'Fund Utilization Report'!$A$4:$U$1800,2,FALSE)</f>
        <v>GAA</v>
      </c>
      <c r="U858" s="239" t="str">
        <f>VLOOKUP(H858,'Fund Utilization Report'!$A$4:$U$1800,3,FALSE)</f>
        <v>FY2021, RA11518</v>
      </c>
      <c r="V858" s="239" t="str">
        <f>VLOOKUP(H858,'Fund Utilization Report'!$A$4:$U$1800,4,FALSE)</f>
        <v>OO3</v>
      </c>
      <c r="W858" s="239" t="str">
        <f>VLOOKUP(H858,'Fund Utilization Report'!$A$4:$U$1800,5,FALSE)</f>
        <v>01101101</v>
      </c>
      <c r="X858" s="239" t="str">
        <f>VLOOKUP(H858,'Fund Utilization Report'!$A$4:$U$1800,6,FALSE)</f>
        <v>GOP</v>
      </c>
      <c r="Y858" s="440" t="str">
        <f>VLOOKUP(H858,'Fund Utilization Report'!$A$4:$U$1800,7,FALSE)</f>
        <v>PS</v>
      </c>
      <c r="Z858" s="441">
        <f>VLOOKUP(H858,'Fund Utilization Report'!$A$4:$U$1800,8,FALSE)</f>
        <v>5010000000</v>
      </c>
      <c r="AA858" s="239" t="str">
        <f>VLOOKUP(H858,'Fund Utilization Report'!$A$4:$U$1800,14,FALSE)</f>
        <v>330100100002000</v>
      </c>
      <c r="AB858" s="242" t="str">
        <f>VLOOKUP(H858,'Fund Utilization Report'!$A$4:$U$1800,15,FALSE)</f>
        <v>Implementation of the MSME Development Plan and other initiatives to promote the growth of Micro, Small and Medium Enterprises</v>
      </c>
      <c r="AC858" s="51"/>
      <c r="AD858" s="435"/>
      <c r="AE858" s="51"/>
      <c r="AF858" s="51"/>
      <c r="AG858" s="442"/>
      <c r="AH858" s="442"/>
    </row>
    <row r="859" spans="1:34" s="443" customFormat="1" ht="27.6">
      <c r="A859" s="434" t="s">
        <v>942</v>
      </c>
      <c r="B859" s="457" t="s">
        <v>946</v>
      </c>
      <c r="C859" s="233">
        <v>44257</v>
      </c>
      <c r="D859" s="435" t="s">
        <v>1267</v>
      </c>
      <c r="E859" s="436" t="s">
        <v>1280</v>
      </c>
      <c r="F859" s="434">
        <v>0.58680555555555558</v>
      </c>
      <c r="G859" s="434">
        <v>0.59375</v>
      </c>
      <c r="H859" s="434" t="s">
        <v>970</v>
      </c>
      <c r="I859" s="437">
        <v>701</v>
      </c>
      <c r="J859" s="434" t="str">
        <f>IFERROR(VLOOKUP(I859,'Chart of accounts'!A:H,2,FALSE),"")</f>
        <v>50101010 01</v>
      </c>
      <c r="K859" s="434" t="str">
        <f>IFERROR(VLOOKUP(I859,'Chart of accounts'!A:H,3,FALSE),"")</f>
        <v>Basic Salary - Civilian</v>
      </c>
      <c r="L859" s="434" t="str">
        <f>IFERROR(VLOOKUP(I859,'Chart of accounts'!A:H,4,FALSE),"")</f>
        <v>50101010 01 - Basic Salary - Civilian (701)</v>
      </c>
      <c r="M859" s="438">
        <v>85</v>
      </c>
      <c r="N859" s="439" t="s">
        <v>1174</v>
      </c>
      <c r="O859" s="439" t="s">
        <v>1260</v>
      </c>
      <c r="P859" s="439"/>
      <c r="Q859" s="50">
        <f>23877</f>
        <v>23877</v>
      </c>
      <c r="R859" s="239">
        <f t="shared" si="22"/>
        <v>-23877</v>
      </c>
      <c r="S859" s="239" t="str">
        <f>VLOOKUP(H859,'Fund Utilization Report'!$A$4:$U$1800,13,FALSE)</f>
        <v>PS</v>
      </c>
      <c r="T859" s="239" t="str">
        <f>VLOOKUP(H859,'Fund Utilization Report'!$A$4:$U$1800,2,FALSE)</f>
        <v>GAA</v>
      </c>
      <c r="U859" s="239" t="str">
        <f>VLOOKUP(H859,'Fund Utilization Report'!$A$4:$U$1800,3,FALSE)</f>
        <v>FY2021, RA11518</v>
      </c>
      <c r="V859" s="239" t="str">
        <f>VLOOKUP(H859,'Fund Utilization Report'!$A$4:$U$1800,4,FALSE)</f>
        <v>OO3</v>
      </c>
      <c r="W859" s="239" t="str">
        <f>VLOOKUP(H859,'Fund Utilization Report'!$A$4:$U$1800,5,FALSE)</f>
        <v>01101101</v>
      </c>
      <c r="X859" s="239" t="str">
        <f>VLOOKUP(H859,'Fund Utilization Report'!$A$4:$U$1800,6,FALSE)</f>
        <v>GOP</v>
      </c>
      <c r="Y859" s="440" t="str">
        <f>VLOOKUP(H859,'Fund Utilization Report'!$A$4:$U$1800,7,FALSE)</f>
        <v>PS</v>
      </c>
      <c r="Z859" s="441">
        <f>VLOOKUP(H859,'Fund Utilization Report'!$A$4:$U$1800,8,FALSE)</f>
        <v>5010000000</v>
      </c>
      <c r="AA859" s="239" t="str">
        <f>VLOOKUP(H859,'Fund Utilization Report'!$A$4:$U$1800,14,FALSE)</f>
        <v>330100100002000</v>
      </c>
      <c r="AB859" s="242" t="str">
        <f>VLOOKUP(H859,'Fund Utilization Report'!$A$4:$U$1800,15,FALSE)</f>
        <v>Implementation of the MSME Development Plan and other initiatives to promote the growth of Micro, Small and Medium Enterprises</v>
      </c>
      <c r="AC859" s="51"/>
      <c r="AD859" s="435"/>
      <c r="AE859" s="51"/>
      <c r="AF859" s="51"/>
      <c r="AG859" s="442"/>
      <c r="AH859" s="442"/>
    </row>
    <row r="860" spans="1:34" s="443" customFormat="1" ht="27.6">
      <c r="A860" s="434" t="s">
        <v>942</v>
      </c>
      <c r="B860" s="457" t="s">
        <v>946</v>
      </c>
      <c r="C860" s="233">
        <v>44257</v>
      </c>
      <c r="D860" s="435" t="s">
        <v>1267</v>
      </c>
      <c r="E860" s="436" t="s">
        <v>1280</v>
      </c>
      <c r="F860" s="434">
        <v>0.58680555555555558</v>
      </c>
      <c r="G860" s="434">
        <v>0.59375</v>
      </c>
      <c r="H860" s="434" t="s">
        <v>970</v>
      </c>
      <c r="I860" s="437">
        <v>711</v>
      </c>
      <c r="J860" s="434" t="str">
        <f>IFERROR(VLOOKUP(I860,'Chart of accounts'!A:H,2,FALSE),"")</f>
        <v>50102010 01</v>
      </c>
      <c r="K860" s="434" t="str">
        <f>IFERROR(VLOOKUP(I860,'Chart of accounts'!A:H,3,FALSE),"")</f>
        <v>PERA - Civilian</v>
      </c>
      <c r="L860" s="434" t="str">
        <f>IFERROR(VLOOKUP(I860,'Chart of accounts'!A:H,4,FALSE),"")</f>
        <v>50102010 01 - PERA - Civilian (711)</v>
      </c>
      <c r="M860" s="438">
        <v>85</v>
      </c>
      <c r="N860" s="439" t="s">
        <v>1174</v>
      </c>
      <c r="O860" s="439" t="s">
        <v>1260</v>
      </c>
      <c r="P860" s="439"/>
      <c r="Q860" s="50">
        <f>2000</f>
        <v>2000</v>
      </c>
      <c r="R860" s="239">
        <f t="shared" si="22"/>
        <v>-2000</v>
      </c>
      <c r="S860" s="239" t="str">
        <f>VLOOKUP(H860,'Fund Utilization Report'!$A$4:$U$1800,13,FALSE)</f>
        <v>PS</v>
      </c>
      <c r="T860" s="239" t="str">
        <f>VLOOKUP(H860,'Fund Utilization Report'!$A$4:$U$1800,2,FALSE)</f>
        <v>GAA</v>
      </c>
      <c r="U860" s="239" t="str">
        <f>VLOOKUP(H860,'Fund Utilization Report'!$A$4:$U$1800,3,FALSE)</f>
        <v>FY2021, RA11518</v>
      </c>
      <c r="V860" s="239" t="str">
        <f>VLOOKUP(H860,'Fund Utilization Report'!$A$4:$U$1800,4,FALSE)</f>
        <v>OO3</v>
      </c>
      <c r="W860" s="239" t="str">
        <f>VLOOKUP(H860,'Fund Utilization Report'!$A$4:$U$1800,5,FALSE)</f>
        <v>01101101</v>
      </c>
      <c r="X860" s="239" t="str">
        <f>VLOOKUP(H860,'Fund Utilization Report'!$A$4:$U$1800,6,FALSE)</f>
        <v>GOP</v>
      </c>
      <c r="Y860" s="440" t="str">
        <f>VLOOKUP(H860,'Fund Utilization Report'!$A$4:$U$1800,7,FALSE)</f>
        <v>PS</v>
      </c>
      <c r="Z860" s="441">
        <f>VLOOKUP(H860,'Fund Utilization Report'!$A$4:$U$1800,8,FALSE)</f>
        <v>5010000000</v>
      </c>
      <c r="AA860" s="239" t="str">
        <f>VLOOKUP(H860,'Fund Utilization Report'!$A$4:$U$1800,14,FALSE)</f>
        <v>330100100002000</v>
      </c>
      <c r="AB860" s="242" t="str">
        <f>VLOOKUP(H860,'Fund Utilization Report'!$A$4:$U$1800,15,FALSE)</f>
        <v>Implementation of the MSME Development Plan and other initiatives to promote the growth of Micro, Small and Medium Enterprises</v>
      </c>
      <c r="AC860" s="51"/>
      <c r="AD860" s="435"/>
      <c r="AE860" s="51"/>
      <c r="AF860" s="51"/>
      <c r="AG860" s="442"/>
      <c r="AH860" s="442"/>
    </row>
    <row r="861" spans="1:34" s="443" customFormat="1" ht="27.6">
      <c r="A861" s="434" t="s">
        <v>942</v>
      </c>
      <c r="B861" s="457" t="s">
        <v>946</v>
      </c>
      <c r="C861" s="233">
        <v>44257</v>
      </c>
      <c r="D861" s="435" t="s">
        <v>1267</v>
      </c>
      <c r="E861" s="436" t="s">
        <v>1280</v>
      </c>
      <c r="F861" s="434">
        <v>0.58680555555555558</v>
      </c>
      <c r="G861" s="434">
        <v>0.59375</v>
      </c>
      <c r="H861" s="434" t="s">
        <v>972</v>
      </c>
      <c r="I861" s="437">
        <v>731</v>
      </c>
      <c r="J861" s="434" t="str">
        <f>IFERROR(VLOOKUP(I861,'Chart of accounts'!A:H,2,FALSE),"")</f>
        <v>50103010 00</v>
      </c>
      <c r="K861" s="434" t="str">
        <f>IFERROR(VLOOKUP(I861,'Chart of accounts'!A:H,3,FALSE),"")</f>
        <v>Retirement and Life Insurance Premiums</v>
      </c>
      <c r="L861" s="434" t="str">
        <f>IFERROR(VLOOKUP(I861,'Chart of accounts'!A:H,4,FALSE),"")</f>
        <v>50103010 00 - Retirement and Life Insurance Premiums (731)</v>
      </c>
      <c r="M861" s="438">
        <v>85</v>
      </c>
      <c r="N861" s="439" t="s">
        <v>1174</v>
      </c>
      <c r="O861" s="439" t="s">
        <v>1260</v>
      </c>
      <c r="P861" s="439"/>
      <c r="Q861" s="50">
        <f>2865.24</f>
        <v>2865.24</v>
      </c>
      <c r="R861" s="239">
        <f t="shared" si="22"/>
        <v>-2865.24</v>
      </c>
      <c r="S861" s="239" t="str">
        <f>VLOOKUP(H861,'Fund Utilization Report'!$A$4:$U$1800,13,FALSE)</f>
        <v>PS</v>
      </c>
      <c r="T861" s="239" t="str">
        <f>VLOOKUP(H861,'Fund Utilization Report'!$A$4:$U$1800,2,FALSE)</f>
        <v>GAA</v>
      </c>
      <c r="U861" s="239" t="str">
        <f>VLOOKUP(H861,'Fund Utilization Report'!$A$4:$U$1800,3,FALSE)</f>
        <v>FY2021, RA11518</v>
      </c>
      <c r="V861" s="239" t="str">
        <f>VLOOKUP(H861,'Fund Utilization Report'!$A$4:$U$1800,4,FALSE)</f>
        <v>OO3</v>
      </c>
      <c r="W861" s="239" t="str">
        <f>VLOOKUP(H861,'Fund Utilization Report'!$A$4:$U$1800,5,FALSE)</f>
        <v>01101101</v>
      </c>
      <c r="X861" s="239" t="str">
        <f>VLOOKUP(H861,'Fund Utilization Report'!$A$4:$U$1800,6,FALSE)</f>
        <v>GOP</v>
      </c>
      <c r="Y861" s="440" t="str">
        <f>VLOOKUP(H861,'Fund Utilization Report'!$A$4:$U$1800,7,FALSE)</f>
        <v>RLIP</v>
      </c>
      <c r="Z861" s="441" t="str">
        <f>VLOOKUP(H861,'Fund Utilization Report'!$A$4:$U$1800,8,FALSE)</f>
        <v>50103010-00</v>
      </c>
      <c r="AA861" s="239" t="str">
        <f>VLOOKUP(H861,'Fund Utilization Report'!$A$4:$U$1800,14,FALSE)</f>
        <v>330100100002000</v>
      </c>
      <c r="AB861" s="242" t="str">
        <f>VLOOKUP(H861,'Fund Utilization Report'!$A$4:$U$1800,15,FALSE)</f>
        <v>Implementation of the MSME Development Plan and other initiatives to promote the growth of Micro, Small and Medium Enterprises</v>
      </c>
      <c r="AC861" s="51"/>
      <c r="AD861" s="435"/>
      <c r="AE861" s="51"/>
      <c r="AF861" s="51"/>
      <c r="AG861" s="442"/>
      <c r="AH861" s="442"/>
    </row>
    <row r="862" spans="1:34" s="443" customFormat="1" ht="27.6">
      <c r="A862" s="434" t="s">
        <v>942</v>
      </c>
      <c r="B862" s="457" t="s">
        <v>946</v>
      </c>
      <c r="C862" s="233">
        <v>44257</v>
      </c>
      <c r="D862" s="435" t="s">
        <v>1267</v>
      </c>
      <c r="E862" s="436" t="s">
        <v>1280</v>
      </c>
      <c r="F862" s="434">
        <v>0.58680555555555558</v>
      </c>
      <c r="G862" s="434">
        <v>0.59375</v>
      </c>
      <c r="H862" s="434" t="s">
        <v>970</v>
      </c>
      <c r="I862" s="437">
        <v>732</v>
      </c>
      <c r="J862" s="434" t="str">
        <f>IFERROR(VLOOKUP(I862,'Chart of accounts'!A:H,2,FALSE),"")</f>
        <v>50103020 01</v>
      </c>
      <c r="K862" s="434" t="str">
        <f>IFERROR(VLOOKUP(I862,'Chart of accounts'!A:H,3,FALSE),"")</f>
        <v>Pag-IBIG - Civilian</v>
      </c>
      <c r="L862" s="434" t="str">
        <f>IFERROR(VLOOKUP(I862,'Chart of accounts'!A:H,4,FALSE),"")</f>
        <v>50103020 01 - Pag-IBIG - Civilian (732)</v>
      </c>
      <c r="M862" s="438">
        <v>85</v>
      </c>
      <c r="N862" s="439" t="s">
        <v>1174</v>
      </c>
      <c r="O862" s="439" t="s">
        <v>1260</v>
      </c>
      <c r="P862" s="439"/>
      <c r="Q862" s="50">
        <f>100</f>
        <v>100</v>
      </c>
      <c r="R862" s="239">
        <f t="shared" si="22"/>
        <v>-100</v>
      </c>
      <c r="S862" s="239" t="str">
        <f>VLOOKUP(H862,'Fund Utilization Report'!$A$4:$U$1800,13,FALSE)</f>
        <v>PS</v>
      </c>
      <c r="T862" s="239" t="str">
        <f>VLOOKUP(H862,'Fund Utilization Report'!$A$4:$U$1800,2,FALSE)</f>
        <v>GAA</v>
      </c>
      <c r="U862" s="239" t="str">
        <f>VLOOKUP(H862,'Fund Utilization Report'!$A$4:$U$1800,3,FALSE)</f>
        <v>FY2021, RA11518</v>
      </c>
      <c r="V862" s="239" t="str">
        <f>VLOOKUP(H862,'Fund Utilization Report'!$A$4:$U$1800,4,FALSE)</f>
        <v>OO3</v>
      </c>
      <c r="W862" s="239" t="str">
        <f>VLOOKUP(H862,'Fund Utilization Report'!$A$4:$U$1800,5,FALSE)</f>
        <v>01101101</v>
      </c>
      <c r="X862" s="239" t="str">
        <f>VLOOKUP(H862,'Fund Utilization Report'!$A$4:$U$1800,6,FALSE)</f>
        <v>GOP</v>
      </c>
      <c r="Y862" s="440" t="str">
        <f>VLOOKUP(H862,'Fund Utilization Report'!$A$4:$U$1800,7,FALSE)</f>
        <v>PS</v>
      </c>
      <c r="Z862" s="441">
        <f>VLOOKUP(H862,'Fund Utilization Report'!$A$4:$U$1800,8,FALSE)</f>
        <v>5010000000</v>
      </c>
      <c r="AA862" s="239" t="str">
        <f>VLOOKUP(H862,'Fund Utilization Report'!$A$4:$U$1800,14,FALSE)</f>
        <v>330100100002000</v>
      </c>
      <c r="AB862" s="242" t="str">
        <f>VLOOKUP(H862,'Fund Utilization Report'!$A$4:$U$1800,15,FALSE)</f>
        <v>Implementation of the MSME Development Plan and other initiatives to promote the growth of Micro, Small and Medium Enterprises</v>
      </c>
      <c r="AC862" s="51"/>
      <c r="AD862" s="435"/>
      <c r="AE862" s="51"/>
      <c r="AF862" s="51"/>
      <c r="AG862" s="442"/>
      <c r="AH862" s="442"/>
    </row>
    <row r="863" spans="1:34" s="443" customFormat="1" ht="27.6">
      <c r="A863" s="434" t="s">
        <v>942</v>
      </c>
      <c r="B863" s="457" t="s">
        <v>946</v>
      </c>
      <c r="C863" s="233">
        <v>44257</v>
      </c>
      <c r="D863" s="435" t="s">
        <v>1267</v>
      </c>
      <c r="E863" s="436" t="s">
        <v>1280</v>
      </c>
      <c r="F863" s="434">
        <v>0.58680555555555558</v>
      </c>
      <c r="G863" s="434">
        <v>0.59375</v>
      </c>
      <c r="H863" s="434" t="s">
        <v>970</v>
      </c>
      <c r="I863" s="437">
        <v>733</v>
      </c>
      <c r="J863" s="434" t="str">
        <f>IFERROR(VLOOKUP(I863,'Chart of accounts'!A:H,2,FALSE),"")</f>
        <v>50103030 01</v>
      </c>
      <c r="K863" s="434" t="str">
        <f>IFERROR(VLOOKUP(I863,'Chart of accounts'!A:H,3,FALSE),"")</f>
        <v>PhilHealth - Civilian</v>
      </c>
      <c r="L863" s="434" t="str">
        <f>IFERROR(VLOOKUP(I863,'Chart of accounts'!A:H,4,FALSE),"")</f>
        <v>50103030 01 - PhilHealth - Civilian (733)</v>
      </c>
      <c r="M863" s="438">
        <v>85</v>
      </c>
      <c r="N863" s="439" t="s">
        <v>1174</v>
      </c>
      <c r="O863" s="439" t="s">
        <v>1260</v>
      </c>
      <c r="P863" s="439"/>
      <c r="Q863" s="50">
        <f>358.16</f>
        <v>358.16</v>
      </c>
      <c r="R863" s="239">
        <f t="shared" si="22"/>
        <v>-358.16</v>
      </c>
      <c r="S863" s="239" t="str">
        <f>VLOOKUP(H863,'Fund Utilization Report'!$A$4:$U$1800,13,FALSE)</f>
        <v>PS</v>
      </c>
      <c r="T863" s="239" t="str">
        <f>VLOOKUP(H863,'Fund Utilization Report'!$A$4:$U$1800,2,FALSE)</f>
        <v>GAA</v>
      </c>
      <c r="U863" s="239" t="str">
        <f>VLOOKUP(H863,'Fund Utilization Report'!$A$4:$U$1800,3,FALSE)</f>
        <v>FY2021, RA11518</v>
      </c>
      <c r="V863" s="239" t="str">
        <f>VLOOKUP(H863,'Fund Utilization Report'!$A$4:$U$1800,4,FALSE)</f>
        <v>OO3</v>
      </c>
      <c r="W863" s="239" t="str">
        <f>VLOOKUP(H863,'Fund Utilization Report'!$A$4:$U$1800,5,FALSE)</f>
        <v>01101101</v>
      </c>
      <c r="X863" s="239" t="str">
        <f>VLOOKUP(H863,'Fund Utilization Report'!$A$4:$U$1800,6,FALSE)</f>
        <v>GOP</v>
      </c>
      <c r="Y863" s="440" t="str">
        <f>VLOOKUP(H863,'Fund Utilization Report'!$A$4:$U$1800,7,FALSE)</f>
        <v>PS</v>
      </c>
      <c r="Z863" s="441">
        <f>VLOOKUP(H863,'Fund Utilization Report'!$A$4:$U$1800,8,FALSE)</f>
        <v>5010000000</v>
      </c>
      <c r="AA863" s="239" t="str">
        <f>VLOOKUP(H863,'Fund Utilization Report'!$A$4:$U$1800,14,FALSE)</f>
        <v>330100100002000</v>
      </c>
      <c r="AB863" s="242" t="str">
        <f>VLOOKUP(H863,'Fund Utilization Report'!$A$4:$U$1800,15,FALSE)</f>
        <v>Implementation of the MSME Development Plan and other initiatives to promote the growth of Micro, Small and Medium Enterprises</v>
      </c>
      <c r="AC863" s="51"/>
      <c r="AD863" s="435"/>
      <c r="AE863" s="51"/>
      <c r="AF863" s="51"/>
      <c r="AG863" s="442"/>
      <c r="AH863" s="442"/>
    </row>
    <row r="864" spans="1:34" s="443" customFormat="1" ht="27.6">
      <c r="A864" s="434" t="s">
        <v>942</v>
      </c>
      <c r="B864" s="457" t="s">
        <v>946</v>
      </c>
      <c r="C864" s="233">
        <v>44257</v>
      </c>
      <c r="D864" s="435" t="s">
        <v>1267</v>
      </c>
      <c r="E864" s="436" t="s">
        <v>1280</v>
      </c>
      <c r="F864" s="434">
        <v>0.58680555555555558</v>
      </c>
      <c r="G864" s="434">
        <v>0.59375</v>
      </c>
      <c r="H864" s="434" t="s">
        <v>970</v>
      </c>
      <c r="I864" s="437">
        <v>734</v>
      </c>
      <c r="J864" s="434" t="str">
        <f>IFERROR(VLOOKUP(I864,'Chart of accounts'!A:H,2,FALSE),"")</f>
        <v>50103040 01</v>
      </c>
      <c r="K864" s="434" t="str">
        <f>IFERROR(VLOOKUP(I864,'Chart of accounts'!A:H,3,FALSE),"")</f>
        <v>ECIP - Civilian</v>
      </c>
      <c r="L864" s="434" t="str">
        <f>IFERROR(VLOOKUP(I864,'Chart of accounts'!A:H,4,FALSE),"")</f>
        <v>50103040 01 - ECIP - Civilian (734)</v>
      </c>
      <c r="M864" s="438">
        <v>85</v>
      </c>
      <c r="N864" s="439" t="s">
        <v>1174</v>
      </c>
      <c r="O864" s="439" t="s">
        <v>1260</v>
      </c>
      <c r="P864" s="439"/>
      <c r="Q864" s="50">
        <f>100</f>
        <v>100</v>
      </c>
      <c r="R864" s="239">
        <f t="shared" si="22"/>
        <v>-100</v>
      </c>
      <c r="S864" s="239" t="str">
        <f>VLOOKUP(H864,'Fund Utilization Report'!$A$4:$U$1800,13,FALSE)</f>
        <v>PS</v>
      </c>
      <c r="T864" s="239" t="str">
        <f>VLOOKUP(H864,'Fund Utilization Report'!$A$4:$U$1800,2,FALSE)</f>
        <v>GAA</v>
      </c>
      <c r="U864" s="239" t="str">
        <f>VLOOKUP(H864,'Fund Utilization Report'!$A$4:$U$1800,3,FALSE)</f>
        <v>FY2021, RA11518</v>
      </c>
      <c r="V864" s="239" t="str">
        <f>VLOOKUP(H864,'Fund Utilization Report'!$A$4:$U$1800,4,FALSE)</f>
        <v>OO3</v>
      </c>
      <c r="W864" s="239" t="str">
        <f>VLOOKUP(H864,'Fund Utilization Report'!$A$4:$U$1800,5,FALSE)</f>
        <v>01101101</v>
      </c>
      <c r="X864" s="239" t="str">
        <f>VLOOKUP(H864,'Fund Utilization Report'!$A$4:$U$1800,6,FALSE)</f>
        <v>GOP</v>
      </c>
      <c r="Y864" s="440" t="str">
        <f>VLOOKUP(H864,'Fund Utilization Report'!$A$4:$U$1800,7,FALSE)</f>
        <v>PS</v>
      </c>
      <c r="Z864" s="441">
        <f>VLOOKUP(H864,'Fund Utilization Report'!$A$4:$U$1800,8,FALSE)</f>
        <v>5010000000</v>
      </c>
      <c r="AA864" s="239" t="str">
        <f>VLOOKUP(H864,'Fund Utilization Report'!$A$4:$U$1800,14,FALSE)</f>
        <v>330100100002000</v>
      </c>
      <c r="AB864" s="242" t="str">
        <f>VLOOKUP(H864,'Fund Utilization Report'!$A$4:$U$1800,15,FALSE)</f>
        <v>Implementation of the MSME Development Plan and other initiatives to promote the growth of Micro, Small and Medium Enterprises</v>
      </c>
      <c r="AC864" s="51"/>
      <c r="AD864" s="435"/>
      <c r="AE864" s="51"/>
      <c r="AF864" s="51"/>
      <c r="AG864" s="442"/>
      <c r="AH864" s="442"/>
    </row>
    <row r="865" spans="1:35" s="443" customFormat="1" ht="27.6">
      <c r="A865" s="434" t="s">
        <v>942</v>
      </c>
      <c r="B865" s="457" t="s">
        <v>946</v>
      </c>
      <c r="C865" s="233">
        <v>44257</v>
      </c>
      <c r="D865" s="435" t="s">
        <v>1267</v>
      </c>
      <c r="E865" s="436" t="s">
        <v>1281</v>
      </c>
      <c r="F865" s="434">
        <v>0.59791666666666665</v>
      </c>
      <c r="G865" s="434">
        <v>0.59861111111111109</v>
      </c>
      <c r="H865" s="434" t="s">
        <v>968</v>
      </c>
      <c r="I865" s="437">
        <v>783</v>
      </c>
      <c r="J865" s="434" t="str">
        <f>IFERROR(VLOOKUP(I865,'Chart of accounts'!A:H,2,FALSE),"")</f>
        <v>50299030 00</v>
      </c>
      <c r="K865" s="434" t="str">
        <f>IFERROR(VLOOKUP(I865,'Chart of accounts'!A:H,3,FALSE),"")</f>
        <v>Representation Expenses</v>
      </c>
      <c r="L865" s="434" t="str">
        <f>IFERROR(VLOOKUP(I865,'Chart of accounts'!A:H,4,FALSE),"")</f>
        <v>50299030 00 - Representation Expenses (783)</v>
      </c>
      <c r="M865" s="438">
        <v>1</v>
      </c>
      <c r="N865" s="439" t="s">
        <v>1230</v>
      </c>
      <c r="O865" s="439" t="s">
        <v>1231</v>
      </c>
      <c r="P865" s="439"/>
      <c r="Q865" s="50">
        <f>11000</f>
        <v>11000</v>
      </c>
      <c r="R865" s="239">
        <f t="shared" si="22"/>
        <v>-11000</v>
      </c>
      <c r="S865" s="239" t="str">
        <f>VLOOKUP(H865,'Fund Utilization Report'!$A$4:$U$1800,13,FALSE)</f>
        <v>MOOE</v>
      </c>
      <c r="T865" s="239" t="str">
        <f>VLOOKUP(H865,'Fund Utilization Report'!$A$4:$U$1800,2,FALSE)</f>
        <v>GAA</v>
      </c>
      <c r="U865" s="239" t="str">
        <f>VLOOKUP(H865,'Fund Utilization Report'!$A$4:$U$1800,3,FALSE)</f>
        <v>FY2021, RA11518</v>
      </c>
      <c r="V865" s="239" t="str">
        <f>VLOOKUP(H865,'Fund Utilization Report'!$A$4:$U$1800,4,FALSE)</f>
        <v>OO2</v>
      </c>
      <c r="W865" s="239" t="str">
        <f>VLOOKUP(H865,'Fund Utilization Report'!$A$4:$U$1800,5,FALSE)</f>
        <v>01101101</v>
      </c>
      <c r="X865" s="239" t="str">
        <f>VLOOKUP(H865,'Fund Utilization Report'!$A$4:$U$1800,6,FALSE)</f>
        <v>GOP</v>
      </c>
      <c r="Y865" s="440" t="str">
        <f>VLOOKUP(H865,'Fund Utilization Report'!$A$4:$U$1800,7,FALSE)</f>
        <v>MOOE</v>
      </c>
      <c r="Z865" s="441">
        <f>VLOOKUP(H865,'Fund Utilization Report'!$A$4:$U$1800,8,FALSE)</f>
        <v>5020000000</v>
      </c>
      <c r="AA865" s="239" t="str">
        <f>VLOOKUP(H865,'Fund Utilization Report'!$A$4:$U$1800,14,FALSE)</f>
        <v>320100100001000</v>
      </c>
      <c r="AB865" s="242" t="str">
        <f>VLOOKUP(H865,'Fund Utilization Report'!$A$4:$U$1800,15,FALSE)</f>
        <v>Formulation of Strategic plans,programs, and policies to develop competitve industries</v>
      </c>
      <c r="AC865" s="51"/>
      <c r="AD865" s="435"/>
      <c r="AE865" s="51"/>
      <c r="AF865" s="51"/>
      <c r="AG865" s="442"/>
      <c r="AH865" s="442"/>
    </row>
    <row r="866" spans="1:35" s="443" customFormat="1" ht="27.6">
      <c r="A866" s="434" t="s">
        <v>942</v>
      </c>
      <c r="B866" s="457" t="s">
        <v>946</v>
      </c>
      <c r="C866" s="233">
        <v>44257</v>
      </c>
      <c r="D866" s="435" t="s">
        <v>1267</v>
      </c>
      <c r="E866" s="436" t="s">
        <v>1282</v>
      </c>
      <c r="F866" s="434">
        <v>0.59861111111111109</v>
      </c>
      <c r="G866" s="434">
        <v>0.59930555555555554</v>
      </c>
      <c r="H866" s="434" t="s">
        <v>961</v>
      </c>
      <c r="I866" s="437">
        <v>773</v>
      </c>
      <c r="J866" s="434" t="str">
        <f>IFERROR(VLOOKUP(I866,'Chart of accounts'!A:H,2,FALSE),"")</f>
        <v>50205020 01</v>
      </c>
      <c r="K866" s="434" t="str">
        <f>IFERROR(VLOOKUP(I866,'Chart of accounts'!A:H,3,FALSE),"")</f>
        <v xml:space="preserve">Telephone Expenses - Mobile </v>
      </c>
      <c r="L866" s="434" t="str">
        <f>IFERROR(VLOOKUP(I866,'Chart of accounts'!A:H,4,FALSE),"")</f>
        <v>50205020 01 - Telephone Expenses - Mobile  (773)</v>
      </c>
      <c r="M866" s="438">
        <v>1</v>
      </c>
      <c r="N866" s="439" t="s">
        <v>1102</v>
      </c>
      <c r="O866" s="439" t="s">
        <v>1283</v>
      </c>
      <c r="P866" s="439"/>
      <c r="Q866" s="50">
        <f>2500</f>
        <v>2500</v>
      </c>
      <c r="R866" s="239">
        <f t="shared" si="22"/>
        <v>-2500</v>
      </c>
      <c r="S866" s="239" t="str">
        <f>VLOOKUP(H866,'Fund Utilization Report'!$A$4:$U$1800,13,FALSE)</f>
        <v>MOOE</v>
      </c>
      <c r="T866" s="239" t="str">
        <f>VLOOKUP(H866,'Fund Utilization Report'!$A$4:$U$1800,2,FALSE)</f>
        <v>GAA</v>
      </c>
      <c r="U866" s="239" t="str">
        <f>VLOOKUP(H866,'Fund Utilization Report'!$A$4:$U$1800,3,FALSE)</f>
        <v>FY2021, RA11518</v>
      </c>
      <c r="V866" s="239" t="str">
        <f>VLOOKUP(H866,'Fund Utilization Report'!$A$4:$U$1800,4,FALSE)</f>
        <v>GAS(GMS)</v>
      </c>
      <c r="W866" s="239" t="str">
        <f>VLOOKUP(H866,'Fund Utilization Report'!$A$4:$U$1800,5,FALSE)</f>
        <v>01101101</v>
      </c>
      <c r="X866" s="239" t="str">
        <f>VLOOKUP(H866,'Fund Utilization Report'!$A$4:$U$1800,6,FALSE)</f>
        <v>GOP</v>
      </c>
      <c r="Y866" s="440" t="str">
        <f>VLOOKUP(H866,'Fund Utilization Report'!$A$4:$U$1800,7,FALSE)</f>
        <v>MOOE</v>
      </c>
      <c r="Z866" s="441">
        <f>VLOOKUP(H866,'Fund Utilization Report'!$A$4:$U$1800,8,FALSE)</f>
        <v>5020000000</v>
      </c>
      <c r="AA866" s="239" t="str">
        <f>VLOOKUP(H866,'Fund Utilization Report'!$A$4:$U$1800,14,FALSE)</f>
        <v>100000100001000</v>
      </c>
      <c r="AB866" s="242" t="str">
        <f>VLOOKUP(H866,'Fund Utilization Report'!$A$4:$U$1800,15,FALSE)</f>
        <v>General Administration and Supervision - General Management and Supervision</v>
      </c>
      <c r="AC866" s="51"/>
      <c r="AD866" s="435"/>
      <c r="AE866" s="51"/>
      <c r="AF866" s="51"/>
      <c r="AG866" s="442"/>
      <c r="AH866" s="442"/>
    </row>
    <row r="867" spans="1:35" s="32" customFormat="1" ht="27.6">
      <c r="A867" s="434" t="s">
        <v>942</v>
      </c>
      <c r="B867" s="457" t="s">
        <v>946</v>
      </c>
      <c r="C867" s="233">
        <v>44257</v>
      </c>
      <c r="D867" s="435" t="s">
        <v>1267</v>
      </c>
      <c r="E867" s="436" t="s">
        <v>1284</v>
      </c>
      <c r="F867" s="434">
        <v>0.59930555555555554</v>
      </c>
      <c r="G867" s="338">
        <v>0.60069444444444442</v>
      </c>
      <c r="H867" s="434" t="s">
        <v>961</v>
      </c>
      <c r="I867" s="353">
        <v>755</v>
      </c>
      <c r="J867" s="338" t="str">
        <f>IFERROR(VLOOKUP(I867,'Chart of accounts'!A:H,2,FALSE),"")</f>
        <v>50203010 00</v>
      </c>
      <c r="K867" s="338" t="str">
        <f>IFERROR(VLOOKUP(I867,'Chart of accounts'!A:H,3,FALSE),"")</f>
        <v>Office Supplies Expenses</v>
      </c>
      <c r="L867" s="338" t="str">
        <f>IFERROR(VLOOKUP(I867,'Chart of accounts'!A:H,4,FALSE),"")</f>
        <v>50203010 00 - Office Supplies Expenses (755)</v>
      </c>
      <c r="M867" s="361">
        <v>1</v>
      </c>
      <c r="N867" s="355" t="s">
        <v>773</v>
      </c>
      <c r="O867" s="355" t="s">
        <v>1285</v>
      </c>
      <c r="P867" s="355"/>
      <c r="Q867" s="363">
        <v>1338.5</v>
      </c>
      <c r="R867" s="319">
        <f t="shared" si="20"/>
        <v>-1338.5</v>
      </c>
      <c r="S867" s="239" t="str">
        <f>VLOOKUP(H867,'Fund Utilization Report'!$A$4:$U$1800,13,FALSE)</f>
        <v>MOOE</v>
      </c>
      <c r="T867" s="239" t="str">
        <f>VLOOKUP(H867,'Fund Utilization Report'!$A$4:$U$1800,2,FALSE)</f>
        <v>GAA</v>
      </c>
      <c r="U867" s="239" t="str">
        <f>VLOOKUP(H867,'Fund Utilization Report'!$A$4:$U$1800,3,FALSE)</f>
        <v>FY2021, RA11518</v>
      </c>
      <c r="V867" s="239" t="str">
        <f>VLOOKUP(H867,'Fund Utilization Report'!$A$4:$U$1800,4,FALSE)</f>
        <v>GAS(GMS)</v>
      </c>
      <c r="W867" s="239" t="str">
        <f>VLOOKUP(H867,'Fund Utilization Report'!$A$4:$U$1800,5,FALSE)</f>
        <v>01101101</v>
      </c>
      <c r="X867" s="239" t="str">
        <f>VLOOKUP(H867,'Fund Utilization Report'!$A$4:$U$1800,6,FALSE)</f>
        <v>GOP</v>
      </c>
      <c r="Y867" s="440" t="str">
        <f>VLOOKUP(H867,'Fund Utilization Report'!$A$4:$U$1800,7,FALSE)</f>
        <v>MOOE</v>
      </c>
      <c r="Z867" s="441">
        <f>VLOOKUP(H867,'Fund Utilization Report'!$A$4:$U$1800,8,FALSE)</f>
        <v>5020000000</v>
      </c>
      <c r="AA867" s="239" t="str">
        <f>VLOOKUP(H867,'Fund Utilization Report'!$A$4:$U$1800,14,FALSE)</f>
        <v>100000100001000</v>
      </c>
      <c r="AB867" s="242" t="str">
        <f>VLOOKUP(H867,'Fund Utilization Report'!$A$4:$U$1800,15,FALSE)</f>
        <v>General Administration and Supervision - General Management and Supervision</v>
      </c>
      <c r="AC867" s="51"/>
      <c r="AD867" s="435"/>
      <c r="AE867" s="51"/>
      <c r="AF867" s="51"/>
      <c r="AG867" s="442"/>
      <c r="AH867" s="442"/>
      <c r="AI867" s="443"/>
    </row>
    <row r="868" spans="1:35" s="32" customFormat="1" ht="27.6">
      <c r="A868" s="434" t="s">
        <v>942</v>
      </c>
      <c r="B868" s="457" t="s">
        <v>946</v>
      </c>
      <c r="C868" s="233">
        <v>44257</v>
      </c>
      <c r="D868" s="435" t="s">
        <v>1267</v>
      </c>
      <c r="E868" s="436" t="s">
        <v>1284</v>
      </c>
      <c r="F868" s="434">
        <v>0.59930555555555554</v>
      </c>
      <c r="G868" s="338">
        <v>0.60069444444444442</v>
      </c>
      <c r="H868" s="434" t="s">
        <v>961</v>
      </c>
      <c r="I868" s="353">
        <v>795</v>
      </c>
      <c r="J868" s="338" t="str">
        <f>IFERROR(VLOOKUP(I868,'Chart of accounts'!A:H,2,FALSE),"")</f>
        <v>50212990 00</v>
      </c>
      <c r="K868" s="338" t="str">
        <f>IFERROR(VLOOKUP(I868,'Chart of accounts'!A:H,3,FALSE),"")</f>
        <v>Other General Services</v>
      </c>
      <c r="L868" s="338" t="str">
        <f>IFERROR(VLOOKUP(I868,'Chart of accounts'!A:H,4,FALSE),"")</f>
        <v>50212990 00 - Other General Services (795)</v>
      </c>
      <c r="M868" s="361">
        <v>1</v>
      </c>
      <c r="N868" s="355" t="s">
        <v>773</v>
      </c>
      <c r="O868" s="355" t="s">
        <v>1285</v>
      </c>
      <c r="P868" s="355"/>
      <c r="Q868" s="363">
        <v>1865</v>
      </c>
      <c r="R868" s="319">
        <f t="shared" si="20"/>
        <v>-1865</v>
      </c>
      <c r="S868" s="239" t="str">
        <f>VLOOKUP(H868,'Fund Utilization Report'!$A$4:$U$1800,13,FALSE)</f>
        <v>MOOE</v>
      </c>
      <c r="T868" s="239" t="str">
        <f>VLOOKUP(H868,'Fund Utilization Report'!$A$4:$U$1800,2,FALSE)</f>
        <v>GAA</v>
      </c>
      <c r="U868" s="239" t="str">
        <f>VLOOKUP(H868,'Fund Utilization Report'!$A$4:$U$1800,3,FALSE)</f>
        <v>FY2021, RA11518</v>
      </c>
      <c r="V868" s="239" t="str">
        <f>VLOOKUP(H868,'Fund Utilization Report'!$A$4:$U$1800,4,FALSE)</f>
        <v>GAS(GMS)</v>
      </c>
      <c r="W868" s="239" t="str">
        <f>VLOOKUP(H868,'Fund Utilization Report'!$A$4:$U$1800,5,FALSE)</f>
        <v>01101101</v>
      </c>
      <c r="X868" s="239" t="str">
        <f>VLOOKUP(H868,'Fund Utilization Report'!$A$4:$U$1800,6,FALSE)</f>
        <v>GOP</v>
      </c>
      <c r="Y868" s="440" t="str">
        <f>VLOOKUP(H868,'Fund Utilization Report'!$A$4:$U$1800,7,FALSE)</f>
        <v>MOOE</v>
      </c>
      <c r="Z868" s="441">
        <f>VLOOKUP(H868,'Fund Utilization Report'!$A$4:$U$1800,8,FALSE)</f>
        <v>5020000000</v>
      </c>
      <c r="AA868" s="239" t="str">
        <f>VLOOKUP(H868,'Fund Utilization Report'!$A$4:$U$1800,14,FALSE)</f>
        <v>100000100001000</v>
      </c>
      <c r="AB868" s="242" t="str">
        <f>VLOOKUP(H868,'Fund Utilization Report'!$A$4:$U$1800,15,FALSE)</f>
        <v>General Administration and Supervision - General Management and Supervision</v>
      </c>
      <c r="AC868" s="51"/>
      <c r="AD868" s="435"/>
      <c r="AE868" s="51"/>
      <c r="AF868" s="51"/>
      <c r="AG868" s="442"/>
      <c r="AH868" s="442"/>
      <c r="AI868" s="443"/>
    </row>
    <row r="869" spans="1:35" s="32" customFormat="1" ht="27.6">
      <c r="A869" s="434" t="s">
        <v>942</v>
      </c>
      <c r="B869" s="457" t="s">
        <v>946</v>
      </c>
      <c r="C869" s="233">
        <v>44257</v>
      </c>
      <c r="D869" s="435" t="s">
        <v>1267</v>
      </c>
      <c r="E869" s="436" t="s">
        <v>1284</v>
      </c>
      <c r="F869" s="434">
        <v>0.59930555555555554</v>
      </c>
      <c r="G869" s="338">
        <v>0.60069444444444442</v>
      </c>
      <c r="H869" s="434" t="s">
        <v>961</v>
      </c>
      <c r="I869" s="353">
        <v>799</v>
      </c>
      <c r="J869" s="338" t="str">
        <f>IFERROR(VLOOKUP(I869,'Chart of accounts'!A:H,2,FALSE),"")</f>
        <v>50211990 00</v>
      </c>
      <c r="K869" s="338" t="str">
        <f>IFERROR(VLOOKUP(I869,'Chart of accounts'!A:H,3,FALSE),"")</f>
        <v>Other Professional Services</v>
      </c>
      <c r="L869" s="338" t="str">
        <f>IFERROR(VLOOKUP(I869,'Chart of accounts'!A:H,4,FALSE),"")</f>
        <v>50211990 00 - Other Professional Services (799)</v>
      </c>
      <c r="M869" s="361">
        <v>1</v>
      </c>
      <c r="N869" s="355" t="s">
        <v>773</v>
      </c>
      <c r="O869" s="355" t="s">
        <v>1285</v>
      </c>
      <c r="P869" s="355"/>
      <c r="Q869" s="363">
        <v>900</v>
      </c>
      <c r="R869" s="319">
        <f t="shared" si="20"/>
        <v>-900</v>
      </c>
      <c r="S869" s="239" t="str">
        <f>VLOOKUP(H869,'Fund Utilization Report'!$A$4:$U$1800,13,FALSE)</f>
        <v>MOOE</v>
      </c>
      <c r="T869" s="239" t="str">
        <f>VLOOKUP(H869,'Fund Utilization Report'!$A$4:$U$1800,2,FALSE)</f>
        <v>GAA</v>
      </c>
      <c r="U869" s="239" t="str">
        <f>VLOOKUP(H869,'Fund Utilization Report'!$A$4:$U$1800,3,FALSE)</f>
        <v>FY2021, RA11518</v>
      </c>
      <c r="V869" s="239" t="str">
        <f>VLOOKUP(H869,'Fund Utilization Report'!$A$4:$U$1800,4,FALSE)</f>
        <v>GAS(GMS)</v>
      </c>
      <c r="W869" s="239" t="str">
        <f>VLOOKUP(H869,'Fund Utilization Report'!$A$4:$U$1800,5,FALSE)</f>
        <v>01101101</v>
      </c>
      <c r="X869" s="239" t="str">
        <f>VLOOKUP(H869,'Fund Utilization Report'!$A$4:$U$1800,6,FALSE)</f>
        <v>GOP</v>
      </c>
      <c r="Y869" s="440" t="str">
        <f>VLOOKUP(H869,'Fund Utilization Report'!$A$4:$U$1800,7,FALSE)</f>
        <v>MOOE</v>
      </c>
      <c r="Z869" s="441">
        <f>VLOOKUP(H869,'Fund Utilization Report'!$A$4:$U$1800,8,FALSE)</f>
        <v>5020000000</v>
      </c>
      <c r="AA869" s="239" t="str">
        <f>VLOOKUP(H869,'Fund Utilization Report'!$A$4:$U$1800,14,FALSE)</f>
        <v>100000100001000</v>
      </c>
      <c r="AB869" s="242" t="str">
        <f>VLOOKUP(H869,'Fund Utilization Report'!$A$4:$U$1800,15,FALSE)</f>
        <v>General Administration and Supervision - General Management and Supervision</v>
      </c>
      <c r="AC869" s="51"/>
      <c r="AD869" s="435"/>
      <c r="AE869" s="51"/>
      <c r="AF869" s="51"/>
      <c r="AG869" s="442"/>
      <c r="AH869" s="442"/>
      <c r="AI869" s="443"/>
    </row>
    <row r="870" spans="1:35" s="32" customFormat="1" ht="27.6">
      <c r="A870" s="434" t="s">
        <v>942</v>
      </c>
      <c r="B870" s="457" t="s">
        <v>946</v>
      </c>
      <c r="C870" s="233">
        <v>44257</v>
      </c>
      <c r="D870" s="435" t="s">
        <v>1267</v>
      </c>
      <c r="E870" s="436" t="s">
        <v>1284</v>
      </c>
      <c r="F870" s="434">
        <v>0.59930555555555554</v>
      </c>
      <c r="G870" s="338">
        <v>0.60069444444444442</v>
      </c>
      <c r="H870" s="434" t="s">
        <v>961</v>
      </c>
      <c r="I870" s="353">
        <v>969</v>
      </c>
      <c r="J870" s="338" t="str">
        <f>IFERROR(VLOOKUP(I870,'Chart of accounts'!A:H,2,FALSE),"")</f>
        <v>50299990 99</v>
      </c>
      <c r="K870" s="338" t="str">
        <f>IFERROR(VLOOKUP(I870,'Chart of accounts'!A:H,3,FALSE),"")</f>
        <v>Other Maintenance and Operating Expenses</v>
      </c>
      <c r="L870" s="338" t="str">
        <f>IFERROR(VLOOKUP(I870,'Chart of accounts'!A:H,4,FALSE),"")</f>
        <v>50299990 99 - Other Maintenance and Operating Expenses (969)</v>
      </c>
      <c r="M870" s="361">
        <v>1</v>
      </c>
      <c r="N870" s="355" t="s">
        <v>773</v>
      </c>
      <c r="O870" s="355" t="s">
        <v>1285</v>
      </c>
      <c r="P870" s="355"/>
      <c r="Q870" s="363">
        <v>120</v>
      </c>
      <c r="R870" s="319">
        <f t="shared" si="20"/>
        <v>-120</v>
      </c>
      <c r="S870" s="239" t="str">
        <f>VLOOKUP(H870,'Fund Utilization Report'!$A$4:$U$1800,13,FALSE)</f>
        <v>MOOE</v>
      </c>
      <c r="T870" s="239" t="str">
        <f>VLOOKUP(H870,'Fund Utilization Report'!$A$4:$U$1800,2,FALSE)</f>
        <v>GAA</v>
      </c>
      <c r="U870" s="239" t="str">
        <f>VLOOKUP(H870,'Fund Utilization Report'!$A$4:$U$1800,3,FALSE)</f>
        <v>FY2021, RA11518</v>
      </c>
      <c r="V870" s="239" t="str">
        <f>VLOOKUP(H870,'Fund Utilization Report'!$A$4:$U$1800,4,FALSE)</f>
        <v>GAS(GMS)</v>
      </c>
      <c r="W870" s="239" t="str">
        <f>VLOOKUP(H870,'Fund Utilization Report'!$A$4:$U$1800,5,FALSE)</f>
        <v>01101101</v>
      </c>
      <c r="X870" s="239" t="str">
        <f>VLOOKUP(H870,'Fund Utilization Report'!$A$4:$U$1800,6,FALSE)</f>
        <v>GOP</v>
      </c>
      <c r="Y870" s="440" t="str">
        <f>VLOOKUP(H870,'Fund Utilization Report'!$A$4:$U$1800,7,FALSE)</f>
        <v>MOOE</v>
      </c>
      <c r="Z870" s="441">
        <f>VLOOKUP(H870,'Fund Utilization Report'!$A$4:$U$1800,8,FALSE)</f>
        <v>5020000000</v>
      </c>
      <c r="AA870" s="239" t="str">
        <f>VLOOKUP(H870,'Fund Utilization Report'!$A$4:$U$1800,14,FALSE)</f>
        <v>100000100001000</v>
      </c>
      <c r="AB870" s="242" t="str">
        <f>VLOOKUP(H870,'Fund Utilization Report'!$A$4:$U$1800,15,FALSE)</f>
        <v>General Administration and Supervision - General Management and Supervision</v>
      </c>
      <c r="AC870" s="51"/>
      <c r="AD870" s="435"/>
      <c r="AE870" s="51"/>
      <c r="AF870" s="51"/>
      <c r="AG870" s="442"/>
      <c r="AH870" s="442"/>
      <c r="AI870" s="443"/>
    </row>
    <row r="871" spans="1:35" s="32" customFormat="1">
      <c r="A871" s="434" t="s">
        <v>942</v>
      </c>
      <c r="B871" s="457" t="s">
        <v>946</v>
      </c>
      <c r="C871" s="233">
        <v>44257</v>
      </c>
      <c r="D871" s="435" t="s">
        <v>1267</v>
      </c>
      <c r="E871" s="436" t="s">
        <v>1286</v>
      </c>
      <c r="F871" s="338">
        <v>0.47569444444444442</v>
      </c>
      <c r="G871" s="338">
        <v>0.47638888888888892</v>
      </c>
      <c r="H871" s="338" t="s">
        <v>983</v>
      </c>
      <c r="I871" s="353">
        <v>799</v>
      </c>
      <c r="J871" s="338" t="str">
        <f>IFERROR(VLOOKUP(I871,'Chart of accounts'!A:H,2,FALSE),"")</f>
        <v>50211990 00</v>
      </c>
      <c r="K871" s="338" t="str">
        <f>IFERROR(VLOOKUP(I871,'Chart of accounts'!A:H,3,FALSE),"")</f>
        <v>Other Professional Services</v>
      </c>
      <c r="L871" s="338" t="str">
        <f>IFERROR(VLOOKUP(I871,'Chart of accounts'!A:H,4,FALSE),"")</f>
        <v>50211990 00 - Other Professional Services (799)</v>
      </c>
      <c r="M871" s="361">
        <v>1</v>
      </c>
      <c r="N871" s="355" t="s">
        <v>1235</v>
      </c>
      <c r="O871" s="355" t="s">
        <v>1288</v>
      </c>
      <c r="P871" s="355"/>
      <c r="Q871" s="363">
        <v>10000</v>
      </c>
      <c r="R871" s="319">
        <f t="shared" si="20"/>
        <v>-10000</v>
      </c>
      <c r="S871" s="239" t="str">
        <f>VLOOKUP(H871,'Fund Utilization Report'!$A$4:$U$1800,13,FALSE)</f>
        <v>MOOE</v>
      </c>
      <c r="T871" s="239" t="str">
        <f>VLOOKUP(H871,'Fund Utilization Report'!$A$4:$U$1800,2,FALSE)</f>
        <v>GAA</v>
      </c>
      <c r="U871" s="239" t="str">
        <f>VLOOKUP(H871,'Fund Utilization Report'!$A$4:$U$1800,3,FALSE)</f>
        <v>FY2021, RA11518</v>
      </c>
      <c r="V871" s="239" t="str">
        <f>VLOOKUP(H871,'Fund Utilization Report'!$A$4:$U$1800,4,FALSE)</f>
        <v>SSF</v>
      </c>
      <c r="W871" s="239" t="str">
        <f>VLOOKUP(H871,'Fund Utilization Report'!$A$4:$U$1800,5,FALSE)</f>
        <v>01101101</v>
      </c>
      <c r="X871" s="239" t="str">
        <f>VLOOKUP(H871,'Fund Utilization Report'!$A$4:$U$1800,6,FALSE)</f>
        <v>GOP</v>
      </c>
      <c r="Y871" s="440" t="str">
        <f>VLOOKUP(H871,'Fund Utilization Report'!$A$4:$U$1800,7,FALSE)</f>
        <v>MOOE</v>
      </c>
      <c r="Z871" s="441">
        <f>VLOOKUP(H871,'Fund Utilization Report'!$A$4:$U$1800,8,FALSE)</f>
        <v>5020000000</v>
      </c>
      <c r="AA871" s="239" t="str">
        <f>VLOOKUP(H871,'Fund Utilization Report'!$A$4:$U$1800,14,FALSE)</f>
        <v>330100200003000</v>
      </c>
      <c r="AB871" s="242" t="str">
        <f>VLOOKUP(H871,'Fund Utilization Report'!$A$4:$U$1800,15,FALSE)</f>
        <v>Shared Service Facilities Project</v>
      </c>
      <c r="AC871" s="51"/>
      <c r="AD871" s="435"/>
      <c r="AE871" s="51"/>
      <c r="AF871" s="51"/>
      <c r="AG871" s="442"/>
      <c r="AH871" s="442"/>
      <c r="AI871" s="443"/>
    </row>
    <row r="872" spans="1:35" s="32" customFormat="1">
      <c r="A872" s="434" t="s">
        <v>942</v>
      </c>
      <c r="B872" s="457" t="s">
        <v>946</v>
      </c>
      <c r="C872" s="233">
        <v>44257</v>
      </c>
      <c r="D872" s="435" t="s">
        <v>1267</v>
      </c>
      <c r="E872" s="436" t="s">
        <v>1287</v>
      </c>
      <c r="F872" s="338">
        <v>0.47638888888888892</v>
      </c>
      <c r="G872" s="338">
        <v>0.4777777777777778</v>
      </c>
      <c r="H872" s="338" t="s">
        <v>983</v>
      </c>
      <c r="I872" s="353">
        <v>799</v>
      </c>
      <c r="J872" s="338" t="str">
        <f>IFERROR(VLOOKUP(I872,'Chart of accounts'!A:H,2,FALSE),"")</f>
        <v>50211990 00</v>
      </c>
      <c r="K872" s="338" t="str">
        <f>IFERROR(VLOOKUP(I872,'Chart of accounts'!A:H,3,FALSE),"")</f>
        <v>Other Professional Services</v>
      </c>
      <c r="L872" s="338" t="str">
        <f>IFERROR(VLOOKUP(I872,'Chart of accounts'!A:H,4,FALSE),"")</f>
        <v>50211990 00 - Other Professional Services (799)</v>
      </c>
      <c r="M872" s="361" t="s">
        <v>5</v>
      </c>
      <c r="N872" s="355" t="s">
        <v>1075</v>
      </c>
      <c r="O872" s="355" t="s">
        <v>1288</v>
      </c>
      <c r="P872" s="355"/>
      <c r="Q872" s="363">
        <v>5534</v>
      </c>
      <c r="R872" s="319">
        <f t="shared" si="20"/>
        <v>-5534</v>
      </c>
      <c r="S872" s="239" t="str">
        <f>VLOOKUP(H872,'Fund Utilization Report'!$A$4:$U$1800,13,FALSE)</f>
        <v>MOOE</v>
      </c>
      <c r="T872" s="239" t="str">
        <f>VLOOKUP(H872,'Fund Utilization Report'!$A$4:$U$1800,2,FALSE)</f>
        <v>GAA</v>
      </c>
      <c r="U872" s="239" t="str">
        <f>VLOOKUP(H872,'Fund Utilization Report'!$A$4:$U$1800,3,FALSE)</f>
        <v>FY2021, RA11518</v>
      </c>
      <c r="V872" s="239" t="str">
        <f>VLOOKUP(H872,'Fund Utilization Report'!$A$4:$U$1800,4,FALSE)</f>
        <v>SSF</v>
      </c>
      <c r="W872" s="239" t="str">
        <f>VLOOKUP(H872,'Fund Utilization Report'!$A$4:$U$1800,5,FALSE)</f>
        <v>01101101</v>
      </c>
      <c r="X872" s="239" t="str">
        <f>VLOOKUP(H872,'Fund Utilization Report'!$A$4:$U$1800,6,FALSE)</f>
        <v>GOP</v>
      </c>
      <c r="Y872" s="440" t="str">
        <f>VLOOKUP(H872,'Fund Utilization Report'!$A$4:$U$1800,7,FALSE)</f>
        <v>MOOE</v>
      </c>
      <c r="Z872" s="441">
        <f>VLOOKUP(H872,'Fund Utilization Report'!$A$4:$U$1800,8,FALSE)</f>
        <v>5020000000</v>
      </c>
      <c r="AA872" s="239" t="str">
        <f>VLOOKUP(H872,'Fund Utilization Report'!$A$4:$U$1800,14,FALSE)</f>
        <v>330100200003000</v>
      </c>
      <c r="AB872" s="242" t="str">
        <f>VLOOKUP(H872,'Fund Utilization Report'!$A$4:$U$1800,15,FALSE)</f>
        <v>Shared Service Facilities Project</v>
      </c>
      <c r="AC872" s="51"/>
      <c r="AD872" s="435"/>
      <c r="AE872" s="51"/>
      <c r="AF872" s="51"/>
      <c r="AG872" s="442"/>
      <c r="AH872" s="442"/>
      <c r="AI872" s="443"/>
    </row>
    <row r="873" spans="1:35" s="32" customFormat="1">
      <c r="A873" s="434" t="s">
        <v>942</v>
      </c>
      <c r="B873" s="457" t="s">
        <v>946</v>
      </c>
      <c r="C873" s="233">
        <v>44257</v>
      </c>
      <c r="D873" s="435" t="s">
        <v>1267</v>
      </c>
      <c r="E873" s="436" t="s">
        <v>1287</v>
      </c>
      <c r="F873" s="338">
        <v>0.47638888888888892</v>
      </c>
      <c r="G873" s="338">
        <v>0.4777777777777778</v>
      </c>
      <c r="H873" s="434" t="s">
        <v>961</v>
      </c>
      <c r="I873" s="353">
        <v>795</v>
      </c>
      <c r="J873" s="338" t="str">
        <f>IFERROR(VLOOKUP(I873,'Chart of accounts'!A:H,2,FALSE),"")</f>
        <v>50212990 00</v>
      </c>
      <c r="K873" s="338" t="str">
        <f>IFERROR(VLOOKUP(I873,'Chart of accounts'!A:H,3,FALSE),"")</f>
        <v>Other General Services</v>
      </c>
      <c r="L873" s="338" t="str">
        <f>IFERROR(VLOOKUP(I873,'Chart of accounts'!A:H,4,FALSE),"")</f>
        <v>50212990 00 - Other General Services (795)</v>
      </c>
      <c r="M873" s="361">
        <v>1</v>
      </c>
      <c r="N873" s="355" t="s">
        <v>1075</v>
      </c>
      <c r="O873" s="355" t="s">
        <v>1288</v>
      </c>
      <c r="P873" s="355"/>
      <c r="Q873" s="363">
        <f>5534+11158</f>
        <v>16692</v>
      </c>
      <c r="R873" s="319">
        <f t="shared" si="20"/>
        <v>-16692</v>
      </c>
      <c r="S873" s="239" t="str">
        <f>VLOOKUP(H873,'Fund Utilization Report'!$A$4:$U$1800,13,FALSE)</f>
        <v>MOOE</v>
      </c>
      <c r="T873" s="239" t="str">
        <f>VLOOKUP(H873,'Fund Utilization Report'!$A$4:$U$1800,2,FALSE)</f>
        <v>GAA</v>
      </c>
      <c r="U873" s="239" t="str">
        <f>VLOOKUP(H873,'Fund Utilization Report'!$A$4:$U$1800,3,FALSE)</f>
        <v>FY2021, RA11518</v>
      </c>
      <c r="V873" s="239" t="str">
        <f>VLOOKUP(H873,'Fund Utilization Report'!$A$4:$U$1800,4,FALSE)</f>
        <v>GAS(GMS)</v>
      </c>
      <c r="W873" s="239" t="str">
        <f>VLOOKUP(H873,'Fund Utilization Report'!$A$4:$U$1800,5,FALSE)</f>
        <v>01101101</v>
      </c>
      <c r="X873" s="239" t="str">
        <f>VLOOKUP(H873,'Fund Utilization Report'!$A$4:$U$1800,6,FALSE)</f>
        <v>GOP</v>
      </c>
      <c r="Y873" s="440" t="str">
        <f>VLOOKUP(H873,'Fund Utilization Report'!$A$4:$U$1800,7,FALSE)</f>
        <v>MOOE</v>
      </c>
      <c r="Z873" s="441">
        <f>VLOOKUP(H873,'Fund Utilization Report'!$A$4:$U$1800,8,FALSE)</f>
        <v>5020000000</v>
      </c>
      <c r="AA873" s="239" t="str">
        <f>VLOOKUP(H873,'Fund Utilization Report'!$A$4:$U$1800,14,FALSE)</f>
        <v>100000100001000</v>
      </c>
      <c r="AB873" s="242" t="str">
        <f>VLOOKUP(H873,'Fund Utilization Report'!$A$4:$U$1800,15,FALSE)</f>
        <v>General Administration and Supervision - General Management and Supervision</v>
      </c>
      <c r="AC873" s="51"/>
      <c r="AD873" s="435"/>
      <c r="AE873" s="51"/>
      <c r="AF873" s="51"/>
      <c r="AG873" s="442"/>
      <c r="AH873" s="442"/>
      <c r="AI873" s="443"/>
    </row>
    <row r="874" spans="1:35" s="32" customFormat="1">
      <c r="A874" s="434" t="s">
        <v>942</v>
      </c>
      <c r="B874" s="457" t="s">
        <v>946</v>
      </c>
      <c r="C874" s="233">
        <v>44257</v>
      </c>
      <c r="D874" s="435" t="s">
        <v>1267</v>
      </c>
      <c r="E874" s="436" t="s">
        <v>1287</v>
      </c>
      <c r="F874" s="338">
        <v>0.47638888888888892</v>
      </c>
      <c r="G874" s="338">
        <v>0.4777777777777778</v>
      </c>
      <c r="H874" s="434" t="s">
        <v>961</v>
      </c>
      <c r="I874" s="353">
        <v>792</v>
      </c>
      <c r="J874" s="338" t="str">
        <f>IFERROR(VLOOKUP(I874,'Chart of accounts'!A:H,2,FALSE),"")</f>
        <v>50211020 00</v>
      </c>
      <c r="K874" s="338" t="str">
        <f>IFERROR(VLOOKUP(I874,'Chart of accounts'!A:H,3,FALSE),"")</f>
        <v>Auditing Services</v>
      </c>
      <c r="L874" s="338" t="str">
        <f>IFERROR(VLOOKUP(I874,'Chart of accounts'!A:H,4,FALSE),"")</f>
        <v>50211020 00 - Auditing Services (792)</v>
      </c>
      <c r="M874" s="361" t="s">
        <v>1404</v>
      </c>
      <c r="N874" s="355" t="s">
        <v>1075</v>
      </c>
      <c r="O874" s="355" t="s">
        <v>1288</v>
      </c>
      <c r="P874" s="355"/>
      <c r="Q874" s="363">
        <v>5534</v>
      </c>
      <c r="R874" s="319">
        <f t="shared" si="20"/>
        <v>-5534</v>
      </c>
      <c r="S874" s="239" t="str">
        <f>VLOOKUP(H874,'Fund Utilization Report'!$A$4:$U$1800,13,FALSE)</f>
        <v>MOOE</v>
      </c>
      <c r="T874" s="239" t="str">
        <f>VLOOKUP(H874,'Fund Utilization Report'!$A$4:$U$1800,2,FALSE)</f>
        <v>GAA</v>
      </c>
      <c r="U874" s="239" t="str">
        <f>VLOOKUP(H874,'Fund Utilization Report'!$A$4:$U$1800,3,FALSE)</f>
        <v>FY2021, RA11518</v>
      </c>
      <c r="V874" s="239" t="str">
        <f>VLOOKUP(H874,'Fund Utilization Report'!$A$4:$U$1800,4,FALSE)</f>
        <v>GAS(GMS)</v>
      </c>
      <c r="W874" s="239" t="str">
        <f>VLOOKUP(H874,'Fund Utilization Report'!$A$4:$U$1800,5,FALSE)</f>
        <v>01101101</v>
      </c>
      <c r="X874" s="239" t="str">
        <f>VLOOKUP(H874,'Fund Utilization Report'!$A$4:$U$1800,6,FALSE)</f>
        <v>GOP</v>
      </c>
      <c r="Y874" s="440" t="str">
        <f>VLOOKUP(H874,'Fund Utilization Report'!$A$4:$U$1800,7,FALSE)</f>
        <v>MOOE</v>
      </c>
      <c r="Z874" s="441">
        <f>VLOOKUP(H874,'Fund Utilization Report'!$A$4:$U$1800,8,FALSE)</f>
        <v>5020000000</v>
      </c>
      <c r="AA874" s="239" t="str">
        <f>VLOOKUP(H874,'Fund Utilization Report'!$A$4:$U$1800,14,FALSE)</f>
        <v>100000100001000</v>
      </c>
      <c r="AB874" s="242" t="str">
        <f>VLOOKUP(H874,'Fund Utilization Report'!$A$4:$U$1800,15,FALSE)</f>
        <v>General Administration and Supervision - General Management and Supervision</v>
      </c>
      <c r="AC874" s="51"/>
      <c r="AD874" s="435"/>
      <c r="AE874" s="51"/>
      <c r="AF874" s="51"/>
      <c r="AG874" s="442"/>
      <c r="AH874" s="442"/>
      <c r="AI874" s="443"/>
    </row>
    <row r="875" spans="1:35" s="32" customFormat="1" ht="27.6">
      <c r="A875" s="434" t="s">
        <v>942</v>
      </c>
      <c r="B875" s="457" t="s">
        <v>946</v>
      </c>
      <c r="C875" s="233">
        <v>44257</v>
      </c>
      <c r="D875" s="435" t="s">
        <v>1267</v>
      </c>
      <c r="E875" s="436" t="s">
        <v>1289</v>
      </c>
      <c r="F875" s="338">
        <v>0.4916666666666667</v>
      </c>
      <c r="G875" s="338">
        <v>0.49236111111111108</v>
      </c>
      <c r="H875" s="338" t="s">
        <v>1221</v>
      </c>
      <c r="I875" s="353">
        <v>799</v>
      </c>
      <c r="J875" s="338" t="str">
        <f>IFERROR(VLOOKUP(I875,'Chart of accounts'!A:H,2,FALSE),"")</f>
        <v>50211990 00</v>
      </c>
      <c r="K875" s="338" t="str">
        <f>IFERROR(VLOOKUP(I875,'Chart of accounts'!A:H,3,FALSE),"")</f>
        <v>Other Professional Services</v>
      </c>
      <c r="L875" s="338" t="str">
        <f>IFERROR(VLOOKUP(I875,'Chart of accounts'!A:H,4,FALSE),"")</f>
        <v>50211990 00 - Other Professional Services (799)</v>
      </c>
      <c r="M875" s="361">
        <v>3</v>
      </c>
      <c r="N875" s="355" t="s">
        <v>1290</v>
      </c>
      <c r="O875" s="355" t="s">
        <v>1291</v>
      </c>
      <c r="P875" s="355"/>
      <c r="Q875" s="363">
        <v>16332.5</v>
      </c>
      <c r="R875" s="319">
        <f t="shared" si="20"/>
        <v>-16332.5</v>
      </c>
      <c r="S875" s="239" t="str">
        <f>VLOOKUP(H875,'Fund Utilization Report'!$A$4:$U$1800,13,FALSE)</f>
        <v>MOOE</v>
      </c>
      <c r="T875" s="239" t="str">
        <f>VLOOKUP(H875,'Fund Utilization Report'!$A$4:$U$1800,2,FALSE)</f>
        <v>SAA040</v>
      </c>
      <c r="U875" s="239" t="str">
        <f>VLOOKUP(H875,'Fund Utilization Report'!$A$4:$U$1800,3,FALSE)</f>
        <v>21-02-0040</v>
      </c>
      <c r="V875" s="239" t="str">
        <f>VLOOKUP(H875,'Fund Utilization Report'!$A$4:$U$1800,4,FALSE)</f>
        <v>RAPID GOP</v>
      </c>
      <c r="W875" s="239" t="str">
        <f>VLOOKUP(H875,'Fund Utilization Report'!$A$4:$U$1800,5,FALSE)</f>
        <v>01101101</v>
      </c>
      <c r="X875" s="239" t="str">
        <f>VLOOKUP(H875,'Fund Utilization Report'!$A$4:$U$1800,6,FALSE)</f>
        <v>GOP</v>
      </c>
      <c r="Y875" s="440">
        <f>VLOOKUP(H875,'Fund Utilization Report'!$A$4:$U$1800,7,FALSE)</f>
        <v>799</v>
      </c>
      <c r="Z875" s="441">
        <f>VLOOKUP(H875,'Fund Utilization Report'!$A$4:$U$1800,8,FALSE)</f>
        <v>5021199000</v>
      </c>
      <c r="AA875" s="239" t="str">
        <f>VLOOKUP(H875,'Fund Utilization Report'!$A$4:$U$1800,14,FALSE)</f>
        <v>330100300001000</v>
      </c>
      <c r="AB875" s="242" t="str">
        <f>VLOOKUP(H875,'Fund Utilization Report'!$A$4:$U$1800,15,FALSE)</f>
        <v>Rural Agro Enterprise Partnership for Inclusive Development (RAPID) Growth GOP Continuing</v>
      </c>
      <c r="AC875" s="51"/>
      <c r="AD875" s="435"/>
      <c r="AE875" s="51"/>
      <c r="AF875" s="51"/>
      <c r="AG875" s="442"/>
      <c r="AH875" s="442"/>
      <c r="AI875" s="443"/>
    </row>
    <row r="876" spans="1:35" s="32" customFormat="1">
      <c r="A876" s="434" t="s">
        <v>942</v>
      </c>
      <c r="B876" s="457" t="s">
        <v>946</v>
      </c>
      <c r="C876" s="233">
        <v>44257</v>
      </c>
      <c r="D876" s="435" t="s">
        <v>1267</v>
      </c>
      <c r="E876" s="436" t="s">
        <v>1292</v>
      </c>
      <c r="F876" s="338">
        <v>0.49236111111111108</v>
      </c>
      <c r="G876" s="338">
        <v>0.49861111111111112</v>
      </c>
      <c r="H876" s="338" t="s">
        <v>982</v>
      </c>
      <c r="I876" s="353">
        <v>799</v>
      </c>
      <c r="J876" s="338" t="str">
        <f>IFERROR(VLOOKUP(I876,'Chart of accounts'!A:H,2,FALSE),"")</f>
        <v>50211990 00</v>
      </c>
      <c r="K876" s="338" t="str">
        <f>IFERROR(VLOOKUP(I876,'Chart of accounts'!A:H,3,FALSE),"")</f>
        <v>Other Professional Services</v>
      </c>
      <c r="L876" s="338" t="str">
        <f>IFERROR(VLOOKUP(I876,'Chart of accounts'!A:H,4,FALSE),"")</f>
        <v>50211990 00 - Other Professional Services (799)</v>
      </c>
      <c r="M876" s="361" t="s">
        <v>905</v>
      </c>
      <c r="N876" s="355" t="s">
        <v>1075</v>
      </c>
      <c r="O876" s="355" t="s">
        <v>1288</v>
      </c>
      <c r="P876" s="355"/>
      <c r="Q876" s="363">
        <v>11158</v>
      </c>
      <c r="R876" s="319">
        <f t="shared" si="20"/>
        <v>-11158</v>
      </c>
      <c r="S876" s="239" t="str">
        <f>VLOOKUP(H876,'Fund Utilization Report'!$A$4:$U$1800,13,FALSE)</f>
        <v>MOOE</v>
      </c>
      <c r="T876" s="239" t="str">
        <f>VLOOKUP(H876,'Fund Utilization Report'!$A$4:$U$1800,2,FALSE)</f>
        <v>GAA</v>
      </c>
      <c r="U876" s="239" t="str">
        <f>VLOOKUP(H876,'Fund Utilization Report'!$A$4:$U$1800,3,FALSE)</f>
        <v>FY2021, RA11518</v>
      </c>
      <c r="V876" s="239" t="str">
        <f>VLOOKUP(H876,'Fund Utilization Report'!$A$4:$U$1800,4,FALSE)</f>
        <v>OTOP</v>
      </c>
      <c r="W876" s="239" t="str">
        <f>VLOOKUP(H876,'Fund Utilization Report'!$A$4:$U$1800,5,FALSE)</f>
        <v>01101101</v>
      </c>
      <c r="X876" s="239" t="str">
        <f>VLOOKUP(H876,'Fund Utilization Report'!$A$4:$U$1800,6,FALSE)</f>
        <v>GOP</v>
      </c>
      <c r="Y876" s="440" t="str">
        <f>VLOOKUP(H876,'Fund Utilization Report'!$A$4:$U$1800,7,FALSE)</f>
        <v>MOOE</v>
      </c>
      <c r="Z876" s="441">
        <f>VLOOKUP(H876,'Fund Utilization Report'!$A$4:$U$1800,8,FALSE)</f>
        <v>5020000000</v>
      </c>
      <c r="AA876" s="239" t="str">
        <f>VLOOKUP(H876,'Fund Utilization Report'!$A$4:$U$1800,14,FALSE)</f>
        <v>330100200002000</v>
      </c>
      <c r="AB876" s="242" t="str">
        <f>VLOOKUP(H876,'Fund Utilization Report'!$A$4:$U$1800,15,FALSE)</f>
        <v>OTOP - Next Generation</v>
      </c>
      <c r="AC876" s="51"/>
      <c r="AD876" s="435"/>
      <c r="AE876" s="51"/>
      <c r="AF876" s="51"/>
      <c r="AG876" s="442"/>
      <c r="AH876" s="442"/>
      <c r="AI876" s="443"/>
    </row>
    <row r="877" spans="1:35" s="32" customFormat="1">
      <c r="A877" s="434" t="s">
        <v>942</v>
      </c>
      <c r="B877" s="457" t="s">
        <v>946</v>
      </c>
      <c r="C877" s="233">
        <v>44257</v>
      </c>
      <c r="D877" s="435" t="s">
        <v>1267</v>
      </c>
      <c r="E877" s="436" t="s">
        <v>1292</v>
      </c>
      <c r="F877" s="338">
        <v>0.49236111111111108</v>
      </c>
      <c r="G877" s="338">
        <v>0.49861111111111112</v>
      </c>
      <c r="H877" s="338" t="s">
        <v>985</v>
      </c>
      <c r="I877" s="353">
        <v>799</v>
      </c>
      <c r="J877" s="338" t="str">
        <f>IFERROR(VLOOKUP(I877,'Chart of accounts'!A:H,2,FALSE),"")</f>
        <v>50211990 00</v>
      </c>
      <c r="K877" s="338" t="str">
        <f>IFERROR(VLOOKUP(I877,'Chart of accounts'!A:H,3,FALSE),"")</f>
        <v>Other Professional Services</v>
      </c>
      <c r="L877" s="338" t="str">
        <f>IFERROR(VLOOKUP(I877,'Chart of accounts'!A:H,4,FALSE),"")</f>
        <v>50211990 00 - Other Professional Services (799)</v>
      </c>
      <c r="M877" s="361" t="s">
        <v>7</v>
      </c>
      <c r="N877" s="355" t="s">
        <v>1075</v>
      </c>
      <c r="O877" s="355" t="s">
        <v>1288</v>
      </c>
      <c r="P877" s="355"/>
      <c r="Q877" s="363">
        <v>11158</v>
      </c>
      <c r="R877" s="319">
        <f t="shared" si="20"/>
        <v>-11158</v>
      </c>
      <c r="S877" s="239" t="str">
        <f>VLOOKUP(H877,'Fund Utilization Report'!$A$4:$U$1800,13,FALSE)</f>
        <v>MOOE</v>
      </c>
      <c r="T877" s="239" t="str">
        <f>VLOOKUP(H877,'Fund Utilization Report'!$A$4:$U$1800,2,FALSE)</f>
        <v>GAA</v>
      </c>
      <c r="U877" s="239" t="str">
        <f>VLOOKUP(H877,'Fund Utilization Report'!$A$4:$U$1800,3,FALSE)</f>
        <v>FY2021, RA11518</v>
      </c>
      <c r="V877" s="239" t="str">
        <f>VLOOKUP(H877,'Fund Utilization Report'!$A$4:$U$1800,4,FALSE)</f>
        <v>LSP-PBG</v>
      </c>
      <c r="W877" s="239" t="str">
        <f>VLOOKUP(H877,'Fund Utilization Report'!$A$4:$U$1800,5,FALSE)</f>
        <v>01101101</v>
      </c>
      <c r="X877" s="239" t="str">
        <f>VLOOKUP(H877,'Fund Utilization Report'!$A$4:$U$1800,6,FALSE)</f>
        <v>GOP</v>
      </c>
      <c r="Y877" s="440" t="str">
        <f>VLOOKUP(H877,'Fund Utilization Report'!$A$4:$U$1800,7,FALSE)</f>
        <v>MOOE</v>
      </c>
      <c r="Z877" s="441">
        <f>VLOOKUP(H877,'Fund Utilization Report'!$A$4:$U$1800,8,FALSE)</f>
        <v>5020000000</v>
      </c>
      <c r="AA877" s="239" t="str">
        <f>VLOOKUP(H877,'Fund Utilization Report'!$A$4:$U$1800,14,FALSE)</f>
        <v>330100200004000</v>
      </c>
      <c r="AB877" s="242" t="str">
        <f>VLOOKUP(H877,'Fund Utilization Report'!$A$4:$U$1800,15,FALSE)</f>
        <v>MSME Development Program : Livelihood Seeding Program and Pangkabuhayan sa Pagbangon at Ginhawa</v>
      </c>
      <c r="AC877" s="51"/>
      <c r="AD877" s="435"/>
      <c r="AE877" s="51"/>
      <c r="AF877" s="51"/>
      <c r="AG877" s="442"/>
      <c r="AH877" s="442"/>
      <c r="AI877" s="443"/>
    </row>
    <row r="878" spans="1:35" s="32" customFormat="1">
      <c r="A878" s="434" t="s">
        <v>942</v>
      </c>
      <c r="B878" s="457" t="s">
        <v>946</v>
      </c>
      <c r="C878" s="233">
        <v>44257</v>
      </c>
      <c r="D878" s="435" t="s">
        <v>1267</v>
      </c>
      <c r="E878" s="436" t="s">
        <v>1293</v>
      </c>
      <c r="F878" s="338">
        <v>0.49861111111111112</v>
      </c>
      <c r="G878" s="338">
        <v>44259</v>
      </c>
      <c r="H878" s="338" t="s">
        <v>961</v>
      </c>
      <c r="I878" s="353">
        <v>795</v>
      </c>
      <c r="J878" s="338" t="str">
        <f>IFERROR(VLOOKUP(I878,'Chart of accounts'!A:H,2,FALSE),"")</f>
        <v>50212990 00</v>
      </c>
      <c r="K878" s="338" t="str">
        <f>IFERROR(VLOOKUP(I878,'Chart of accounts'!A:H,3,FALSE),"")</f>
        <v>Other General Services</v>
      </c>
      <c r="L878" s="338" t="str">
        <f>IFERROR(VLOOKUP(I878,'Chart of accounts'!A:H,4,FALSE),"")</f>
        <v>50212990 00 - Other General Services (795)</v>
      </c>
      <c r="M878" s="361" t="s">
        <v>812</v>
      </c>
      <c r="N878" s="355" t="s">
        <v>1075</v>
      </c>
      <c r="O878" s="355" t="s">
        <v>1288</v>
      </c>
      <c r="P878" s="355"/>
      <c r="Q878" s="363">
        <v>5534</v>
      </c>
      <c r="R878" s="319">
        <f t="shared" si="20"/>
        <v>-5534</v>
      </c>
      <c r="S878" s="239" t="str">
        <f>VLOOKUP(H878,'Fund Utilization Report'!$A$4:$U$1800,13,FALSE)</f>
        <v>MOOE</v>
      </c>
      <c r="T878" s="239" t="str">
        <f>VLOOKUP(H878,'Fund Utilization Report'!$A$4:$U$1800,2,FALSE)</f>
        <v>GAA</v>
      </c>
      <c r="U878" s="239" t="str">
        <f>VLOOKUP(H878,'Fund Utilization Report'!$A$4:$U$1800,3,FALSE)</f>
        <v>FY2021, RA11518</v>
      </c>
      <c r="V878" s="239" t="str">
        <f>VLOOKUP(H878,'Fund Utilization Report'!$A$4:$U$1800,4,FALSE)</f>
        <v>GAS(GMS)</v>
      </c>
      <c r="W878" s="239" t="str">
        <f>VLOOKUP(H878,'Fund Utilization Report'!$A$4:$U$1800,5,FALSE)</f>
        <v>01101101</v>
      </c>
      <c r="X878" s="239" t="str">
        <f>VLOOKUP(H878,'Fund Utilization Report'!$A$4:$U$1800,6,FALSE)</f>
        <v>GOP</v>
      </c>
      <c r="Y878" s="440" t="str">
        <f>VLOOKUP(H878,'Fund Utilization Report'!$A$4:$U$1800,7,FALSE)</f>
        <v>MOOE</v>
      </c>
      <c r="Z878" s="441">
        <f>VLOOKUP(H878,'Fund Utilization Report'!$A$4:$U$1800,8,FALSE)</f>
        <v>5020000000</v>
      </c>
      <c r="AA878" s="239" t="str">
        <f>VLOOKUP(H878,'Fund Utilization Report'!$A$4:$U$1800,14,FALSE)</f>
        <v>100000100001000</v>
      </c>
      <c r="AB878" s="242" t="str">
        <f>VLOOKUP(H878,'Fund Utilization Report'!$A$4:$U$1800,15,FALSE)</f>
        <v>General Administration and Supervision - General Management and Supervision</v>
      </c>
      <c r="AC878" s="51"/>
      <c r="AD878" s="435"/>
      <c r="AE878" s="51"/>
      <c r="AF878" s="51"/>
      <c r="AG878" s="442"/>
      <c r="AH878" s="442"/>
      <c r="AI878" s="443"/>
    </row>
    <row r="879" spans="1:35" s="32" customFormat="1">
      <c r="A879" s="434" t="s">
        <v>942</v>
      </c>
      <c r="B879" s="457" t="s">
        <v>946</v>
      </c>
      <c r="C879" s="233">
        <v>44257</v>
      </c>
      <c r="D879" s="435" t="s">
        <v>1267</v>
      </c>
      <c r="E879" s="436" t="s">
        <v>1293</v>
      </c>
      <c r="F879" s="338">
        <v>0.49861111111111112</v>
      </c>
      <c r="G879" s="338">
        <v>44259</v>
      </c>
      <c r="H879" s="338" t="s">
        <v>961</v>
      </c>
      <c r="I879" s="353">
        <v>795</v>
      </c>
      <c r="J879" s="338" t="str">
        <f>IFERROR(VLOOKUP(I879,'Chart of accounts'!A:H,2,FALSE),"")</f>
        <v>50212990 00</v>
      </c>
      <c r="K879" s="338" t="str">
        <f>IFERROR(VLOOKUP(I879,'Chart of accounts'!A:H,3,FALSE),"")</f>
        <v>Other General Services</v>
      </c>
      <c r="L879" s="338" t="str">
        <f>IFERROR(VLOOKUP(I879,'Chart of accounts'!A:H,4,FALSE),"")</f>
        <v>50212990 00 - Other General Services (795)</v>
      </c>
      <c r="M879" s="361" t="s">
        <v>812</v>
      </c>
      <c r="N879" s="355" t="s">
        <v>1075</v>
      </c>
      <c r="O879" s="355" t="s">
        <v>1288</v>
      </c>
      <c r="P879" s="355"/>
      <c r="Q879" s="363">
        <v>7500</v>
      </c>
      <c r="R879" s="319">
        <f t="shared" si="20"/>
        <v>-7500</v>
      </c>
      <c r="S879" s="239" t="str">
        <f>VLOOKUP(H879,'Fund Utilization Report'!$A$4:$U$1800,13,FALSE)</f>
        <v>MOOE</v>
      </c>
      <c r="T879" s="239" t="str">
        <f>VLOOKUP(H879,'Fund Utilization Report'!$A$4:$U$1800,2,FALSE)</f>
        <v>GAA</v>
      </c>
      <c r="U879" s="239" t="str">
        <f>VLOOKUP(H879,'Fund Utilization Report'!$A$4:$U$1800,3,FALSE)</f>
        <v>FY2021, RA11518</v>
      </c>
      <c r="V879" s="239" t="str">
        <f>VLOOKUP(H879,'Fund Utilization Report'!$A$4:$U$1800,4,FALSE)</f>
        <v>GAS(GMS)</v>
      </c>
      <c r="W879" s="239" t="str">
        <f>VLOOKUP(H879,'Fund Utilization Report'!$A$4:$U$1800,5,FALSE)</f>
        <v>01101101</v>
      </c>
      <c r="X879" s="239" t="str">
        <f>VLOOKUP(H879,'Fund Utilization Report'!$A$4:$U$1800,6,FALSE)</f>
        <v>GOP</v>
      </c>
      <c r="Y879" s="440" t="str">
        <f>VLOOKUP(H879,'Fund Utilization Report'!$A$4:$U$1800,7,FALSE)</f>
        <v>MOOE</v>
      </c>
      <c r="Z879" s="441">
        <f>VLOOKUP(H879,'Fund Utilization Report'!$A$4:$U$1800,8,FALSE)</f>
        <v>5020000000</v>
      </c>
      <c r="AA879" s="239" t="str">
        <f>VLOOKUP(H879,'Fund Utilization Report'!$A$4:$U$1800,14,FALSE)</f>
        <v>100000100001000</v>
      </c>
      <c r="AB879" s="242" t="str">
        <f>VLOOKUP(H879,'Fund Utilization Report'!$A$4:$U$1800,15,FALSE)</f>
        <v>General Administration and Supervision - General Management and Supervision</v>
      </c>
      <c r="AC879" s="51"/>
      <c r="AD879" s="435"/>
      <c r="AE879" s="51"/>
      <c r="AF879" s="51"/>
      <c r="AG879" s="442"/>
      <c r="AH879" s="442"/>
      <c r="AI879" s="443"/>
    </row>
    <row r="880" spans="1:35" s="32" customFormat="1">
      <c r="A880" s="434" t="s">
        <v>942</v>
      </c>
      <c r="B880" s="457" t="s">
        <v>946</v>
      </c>
      <c r="C880" s="233">
        <v>44257</v>
      </c>
      <c r="D880" s="435" t="s">
        <v>1267</v>
      </c>
      <c r="E880" s="436" t="s">
        <v>1294</v>
      </c>
      <c r="F880" s="338">
        <v>44259</v>
      </c>
      <c r="G880" s="338">
        <v>0.50347222222222221</v>
      </c>
      <c r="H880" s="338" t="s">
        <v>960</v>
      </c>
      <c r="I880" s="353">
        <v>713</v>
      </c>
      <c r="J880" s="338" t="str">
        <f>IFERROR(VLOOKUP(I880,'Chart of accounts'!A:H,2,FALSE),"")</f>
        <v>50102020 00</v>
      </c>
      <c r="K880" s="338" t="str">
        <f>IFERROR(VLOOKUP(I880,'Chart of accounts'!A:H,3,FALSE),"")</f>
        <v>Representation Allowance</v>
      </c>
      <c r="L880" s="338" t="str">
        <f>IFERROR(VLOOKUP(I880,'Chart of accounts'!A:H,4,FALSE),"")</f>
        <v>50102020 00 - Representation Allowance (713)</v>
      </c>
      <c r="M880" s="354" t="s">
        <v>2</v>
      </c>
      <c r="N880" s="355" t="s">
        <v>6</v>
      </c>
      <c r="O880" s="355" t="s">
        <v>1295</v>
      </c>
      <c r="P880" s="355"/>
      <c r="Q880" s="428">
        <v>9000</v>
      </c>
      <c r="R880" s="319">
        <f t="shared" si="20"/>
        <v>-9000</v>
      </c>
      <c r="S880" s="239" t="str">
        <f>VLOOKUP(H880,'Fund Utilization Report'!$A$4:$U$1800,13,FALSE)</f>
        <v>PS</v>
      </c>
      <c r="T880" s="239" t="str">
        <f>VLOOKUP(H880,'Fund Utilization Report'!$A$4:$U$1800,2,FALSE)</f>
        <v>GAA</v>
      </c>
      <c r="U880" s="239" t="str">
        <f>VLOOKUP(H880,'Fund Utilization Report'!$A$4:$U$1800,3,FALSE)</f>
        <v>FY2021, RA11518</v>
      </c>
      <c r="V880" s="239" t="str">
        <f>VLOOKUP(H880,'Fund Utilization Report'!$A$4:$U$1800,4,FALSE)</f>
        <v>GAS(GMS)</v>
      </c>
      <c r="W880" s="239" t="str">
        <f>VLOOKUP(H880,'Fund Utilization Report'!$A$4:$U$1800,5,FALSE)</f>
        <v>01101101</v>
      </c>
      <c r="X880" s="239" t="str">
        <f>VLOOKUP(H880,'Fund Utilization Report'!$A$4:$U$1800,6,FALSE)</f>
        <v>GOP</v>
      </c>
      <c r="Y880" s="440" t="str">
        <f>VLOOKUP(H880,'Fund Utilization Report'!$A$4:$U$1800,7,FALSE)</f>
        <v>PS</v>
      </c>
      <c r="Z880" s="441">
        <f>VLOOKUP(H880,'Fund Utilization Report'!$A$4:$U$1800,8,FALSE)</f>
        <v>5010000000</v>
      </c>
      <c r="AA880" s="239" t="str">
        <f>VLOOKUP(H880,'Fund Utilization Report'!$A$4:$U$1800,14,FALSE)</f>
        <v>100000100001000</v>
      </c>
      <c r="AB880" s="242" t="str">
        <f>VLOOKUP(H880,'Fund Utilization Report'!$A$4:$U$1800,15,FALSE)</f>
        <v>General Administration and Supervision - General Management and Supervision</v>
      </c>
      <c r="AC880" s="51"/>
      <c r="AD880" s="435"/>
      <c r="AE880" s="51"/>
      <c r="AF880" s="51"/>
      <c r="AG880" s="442"/>
      <c r="AH880" s="442"/>
      <c r="AI880" s="443"/>
    </row>
    <row r="881" spans="1:35" s="32" customFormat="1">
      <c r="A881" s="434" t="s">
        <v>942</v>
      </c>
      <c r="B881" s="457" t="s">
        <v>946</v>
      </c>
      <c r="C881" s="233">
        <v>44257</v>
      </c>
      <c r="D881" s="435" t="s">
        <v>1267</v>
      </c>
      <c r="E881" s="436" t="s">
        <v>1294</v>
      </c>
      <c r="F881" s="338">
        <v>44259</v>
      </c>
      <c r="G881" s="338">
        <v>0.50347222222222221</v>
      </c>
      <c r="H881" s="338" t="s">
        <v>960</v>
      </c>
      <c r="I881" s="353">
        <v>714</v>
      </c>
      <c r="J881" s="338" t="str">
        <f>IFERROR(VLOOKUP(I881,'Chart of accounts'!A:H,2,FALSE),"")</f>
        <v>50102030 01</v>
      </c>
      <c r="K881" s="338" t="str">
        <f>IFERROR(VLOOKUP(I881,'Chart of accounts'!A:H,3,FALSE),"")</f>
        <v xml:space="preserve">Transportation Allowance  </v>
      </c>
      <c r="L881" s="338" t="str">
        <f>IFERROR(VLOOKUP(I881,'Chart of accounts'!A:H,4,FALSE),"")</f>
        <v>50102030 01 - Transportation Allowance   (714)</v>
      </c>
      <c r="M881" s="354" t="s">
        <v>2</v>
      </c>
      <c r="N881" s="355" t="s">
        <v>6</v>
      </c>
      <c r="O881" s="355" t="s">
        <v>1295</v>
      </c>
      <c r="P881" s="355"/>
      <c r="Q881" s="428">
        <v>9000</v>
      </c>
      <c r="R881" s="319">
        <f t="shared" ref="R881:R943" si="23">P881-Q881</f>
        <v>-9000</v>
      </c>
      <c r="S881" s="239" t="str">
        <f>VLOOKUP(H881,'Fund Utilization Report'!$A$4:$U$1800,13,FALSE)</f>
        <v>PS</v>
      </c>
      <c r="T881" s="239" t="str">
        <f>VLOOKUP(H881,'Fund Utilization Report'!$A$4:$U$1800,2,FALSE)</f>
        <v>GAA</v>
      </c>
      <c r="U881" s="239" t="str">
        <f>VLOOKUP(H881,'Fund Utilization Report'!$A$4:$U$1800,3,FALSE)</f>
        <v>FY2021, RA11518</v>
      </c>
      <c r="V881" s="239" t="str">
        <f>VLOOKUP(H881,'Fund Utilization Report'!$A$4:$U$1800,4,FALSE)</f>
        <v>GAS(GMS)</v>
      </c>
      <c r="W881" s="239" t="str">
        <f>VLOOKUP(H881,'Fund Utilization Report'!$A$4:$U$1800,5,FALSE)</f>
        <v>01101101</v>
      </c>
      <c r="X881" s="239" t="str">
        <f>VLOOKUP(H881,'Fund Utilization Report'!$A$4:$U$1800,6,FALSE)</f>
        <v>GOP</v>
      </c>
      <c r="Y881" s="440" t="str">
        <f>VLOOKUP(H881,'Fund Utilization Report'!$A$4:$U$1800,7,FALSE)</f>
        <v>PS</v>
      </c>
      <c r="Z881" s="441">
        <f>VLOOKUP(H881,'Fund Utilization Report'!$A$4:$U$1800,8,FALSE)</f>
        <v>5010000000</v>
      </c>
      <c r="AA881" s="239" t="str">
        <f>VLOOKUP(H881,'Fund Utilization Report'!$A$4:$U$1800,14,FALSE)</f>
        <v>100000100001000</v>
      </c>
      <c r="AB881" s="242" t="str">
        <f>VLOOKUP(H881,'Fund Utilization Report'!$A$4:$U$1800,15,FALSE)</f>
        <v>General Administration and Supervision - General Management and Supervision</v>
      </c>
      <c r="AC881" s="51"/>
      <c r="AD881" s="435"/>
      <c r="AE881" s="51"/>
      <c r="AF881" s="51"/>
      <c r="AG881" s="442"/>
      <c r="AH881" s="442"/>
      <c r="AI881" s="443"/>
    </row>
    <row r="882" spans="1:35" s="32" customFormat="1">
      <c r="A882" s="434" t="s">
        <v>942</v>
      </c>
      <c r="B882" s="457" t="s">
        <v>946</v>
      </c>
      <c r="C882" s="233">
        <v>44257</v>
      </c>
      <c r="D882" s="435" t="s">
        <v>1267</v>
      </c>
      <c r="E882" s="436" t="s">
        <v>1294</v>
      </c>
      <c r="F882" s="338">
        <v>44259</v>
      </c>
      <c r="G882" s="338">
        <v>0.50347222222222221</v>
      </c>
      <c r="H882" s="338" t="s">
        <v>960</v>
      </c>
      <c r="I882" s="353">
        <v>713</v>
      </c>
      <c r="J882" s="338" t="str">
        <f>IFERROR(VLOOKUP(I882,'Chart of accounts'!A:H,2,FALSE),"")</f>
        <v>50102020 00</v>
      </c>
      <c r="K882" s="338" t="str">
        <f>IFERROR(VLOOKUP(I882,'Chart of accounts'!A:H,3,FALSE),"")</f>
        <v>Representation Allowance</v>
      </c>
      <c r="L882" s="338" t="str">
        <f>IFERROR(VLOOKUP(I882,'Chart of accounts'!A:H,4,FALSE),"")</f>
        <v>50102020 00 - Representation Allowance (713)</v>
      </c>
      <c r="M882" s="354" t="s">
        <v>2</v>
      </c>
      <c r="N882" s="355" t="s">
        <v>796</v>
      </c>
      <c r="O882" s="355" t="s">
        <v>1295</v>
      </c>
      <c r="P882" s="355"/>
      <c r="Q882" s="428">
        <v>8500</v>
      </c>
      <c r="R882" s="319">
        <f t="shared" si="23"/>
        <v>-8500</v>
      </c>
      <c r="S882" s="239" t="str">
        <f>VLOOKUP(H882,'Fund Utilization Report'!$A$4:$U$1800,13,FALSE)</f>
        <v>PS</v>
      </c>
      <c r="T882" s="239" t="str">
        <f>VLOOKUP(H882,'Fund Utilization Report'!$A$4:$U$1800,2,FALSE)</f>
        <v>GAA</v>
      </c>
      <c r="U882" s="239" t="str">
        <f>VLOOKUP(H882,'Fund Utilization Report'!$A$4:$U$1800,3,FALSE)</f>
        <v>FY2021, RA11518</v>
      </c>
      <c r="V882" s="239" t="str">
        <f>VLOOKUP(H882,'Fund Utilization Report'!$A$4:$U$1800,4,FALSE)</f>
        <v>GAS(GMS)</v>
      </c>
      <c r="W882" s="239" t="str">
        <f>VLOOKUP(H882,'Fund Utilization Report'!$A$4:$U$1800,5,FALSE)</f>
        <v>01101101</v>
      </c>
      <c r="X882" s="239" t="str">
        <f>VLOOKUP(H882,'Fund Utilization Report'!$A$4:$U$1800,6,FALSE)</f>
        <v>GOP</v>
      </c>
      <c r="Y882" s="440" t="str">
        <f>VLOOKUP(H882,'Fund Utilization Report'!$A$4:$U$1800,7,FALSE)</f>
        <v>PS</v>
      </c>
      <c r="Z882" s="441">
        <f>VLOOKUP(H882,'Fund Utilization Report'!$A$4:$U$1800,8,FALSE)</f>
        <v>5010000000</v>
      </c>
      <c r="AA882" s="239" t="str">
        <f>VLOOKUP(H882,'Fund Utilization Report'!$A$4:$U$1800,14,FALSE)</f>
        <v>100000100001000</v>
      </c>
      <c r="AB882" s="242" t="str">
        <f>VLOOKUP(H882,'Fund Utilization Report'!$A$4:$U$1800,15,FALSE)</f>
        <v>General Administration and Supervision - General Management and Supervision</v>
      </c>
      <c r="AC882" s="51"/>
      <c r="AD882" s="435"/>
      <c r="AE882" s="51"/>
      <c r="AF882" s="51"/>
      <c r="AG882" s="442"/>
      <c r="AH882" s="442"/>
      <c r="AI882" s="443"/>
    </row>
    <row r="883" spans="1:35" s="32" customFormat="1">
      <c r="A883" s="434" t="s">
        <v>942</v>
      </c>
      <c r="B883" s="457" t="s">
        <v>946</v>
      </c>
      <c r="C883" s="233">
        <v>44257</v>
      </c>
      <c r="D883" s="435" t="s">
        <v>1267</v>
      </c>
      <c r="E883" s="436" t="s">
        <v>1294</v>
      </c>
      <c r="F883" s="338">
        <v>44259</v>
      </c>
      <c r="G883" s="338">
        <v>0.50347222222222221</v>
      </c>
      <c r="H883" s="338" t="s">
        <v>960</v>
      </c>
      <c r="I883" s="353">
        <v>714</v>
      </c>
      <c r="J883" s="338" t="str">
        <f>IFERROR(VLOOKUP(I883,'Chart of accounts'!A:H,2,FALSE),"")</f>
        <v>50102030 01</v>
      </c>
      <c r="K883" s="338" t="str">
        <f>IFERROR(VLOOKUP(I883,'Chart of accounts'!A:H,3,FALSE),"")</f>
        <v xml:space="preserve">Transportation Allowance  </v>
      </c>
      <c r="L883" s="338" t="str">
        <f>IFERROR(VLOOKUP(I883,'Chart of accounts'!A:H,4,FALSE),"")</f>
        <v>50102030 01 - Transportation Allowance   (714)</v>
      </c>
      <c r="M883" s="354" t="s">
        <v>2</v>
      </c>
      <c r="N883" s="355" t="s">
        <v>796</v>
      </c>
      <c r="O883" s="355" t="s">
        <v>1295</v>
      </c>
      <c r="P883" s="355"/>
      <c r="Q883" s="428">
        <v>8500</v>
      </c>
      <c r="R883" s="319">
        <f t="shared" si="23"/>
        <v>-8500</v>
      </c>
      <c r="S883" s="239" t="str">
        <f>VLOOKUP(H883,'Fund Utilization Report'!$A$4:$U$1800,13,FALSE)</f>
        <v>PS</v>
      </c>
      <c r="T883" s="239" t="str">
        <f>VLOOKUP(H883,'Fund Utilization Report'!$A$4:$U$1800,2,FALSE)</f>
        <v>GAA</v>
      </c>
      <c r="U883" s="239" t="str">
        <f>VLOOKUP(H883,'Fund Utilization Report'!$A$4:$U$1800,3,FALSE)</f>
        <v>FY2021, RA11518</v>
      </c>
      <c r="V883" s="239" t="str">
        <f>VLOOKUP(H883,'Fund Utilization Report'!$A$4:$U$1800,4,FALSE)</f>
        <v>GAS(GMS)</v>
      </c>
      <c r="W883" s="239" t="str">
        <f>VLOOKUP(H883,'Fund Utilization Report'!$A$4:$U$1800,5,FALSE)</f>
        <v>01101101</v>
      </c>
      <c r="X883" s="239" t="str">
        <f>VLOOKUP(H883,'Fund Utilization Report'!$A$4:$U$1800,6,FALSE)</f>
        <v>GOP</v>
      </c>
      <c r="Y883" s="440" t="str">
        <f>VLOOKUP(H883,'Fund Utilization Report'!$A$4:$U$1800,7,FALSE)</f>
        <v>PS</v>
      </c>
      <c r="Z883" s="441">
        <f>VLOOKUP(H883,'Fund Utilization Report'!$A$4:$U$1800,8,FALSE)</f>
        <v>5010000000</v>
      </c>
      <c r="AA883" s="239" t="str">
        <f>VLOOKUP(H883,'Fund Utilization Report'!$A$4:$U$1800,14,FALSE)</f>
        <v>100000100001000</v>
      </c>
      <c r="AB883" s="242" t="str">
        <f>VLOOKUP(H883,'Fund Utilization Report'!$A$4:$U$1800,15,FALSE)</f>
        <v>General Administration and Supervision - General Management and Supervision</v>
      </c>
      <c r="AC883" s="51"/>
      <c r="AD883" s="435"/>
      <c r="AE883" s="51"/>
      <c r="AF883" s="51"/>
      <c r="AG883" s="442"/>
      <c r="AH883" s="442"/>
      <c r="AI883" s="443"/>
    </row>
    <row r="884" spans="1:35" s="32" customFormat="1">
      <c r="A884" s="434" t="s">
        <v>942</v>
      </c>
      <c r="B884" s="457" t="s">
        <v>946</v>
      </c>
      <c r="C884" s="233">
        <v>44257</v>
      </c>
      <c r="D884" s="435" t="s">
        <v>1267</v>
      </c>
      <c r="E884" s="436" t="s">
        <v>1294</v>
      </c>
      <c r="F884" s="338">
        <v>44259</v>
      </c>
      <c r="G884" s="338">
        <v>0.50347222222222221</v>
      </c>
      <c r="H884" s="338" t="s">
        <v>960</v>
      </c>
      <c r="I884" s="353">
        <v>713</v>
      </c>
      <c r="J884" s="338" t="str">
        <f>IFERROR(VLOOKUP(I884,'Chart of accounts'!A:H,2,FALSE),"")</f>
        <v>50102020 00</v>
      </c>
      <c r="K884" s="338" t="str">
        <f>IFERROR(VLOOKUP(I884,'Chart of accounts'!A:H,3,FALSE),"")</f>
        <v>Representation Allowance</v>
      </c>
      <c r="L884" s="338" t="str">
        <f>IFERROR(VLOOKUP(I884,'Chart of accounts'!A:H,4,FALSE),"")</f>
        <v>50102020 00 - Representation Allowance (713)</v>
      </c>
      <c r="M884" s="354" t="s">
        <v>2</v>
      </c>
      <c r="N884" s="355" t="s">
        <v>797</v>
      </c>
      <c r="O884" s="355" t="s">
        <v>1295</v>
      </c>
      <c r="P884" s="355"/>
      <c r="Q884" s="428">
        <v>5000</v>
      </c>
      <c r="R884" s="319">
        <f t="shared" si="23"/>
        <v>-5000</v>
      </c>
      <c r="S884" s="239" t="str">
        <f>VLOOKUP(H884,'Fund Utilization Report'!$A$4:$U$1800,13,FALSE)</f>
        <v>PS</v>
      </c>
      <c r="T884" s="239" t="str">
        <f>VLOOKUP(H884,'Fund Utilization Report'!$A$4:$U$1800,2,FALSE)</f>
        <v>GAA</v>
      </c>
      <c r="U884" s="239" t="str">
        <f>VLOOKUP(H884,'Fund Utilization Report'!$A$4:$U$1800,3,FALSE)</f>
        <v>FY2021, RA11518</v>
      </c>
      <c r="V884" s="239" t="str">
        <f>VLOOKUP(H884,'Fund Utilization Report'!$A$4:$U$1800,4,FALSE)</f>
        <v>GAS(GMS)</v>
      </c>
      <c r="W884" s="239" t="str">
        <f>VLOOKUP(H884,'Fund Utilization Report'!$A$4:$U$1800,5,FALSE)</f>
        <v>01101101</v>
      </c>
      <c r="X884" s="239" t="str">
        <f>VLOOKUP(H884,'Fund Utilization Report'!$A$4:$U$1800,6,FALSE)</f>
        <v>GOP</v>
      </c>
      <c r="Y884" s="440" t="str">
        <f>VLOOKUP(H884,'Fund Utilization Report'!$A$4:$U$1800,7,FALSE)</f>
        <v>PS</v>
      </c>
      <c r="Z884" s="441">
        <f>VLOOKUP(H884,'Fund Utilization Report'!$A$4:$U$1800,8,FALSE)</f>
        <v>5010000000</v>
      </c>
      <c r="AA884" s="239" t="str">
        <f>VLOOKUP(H884,'Fund Utilization Report'!$A$4:$U$1800,14,FALSE)</f>
        <v>100000100001000</v>
      </c>
      <c r="AB884" s="242" t="str">
        <f>VLOOKUP(H884,'Fund Utilization Report'!$A$4:$U$1800,15,FALSE)</f>
        <v>General Administration and Supervision - General Management and Supervision</v>
      </c>
      <c r="AC884" s="51"/>
      <c r="AD884" s="435"/>
      <c r="AE884" s="51"/>
      <c r="AF884" s="51"/>
      <c r="AG884" s="442"/>
      <c r="AH884" s="442"/>
      <c r="AI884" s="443"/>
    </row>
    <row r="885" spans="1:35" s="32" customFormat="1">
      <c r="A885" s="434" t="s">
        <v>942</v>
      </c>
      <c r="B885" s="457" t="s">
        <v>946</v>
      </c>
      <c r="C885" s="233">
        <v>44257</v>
      </c>
      <c r="D885" s="435" t="s">
        <v>1267</v>
      </c>
      <c r="E885" s="436" t="s">
        <v>1294</v>
      </c>
      <c r="F885" s="338">
        <v>44259</v>
      </c>
      <c r="G885" s="338">
        <v>0.50347222222222221</v>
      </c>
      <c r="H885" s="338" t="s">
        <v>960</v>
      </c>
      <c r="I885" s="353">
        <v>714</v>
      </c>
      <c r="J885" s="338" t="str">
        <f>IFERROR(VLOOKUP(I885,'Chart of accounts'!A:H,2,FALSE),"")</f>
        <v>50102030 01</v>
      </c>
      <c r="K885" s="338" t="str">
        <f>IFERROR(VLOOKUP(I885,'Chart of accounts'!A:H,3,FALSE),"")</f>
        <v xml:space="preserve">Transportation Allowance  </v>
      </c>
      <c r="L885" s="338" t="str">
        <f>IFERROR(VLOOKUP(I885,'Chart of accounts'!A:H,4,FALSE),"")</f>
        <v>50102030 01 - Transportation Allowance   (714)</v>
      </c>
      <c r="M885" s="354" t="s">
        <v>2</v>
      </c>
      <c r="N885" s="355" t="s">
        <v>797</v>
      </c>
      <c r="O885" s="355" t="s">
        <v>1295</v>
      </c>
      <c r="P885" s="355"/>
      <c r="Q885" s="428">
        <v>5000</v>
      </c>
      <c r="R885" s="319">
        <f t="shared" si="23"/>
        <v>-5000</v>
      </c>
      <c r="S885" s="239" t="str">
        <f>VLOOKUP(H885,'Fund Utilization Report'!$A$4:$U$1800,13,FALSE)</f>
        <v>PS</v>
      </c>
      <c r="T885" s="239" t="str">
        <f>VLOOKUP(H885,'Fund Utilization Report'!$A$4:$U$1800,2,FALSE)</f>
        <v>GAA</v>
      </c>
      <c r="U885" s="239" t="str">
        <f>VLOOKUP(H885,'Fund Utilization Report'!$A$4:$U$1800,3,FALSE)</f>
        <v>FY2021, RA11518</v>
      </c>
      <c r="V885" s="239" t="str">
        <f>VLOOKUP(H885,'Fund Utilization Report'!$A$4:$U$1800,4,FALSE)</f>
        <v>GAS(GMS)</v>
      </c>
      <c r="W885" s="239" t="str">
        <f>VLOOKUP(H885,'Fund Utilization Report'!$A$4:$U$1800,5,FALSE)</f>
        <v>01101101</v>
      </c>
      <c r="X885" s="239" t="str">
        <f>VLOOKUP(H885,'Fund Utilization Report'!$A$4:$U$1800,6,FALSE)</f>
        <v>GOP</v>
      </c>
      <c r="Y885" s="440" t="str">
        <f>VLOOKUP(H885,'Fund Utilization Report'!$A$4:$U$1800,7,FALSE)</f>
        <v>PS</v>
      </c>
      <c r="Z885" s="441">
        <f>VLOOKUP(H885,'Fund Utilization Report'!$A$4:$U$1800,8,FALSE)</f>
        <v>5010000000</v>
      </c>
      <c r="AA885" s="239" t="str">
        <f>VLOOKUP(H885,'Fund Utilization Report'!$A$4:$U$1800,14,FALSE)</f>
        <v>100000100001000</v>
      </c>
      <c r="AB885" s="242" t="str">
        <f>VLOOKUP(H885,'Fund Utilization Report'!$A$4:$U$1800,15,FALSE)</f>
        <v>General Administration and Supervision - General Management and Supervision</v>
      </c>
      <c r="AC885" s="51"/>
      <c r="AD885" s="435"/>
      <c r="AE885" s="51"/>
      <c r="AF885" s="51"/>
      <c r="AG885" s="442"/>
      <c r="AH885" s="442"/>
      <c r="AI885" s="443"/>
    </row>
    <row r="886" spans="1:35" s="32" customFormat="1">
      <c r="A886" s="434" t="s">
        <v>942</v>
      </c>
      <c r="B886" s="457" t="s">
        <v>946</v>
      </c>
      <c r="C886" s="233">
        <v>44257</v>
      </c>
      <c r="D886" s="435" t="s">
        <v>1267</v>
      </c>
      <c r="E886" s="436" t="s">
        <v>1294</v>
      </c>
      <c r="F886" s="338">
        <v>44259</v>
      </c>
      <c r="G886" s="338">
        <v>0.50347222222222221</v>
      </c>
      <c r="H886" s="338" t="s">
        <v>970</v>
      </c>
      <c r="I886" s="353">
        <v>713</v>
      </c>
      <c r="J886" s="338" t="str">
        <f>IFERROR(VLOOKUP(I886,'Chart of accounts'!A:H,2,FALSE),"")</f>
        <v>50102020 00</v>
      </c>
      <c r="K886" s="338" t="str">
        <f>IFERROR(VLOOKUP(I886,'Chart of accounts'!A:H,3,FALSE),"")</f>
        <v>Representation Allowance</v>
      </c>
      <c r="L886" s="338" t="str">
        <f>IFERROR(VLOOKUP(I886,'Chart of accounts'!A:H,4,FALSE),"")</f>
        <v>50102020 00 - Representation Allowance (713)</v>
      </c>
      <c r="M886" s="354" t="s">
        <v>2</v>
      </c>
      <c r="N886" s="355" t="s">
        <v>798</v>
      </c>
      <c r="O886" s="355" t="s">
        <v>1295</v>
      </c>
      <c r="P886" s="355"/>
      <c r="Q886" s="428">
        <v>5000</v>
      </c>
      <c r="R886" s="319">
        <f t="shared" si="23"/>
        <v>-5000</v>
      </c>
      <c r="S886" s="239" t="str">
        <f>VLOOKUP(H886,'Fund Utilization Report'!$A$4:$U$1800,13,FALSE)</f>
        <v>PS</v>
      </c>
      <c r="T886" s="239" t="str">
        <f>VLOOKUP(H886,'Fund Utilization Report'!$A$4:$U$1800,2,FALSE)</f>
        <v>GAA</v>
      </c>
      <c r="U886" s="239" t="str">
        <f>VLOOKUP(H886,'Fund Utilization Report'!$A$4:$U$1800,3,FALSE)</f>
        <v>FY2021, RA11518</v>
      </c>
      <c r="V886" s="239" t="str">
        <f>VLOOKUP(H886,'Fund Utilization Report'!$A$4:$U$1800,4,FALSE)</f>
        <v>OO3</v>
      </c>
      <c r="W886" s="239" t="str">
        <f>VLOOKUP(H886,'Fund Utilization Report'!$A$4:$U$1800,5,FALSE)</f>
        <v>01101101</v>
      </c>
      <c r="X886" s="239" t="str">
        <f>VLOOKUP(H886,'Fund Utilization Report'!$A$4:$U$1800,6,FALSE)</f>
        <v>GOP</v>
      </c>
      <c r="Y886" s="440" t="str">
        <f>VLOOKUP(H886,'Fund Utilization Report'!$A$4:$U$1800,7,FALSE)</f>
        <v>PS</v>
      </c>
      <c r="Z886" s="441">
        <f>VLOOKUP(H886,'Fund Utilization Report'!$A$4:$U$1800,8,FALSE)</f>
        <v>5010000000</v>
      </c>
      <c r="AA886" s="239" t="str">
        <f>VLOOKUP(H886,'Fund Utilization Report'!$A$4:$U$1800,14,FALSE)</f>
        <v>330100100002000</v>
      </c>
      <c r="AB886" s="242" t="str">
        <f>VLOOKUP(H886,'Fund Utilization Report'!$A$4:$U$1800,15,FALSE)</f>
        <v>Implementation of the MSME Development Plan and other initiatives to promote the growth of Micro, Small and Medium Enterprises</v>
      </c>
      <c r="AC886" s="51"/>
      <c r="AD886" s="435"/>
      <c r="AE886" s="51"/>
      <c r="AF886" s="51"/>
      <c r="AG886" s="442"/>
      <c r="AH886" s="442"/>
      <c r="AI886" s="443"/>
    </row>
    <row r="887" spans="1:35" s="32" customFormat="1">
      <c r="A887" s="434" t="s">
        <v>942</v>
      </c>
      <c r="B887" s="457" t="s">
        <v>946</v>
      </c>
      <c r="C887" s="233">
        <v>44257</v>
      </c>
      <c r="D887" s="435" t="s">
        <v>1267</v>
      </c>
      <c r="E887" s="436" t="s">
        <v>1294</v>
      </c>
      <c r="F887" s="338">
        <v>44259</v>
      </c>
      <c r="G887" s="338">
        <v>0.50347222222222221</v>
      </c>
      <c r="H887" s="338" t="s">
        <v>970</v>
      </c>
      <c r="I887" s="353">
        <v>714</v>
      </c>
      <c r="J887" s="338" t="str">
        <f>IFERROR(VLOOKUP(I887,'Chart of accounts'!A:H,2,FALSE),"")</f>
        <v>50102030 01</v>
      </c>
      <c r="K887" s="338" t="str">
        <f>IFERROR(VLOOKUP(I887,'Chart of accounts'!A:H,3,FALSE),"")</f>
        <v xml:space="preserve">Transportation Allowance  </v>
      </c>
      <c r="L887" s="338" t="str">
        <f>IFERROR(VLOOKUP(I887,'Chart of accounts'!A:H,4,FALSE),"")</f>
        <v>50102030 01 - Transportation Allowance   (714)</v>
      </c>
      <c r="M887" s="354" t="s">
        <v>2</v>
      </c>
      <c r="N887" s="355" t="s">
        <v>798</v>
      </c>
      <c r="O887" s="355" t="s">
        <v>1295</v>
      </c>
      <c r="P887" s="355"/>
      <c r="Q887" s="428">
        <v>5000</v>
      </c>
      <c r="R887" s="319">
        <f t="shared" si="23"/>
        <v>-5000</v>
      </c>
      <c r="S887" s="239" t="str">
        <f>VLOOKUP(H887,'Fund Utilization Report'!$A$4:$U$1800,13,FALSE)</f>
        <v>PS</v>
      </c>
      <c r="T887" s="239" t="str">
        <f>VLOOKUP(H887,'Fund Utilization Report'!$A$4:$U$1800,2,FALSE)</f>
        <v>GAA</v>
      </c>
      <c r="U887" s="239" t="str">
        <f>VLOOKUP(H887,'Fund Utilization Report'!$A$4:$U$1800,3,FALSE)</f>
        <v>FY2021, RA11518</v>
      </c>
      <c r="V887" s="239" t="str">
        <f>VLOOKUP(H887,'Fund Utilization Report'!$A$4:$U$1800,4,FALSE)</f>
        <v>OO3</v>
      </c>
      <c r="W887" s="239" t="str">
        <f>VLOOKUP(H887,'Fund Utilization Report'!$A$4:$U$1800,5,FALSE)</f>
        <v>01101101</v>
      </c>
      <c r="X887" s="239" t="str">
        <f>VLOOKUP(H887,'Fund Utilization Report'!$A$4:$U$1800,6,FALSE)</f>
        <v>GOP</v>
      </c>
      <c r="Y887" s="440" t="str">
        <f>VLOOKUP(H887,'Fund Utilization Report'!$A$4:$U$1800,7,FALSE)</f>
        <v>PS</v>
      </c>
      <c r="Z887" s="441">
        <f>VLOOKUP(H887,'Fund Utilization Report'!$A$4:$U$1800,8,FALSE)</f>
        <v>5010000000</v>
      </c>
      <c r="AA887" s="239" t="str">
        <f>VLOOKUP(H887,'Fund Utilization Report'!$A$4:$U$1800,14,FALSE)</f>
        <v>330100100002000</v>
      </c>
      <c r="AB887" s="242" t="str">
        <f>VLOOKUP(H887,'Fund Utilization Report'!$A$4:$U$1800,15,FALSE)</f>
        <v>Implementation of the MSME Development Plan and other initiatives to promote the growth of Micro, Small and Medium Enterprises</v>
      </c>
      <c r="AC887" s="51"/>
      <c r="AD887" s="435"/>
      <c r="AE887" s="51"/>
      <c r="AF887" s="51"/>
      <c r="AG887" s="442"/>
      <c r="AH887" s="442"/>
      <c r="AI887" s="443"/>
    </row>
    <row r="888" spans="1:35" s="32" customFormat="1">
      <c r="A888" s="434" t="s">
        <v>942</v>
      </c>
      <c r="B888" s="457" t="s">
        <v>946</v>
      </c>
      <c r="C888" s="233">
        <v>44257</v>
      </c>
      <c r="D888" s="435" t="s">
        <v>1267</v>
      </c>
      <c r="E888" s="436" t="s">
        <v>1294</v>
      </c>
      <c r="F888" s="338">
        <v>44259</v>
      </c>
      <c r="G888" s="338">
        <v>0.50347222222222221</v>
      </c>
      <c r="H888" s="338" t="s">
        <v>973</v>
      </c>
      <c r="I888" s="353">
        <v>713</v>
      </c>
      <c r="J888" s="338" t="str">
        <f>IFERROR(VLOOKUP(I888,'Chart of accounts'!A:H,2,FALSE),"")</f>
        <v>50102020 00</v>
      </c>
      <c r="K888" s="338" t="str">
        <f>IFERROR(VLOOKUP(I888,'Chart of accounts'!A:H,3,FALSE),"")</f>
        <v>Representation Allowance</v>
      </c>
      <c r="L888" s="338" t="str">
        <f>IFERROR(VLOOKUP(I888,'Chart of accounts'!A:H,4,FALSE),"")</f>
        <v>50102020 00 - Representation Allowance (713)</v>
      </c>
      <c r="M888" s="354" t="s">
        <v>2</v>
      </c>
      <c r="N888" s="355" t="s">
        <v>799</v>
      </c>
      <c r="O888" s="355" t="s">
        <v>1295</v>
      </c>
      <c r="P888" s="355"/>
      <c r="Q888" s="428">
        <v>5000</v>
      </c>
      <c r="R888" s="319">
        <f t="shared" si="23"/>
        <v>-5000</v>
      </c>
      <c r="S888" s="239" t="str">
        <f>VLOOKUP(H888,'Fund Utilization Report'!$A$4:$U$1800,13,FALSE)</f>
        <v>PS</v>
      </c>
      <c r="T888" s="239" t="str">
        <f>VLOOKUP(H888,'Fund Utilization Report'!$A$4:$U$1800,2,FALSE)</f>
        <v>GAA</v>
      </c>
      <c r="U888" s="239" t="str">
        <f>VLOOKUP(H888,'Fund Utilization Report'!$A$4:$U$1800,3,FALSE)</f>
        <v>FY2021, RA11518</v>
      </c>
      <c r="V888" s="239" t="str">
        <f>VLOOKUP(H888,'Fund Utilization Report'!$A$4:$U$1800,4,FALSE)</f>
        <v>OO4.1(FTL)</v>
      </c>
      <c r="W888" s="239" t="str">
        <f>VLOOKUP(H888,'Fund Utilization Report'!$A$4:$U$1800,5,FALSE)</f>
        <v>01101101</v>
      </c>
      <c r="X888" s="239" t="str">
        <f>VLOOKUP(H888,'Fund Utilization Report'!$A$4:$U$1800,6,FALSE)</f>
        <v>GOP</v>
      </c>
      <c r="Y888" s="440" t="str">
        <f>VLOOKUP(H888,'Fund Utilization Report'!$A$4:$U$1800,7,FALSE)</f>
        <v>PS</v>
      </c>
      <c r="Z888" s="441">
        <f>VLOOKUP(H888,'Fund Utilization Report'!$A$4:$U$1800,8,FALSE)</f>
        <v>5010000000</v>
      </c>
      <c r="AA888" s="239" t="str">
        <f>VLOOKUP(H888,'Fund Utilization Report'!$A$4:$U$1800,14,FALSE)</f>
        <v>340100100002000</v>
      </c>
      <c r="AB888" s="242" t="str">
        <f>VLOOKUP(H888,'Fund Utilization Report'!$A$4:$U$1800,15,FALSE)</f>
        <v>Monitoring and Enforcement of FTL including consumer complaints handling</v>
      </c>
      <c r="AC888" s="51"/>
      <c r="AD888" s="435"/>
      <c r="AE888" s="51"/>
      <c r="AF888" s="51"/>
      <c r="AG888" s="442"/>
      <c r="AH888" s="442"/>
      <c r="AI888" s="443"/>
    </row>
    <row r="889" spans="1:35" s="32" customFormat="1">
      <c r="A889" s="434" t="s">
        <v>942</v>
      </c>
      <c r="B889" s="457" t="s">
        <v>946</v>
      </c>
      <c r="C889" s="233">
        <v>44257</v>
      </c>
      <c r="D889" s="435" t="s">
        <v>1267</v>
      </c>
      <c r="E889" s="436" t="s">
        <v>1294</v>
      </c>
      <c r="F889" s="338">
        <v>44259</v>
      </c>
      <c r="G889" s="338">
        <v>0.50347222222222221</v>
      </c>
      <c r="H889" s="338" t="s">
        <v>973</v>
      </c>
      <c r="I889" s="353">
        <v>714</v>
      </c>
      <c r="J889" s="338" t="str">
        <f>IFERROR(VLOOKUP(I889,'Chart of accounts'!A:H,2,FALSE),"")</f>
        <v>50102030 01</v>
      </c>
      <c r="K889" s="338" t="str">
        <f>IFERROR(VLOOKUP(I889,'Chart of accounts'!A:H,3,FALSE),"")</f>
        <v xml:space="preserve">Transportation Allowance  </v>
      </c>
      <c r="L889" s="338" t="str">
        <f>IFERROR(VLOOKUP(I889,'Chart of accounts'!A:H,4,FALSE),"")</f>
        <v>50102030 01 - Transportation Allowance   (714)</v>
      </c>
      <c r="M889" s="354" t="s">
        <v>2</v>
      </c>
      <c r="N889" s="355" t="s">
        <v>799</v>
      </c>
      <c r="O889" s="355" t="s">
        <v>1295</v>
      </c>
      <c r="P889" s="355"/>
      <c r="Q889" s="428">
        <v>5000</v>
      </c>
      <c r="R889" s="319">
        <f t="shared" si="23"/>
        <v>-5000</v>
      </c>
      <c r="S889" s="239" t="str">
        <f>VLOOKUP(H889,'Fund Utilization Report'!$A$4:$U$1800,13,FALSE)</f>
        <v>PS</v>
      </c>
      <c r="T889" s="239" t="str">
        <f>VLOOKUP(H889,'Fund Utilization Report'!$A$4:$U$1800,2,FALSE)</f>
        <v>GAA</v>
      </c>
      <c r="U889" s="239" t="str">
        <f>VLOOKUP(H889,'Fund Utilization Report'!$A$4:$U$1800,3,FALSE)</f>
        <v>FY2021, RA11518</v>
      </c>
      <c r="V889" s="239" t="str">
        <f>VLOOKUP(H889,'Fund Utilization Report'!$A$4:$U$1800,4,FALSE)</f>
        <v>OO4.1(FTL)</v>
      </c>
      <c r="W889" s="239" t="str">
        <f>VLOOKUP(H889,'Fund Utilization Report'!$A$4:$U$1800,5,FALSE)</f>
        <v>01101101</v>
      </c>
      <c r="X889" s="239" t="str">
        <f>VLOOKUP(H889,'Fund Utilization Report'!$A$4:$U$1800,6,FALSE)</f>
        <v>GOP</v>
      </c>
      <c r="Y889" s="440" t="str">
        <f>VLOOKUP(H889,'Fund Utilization Report'!$A$4:$U$1800,7,FALSE)</f>
        <v>PS</v>
      </c>
      <c r="Z889" s="441">
        <f>VLOOKUP(H889,'Fund Utilization Report'!$A$4:$U$1800,8,FALSE)</f>
        <v>5010000000</v>
      </c>
      <c r="AA889" s="239" t="str">
        <f>VLOOKUP(H889,'Fund Utilization Report'!$A$4:$U$1800,14,FALSE)</f>
        <v>340100100002000</v>
      </c>
      <c r="AB889" s="242" t="str">
        <f>VLOOKUP(H889,'Fund Utilization Report'!$A$4:$U$1800,15,FALSE)</f>
        <v>Monitoring and Enforcement of FTL including consumer complaints handling</v>
      </c>
      <c r="AC889" s="51"/>
      <c r="AD889" s="435"/>
      <c r="AE889" s="51"/>
      <c r="AF889" s="51"/>
      <c r="AG889" s="442"/>
      <c r="AH889" s="442"/>
      <c r="AI889" s="443"/>
    </row>
    <row r="890" spans="1:35" s="32" customFormat="1">
      <c r="A890" s="434" t="s">
        <v>942</v>
      </c>
      <c r="B890" s="457" t="s">
        <v>946</v>
      </c>
      <c r="C890" s="233">
        <v>44257</v>
      </c>
      <c r="D890" s="435" t="s">
        <v>1267</v>
      </c>
      <c r="E890" s="436" t="s">
        <v>1294</v>
      </c>
      <c r="F890" s="338">
        <v>44259</v>
      </c>
      <c r="G890" s="338">
        <v>0.50347222222222221</v>
      </c>
      <c r="H890" s="338" t="s">
        <v>967</v>
      </c>
      <c r="I890" s="353">
        <v>713</v>
      </c>
      <c r="J890" s="338" t="str">
        <f>IFERROR(VLOOKUP(I890,'Chart of accounts'!A:H,2,FALSE),"")</f>
        <v>50102020 00</v>
      </c>
      <c r="K890" s="338" t="str">
        <f>IFERROR(VLOOKUP(I890,'Chart of accounts'!A:H,3,FALSE),"")</f>
        <v>Representation Allowance</v>
      </c>
      <c r="L890" s="338" t="str">
        <f>IFERROR(VLOOKUP(I890,'Chart of accounts'!A:H,4,FALSE),"")</f>
        <v>50102020 00 - Representation Allowance (713)</v>
      </c>
      <c r="M890" s="354" t="s">
        <v>2</v>
      </c>
      <c r="N890" s="355" t="s">
        <v>800</v>
      </c>
      <c r="O890" s="355" t="s">
        <v>1295</v>
      </c>
      <c r="P890" s="355"/>
      <c r="Q890" s="428">
        <v>5000</v>
      </c>
      <c r="R890" s="319">
        <f t="shared" si="23"/>
        <v>-5000</v>
      </c>
      <c r="S890" s="239" t="str">
        <f>VLOOKUP(H890,'Fund Utilization Report'!$A$4:$U$1800,13,FALSE)</f>
        <v>PS</v>
      </c>
      <c r="T890" s="239" t="str">
        <f>VLOOKUP(H890,'Fund Utilization Report'!$A$4:$U$1800,2,FALSE)</f>
        <v>GAA</v>
      </c>
      <c r="U890" s="239" t="str">
        <f>VLOOKUP(H890,'Fund Utilization Report'!$A$4:$U$1800,3,FALSE)</f>
        <v>FY2021, RA11518</v>
      </c>
      <c r="V890" s="239" t="str">
        <f>VLOOKUP(H890,'Fund Utilization Report'!$A$4:$U$1800,4,FALSE)</f>
        <v>OO2</v>
      </c>
      <c r="W890" s="239" t="str">
        <f>VLOOKUP(H890,'Fund Utilization Report'!$A$4:$U$1800,5,FALSE)</f>
        <v>01101101</v>
      </c>
      <c r="X890" s="239" t="str">
        <f>VLOOKUP(H890,'Fund Utilization Report'!$A$4:$U$1800,6,FALSE)</f>
        <v>GOP</v>
      </c>
      <c r="Y890" s="440" t="str">
        <f>VLOOKUP(H890,'Fund Utilization Report'!$A$4:$U$1800,7,FALSE)</f>
        <v>PS</v>
      </c>
      <c r="Z890" s="441">
        <f>VLOOKUP(H890,'Fund Utilization Report'!$A$4:$U$1800,8,FALSE)</f>
        <v>5010000000</v>
      </c>
      <c r="AA890" s="239" t="str">
        <f>VLOOKUP(H890,'Fund Utilization Report'!$A$4:$U$1800,14,FALSE)</f>
        <v>320100100001000</v>
      </c>
      <c r="AB890" s="242" t="str">
        <f>VLOOKUP(H890,'Fund Utilization Report'!$A$4:$U$1800,15,FALSE)</f>
        <v>Formulation of Strategic plans,programs, and policies to develop competitve industries</v>
      </c>
      <c r="AC890" s="51"/>
      <c r="AD890" s="435"/>
      <c r="AE890" s="51"/>
      <c r="AF890" s="51"/>
      <c r="AG890" s="442"/>
      <c r="AH890" s="442"/>
      <c r="AI890" s="443"/>
    </row>
    <row r="891" spans="1:35" s="32" customFormat="1">
      <c r="A891" s="434" t="s">
        <v>942</v>
      </c>
      <c r="B891" s="457" t="s">
        <v>946</v>
      </c>
      <c r="C891" s="233">
        <v>44257</v>
      </c>
      <c r="D891" s="435" t="s">
        <v>1267</v>
      </c>
      <c r="E891" s="436" t="s">
        <v>1294</v>
      </c>
      <c r="F891" s="338">
        <v>44259</v>
      </c>
      <c r="G891" s="338">
        <v>0.50347222222222221</v>
      </c>
      <c r="H891" s="338" t="s">
        <v>967</v>
      </c>
      <c r="I891" s="353">
        <v>714</v>
      </c>
      <c r="J891" s="338" t="str">
        <f>IFERROR(VLOOKUP(I891,'Chart of accounts'!A:H,2,FALSE),"")</f>
        <v>50102030 01</v>
      </c>
      <c r="K891" s="338" t="str">
        <f>IFERROR(VLOOKUP(I891,'Chart of accounts'!A:H,3,FALSE),"")</f>
        <v xml:space="preserve">Transportation Allowance  </v>
      </c>
      <c r="L891" s="338" t="str">
        <f>IFERROR(VLOOKUP(I891,'Chart of accounts'!A:H,4,FALSE),"")</f>
        <v>50102030 01 - Transportation Allowance   (714)</v>
      </c>
      <c r="M891" s="354" t="s">
        <v>2</v>
      </c>
      <c r="N891" s="355" t="s">
        <v>800</v>
      </c>
      <c r="O891" s="355" t="s">
        <v>1295</v>
      </c>
      <c r="P891" s="355"/>
      <c r="Q891" s="428">
        <v>5000</v>
      </c>
      <c r="R891" s="319">
        <f t="shared" si="23"/>
        <v>-5000</v>
      </c>
      <c r="S891" s="239" t="str">
        <f>VLOOKUP(H891,'Fund Utilization Report'!$A$4:$U$1800,13,FALSE)</f>
        <v>PS</v>
      </c>
      <c r="T891" s="239" t="str">
        <f>VLOOKUP(H891,'Fund Utilization Report'!$A$4:$U$1800,2,FALSE)</f>
        <v>GAA</v>
      </c>
      <c r="U891" s="239" t="str">
        <f>VLOOKUP(H891,'Fund Utilization Report'!$A$4:$U$1800,3,FALSE)</f>
        <v>FY2021, RA11518</v>
      </c>
      <c r="V891" s="239" t="str">
        <f>VLOOKUP(H891,'Fund Utilization Report'!$A$4:$U$1800,4,FALSE)</f>
        <v>OO2</v>
      </c>
      <c r="W891" s="239" t="str">
        <f>VLOOKUP(H891,'Fund Utilization Report'!$A$4:$U$1800,5,FALSE)</f>
        <v>01101101</v>
      </c>
      <c r="X891" s="239" t="str">
        <f>VLOOKUP(H891,'Fund Utilization Report'!$A$4:$U$1800,6,FALSE)</f>
        <v>GOP</v>
      </c>
      <c r="Y891" s="440" t="str">
        <f>VLOOKUP(H891,'Fund Utilization Report'!$A$4:$U$1800,7,FALSE)</f>
        <v>PS</v>
      </c>
      <c r="Z891" s="441">
        <f>VLOOKUP(H891,'Fund Utilization Report'!$A$4:$U$1800,8,FALSE)</f>
        <v>5010000000</v>
      </c>
      <c r="AA891" s="239" t="str">
        <f>VLOOKUP(H891,'Fund Utilization Report'!$A$4:$U$1800,14,FALSE)</f>
        <v>320100100001000</v>
      </c>
      <c r="AB891" s="242" t="str">
        <f>VLOOKUP(H891,'Fund Utilization Report'!$A$4:$U$1800,15,FALSE)</f>
        <v>Formulation of Strategic plans,programs, and policies to develop competitve industries</v>
      </c>
      <c r="AC891" s="51"/>
      <c r="AD891" s="435"/>
      <c r="AE891" s="51"/>
      <c r="AF891" s="51"/>
      <c r="AG891" s="442"/>
      <c r="AH891" s="442"/>
      <c r="AI891" s="443"/>
    </row>
    <row r="892" spans="1:35" s="32" customFormat="1">
      <c r="A892" s="434" t="s">
        <v>942</v>
      </c>
      <c r="B892" s="457" t="s">
        <v>946</v>
      </c>
      <c r="C892" s="233">
        <v>44257</v>
      </c>
      <c r="D892" s="435" t="s">
        <v>1267</v>
      </c>
      <c r="E892" s="436" t="s">
        <v>1294</v>
      </c>
      <c r="F892" s="338">
        <v>44259</v>
      </c>
      <c r="G892" s="338">
        <v>0.50347222222222221</v>
      </c>
      <c r="H892" s="338" t="s">
        <v>960</v>
      </c>
      <c r="I892" s="353">
        <v>713</v>
      </c>
      <c r="J892" s="338" t="str">
        <f>IFERROR(VLOOKUP(I892,'Chart of accounts'!A:H,2,FALSE),"")</f>
        <v>50102020 00</v>
      </c>
      <c r="K892" s="338" t="str">
        <f>IFERROR(VLOOKUP(I892,'Chart of accounts'!A:H,3,FALSE),"")</f>
        <v>Representation Allowance</v>
      </c>
      <c r="L892" s="338" t="str">
        <f>IFERROR(VLOOKUP(I892,'Chart of accounts'!A:H,4,FALSE),"")</f>
        <v>50102020 00 - Representation Allowance (713)</v>
      </c>
      <c r="M892" s="354" t="s">
        <v>2</v>
      </c>
      <c r="N892" s="355" t="s">
        <v>801</v>
      </c>
      <c r="O892" s="355" t="s">
        <v>1295</v>
      </c>
      <c r="P892" s="355"/>
      <c r="Q892" s="428">
        <v>7500</v>
      </c>
      <c r="R892" s="319">
        <f t="shared" si="23"/>
        <v>-7500</v>
      </c>
      <c r="S892" s="239" t="str">
        <f>VLOOKUP(H892,'Fund Utilization Report'!$A$4:$U$1800,13,FALSE)</f>
        <v>PS</v>
      </c>
      <c r="T892" s="239" t="str">
        <f>VLOOKUP(H892,'Fund Utilization Report'!$A$4:$U$1800,2,FALSE)</f>
        <v>GAA</v>
      </c>
      <c r="U892" s="239" t="str">
        <f>VLOOKUP(H892,'Fund Utilization Report'!$A$4:$U$1800,3,FALSE)</f>
        <v>FY2021, RA11518</v>
      </c>
      <c r="V892" s="239" t="str">
        <f>VLOOKUP(H892,'Fund Utilization Report'!$A$4:$U$1800,4,FALSE)</f>
        <v>GAS(GMS)</v>
      </c>
      <c r="W892" s="239" t="str">
        <f>VLOOKUP(H892,'Fund Utilization Report'!$A$4:$U$1800,5,FALSE)</f>
        <v>01101101</v>
      </c>
      <c r="X892" s="239" t="str">
        <f>VLOOKUP(H892,'Fund Utilization Report'!$A$4:$U$1800,6,FALSE)</f>
        <v>GOP</v>
      </c>
      <c r="Y892" s="440" t="str">
        <f>VLOOKUP(H892,'Fund Utilization Report'!$A$4:$U$1800,7,FALSE)</f>
        <v>PS</v>
      </c>
      <c r="Z892" s="441">
        <f>VLOOKUP(H892,'Fund Utilization Report'!$A$4:$U$1800,8,FALSE)</f>
        <v>5010000000</v>
      </c>
      <c r="AA892" s="239" t="str">
        <f>VLOOKUP(H892,'Fund Utilization Report'!$A$4:$U$1800,14,FALSE)</f>
        <v>100000100001000</v>
      </c>
      <c r="AB892" s="242" t="str">
        <f>VLOOKUP(H892,'Fund Utilization Report'!$A$4:$U$1800,15,FALSE)</f>
        <v>General Administration and Supervision - General Management and Supervision</v>
      </c>
      <c r="AC892" s="51"/>
      <c r="AD892" s="435"/>
      <c r="AE892" s="51"/>
      <c r="AF892" s="51"/>
      <c r="AG892" s="442"/>
      <c r="AH892" s="442"/>
      <c r="AI892" s="443"/>
    </row>
    <row r="893" spans="1:35" s="32" customFormat="1">
      <c r="A893" s="434" t="s">
        <v>942</v>
      </c>
      <c r="B893" s="457" t="s">
        <v>946</v>
      </c>
      <c r="C893" s="233">
        <v>44257</v>
      </c>
      <c r="D893" s="435" t="s">
        <v>1267</v>
      </c>
      <c r="E893" s="436" t="s">
        <v>1294</v>
      </c>
      <c r="F893" s="338">
        <v>44259</v>
      </c>
      <c r="G893" s="338">
        <v>0.50347222222222221</v>
      </c>
      <c r="H893" s="338" t="s">
        <v>960</v>
      </c>
      <c r="I893" s="353">
        <v>714</v>
      </c>
      <c r="J893" s="338" t="str">
        <f>IFERROR(VLOOKUP(I893,'Chart of accounts'!A:H,2,FALSE),"")</f>
        <v>50102030 01</v>
      </c>
      <c r="K893" s="338" t="str">
        <f>IFERROR(VLOOKUP(I893,'Chart of accounts'!A:H,3,FALSE),"")</f>
        <v xml:space="preserve">Transportation Allowance  </v>
      </c>
      <c r="L893" s="338" t="str">
        <f>IFERROR(VLOOKUP(I893,'Chart of accounts'!A:H,4,FALSE),"")</f>
        <v>50102030 01 - Transportation Allowance   (714)</v>
      </c>
      <c r="M893" s="354" t="s">
        <v>2</v>
      </c>
      <c r="N893" s="355" t="s">
        <v>801</v>
      </c>
      <c r="O893" s="355" t="s">
        <v>1295</v>
      </c>
      <c r="P893" s="355"/>
      <c r="Q893" s="428">
        <v>7500</v>
      </c>
      <c r="R893" s="319">
        <f t="shared" si="23"/>
        <v>-7500</v>
      </c>
      <c r="S893" s="239" t="str">
        <f>VLOOKUP(H893,'Fund Utilization Report'!$A$4:$U$1800,13,FALSE)</f>
        <v>PS</v>
      </c>
      <c r="T893" s="239" t="str">
        <f>VLOOKUP(H893,'Fund Utilization Report'!$A$4:$U$1800,2,FALSE)</f>
        <v>GAA</v>
      </c>
      <c r="U893" s="239" t="str">
        <f>VLOOKUP(H893,'Fund Utilization Report'!$A$4:$U$1800,3,FALSE)</f>
        <v>FY2021, RA11518</v>
      </c>
      <c r="V893" s="239" t="str">
        <f>VLOOKUP(H893,'Fund Utilization Report'!$A$4:$U$1800,4,FALSE)</f>
        <v>GAS(GMS)</v>
      </c>
      <c r="W893" s="239" t="str">
        <f>VLOOKUP(H893,'Fund Utilization Report'!$A$4:$U$1800,5,FALSE)</f>
        <v>01101101</v>
      </c>
      <c r="X893" s="239" t="str">
        <f>VLOOKUP(H893,'Fund Utilization Report'!$A$4:$U$1800,6,FALSE)</f>
        <v>GOP</v>
      </c>
      <c r="Y893" s="440" t="str">
        <f>VLOOKUP(H893,'Fund Utilization Report'!$A$4:$U$1800,7,FALSE)</f>
        <v>PS</v>
      </c>
      <c r="Z893" s="441">
        <f>VLOOKUP(H893,'Fund Utilization Report'!$A$4:$U$1800,8,FALSE)</f>
        <v>5010000000</v>
      </c>
      <c r="AA893" s="239" t="str">
        <f>VLOOKUP(H893,'Fund Utilization Report'!$A$4:$U$1800,14,FALSE)</f>
        <v>100000100001000</v>
      </c>
      <c r="AB893" s="242" t="str">
        <f>VLOOKUP(H893,'Fund Utilization Report'!$A$4:$U$1800,15,FALSE)</f>
        <v>General Administration and Supervision - General Management and Supervision</v>
      </c>
      <c r="AC893" s="51"/>
      <c r="AD893" s="435"/>
      <c r="AE893" s="51"/>
      <c r="AF893" s="51"/>
      <c r="AG893" s="442"/>
      <c r="AH893" s="442"/>
      <c r="AI893" s="443"/>
    </row>
    <row r="894" spans="1:35" s="32" customFormat="1">
      <c r="A894" s="434" t="s">
        <v>942</v>
      </c>
      <c r="B894" s="457" t="s">
        <v>946</v>
      </c>
      <c r="C894" s="233">
        <v>44257</v>
      </c>
      <c r="D894" s="435" t="s">
        <v>1267</v>
      </c>
      <c r="E894" s="436" t="s">
        <v>1294</v>
      </c>
      <c r="F894" s="338">
        <v>44259</v>
      </c>
      <c r="G894" s="338">
        <v>0.50347222222222221</v>
      </c>
      <c r="H894" s="338" t="s">
        <v>970</v>
      </c>
      <c r="I894" s="353">
        <v>713</v>
      </c>
      <c r="J894" s="338" t="str">
        <f>IFERROR(VLOOKUP(I894,'Chart of accounts'!A:H,2,FALSE),"")</f>
        <v>50102020 00</v>
      </c>
      <c r="K894" s="338" t="str">
        <f>IFERROR(VLOOKUP(I894,'Chart of accounts'!A:H,3,FALSE),"")</f>
        <v>Representation Allowance</v>
      </c>
      <c r="L894" s="338" t="str">
        <f>IFERROR(VLOOKUP(I894,'Chart of accounts'!A:H,4,FALSE),"")</f>
        <v>50102020 00 - Representation Allowance (713)</v>
      </c>
      <c r="M894" s="354" t="s">
        <v>2</v>
      </c>
      <c r="N894" s="355" t="s">
        <v>802</v>
      </c>
      <c r="O894" s="355" t="s">
        <v>1295</v>
      </c>
      <c r="P894" s="355"/>
      <c r="Q894" s="428">
        <v>5000</v>
      </c>
      <c r="R894" s="319">
        <f t="shared" si="23"/>
        <v>-5000</v>
      </c>
      <c r="S894" s="239" t="str">
        <f>VLOOKUP(H894,'Fund Utilization Report'!$A$4:$U$1800,13,FALSE)</f>
        <v>PS</v>
      </c>
      <c r="T894" s="239" t="str">
        <f>VLOOKUP(H894,'Fund Utilization Report'!$A$4:$U$1800,2,FALSE)</f>
        <v>GAA</v>
      </c>
      <c r="U894" s="239" t="str">
        <f>VLOOKUP(H894,'Fund Utilization Report'!$A$4:$U$1800,3,FALSE)</f>
        <v>FY2021, RA11518</v>
      </c>
      <c r="V894" s="239" t="str">
        <f>VLOOKUP(H894,'Fund Utilization Report'!$A$4:$U$1800,4,FALSE)</f>
        <v>OO3</v>
      </c>
      <c r="W894" s="239" t="str">
        <f>VLOOKUP(H894,'Fund Utilization Report'!$A$4:$U$1800,5,FALSE)</f>
        <v>01101101</v>
      </c>
      <c r="X894" s="239" t="str">
        <f>VLOOKUP(H894,'Fund Utilization Report'!$A$4:$U$1800,6,FALSE)</f>
        <v>GOP</v>
      </c>
      <c r="Y894" s="440" t="str">
        <f>VLOOKUP(H894,'Fund Utilization Report'!$A$4:$U$1800,7,FALSE)</f>
        <v>PS</v>
      </c>
      <c r="Z894" s="441">
        <f>VLOOKUP(H894,'Fund Utilization Report'!$A$4:$U$1800,8,FALSE)</f>
        <v>5010000000</v>
      </c>
      <c r="AA894" s="239" t="str">
        <f>VLOOKUP(H894,'Fund Utilization Report'!$A$4:$U$1800,14,FALSE)</f>
        <v>330100100002000</v>
      </c>
      <c r="AB894" s="242" t="str">
        <f>VLOOKUP(H894,'Fund Utilization Report'!$A$4:$U$1800,15,FALSE)</f>
        <v>Implementation of the MSME Development Plan and other initiatives to promote the growth of Micro, Small and Medium Enterprises</v>
      </c>
      <c r="AC894" s="51"/>
      <c r="AD894" s="435"/>
      <c r="AE894" s="51"/>
      <c r="AF894" s="51"/>
      <c r="AG894" s="442"/>
      <c r="AH894" s="442"/>
      <c r="AI894" s="443"/>
    </row>
    <row r="895" spans="1:35" s="32" customFormat="1">
      <c r="A895" s="434" t="s">
        <v>942</v>
      </c>
      <c r="B895" s="457" t="s">
        <v>946</v>
      </c>
      <c r="C895" s="233">
        <v>44257</v>
      </c>
      <c r="D895" s="435" t="s">
        <v>1267</v>
      </c>
      <c r="E895" s="436" t="s">
        <v>1294</v>
      </c>
      <c r="F895" s="338">
        <v>44259</v>
      </c>
      <c r="G895" s="338">
        <v>0.50347222222222221</v>
      </c>
      <c r="H895" s="338" t="s">
        <v>970</v>
      </c>
      <c r="I895" s="353">
        <v>714</v>
      </c>
      <c r="J895" s="338" t="str">
        <f>IFERROR(VLOOKUP(I895,'Chart of accounts'!A:H,2,FALSE),"")</f>
        <v>50102030 01</v>
      </c>
      <c r="K895" s="338" t="str">
        <f>IFERROR(VLOOKUP(I895,'Chart of accounts'!A:H,3,FALSE),"")</f>
        <v xml:space="preserve">Transportation Allowance  </v>
      </c>
      <c r="L895" s="338" t="str">
        <f>IFERROR(VLOOKUP(I895,'Chart of accounts'!A:H,4,FALSE),"")</f>
        <v>50102030 01 - Transportation Allowance   (714)</v>
      </c>
      <c r="M895" s="354" t="s">
        <v>2</v>
      </c>
      <c r="N895" s="355" t="s">
        <v>802</v>
      </c>
      <c r="O895" s="355" t="s">
        <v>1295</v>
      </c>
      <c r="P895" s="355"/>
      <c r="Q895" s="428">
        <v>5000</v>
      </c>
      <c r="R895" s="319">
        <f t="shared" si="23"/>
        <v>-5000</v>
      </c>
      <c r="S895" s="239" t="str">
        <f>VLOOKUP(H895,'Fund Utilization Report'!$A$4:$U$1800,13,FALSE)</f>
        <v>PS</v>
      </c>
      <c r="T895" s="239" t="str">
        <f>VLOOKUP(H895,'Fund Utilization Report'!$A$4:$U$1800,2,FALSE)</f>
        <v>GAA</v>
      </c>
      <c r="U895" s="239" t="str">
        <f>VLOOKUP(H895,'Fund Utilization Report'!$A$4:$U$1800,3,FALSE)</f>
        <v>FY2021, RA11518</v>
      </c>
      <c r="V895" s="239" t="str">
        <f>VLOOKUP(H895,'Fund Utilization Report'!$A$4:$U$1800,4,FALSE)</f>
        <v>OO3</v>
      </c>
      <c r="W895" s="239" t="str">
        <f>VLOOKUP(H895,'Fund Utilization Report'!$A$4:$U$1800,5,FALSE)</f>
        <v>01101101</v>
      </c>
      <c r="X895" s="239" t="str">
        <f>VLOOKUP(H895,'Fund Utilization Report'!$A$4:$U$1800,6,FALSE)</f>
        <v>GOP</v>
      </c>
      <c r="Y895" s="440" t="str">
        <f>VLOOKUP(H895,'Fund Utilization Report'!$A$4:$U$1800,7,FALSE)</f>
        <v>PS</v>
      </c>
      <c r="Z895" s="441">
        <f>VLOOKUP(H895,'Fund Utilization Report'!$A$4:$U$1800,8,FALSE)</f>
        <v>5010000000</v>
      </c>
      <c r="AA895" s="239" t="str">
        <f>VLOOKUP(H895,'Fund Utilization Report'!$A$4:$U$1800,14,FALSE)</f>
        <v>330100100002000</v>
      </c>
      <c r="AB895" s="242" t="str">
        <f>VLOOKUP(H895,'Fund Utilization Report'!$A$4:$U$1800,15,FALSE)</f>
        <v>Implementation of the MSME Development Plan and other initiatives to promote the growth of Micro, Small and Medium Enterprises</v>
      </c>
      <c r="AC895" s="51"/>
      <c r="AD895" s="435"/>
      <c r="AE895" s="51"/>
      <c r="AF895" s="51"/>
      <c r="AG895" s="442"/>
      <c r="AH895" s="442"/>
      <c r="AI895" s="443"/>
    </row>
    <row r="896" spans="1:35" s="32" customFormat="1">
      <c r="A896" s="434" t="s">
        <v>942</v>
      </c>
      <c r="B896" s="457" t="s">
        <v>946</v>
      </c>
      <c r="C896" s="233">
        <v>44257</v>
      </c>
      <c r="D896" s="435" t="s">
        <v>1267</v>
      </c>
      <c r="E896" s="436" t="s">
        <v>1294</v>
      </c>
      <c r="F896" s="338">
        <v>44259</v>
      </c>
      <c r="G896" s="338">
        <v>0.50347222222222221</v>
      </c>
      <c r="H896" s="338" t="s">
        <v>967</v>
      </c>
      <c r="I896" s="353">
        <v>713</v>
      </c>
      <c r="J896" s="338" t="str">
        <f>IFERROR(VLOOKUP(I896,'Chart of accounts'!A:H,2,FALSE),"")</f>
        <v>50102020 00</v>
      </c>
      <c r="K896" s="338" t="str">
        <f>IFERROR(VLOOKUP(I896,'Chart of accounts'!A:H,3,FALSE),"")</f>
        <v>Representation Allowance</v>
      </c>
      <c r="L896" s="338" t="str">
        <f>IFERROR(VLOOKUP(I896,'Chart of accounts'!A:H,4,FALSE),"")</f>
        <v>50102020 00 - Representation Allowance (713)</v>
      </c>
      <c r="M896" s="354" t="s">
        <v>2</v>
      </c>
      <c r="N896" s="355" t="s">
        <v>803</v>
      </c>
      <c r="O896" s="355" t="s">
        <v>1295</v>
      </c>
      <c r="P896" s="355"/>
      <c r="Q896" s="428">
        <v>5000</v>
      </c>
      <c r="R896" s="319">
        <f t="shared" si="23"/>
        <v>-5000</v>
      </c>
      <c r="S896" s="239" t="str">
        <f>VLOOKUP(H896,'Fund Utilization Report'!$A$4:$U$1800,13,FALSE)</f>
        <v>PS</v>
      </c>
      <c r="T896" s="239" t="str">
        <f>VLOOKUP(H896,'Fund Utilization Report'!$A$4:$U$1800,2,FALSE)</f>
        <v>GAA</v>
      </c>
      <c r="U896" s="239" t="str">
        <f>VLOOKUP(H896,'Fund Utilization Report'!$A$4:$U$1800,3,FALSE)</f>
        <v>FY2021, RA11518</v>
      </c>
      <c r="V896" s="239" t="str">
        <f>VLOOKUP(H896,'Fund Utilization Report'!$A$4:$U$1800,4,FALSE)</f>
        <v>OO2</v>
      </c>
      <c r="W896" s="239" t="str">
        <f>VLOOKUP(H896,'Fund Utilization Report'!$A$4:$U$1800,5,FALSE)</f>
        <v>01101101</v>
      </c>
      <c r="X896" s="239" t="str">
        <f>VLOOKUP(H896,'Fund Utilization Report'!$A$4:$U$1800,6,FALSE)</f>
        <v>GOP</v>
      </c>
      <c r="Y896" s="440" t="str">
        <f>VLOOKUP(H896,'Fund Utilization Report'!$A$4:$U$1800,7,FALSE)</f>
        <v>PS</v>
      </c>
      <c r="Z896" s="441">
        <f>VLOOKUP(H896,'Fund Utilization Report'!$A$4:$U$1800,8,FALSE)</f>
        <v>5010000000</v>
      </c>
      <c r="AA896" s="239" t="str">
        <f>VLOOKUP(H896,'Fund Utilization Report'!$A$4:$U$1800,14,FALSE)</f>
        <v>320100100001000</v>
      </c>
      <c r="AB896" s="242" t="str">
        <f>VLOOKUP(H896,'Fund Utilization Report'!$A$4:$U$1800,15,FALSE)</f>
        <v>Formulation of Strategic plans,programs, and policies to develop competitve industries</v>
      </c>
      <c r="AC896" s="51"/>
      <c r="AD896" s="435"/>
      <c r="AE896" s="51"/>
      <c r="AF896" s="51"/>
      <c r="AG896" s="442"/>
      <c r="AH896" s="442"/>
      <c r="AI896" s="443"/>
    </row>
    <row r="897" spans="1:35" s="32" customFormat="1">
      <c r="A897" s="434" t="s">
        <v>942</v>
      </c>
      <c r="B897" s="457" t="s">
        <v>946</v>
      </c>
      <c r="C897" s="233">
        <v>44257</v>
      </c>
      <c r="D897" s="435" t="s">
        <v>1267</v>
      </c>
      <c r="E897" s="436" t="s">
        <v>1294</v>
      </c>
      <c r="F897" s="338">
        <v>44259</v>
      </c>
      <c r="G897" s="338">
        <v>0.50347222222222221</v>
      </c>
      <c r="H897" s="338" t="s">
        <v>967</v>
      </c>
      <c r="I897" s="353">
        <v>714</v>
      </c>
      <c r="J897" s="338" t="str">
        <f>IFERROR(VLOOKUP(I897,'Chart of accounts'!A:H,2,FALSE),"")</f>
        <v>50102030 01</v>
      </c>
      <c r="K897" s="338" t="str">
        <f>IFERROR(VLOOKUP(I897,'Chart of accounts'!A:H,3,FALSE),"")</f>
        <v xml:space="preserve">Transportation Allowance  </v>
      </c>
      <c r="L897" s="338" t="str">
        <f>IFERROR(VLOOKUP(I897,'Chart of accounts'!A:H,4,FALSE),"")</f>
        <v>50102030 01 - Transportation Allowance   (714)</v>
      </c>
      <c r="M897" s="354" t="s">
        <v>2</v>
      </c>
      <c r="N897" s="355" t="s">
        <v>803</v>
      </c>
      <c r="O897" s="355" t="s">
        <v>1295</v>
      </c>
      <c r="P897" s="355"/>
      <c r="Q897" s="428">
        <v>5000</v>
      </c>
      <c r="R897" s="319">
        <f t="shared" si="23"/>
        <v>-5000</v>
      </c>
      <c r="S897" s="239" t="str">
        <f>VLOOKUP(H897,'Fund Utilization Report'!$A$4:$U$1800,13,FALSE)</f>
        <v>PS</v>
      </c>
      <c r="T897" s="239" t="str">
        <f>VLOOKUP(H897,'Fund Utilization Report'!$A$4:$U$1800,2,FALSE)</f>
        <v>GAA</v>
      </c>
      <c r="U897" s="239" t="str">
        <f>VLOOKUP(H897,'Fund Utilization Report'!$A$4:$U$1800,3,FALSE)</f>
        <v>FY2021, RA11518</v>
      </c>
      <c r="V897" s="239" t="str">
        <f>VLOOKUP(H897,'Fund Utilization Report'!$A$4:$U$1800,4,FALSE)</f>
        <v>OO2</v>
      </c>
      <c r="W897" s="239" t="str">
        <f>VLOOKUP(H897,'Fund Utilization Report'!$A$4:$U$1800,5,FALSE)</f>
        <v>01101101</v>
      </c>
      <c r="X897" s="239" t="str">
        <f>VLOOKUP(H897,'Fund Utilization Report'!$A$4:$U$1800,6,FALSE)</f>
        <v>GOP</v>
      </c>
      <c r="Y897" s="440" t="str">
        <f>VLOOKUP(H897,'Fund Utilization Report'!$A$4:$U$1800,7,FALSE)</f>
        <v>PS</v>
      </c>
      <c r="Z897" s="441">
        <f>VLOOKUP(H897,'Fund Utilization Report'!$A$4:$U$1800,8,FALSE)</f>
        <v>5010000000</v>
      </c>
      <c r="AA897" s="239" t="str">
        <f>VLOOKUP(H897,'Fund Utilization Report'!$A$4:$U$1800,14,FALSE)</f>
        <v>320100100001000</v>
      </c>
      <c r="AB897" s="242" t="str">
        <f>VLOOKUP(H897,'Fund Utilization Report'!$A$4:$U$1800,15,FALSE)</f>
        <v>Formulation of Strategic plans,programs, and policies to develop competitve industries</v>
      </c>
      <c r="AC897" s="51"/>
      <c r="AD897" s="435"/>
      <c r="AE897" s="51"/>
      <c r="AF897" s="51"/>
      <c r="AG897" s="442"/>
      <c r="AH897" s="442"/>
      <c r="AI897" s="443"/>
    </row>
    <row r="898" spans="1:35" s="32" customFormat="1">
      <c r="A898" s="434" t="s">
        <v>942</v>
      </c>
      <c r="B898" s="457" t="s">
        <v>946</v>
      </c>
      <c r="C898" s="233">
        <v>44257</v>
      </c>
      <c r="D898" s="435" t="s">
        <v>1267</v>
      </c>
      <c r="E898" s="436" t="s">
        <v>1294</v>
      </c>
      <c r="F898" s="338">
        <v>44259</v>
      </c>
      <c r="G898" s="338">
        <v>0.50347222222222221</v>
      </c>
      <c r="H898" s="338" t="s">
        <v>960</v>
      </c>
      <c r="I898" s="353">
        <v>713</v>
      </c>
      <c r="J898" s="338" t="str">
        <f>IFERROR(VLOOKUP(I898,'Chart of accounts'!A:H,2,FALSE),"")</f>
        <v>50102020 00</v>
      </c>
      <c r="K898" s="338" t="str">
        <f>IFERROR(VLOOKUP(I898,'Chart of accounts'!A:H,3,FALSE),"")</f>
        <v>Representation Allowance</v>
      </c>
      <c r="L898" s="338" t="str">
        <f>IFERROR(VLOOKUP(I898,'Chart of accounts'!A:H,4,FALSE),"")</f>
        <v>50102020 00 - Representation Allowance (713)</v>
      </c>
      <c r="M898" s="354" t="s">
        <v>2</v>
      </c>
      <c r="N898" s="355" t="s">
        <v>804</v>
      </c>
      <c r="O898" s="355" t="s">
        <v>1295</v>
      </c>
      <c r="P898" s="355"/>
      <c r="Q898" s="428">
        <v>7500</v>
      </c>
      <c r="R898" s="319">
        <f t="shared" si="23"/>
        <v>-7500</v>
      </c>
      <c r="S898" s="239" t="str">
        <f>VLOOKUP(H898,'Fund Utilization Report'!$A$4:$U$1800,13,FALSE)</f>
        <v>PS</v>
      </c>
      <c r="T898" s="239" t="str">
        <f>VLOOKUP(H898,'Fund Utilization Report'!$A$4:$U$1800,2,FALSE)</f>
        <v>GAA</v>
      </c>
      <c r="U898" s="239" t="str">
        <f>VLOOKUP(H898,'Fund Utilization Report'!$A$4:$U$1800,3,FALSE)</f>
        <v>FY2021, RA11518</v>
      </c>
      <c r="V898" s="239" t="str">
        <f>VLOOKUP(H898,'Fund Utilization Report'!$A$4:$U$1800,4,FALSE)</f>
        <v>GAS(GMS)</v>
      </c>
      <c r="W898" s="239" t="str">
        <f>VLOOKUP(H898,'Fund Utilization Report'!$A$4:$U$1800,5,FALSE)</f>
        <v>01101101</v>
      </c>
      <c r="X898" s="239" t="str">
        <f>VLOOKUP(H898,'Fund Utilization Report'!$A$4:$U$1800,6,FALSE)</f>
        <v>GOP</v>
      </c>
      <c r="Y898" s="440" t="str">
        <f>VLOOKUP(H898,'Fund Utilization Report'!$A$4:$U$1800,7,FALSE)</f>
        <v>PS</v>
      </c>
      <c r="Z898" s="441">
        <f>VLOOKUP(H898,'Fund Utilization Report'!$A$4:$U$1800,8,FALSE)</f>
        <v>5010000000</v>
      </c>
      <c r="AA898" s="239" t="str">
        <f>VLOOKUP(H898,'Fund Utilization Report'!$A$4:$U$1800,14,FALSE)</f>
        <v>100000100001000</v>
      </c>
      <c r="AB898" s="242" t="str">
        <f>VLOOKUP(H898,'Fund Utilization Report'!$A$4:$U$1800,15,FALSE)</f>
        <v>General Administration and Supervision - General Management and Supervision</v>
      </c>
      <c r="AC898" s="51"/>
      <c r="AD898" s="435"/>
      <c r="AE898" s="51"/>
      <c r="AF898" s="51"/>
      <c r="AG898" s="442"/>
      <c r="AH898" s="442"/>
      <c r="AI898" s="443"/>
    </row>
    <row r="899" spans="1:35" s="32" customFormat="1">
      <c r="A899" s="434" t="s">
        <v>942</v>
      </c>
      <c r="B899" s="457" t="s">
        <v>946</v>
      </c>
      <c r="C899" s="233">
        <v>44257</v>
      </c>
      <c r="D899" s="435" t="s">
        <v>1267</v>
      </c>
      <c r="E899" s="436" t="s">
        <v>1294</v>
      </c>
      <c r="F899" s="338">
        <v>44259</v>
      </c>
      <c r="G899" s="338">
        <v>0.50347222222222221</v>
      </c>
      <c r="H899" s="338" t="s">
        <v>960</v>
      </c>
      <c r="I899" s="353">
        <v>714</v>
      </c>
      <c r="J899" s="338" t="str">
        <f>IFERROR(VLOOKUP(I899,'Chart of accounts'!A:H,2,FALSE),"")</f>
        <v>50102030 01</v>
      </c>
      <c r="K899" s="338" t="str">
        <f>IFERROR(VLOOKUP(I899,'Chart of accounts'!A:H,3,FALSE),"")</f>
        <v xml:space="preserve">Transportation Allowance  </v>
      </c>
      <c r="L899" s="338" t="str">
        <f>IFERROR(VLOOKUP(I899,'Chart of accounts'!A:H,4,FALSE),"")</f>
        <v>50102030 01 - Transportation Allowance   (714)</v>
      </c>
      <c r="M899" s="354" t="s">
        <v>2</v>
      </c>
      <c r="N899" s="355" t="s">
        <v>804</v>
      </c>
      <c r="O899" s="355" t="s">
        <v>1295</v>
      </c>
      <c r="P899" s="355"/>
      <c r="Q899" s="428">
        <v>7500</v>
      </c>
      <c r="R899" s="319">
        <f t="shared" si="23"/>
        <v>-7500</v>
      </c>
      <c r="S899" s="239" t="str">
        <f>VLOOKUP(H899,'Fund Utilization Report'!$A$4:$U$1800,13,FALSE)</f>
        <v>PS</v>
      </c>
      <c r="T899" s="239" t="str">
        <f>VLOOKUP(H899,'Fund Utilization Report'!$A$4:$U$1800,2,FALSE)</f>
        <v>GAA</v>
      </c>
      <c r="U899" s="239" t="str">
        <f>VLOOKUP(H899,'Fund Utilization Report'!$A$4:$U$1800,3,FALSE)</f>
        <v>FY2021, RA11518</v>
      </c>
      <c r="V899" s="239" t="str">
        <f>VLOOKUP(H899,'Fund Utilization Report'!$A$4:$U$1800,4,FALSE)</f>
        <v>GAS(GMS)</v>
      </c>
      <c r="W899" s="239" t="str">
        <f>VLOOKUP(H899,'Fund Utilization Report'!$A$4:$U$1800,5,FALSE)</f>
        <v>01101101</v>
      </c>
      <c r="X899" s="239" t="str">
        <f>VLOOKUP(H899,'Fund Utilization Report'!$A$4:$U$1800,6,FALSE)</f>
        <v>GOP</v>
      </c>
      <c r="Y899" s="440" t="str">
        <f>VLOOKUP(H899,'Fund Utilization Report'!$A$4:$U$1800,7,FALSE)</f>
        <v>PS</v>
      </c>
      <c r="Z899" s="441">
        <f>VLOOKUP(H899,'Fund Utilization Report'!$A$4:$U$1800,8,FALSE)</f>
        <v>5010000000</v>
      </c>
      <c r="AA899" s="239" t="str">
        <f>VLOOKUP(H899,'Fund Utilization Report'!$A$4:$U$1800,14,FALSE)</f>
        <v>100000100001000</v>
      </c>
      <c r="AB899" s="242" t="str">
        <f>VLOOKUP(H899,'Fund Utilization Report'!$A$4:$U$1800,15,FALSE)</f>
        <v>General Administration and Supervision - General Management and Supervision</v>
      </c>
      <c r="AC899" s="51"/>
      <c r="AD899" s="435"/>
      <c r="AE899" s="51"/>
      <c r="AF899" s="51"/>
      <c r="AG899" s="442"/>
      <c r="AH899" s="442"/>
      <c r="AI899" s="443"/>
    </row>
    <row r="900" spans="1:35" s="32" customFormat="1">
      <c r="A900" s="434" t="s">
        <v>942</v>
      </c>
      <c r="B900" s="457" t="s">
        <v>946</v>
      </c>
      <c r="C900" s="233">
        <v>44257</v>
      </c>
      <c r="D900" s="435" t="s">
        <v>1267</v>
      </c>
      <c r="E900" s="436" t="s">
        <v>1294</v>
      </c>
      <c r="F900" s="338">
        <v>44259</v>
      </c>
      <c r="G900" s="338">
        <v>0.50347222222222221</v>
      </c>
      <c r="H900" s="338" t="s">
        <v>970</v>
      </c>
      <c r="I900" s="353">
        <v>713</v>
      </c>
      <c r="J900" s="338" t="str">
        <f>IFERROR(VLOOKUP(I900,'Chart of accounts'!A:H,2,FALSE),"")</f>
        <v>50102020 00</v>
      </c>
      <c r="K900" s="338" t="str">
        <f>IFERROR(VLOOKUP(I900,'Chart of accounts'!A:H,3,FALSE),"")</f>
        <v>Representation Allowance</v>
      </c>
      <c r="L900" s="338" t="str">
        <f>IFERROR(VLOOKUP(I900,'Chart of accounts'!A:H,4,FALSE),"")</f>
        <v>50102020 00 - Representation Allowance (713)</v>
      </c>
      <c r="M900" s="354" t="s">
        <v>2</v>
      </c>
      <c r="N900" s="355" t="s">
        <v>805</v>
      </c>
      <c r="O900" s="355" t="s">
        <v>1295</v>
      </c>
      <c r="P900" s="355"/>
      <c r="Q900" s="428">
        <v>5000</v>
      </c>
      <c r="R900" s="319">
        <f t="shared" si="23"/>
        <v>-5000</v>
      </c>
      <c r="S900" s="239" t="str">
        <f>VLOOKUP(H900,'Fund Utilization Report'!$A$4:$U$1800,13,FALSE)</f>
        <v>PS</v>
      </c>
      <c r="T900" s="239" t="str">
        <f>VLOOKUP(H900,'Fund Utilization Report'!$A$4:$U$1800,2,FALSE)</f>
        <v>GAA</v>
      </c>
      <c r="U900" s="239" t="str">
        <f>VLOOKUP(H900,'Fund Utilization Report'!$A$4:$U$1800,3,FALSE)</f>
        <v>FY2021, RA11518</v>
      </c>
      <c r="V900" s="239" t="str">
        <f>VLOOKUP(H900,'Fund Utilization Report'!$A$4:$U$1800,4,FALSE)</f>
        <v>OO3</v>
      </c>
      <c r="W900" s="239" t="str">
        <f>VLOOKUP(H900,'Fund Utilization Report'!$A$4:$U$1800,5,FALSE)</f>
        <v>01101101</v>
      </c>
      <c r="X900" s="239" t="str">
        <f>VLOOKUP(H900,'Fund Utilization Report'!$A$4:$U$1800,6,FALSE)</f>
        <v>GOP</v>
      </c>
      <c r="Y900" s="440" t="str">
        <f>VLOOKUP(H900,'Fund Utilization Report'!$A$4:$U$1800,7,FALSE)</f>
        <v>PS</v>
      </c>
      <c r="Z900" s="441">
        <f>VLOOKUP(H900,'Fund Utilization Report'!$A$4:$U$1800,8,FALSE)</f>
        <v>5010000000</v>
      </c>
      <c r="AA900" s="239" t="str">
        <f>VLOOKUP(H900,'Fund Utilization Report'!$A$4:$U$1800,14,FALSE)</f>
        <v>330100100002000</v>
      </c>
      <c r="AB900" s="242" t="str">
        <f>VLOOKUP(H900,'Fund Utilization Report'!$A$4:$U$1800,15,FALSE)</f>
        <v>Implementation of the MSME Development Plan and other initiatives to promote the growth of Micro, Small and Medium Enterprises</v>
      </c>
      <c r="AC900" s="51"/>
      <c r="AD900" s="435"/>
      <c r="AE900" s="51"/>
      <c r="AF900" s="51"/>
      <c r="AG900" s="442"/>
      <c r="AH900" s="442"/>
      <c r="AI900" s="443"/>
    </row>
    <row r="901" spans="1:35" s="32" customFormat="1">
      <c r="A901" s="434" t="s">
        <v>942</v>
      </c>
      <c r="B901" s="457" t="s">
        <v>946</v>
      </c>
      <c r="C901" s="233">
        <v>44257</v>
      </c>
      <c r="D901" s="435" t="s">
        <v>1267</v>
      </c>
      <c r="E901" s="436" t="s">
        <v>1294</v>
      </c>
      <c r="F901" s="338">
        <v>44259</v>
      </c>
      <c r="G901" s="338">
        <v>0.50347222222222221</v>
      </c>
      <c r="H901" s="338" t="s">
        <v>970</v>
      </c>
      <c r="I901" s="353">
        <v>714</v>
      </c>
      <c r="J901" s="338" t="str">
        <f>IFERROR(VLOOKUP(I901,'Chart of accounts'!A:H,2,FALSE),"")</f>
        <v>50102030 01</v>
      </c>
      <c r="K901" s="338" t="str">
        <f>IFERROR(VLOOKUP(I901,'Chart of accounts'!A:H,3,FALSE),"")</f>
        <v xml:space="preserve">Transportation Allowance  </v>
      </c>
      <c r="L901" s="338" t="str">
        <f>IFERROR(VLOOKUP(I901,'Chart of accounts'!A:H,4,FALSE),"")</f>
        <v>50102030 01 - Transportation Allowance   (714)</v>
      </c>
      <c r="M901" s="354" t="s">
        <v>2</v>
      </c>
      <c r="N901" s="355" t="s">
        <v>805</v>
      </c>
      <c r="O901" s="355" t="s">
        <v>1295</v>
      </c>
      <c r="P901" s="355"/>
      <c r="Q901" s="428">
        <v>5000</v>
      </c>
      <c r="R901" s="319">
        <f t="shared" si="23"/>
        <v>-5000</v>
      </c>
      <c r="S901" s="239" t="str">
        <f>VLOOKUP(H901,'Fund Utilization Report'!$A$4:$U$1800,13,FALSE)</f>
        <v>PS</v>
      </c>
      <c r="T901" s="239" t="str">
        <f>VLOOKUP(H901,'Fund Utilization Report'!$A$4:$U$1800,2,FALSE)</f>
        <v>GAA</v>
      </c>
      <c r="U901" s="239" t="str">
        <f>VLOOKUP(H901,'Fund Utilization Report'!$A$4:$U$1800,3,FALSE)</f>
        <v>FY2021, RA11518</v>
      </c>
      <c r="V901" s="239" t="str">
        <f>VLOOKUP(H901,'Fund Utilization Report'!$A$4:$U$1800,4,FALSE)</f>
        <v>OO3</v>
      </c>
      <c r="W901" s="239" t="str">
        <f>VLOOKUP(H901,'Fund Utilization Report'!$A$4:$U$1800,5,FALSE)</f>
        <v>01101101</v>
      </c>
      <c r="X901" s="239" t="str">
        <f>VLOOKUP(H901,'Fund Utilization Report'!$A$4:$U$1800,6,FALSE)</f>
        <v>GOP</v>
      </c>
      <c r="Y901" s="440" t="str">
        <f>VLOOKUP(H901,'Fund Utilization Report'!$A$4:$U$1800,7,FALSE)</f>
        <v>PS</v>
      </c>
      <c r="Z901" s="441">
        <f>VLOOKUP(H901,'Fund Utilization Report'!$A$4:$U$1800,8,FALSE)</f>
        <v>5010000000</v>
      </c>
      <c r="AA901" s="239" t="str">
        <f>VLOOKUP(H901,'Fund Utilization Report'!$A$4:$U$1800,14,FALSE)</f>
        <v>330100100002000</v>
      </c>
      <c r="AB901" s="242" t="str">
        <f>VLOOKUP(H901,'Fund Utilization Report'!$A$4:$U$1800,15,FALSE)</f>
        <v>Implementation of the MSME Development Plan and other initiatives to promote the growth of Micro, Small and Medium Enterprises</v>
      </c>
      <c r="AC901" s="51"/>
      <c r="AD901" s="435"/>
      <c r="AE901" s="51"/>
      <c r="AF901" s="51"/>
      <c r="AG901" s="442"/>
      <c r="AH901" s="442"/>
      <c r="AI901" s="443"/>
    </row>
    <row r="902" spans="1:35" s="32" customFormat="1">
      <c r="A902" s="434" t="s">
        <v>942</v>
      </c>
      <c r="B902" s="457" t="s">
        <v>946</v>
      </c>
      <c r="C902" s="233">
        <v>44257</v>
      </c>
      <c r="D902" s="435" t="s">
        <v>1267</v>
      </c>
      <c r="E902" s="436" t="s">
        <v>1294</v>
      </c>
      <c r="F902" s="338">
        <v>44259</v>
      </c>
      <c r="G902" s="338">
        <v>0.50347222222222221</v>
      </c>
      <c r="H902" s="338" t="s">
        <v>960</v>
      </c>
      <c r="I902" s="353">
        <v>713</v>
      </c>
      <c r="J902" s="338" t="str">
        <f>IFERROR(VLOOKUP(I902,'Chart of accounts'!A:H,2,FALSE),"")</f>
        <v>50102020 00</v>
      </c>
      <c r="K902" s="338" t="str">
        <f>IFERROR(VLOOKUP(I902,'Chart of accounts'!A:H,3,FALSE),"")</f>
        <v>Representation Allowance</v>
      </c>
      <c r="L902" s="338" t="str">
        <f>IFERROR(VLOOKUP(I902,'Chart of accounts'!A:H,4,FALSE),"")</f>
        <v>50102020 00 - Representation Allowance (713)</v>
      </c>
      <c r="M902" s="354" t="s">
        <v>2</v>
      </c>
      <c r="N902" s="355" t="s">
        <v>806</v>
      </c>
      <c r="O902" s="355" t="s">
        <v>1295</v>
      </c>
      <c r="P902" s="355"/>
      <c r="Q902" s="428">
        <v>7500</v>
      </c>
      <c r="R902" s="319">
        <f t="shared" si="23"/>
        <v>-7500</v>
      </c>
      <c r="S902" s="239" t="str">
        <f>VLOOKUP(H902,'Fund Utilization Report'!$A$4:$U$1800,13,FALSE)</f>
        <v>PS</v>
      </c>
      <c r="T902" s="239" t="str">
        <f>VLOOKUP(H902,'Fund Utilization Report'!$A$4:$U$1800,2,FALSE)</f>
        <v>GAA</v>
      </c>
      <c r="U902" s="239" t="str">
        <f>VLOOKUP(H902,'Fund Utilization Report'!$A$4:$U$1800,3,FALSE)</f>
        <v>FY2021, RA11518</v>
      </c>
      <c r="V902" s="239" t="str">
        <f>VLOOKUP(H902,'Fund Utilization Report'!$A$4:$U$1800,4,FALSE)</f>
        <v>GAS(GMS)</v>
      </c>
      <c r="W902" s="239" t="str">
        <f>VLOOKUP(H902,'Fund Utilization Report'!$A$4:$U$1800,5,FALSE)</f>
        <v>01101101</v>
      </c>
      <c r="X902" s="239" t="str">
        <f>VLOOKUP(H902,'Fund Utilization Report'!$A$4:$U$1800,6,FALSE)</f>
        <v>GOP</v>
      </c>
      <c r="Y902" s="440" t="str">
        <f>VLOOKUP(H902,'Fund Utilization Report'!$A$4:$U$1800,7,FALSE)</f>
        <v>PS</v>
      </c>
      <c r="Z902" s="441">
        <f>VLOOKUP(H902,'Fund Utilization Report'!$A$4:$U$1800,8,FALSE)</f>
        <v>5010000000</v>
      </c>
      <c r="AA902" s="239" t="str">
        <f>VLOOKUP(H902,'Fund Utilization Report'!$A$4:$U$1800,14,FALSE)</f>
        <v>100000100001000</v>
      </c>
      <c r="AB902" s="242" t="str">
        <f>VLOOKUP(H902,'Fund Utilization Report'!$A$4:$U$1800,15,FALSE)</f>
        <v>General Administration and Supervision - General Management and Supervision</v>
      </c>
      <c r="AC902" s="51"/>
      <c r="AD902" s="435"/>
      <c r="AE902" s="51"/>
      <c r="AF902" s="51"/>
      <c r="AG902" s="442"/>
      <c r="AH902" s="442"/>
      <c r="AI902" s="443"/>
    </row>
    <row r="903" spans="1:35" s="32" customFormat="1">
      <c r="A903" s="434" t="s">
        <v>942</v>
      </c>
      <c r="B903" s="457" t="s">
        <v>946</v>
      </c>
      <c r="C903" s="233">
        <v>44257</v>
      </c>
      <c r="D903" s="435" t="s">
        <v>1267</v>
      </c>
      <c r="E903" s="436" t="s">
        <v>1294</v>
      </c>
      <c r="F903" s="338">
        <v>44259</v>
      </c>
      <c r="G903" s="338">
        <v>0.50347222222222221</v>
      </c>
      <c r="H903" s="338" t="s">
        <v>960</v>
      </c>
      <c r="I903" s="353">
        <v>714</v>
      </c>
      <c r="J903" s="338" t="str">
        <f>IFERROR(VLOOKUP(I903,'Chart of accounts'!A:H,2,FALSE),"")</f>
        <v>50102030 01</v>
      </c>
      <c r="K903" s="338" t="str">
        <f>IFERROR(VLOOKUP(I903,'Chart of accounts'!A:H,3,FALSE),"")</f>
        <v xml:space="preserve">Transportation Allowance  </v>
      </c>
      <c r="L903" s="338" t="str">
        <f>IFERROR(VLOOKUP(I903,'Chart of accounts'!A:H,4,FALSE),"")</f>
        <v>50102030 01 - Transportation Allowance   (714)</v>
      </c>
      <c r="M903" s="354" t="s">
        <v>2</v>
      </c>
      <c r="N903" s="355" t="s">
        <v>806</v>
      </c>
      <c r="O903" s="355" t="s">
        <v>1295</v>
      </c>
      <c r="P903" s="355"/>
      <c r="Q903" s="428">
        <v>7500</v>
      </c>
      <c r="R903" s="319">
        <f t="shared" si="23"/>
        <v>-7500</v>
      </c>
      <c r="S903" s="239" t="str">
        <f>VLOOKUP(H903,'Fund Utilization Report'!$A$4:$U$1800,13,FALSE)</f>
        <v>PS</v>
      </c>
      <c r="T903" s="239" t="str">
        <f>VLOOKUP(H903,'Fund Utilization Report'!$A$4:$U$1800,2,FALSE)</f>
        <v>GAA</v>
      </c>
      <c r="U903" s="239" t="str">
        <f>VLOOKUP(H903,'Fund Utilization Report'!$A$4:$U$1800,3,FALSE)</f>
        <v>FY2021, RA11518</v>
      </c>
      <c r="V903" s="239" t="str">
        <f>VLOOKUP(H903,'Fund Utilization Report'!$A$4:$U$1800,4,FALSE)</f>
        <v>GAS(GMS)</v>
      </c>
      <c r="W903" s="239" t="str">
        <f>VLOOKUP(H903,'Fund Utilization Report'!$A$4:$U$1800,5,FALSE)</f>
        <v>01101101</v>
      </c>
      <c r="X903" s="239" t="str">
        <f>VLOOKUP(H903,'Fund Utilization Report'!$A$4:$U$1800,6,FALSE)</f>
        <v>GOP</v>
      </c>
      <c r="Y903" s="440" t="str">
        <f>VLOOKUP(H903,'Fund Utilization Report'!$A$4:$U$1800,7,FALSE)</f>
        <v>PS</v>
      </c>
      <c r="Z903" s="441">
        <f>VLOOKUP(H903,'Fund Utilization Report'!$A$4:$U$1800,8,FALSE)</f>
        <v>5010000000</v>
      </c>
      <c r="AA903" s="239" t="str">
        <f>VLOOKUP(H903,'Fund Utilization Report'!$A$4:$U$1800,14,FALSE)</f>
        <v>100000100001000</v>
      </c>
      <c r="AB903" s="242" t="str">
        <f>VLOOKUP(H903,'Fund Utilization Report'!$A$4:$U$1800,15,FALSE)</f>
        <v>General Administration and Supervision - General Management and Supervision</v>
      </c>
      <c r="AC903" s="51"/>
      <c r="AD903" s="435"/>
      <c r="AE903" s="51"/>
      <c r="AF903" s="51"/>
      <c r="AG903" s="442"/>
      <c r="AH903" s="442"/>
      <c r="AI903" s="443"/>
    </row>
    <row r="904" spans="1:35" s="32" customFormat="1" ht="27.6">
      <c r="A904" s="434" t="s">
        <v>942</v>
      </c>
      <c r="B904" s="457" t="s">
        <v>946</v>
      </c>
      <c r="C904" s="233">
        <v>44257</v>
      </c>
      <c r="D904" s="435" t="s">
        <v>1267</v>
      </c>
      <c r="E904" s="436" t="s">
        <v>1296</v>
      </c>
      <c r="F904" s="338">
        <v>0.50347222222222221</v>
      </c>
      <c r="G904" s="338">
        <v>0.50624999999999998</v>
      </c>
      <c r="H904" s="434" t="s">
        <v>961</v>
      </c>
      <c r="I904" s="353">
        <v>799</v>
      </c>
      <c r="J904" s="338" t="str">
        <f>IFERROR(VLOOKUP(I904,'Chart of accounts'!A:H,2,FALSE),"")</f>
        <v>50211990 00</v>
      </c>
      <c r="K904" s="338" t="str">
        <f>IFERROR(VLOOKUP(I904,'Chart of accounts'!A:H,3,FALSE),"")</f>
        <v>Other Professional Services</v>
      </c>
      <c r="L904" s="338" t="str">
        <f>IFERROR(VLOOKUP(I904,'Chart of accounts'!A:H,4,FALSE),"")</f>
        <v>50211990 00 - Other Professional Services (799)</v>
      </c>
      <c r="M904" s="361">
        <v>1</v>
      </c>
      <c r="N904" s="355" t="s">
        <v>1297</v>
      </c>
      <c r="O904" s="355" t="s">
        <v>1298</v>
      </c>
      <c r="P904" s="355"/>
      <c r="Q904" s="363">
        <v>64106</v>
      </c>
      <c r="R904" s="319">
        <f t="shared" si="23"/>
        <v>-64106</v>
      </c>
      <c r="S904" s="239" t="str">
        <f>VLOOKUP(H904,'Fund Utilization Report'!$A$4:$U$1800,13,FALSE)</f>
        <v>MOOE</v>
      </c>
      <c r="T904" s="239" t="str">
        <f>VLOOKUP(H904,'Fund Utilization Report'!$A$4:$U$1800,2,FALSE)</f>
        <v>GAA</v>
      </c>
      <c r="U904" s="239" t="str">
        <f>VLOOKUP(H904,'Fund Utilization Report'!$A$4:$U$1800,3,FALSE)</f>
        <v>FY2021, RA11518</v>
      </c>
      <c r="V904" s="239" t="str">
        <f>VLOOKUP(H904,'Fund Utilization Report'!$A$4:$U$1800,4,FALSE)</f>
        <v>GAS(GMS)</v>
      </c>
      <c r="W904" s="239" t="str">
        <f>VLOOKUP(H904,'Fund Utilization Report'!$A$4:$U$1800,5,FALSE)</f>
        <v>01101101</v>
      </c>
      <c r="X904" s="239" t="str">
        <f>VLOOKUP(H904,'Fund Utilization Report'!$A$4:$U$1800,6,FALSE)</f>
        <v>GOP</v>
      </c>
      <c r="Y904" s="440" t="str">
        <f>VLOOKUP(H904,'Fund Utilization Report'!$A$4:$U$1800,7,FALSE)</f>
        <v>MOOE</v>
      </c>
      <c r="Z904" s="441">
        <f>VLOOKUP(H904,'Fund Utilization Report'!$A$4:$U$1800,8,FALSE)</f>
        <v>5020000000</v>
      </c>
      <c r="AA904" s="239" t="str">
        <f>VLOOKUP(H904,'Fund Utilization Report'!$A$4:$U$1800,14,FALSE)</f>
        <v>100000100001000</v>
      </c>
      <c r="AB904" s="242" t="str">
        <f>VLOOKUP(H904,'Fund Utilization Report'!$A$4:$U$1800,15,FALSE)</f>
        <v>General Administration and Supervision - General Management and Supervision</v>
      </c>
      <c r="AC904" s="51"/>
      <c r="AD904" s="435"/>
      <c r="AE904" s="51"/>
      <c r="AF904" s="51"/>
      <c r="AG904" s="442"/>
      <c r="AH904" s="442"/>
      <c r="AI904" s="443"/>
    </row>
    <row r="905" spans="1:35" s="32" customFormat="1" ht="27.6">
      <c r="A905" s="434" t="s">
        <v>942</v>
      </c>
      <c r="B905" s="457" t="s">
        <v>946</v>
      </c>
      <c r="C905" s="233">
        <v>44257</v>
      </c>
      <c r="D905" s="435" t="s">
        <v>1267</v>
      </c>
      <c r="E905" s="436" t="s">
        <v>1299</v>
      </c>
      <c r="F905" s="338">
        <v>0.50624999999999998</v>
      </c>
      <c r="G905" s="338">
        <v>0.5083333333333333</v>
      </c>
      <c r="H905" s="338" t="s">
        <v>1221</v>
      </c>
      <c r="I905" s="353">
        <v>799</v>
      </c>
      <c r="J905" s="338" t="str">
        <f>IFERROR(VLOOKUP(I905,'Chart of accounts'!A:H,2,FALSE),"")</f>
        <v>50211990 00</v>
      </c>
      <c r="K905" s="338" t="str">
        <f>IFERROR(VLOOKUP(I905,'Chart of accounts'!A:H,3,FALSE),"")</f>
        <v>Other Professional Services</v>
      </c>
      <c r="L905" s="338" t="str">
        <f>IFERROR(VLOOKUP(I905,'Chart of accounts'!A:H,4,FALSE),"")</f>
        <v>50211990 00 - Other Professional Services (799)</v>
      </c>
      <c r="M905" s="361" t="s">
        <v>1011</v>
      </c>
      <c r="N905" s="355" t="s">
        <v>1300</v>
      </c>
      <c r="O905" s="355" t="s">
        <v>1301</v>
      </c>
      <c r="P905" s="355"/>
      <c r="Q905" s="239">
        <v>16332.5</v>
      </c>
      <c r="R905" s="319">
        <f t="shared" si="23"/>
        <v>-16332.5</v>
      </c>
      <c r="S905" s="239" t="str">
        <f>VLOOKUP(H905,'Fund Utilization Report'!$A$4:$U$1800,13,FALSE)</f>
        <v>MOOE</v>
      </c>
      <c r="T905" s="239" t="str">
        <f>VLOOKUP(H905,'Fund Utilization Report'!$A$4:$U$1800,2,FALSE)</f>
        <v>SAA040</v>
      </c>
      <c r="U905" s="239" t="str">
        <f>VLOOKUP(H905,'Fund Utilization Report'!$A$4:$U$1800,3,FALSE)</f>
        <v>21-02-0040</v>
      </c>
      <c r="V905" s="239" t="str">
        <f>VLOOKUP(H905,'Fund Utilization Report'!$A$4:$U$1800,4,FALSE)</f>
        <v>RAPID GOP</v>
      </c>
      <c r="W905" s="239" t="str">
        <f>VLOOKUP(H905,'Fund Utilization Report'!$A$4:$U$1800,5,FALSE)</f>
        <v>01101101</v>
      </c>
      <c r="X905" s="239" t="str">
        <f>VLOOKUP(H905,'Fund Utilization Report'!$A$4:$U$1800,6,FALSE)</f>
        <v>GOP</v>
      </c>
      <c r="Y905" s="440">
        <f>VLOOKUP(H905,'Fund Utilization Report'!$A$4:$U$1800,7,FALSE)</f>
        <v>799</v>
      </c>
      <c r="Z905" s="441">
        <f>VLOOKUP(H905,'Fund Utilization Report'!$A$4:$U$1800,8,FALSE)</f>
        <v>5021199000</v>
      </c>
      <c r="AA905" s="239" t="str">
        <f>VLOOKUP(H905,'Fund Utilization Report'!$A$4:$U$1800,14,FALSE)</f>
        <v>330100300001000</v>
      </c>
      <c r="AB905" s="242" t="str">
        <f>VLOOKUP(H905,'Fund Utilization Report'!$A$4:$U$1800,15,FALSE)</f>
        <v>Rural Agro Enterprise Partnership for Inclusive Development (RAPID) Growth GOP Continuing</v>
      </c>
      <c r="AC905" s="51"/>
      <c r="AD905" s="435"/>
      <c r="AE905" s="51"/>
      <c r="AF905" s="51"/>
      <c r="AG905" s="442"/>
      <c r="AH905" s="442"/>
      <c r="AI905" s="443"/>
    </row>
    <row r="906" spans="1:35" s="32" customFormat="1" ht="27.6">
      <c r="A906" s="434" t="s">
        <v>942</v>
      </c>
      <c r="B906" s="457" t="s">
        <v>946</v>
      </c>
      <c r="C906" s="233">
        <v>44257</v>
      </c>
      <c r="D906" s="435" t="s">
        <v>1267</v>
      </c>
      <c r="E906" s="436" t="s">
        <v>1302</v>
      </c>
      <c r="F906" s="338">
        <v>0.60625000000000007</v>
      </c>
      <c r="G906" s="338">
        <v>0.60902777777777783</v>
      </c>
      <c r="H906" s="338" t="s">
        <v>979</v>
      </c>
      <c r="I906" s="353">
        <v>755</v>
      </c>
      <c r="J906" s="338" t="str">
        <f>IFERROR(VLOOKUP(I906,'Chart of accounts'!A:H,2,FALSE),"")</f>
        <v>50203010 00</v>
      </c>
      <c r="K906" s="338" t="str">
        <f>IFERROR(VLOOKUP(I906,'Chart of accounts'!A:H,3,FALSE),"")</f>
        <v>Office Supplies Expenses</v>
      </c>
      <c r="L906" s="338" t="str">
        <f>IFERROR(VLOOKUP(I906,'Chart of accounts'!A:H,4,FALSE),"")</f>
        <v>50203010 00 - Office Supplies Expenses (755)</v>
      </c>
      <c r="M906" s="361" t="s">
        <v>815</v>
      </c>
      <c r="N906" s="355" t="s">
        <v>1303</v>
      </c>
      <c r="O906" s="355" t="s">
        <v>1304</v>
      </c>
      <c r="P906" s="355"/>
      <c r="Q906" s="363">
        <v>9900</v>
      </c>
      <c r="R906" s="319">
        <f t="shared" si="23"/>
        <v>-9900</v>
      </c>
      <c r="S906" s="239" t="str">
        <f>VLOOKUP(H906,'Fund Utilization Report'!$A$4:$U$1800,13,FALSE)</f>
        <v>MOOE</v>
      </c>
      <c r="T906" s="239" t="str">
        <f>VLOOKUP(H906,'Fund Utilization Report'!$A$4:$U$1800,2,FALSE)</f>
        <v>GAA</v>
      </c>
      <c r="U906" s="239" t="str">
        <f>VLOOKUP(H906,'Fund Utilization Report'!$A$4:$U$1800,3,FALSE)</f>
        <v>FY2021, RA11518</v>
      </c>
      <c r="V906" s="239" t="str">
        <f>VLOOKUP(H906,'Fund Utilization Report'!$A$4:$U$1800,4,FALSE)</f>
        <v>OO 4.2</v>
      </c>
      <c r="W906" s="239" t="str">
        <f>VLOOKUP(H906,'Fund Utilization Report'!$A$4:$U$1800,5,FALSE)</f>
        <v>01101101</v>
      </c>
      <c r="X906" s="239" t="str">
        <f>VLOOKUP(H906,'Fund Utilization Report'!$A$4:$U$1800,6,FALSE)</f>
        <v>GOP</v>
      </c>
      <c r="Y906" s="440" t="str">
        <f>VLOOKUP(H906,'Fund Utilization Report'!$A$4:$U$1800,7,FALSE)</f>
        <v>MOOE</v>
      </c>
      <c r="Z906" s="441">
        <f>VLOOKUP(H906,'Fund Utilization Report'!$A$4:$U$1800,8,FALSE)</f>
        <v>5020000000</v>
      </c>
      <c r="AA906" s="239" t="str">
        <f>VLOOKUP(H906,'Fund Utilization Report'!$A$4:$U$1800,14,FALSE)</f>
        <v>340200100002000</v>
      </c>
      <c r="AB906" s="242" t="str">
        <f>VLOOKUP(H906,'Fund Utilization Report'!$A$4:$U$1800,15,FALSE)</f>
        <v>Implementation of Plans, projects and activities on consumer awareness, education, and advocacy</v>
      </c>
      <c r="AC906" s="51"/>
      <c r="AD906" s="435"/>
      <c r="AE906" s="51"/>
      <c r="AF906" s="51"/>
      <c r="AG906" s="442"/>
      <c r="AH906" s="442"/>
      <c r="AI906" s="443"/>
    </row>
    <row r="907" spans="1:35" s="32" customFormat="1" ht="27.6">
      <c r="A907" s="434" t="s">
        <v>942</v>
      </c>
      <c r="B907" s="457" t="s">
        <v>946</v>
      </c>
      <c r="C907" s="233">
        <v>44257</v>
      </c>
      <c r="D907" s="435" t="s">
        <v>1267</v>
      </c>
      <c r="E907" s="436" t="s">
        <v>1305</v>
      </c>
      <c r="F907" s="338">
        <v>0.60902777777777783</v>
      </c>
      <c r="G907" s="338">
        <v>0.60972222222222217</v>
      </c>
      <c r="H907" s="338" t="s">
        <v>961</v>
      </c>
      <c r="I907" s="353">
        <v>893</v>
      </c>
      <c r="J907" s="338" t="str">
        <f>IFERROR(VLOOKUP(I907,'Chart of accounts'!A:H,2,FALSE),"")</f>
        <v>50215030 00</v>
      </c>
      <c r="K907" s="338" t="str">
        <f>IFERROR(VLOOKUP(I907,'Chart of accounts'!A:H,3,FALSE),"")</f>
        <v>Insurance Expense</v>
      </c>
      <c r="L907" s="338" t="str">
        <f>IFERROR(VLOOKUP(I907,'Chart of accounts'!A:H,4,FALSE),"")</f>
        <v>50215030 00 - Insurance Expense (893)</v>
      </c>
      <c r="M907" s="361">
        <v>1</v>
      </c>
      <c r="N907" s="355" t="s">
        <v>1105</v>
      </c>
      <c r="O907" s="355" t="s">
        <v>1309</v>
      </c>
      <c r="P907" s="355"/>
      <c r="Q907" s="363">
        <v>6617.76</v>
      </c>
      <c r="R907" s="319">
        <f t="shared" si="23"/>
        <v>-6617.76</v>
      </c>
      <c r="S907" s="239" t="str">
        <f>VLOOKUP(H907,'Fund Utilization Report'!$A$4:$U$1800,13,FALSE)</f>
        <v>MOOE</v>
      </c>
      <c r="T907" s="239" t="str">
        <f>VLOOKUP(H907,'Fund Utilization Report'!$A$4:$U$1800,2,FALSE)</f>
        <v>GAA</v>
      </c>
      <c r="U907" s="239" t="str">
        <f>VLOOKUP(H907,'Fund Utilization Report'!$A$4:$U$1800,3,FALSE)</f>
        <v>FY2021, RA11518</v>
      </c>
      <c r="V907" s="239" t="str">
        <f>VLOOKUP(H907,'Fund Utilization Report'!$A$4:$U$1800,4,FALSE)</f>
        <v>GAS(GMS)</v>
      </c>
      <c r="W907" s="239" t="str">
        <f>VLOOKUP(H907,'Fund Utilization Report'!$A$4:$U$1800,5,FALSE)</f>
        <v>01101101</v>
      </c>
      <c r="X907" s="239" t="str">
        <f>VLOOKUP(H907,'Fund Utilization Report'!$A$4:$U$1800,6,FALSE)</f>
        <v>GOP</v>
      </c>
      <c r="Y907" s="440" t="str">
        <f>VLOOKUP(H907,'Fund Utilization Report'!$A$4:$U$1800,7,FALSE)</f>
        <v>MOOE</v>
      </c>
      <c r="Z907" s="441">
        <f>VLOOKUP(H907,'Fund Utilization Report'!$A$4:$U$1800,8,FALSE)</f>
        <v>5020000000</v>
      </c>
      <c r="AA907" s="239" t="str">
        <f>VLOOKUP(H907,'Fund Utilization Report'!$A$4:$U$1800,14,FALSE)</f>
        <v>100000100001000</v>
      </c>
      <c r="AB907" s="242" t="str">
        <f>VLOOKUP(H907,'Fund Utilization Report'!$A$4:$U$1800,15,FALSE)</f>
        <v>General Administration and Supervision - General Management and Supervision</v>
      </c>
      <c r="AC907" s="51"/>
      <c r="AD907" s="435"/>
      <c r="AE907" s="51"/>
      <c r="AF907" s="51"/>
      <c r="AG907" s="442"/>
      <c r="AH907" s="442"/>
      <c r="AI907" s="443"/>
    </row>
    <row r="908" spans="1:35" s="32" customFormat="1" ht="27.6">
      <c r="A908" s="434" t="s">
        <v>942</v>
      </c>
      <c r="B908" s="457" t="s">
        <v>946</v>
      </c>
      <c r="C908" s="233">
        <v>44257</v>
      </c>
      <c r="D908" s="435" t="s">
        <v>1267</v>
      </c>
      <c r="E908" s="436" t="s">
        <v>1306</v>
      </c>
      <c r="F908" s="338">
        <v>0.60972222222222217</v>
      </c>
      <c r="G908" s="338">
        <v>0.6118055555555556</v>
      </c>
      <c r="H908" s="338" t="s">
        <v>961</v>
      </c>
      <c r="I908" s="353">
        <v>891</v>
      </c>
      <c r="J908" s="338" t="str">
        <f>IFERROR(VLOOKUP(I908,'Chart of accounts'!A:H,2,FALSE),"")</f>
        <v>50215010 01</v>
      </c>
      <c r="K908" s="338" t="str">
        <f>IFERROR(VLOOKUP(I908,'Chart of accounts'!A:H,3,FALSE),"")</f>
        <v>Taxes, Duties and Licenses</v>
      </c>
      <c r="L908" s="338" t="str">
        <f>IFERROR(VLOOKUP(I908,'Chart of accounts'!A:H,4,FALSE),"")</f>
        <v>50215010 01 - Taxes, Duties and Licenses (891)</v>
      </c>
      <c r="M908" s="361">
        <v>1</v>
      </c>
      <c r="N908" s="355" t="s">
        <v>1307</v>
      </c>
      <c r="O908" s="355" t="s">
        <v>1308</v>
      </c>
      <c r="P908" s="355"/>
      <c r="Q908" s="363">
        <v>2179.06</v>
      </c>
      <c r="R908" s="319">
        <f t="shared" si="23"/>
        <v>-2179.06</v>
      </c>
      <c r="S908" s="239" t="str">
        <f>VLOOKUP(H908,'Fund Utilization Report'!$A$4:$U$1800,13,FALSE)</f>
        <v>MOOE</v>
      </c>
      <c r="T908" s="239" t="str">
        <f>VLOOKUP(H908,'Fund Utilization Report'!$A$4:$U$1800,2,FALSE)</f>
        <v>GAA</v>
      </c>
      <c r="U908" s="239" t="str">
        <f>VLOOKUP(H908,'Fund Utilization Report'!$A$4:$U$1800,3,FALSE)</f>
        <v>FY2021, RA11518</v>
      </c>
      <c r="V908" s="239" t="str">
        <f>VLOOKUP(H908,'Fund Utilization Report'!$A$4:$U$1800,4,FALSE)</f>
        <v>GAS(GMS)</v>
      </c>
      <c r="W908" s="239" t="str">
        <f>VLOOKUP(H908,'Fund Utilization Report'!$A$4:$U$1800,5,FALSE)</f>
        <v>01101101</v>
      </c>
      <c r="X908" s="239" t="str">
        <f>VLOOKUP(H908,'Fund Utilization Report'!$A$4:$U$1800,6,FALSE)</f>
        <v>GOP</v>
      </c>
      <c r="Y908" s="440" t="str">
        <f>VLOOKUP(H908,'Fund Utilization Report'!$A$4:$U$1800,7,FALSE)</f>
        <v>MOOE</v>
      </c>
      <c r="Z908" s="441">
        <f>VLOOKUP(H908,'Fund Utilization Report'!$A$4:$U$1800,8,FALSE)</f>
        <v>5020000000</v>
      </c>
      <c r="AA908" s="239" t="str">
        <f>VLOOKUP(H908,'Fund Utilization Report'!$A$4:$U$1800,14,FALSE)</f>
        <v>100000100001000</v>
      </c>
      <c r="AB908" s="242" t="str">
        <f>VLOOKUP(H908,'Fund Utilization Report'!$A$4:$U$1800,15,FALSE)</f>
        <v>General Administration and Supervision - General Management and Supervision</v>
      </c>
      <c r="AC908" s="51"/>
      <c r="AD908" s="435"/>
      <c r="AE908" s="51"/>
      <c r="AF908" s="51"/>
      <c r="AG908" s="442"/>
      <c r="AH908" s="442"/>
      <c r="AI908" s="443"/>
    </row>
    <row r="909" spans="1:35" s="32" customFormat="1">
      <c r="A909" s="434" t="s">
        <v>942</v>
      </c>
      <c r="B909" s="457" t="s">
        <v>946</v>
      </c>
      <c r="C909" s="233">
        <v>44257</v>
      </c>
      <c r="D909" s="435" t="s">
        <v>1267</v>
      </c>
      <c r="E909" s="436" t="s">
        <v>1310</v>
      </c>
      <c r="F909" s="338">
        <v>0.6118055555555556</v>
      </c>
      <c r="G909" s="338">
        <v>0.61249999999999993</v>
      </c>
      <c r="H909" s="338" t="s">
        <v>968</v>
      </c>
      <c r="I909" s="353">
        <v>755</v>
      </c>
      <c r="J909" s="338" t="str">
        <f>IFERROR(VLOOKUP(I909,'Chart of accounts'!A:H,2,FALSE),"")</f>
        <v>50203010 00</v>
      </c>
      <c r="K909" s="338" t="str">
        <f>IFERROR(VLOOKUP(I909,'Chart of accounts'!A:H,3,FALSE),"")</f>
        <v>Office Supplies Expenses</v>
      </c>
      <c r="L909" s="338" t="str">
        <f>IFERROR(VLOOKUP(I909,'Chart of accounts'!A:H,4,FALSE),"")</f>
        <v>50203010 00 - Office Supplies Expenses (755)</v>
      </c>
      <c r="M909" s="361" t="s">
        <v>814</v>
      </c>
      <c r="N909" s="355" t="s">
        <v>1038</v>
      </c>
      <c r="O909" s="355" t="s">
        <v>1311</v>
      </c>
      <c r="P909" s="355"/>
      <c r="Q909" s="363">
        <v>3075</v>
      </c>
      <c r="R909" s="319">
        <f t="shared" si="23"/>
        <v>-3075</v>
      </c>
      <c r="S909" s="239" t="str">
        <f>VLOOKUP(H909,'Fund Utilization Report'!$A$4:$U$1800,13,FALSE)</f>
        <v>MOOE</v>
      </c>
      <c r="T909" s="239" t="str">
        <f>VLOOKUP(H909,'Fund Utilization Report'!$A$4:$U$1800,2,FALSE)</f>
        <v>GAA</v>
      </c>
      <c r="U909" s="239" t="str">
        <f>VLOOKUP(H909,'Fund Utilization Report'!$A$4:$U$1800,3,FALSE)</f>
        <v>FY2021, RA11518</v>
      </c>
      <c r="V909" s="239" t="str">
        <f>VLOOKUP(H909,'Fund Utilization Report'!$A$4:$U$1800,4,FALSE)</f>
        <v>OO2</v>
      </c>
      <c r="W909" s="239" t="str">
        <f>VLOOKUP(H909,'Fund Utilization Report'!$A$4:$U$1800,5,FALSE)</f>
        <v>01101101</v>
      </c>
      <c r="X909" s="239" t="str">
        <f>VLOOKUP(H909,'Fund Utilization Report'!$A$4:$U$1800,6,FALSE)</f>
        <v>GOP</v>
      </c>
      <c r="Y909" s="440" t="str">
        <f>VLOOKUP(H909,'Fund Utilization Report'!$A$4:$U$1800,7,FALSE)</f>
        <v>MOOE</v>
      </c>
      <c r="Z909" s="441">
        <f>VLOOKUP(H909,'Fund Utilization Report'!$A$4:$U$1800,8,FALSE)</f>
        <v>5020000000</v>
      </c>
      <c r="AA909" s="239" t="str">
        <f>VLOOKUP(H909,'Fund Utilization Report'!$A$4:$U$1800,14,FALSE)</f>
        <v>320100100001000</v>
      </c>
      <c r="AB909" s="242" t="str">
        <f>VLOOKUP(H909,'Fund Utilization Report'!$A$4:$U$1800,15,FALSE)</f>
        <v>Formulation of Strategic plans,programs, and policies to develop competitve industries</v>
      </c>
      <c r="AC909" s="51"/>
      <c r="AD909" s="435"/>
      <c r="AE909" s="51"/>
      <c r="AF909" s="51"/>
      <c r="AG909" s="442"/>
      <c r="AH909" s="442"/>
      <c r="AI909" s="443"/>
    </row>
    <row r="910" spans="1:35" s="32" customFormat="1" ht="27.6">
      <c r="A910" s="434" t="s">
        <v>942</v>
      </c>
      <c r="B910" s="457" t="s">
        <v>946</v>
      </c>
      <c r="C910" s="233">
        <v>44257</v>
      </c>
      <c r="D910" s="435" t="s">
        <v>1267</v>
      </c>
      <c r="E910" s="436" t="s">
        <v>1312</v>
      </c>
      <c r="F910" s="338">
        <v>0.61249999999999993</v>
      </c>
      <c r="G910" s="338">
        <v>0.61597222222222225</v>
      </c>
      <c r="H910" s="338" t="s">
        <v>968</v>
      </c>
      <c r="I910" s="353">
        <v>773</v>
      </c>
      <c r="J910" s="338" t="str">
        <f>IFERROR(VLOOKUP(I910,'Chart of accounts'!A:H,2,FALSE),"")</f>
        <v>50205020 01</v>
      </c>
      <c r="K910" s="338" t="str">
        <f>IFERROR(VLOOKUP(I910,'Chart of accounts'!A:H,3,FALSE),"")</f>
        <v xml:space="preserve">Telephone Expenses - Mobile </v>
      </c>
      <c r="L910" s="338" t="str">
        <f>IFERROR(VLOOKUP(I910,'Chart of accounts'!A:H,4,FALSE),"")</f>
        <v>50205020 01 - Telephone Expenses - Mobile  (773)</v>
      </c>
      <c r="M910" s="361" t="s">
        <v>814</v>
      </c>
      <c r="N910" s="355" t="s">
        <v>1245</v>
      </c>
      <c r="O910" s="355" t="s">
        <v>1313</v>
      </c>
      <c r="P910" s="355"/>
      <c r="Q910" s="363">
        <v>3048</v>
      </c>
      <c r="R910" s="319">
        <f t="shared" si="23"/>
        <v>-3048</v>
      </c>
      <c r="S910" s="239" t="str">
        <f>VLOOKUP(H910,'Fund Utilization Report'!$A$4:$U$1800,13,FALSE)</f>
        <v>MOOE</v>
      </c>
      <c r="T910" s="239" t="str">
        <f>VLOOKUP(H910,'Fund Utilization Report'!$A$4:$U$1800,2,FALSE)</f>
        <v>GAA</v>
      </c>
      <c r="U910" s="239" t="str">
        <f>VLOOKUP(H910,'Fund Utilization Report'!$A$4:$U$1800,3,FALSE)</f>
        <v>FY2021, RA11518</v>
      </c>
      <c r="V910" s="239" t="str">
        <f>VLOOKUP(H910,'Fund Utilization Report'!$A$4:$U$1800,4,FALSE)</f>
        <v>OO2</v>
      </c>
      <c r="W910" s="239" t="str">
        <f>VLOOKUP(H910,'Fund Utilization Report'!$A$4:$U$1800,5,FALSE)</f>
        <v>01101101</v>
      </c>
      <c r="X910" s="239" t="str">
        <f>VLOOKUP(H910,'Fund Utilization Report'!$A$4:$U$1800,6,FALSE)</f>
        <v>GOP</v>
      </c>
      <c r="Y910" s="440" t="str">
        <f>VLOOKUP(H910,'Fund Utilization Report'!$A$4:$U$1800,7,FALSE)</f>
        <v>MOOE</v>
      </c>
      <c r="Z910" s="441">
        <f>VLOOKUP(H910,'Fund Utilization Report'!$A$4:$U$1800,8,FALSE)</f>
        <v>5020000000</v>
      </c>
      <c r="AA910" s="239" t="str">
        <f>VLOOKUP(H910,'Fund Utilization Report'!$A$4:$U$1800,14,FALSE)</f>
        <v>320100100001000</v>
      </c>
      <c r="AB910" s="242" t="str">
        <f>VLOOKUP(H910,'Fund Utilization Report'!$A$4:$U$1800,15,FALSE)</f>
        <v>Formulation of Strategic plans,programs, and policies to develop competitve industries</v>
      </c>
      <c r="AC910" s="51"/>
      <c r="AD910" s="435"/>
      <c r="AE910" s="51"/>
      <c r="AF910" s="51"/>
      <c r="AG910" s="442"/>
      <c r="AH910" s="442"/>
      <c r="AI910" s="443"/>
    </row>
    <row r="911" spans="1:35" s="411" customFormat="1" ht="27.6">
      <c r="A911" s="405" t="s">
        <v>942</v>
      </c>
      <c r="B911" s="488" t="s">
        <v>946</v>
      </c>
      <c r="C911" s="402">
        <v>44257</v>
      </c>
      <c r="D911" s="403" t="s">
        <v>1267</v>
      </c>
      <c r="E911" s="404" t="s">
        <v>1314</v>
      </c>
      <c r="F911" s="405">
        <v>0.61597222222222225</v>
      </c>
      <c r="G911" s="405">
        <v>0.61736111111111114</v>
      </c>
      <c r="H911" s="405" t="s">
        <v>961</v>
      </c>
      <c r="I911" s="416">
        <v>767</v>
      </c>
      <c r="J911" s="405" t="str">
        <f>IFERROR(VLOOKUP(I911,'Chart of accounts'!A:H,2,FALSE),"")</f>
        <v>50204020 00</v>
      </c>
      <c r="K911" s="405" t="str">
        <f>IFERROR(VLOOKUP(I911,'Chart of accounts'!A:H,3,FALSE),"")</f>
        <v>Electricity Expense</v>
      </c>
      <c r="L911" s="405" t="str">
        <f>IFERROR(VLOOKUP(I911,'Chart of accounts'!A:H,4,FALSE),"")</f>
        <v>50204020 00 - Electricity Expense (767)</v>
      </c>
      <c r="M911" s="408">
        <v>1</v>
      </c>
      <c r="N911" s="409" t="s">
        <v>1315</v>
      </c>
      <c r="O911" s="409" t="s">
        <v>1316</v>
      </c>
      <c r="P911" s="409"/>
      <c r="Q911" s="65">
        <f>86607.18-10000-76607.18</f>
        <v>0</v>
      </c>
      <c r="R911" s="63">
        <f t="shared" si="23"/>
        <v>0</v>
      </c>
      <c r="S911" s="63" t="str">
        <f>VLOOKUP(H911,'Fund Utilization Report'!$A$4:$U$1800,13,FALSE)</f>
        <v>MOOE</v>
      </c>
      <c r="T911" s="63" t="str">
        <f>VLOOKUP(H911,'Fund Utilization Report'!$A$4:$U$1800,2,FALSE)</f>
        <v>GAA</v>
      </c>
      <c r="U911" s="63" t="str">
        <f>VLOOKUP(H911,'Fund Utilization Report'!$A$4:$U$1800,3,FALSE)</f>
        <v>FY2021, RA11518</v>
      </c>
      <c r="V911" s="63" t="str">
        <f>VLOOKUP(H911,'Fund Utilization Report'!$A$4:$U$1800,4,FALSE)</f>
        <v>GAS(GMS)</v>
      </c>
      <c r="W911" s="63" t="str">
        <f>VLOOKUP(H911,'Fund Utilization Report'!$A$4:$U$1800,5,FALSE)</f>
        <v>01101101</v>
      </c>
      <c r="X911" s="63" t="str">
        <f>VLOOKUP(H911,'Fund Utilization Report'!$A$4:$U$1800,6,FALSE)</f>
        <v>GOP</v>
      </c>
      <c r="Y911" s="417" t="str">
        <f>VLOOKUP(H911,'Fund Utilization Report'!$A$4:$U$1800,7,FALSE)</f>
        <v>MOOE</v>
      </c>
      <c r="Z911" s="418">
        <f>VLOOKUP(H911,'Fund Utilization Report'!$A$4:$U$1800,8,FALSE)</f>
        <v>5020000000</v>
      </c>
      <c r="AA911" s="63" t="str">
        <f>VLOOKUP(H911,'Fund Utilization Report'!$A$4:$U$1800,14,FALSE)</f>
        <v>100000100001000</v>
      </c>
      <c r="AB911" s="419" t="str">
        <f>VLOOKUP(H911,'Fund Utilization Report'!$A$4:$U$1800,15,FALSE)</f>
        <v>General Administration and Supervision - General Management and Supervision</v>
      </c>
      <c r="AC911" s="406"/>
      <c r="AD911" s="403"/>
      <c r="AE911" s="406"/>
      <c r="AF911" s="406"/>
      <c r="AG911" s="407"/>
      <c r="AH911" s="407"/>
    </row>
    <row r="912" spans="1:35" s="411" customFormat="1" ht="27.6">
      <c r="A912" s="405" t="s">
        <v>942</v>
      </c>
      <c r="B912" s="488" t="s">
        <v>946</v>
      </c>
      <c r="C912" s="402">
        <v>44257</v>
      </c>
      <c r="D912" s="403" t="s">
        <v>1267</v>
      </c>
      <c r="E912" s="404" t="s">
        <v>1314</v>
      </c>
      <c r="F912" s="405">
        <v>0.61597222222222225</v>
      </c>
      <c r="G912" s="405">
        <v>0.61736111111111114</v>
      </c>
      <c r="H912" s="405" t="s">
        <v>980</v>
      </c>
      <c r="I912" s="416">
        <v>767</v>
      </c>
      <c r="J912" s="405" t="str">
        <f>IFERROR(VLOOKUP(I912,'Chart of accounts'!A:H,2,FALSE),"")</f>
        <v>50204020 00</v>
      </c>
      <c r="K912" s="405" t="str">
        <f>IFERROR(VLOOKUP(I912,'Chart of accounts'!A:H,3,FALSE),"")</f>
        <v>Electricity Expense</v>
      </c>
      <c r="L912" s="405" t="str">
        <f>IFERROR(VLOOKUP(I912,'Chart of accounts'!A:H,4,FALSE),"")</f>
        <v>50204020 00 - Electricity Expense (767)</v>
      </c>
      <c r="M912" s="408">
        <v>1</v>
      </c>
      <c r="N912" s="409" t="s">
        <v>1315</v>
      </c>
      <c r="O912" s="409" t="s">
        <v>1316</v>
      </c>
      <c r="P912" s="409"/>
      <c r="Q912" s="65">
        <f>10000-10000</f>
        <v>0</v>
      </c>
      <c r="R912" s="63">
        <f t="shared" si="23"/>
        <v>0</v>
      </c>
      <c r="S912" s="63" t="str">
        <f>VLOOKUP(H912,'Fund Utilization Report'!$A$4:$U$1800,13,FALSE)</f>
        <v>MOOE</v>
      </c>
      <c r="T912" s="63" t="str">
        <f>VLOOKUP(H912,'Fund Utilization Report'!$A$4:$U$1800,2,FALSE)</f>
        <v>GAA</v>
      </c>
      <c r="U912" s="63" t="str">
        <f>VLOOKUP(H912,'Fund Utilization Report'!$A$4:$U$1800,3,FALSE)</f>
        <v>FY2021, RA11518</v>
      </c>
      <c r="V912" s="63" t="str">
        <f>VLOOKUP(H912,'Fund Utilization Report'!$A$4:$U$1800,4,FALSE)</f>
        <v>NC</v>
      </c>
      <c r="W912" s="63" t="str">
        <f>VLOOKUP(H912,'Fund Utilization Report'!$A$4:$U$1800,5,FALSE)</f>
        <v>01101101</v>
      </c>
      <c r="X912" s="63" t="str">
        <f>VLOOKUP(H912,'Fund Utilization Report'!$A$4:$U$1800,6,FALSE)</f>
        <v>GOP</v>
      </c>
      <c r="Y912" s="417" t="str">
        <f>VLOOKUP(H912,'Fund Utilization Report'!$A$4:$U$1800,7,FALSE)</f>
        <v>MOOE</v>
      </c>
      <c r="Z912" s="418">
        <f>VLOOKUP(H912,'Fund Utilization Report'!$A$4:$U$1800,8,FALSE)</f>
        <v>5020000000</v>
      </c>
      <c r="AA912" s="63" t="str">
        <f>VLOOKUP(H912,'Fund Utilization Report'!$A$4:$U$1800,14,FALSE)</f>
        <v>330100200001000</v>
      </c>
      <c r="AB912" s="419" t="str">
        <f>VLOOKUP(H912,'Fund Utilization Report'!$A$4:$U$1800,15,FALSE)</f>
        <v>Establishment of Negosyo Centers</v>
      </c>
      <c r="AC912" s="406"/>
      <c r="AD912" s="403"/>
      <c r="AE912" s="406"/>
      <c r="AF912" s="406"/>
      <c r="AG912" s="407"/>
      <c r="AH912" s="407"/>
    </row>
    <row r="913" spans="1:35" s="32" customFormat="1" ht="27.6">
      <c r="A913" s="434" t="s">
        <v>942</v>
      </c>
      <c r="B913" s="457" t="s">
        <v>946</v>
      </c>
      <c r="C913" s="233">
        <v>44257</v>
      </c>
      <c r="D913" s="435" t="s">
        <v>1267</v>
      </c>
      <c r="E913" s="436" t="s">
        <v>1317</v>
      </c>
      <c r="F913" s="338">
        <v>0.61736111111111114</v>
      </c>
      <c r="G913" s="338">
        <v>0.62013888888888891</v>
      </c>
      <c r="H913" s="338" t="s">
        <v>961</v>
      </c>
      <c r="I913" s="353">
        <v>775</v>
      </c>
      <c r="J913" s="338" t="str">
        <f>IFERROR(VLOOKUP(I913,'Chart of accounts'!A:H,2,FALSE),"")</f>
        <v>50205040 00</v>
      </c>
      <c r="K913" s="338" t="str">
        <f>IFERROR(VLOOKUP(I913,'Chart of accounts'!A:H,3,FALSE),"")</f>
        <v>Cable, Satellite, Telegraph, and Radio Expenses</v>
      </c>
      <c r="L913" s="338" t="str">
        <f>IFERROR(VLOOKUP(I913,'Chart of accounts'!A:H,4,FALSE),"")</f>
        <v>50205040 00 - Cable, Satellite, Telegraph, and Radio Expenses (775)</v>
      </c>
      <c r="M913" s="361">
        <v>1</v>
      </c>
      <c r="N913" s="355" t="s">
        <v>794</v>
      </c>
      <c r="O913" s="355" t="s">
        <v>1318</v>
      </c>
      <c r="P913" s="355"/>
      <c r="Q913" s="363">
        <v>1080</v>
      </c>
      <c r="R913" s="319">
        <f t="shared" si="23"/>
        <v>-1080</v>
      </c>
      <c r="S913" s="239" t="str">
        <f>VLOOKUP(H913,'Fund Utilization Report'!$A$4:$U$1800,13,FALSE)</f>
        <v>MOOE</v>
      </c>
      <c r="T913" s="239" t="str">
        <f>VLOOKUP(H913,'Fund Utilization Report'!$A$4:$U$1800,2,FALSE)</f>
        <v>GAA</v>
      </c>
      <c r="U913" s="239" t="str">
        <f>VLOOKUP(H913,'Fund Utilization Report'!$A$4:$U$1800,3,FALSE)</f>
        <v>FY2021, RA11518</v>
      </c>
      <c r="V913" s="239" t="str">
        <f>VLOOKUP(H913,'Fund Utilization Report'!$A$4:$U$1800,4,FALSE)</f>
        <v>GAS(GMS)</v>
      </c>
      <c r="W913" s="239" t="str">
        <f>VLOOKUP(H913,'Fund Utilization Report'!$A$4:$U$1800,5,FALSE)</f>
        <v>01101101</v>
      </c>
      <c r="X913" s="239" t="str">
        <f>VLOOKUP(H913,'Fund Utilization Report'!$A$4:$U$1800,6,FALSE)</f>
        <v>GOP</v>
      </c>
      <c r="Y913" s="440" t="str">
        <f>VLOOKUP(H913,'Fund Utilization Report'!$A$4:$U$1800,7,FALSE)</f>
        <v>MOOE</v>
      </c>
      <c r="Z913" s="441">
        <f>VLOOKUP(H913,'Fund Utilization Report'!$A$4:$U$1800,8,FALSE)</f>
        <v>5020000000</v>
      </c>
      <c r="AA913" s="239" t="str">
        <f>VLOOKUP(H913,'Fund Utilization Report'!$A$4:$U$1800,14,FALSE)</f>
        <v>100000100001000</v>
      </c>
      <c r="AB913" s="242" t="str">
        <f>VLOOKUP(H913,'Fund Utilization Report'!$A$4:$U$1800,15,FALSE)</f>
        <v>General Administration and Supervision - General Management and Supervision</v>
      </c>
      <c r="AC913" s="51"/>
      <c r="AD913" s="435"/>
      <c r="AE913" s="51"/>
      <c r="AF913" s="51"/>
      <c r="AG913" s="442"/>
      <c r="AH913" s="442"/>
      <c r="AI913" s="443"/>
    </row>
    <row r="914" spans="1:35" s="32" customFormat="1">
      <c r="A914" s="434" t="s">
        <v>942</v>
      </c>
      <c r="B914" s="457" t="s">
        <v>946</v>
      </c>
      <c r="C914" s="233">
        <v>44257</v>
      </c>
      <c r="D914" s="435" t="s">
        <v>1267</v>
      </c>
      <c r="E914" s="436" t="s">
        <v>1319</v>
      </c>
      <c r="F914" s="338">
        <v>0.62013888888888891</v>
      </c>
      <c r="G914" s="338">
        <v>0.62430555555555556</v>
      </c>
      <c r="H914" s="338" t="s">
        <v>961</v>
      </c>
      <c r="I914" s="353">
        <v>782</v>
      </c>
      <c r="J914" s="338" t="str">
        <f>IFERROR(VLOOKUP(I914,'Chart of accounts'!A:H,2,FALSE),"")</f>
        <v>50299050 01</v>
      </c>
      <c r="K914" s="338" t="str">
        <f>IFERROR(VLOOKUP(I914,'Chart of accounts'!A:H,3,FALSE),"")</f>
        <v>Rent - Buildings and Structures</v>
      </c>
      <c r="L914" s="338" t="str">
        <f>IFERROR(VLOOKUP(I914,'Chart of accounts'!A:H,4,FALSE),"")</f>
        <v>50299050 01 - Rent - Buildings and Structures (782)</v>
      </c>
      <c r="M914" s="361">
        <v>1</v>
      </c>
      <c r="N914" s="355" t="s">
        <v>852</v>
      </c>
      <c r="O914" s="355" t="s">
        <v>1320</v>
      </c>
      <c r="P914" s="355"/>
      <c r="Q914" s="363">
        <v>8800</v>
      </c>
      <c r="R914" s="319">
        <f t="shared" si="23"/>
        <v>-8800</v>
      </c>
      <c r="S914" s="239" t="str">
        <f>VLOOKUP(H914,'Fund Utilization Report'!$A$4:$U$1800,13,FALSE)</f>
        <v>MOOE</v>
      </c>
      <c r="T914" s="239" t="str">
        <f>VLOOKUP(H914,'Fund Utilization Report'!$A$4:$U$1800,2,FALSE)</f>
        <v>GAA</v>
      </c>
      <c r="U914" s="239" t="str">
        <f>VLOOKUP(H914,'Fund Utilization Report'!$A$4:$U$1800,3,FALSE)</f>
        <v>FY2021, RA11518</v>
      </c>
      <c r="V914" s="239" t="str">
        <f>VLOOKUP(H914,'Fund Utilization Report'!$A$4:$U$1800,4,FALSE)</f>
        <v>GAS(GMS)</v>
      </c>
      <c r="W914" s="239" t="str">
        <f>VLOOKUP(H914,'Fund Utilization Report'!$A$4:$U$1800,5,FALSE)</f>
        <v>01101101</v>
      </c>
      <c r="X914" s="239" t="str">
        <f>VLOOKUP(H914,'Fund Utilization Report'!$A$4:$U$1800,6,FALSE)</f>
        <v>GOP</v>
      </c>
      <c r="Y914" s="440" t="str">
        <f>VLOOKUP(H914,'Fund Utilization Report'!$A$4:$U$1800,7,FALSE)</f>
        <v>MOOE</v>
      </c>
      <c r="Z914" s="441">
        <f>VLOOKUP(H914,'Fund Utilization Report'!$A$4:$U$1800,8,FALSE)</f>
        <v>5020000000</v>
      </c>
      <c r="AA914" s="239" t="str">
        <f>VLOOKUP(H914,'Fund Utilization Report'!$A$4:$U$1800,14,FALSE)</f>
        <v>100000100001000</v>
      </c>
      <c r="AB914" s="242" t="str">
        <f>VLOOKUP(H914,'Fund Utilization Report'!$A$4:$U$1800,15,FALSE)</f>
        <v>General Administration and Supervision - General Management and Supervision</v>
      </c>
      <c r="AC914" s="51"/>
      <c r="AD914" s="435"/>
      <c r="AE914" s="51"/>
      <c r="AF914" s="51"/>
      <c r="AG914" s="442"/>
      <c r="AH914" s="442"/>
      <c r="AI914" s="443"/>
    </row>
    <row r="915" spans="1:35" s="32" customFormat="1">
      <c r="A915" s="434" t="s">
        <v>942</v>
      </c>
      <c r="B915" s="457" t="s">
        <v>946</v>
      </c>
      <c r="C915" s="233">
        <v>44257</v>
      </c>
      <c r="D915" s="435" t="s">
        <v>1267</v>
      </c>
      <c r="E915" s="436" t="s">
        <v>1321</v>
      </c>
      <c r="F915" s="338">
        <v>0.69861111111111107</v>
      </c>
      <c r="G915" s="338">
        <v>0.70000000000000007</v>
      </c>
      <c r="H915" s="338" t="s">
        <v>960</v>
      </c>
      <c r="I915" s="353">
        <v>713</v>
      </c>
      <c r="J915" s="338" t="str">
        <f>IFERROR(VLOOKUP(I915,'Chart of accounts'!A:H,2,FALSE),"")</f>
        <v>50102020 00</v>
      </c>
      <c r="K915" s="338" t="str">
        <f>IFERROR(VLOOKUP(I915,'Chart of accounts'!A:H,3,FALSE),"")</f>
        <v>Representation Allowance</v>
      </c>
      <c r="L915" s="338" t="str">
        <f>IFERROR(VLOOKUP(I915,'Chart of accounts'!A:H,4,FALSE),"")</f>
        <v>50102020 00 - Representation Allowance (713)</v>
      </c>
      <c r="M915" s="360">
        <v>1</v>
      </c>
      <c r="N915" s="355" t="s">
        <v>1030</v>
      </c>
      <c r="O915" s="355" t="s">
        <v>1031</v>
      </c>
      <c r="P915" s="355"/>
      <c r="Q915" s="363">
        <v>15000</v>
      </c>
      <c r="R915" s="319">
        <f t="shared" si="23"/>
        <v>-15000</v>
      </c>
      <c r="S915" s="239" t="str">
        <f>VLOOKUP(H915,'Fund Utilization Report'!$A$4:$U$1800,13,FALSE)</f>
        <v>PS</v>
      </c>
      <c r="T915" s="239" t="str">
        <f>VLOOKUP(H915,'Fund Utilization Report'!$A$4:$U$1800,2,FALSE)</f>
        <v>GAA</v>
      </c>
      <c r="U915" s="239" t="str">
        <f>VLOOKUP(H915,'Fund Utilization Report'!$A$4:$U$1800,3,FALSE)</f>
        <v>FY2021, RA11518</v>
      </c>
      <c r="V915" s="239" t="str">
        <f>VLOOKUP(H915,'Fund Utilization Report'!$A$4:$U$1800,4,FALSE)</f>
        <v>GAS(GMS)</v>
      </c>
      <c r="W915" s="239" t="str">
        <f>VLOOKUP(H915,'Fund Utilization Report'!$A$4:$U$1800,5,FALSE)</f>
        <v>01101101</v>
      </c>
      <c r="X915" s="239" t="str">
        <f>VLOOKUP(H915,'Fund Utilization Report'!$A$4:$U$1800,6,FALSE)</f>
        <v>GOP</v>
      </c>
      <c r="Y915" s="440" t="str">
        <f>VLOOKUP(H915,'Fund Utilization Report'!$A$4:$U$1800,7,FALSE)</f>
        <v>PS</v>
      </c>
      <c r="Z915" s="441">
        <f>VLOOKUP(H915,'Fund Utilization Report'!$A$4:$U$1800,8,FALSE)</f>
        <v>5010000000</v>
      </c>
      <c r="AA915" s="239" t="str">
        <f>VLOOKUP(H915,'Fund Utilization Report'!$A$4:$U$1800,14,FALSE)</f>
        <v>100000100001000</v>
      </c>
      <c r="AB915" s="242" t="str">
        <f>VLOOKUP(H915,'Fund Utilization Report'!$A$4:$U$1800,15,FALSE)</f>
        <v>General Administration and Supervision - General Management and Supervision</v>
      </c>
      <c r="AC915" s="51"/>
      <c r="AD915" s="435"/>
      <c r="AE915" s="51"/>
      <c r="AF915" s="51"/>
      <c r="AG915" s="442"/>
      <c r="AH915" s="442"/>
      <c r="AI915" s="443"/>
    </row>
    <row r="916" spans="1:35" s="32" customFormat="1">
      <c r="A916" s="434" t="s">
        <v>942</v>
      </c>
      <c r="B916" s="457" t="s">
        <v>946</v>
      </c>
      <c r="C916" s="233">
        <v>44257</v>
      </c>
      <c r="D916" s="435" t="s">
        <v>1267</v>
      </c>
      <c r="E916" s="436" t="s">
        <v>1321</v>
      </c>
      <c r="F916" s="338">
        <v>0.69861111111111107</v>
      </c>
      <c r="G916" s="338">
        <v>0.70000000000000007</v>
      </c>
      <c r="H916" s="338" t="s">
        <v>960</v>
      </c>
      <c r="I916" s="353">
        <v>714</v>
      </c>
      <c r="J916" s="338" t="str">
        <f>IFERROR(VLOOKUP(I916,'Chart of accounts'!A:H,2,FALSE),"")</f>
        <v>50102030 01</v>
      </c>
      <c r="K916" s="338" t="str">
        <f>IFERROR(VLOOKUP(I916,'Chart of accounts'!A:H,3,FALSE),"")</f>
        <v xml:space="preserve">Transportation Allowance  </v>
      </c>
      <c r="L916" s="338" t="str">
        <f>IFERROR(VLOOKUP(I916,'Chart of accounts'!A:H,4,FALSE),"")</f>
        <v>50102030 01 - Transportation Allowance   (714)</v>
      </c>
      <c r="M916" s="360">
        <v>1</v>
      </c>
      <c r="N916" s="355" t="s">
        <v>1030</v>
      </c>
      <c r="O916" s="355" t="s">
        <v>1031</v>
      </c>
      <c r="P916" s="355"/>
      <c r="Q916" s="363">
        <f>6818.18+7500</f>
        <v>14318.18</v>
      </c>
      <c r="R916" s="319">
        <f t="shared" si="23"/>
        <v>-14318.18</v>
      </c>
      <c r="S916" s="239" t="str">
        <f>VLOOKUP(H916,'Fund Utilization Report'!$A$4:$U$1800,13,FALSE)</f>
        <v>PS</v>
      </c>
      <c r="T916" s="239" t="str">
        <f>VLOOKUP(H916,'Fund Utilization Report'!$A$4:$U$1800,2,FALSE)</f>
        <v>GAA</v>
      </c>
      <c r="U916" s="239" t="str">
        <f>VLOOKUP(H916,'Fund Utilization Report'!$A$4:$U$1800,3,FALSE)</f>
        <v>FY2021, RA11518</v>
      </c>
      <c r="V916" s="239" t="str">
        <f>VLOOKUP(H916,'Fund Utilization Report'!$A$4:$U$1800,4,FALSE)</f>
        <v>GAS(GMS)</v>
      </c>
      <c r="W916" s="239" t="str">
        <f>VLOOKUP(H916,'Fund Utilization Report'!$A$4:$U$1800,5,FALSE)</f>
        <v>01101101</v>
      </c>
      <c r="X916" s="239" t="str">
        <f>VLOOKUP(H916,'Fund Utilization Report'!$A$4:$U$1800,6,FALSE)</f>
        <v>GOP</v>
      </c>
      <c r="Y916" s="440" t="str">
        <f>VLOOKUP(H916,'Fund Utilization Report'!$A$4:$U$1800,7,FALSE)</f>
        <v>PS</v>
      </c>
      <c r="Z916" s="441">
        <f>VLOOKUP(H916,'Fund Utilization Report'!$A$4:$U$1800,8,FALSE)</f>
        <v>5010000000</v>
      </c>
      <c r="AA916" s="239" t="str">
        <f>VLOOKUP(H916,'Fund Utilization Report'!$A$4:$U$1800,14,FALSE)</f>
        <v>100000100001000</v>
      </c>
      <c r="AB916" s="242" t="str">
        <f>VLOOKUP(H916,'Fund Utilization Report'!$A$4:$U$1800,15,FALSE)</f>
        <v>General Administration and Supervision - General Management and Supervision</v>
      </c>
      <c r="AC916" s="51"/>
      <c r="AD916" s="435"/>
      <c r="AE916" s="51"/>
      <c r="AF916" s="51"/>
      <c r="AG916" s="442"/>
      <c r="AH916" s="442"/>
      <c r="AI916" s="443"/>
    </row>
    <row r="917" spans="1:35" s="32" customFormat="1">
      <c r="A917" s="434" t="s">
        <v>942</v>
      </c>
      <c r="B917" s="457" t="s">
        <v>946</v>
      </c>
      <c r="C917" s="233">
        <v>44257</v>
      </c>
      <c r="D917" s="435" t="s">
        <v>1267</v>
      </c>
      <c r="E917" s="436" t="s">
        <v>1322</v>
      </c>
      <c r="F917" s="338">
        <v>0.70000000000000007</v>
      </c>
      <c r="G917" s="338">
        <v>0.70208333333333339</v>
      </c>
      <c r="H917" s="338" t="s">
        <v>961</v>
      </c>
      <c r="I917" s="353">
        <v>755</v>
      </c>
      <c r="J917" s="338" t="str">
        <f>IFERROR(VLOOKUP(I917,'Chart of accounts'!A:H,2,FALSE),"")</f>
        <v>50203010 00</v>
      </c>
      <c r="K917" s="338" t="str">
        <f>IFERROR(VLOOKUP(I917,'Chart of accounts'!A:H,3,FALSE),"")</f>
        <v>Office Supplies Expenses</v>
      </c>
      <c r="L917" s="338" t="str">
        <f>IFERROR(VLOOKUP(I917,'Chart of accounts'!A:H,4,FALSE),"")</f>
        <v>50203010 00 - Office Supplies Expenses (755)</v>
      </c>
      <c r="M917" s="361">
        <v>1</v>
      </c>
      <c r="N917" s="355" t="s">
        <v>1323</v>
      </c>
      <c r="O917" s="355" t="s">
        <v>1207</v>
      </c>
      <c r="P917" s="355"/>
      <c r="Q917" s="363">
        <v>9565</v>
      </c>
      <c r="R917" s="319">
        <f t="shared" si="23"/>
        <v>-9565</v>
      </c>
      <c r="S917" s="239" t="str">
        <f>VLOOKUP(H917,'Fund Utilization Report'!$A$4:$U$1800,13,FALSE)</f>
        <v>MOOE</v>
      </c>
      <c r="T917" s="239" t="str">
        <f>VLOOKUP(H917,'Fund Utilization Report'!$A$4:$U$1800,2,FALSE)</f>
        <v>GAA</v>
      </c>
      <c r="U917" s="239" t="str">
        <f>VLOOKUP(H917,'Fund Utilization Report'!$A$4:$U$1800,3,FALSE)</f>
        <v>FY2021, RA11518</v>
      </c>
      <c r="V917" s="239" t="str">
        <f>VLOOKUP(H917,'Fund Utilization Report'!$A$4:$U$1800,4,FALSE)</f>
        <v>GAS(GMS)</v>
      </c>
      <c r="W917" s="239" t="str">
        <f>VLOOKUP(H917,'Fund Utilization Report'!$A$4:$U$1800,5,FALSE)</f>
        <v>01101101</v>
      </c>
      <c r="X917" s="239" t="str">
        <f>VLOOKUP(H917,'Fund Utilization Report'!$A$4:$U$1800,6,FALSE)</f>
        <v>GOP</v>
      </c>
      <c r="Y917" s="440" t="str">
        <f>VLOOKUP(H917,'Fund Utilization Report'!$A$4:$U$1800,7,FALSE)</f>
        <v>MOOE</v>
      </c>
      <c r="Z917" s="441">
        <f>VLOOKUP(H917,'Fund Utilization Report'!$A$4:$U$1800,8,FALSE)</f>
        <v>5020000000</v>
      </c>
      <c r="AA917" s="239" t="str">
        <f>VLOOKUP(H917,'Fund Utilization Report'!$A$4:$U$1800,14,FALSE)</f>
        <v>100000100001000</v>
      </c>
      <c r="AB917" s="242" t="str">
        <f>VLOOKUP(H917,'Fund Utilization Report'!$A$4:$U$1800,15,FALSE)</f>
        <v>General Administration and Supervision - General Management and Supervision</v>
      </c>
      <c r="AC917" s="51"/>
      <c r="AD917" s="435"/>
      <c r="AE917" s="51"/>
      <c r="AF917" s="51"/>
      <c r="AG917" s="442"/>
      <c r="AH917" s="442"/>
      <c r="AI917" s="443"/>
    </row>
    <row r="918" spans="1:35" s="32" customFormat="1">
      <c r="A918" s="434" t="s">
        <v>942</v>
      </c>
      <c r="B918" s="457" t="s">
        <v>946</v>
      </c>
      <c r="C918" s="233">
        <v>44257</v>
      </c>
      <c r="D918" s="435" t="s">
        <v>1267</v>
      </c>
      <c r="E918" s="436" t="s">
        <v>1324</v>
      </c>
      <c r="F918" s="338">
        <v>0.70208333333333339</v>
      </c>
      <c r="G918" s="338">
        <v>0.70347222222222217</v>
      </c>
      <c r="H918" s="338" t="s">
        <v>961</v>
      </c>
      <c r="I918" s="353">
        <v>755</v>
      </c>
      <c r="J918" s="338" t="str">
        <f>IFERROR(VLOOKUP(I918,'Chart of accounts'!A:H,2,FALSE),"")</f>
        <v>50203010 00</v>
      </c>
      <c r="K918" s="338" t="str">
        <f>IFERROR(VLOOKUP(I918,'Chart of accounts'!A:H,3,FALSE),"")</f>
        <v>Office Supplies Expenses</v>
      </c>
      <c r="L918" s="338" t="str">
        <f>IFERROR(VLOOKUP(I918,'Chart of accounts'!A:H,4,FALSE),"")</f>
        <v>50203010 00 - Office Supplies Expenses (755)</v>
      </c>
      <c r="M918" s="361">
        <v>1</v>
      </c>
      <c r="N918" s="355" t="s">
        <v>1325</v>
      </c>
      <c r="O918" s="355" t="s">
        <v>1207</v>
      </c>
      <c r="P918" s="355"/>
      <c r="Q918" s="363">
        <v>1560</v>
      </c>
      <c r="R918" s="319">
        <f t="shared" si="23"/>
        <v>-1560</v>
      </c>
      <c r="S918" s="239" t="str">
        <f>VLOOKUP(H918,'Fund Utilization Report'!$A$4:$U$1800,13,FALSE)</f>
        <v>MOOE</v>
      </c>
      <c r="T918" s="239" t="str">
        <f>VLOOKUP(H918,'Fund Utilization Report'!$A$4:$U$1800,2,FALSE)</f>
        <v>GAA</v>
      </c>
      <c r="U918" s="239" t="str">
        <f>VLOOKUP(H918,'Fund Utilization Report'!$A$4:$U$1800,3,FALSE)</f>
        <v>FY2021, RA11518</v>
      </c>
      <c r="V918" s="239" t="str">
        <f>VLOOKUP(H918,'Fund Utilization Report'!$A$4:$U$1800,4,FALSE)</f>
        <v>GAS(GMS)</v>
      </c>
      <c r="W918" s="239" t="str">
        <f>VLOOKUP(H918,'Fund Utilization Report'!$A$4:$U$1800,5,FALSE)</f>
        <v>01101101</v>
      </c>
      <c r="X918" s="239" t="str">
        <f>VLOOKUP(H918,'Fund Utilization Report'!$A$4:$U$1800,6,FALSE)</f>
        <v>GOP</v>
      </c>
      <c r="Y918" s="440" t="str">
        <f>VLOOKUP(H918,'Fund Utilization Report'!$A$4:$U$1800,7,FALSE)</f>
        <v>MOOE</v>
      </c>
      <c r="Z918" s="441">
        <f>VLOOKUP(H918,'Fund Utilization Report'!$A$4:$U$1800,8,FALSE)</f>
        <v>5020000000</v>
      </c>
      <c r="AA918" s="239" t="str">
        <f>VLOOKUP(H918,'Fund Utilization Report'!$A$4:$U$1800,14,FALSE)</f>
        <v>100000100001000</v>
      </c>
      <c r="AB918" s="242" t="str">
        <f>VLOOKUP(H918,'Fund Utilization Report'!$A$4:$U$1800,15,FALSE)</f>
        <v>General Administration and Supervision - General Management and Supervision</v>
      </c>
      <c r="AC918" s="51"/>
      <c r="AD918" s="435"/>
      <c r="AE918" s="51"/>
      <c r="AF918" s="51"/>
      <c r="AG918" s="442"/>
      <c r="AH918" s="442"/>
      <c r="AI918" s="443"/>
    </row>
    <row r="919" spans="1:35" s="32" customFormat="1">
      <c r="A919" s="434" t="s">
        <v>942</v>
      </c>
      <c r="B919" s="457" t="s">
        <v>946</v>
      </c>
      <c r="C919" s="233">
        <v>44257</v>
      </c>
      <c r="D919" s="435" t="s">
        <v>1267</v>
      </c>
      <c r="E919" s="436" t="s">
        <v>1326</v>
      </c>
      <c r="F919" s="338">
        <v>0.70347222222222217</v>
      </c>
      <c r="G919" s="338">
        <v>0.7055555555555556</v>
      </c>
      <c r="H919" s="338" t="s">
        <v>961</v>
      </c>
      <c r="I919" s="353">
        <v>755</v>
      </c>
      <c r="J919" s="338" t="str">
        <f>IFERROR(VLOOKUP(I919,'Chart of accounts'!A:H,2,FALSE),"")</f>
        <v>50203010 00</v>
      </c>
      <c r="K919" s="338" t="str">
        <f>IFERROR(VLOOKUP(I919,'Chart of accounts'!A:H,3,FALSE),"")</f>
        <v>Office Supplies Expenses</v>
      </c>
      <c r="L919" s="338" t="str">
        <f>IFERROR(VLOOKUP(I919,'Chart of accounts'!A:H,4,FALSE),"")</f>
        <v>50203010 00 - Office Supplies Expenses (755)</v>
      </c>
      <c r="M919" s="361">
        <v>1</v>
      </c>
      <c r="N919" s="355" t="s">
        <v>1327</v>
      </c>
      <c r="O919" s="355" t="s">
        <v>1207</v>
      </c>
      <c r="P919" s="355"/>
      <c r="Q919" s="363">
        <v>17820</v>
      </c>
      <c r="R919" s="319">
        <f t="shared" si="23"/>
        <v>-17820</v>
      </c>
      <c r="S919" s="239" t="str">
        <f>VLOOKUP(H919,'Fund Utilization Report'!$A$4:$U$1800,13,FALSE)</f>
        <v>MOOE</v>
      </c>
      <c r="T919" s="239" t="str">
        <f>VLOOKUP(H919,'Fund Utilization Report'!$A$4:$U$1800,2,FALSE)</f>
        <v>GAA</v>
      </c>
      <c r="U919" s="239" t="str">
        <f>VLOOKUP(H919,'Fund Utilization Report'!$A$4:$U$1800,3,FALSE)</f>
        <v>FY2021, RA11518</v>
      </c>
      <c r="V919" s="239" t="str">
        <f>VLOOKUP(H919,'Fund Utilization Report'!$A$4:$U$1800,4,FALSE)</f>
        <v>GAS(GMS)</v>
      </c>
      <c r="W919" s="239" t="str">
        <f>VLOOKUP(H919,'Fund Utilization Report'!$A$4:$U$1800,5,FALSE)</f>
        <v>01101101</v>
      </c>
      <c r="X919" s="239" t="str">
        <f>VLOOKUP(H919,'Fund Utilization Report'!$A$4:$U$1800,6,FALSE)</f>
        <v>GOP</v>
      </c>
      <c r="Y919" s="440" t="str">
        <f>VLOOKUP(H919,'Fund Utilization Report'!$A$4:$U$1800,7,FALSE)</f>
        <v>MOOE</v>
      </c>
      <c r="Z919" s="441">
        <f>VLOOKUP(H919,'Fund Utilization Report'!$A$4:$U$1800,8,FALSE)</f>
        <v>5020000000</v>
      </c>
      <c r="AA919" s="239" t="str">
        <f>VLOOKUP(H919,'Fund Utilization Report'!$A$4:$U$1800,14,FALSE)</f>
        <v>100000100001000</v>
      </c>
      <c r="AB919" s="242" t="str">
        <f>VLOOKUP(H919,'Fund Utilization Report'!$A$4:$U$1800,15,FALSE)</f>
        <v>General Administration and Supervision - General Management and Supervision</v>
      </c>
      <c r="AC919" s="51"/>
      <c r="AD919" s="435"/>
      <c r="AE919" s="51"/>
      <c r="AF919" s="51"/>
      <c r="AG919" s="442"/>
      <c r="AH919" s="442"/>
      <c r="AI919" s="443"/>
    </row>
    <row r="920" spans="1:35" s="32" customFormat="1" ht="27.6">
      <c r="A920" s="434" t="s">
        <v>942</v>
      </c>
      <c r="B920" s="457" t="s">
        <v>946</v>
      </c>
      <c r="C920" s="233">
        <v>44257</v>
      </c>
      <c r="D920" s="435" t="s">
        <v>1267</v>
      </c>
      <c r="E920" s="436" t="s">
        <v>1328</v>
      </c>
      <c r="F920" s="338">
        <v>0.7055555555555556</v>
      </c>
      <c r="G920" s="338">
        <v>0.7090277777777777</v>
      </c>
      <c r="H920" s="338" t="s">
        <v>980</v>
      </c>
      <c r="I920" s="353">
        <v>774</v>
      </c>
      <c r="J920" s="338" t="str">
        <f>IFERROR(VLOOKUP(I920,'Chart of accounts'!A:H,2,FALSE),"")</f>
        <v>50205030 00</v>
      </c>
      <c r="K920" s="338" t="str">
        <f>IFERROR(VLOOKUP(I920,'Chart of accounts'!A:H,3,FALSE),"")</f>
        <v>Internet Subscription Expenses</v>
      </c>
      <c r="L920" s="338" t="str">
        <f>IFERROR(VLOOKUP(I920,'Chart of accounts'!A:H,4,FALSE),"")</f>
        <v>50205030 00 - Internet Subscription Expenses (774)</v>
      </c>
      <c r="M920" s="361">
        <v>1</v>
      </c>
      <c r="N920" s="355" t="s">
        <v>1329</v>
      </c>
      <c r="O920" s="355" t="s">
        <v>1330</v>
      </c>
      <c r="P920" s="355"/>
      <c r="Q920" s="363">
        <v>11547.23</v>
      </c>
      <c r="R920" s="319">
        <f t="shared" si="23"/>
        <v>-11547.23</v>
      </c>
      <c r="S920" s="239" t="str">
        <f>VLOOKUP(H920,'Fund Utilization Report'!$A$4:$U$1800,13,FALSE)</f>
        <v>MOOE</v>
      </c>
      <c r="T920" s="239" t="str">
        <f>VLOOKUP(H920,'Fund Utilization Report'!$A$4:$U$1800,2,FALSE)</f>
        <v>GAA</v>
      </c>
      <c r="U920" s="239" t="str">
        <f>VLOOKUP(H920,'Fund Utilization Report'!$A$4:$U$1800,3,FALSE)</f>
        <v>FY2021, RA11518</v>
      </c>
      <c r="V920" s="239" t="str">
        <f>VLOOKUP(H920,'Fund Utilization Report'!$A$4:$U$1800,4,FALSE)</f>
        <v>NC</v>
      </c>
      <c r="W920" s="239" t="str">
        <f>VLOOKUP(H920,'Fund Utilization Report'!$A$4:$U$1800,5,FALSE)</f>
        <v>01101101</v>
      </c>
      <c r="X920" s="239" t="str">
        <f>VLOOKUP(H920,'Fund Utilization Report'!$A$4:$U$1800,6,FALSE)</f>
        <v>GOP</v>
      </c>
      <c r="Y920" s="440" t="str">
        <f>VLOOKUP(H920,'Fund Utilization Report'!$A$4:$U$1800,7,FALSE)</f>
        <v>MOOE</v>
      </c>
      <c r="Z920" s="441">
        <f>VLOOKUP(H920,'Fund Utilization Report'!$A$4:$U$1800,8,FALSE)</f>
        <v>5020000000</v>
      </c>
      <c r="AA920" s="239" t="str">
        <f>VLOOKUP(H920,'Fund Utilization Report'!$A$4:$U$1800,14,FALSE)</f>
        <v>330100200001000</v>
      </c>
      <c r="AB920" s="242" t="str">
        <f>VLOOKUP(H920,'Fund Utilization Report'!$A$4:$U$1800,15,FALSE)</f>
        <v>Establishment of Negosyo Centers</v>
      </c>
      <c r="AC920" s="51"/>
      <c r="AD920" s="435"/>
      <c r="AE920" s="51"/>
      <c r="AF920" s="51"/>
      <c r="AG920" s="442"/>
      <c r="AH920" s="442"/>
      <c r="AI920" s="443"/>
    </row>
    <row r="921" spans="1:35" s="32" customFormat="1">
      <c r="A921" s="434" t="s">
        <v>942</v>
      </c>
      <c r="B921" s="457" t="s">
        <v>946</v>
      </c>
      <c r="C921" s="233">
        <v>44257</v>
      </c>
      <c r="D921" s="435" t="s">
        <v>1267</v>
      </c>
      <c r="E921" s="436" t="s">
        <v>1331</v>
      </c>
      <c r="F921" s="338">
        <v>0.7090277777777777</v>
      </c>
      <c r="G921" s="338">
        <v>0.7104166666666667</v>
      </c>
      <c r="H921" s="338" t="s">
        <v>961</v>
      </c>
      <c r="I921" s="353">
        <v>755</v>
      </c>
      <c r="J921" s="338" t="str">
        <f>IFERROR(VLOOKUP(I921,'Chart of accounts'!A:H,2,FALSE),"")</f>
        <v>50203010 00</v>
      </c>
      <c r="K921" s="338" t="str">
        <f>IFERROR(VLOOKUP(I921,'Chart of accounts'!A:H,3,FALSE),"")</f>
        <v>Office Supplies Expenses</v>
      </c>
      <c r="L921" s="338" t="str">
        <f>IFERROR(VLOOKUP(I921,'Chart of accounts'!A:H,4,FALSE),"")</f>
        <v>50203010 00 - Office Supplies Expenses (755)</v>
      </c>
      <c r="M921" s="361">
        <v>1</v>
      </c>
      <c r="N921" s="355" t="s">
        <v>859</v>
      </c>
      <c r="O921" s="355" t="s">
        <v>1332</v>
      </c>
      <c r="P921" s="355"/>
      <c r="Q921" s="363">
        <v>1840</v>
      </c>
      <c r="R921" s="319">
        <f t="shared" si="23"/>
        <v>-1840</v>
      </c>
      <c r="S921" s="239" t="str">
        <f>VLOOKUP(H921,'Fund Utilization Report'!$A$4:$U$1800,13,FALSE)</f>
        <v>MOOE</v>
      </c>
      <c r="T921" s="239" t="str">
        <f>VLOOKUP(H921,'Fund Utilization Report'!$A$4:$U$1800,2,FALSE)</f>
        <v>GAA</v>
      </c>
      <c r="U921" s="239" t="str">
        <f>VLOOKUP(H921,'Fund Utilization Report'!$A$4:$U$1800,3,FALSE)</f>
        <v>FY2021, RA11518</v>
      </c>
      <c r="V921" s="239" t="str">
        <f>VLOOKUP(H921,'Fund Utilization Report'!$A$4:$U$1800,4,FALSE)</f>
        <v>GAS(GMS)</v>
      </c>
      <c r="W921" s="239" t="str">
        <f>VLOOKUP(H921,'Fund Utilization Report'!$A$4:$U$1800,5,FALSE)</f>
        <v>01101101</v>
      </c>
      <c r="X921" s="239" t="str">
        <f>VLOOKUP(H921,'Fund Utilization Report'!$A$4:$U$1800,6,FALSE)</f>
        <v>GOP</v>
      </c>
      <c r="Y921" s="440" t="str">
        <f>VLOOKUP(H921,'Fund Utilization Report'!$A$4:$U$1800,7,FALSE)</f>
        <v>MOOE</v>
      </c>
      <c r="Z921" s="441">
        <f>VLOOKUP(H921,'Fund Utilization Report'!$A$4:$U$1800,8,FALSE)</f>
        <v>5020000000</v>
      </c>
      <c r="AA921" s="239" t="str">
        <f>VLOOKUP(H921,'Fund Utilization Report'!$A$4:$U$1800,14,FALSE)</f>
        <v>100000100001000</v>
      </c>
      <c r="AB921" s="242" t="str">
        <f>VLOOKUP(H921,'Fund Utilization Report'!$A$4:$U$1800,15,FALSE)</f>
        <v>General Administration and Supervision - General Management and Supervision</v>
      </c>
      <c r="AC921" s="51"/>
      <c r="AD921" s="435"/>
      <c r="AE921" s="51"/>
      <c r="AF921" s="51"/>
      <c r="AG921" s="442"/>
      <c r="AH921" s="442"/>
      <c r="AI921" s="443"/>
    </row>
    <row r="922" spans="1:35" s="32" customFormat="1" ht="27.6">
      <c r="A922" s="434" t="s">
        <v>942</v>
      </c>
      <c r="B922" s="457" t="s">
        <v>946</v>
      </c>
      <c r="C922" s="233">
        <v>44257</v>
      </c>
      <c r="D922" s="435" t="s">
        <v>1267</v>
      </c>
      <c r="E922" s="436" t="s">
        <v>1333</v>
      </c>
      <c r="F922" s="338">
        <v>0.7104166666666667</v>
      </c>
      <c r="G922" s="338">
        <v>0.71388888888888891</v>
      </c>
      <c r="H922" s="338" t="s">
        <v>971</v>
      </c>
      <c r="I922" s="353">
        <v>841</v>
      </c>
      <c r="J922" s="338" t="str">
        <f>IFERROR(VLOOKUP(I922,'Chart of accounts'!A:H,2,FALSE),"")</f>
        <v>50213060 01</v>
      </c>
      <c r="K922" s="338" t="str">
        <f>IFERROR(VLOOKUP(I922,'Chart of accounts'!A:H,3,FALSE),"")</f>
        <v>Motor Vehicles</v>
      </c>
      <c r="L922" s="338" t="str">
        <f>IFERROR(VLOOKUP(I922,'Chart of accounts'!A:H,4,FALSE),"")</f>
        <v>50213060 01 - Motor Vehicles (841)</v>
      </c>
      <c r="M922" s="361">
        <v>1</v>
      </c>
      <c r="N922" s="355" t="s">
        <v>1334</v>
      </c>
      <c r="O922" s="355" t="s">
        <v>1335</v>
      </c>
      <c r="P922" s="355"/>
      <c r="Q922" s="363">
        <v>17500</v>
      </c>
      <c r="R922" s="319">
        <f t="shared" si="23"/>
        <v>-17500</v>
      </c>
      <c r="S922" s="239" t="str">
        <f>VLOOKUP(H922,'Fund Utilization Report'!$A$4:$U$1800,13,FALSE)</f>
        <v>MOOE</v>
      </c>
      <c r="T922" s="239" t="str">
        <f>VLOOKUP(H922,'Fund Utilization Report'!$A$4:$U$1800,2,FALSE)</f>
        <v>GAA</v>
      </c>
      <c r="U922" s="239" t="str">
        <f>VLOOKUP(H922,'Fund Utilization Report'!$A$4:$U$1800,3,FALSE)</f>
        <v>FY2021, RA11518</v>
      </c>
      <c r="V922" s="239" t="str">
        <f>VLOOKUP(H922,'Fund Utilization Report'!$A$4:$U$1800,4,FALSE)</f>
        <v>OO3</v>
      </c>
      <c r="W922" s="239" t="str">
        <f>VLOOKUP(H922,'Fund Utilization Report'!$A$4:$U$1800,5,FALSE)</f>
        <v>01101101</v>
      </c>
      <c r="X922" s="239" t="str">
        <f>VLOOKUP(H922,'Fund Utilization Report'!$A$4:$U$1800,6,FALSE)</f>
        <v>GOP</v>
      </c>
      <c r="Y922" s="440" t="str">
        <f>VLOOKUP(H922,'Fund Utilization Report'!$A$4:$U$1800,7,FALSE)</f>
        <v>MOOE</v>
      </c>
      <c r="Z922" s="441">
        <f>VLOOKUP(H922,'Fund Utilization Report'!$A$4:$U$1800,8,FALSE)</f>
        <v>5020000000</v>
      </c>
      <c r="AA922" s="239" t="str">
        <f>VLOOKUP(H922,'Fund Utilization Report'!$A$4:$U$1800,14,FALSE)</f>
        <v>330100100002000</v>
      </c>
      <c r="AB922" s="242" t="str">
        <f>VLOOKUP(H922,'Fund Utilization Report'!$A$4:$U$1800,15,FALSE)</f>
        <v>Implementation of the MSME Development Plan and other initiatives to promote the growth of Micro, Small and Medium Enterprises</v>
      </c>
      <c r="AC922" s="51"/>
      <c r="AD922" s="435"/>
      <c r="AE922" s="51"/>
      <c r="AF922" s="51"/>
      <c r="AG922" s="442"/>
      <c r="AH922" s="442"/>
      <c r="AI922" s="443"/>
    </row>
    <row r="923" spans="1:35" s="32" customFormat="1" ht="41.4">
      <c r="A923" s="434" t="s">
        <v>942</v>
      </c>
      <c r="B923" s="457" t="s">
        <v>946</v>
      </c>
      <c r="C923" s="233">
        <v>44257</v>
      </c>
      <c r="D923" s="435" t="s">
        <v>1267</v>
      </c>
      <c r="E923" s="436" t="s">
        <v>1336</v>
      </c>
      <c r="F923" s="338">
        <v>0.71388888888888891</v>
      </c>
      <c r="G923" s="338">
        <v>0.71597222222222223</v>
      </c>
      <c r="H923" s="338" t="s">
        <v>982</v>
      </c>
      <c r="I923" s="353">
        <v>751</v>
      </c>
      <c r="J923" s="338" t="str">
        <f>IFERROR(VLOOKUP(I923,'Chart of accounts'!A:H,2,FALSE),"")</f>
        <v>50201010 00</v>
      </c>
      <c r="K923" s="338" t="str">
        <f>IFERROR(VLOOKUP(I923,'Chart of accounts'!A:H,3,FALSE),"")</f>
        <v>Traveling Expenses - Local</v>
      </c>
      <c r="L923" s="338" t="str">
        <f>IFERROR(VLOOKUP(I923,'Chart of accounts'!A:H,4,FALSE),"")</f>
        <v>50201010 00 - Traveling Expenses - Local (751)</v>
      </c>
      <c r="M923" s="361">
        <v>1</v>
      </c>
      <c r="N923" s="355" t="s">
        <v>1337</v>
      </c>
      <c r="O923" s="355" t="s">
        <v>1276</v>
      </c>
      <c r="P923" s="355"/>
      <c r="Q923" s="363">
        <v>1800</v>
      </c>
      <c r="R923" s="319">
        <f t="shared" si="23"/>
        <v>-1800</v>
      </c>
      <c r="S923" s="239" t="str">
        <f>VLOOKUP(H923,'Fund Utilization Report'!$A$4:$U$1800,13,FALSE)</f>
        <v>MOOE</v>
      </c>
      <c r="T923" s="239" t="str">
        <f>VLOOKUP(H923,'Fund Utilization Report'!$A$4:$U$1800,2,FALSE)</f>
        <v>GAA</v>
      </c>
      <c r="U923" s="239" t="str">
        <f>VLOOKUP(H923,'Fund Utilization Report'!$A$4:$U$1800,3,FALSE)</f>
        <v>FY2021, RA11518</v>
      </c>
      <c r="V923" s="239" t="str">
        <f>VLOOKUP(H923,'Fund Utilization Report'!$A$4:$U$1800,4,FALSE)</f>
        <v>OTOP</v>
      </c>
      <c r="W923" s="239" t="str">
        <f>VLOOKUP(H923,'Fund Utilization Report'!$A$4:$U$1800,5,FALSE)</f>
        <v>01101101</v>
      </c>
      <c r="X923" s="239" t="str">
        <f>VLOOKUP(H923,'Fund Utilization Report'!$A$4:$U$1800,6,FALSE)</f>
        <v>GOP</v>
      </c>
      <c r="Y923" s="440" t="str">
        <f>VLOOKUP(H923,'Fund Utilization Report'!$A$4:$U$1800,7,FALSE)</f>
        <v>MOOE</v>
      </c>
      <c r="Z923" s="441">
        <f>VLOOKUP(H923,'Fund Utilization Report'!$A$4:$U$1800,8,FALSE)</f>
        <v>5020000000</v>
      </c>
      <c r="AA923" s="239" t="str">
        <f>VLOOKUP(H923,'Fund Utilization Report'!$A$4:$U$1800,14,FALSE)</f>
        <v>330100200002000</v>
      </c>
      <c r="AB923" s="242" t="str">
        <f>VLOOKUP(H923,'Fund Utilization Report'!$A$4:$U$1800,15,FALSE)</f>
        <v>OTOP - Next Generation</v>
      </c>
      <c r="AC923" s="51"/>
      <c r="AD923" s="435"/>
      <c r="AE923" s="51"/>
      <c r="AF923" s="51"/>
      <c r="AG923" s="442"/>
      <c r="AH923" s="442"/>
      <c r="AI923" s="443"/>
    </row>
    <row r="924" spans="1:35" s="32" customFormat="1">
      <c r="A924" s="434" t="s">
        <v>942</v>
      </c>
      <c r="B924" s="457" t="s">
        <v>946</v>
      </c>
      <c r="C924" s="233">
        <v>44257</v>
      </c>
      <c r="D924" s="435" t="s">
        <v>1267</v>
      </c>
      <c r="E924" s="436" t="s">
        <v>1338</v>
      </c>
      <c r="F924" s="338">
        <v>0.71597222222222223</v>
      </c>
      <c r="G924" s="338">
        <v>0.71736111111111101</v>
      </c>
      <c r="H924" s="338" t="s">
        <v>971</v>
      </c>
      <c r="I924" s="353">
        <v>795</v>
      </c>
      <c r="J924" s="338" t="str">
        <f>IFERROR(VLOOKUP(I924,'Chart of accounts'!A:H,2,FALSE),"")</f>
        <v>50212990 00</v>
      </c>
      <c r="K924" s="338" t="str">
        <f>IFERROR(VLOOKUP(I924,'Chart of accounts'!A:H,3,FALSE),"")</f>
        <v>Other General Services</v>
      </c>
      <c r="L924" s="338" t="str">
        <f>IFERROR(VLOOKUP(I924,'Chart of accounts'!A:H,4,FALSE),"")</f>
        <v>50212990 00 - Other General Services (795)</v>
      </c>
      <c r="M924" s="361">
        <v>1</v>
      </c>
      <c r="N924" s="355" t="s">
        <v>1339</v>
      </c>
      <c r="O924" s="355" t="s">
        <v>1340</v>
      </c>
      <c r="P924" s="355"/>
      <c r="Q924" s="363">
        <v>20626.73</v>
      </c>
      <c r="R924" s="319">
        <f t="shared" si="23"/>
        <v>-20626.73</v>
      </c>
      <c r="S924" s="239" t="str">
        <f>VLOOKUP(H924,'Fund Utilization Report'!$A$4:$U$1800,13,FALSE)</f>
        <v>MOOE</v>
      </c>
      <c r="T924" s="239" t="str">
        <f>VLOOKUP(H924,'Fund Utilization Report'!$A$4:$U$1800,2,FALSE)</f>
        <v>GAA</v>
      </c>
      <c r="U924" s="239" t="str">
        <f>VLOOKUP(H924,'Fund Utilization Report'!$A$4:$U$1800,3,FALSE)</f>
        <v>FY2021, RA11518</v>
      </c>
      <c r="V924" s="239" t="str">
        <f>VLOOKUP(H924,'Fund Utilization Report'!$A$4:$U$1800,4,FALSE)</f>
        <v>OO3</v>
      </c>
      <c r="W924" s="239" t="str">
        <f>VLOOKUP(H924,'Fund Utilization Report'!$A$4:$U$1800,5,FALSE)</f>
        <v>01101101</v>
      </c>
      <c r="X924" s="239" t="str">
        <f>VLOOKUP(H924,'Fund Utilization Report'!$A$4:$U$1800,6,FALSE)</f>
        <v>GOP</v>
      </c>
      <c r="Y924" s="440" t="str">
        <f>VLOOKUP(H924,'Fund Utilization Report'!$A$4:$U$1800,7,FALSE)</f>
        <v>MOOE</v>
      </c>
      <c r="Z924" s="441">
        <f>VLOOKUP(H924,'Fund Utilization Report'!$A$4:$U$1800,8,FALSE)</f>
        <v>5020000000</v>
      </c>
      <c r="AA924" s="239" t="str">
        <f>VLOOKUP(H924,'Fund Utilization Report'!$A$4:$U$1800,14,FALSE)</f>
        <v>330100100002000</v>
      </c>
      <c r="AB924" s="242" t="str">
        <f>VLOOKUP(H924,'Fund Utilization Report'!$A$4:$U$1800,15,FALSE)</f>
        <v>Implementation of the MSME Development Plan and other initiatives to promote the growth of Micro, Small and Medium Enterprises</v>
      </c>
      <c r="AC924" s="51"/>
      <c r="AD924" s="435"/>
      <c r="AE924" s="51"/>
      <c r="AF924" s="51"/>
      <c r="AG924" s="442"/>
      <c r="AH924" s="442"/>
      <c r="AI924" s="443"/>
    </row>
    <row r="925" spans="1:35" s="32" customFormat="1" ht="27.6">
      <c r="A925" s="434" t="s">
        <v>942</v>
      </c>
      <c r="B925" s="457" t="s">
        <v>946</v>
      </c>
      <c r="C925" s="233">
        <v>44257</v>
      </c>
      <c r="D925" s="435" t="s">
        <v>1267</v>
      </c>
      <c r="E925" s="436" t="s">
        <v>1341</v>
      </c>
      <c r="F925" s="338">
        <v>0.71736111111111101</v>
      </c>
      <c r="G925" s="338">
        <v>0.71805555555555556</v>
      </c>
      <c r="H925" s="338" t="s">
        <v>1221</v>
      </c>
      <c r="I925" s="353">
        <v>799</v>
      </c>
      <c r="J925" s="338" t="str">
        <f>IFERROR(VLOOKUP(I925,'Chart of accounts'!A:H,2,FALSE),"")</f>
        <v>50211990 00</v>
      </c>
      <c r="K925" s="338" t="str">
        <f>IFERROR(VLOOKUP(I925,'Chart of accounts'!A:H,3,FALSE),"")</f>
        <v>Other Professional Services</v>
      </c>
      <c r="L925" s="338" t="str">
        <f>IFERROR(VLOOKUP(I925,'Chart of accounts'!A:H,4,FALSE),"")</f>
        <v>50211990 00 - Other Professional Services (799)</v>
      </c>
      <c r="M925" s="361" t="s">
        <v>1011</v>
      </c>
      <c r="N925" s="355" t="s">
        <v>1342</v>
      </c>
      <c r="O925" s="355" t="s">
        <v>1301</v>
      </c>
      <c r="P925" s="355"/>
      <c r="Q925" s="363">
        <v>16308.47</v>
      </c>
      <c r="R925" s="319">
        <f t="shared" si="23"/>
        <v>-16308.47</v>
      </c>
      <c r="S925" s="239" t="str">
        <f>VLOOKUP(H925,'Fund Utilization Report'!$A$4:$U$1800,13,FALSE)</f>
        <v>MOOE</v>
      </c>
      <c r="T925" s="239" t="str">
        <f>VLOOKUP(H925,'Fund Utilization Report'!$A$4:$U$1800,2,FALSE)</f>
        <v>SAA040</v>
      </c>
      <c r="U925" s="239" t="str">
        <f>VLOOKUP(H925,'Fund Utilization Report'!$A$4:$U$1800,3,FALSE)</f>
        <v>21-02-0040</v>
      </c>
      <c r="V925" s="239" t="str">
        <f>VLOOKUP(H925,'Fund Utilization Report'!$A$4:$U$1800,4,FALSE)</f>
        <v>RAPID GOP</v>
      </c>
      <c r="W925" s="239" t="str">
        <f>VLOOKUP(H925,'Fund Utilization Report'!$A$4:$U$1800,5,FALSE)</f>
        <v>01101101</v>
      </c>
      <c r="X925" s="239" t="str">
        <f>VLOOKUP(H925,'Fund Utilization Report'!$A$4:$U$1800,6,FALSE)</f>
        <v>GOP</v>
      </c>
      <c r="Y925" s="440">
        <f>VLOOKUP(H925,'Fund Utilization Report'!$A$4:$U$1800,7,FALSE)</f>
        <v>799</v>
      </c>
      <c r="Z925" s="441">
        <f>VLOOKUP(H925,'Fund Utilization Report'!$A$4:$U$1800,8,FALSE)</f>
        <v>5021199000</v>
      </c>
      <c r="AA925" s="239" t="str">
        <f>VLOOKUP(H925,'Fund Utilization Report'!$A$4:$U$1800,14,FALSE)</f>
        <v>330100300001000</v>
      </c>
      <c r="AB925" s="242" t="str">
        <f>VLOOKUP(H925,'Fund Utilization Report'!$A$4:$U$1800,15,FALSE)</f>
        <v>Rural Agro Enterprise Partnership for Inclusive Development (RAPID) Growth GOP Continuing</v>
      </c>
      <c r="AC925" s="51"/>
      <c r="AD925" s="435"/>
      <c r="AE925" s="51"/>
      <c r="AF925" s="51"/>
      <c r="AG925" s="442"/>
      <c r="AH925" s="442"/>
      <c r="AI925" s="443"/>
    </row>
    <row r="926" spans="1:35" s="32" customFormat="1" ht="41.4">
      <c r="A926" s="434" t="s">
        <v>942</v>
      </c>
      <c r="B926" s="457" t="s">
        <v>946</v>
      </c>
      <c r="C926" s="233">
        <v>44257</v>
      </c>
      <c r="D926" s="435" t="s">
        <v>1267</v>
      </c>
      <c r="E926" s="436" t="s">
        <v>1343</v>
      </c>
      <c r="F926" s="338">
        <v>0.71805555555555556</v>
      </c>
      <c r="G926" s="338">
        <v>0.71944444444444444</v>
      </c>
      <c r="H926" s="338" t="s">
        <v>961</v>
      </c>
      <c r="I926" s="353">
        <v>753</v>
      </c>
      <c r="J926" s="338" t="str">
        <f>IFERROR(VLOOKUP(I926,'Chart of accounts'!A:H,2,FALSE),"")</f>
        <v>50202010 00</v>
      </c>
      <c r="K926" s="338" t="str">
        <f>IFERROR(VLOOKUP(I926,'Chart of accounts'!A:H,3,FALSE),"")</f>
        <v>Training Expenses</v>
      </c>
      <c r="L926" s="338" t="str">
        <f>IFERROR(VLOOKUP(I926,'Chart of accounts'!A:H,4,FALSE),"")</f>
        <v>50202010 00 - Training Expenses (753)</v>
      </c>
      <c r="M926" s="361">
        <v>1</v>
      </c>
      <c r="N926" s="355" t="s">
        <v>1344</v>
      </c>
      <c r="O926" s="355" t="s">
        <v>1345</v>
      </c>
      <c r="P926" s="355"/>
      <c r="Q926" s="363">
        <v>7200</v>
      </c>
      <c r="R926" s="319">
        <f t="shared" si="23"/>
        <v>-7200</v>
      </c>
      <c r="S926" s="239" t="str">
        <f>VLOOKUP(H926,'Fund Utilization Report'!$A$4:$U$1800,13,FALSE)</f>
        <v>MOOE</v>
      </c>
      <c r="T926" s="239" t="str">
        <f>VLOOKUP(H926,'Fund Utilization Report'!$A$4:$U$1800,2,FALSE)</f>
        <v>GAA</v>
      </c>
      <c r="U926" s="239" t="str">
        <f>VLOOKUP(H926,'Fund Utilization Report'!$A$4:$U$1800,3,FALSE)</f>
        <v>FY2021, RA11518</v>
      </c>
      <c r="V926" s="239" t="str">
        <f>VLOOKUP(H926,'Fund Utilization Report'!$A$4:$U$1800,4,FALSE)</f>
        <v>GAS(GMS)</v>
      </c>
      <c r="W926" s="239" t="str">
        <f>VLOOKUP(H926,'Fund Utilization Report'!$A$4:$U$1800,5,FALSE)</f>
        <v>01101101</v>
      </c>
      <c r="X926" s="239" t="str">
        <f>VLOOKUP(H926,'Fund Utilization Report'!$A$4:$U$1800,6,FALSE)</f>
        <v>GOP</v>
      </c>
      <c r="Y926" s="440" t="str">
        <f>VLOOKUP(H926,'Fund Utilization Report'!$A$4:$U$1800,7,FALSE)</f>
        <v>MOOE</v>
      </c>
      <c r="Z926" s="441">
        <f>VLOOKUP(H926,'Fund Utilization Report'!$A$4:$U$1800,8,FALSE)</f>
        <v>5020000000</v>
      </c>
      <c r="AA926" s="239" t="str">
        <f>VLOOKUP(H926,'Fund Utilization Report'!$A$4:$U$1800,14,FALSE)</f>
        <v>100000100001000</v>
      </c>
      <c r="AB926" s="242" t="str">
        <f>VLOOKUP(H926,'Fund Utilization Report'!$A$4:$U$1800,15,FALSE)</f>
        <v>General Administration and Supervision - General Management and Supervision</v>
      </c>
      <c r="AC926" s="51"/>
      <c r="AD926" s="435"/>
      <c r="AE926" s="51"/>
      <c r="AF926" s="51"/>
      <c r="AG926" s="442"/>
      <c r="AH926" s="442"/>
      <c r="AI926" s="443"/>
    </row>
    <row r="927" spans="1:35" s="32" customFormat="1" ht="27.6">
      <c r="A927" s="434" t="s">
        <v>942</v>
      </c>
      <c r="B927" s="457" t="s">
        <v>946</v>
      </c>
      <c r="C927" s="233">
        <v>44263</v>
      </c>
      <c r="D927" s="435" t="s">
        <v>1267</v>
      </c>
      <c r="E927" s="436" t="s">
        <v>1364</v>
      </c>
      <c r="F927" s="338">
        <v>0.44722222222222219</v>
      </c>
      <c r="G927" s="338">
        <v>0.44791666666666669</v>
      </c>
      <c r="H927" s="338" t="s">
        <v>979</v>
      </c>
      <c r="I927" s="353">
        <v>783</v>
      </c>
      <c r="J927" s="338" t="str">
        <f>IFERROR(VLOOKUP(I927,'Chart of accounts'!A:H,2,FALSE),"")</f>
        <v>50299030 00</v>
      </c>
      <c r="K927" s="338" t="str">
        <f>IFERROR(VLOOKUP(I927,'Chart of accounts'!A:H,3,FALSE),"")</f>
        <v>Representation Expenses</v>
      </c>
      <c r="L927" s="338" t="str">
        <f>IFERROR(VLOOKUP(I927,'Chart of accounts'!A:H,4,FALSE),"")</f>
        <v>50299030 00 - Representation Expenses (783)</v>
      </c>
      <c r="M927" s="361" t="s">
        <v>815</v>
      </c>
      <c r="N927" s="355" t="s">
        <v>1108</v>
      </c>
      <c r="O927" s="355" t="s">
        <v>1346</v>
      </c>
      <c r="P927" s="355"/>
      <c r="Q927" s="355">
        <v>12900</v>
      </c>
      <c r="R927" s="319">
        <f t="shared" si="23"/>
        <v>-12900</v>
      </c>
      <c r="S927" s="239" t="str">
        <f>VLOOKUP(H927,'Fund Utilization Report'!$A$4:$U$1800,13,FALSE)</f>
        <v>MOOE</v>
      </c>
      <c r="T927" s="239" t="str">
        <f>VLOOKUP(H927,'Fund Utilization Report'!$A$4:$U$1800,2,FALSE)</f>
        <v>GAA</v>
      </c>
      <c r="U927" s="239" t="str">
        <f>VLOOKUP(H927,'Fund Utilization Report'!$A$4:$U$1800,3,FALSE)</f>
        <v>FY2021, RA11518</v>
      </c>
      <c r="V927" s="239" t="str">
        <f>VLOOKUP(H927,'Fund Utilization Report'!$A$4:$U$1800,4,FALSE)</f>
        <v>OO 4.2</v>
      </c>
      <c r="W927" s="239" t="str">
        <f>VLOOKUP(H927,'Fund Utilization Report'!$A$4:$U$1800,5,FALSE)</f>
        <v>01101101</v>
      </c>
      <c r="X927" s="239" t="str">
        <f>VLOOKUP(H927,'Fund Utilization Report'!$A$4:$U$1800,6,FALSE)</f>
        <v>GOP</v>
      </c>
      <c r="Y927" s="440" t="str">
        <f>VLOOKUP(H927,'Fund Utilization Report'!$A$4:$U$1800,7,FALSE)</f>
        <v>MOOE</v>
      </c>
      <c r="Z927" s="441">
        <f>VLOOKUP(H927,'Fund Utilization Report'!$A$4:$U$1800,8,FALSE)</f>
        <v>5020000000</v>
      </c>
      <c r="AA927" s="239" t="str">
        <f>VLOOKUP(H927,'Fund Utilization Report'!$A$4:$U$1800,14,FALSE)</f>
        <v>340200100002000</v>
      </c>
      <c r="AB927" s="242" t="str">
        <f>VLOOKUP(H927,'Fund Utilization Report'!$A$4:$U$1800,15,FALSE)</f>
        <v>Implementation of Plans, projects and activities on consumer awareness, education, and advocacy</v>
      </c>
      <c r="AC927" s="51"/>
      <c r="AD927" s="435"/>
      <c r="AE927" s="51"/>
      <c r="AF927" s="51"/>
      <c r="AG927" s="442"/>
      <c r="AH927" s="442"/>
      <c r="AI927" s="443"/>
    </row>
    <row r="928" spans="1:35" s="32" customFormat="1" ht="27.6">
      <c r="A928" s="434" t="s">
        <v>942</v>
      </c>
      <c r="B928" s="457" t="s">
        <v>946</v>
      </c>
      <c r="C928" s="233">
        <v>44263</v>
      </c>
      <c r="D928" s="435" t="s">
        <v>1267</v>
      </c>
      <c r="E928" s="436" t="s">
        <v>1365</v>
      </c>
      <c r="F928" s="338">
        <v>0.44791666666666669</v>
      </c>
      <c r="G928" s="338">
        <v>0.45069444444444445</v>
      </c>
      <c r="H928" s="338" t="s">
        <v>961</v>
      </c>
      <c r="I928" s="353">
        <v>783</v>
      </c>
      <c r="J928" s="338" t="str">
        <f>IFERROR(VLOOKUP(I928,'Chart of accounts'!A:H,2,FALSE),"")</f>
        <v>50299030 00</v>
      </c>
      <c r="K928" s="338" t="str">
        <f>IFERROR(VLOOKUP(I928,'Chart of accounts'!A:H,3,FALSE),"")</f>
        <v>Representation Expenses</v>
      </c>
      <c r="L928" s="338" t="str">
        <f>IFERROR(VLOOKUP(I928,'Chart of accounts'!A:H,4,FALSE),"")</f>
        <v>50299030 00 - Representation Expenses (783)</v>
      </c>
      <c r="M928" s="361" t="s">
        <v>1366</v>
      </c>
      <c r="N928" s="355" t="s">
        <v>1108</v>
      </c>
      <c r="O928" s="355" t="s">
        <v>1347</v>
      </c>
      <c r="P928" s="355"/>
      <c r="Q928" s="355">
        <v>4950</v>
      </c>
      <c r="R928" s="319">
        <f t="shared" si="23"/>
        <v>-4950</v>
      </c>
      <c r="S928" s="239" t="str">
        <f>VLOOKUP(H928,'Fund Utilization Report'!$A$4:$U$1800,13,FALSE)</f>
        <v>MOOE</v>
      </c>
      <c r="T928" s="239" t="str">
        <f>VLOOKUP(H928,'Fund Utilization Report'!$A$4:$U$1800,2,FALSE)</f>
        <v>GAA</v>
      </c>
      <c r="U928" s="239" t="str">
        <f>VLOOKUP(H928,'Fund Utilization Report'!$A$4:$U$1800,3,FALSE)</f>
        <v>FY2021, RA11518</v>
      </c>
      <c r="V928" s="239" t="str">
        <f>VLOOKUP(H928,'Fund Utilization Report'!$A$4:$U$1800,4,FALSE)</f>
        <v>GAS(GMS)</v>
      </c>
      <c r="W928" s="239" t="str">
        <f>VLOOKUP(H928,'Fund Utilization Report'!$A$4:$U$1800,5,FALSE)</f>
        <v>01101101</v>
      </c>
      <c r="X928" s="239" t="str">
        <f>VLOOKUP(H928,'Fund Utilization Report'!$A$4:$U$1800,6,FALSE)</f>
        <v>GOP</v>
      </c>
      <c r="Y928" s="440" t="str">
        <f>VLOOKUP(H928,'Fund Utilization Report'!$A$4:$U$1800,7,FALSE)</f>
        <v>MOOE</v>
      </c>
      <c r="Z928" s="441">
        <f>VLOOKUP(H928,'Fund Utilization Report'!$A$4:$U$1800,8,FALSE)</f>
        <v>5020000000</v>
      </c>
      <c r="AA928" s="239" t="str">
        <f>VLOOKUP(H928,'Fund Utilization Report'!$A$4:$U$1800,14,FALSE)</f>
        <v>100000100001000</v>
      </c>
      <c r="AB928" s="242" t="str">
        <f>VLOOKUP(H928,'Fund Utilization Report'!$A$4:$U$1800,15,FALSE)</f>
        <v>General Administration and Supervision - General Management and Supervision</v>
      </c>
      <c r="AC928" s="51"/>
      <c r="AD928" s="435"/>
      <c r="AE928" s="51"/>
      <c r="AF928" s="51"/>
      <c r="AG928" s="442"/>
      <c r="AH928" s="442"/>
      <c r="AI928" s="443"/>
    </row>
    <row r="929" spans="1:35" s="32" customFormat="1" ht="27.6">
      <c r="A929" s="434" t="s">
        <v>942</v>
      </c>
      <c r="B929" s="457" t="s">
        <v>946</v>
      </c>
      <c r="C929" s="233">
        <v>44263</v>
      </c>
      <c r="D929" s="435" t="s">
        <v>1267</v>
      </c>
      <c r="E929" s="436" t="s">
        <v>1367</v>
      </c>
      <c r="F929" s="338">
        <v>0.45069444444444445</v>
      </c>
      <c r="G929" s="338">
        <v>0.4513888888888889</v>
      </c>
      <c r="H929" s="338" t="s">
        <v>968</v>
      </c>
      <c r="I929" s="353">
        <v>755</v>
      </c>
      <c r="J929" s="338" t="str">
        <f>IFERROR(VLOOKUP(I929,'Chart of accounts'!A:H,2,FALSE),"")</f>
        <v>50203010 00</v>
      </c>
      <c r="K929" s="338" t="str">
        <f>IFERROR(VLOOKUP(I929,'Chart of accounts'!A:H,3,FALSE),"")</f>
        <v>Office Supplies Expenses</v>
      </c>
      <c r="L929" s="338" t="str">
        <f>IFERROR(VLOOKUP(I929,'Chart of accounts'!A:H,4,FALSE),"")</f>
        <v>50203010 00 - Office Supplies Expenses (755)</v>
      </c>
      <c r="M929" s="361" t="s">
        <v>814</v>
      </c>
      <c r="N929" s="355" t="s">
        <v>1327</v>
      </c>
      <c r="O929" s="355" t="s">
        <v>1037</v>
      </c>
      <c r="P929" s="355"/>
      <c r="Q929" s="355">
        <v>7830</v>
      </c>
      <c r="R929" s="319">
        <f t="shared" si="23"/>
        <v>-7830</v>
      </c>
      <c r="S929" s="239" t="str">
        <f>VLOOKUP(H929,'Fund Utilization Report'!$A$4:$U$1800,13,FALSE)</f>
        <v>MOOE</v>
      </c>
      <c r="T929" s="239" t="str">
        <f>VLOOKUP(H929,'Fund Utilization Report'!$A$4:$U$1800,2,FALSE)</f>
        <v>GAA</v>
      </c>
      <c r="U929" s="239" t="str">
        <f>VLOOKUP(H929,'Fund Utilization Report'!$A$4:$U$1800,3,FALSE)</f>
        <v>FY2021, RA11518</v>
      </c>
      <c r="V929" s="239" t="str">
        <f>VLOOKUP(H929,'Fund Utilization Report'!$A$4:$U$1800,4,FALSE)</f>
        <v>OO2</v>
      </c>
      <c r="W929" s="239" t="str">
        <f>VLOOKUP(H929,'Fund Utilization Report'!$A$4:$U$1800,5,FALSE)</f>
        <v>01101101</v>
      </c>
      <c r="X929" s="239" t="str">
        <f>VLOOKUP(H929,'Fund Utilization Report'!$A$4:$U$1800,6,FALSE)</f>
        <v>GOP</v>
      </c>
      <c r="Y929" s="440" t="str">
        <f>VLOOKUP(H929,'Fund Utilization Report'!$A$4:$U$1800,7,FALSE)</f>
        <v>MOOE</v>
      </c>
      <c r="Z929" s="441">
        <f>VLOOKUP(H929,'Fund Utilization Report'!$A$4:$U$1800,8,FALSE)</f>
        <v>5020000000</v>
      </c>
      <c r="AA929" s="239" t="str">
        <f>VLOOKUP(H929,'Fund Utilization Report'!$A$4:$U$1800,14,FALSE)</f>
        <v>320100100001000</v>
      </c>
      <c r="AB929" s="242" t="str">
        <f>VLOOKUP(H929,'Fund Utilization Report'!$A$4:$U$1800,15,FALSE)</f>
        <v>Formulation of Strategic plans,programs, and policies to develop competitve industries</v>
      </c>
      <c r="AC929" s="51"/>
      <c r="AD929" s="435"/>
      <c r="AE929" s="51"/>
      <c r="AF929" s="51"/>
      <c r="AG929" s="442"/>
      <c r="AH929" s="442"/>
      <c r="AI929" s="443"/>
    </row>
    <row r="930" spans="1:35" s="32" customFormat="1">
      <c r="A930" s="434" t="s">
        <v>942</v>
      </c>
      <c r="B930" s="457" t="s">
        <v>946</v>
      </c>
      <c r="C930" s="233">
        <v>44263</v>
      </c>
      <c r="D930" s="435" t="s">
        <v>1267</v>
      </c>
      <c r="E930" s="436" t="s">
        <v>1368</v>
      </c>
      <c r="F930" s="338">
        <v>0.4513888888888889</v>
      </c>
      <c r="G930" s="338">
        <v>0.45277777777777778</v>
      </c>
      <c r="H930" s="338" t="s">
        <v>961</v>
      </c>
      <c r="I930" s="353">
        <v>755</v>
      </c>
      <c r="J930" s="338" t="str">
        <f>IFERROR(VLOOKUP(I930,'Chart of accounts'!A:H,2,FALSE),"")</f>
        <v>50203010 00</v>
      </c>
      <c r="K930" s="338" t="str">
        <f>IFERROR(VLOOKUP(I930,'Chart of accounts'!A:H,3,FALSE),"")</f>
        <v>Office Supplies Expenses</v>
      </c>
      <c r="L930" s="338" t="str">
        <f>IFERROR(VLOOKUP(I930,'Chart of accounts'!A:H,4,FALSE),"")</f>
        <v>50203010 00 - Office Supplies Expenses (755)</v>
      </c>
      <c r="M930" s="361" t="s">
        <v>1369</v>
      </c>
      <c r="N930" s="355" t="s">
        <v>1214</v>
      </c>
      <c r="O930" s="355" t="s">
        <v>1348</v>
      </c>
      <c r="P930" s="355"/>
      <c r="Q930" s="355">
        <v>27000</v>
      </c>
      <c r="R930" s="319">
        <f t="shared" si="23"/>
        <v>-27000</v>
      </c>
      <c r="S930" s="239" t="str">
        <f>VLOOKUP(H930,'Fund Utilization Report'!$A$4:$U$1800,13,FALSE)</f>
        <v>MOOE</v>
      </c>
      <c r="T930" s="239" t="str">
        <f>VLOOKUP(H930,'Fund Utilization Report'!$A$4:$U$1800,2,FALSE)</f>
        <v>GAA</v>
      </c>
      <c r="U930" s="239" t="str">
        <f>VLOOKUP(H930,'Fund Utilization Report'!$A$4:$U$1800,3,FALSE)</f>
        <v>FY2021, RA11518</v>
      </c>
      <c r="V930" s="239" t="str">
        <f>VLOOKUP(H930,'Fund Utilization Report'!$A$4:$U$1800,4,FALSE)</f>
        <v>GAS(GMS)</v>
      </c>
      <c r="W930" s="239" t="str">
        <f>VLOOKUP(H930,'Fund Utilization Report'!$A$4:$U$1800,5,FALSE)</f>
        <v>01101101</v>
      </c>
      <c r="X930" s="239" t="str">
        <f>VLOOKUP(H930,'Fund Utilization Report'!$A$4:$U$1800,6,FALSE)</f>
        <v>GOP</v>
      </c>
      <c r="Y930" s="440" t="str">
        <f>VLOOKUP(H930,'Fund Utilization Report'!$A$4:$U$1800,7,FALSE)</f>
        <v>MOOE</v>
      </c>
      <c r="Z930" s="441">
        <f>VLOOKUP(H930,'Fund Utilization Report'!$A$4:$U$1800,8,FALSE)</f>
        <v>5020000000</v>
      </c>
      <c r="AA930" s="239" t="str">
        <f>VLOOKUP(H930,'Fund Utilization Report'!$A$4:$U$1800,14,FALSE)</f>
        <v>100000100001000</v>
      </c>
      <c r="AB930" s="242" t="str">
        <f>VLOOKUP(H930,'Fund Utilization Report'!$A$4:$U$1800,15,FALSE)</f>
        <v>General Administration and Supervision - General Management and Supervision</v>
      </c>
      <c r="AC930" s="51"/>
      <c r="AD930" s="435"/>
      <c r="AE930" s="51"/>
      <c r="AF930" s="51"/>
      <c r="AG930" s="442"/>
      <c r="AH930" s="442"/>
      <c r="AI930" s="443"/>
    </row>
    <row r="931" spans="1:35" s="32" customFormat="1">
      <c r="A931" s="434" t="s">
        <v>942</v>
      </c>
      <c r="B931" s="457" t="s">
        <v>946</v>
      </c>
      <c r="C931" s="233">
        <v>44263</v>
      </c>
      <c r="D931" s="435" t="s">
        <v>1267</v>
      </c>
      <c r="E931" s="436" t="s">
        <v>1370</v>
      </c>
      <c r="F931" s="338">
        <v>0.45277777777777778</v>
      </c>
      <c r="G931" s="338">
        <v>0.46388888888888885</v>
      </c>
      <c r="H931" s="338" t="s">
        <v>968</v>
      </c>
      <c r="I931" s="353">
        <v>755</v>
      </c>
      <c r="J931" s="338" t="str">
        <f>IFERROR(VLOOKUP(I931,'Chart of accounts'!A:H,2,FALSE),"")</f>
        <v>50203010 00</v>
      </c>
      <c r="K931" s="338" t="str">
        <f>IFERROR(VLOOKUP(I931,'Chart of accounts'!A:H,3,FALSE),"")</f>
        <v>Office Supplies Expenses</v>
      </c>
      <c r="L931" s="338" t="str">
        <f>IFERROR(VLOOKUP(I931,'Chart of accounts'!A:H,4,FALSE),"")</f>
        <v>50203010 00 - Office Supplies Expenses (755)</v>
      </c>
      <c r="M931" s="361" t="s">
        <v>814</v>
      </c>
      <c r="N931" s="355" t="s">
        <v>1349</v>
      </c>
      <c r="O931" s="355" t="s">
        <v>1350</v>
      </c>
      <c r="P931" s="355"/>
      <c r="Q931" s="355">
        <v>3400</v>
      </c>
      <c r="R931" s="319">
        <f t="shared" si="23"/>
        <v>-3400</v>
      </c>
      <c r="S931" s="239" t="str">
        <f>VLOOKUP(H931,'Fund Utilization Report'!$A$4:$U$1800,13,FALSE)</f>
        <v>MOOE</v>
      </c>
      <c r="T931" s="239" t="str">
        <f>VLOOKUP(H931,'Fund Utilization Report'!$A$4:$U$1800,2,FALSE)</f>
        <v>GAA</v>
      </c>
      <c r="U931" s="239" t="str">
        <f>VLOOKUP(H931,'Fund Utilization Report'!$A$4:$U$1800,3,FALSE)</f>
        <v>FY2021, RA11518</v>
      </c>
      <c r="V931" s="239" t="str">
        <f>VLOOKUP(H931,'Fund Utilization Report'!$A$4:$U$1800,4,FALSE)</f>
        <v>OO2</v>
      </c>
      <c r="W931" s="239" t="str">
        <f>VLOOKUP(H931,'Fund Utilization Report'!$A$4:$U$1800,5,FALSE)</f>
        <v>01101101</v>
      </c>
      <c r="X931" s="239" t="str">
        <f>VLOOKUP(H931,'Fund Utilization Report'!$A$4:$U$1800,6,FALSE)</f>
        <v>GOP</v>
      </c>
      <c r="Y931" s="440" t="str">
        <f>VLOOKUP(H931,'Fund Utilization Report'!$A$4:$U$1800,7,FALSE)</f>
        <v>MOOE</v>
      </c>
      <c r="Z931" s="441">
        <f>VLOOKUP(H931,'Fund Utilization Report'!$A$4:$U$1800,8,FALSE)</f>
        <v>5020000000</v>
      </c>
      <c r="AA931" s="239" t="str">
        <f>VLOOKUP(H931,'Fund Utilization Report'!$A$4:$U$1800,14,FALSE)</f>
        <v>320100100001000</v>
      </c>
      <c r="AB931" s="242" t="str">
        <f>VLOOKUP(H931,'Fund Utilization Report'!$A$4:$U$1800,15,FALSE)</f>
        <v>Formulation of Strategic plans,programs, and policies to develop competitve industries</v>
      </c>
      <c r="AC931" s="51"/>
      <c r="AD931" s="435"/>
      <c r="AE931" s="51"/>
      <c r="AF931" s="51"/>
      <c r="AG931" s="442"/>
      <c r="AH931" s="442"/>
      <c r="AI931" s="443"/>
    </row>
    <row r="932" spans="1:35" s="32" customFormat="1" ht="41.4">
      <c r="A932" s="434" t="s">
        <v>942</v>
      </c>
      <c r="B932" s="457" t="s">
        <v>946</v>
      </c>
      <c r="C932" s="233">
        <v>44263</v>
      </c>
      <c r="D932" s="435" t="s">
        <v>1267</v>
      </c>
      <c r="E932" s="436" t="s">
        <v>1371</v>
      </c>
      <c r="F932" s="338">
        <v>0.46388888888888885</v>
      </c>
      <c r="G932" s="338">
        <v>0.46458333333333335</v>
      </c>
      <c r="H932" s="338" t="s">
        <v>968</v>
      </c>
      <c r="I932" s="353">
        <v>783</v>
      </c>
      <c r="J932" s="338" t="str">
        <f>IFERROR(VLOOKUP(I932,'Chart of accounts'!A:H,2,FALSE),"")</f>
        <v>50299030 00</v>
      </c>
      <c r="K932" s="338" t="str">
        <f>IFERROR(VLOOKUP(I932,'Chart of accounts'!A:H,3,FALSE),"")</f>
        <v>Representation Expenses</v>
      </c>
      <c r="L932" s="338" t="str">
        <f>IFERROR(VLOOKUP(I932,'Chart of accounts'!A:H,4,FALSE),"")</f>
        <v>50299030 00 - Representation Expenses (783)</v>
      </c>
      <c r="M932" s="361" t="s">
        <v>814</v>
      </c>
      <c r="N932" s="355" t="s">
        <v>1038</v>
      </c>
      <c r="O932" s="355" t="s">
        <v>1351</v>
      </c>
      <c r="P932" s="355"/>
      <c r="Q932" s="355">
        <v>1800</v>
      </c>
      <c r="R932" s="319">
        <f t="shared" si="23"/>
        <v>-1800</v>
      </c>
      <c r="S932" s="239" t="str">
        <f>VLOOKUP(H932,'Fund Utilization Report'!$A$4:$U$1800,13,FALSE)</f>
        <v>MOOE</v>
      </c>
      <c r="T932" s="239" t="str">
        <f>VLOOKUP(H932,'Fund Utilization Report'!$A$4:$U$1800,2,FALSE)</f>
        <v>GAA</v>
      </c>
      <c r="U932" s="239" t="str">
        <f>VLOOKUP(H932,'Fund Utilization Report'!$A$4:$U$1800,3,FALSE)</f>
        <v>FY2021, RA11518</v>
      </c>
      <c r="V932" s="239" t="str">
        <f>VLOOKUP(H932,'Fund Utilization Report'!$A$4:$U$1800,4,FALSE)</f>
        <v>OO2</v>
      </c>
      <c r="W932" s="239" t="str">
        <f>VLOOKUP(H932,'Fund Utilization Report'!$A$4:$U$1800,5,FALSE)</f>
        <v>01101101</v>
      </c>
      <c r="X932" s="239" t="str">
        <f>VLOOKUP(H932,'Fund Utilization Report'!$A$4:$U$1800,6,FALSE)</f>
        <v>GOP</v>
      </c>
      <c r="Y932" s="440" t="str">
        <f>VLOOKUP(H932,'Fund Utilization Report'!$A$4:$U$1800,7,FALSE)</f>
        <v>MOOE</v>
      </c>
      <c r="Z932" s="441">
        <f>VLOOKUP(H932,'Fund Utilization Report'!$A$4:$U$1800,8,FALSE)</f>
        <v>5020000000</v>
      </c>
      <c r="AA932" s="239" t="str">
        <f>VLOOKUP(H932,'Fund Utilization Report'!$A$4:$U$1800,14,FALSE)</f>
        <v>320100100001000</v>
      </c>
      <c r="AB932" s="242" t="str">
        <f>VLOOKUP(H932,'Fund Utilization Report'!$A$4:$U$1800,15,FALSE)</f>
        <v>Formulation of Strategic plans,programs, and policies to develop competitve industries</v>
      </c>
      <c r="AC932" s="51"/>
      <c r="AD932" s="435"/>
      <c r="AE932" s="51"/>
      <c r="AF932" s="51"/>
      <c r="AG932" s="442"/>
      <c r="AH932" s="442"/>
      <c r="AI932" s="443"/>
    </row>
    <row r="933" spans="1:35" s="32" customFormat="1">
      <c r="A933" s="434" t="s">
        <v>942</v>
      </c>
      <c r="B933" s="457" t="s">
        <v>946</v>
      </c>
      <c r="C933" s="233">
        <v>44263</v>
      </c>
      <c r="D933" s="435" t="s">
        <v>1267</v>
      </c>
      <c r="E933" s="436" t="s">
        <v>1372</v>
      </c>
      <c r="F933" s="338">
        <v>0.46458333333333335</v>
      </c>
      <c r="G933" s="338">
        <v>0.46527777777777773</v>
      </c>
      <c r="H933" s="338" t="s">
        <v>971</v>
      </c>
      <c r="I933" s="353">
        <v>755</v>
      </c>
      <c r="J933" s="338" t="str">
        <f>IFERROR(VLOOKUP(I933,'Chart of accounts'!A:H,2,FALSE),"")</f>
        <v>50203010 00</v>
      </c>
      <c r="K933" s="338" t="str">
        <f>IFERROR(VLOOKUP(I933,'Chart of accounts'!A:H,3,FALSE),"")</f>
        <v>Office Supplies Expenses</v>
      </c>
      <c r="L933" s="338" t="str">
        <f>IFERROR(VLOOKUP(I933,'Chart of accounts'!A:H,4,FALSE),"")</f>
        <v>50203010 00 - Office Supplies Expenses (755)</v>
      </c>
      <c r="M933" s="361" t="s">
        <v>813</v>
      </c>
      <c r="N933" s="355" t="s">
        <v>1352</v>
      </c>
      <c r="O933" s="355" t="s">
        <v>1353</v>
      </c>
      <c r="P933" s="355"/>
      <c r="Q933" s="355">
        <v>39600</v>
      </c>
      <c r="R933" s="319">
        <f t="shared" si="23"/>
        <v>-39600</v>
      </c>
      <c r="S933" s="239" t="str">
        <f>VLOOKUP(H933,'Fund Utilization Report'!$A$4:$U$1800,13,FALSE)</f>
        <v>MOOE</v>
      </c>
      <c r="T933" s="239" t="str">
        <f>VLOOKUP(H933,'Fund Utilization Report'!$A$4:$U$1800,2,FALSE)</f>
        <v>GAA</v>
      </c>
      <c r="U933" s="239" t="str">
        <f>VLOOKUP(H933,'Fund Utilization Report'!$A$4:$U$1800,3,FALSE)</f>
        <v>FY2021, RA11518</v>
      </c>
      <c r="V933" s="239" t="str">
        <f>VLOOKUP(H933,'Fund Utilization Report'!$A$4:$U$1800,4,FALSE)</f>
        <v>OO3</v>
      </c>
      <c r="W933" s="239" t="str">
        <f>VLOOKUP(H933,'Fund Utilization Report'!$A$4:$U$1800,5,FALSE)</f>
        <v>01101101</v>
      </c>
      <c r="X933" s="239" t="str">
        <f>VLOOKUP(H933,'Fund Utilization Report'!$A$4:$U$1800,6,FALSE)</f>
        <v>GOP</v>
      </c>
      <c r="Y933" s="440" t="str">
        <f>VLOOKUP(H933,'Fund Utilization Report'!$A$4:$U$1800,7,FALSE)</f>
        <v>MOOE</v>
      </c>
      <c r="Z933" s="441">
        <f>VLOOKUP(H933,'Fund Utilization Report'!$A$4:$U$1800,8,FALSE)</f>
        <v>5020000000</v>
      </c>
      <c r="AA933" s="239" t="str">
        <f>VLOOKUP(H933,'Fund Utilization Report'!$A$4:$U$1800,14,FALSE)</f>
        <v>330100100002000</v>
      </c>
      <c r="AB933" s="242" t="str">
        <f>VLOOKUP(H933,'Fund Utilization Report'!$A$4:$U$1800,15,FALSE)</f>
        <v>Implementation of the MSME Development Plan and other initiatives to promote the growth of Micro, Small and Medium Enterprises</v>
      </c>
      <c r="AC933" s="51"/>
      <c r="AD933" s="435"/>
      <c r="AE933" s="51"/>
      <c r="AF933" s="51"/>
      <c r="AG933" s="442"/>
      <c r="AH933" s="442"/>
      <c r="AI933" s="443"/>
    </row>
    <row r="934" spans="1:35" s="32" customFormat="1" ht="27.6">
      <c r="A934" s="434" t="s">
        <v>942</v>
      </c>
      <c r="B934" s="457" t="s">
        <v>946</v>
      </c>
      <c r="C934" s="233">
        <v>44263</v>
      </c>
      <c r="D934" s="435" t="s">
        <v>1267</v>
      </c>
      <c r="E934" s="436" t="s">
        <v>1373</v>
      </c>
      <c r="F934" s="338">
        <v>0.46527777777777773</v>
      </c>
      <c r="G934" s="338">
        <v>0.46597222222222223</v>
      </c>
      <c r="H934" s="338" t="s">
        <v>961</v>
      </c>
      <c r="I934" s="353">
        <v>755</v>
      </c>
      <c r="J934" s="338" t="str">
        <f>IFERROR(VLOOKUP(I934,'Chart of accounts'!A:H,2,FALSE),"")</f>
        <v>50203010 00</v>
      </c>
      <c r="K934" s="338" t="str">
        <f>IFERROR(VLOOKUP(I934,'Chart of accounts'!A:H,3,FALSE),"")</f>
        <v>Office Supplies Expenses</v>
      </c>
      <c r="L934" s="338" t="str">
        <f>IFERROR(VLOOKUP(I934,'Chart of accounts'!A:H,4,FALSE),"")</f>
        <v>50203010 00 - Office Supplies Expenses (755)</v>
      </c>
      <c r="M934" s="361" t="s">
        <v>816</v>
      </c>
      <c r="N934" s="355" t="s">
        <v>1354</v>
      </c>
      <c r="O934" s="355" t="s">
        <v>1355</v>
      </c>
      <c r="P934" s="355"/>
      <c r="Q934" s="355">
        <v>5600</v>
      </c>
      <c r="R934" s="319">
        <f t="shared" si="23"/>
        <v>-5600</v>
      </c>
      <c r="S934" s="239" t="str">
        <f>VLOOKUP(H934,'Fund Utilization Report'!$A$4:$U$1800,13,FALSE)</f>
        <v>MOOE</v>
      </c>
      <c r="T934" s="239" t="str">
        <f>VLOOKUP(H934,'Fund Utilization Report'!$A$4:$U$1800,2,FALSE)</f>
        <v>GAA</v>
      </c>
      <c r="U934" s="239" t="str">
        <f>VLOOKUP(H934,'Fund Utilization Report'!$A$4:$U$1800,3,FALSE)</f>
        <v>FY2021, RA11518</v>
      </c>
      <c r="V934" s="239" t="str">
        <f>VLOOKUP(H934,'Fund Utilization Report'!$A$4:$U$1800,4,FALSE)</f>
        <v>GAS(GMS)</v>
      </c>
      <c r="W934" s="239" t="str">
        <f>VLOOKUP(H934,'Fund Utilization Report'!$A$4:$U$1800,5,FALSE)</f>
        <v>01101101</v>
      </c>
      <c r="X934" s="239" t="str">
        <f>VLOOKUP(H934,'Fund Utilization Report'!$A$4:$U$1800,6,FALSE)</f>
        <v>GOP</v>
      </c>
      <c r="Y934" s="440" t="str">
        <f>VLOOKUP(H934,'Fund Utilization Report'!$A$4:$U$1800,7,FALSE)</f>
        <v>MOOE</v>
      </c>
      <c r="Z934" s="441">
        <f>VLOOKUP(H934,'Fund Utilization Report'!$A$4:$U$1800,8,FALSE)</f>
        <v>5020000000</v>
      </c>
      <c r="AA934" s="239" t="str">
        <f>VLOOKUP(H934,'Fund Utilization Report'!$A$4:$U$1800,14,FALSE)</f>
        <v>100000100001000</v>
      </c>
      <c r="AB934" s="242" t="str">
        <f>VLOOKUP(H934,'Fund Utilization Report'!$A$4:$U$1800,15,FALSE)</f>
        <v>General Administration and Supervision - General Management and Supervision</v>
      </c>
      <c r="AC934" s="51"/>
      <c r="AD934" s="435"/>
      <c r="AE934" s="51"/>
      <c r="AF934" s="51"/>
      <c r="AG934" s="442"/>
      <c r="AH934" s="442"/>
      <c r="AI934" s="443"/>
    </row>
    <row r="935" spans="1:35" s="32" customFormat="1" ht="27.6">
      <c r="A935" s="434" t="s">
        <v>942</v>
      </c>
      <c r="B935" s="457" t="s">
        <v>946</v>
      </c>
      <c r="C935" s="233">
        <v>44263</v>
      </c>
      <c r="D935" s="435" t="s">
        <v>1267</v>
      </c>
      <c r="E935" s="436" t="s">
        <v>1374</v>
      </c>
      <c r="F935" s="338">
        <v>0.46597222222222223</v>
      </c>
      <c r="G935" s="338">
        <v>0.46736111111111112</v>
      </c>
      <c r="H935" s="338" t="s">
        <v>961</v>
      </c>
      <c r="I935" s="353">
        <v>773</v>
      </c>
      <c r="J935" s="338" t="str">
        <f>IFERROR(VLOOKUP(I935,'Chart of accounts'!A:H,2,FALSE),"")</f>
        <v>50205020 01</v>
      </c>
      <c r="K935" s="338" t="str">
        <f>IFERROR(VLOOKUP(I935,'Chart of accounts'!A:H,3,FALSE),"")</f>
        <v xml:space="preserve">Telephone Expenses - Mobile </v>
      </c>
      <c r="L935" s="338" t="str">
        <f>IFERROR(VLOOKUP(I935,'Chart of accounts'!A:H,4,FALSE),"")</f>
        <v>50205020 01 - Telephone Expenses - Mobile  (773)</v>
      </c>
      <c r="M935" s="361" t="s">
        <v>816</v>
      </c>
      <c r="N935" s="355" t="s">
        <v>1245</v>
      </c>
      <c r="O935" s="355" t="s">
        <v>1356</v>
      </c>
      <c r="P935" s="355"/>
      <c r="Q935" s="355">
        <v>4032</v>
      </c>
      <c r="R935" s="319">
        <f t="shared" si="23"/>
        <v>-4032</v>
      </c>
      <c r="S935" s="239" t="str">
        <f>VLOOKUP(H935,'Fund Utilization Report'!$A$4:$U$1800,13,FALSE)</f>
        <v>MOOE</v>
      </c>
      <c r="T935" s="239" t="str">
        <f>VLOOKUP(H935,'Fund Utilization Report'!$A$4:$U$1800,2,FALSE)</f>
        <v>GAA</v>
      </c>
      <c r="U935" s="239" t="str">
        <f>VLOOKUP(H935,'Fund Utilization Report'!$A$4:$U$1800,3,FALSE)</f>
        <v>FY2021, RA11518</v>
      </c>
      <c r="V935" s="239" t="str">
        <f>VLOOKUP(H935,'Fund Utilization Report'!$A$4:$U$1800,4,FALSE)</f>
        <v>GAS(GMS)</v>
      </c>
      <c r="W935" s="239" t="str">
        <f>VLOOKUP(H935,'Fund Utilization Report'!$A$4:$U$1800,5,FALSE)</f>
        <v>01101101</v>
      </c>
      <c r="X935" s="239" t="str">
        <f>VLOOKUP(H935,'Fund Utilization Report'!$A$4:$U$1800,6,FALSE)</f>
        <v>GOP</v>
      </c>
      <c r="Y935" s="440" t="str">
        <f>VLOOKUP(H935,'Fund Utilization Report'!$A$4:$U$1800,7,FALSE)</f>
        <v>MOOE</v>
      </c>
      <c r="Z935" s="441">
        <f>VLOOKUP(H935,'Fund Utilization Report'!$A$4:$U$1800,8,FALSE)</f>
        <v>5020000000</v>
      </c>
      <c r="AA935" s="239" t="str">
        <f>VLOOKUP(H935,'Fund Utilization Report'!$A$4:$U$1800,14,FALSE)</f>
        <v>100000100001000</v>
      </c>
      <c r="AB935" s="242" t="str">
        <f>VLOOKUP(H935,'Fund Utilization Report'!$A$4:$U$1800,15,FALSE)</f>
        <v>General Administration and Supervision - General Management and Supervision</v>
      </c>
      <c r="AC935" s="51"/>
      <c r="AD935" s="435"/>
      <c r="AE935" s="51"/>
      <c r="AF935" s="51"/>
      <c r="AG935" s="442"/>
      <c r="AH935" s="442"/>
      <c r="AI935" s="443"/>
    </row>
    <row r="936" spans="1:35" s="32" customFormat="1" ht="27.6">
      <c r="A936" s="434" t="s">
        <v>942</v>
      </c>
      <c r="B936" s="457" t="s">
        <v>946</v>
      </c>
      <c r="C936" s="233">
        <v>44263</v>
      </c>
      <c r="D936" s="435" t="s">
        <v>1267</v>
      </c>
      <c r="E936" s="436" t="s">
        <v>1375</v>
      </c>
      <c r="F936" s="338">
        <v>0.46736111111111112</v>
      </c>
      <c r="G936" s="338">
        <v>0.4680555555555555</v>
      </c>
      <c r="H936" s="338" t="s">
        <v>961</v>
      </c>
      <c r="I936" s="353">
        <v>761</v>
      </c>
      <c r="J936" s="338" t="str">
        <f>IFERROR(VLOOKUP(I936,'Chart of accounts'!A:H,2,FALSE),"")</f>
        <v>50203090 00</v>
      </c>
      <c r="K936" s="338" t="str">
        <f>IFERROR(VLOOKUP(I936,'Chart of accounts'!A:H,3,FALSE),"")</f>
        <v>Fuel, Oil and Lubricants Expenses</v>
      </c>
      <c r="L936" s="338" t="str">
        <f>IFERROR(VLOOKUP(I936,'Chart of accounts'!A:H,4,FALSE),"")</f>
        <v>50203090 00 - Fuel, Oil and Lubricants Expenses (761)</v>
      </c>
      <c r="M936" s="361" t="s">
        <v>812</v>
      </c>
      <c r="N936" s="355" t="s">
        <v>810</v>
      </c>
      <c r="O936" s="355" t="s">
        <v>1357</v>
      </c>
      <c r="P936" s="355"/>
      <c r="Q936" s="355">
        <v>9401.9699999999993</v>
      </c>
      <c r="R936" s="319">
        <f t="shared" si="23"/>
        <v>-9401.9699999999993</v>
      </c>
      <c r="S936" s="239" t="str">
        <f>VLOOKUP(H936,'Fund Utilization Report'!$A$4:$U$1800,13,FALSE)</f>
        <v>MOOE</v>
      </c>
      <c r="T936" s="239" t="str">
        <f>VLOOKUP(H936,'Fund Utilization Report'!$A$4:$U$1800,2,FALSE)</f>
        <v>GAA</v>
      </c>
      <c r="U936" s="239" t="str">
        <f>VLOOKUP(H936,'Fund Utilization Report'!$A$4:$U$1800,3,FALSE)</f>
        <v>FY2021, RA11518</v>
      </c>
      <c r="V936" s="239" t="str">
        <f>VLOOKUP(H936,'Fund Utilization Report'!$A$4:$U$1800,4,FALSE)</f>
        <v>GAS(GMS)</v>
      </c>
      <c r="W936" s="239" t="str">
        <f>VLOOKUP(H936,'Fund Utilization Report'!$A$4:$U$1800,5,FALSE)</f>
        <v>01101101</v>
      </c>
      <c r="X936" s="239" t="str">
        <f>VLOOKUP(H936,'Fund Utilization Report'!$A$4:$U$1800,6,FALSE)</f>
        <v>GOP</v>
      </c>
      <c r="Y936" s="440" t="str">
        <f>VLOOKUP(H936,'Fund Utilization Report'!$A$4:$U$1800,7,FALSE)</f>
        <v>MOOE</v>
      </c>
      <c r="Z936" s="441">
        <f>VLOOKUP(H936,'Fund Utilization Report'!$A$4:$U$1800,8,FALSE)</f>
        <v>5020000000</v>
      </c>
      <c r="AA936" s="239" t="str">
        <f>VLOOKUP(H936,'Fund Utilization Report'!$A$4:$U$1800,14,FALSE)</f>
        <v>100000100001000</v>
      </c>
      <c r="AB936" s="242" t="str">
        <f>VLOOKUP(H936,'Fund Utilization Report'!$A$4:$U$1800,15,FALSE)</f>
        <v>General Administration and Supervision - General Management and Supervision</v>
      </c>
      <c r="AC936" s="51"/>
      <c r="AD936" s="435"/>
      <c r="AE936" s="51"/>
      <c r="AF936" s="51"/>
      <c r="AG936" s="442"/>
      <c r="AH936" s="442"/>
      <c r="AI936" s="443"/>
    </row>
    <row r="937" spans="1:35" s="32" customFormat="1" ht="27.6">
      <c r="A937" s="434" t="s">
        <v>942</v>
      </c>
      <c r="B937" s="457" t="s">
        <v>946</v>
      </c>
      <c r="C937" s="233">
        <v>44263</v>
      </c>
      <c r="D937" s="435" t="s">
        <v>1267</v>
      </c>
      <c r="E937" s="436" t="s">
        <v>1375</v>
      </c>
      <c r="F937" s="338">
        <v>0.46736111111111112</v>
      </c>
      <c r="G937" s="338">
        <v>0.4680555555555555</v>
      </c>
      <c r="H937" s="338" t="s">
        <v>971</v>
      </c>
      <c r="I937" s="353">
        <v>761</v>
      </c>
      <c r="J937" s="338" t="str">
        <f>IFERROR(VLOOKUP(I937,'Chart of accounts'!A:H,2,FALSE),"")</f>
        <v>50203090 00</v>
      </c>
      <c r="K937" s="338" t="str">
        <f>IFERROR(VLOOKUP(I937,'Chart of accounts'!A:H,3,FALSE),"")</f>
        <v>Fuel, Oil and Lubricants Expenses</v>
      </c>
      <c r="L937" s="338" t="str">
        <f>IFERROR(VLOOKUP(I937,'Chart of accounts'!A:H,4,FALSE),"")</f>
        <v>50203090 00 - Fuel, Oil and Lubricants Expenses (761)</v>
      </c>
      <c r="M937" s="361" t="s">
        <v>813</v>
      </c>
      <c r="N937" s="355" t="s">
        <v>810</v>
      </c>
      <c r="O937" s="355" t="s">
        <v>1357</v>
      </c>
      <c r="P937" s="355"/>
      <c r="Q937" s="355">
        <v>5475.35</v>
      </c>
      <c r="R937" s="319">
        <f t="shared" si="23"/>
        <v>-5475.35</v>
      </c>
      <c r="S937" s="239" t="str">
        <f>VLOOKUP(H937,'Fund Utilization Report'!$A$4:$U$1800,13,FALSE)</f>
        <v>MOOE</v>
      </c>
      <c r="T937" s="239" t="str">
        <f>VLOOKUP(H937,'Fund Utilization Report'!$A$4:$U$1800,2,FALSE)</f>
        <v>GAA</v>
      </c>
      <c r="U937" s="239" t="str">
        <f>VLOOKUP(H937,'Fund Utilization Report'!$A$4:$U$1800,3,FALSE)</f>
        <v>FY2021, RA11518</v>
      </c>
      <c r="V937" s="239" t="str">
        <f>VLOOKUP(H937,'Fund Utilization Report'!$A$4:$U$1800,4,FALSE)</f>
        <v>OO3</v>
      </c>
      <c r="W937" s="239" t="str">
        <f>VLOOKUP(H937,'Fund Utilization Report'!$A$4:$U$1800,5,FALSE)</f>
        <v>01101101</v>
      </c>
      <c r="X937" s="239" t="str">
        <f>VLOOKUP(H937,'Fund Utilization Report'!$A$4:$U$1800,6,FALSE)</f>
        <v>GOP</v>
      </c>
      <c r="Y937" s="440" t="str">
        <f>VLOOKUP(H937,'Fund Utilization Report'!$A$4:$U$1800,7,FALSE)</f>
        <v>MOOE</v>
      </c>
      <c r="Z937" s="441">
        <f>VLOOKUP(H937,'Fund Utilization Report'!$A$4:$U$1800,8,FALSE)</f>
        <v>5020000000</v>
      </c>
      <c r="AA937" s="239" t="str">
        <f>VLOOKUP(H937,'Fund Utilization Report'!$A$4:$U$1800,14,FALSE)</f>
        <v>330100100002000</v>
      </c>
      <c r="AB937" s="242" t="str">
        <f>VLOOKUP(H937,'Fund Utilization Report'!$A$4:$U$1800,15,FALSE)</f>
        <v>Implementation of the MSME Development Plan and other initiatives to promote the growth of Micro, Small and Medium Enterprises</v>
      </c>
      <c r="AC937" s="51"/>
      <c r="AD937" s="435"/>
      <c r="AE937" s="51"/>
      <c r="AF937" s="51"/>
      <c r="AG937" s="442"/>
      <c r="AH937" s="442"/>
      <c r="AI937" s="443"/>
    </row>
    <row r="938" spans="1:35" s="32" customFormat="1" ht="27.6">
      <c r="A938" s="434" t="s">
        <v>942</v>
      </c>
      <c r="B938" s="457" t="s">
        <v>946</v>
      </c>
      <c r="C938" s="233">
        <v>44263</v>
      </c>
      <c r="D938" s="435" t="s">
        <v>1267</v>
      </c>
      <c r="E938" s="436" t="s">
        <v>1375</v>
      </c>
      <c r="F938" s="338">
        <v>0.46736111111111112</v>
      </c>
      <c r="G938" s="338">
        <v>0.4680555555555555</v>
      </c>
      <c r="H938" s="338" t="s">
        <v>968</v>
      </c>
      <c r="I938" s="353">
        <v>761</v>
      </c>
      <c r="J938" s="338" t="str">
        <f>IFERROR(VLOOKUP(I938,'Chart of accounts'!A:H,2,FALSE),"")</f>
        <v>50203090 00</v>
      </c>
      <c r="K938" s="338" t="str">
        <f>IFERROR(VLOOKUP(I938,'Chart of accounts'!A:H,3,FALSE),"")</f>
        <v>Fuel, Oil and Lubricants Expenses</v>
      </c>
      <c r="L938" s="338" t="str">
        <f>IFERROR(VLOOKUP(I938,'Chart of accounts'!A:H,4,FALSE),"")</f>
        <v>50203090 00 - Fuel, Oil and Lubricants Expenses (761)</v>
      </c>
      <c r="M938" s="361" t="s">
        <v>814</v>
      </c>
      <c r="N938" s="355" t="s">
        <v>810</v>
      </c>
      <c r="O938" s="355" t="s">
        <v>1357</v>
      </c>
      <c r="P938" s="355"/>
      <c r="Q938" s="355">
        <v>1369.22</v>
      </c>
      <c r="R938" s="319">
        <f t="shared" si="23"/>
        <v>-1369.22</v>
      </c>
      <c r="S938" s="239" t="str">
        <f>VLOOKUP(H938,'Fund Utilization Report'!$A$4:$U$1800,13,FALSE)</f>
        <v>MOOE</v>
      </c>
      <c r="T938" s="239" t="str">
        <f>VLOOKUP(H938,'Fund Utilization Report'!$A$4:$U$1800,2,FALSE)</f>
        <v>GAA</v>
      </c>
      <c r="U938" s="239" t="str">
        <f>VLOOKUP(H938,'Fund Utilization Report'!$A$4:$U$1800,3,FALSE)</f>
        <v>FY2021, RA11518</v>
      </c>
      <c r="V938" s="239" t="str">
        <f>VLOOKUP(H938,'Fund Utilization Report'!$A$4:$U$1800,4,FALSE)</f>
        <v>OO2</v>
      </c>
      <c r="W938" s="239" t="str">
        <f>VLOOKUP(H938,'Fund Utilization Report'!$A$4:$U$1800,5,FALSE)</f>
        <v>01101101</v>
      </c>
      <c r="X938" s="239" t="str">
        <f>VLOOKUP(H938,'Fund Utilization Report'!$A$4:$U$1800,6,FALSE)</f>
        <v>GOP</v>
      </c>
      <c r="Y938" s="440" t="str">
        <f>VLOOKUP(H938,'Fund Utilization Report'!$A$4:$U$1800,7,FALSE)</f>
        <v>MOOE</v>
      </c>
      <c r="Z938" s="441">
        <f>VLOOKUP(H938,'Fund Utilization Report'!$A$4:$U$1800,8,FALSE)</f>
        <v>5020000000</v>
      </c>
      <c r="AA938" s="239" t="str">
        <f>VLOOKUP(H938,'Fund Utilization Report'!$A$4:$U$1800,14,FALSE)</f>
        <v>320100100001000</v>
      </c>
      <c r="AB938" s="242" t="str">
        <f>VLOOKUP(H938,'Fund Utilization Report'!$A$4:$U$1800,15,FALSE)</f>
        <v>Formulation of Strategic plans,programs, and policies to develop competitve industries</v>
      </c>
      <c r="AC938" s="51"/>
      <c r="AD938" s="435"/>
      <c r="AE938" s="51"/>
      <c r="AF938" s="51"/>
      <c r="AG938" s="442"/>
      <c r="AH938" s="442"/>
      <c r="AI938" s="443"/>
    </row>
    <row r="939" spans="1:35" s="32" customFormat="1" ht="27.6">
      <c r="A939" s="434" t="s">
        <v>942</v>
      </c>
      <c r="B939" s="457" t="s">
        <v>946</v>
      </c>
      <c r="C939" s="233">
        <v>44263</v>
      </c>
      <c r="D939" s="435" t="s">
        <v>1267</v>
      </c>
      <c r="E939" s="436" t="s">
        <v>1375</v>
      </c>
      <c r="F939" s="338">
        <v>0.46736111111111112</v>
      </c>
      <c r="G939" s="338">
        <v>0.4680555555555555</v>
      </c>
      <c r="H939" s="338" t="s">
        <v>979</v>
      </c>
      <c r="I939" s="353">
        <v>761</v>
      </c>
      <c r="J939" s="338" t="str">
        <f>IFERROR(VLOOKUP(I939,'Chart of accounts'!A:H,2,FALSE),"")</f>
        <v>50203090 00</v>
      </c>
      <c r="K939" s="338" t="str">
        <f>IFERROR(VLOOKUP(I939,'Chart of accounts'!A:H,3,FALSE),"")</f>
        <v>Fuel, Oil and Lubricants Expenses</v>
      </c>
      <c r="L939" s="338" t="str">
        <f>IFERROR(VLOOKUP(I939,'Chart of accounts'!A:H,4,FALSE),"")</f>
        <v>50203090 00 - Fuel, Oil and Lubricants Expenses (761)</v>
      </c>
      <c r="M939" s="361" t="s">
        <v>815</v>
      </c>
      <c r="N939" s="355" t="s">
        <v>810</v>
      </c>
      <c r="O939" s="355" t="s">
        <v>1357</v>
      </c>
      <c r="P939" s="355"/>
      <c r="Q939" s="355">
        <v>511.18</v>
      </c>
      <c r="R939" s="319">
        <f t="shared" si="23"/>
        <v>-511.18</v>
      </c>
      <c r="S939" s="239" t="str">
        <f>VLOOKUP(H939,'Fund Utilization Report'!$A$4:$U$1800,13,FALSE)</f>
        <v>MOOE</v>
      </c>
      <c r="T939" s="239" t="str">
        <f>VLOOKUP(H939,'Fund Utilization Report'!$A$4:$U$1800,2,FALSE)</f>
        <v>GAA</v>
      </c>
      <c r="U939" s="239" t="str">
        <f>VLOOKUP(H939,'Fund Utilization Report'!$A$4:$U$1800,3,FALSE)</f>
        <v>FY2021, RA11518</v>
      </c>
      <c r="V939" s="239" t="str">
        <f>VLOOKUP(H939,'Fund Utilization Report'!$A$4:$U$1800,4,FALSE)</f>
        <v>OO 4.2</v>
      </c>
      <c r="W939" s="239" t="str">
        <f>VLOOKUP(H939,'Fund Utilization Report'!$A$4:$U$1800,5,FALSE)</f>
        <v>01101101</v>
      </c>
      <c r="X939" s="239" t="str">
        <f>VLOOKUP(H939,'Fund Utilization Report'!$A$4:$U$1800,6,FALSE)</f>
        <v>GOP</v>
      </c>
      <c r="Y939" s="440" t="str">
        <f>VLOOKUP(H939,'Fund Utilization Report'!$A$4:$U$1800,7,FALSE)</f>
        <v>MOOE</v>
      </c>
      <c r="Z939" s="441">
        <f>VLOOKUP(H939,'Fund Utilization Report'!$A$4:$U$1800,8,FALSE)</f>
        <v>5020000000</v>
      </c>
      <c r="AA939" s="239" t="str">
        <f>VLOOKUP(H939,'Fund Utilization Report'!$A$4:$U$1800,14,FALSE)</f>
        <v>340200100002000</v>
      </c>
      <c r="AB939" s="242" t="str">
        <f>VLOOKUP(H939,'Fund Utilization Report'!$A$4:$U$1800,15,FALSE)</f>
        <v>Implementation of Plans, projects and activities on consumer awareness, education, and advocacy</v>
      </c>
      <c r="AC939" s="51"/>
      <c r="AD939" s="435"/>
      <c r="AE939" s="51"/>
      <c r="AF939" s="51"/>
      <c r="AG939" s="442"/>
      <c r="AH939" s="442"/>
      <c r="AI939" s="443"/>
    </row>
    <row r="940" spans="1:35" s="32" customFormat="1" ht="27.6">
      <c r="A940" s="434" t="s">
        <v>942</v>
      </c>
      <c r="B940" s="457" t="s">
        <v>946</v>
      </c>
      <c r="C940" s="233">
        <v>44263</v>
      </c>
      <c r="D940" s="435" t="s">
        <v>1267</v>
      </c>
      <c r="E940" s="436" t="s">
        <v>1375</v>
      </c>
      <c r="F940" s="338">
        <v>0.46736111111111112</v>
      </c>
      <c r="G940" s="338">
        <v>0.4680555555555555</v>
      </c>
      <c r="H940" s="338" t="s">
        <v>961</v>
      </c>
      <c r="I940" s="353">
        <v>761</v>
      </c>
      <c r="J940" s="338" t="str">
        <f>IFERROR(VLOOKUP(I940,'Chart of accounts'!A:H,2,FALSE),"")</f>
        <v>50203090 00</v>
      </c>
      <c r="K940" s="338" t="str">
        <f>IFERROR(VLOOKUP(I940,'Chart of accounts'!A:H,3,FALSE),"")</f>
        <v>Fuel, Oil and Lubricants Expenses</v>
      </c>
      <c r="L940" s="338" t="str">
        <f>IFERROR(VLOOKUP(I940,'Chart of accounts'!A:H,4,FALSE),"")</f>
        <v>50203090 00 - Fuel, Oil and Lubricants Expenses (761)</v>
      </c>
      <c r="M940" s="361" t="s">
        <v>816</v>
      </c>
      <c r="N940" s="355" t="s">
        <v>810</v>
      </c>
      <c r="O940" s="355" t="s">
        <v>1357</v>
      </c>
      <c r="P940" s="355"/>
      <c r="Q940" s="355">
        <v>6124.51</v>
      </c>
      <c r="R940" s="319">
        <f t="shared" si="23"/>
        <v>-6124.51</v>
      </c>
      <c r="S940" s="239" t="str">
        <f>VLOOKUP(H940,'Fund Utilization Report'!$A$4:$U$1800,13,FALSE)</f>
        <v>MOOE</v>
      </c>
      <c r="T940" s="239" t="str">
        <f>VLOOKUP(H940,'Fund Utilization Report'!$A$4:$U$1800,2,FALSE)</f>
        <v>GAA</v>
      </c>
      <c r="U940" s="239" t="str">
        <f>VLOOKUP(H940,'Fund Utilization Report'!$A$4:$U$1800,3,FALSE)</f>
        <v>FY2021, RA11518</v>
      </c>
      <c r="V940" s="239" t="str">
        <f>VLOOKUP(H940,'Fund Utilization Report'!$A$4:$U$1800,4,FALSE)</f>
        <v>GAS(GMS)</v>
      </c>
      <c r="W940" s="239" t="str">
        <f>VLOOKUP(H940,'Fund Utilization Report'!$A$4:$U$1800,5,FALSE)</f>
        <v>01101101</v>
      </c>
      <c r="X940" s="239" t="str">
        <f>VLOOKUP(H940,'Fund Utilization Report'!$A$4:$U$1800,6,FALSE)</f>
        <v>GOP</v>
      </c>
      <c r="Y940" s="440" t="str">
        <f>VLOOKUP(H940,'Fund Utilization Report'!$A$4:$U$1800,7,FALSE)</f>
        <v>MOOE</v>
      </c>
      <c r="Z940" s="441">
        <f>VLOOKUP(H940,'Fund Utilization Report'!$A$4:$U$1800,8,FALSE)</f>
        <v>5020000000</v>
      </c>
      <c r="AA940" s="239" t="str">
        <f>VLOOKUP(H940,'Fund Utilization Report'!$A$4:$U$1800,14,FALSE)</f>
        <v>100000100001000</v>
      </c>
      <c r="AB940" s="242" t="str">
        <f>VLOOKUP(H940,'Fund Utilization Report'!$A$4:$U$1800,15,FALSE)</f>
        <v>General Administration and Supervision - General Management and Supervision</v>
      </c>
      <c r="AC940" s="51"/>
      <c r="AD940" s="435"/>
      <c r="AE940" s="51"/>
      <c r="AF940" s="51"/>
      <c r="AG940" s="442"/>
      <c r="AH940" s="442"/>
      <c r="AI940" s="443"/>
    </row>
    <row r="941" spans="1:35" s="32" customFormat="1">
      <c r="A941" s="434" t="s">
        <v>942</v>
      </c>
      <c r="B941" s="457" t="s">
        <v>946</v>
      </c>
      <c r="C941" s="233">
        <v>44263</v>
      </c>
      <c r="D941" s="435" t="s">
        <v>1267</v>
      </c>
      <c r="E941" s="436" t="s">
        <v>1376</v>
      </c>
      <c r="F941" s="338">
        <v>0.48541666666666666</v>
      </c>
      <c r="G941" s="338">
        <v>0.4861111111111111</v>
      </c>
      <c r="H941" s="338" t="s">
        <v>961</v>
      </c>
      <c r="I941" s="353">
        <v>766</v>
      </c>
      <c r="J941" s="338" t="str">
        <f>IFERROR(VLOOKUP(I941,'Chart of accounts'!A:H,2,FALSE),"")</f>
        <v>50204010 00</v>
      </c>
      <c r="K941" s="338" t="str">
        <f>IFERROR(VLOOKUP(I941,'Chart of accounts'!A:H,3,FALSE),"")</f>
        <v>Water Expenses</v>
      </c>
      <c r="L941" s="338" t="str">
        <f>IFERROR(VLOOKUP(I941,'Chart of accounts'!A:H,4,FALSE),"")</f>
        <v>50204010 00 - Water Expenses (766)</v>
      </c>
      <c r="M941" s="361">
        <v>1</v>
      </c>
      <c r="N941" s="355" t="s">
        <v>836</v>
      </c>
      <c r="O941" s="355" t="s">
        <v>1358</v>
      </c>
      <c r="P941" s="355"/>
      <c r="Q941" s="355">
        <v>2275</v>
      </c>
      <c r="R941" s="319">
        <f t="shared" si="23"/>
        <v>-2275</v>
      </c>
      <c r="S941" s="239" t="str">
        <f>VLOOKUP(H941,'Fund Utilization Report'!$A$4:$U$1800,13,FALSE)</f>
        <v>MOOE</v>
      </c>
      <c r="T941" s="239" t="str">
        <f>VLOOKUP(H941,'Fund Utilization Report'!$A$4:$U$1800,2,FALSE)</f>
        <v>GAA</v>
      </c>
      <c r="U941" s="239" t="str">
        <f>VLOOKUP(H941,'Fund Utilization Report'!$A$4:$U$1800,3,FALSE)</f>
        <v>FY2021, RA11518</v>
      </c>
      <c r="V941" s="239" t="str">
        <f>VLOOKUP(H941,'Fund Utilization Report'!$A$4:$U$1800,4,FALSE)</f>
        <v>GAS(GMS)</v>
      </c>
      <c r="W941" s="239" t="str">
        <f>VLOOKUP(H941,'Fund Utilization Report'!$A$4:$U$1800,5,FALSE)</f>
        <v>01101101</v>
      </c>
      <c r="X941" s="239" t="str">
        <f>VLOOKUP(H941,'Fund Utilization Report'!$A$4:$U$1800,6,FALSE)</f>
        <v>GOP</v>
      </c>
      <c r="Y941" s="440" t="str">
        <f>VLOOKUP(H941,'Fund Utilization Report'!$A$4:$U$1800,7,FALSE)</f>
        <v>MOOE</v>
      </c>
      <c r="Z941" s="441">
        <f>VLOOKUP(H941,'Fund Utilization Report'!$A$4:$U$1800,8,FALSE)</f>
        <v>5020000000</v>
      </c>
      <c r="AA941" s="239" t="str">
        <f>VLOOKUP(H941,'Fund Utilization Report'!$A$4:$U$1800,14,FALSE)</f>
        <v>100000100001000</v>
      </c>
      <c r="AB941" s="242" t="str">
        <f>VLOOKUP(H941,'Fund Utilization Report'!$A$4:$U$1800,15,FALSE)</f>
        <v>General Administration and Supervision - General Management and Supervision</v>
      </c>
      <c r="AC941" s="51"/>
      <c r="AD941" s="435"/>
      <c r="AE941" s="51"/>
      <c r="AF941" s="51"/>
      <c r="AG941" s="442"/>
      <c r="AH941" s="442"/>
      <c r="AI941" s="443"/>
    </row>
    <row r="942" spans="1:35" s="32" customFormat="1" ht="27.6">
      <c r="A942" s="434" t="s">
        <v>942</v>
      </c>
      <c r="B942" s="457" t="s">
        <v>946</v>
      </c>
      <c r="C942" s="233">
        <v>44263</v>
      </c>
      <c r="D942" s="435" t="s">
        <v>1267</v>
      </c>
      <c r="E942" s="436" t="s">
        <v>1377</v>
      </c>
      <c r="F942" s="338">
        <v>0.4861111111111111</v>
      </c>
      <c r="G942" s="338">
        <v>0.48680555555555555</v>
      </c>
      <c r="H942" s="338" t="s">
        <v>961</v>
      </c>
      <c r="I942" s="353">
        <v>771</v>
      </c>
      <c r="J942" s="338" t="str">
        <f>IFERROR(VLOOKUP(I942,'Chart of accounts'!A:H,2,FALSE),"")</f>
        <v>50205010 00</v>
      </c>
      <c r="K942" s="338" t="str">
        <f>IFERROR(VLOOKUP(I942,'Chart of accounts'!A:H,3,FALSE),"")</f>
        <v>Postage and Courier Services</v>
      </c>
      <c r="L942" s="338" t="str">
        <f>IFERROR(VLOOKUP(I942,'Chart of accounts'!A:H,4,FALSE),"")</f>
        <v>50205010 00 - Postage and Courier Services (771)</v>
      </c>
      <c r="M942" s="361">
        <v>1</v>
      </c>
      <c r="N942" s="355" t="s">
        <v>1359</v>
      </c>
      <c r="O942" s="355" t="s">
        <v>1360</v>
      </c>
      <c r="P942" s="355"/>
      <c r="Q942" s="355">
        <v>6323</v>
      </c>
      <c r="R942" s="319">
        <f t="shared" si="23"/>
        <v>-6323</v>
      </c>
      <c r="S942" s="239" t="str">
        <f>VLOOKUP(H942,'Fund Utilization Report'!$A$4:$U$1800,13,FALSE)</f>
        <v>MOOE</v>
      </c>
      <c r="T942" s="239" t="str">
        <f>VLOOKUP(H942,'Fund Utilization Report'!$A$4:$U$1800,2,FALSE)</f>
        <v>GAA</v>
      </c>
      <c r="U942" s="239" t="str">
        <f>VLOOKUP(H942,'Fund Utilization Report'!$A$4:$U$1800,3,FALSE)</f>
        <v>FY2021, RA11518</v>
      </c>
      <c r="V942" s="239" t="str">
        <f>VLOOKUP(H942,'Fund Utilization Report'!$A$4:$U$1800,4,FALSE)</f>
        <v>GAS(GMS)</v>
      </c>
      <c r="W942" s="239" t="str">
        <f>VLOOKUP(H942,'Fund Utilization Report'!$A$4:$U$1800,5,FALSE)</f>
        <v>01101101</v>
      </c>
      <c r="X942" s="239" t="str">
        <f>VLOOKUP(H942,'Fund Utilization Report'!$A$4:$U$1800,6,FALSE)</f>
        <v>GOP</v>
      </c>
      <c r="Y942" s="440" t="str">
        <f>VLOOKUP(H942,'Fund Utilization Report'!$A$4:$U$1800,7,FALSE)</f>
        <v>MOOE</v>
      </c>
      <c r="Z942" s="441">
        <f>VLOOKUP(H942,'Fund Utilization Report'!$A$4:$U$1800,8,FALSE)</f>
        <v>5020000000</v>
      </c>
      <c r="AA942" s="239" t="str">
        <f>VLOOKUP(H942,'Fund Utilization Report'!$A$4:$U$1800,14,FALSE)</f>
        <v>100000100001000</v>
      </c>
      <c r="AB942" s="242" t="str">
        <f>VLOOKUP(H942,'Fund Utilization Report'!$A$4:$U$1800,15,FALSE)</f>
        <v>General Administration and Supervision - General Management and Supervision</v>
      </c>
      <c r="AC942" s="51"/>
      <c r="AD942" s="435"/>
      <c r="AE942" s="51"/>
      <c r="AF942" s="51"/>
      <c r="AG942" s="442"/>
      <c r="AH942" s="442"/>
      <c r="AI942" s="443"/>
    </row>
    <row r="943" spans="1:35" s="32" customFormat="1" ht="27.6">
      <c r="A943" s="434" t="s">
        <v>942</v>
      </c>
      <c r="B943" s="457" t="s">
        <v>946</v>
      </c>
      <c r="C943" s="233">
        <v>44263</v>
      </c>
      <c r="D943" s="435" t="s">
        <v>1267</v>
      </c>
      <c r="E943" s="436" t="s">
        <v>1378</v>
      </c>
      <c r="F943" s="338">
        <v>0.48680555555555555</v>
      </c>
      <c r="G943" s="338">
        <v>0.48749999999999999</v>
      </c>
      <c r="H943" s="338" t="s">
        <v>961</v>
      </c>
      <c r="I943" s="353">
        <v>786</v>
      </c>
      <c r="J943" s="338" t="str">
        <f>IFERROR(VLOOKUP(I943,'Chart of accounts'!A:H,2,FALSE),"")</f>
        <v>50299070 00</v>
      </c>
      <c r="K943" s="338" t="str">
        <f>IFERROR(VLOOKUP(I943,'Chart of accounts'!A:H,3,FALSE),"")</f>
        <v>Subscriptions Expenses</v>
      </c>
      <c r="L943" s="338" t="str">
        <f>IFERROR(VLOOKUP(I943,'Chart of accounts'!A:H,4,FALSE),"")</f>
        <v>50299070 00 - Subscriptions Expenses (786)</v>
      </c>
      <c r="M943" s="361">
        <v>1</v>
      </c>
      <c r="N943" s="355" t="s">
        <v>1072</v>
      </c>
      <c r="O943" s="355" t="s">
        <v>1361</v>
      </c>
      <c r="P943" s="355"/>
      <c r="Q943" s="355">
        <v>1242</v>
      </c>
      <c r="R943" s="319">
        <f t="shared" si="23"/>
        <v>-1242</v>
      </c>
      <c r="S943" s="239" t="str">
        <f>VLOOKUP(H943,'Fund Utilization Report'!$A$4:$U$1800,13,FALSE)</f>
        <v>MOOE</v>
      </c>
      <c r="T943" s="239" t="str">
        <f>VLOOKUP(H943,'Fund Utilization Report'!$A$4:$U$1800,2,FALSE)</f>
        <v>GAA</v>
      </c>
      <c r="U943" s="239" t="str">
        <f>VLOOKUP(H943,'Fund Utilization Report'!$A$4:$U$1800,3,FALSE)</f>
        <v>FY2021, RA11518</v>
      </c>
      <c r="V943" s="239" t="str">
        <f>VLOOKUP(H943,'Fund Utilization Report'!$A$4:$U$1800,4,FALSE)</f>
        <v>GAS(GMS)</v>
      </c>
      <c r="W943" s="239" t="str">
        <f>VLOOKUP(H943,'Fund Utilization Report'!$A$4:$U$1800,5,FALSE)</f>
        <v>01101101</v>
      </c>
      <c r="X943" s="239" t="str">
        <f>VLOOKUP(H943,'Fund Utilization Report'!$A$4:$U$1800,6,FALSE)</f>
        <v>GOP</v>
      </c>
      <c r="Y943" s="440" t="str">
        <f>VLOOKUP(H943,'Fund Utilization Report'!$A$4:$U$1800,7,FALSE)</f>
        <v>MOOE</v>
      </c>
      <c r="Z943" s="441">
        <f>VLOOKUP(H943,'Fund Utilization Report'!$A$4:$U$1800,8,FALSE)</f>
        <v>5020000000</v>
      </c>
      <c r="AA943" s="239" t="str">
        <f>VLOOKUP(H943,'Fund Utilization Report'!$A$4:$U$1800,14,FALSE)</f>
        <v>100000100001000</v>
      </c>
      <c r="AB943" s="242" t="str">
        <f>VLOOKUP(H943,'Fund Utilization Report'!$A$4:$U$1800,15,FALSE)</f>
        <v>General Administration and Supervision - General Management and Supervision</v>
      </c>
      <c r="AC943" s="51"/>
      <c r="AD943" s="435"/>
      <c r="AE943" s="51"/>
      <c r="AF943" s="51"/>
      <c r="AG943" s="442"/>
      <c r="AH943" s="442"/>
      <c r="AI943" s="443"/>
    </row>
    <row r="944" spans="1:35" s="32" customFormat="1" ht="27.6">
      <c r="A944" s="434" t="s">
        <v>942</v>
      </c>
      <c r="B944" s="457" t="s">
        <v>946</v>
      </c>
      <c r="C944" s="233">
        <v>44263</v>
      </c>
      <c r="D944" s="435" t="s">
        <v>1267</v>
      </c>
      <c r="E944" s="436" t="s">
        <v>1379</v>
      </c>
      <c r="F944" s="338">
        <v>0.48749999999999999</v>
      </c>
      <c r="G944" s="338">
        <v>0.48888888888888887</v>
      </c>
      <c r="H944" s="338" t="s">
        <v>968</v>
      </c>
      <c r="I944" s="353">
        <v>782</v>
      </c>
      <c r="J944" s="338" t="str">
        <f>IFERROR(VLOOKUP(I944,'Chart of accounts'!A:H,2,FALSE),"")</f>
        <v>50299050 01</v>
      </c>
      <c r="K944" s="338" t="str">
        <f>IFERROR(VLOOKUP(I944,'Chart of accounts'!A:H,3,FALSE),"")</f>
        <v>Rent - Buildings and Structures</v>
      </c>
      <c r="L944" s="338" t="str">
        <f>IFERROR(VLOOKUP(I944,'Chart of accounts'!A:H,4,FALSE),"")</f>
        <v>50299050 01 - Rent - Buildings and Structures (782)</v>
      </c>
      <c r="M944" s="361">
        <v>1</v>
      </c>
      <c r="N944" s="355" t="s">
        <v>1362</v>
      </c>
      <c r="O944" s="355" t="s">
        <v>1363</v>
      </c>
      <c r="P944" s="355"/>
      <c r="Q944" s="355">
        <f>170501.47-20000</f>
        <v>150501.47</v>
      </c>
      <c r="R944" s="319">
        <f t="shared" ref="R944:R970" si="24">P944-Q944</f>
        <v>-150501.47</v>
      </c>
      <c r="S944" s="239" t="str">
        <f>VLOOKUP(H944,'Fund Utilization Report'!$A$4:$U$1800,13,FALSE)</f>
        <v>MOOE</v>
      </c>
      <c r="T944" s="239" t="str">
        <f>VLOOKUP(H944,'Fund Utilization Report'!$A$4:$U$1800,2,FALSE)</f>
        <v>GAA</v>
      </c>
      <c r="U944" s="239" t="str">
        <f>VLOOKUP(H944,'Fund Utilization Report'!$A$4:$U$1800,3,FALSE)</f>
        <v>FY2021, RA11518</v>
      </c>
      <c r="V944" s="239" t="str">
        <f>VLOOKUP(H944,'Fund Utilization Report'!$A$4:$U$1800,4,FALSE)</f>
        <v>OO2</v>
      </c>
      <c r="W944" s="239" t="str">
        <f>VLOOKUP(H944,'Fund Utilization Report'!$A$4:$U$1800,5,FALSE)</f>
        <v>01101101</v>
      </c>
      <c r="X944" s="239" t="str">
        <f>VLOOKUP(H944,'Fund Utilization Report'!$A$4:$U$1800,6,FALSE)</f>
        <v>GOP</v>
      </c>
      <c r="Y944" s="440" t="str">
        <f>VLOOKUP(H944,'Fund Utilization Report'!$A$4:$U$1800,7,FALSE)</f>
        <v>MOOE</v>
      </c>
      <c r="Z944" s="441">
        <f>VLOOKUP(H944,'Fund Utilization Report'!$A$4:$U$1800,8,FALSE)</f>
        <v>5020000000</v>
      </c>
      <c r="AA944" s="239" t="str">
        <f>VLOOKUP(H944,'Fund Utilization Report'!$A$4:$U$1800,14,FALSE)</f>
        <v>320100100001000</v>
      </c>
      <c r="AB944" s="242" t="str">
        <f>VLOOKUP(H944,'Fund Utilization Report'!$A$4:$U$1800,15,FALSE)</f>
        <v>Formulation of Strategic plans,programs, and policies to develop competitve industries</v>
      </c>
      <c r="AC944" s="51"/>
      <c r="AD944" s="435"/>
      <c r="AE944" s="51"/>
      <c r="AF944" s="51"/>
      <c r="AG944" s="442"/>
      <c r="AH944" s="442"/>
      <c r="AI944" s="443"/>
    </row>
    <row r="945" spans="1:35" s="32" customFormat="1" ht="27.6">
      <c r="A945" s="434" t="s">
        <v>942</v>
      </c>
      <c r="B945" s="457" t="s">
        <v>946</v>
      </c>
      <c r="C945" s="233">
        <v>44263</v>
      </c>
      <c r="D945" s="435" t="s">
        <v>1267</v>
      </c>
      <c r="E945" s="436" t="s">
        <v>1379</v>
      </c>
      <c r="F945" s="338">
        <v>0.48749999999999999</v>
      </c>
      <c r="G945" s="338">
        <v>0.48888888888888887</v>
      </c>
      <c r="H945" s="338" t="s">
        <v>980</v>
      </c>
      <c r="I945" s="353">
        <v>782</v>
      </c>
      <c r="J945" s="338" t="str">
        <f>IFERROR(VLOOKUP(I945,'Chart of accounts'!A:H,2,FALSE),"")</f>
        <v>50299050 01</v>
      </c>
      <c r="K945" s="338" t="str">
        <f>IFERROR(VLOOKUP(I945,'Chart of accounts'!A:H,3,FALSE),"")</f>
        <v>Rent - Buildings and Structures</v>
      </c>
      <c r="L945" s="338" t="str">
        <f>IFERROR(VLOOKUP(I945,'Chart of accounts'!A:H,4,FALSE),"")</f>
        <v>50299050 01 - Rent - Buildings and Structures (782)</v>
      </c>
      <c r="M945" s="361">
        <v>1</v>
      </c>
      <c r="N945" s="355" t="s">
        <v>1362</v>
      </c>
      <c r="O945" s="355" t="s">
        <v>1363</v>
      </c>
      <c r="P945" s="355"/>
      <c r="Q945" s="363">
        <v>20000</v>
      </c>
      <c r="R945" s="319">
        <f t="shared" si="24"/>
        <v>-20000</v>
      </c>
      <c r="S945" s="239" t="str">
        <f>VLOOKUP(H945,'Fund Utilization Report'!$A$4:$U$1800,13,FALSE)</f>
        <v>MOOE</v>
      </c>
      <c r="T945" s="239" t="str">
        <f>VLOOKUP(H945,'Fund Utilization Report'!$A$4:$U$1800,2,FALSE)</f>
        <v>GAA</v>
      </c>
      <c r="U945" s="239" t="str">
        <f>VLOOKUP(H945,'Fund Utilization Report'!$A$4:$U$1800,3,FALSE)</f>
        <v>FY2021, RA11518</v>
      </c>
      <c r="V945" s="239" t="str">
        <f>VLOOKUP(H945,'Fund Utilization Report'!$A$4:$U$1800,4,FALSE)</f>
        <v>NC</v>
      </c>
      <c r="W945" s="239" t="str">
        <f>VLOOKUP(H945,'Fund Utilization Report'!$A$4:$U$1800,5,FALSE)</f>
        <v>01101101</v>
      </c>
      <c r="X945" s="239" t="str">
        <f>VLOOKUP(H945,'Fund Utilization Report'!$A$4:$U$1800,6,FALSE)</f>
        <v>GOP</v>
      </c>
      <c r="Y945" s="440" t="str">
        <f>VLOOKUP(H945,'Fund Utilization Report'!$A$4:$U$1800,7,FALSE)</f>
        <v>MOOE</v>
      </c>
      <c r="Z945" s="441">
        <f>VLOOKUP(H945,'Fund Utilization Report'!$A$4:$U$1800,8,FALSE)</f>
        <v>5020000000</v>
      </c>
      <c r="AA945" s="239" t="str">
        <f>VLOOKUP(H945,'Fund Utilization Report'!$A$4:$U$1800,14,FALSE)</f>
        <v>330100200001000</v>
      </c>
      <c r="AB945" s="242" t="str">
        <f>VLOOKUP(H945,'Fund Utilization Report'!$A$4:$U$1800,15,FALSE)</f>
        <v>Establishment of Negosyo Centers</v>
      </c>
      <c r="AC945" s="51"/>
      <c r="AD945" s="435"/>
      <c r="AE945" s="51"/>
      <c r="AF945" s="51"/>
      <c r="AG945" s="442"/>
      <c r="AH945" s="442"/>
      <c r="AI945" s="443"/>
    </row>
    <row r="946" spans="1:35" s="32" customFormat="1" ht="27.6">
      <c r="A946" s="434" t="s">
        <v>942</v>
      </c>
      <c r="B946" s="457" t="s">
        <v>946</v>
      </c>
      <c r="C946" s="233">
        <v>44265</v>
      </c>
      <c r="D946" s="435" t="s">
        <v>1267</v>
      </c>
      <c r="E946" s="436" t="s">
        <v>1383</v>
      </c>
      <c r="F946" s="338">
        <v>0.39861111111111108</v>
      </c>
      <c r="G946" s="338">
        <v>0.39861111111111108</v>
      </c>
      <c r="H946" s="338" t="s">
        <v>961</v>
      </c>
      <c r="I946" s="353">
        <v>783</v>
      </c>
      <c r="J946" s="338" t="str">
        <f>IFERROR(VLOOKUP(I946,'Chart of accounts'!A:H,2,FALSE),"")</f>
        <v>50299030 00</v>
      </c>
      <c r="K946" s="338" t="str">
        <f>IFERROR(VLOOKUP(I946,'Chart of accounts'!A:H,3,FALSE),"")</f>
        <v>Representation Expenses</v>
      </c>
      <c r="L946" s="338" t="str">
        <f>IFERROR(VLOOKUP(I946,'Chart of accounts'!A:H,4,FALSE),"")</f>
        <v>50299030 00 - Representation Expenses (783)</v>
      </c>
      <c r="M946" s="361" t="s">
        <v>812</v>
      </c>
      <c r="N946" s="355" t="s">
        <v>1380</v>
      </c>
      <c r="O946" s="355" t="s">
        <v>1381</v>
      </c>
      <c r="P946" s="355"/>
      <c r="Q946" s="355">
        <v>7635</v>
      </c>
      <c r="R946" s="319">
        <f t="shared" si="24"/>
        <v>-7635</v>
      </c>
      <c r="S946" s="239" t="str">
        <f>VLOOKUP(H946,'Fund Utilization Report'!$A$4:$U$1800,13,FALSE)</f>
        <v>MOOE</v>
      </c>
      <c r="T946" s="239" t="str">
        <f>VLOOKUP(H946,'Fund Utilization Report'!$A$4:$U$1800,2,FALSE)</f>
        <v>GAA</v>
      </c>
      <c r="U946" s="239" t="str">
        <f>VLOOKUP(H946,'Fund Utilization Report'!$A$4:$U$1800,3,FALSE)</f>
        <v>FY2021, RA11518</v>
      </c>
      <c r="V946" s="239" t="str">
        <f>VLOOKUP(H946,'Fund Utilization Report'!$A$4:$U$1800,4,FALSE)</f>
        <v>GAS(GMS)</v>
      </c>
      <c r="W946" s="239" t="str">
        <f>VLOOKUP(H946,'Fund Utilization Report'!$A$4:$U$1800,5,FALSE)</f>
        <v>01101101</v>
      </c>
      <c r="X946" s="239" t="str">
        <f>VLOOKUP(H946,'Fund Utilization Report'!$A$4:$U$1800,6,FALSE)</f>
        <v>GOP</v>
      </c>
      <c r="Y946" s="440" t="str">
        <f>VLOOKUP(H946,'Fund Utilization Report'!$A$4:$U$1800,7,FALSE)</f>
        <v>MOOE</v>
      </c>
      <c r="Z946" s="441">
        <f>VLOOKUP(H946,'Fund Utilization Report'!$A$4:$U$1800,8,FALSE)</f>
        <v>5020000000</v>
      </c>
      <c r="AA946" s="239" t="str">
        <f>VLOOKUP(H946,'Fund Utilization Report'!$A$4:$U$1800,14,FALSE)</f>
        <v>100000100001000</v>
      </c>
      <c r="AB946" s="242" t="str">
        <f>VLOOKUP(H946,'Fund Utilization Report'!$A$4:$U$1800,15,FALSE)</f>
        <v>General Administration and Supervision - General Management and Supervision</v>
      </c>
      <c r="AC946" s="51"/>
      <c r="AD946" s="435"/>
      <c r="AE946" s="51"/>
      <c r="AF946" s="51"/>
      <c r="AG946" s="442"/>
      <c r="AH946" s="442"/>
      <c r="AI946" s="443"/>
    </row>
    <row r="947" spans="1:35" s="32" customFormat="1" ht="27.6">
      <c r="A947" s="434" t="s">
        <v>942</v>
      </c>
      <c r="B947" s="457" t="s">
        <v>946</v>
      </c>
      <c r="C947" s="233">
        <v>44265</v>
      </c>
      <c r="D947" s="435" t="s">
        <v>1267</v>
      </c>
      <c r="E947" s="436" t="s">
        <v>1385</v>
      </c>
      <c r="F947" s="338">
        <v>0.39861111111111108</v>
      </c>
      <c r="G947" s="338">
        <v>0.40486111111111112</v>
      </c>
      <c r="H947" s="338" t="s">
        <v>960</v>
      </c>
      <c r="I947" s="353">
        <v>701</v>
      </c>
      <c r="J947" s="338" t="str">
        <f>IFERROR(VLOOKUP(I947,'Chart of accounts'!A:H,2,FALSE),"")</f>
        <v>50101010 01</v>
      </c>
      <c r="K947" s="338" t="str">
        <f>IFERROR(VLOOKUP(I947,'Chart of accounts'!A:H,3,FALSE),"")</f>
        <v>Basic Salary - Civilian</v>
      </c>
      <c r="L947" s="338" t="str">
        <f>IFERROR(VLOOKUP(I947,'Chart of accounts'!A:H,4,FALSE),"")</f>
        <v>50101010 01 - Basic Salary - Civilian (701)</v>
      </c>
      <c r="M947" s="361">
        <v>3</v>
      </c>
      <c r="N947" s="355" t="s">
        <v>777</v>
      </c>
      <c r="O947" s="355" t="s">
        <v>1384</v>
      </c>
      <c r="P947" s="355"/>
      <c r="Q947" s="363">
        <v>97270</v>
      </c>
      <c r="R947" s="319">
        <f t="shared" si="24"/>
        <v>-97270</v>
      </c>
      <c r="S947" s="239" t="str">
        <f>VLOOKUP(H947,'Fund Utilization Report'!$A$4:$U$1800,13,FALSE)</f>
        <v>PS</v>
      </c>
      <c r="T947" s="239" t="str">
        <f>VLOOKUP(H947,'Fund Utilization Report'!$A$4:$U$1800,2,FALSE)</f>
        <v>GAA</v>
      </c>
      <c r="U947" s="239" t="str">
        <f>VLOOKUP(H947,'Fund Utilization Report'!$A$4:$U$1800,3,FALSE)</f>
        <v>FY2021, RA11518</v>
      </c>
      <c r="V947" s="239" t="str">
        <f>VLOOKUP(H947,'Fund Utilization Report'!$A$4:$U$1800,4,FALSE)</f>
        <v>GAS(GMS)</v>
      </c>
      <c r="W947" s="239" t="str">
        <f>VLOOKUP(H947,'Fund Utilization Report'!$A$4:$U$1800,5,FALSE)</f>
        <v>01101101</v>
      </c>
      <c r="X947" s="239" t="str">
        <f>VLOOKUP(H947,'Fund Utilization Report'!$A$4:$U$1800,6,FALSE)</f>
        <v>GOP</v>
      </c>
      <c r="Y947" s="440" t="str">
        <f>VLOOKUP(H947,'Fund Utilization Report'!$A$4:$U$1800,7,FALSE)</f>
        <v>PS</v>
      </c>
      <c r="Z947" s="441">
        <f>VLOOKUP(H947,'Fund Utilization Report'!$A$4:$U$1800,8,FALSE)</f>
        <v>5010000000</v>
      </c>
      <c r="AA947" s="239" t="str">
        <f>VLOOKUP(H947,'Fund Utilization Report'!$A$4:$U$1800,14,FALSE)</f>
        <v>100000100001000</v>
      </c>
      <c r="AB947" s="242" t="str">
        <f>VLOOKUP(H947,'Fund Utilization Report'!$A$4:$U$1800,15,FALSE)</f>
        <v>General Administration and Supervision - General Management and Supervision</v>
      </c>
      <c r="AC947" s="51"/>
      <c r="AD947" s="435"/>
      <c r="AE947" s="51"/>
      <c r="AF947" s="51"/>
      <c r="AG947" s="442"/>
      <c r="AH947" s="442"/>
      <c r="AI947" s="443"/>
    </row>
    <row r="948" spans="1:35" s="32" customFormat="1" ht="27.6">
      <c r="A948" s="434" t="s">
        <v>942</v>
      </c>
      <c r="B948" s="457" t="s">
        <v>946</v>
      </c>
      <c r="C948" s="233">
        <v>44265</v>
      </c>
      <c r="D948" s="435" t="s">
        <v>1267</v>
      </c>
      <c r="E948" s="436" t="s">
        <v>1385</v>
      </c>
      <c r="F948" s="338">
        <v>0.39861111111111108</v>
      </c>
      <c r="G948" s="338">
        <v>0.40486111111111112</v>
      </c>
      <c r="H948" s="338" t="s">
        <v>960</v>
      </c>
      <c r="I948" s="353">
        <v>711</v>
      </c>
      <c r="J948" s="338" t="str">
        <f>IFERROR(VLOOKUP(I948,'Chart of accounts'!A:H,2,FALSE),"")</f>
        <v>50102010 01</v>
      </c>
      <c r="K948" s="338" t="str">
        <f>IFERROR(VLOOKUP(I948,'Chart of accounts'!A:H,3,FALSE),"")</f>
        <v>PERA - Civilian</v>
      </c>
      <c r="L948" s="338" t="str">
        <f>IFERROR(VLOOKUP(I948,'Chart of accounts'!A:H,4,FALSE),"")</f>
        <v>50102010 01 - PERA - Civilian (711)</v>
      </c>
      <c r="M948" s="361">
        <v>3</v>
      </c>
      <c r="N948" s="355" t="s">
        <v>777</v>
      </c>
      <c r="O948" s="355" t="s">
        <v>1384</v>
      </c>
      <c r="P948" s="355"/>
      <c r="Q948" s="363">
        <v>8000</v>
      </c>
      <c r="R948" s="428">
        <f t="shared" si="24"/>
        <v>-8000</v>
      </c>
      <c r="S948" s="239" t="str">
        <f>VLOOKUP(H948,'Fund Utilization Report'!$A$4:$U$1800,13,FALSE)</f>
        <v>PS</v>
      </c>
      <c r="T948" s="239" t="str">
        <f>VLOOKUP(H948,'Fund Utilization Report'!$A$4:$U$1800,2,FALSE)</f>
        <v>GAA</v>
      </c>
      <c r="U948" s="239" t="str">
        <f>VLOOKUP(H948,'Fund Utilization Report'!$A$4:$U$1800,3,FALSE)</f>
        <v>FY2021, RA11518</v>
      </c>
      <c r="V948" s="239" t="str">
        <f>VLOOKUP(H948,'Fund Utilization Report'!$A$4:$U$1800,4,FALSE)</f>
        <v>GAS(GMS)</v>
      </c>
      <c r="W948" s="239" t="str">
        <f>VLOOKUP(H948,'Fund Utilization Report'!$A$4:$U$1800,5,FALSE)</f>
        <v>01101101</v>
      </c>
      <c r="X948" s="239" t="str">
        <f>VLOOKUP(H948,'Fund Utilization Report'!$A$4:$U$1800,6,FALSE)</f>
        <v>GOP</v>
      </c>
      <c r="Y948" s="440" t="str">
        <f>VLOOKUP(H948,'Fund Utilization Report'!$A$4:$U$1800,7,FALSE)</f>
        <v>PS</v>
      </c>
      <c r="Z948" s="441">
        <f>VLOOKUP(H948,'Fund Utilization Report'!$A$4:$U$1800,8,FALSE)</f>
        <v>5010000000</v>
      </c>
      <c r="AA948" s="239" t="str">
        <f>VLOOKUP(H948,'Fund Utilization Report'!$A$4:$U$1800,14,FALSE)</f>
        <v>100000100001000</v>
      </c>
      <c r="AB948" s="242" t="str">
        <f>VLOOKUP(H948,'Fund Utilization Report'!$A$4:$U$1800,15,FALSE)</f>
        <v>General Administration and Supervision - General Management and Supervision</v>
      </c>
      <c r="AC948" s="51"/>
      <c r="AD948" s="435"/>
      <c r="AE948" s="51"/>
      <c r="AF948" s="51"/>
      <c r="AG948" s="442"/>
      <c r="AH948" s="442"/>
      <c r="AI948" s="443"/>
    </row>
    <row r="949" spans="1:35" s="32" customFormat="1" ht="27.6">
      <c r="A949" s="434" t="s">
        <v>942</v>
      </c>
      <c r="B949" s="457" t="s">
        <v>946</v>
      </c>
      <c r="C949" s="233">
        <v>44265</v>
      </c>
      <c r="D949" s="435" t="s">
        <v>1267</v>
      </c>
      <c r="E949" s="436" t="s">
        <v>1385</v>
      </c>
      <c r="F949" s="338">
        <v>0.39861111111111108</v>
      </c>
      <c r="G949" s="338">
        <v>0.40486111111111112</v>
      </c>
      <c r="H949" s="338" t="s">
        <v>962</v>
      </c>
      <c r="I949" s="353">
        <v>731</v>
      </c>
      <c r="J949" s="338" t="str">
        <f>IFERROR(VLOOKUP(I949,'Chart of accounts'!A:H,2,FALSE),"")</f>
        <v>50103010 00</v>
      </c>
      <c r="K949" s="338" t="str">
        <f>IFERROR(VLOOKUP(I949,'Chart of accounts'!A:H,3,FALSE),"")</f>
        <v>Retirement and Life Insurance Premiums</v>
      </c>
      <c r="L949" s="338" t="str">
        <f>IFERROR(VLOOKUP(I949,'Chart of accounts'!A:H,4,FALSE),"")</f>
        <v>50103010 00 - Retirement and Life Insurance Premiums (731)</v>
      </c>
      <c r="M949" s="361">
        <v>3</v>
      </c>
      <c r="N949" s="355" t="s">
        <v>777</v>
      </c>
      <c r="O949" s="355" t="s">
        <v>1384</v>
      </c>
      <c r="P949" s="355"/>
      <c r="Q949" s="363">
        <v>11672.4</v>
      </c>
      <c r="R949" s="428">
        <f t="shared" si="24"/>
        <v>-11672.4</v>
      </c>
      <c r="S949" s="239" t="str">
        <f>VLOOKUP(H949,'Fund Utilization Report'!$A$4:$U$1800,13,FALSE)</f>
        <v>PS</v>
      </c>
      <c r="T949" s="239" t="str">
        <f>VLOOKUP(H949,'Fund Utilization Report'!$A$4:$U$1800,2,FALSE)</f>
        <v>GAA</v>
      </c>
      <c r="U949" s="239" t="str">
        <f>VLOOKUP(H949,'Fund Utilization Report'!$A$4:$U$1800,3,FALSE)</f>
        <v>FY2021, RA11518</v>
      </c>
      <c r="V949" s="239" t="str">
        <f>VLOOKUP(H949,'Fund Utilization Report'!$A$4:$U$1800,4,FALSE)</f>
        <v>GAS(GMS)</v>
      </c>
      <c r="W949" s="239" t="str">
        <f>VLOOKUP(H949,'Fund Utilization Report'!$A$4:$U$1800,5,FALSE)</f>
        <v>01101101</v>
      </c>
      <c r="X949" s="239" t="str">
        <f>VLOOKUP(H949,'Fund Utilization Report'!$A$4:$U$1800,6,FALSE)</f>
        <v>GOP</v>
      </c>
      <c r="Y949" s="440" t="str">
        <f>VLOOKUP(H949,'Fund Utilization Report'!$A$4:$U$1800,7,FALSE)</f>
        <v>RLIP</v>
      </c>
      <c r="Z949" s="441" t="str">
        <f>VLOOKUP(H949,'Fund Utilization Report'!$A$4:$U$1800,8,FALSE)</f>
        <v>50103010-00</v>
      </c>
      <c r="AA949" s="239" t="str">
        <f>VLOOKUP(H949,'Fund Utilization Report'!$A$4:$U$1800,14,FALSE)</f>
        <v>100000100001000</v>
      </c>
      <c r="AB949" s="242" t="str">
        <f>VLOOKUP(H949,'Fund Utilization Report'!$A$4:$U$1800,15,FALSE)</f>
        <v>General Administration and Supervision - General Management and Supervision</v>
      </c>
      <c r="AC949" s="51"/>
      <c r="AD949" s="435"/>
      <c r="AE949" s="51"/>
      <c r="AF949" s="51"/>
      <c r="AG949" s="442"/>
      <c r="AH949" s="442"/>
      <c r="AI949" s="443"/>
    </row>
    <row r="950" spans="1:35" s="32" customFormat="1" ht="27.6">
      <c r="A950" s="434" t="s">
        <v>942</v>
      </c>
      <c r="B950" s="457" t="s">
        <v>946</v>
      </c>
      <c r="C950" s="233">
        <v>44265</v>
      </c>
      <c r="D950" s="435" t="s">
        <v>1267</v>
      </c>
      <c r="E950" s="436" t="s">
        <v>1385</v>
      </c>
      <c r="F950" s="338">
        <v>0.39861111111111108</v>
      </c>
      <c r="G950" s="338">
        <v>0.40486111111111112</v>
      </c>
      <c r="H950" s="338" t="s">
        <v>960</v>
      </c>
      <c r="I950" s="353">
        <v>732</v>
      </c>
      <c r="J950" s="338" t="str">
        <f>IFERROR(VLOOKUP(I950,'Chart of accounts'!A:H,2,FALSE),"")</f>
        <v>50103020 01</v>
      </c>
      <c r="K950" s="338" t="str">
        <f>IFERROR(VLOOKUP(I950,'Chart of accounts'!A:H,3,FALSE),"")</f>
        <v>Pag-IBIG - Civilian</v>
      </c>
      <c r="L950" s="338" t="str">
        <f>IFERROR(VLOOKUP(I950,'Chart of accounts'!A:H,4,FALSE),"")</f>
        <v>50103020 01 - Pag-IBIG - Civilian (732)</v>
      </c>
      <c r="M950" s="361">
        <v>3</v>
      </c>
      <c r="N950" s="355" t="s">
        <v>777</v>
      </c>
      <c r="O950" s="355" t="s">
        <v>1384</v>
      </c>
      <c r="P950" s="355"/>
      <c r="Q950" s="363">
        <v>400</v>
      </c>
      <c r="R950" s="428">
        <f t="shared" si="24"/>
        <v>-400</v>
      </c>
      <c r="S950" s="239" t="str">
        <f>VLOOKUP(H950,'Fund Utilization Report'!$A$4:$U$1800,13,FALSE)</f>
        <v>PS</v>
      </c>
      <c r="T950" s="239" t="str">
        <f>VLOOKUP(H950,'Fund Utilization Report'!$A$4:$U$1800,2,FALSE)</f>
        <v>GAA</v>
      </c>
      <c r="U950" s="239" t="str">
        <f>VLOOKUP(H950,'Fund Utilization Report'!$A$4:$U$1800,3,FALSE)</f>
        <v>FY2021, RA11518</v>
      </c>
      <c r="V950" s="239" t="str">
        <f>VLOOKUP(H950,'Fund Utilization Report'!$A$4:$U$1800,4,FALSE)</f>
        <v>GAS(GMS)</v>
      </c>
      <c r="W950" s="239" t="str">
        <f>VLOOKUP(H950,'Fund Utilization Report'!$A$4:$U$1800,5,FALSE)</f>
        <v>01101101</v>
      </c>
      <c r="X950" s="239" t="str">
        <f>VLOOKUP(H950,'Fund Utilization Report'!$A$4:$U$1800,6,FALSE)</f>
        <v>GOP</v>
      </c>
      <c r="Y950" s="440" t="str">
        <f>VLOOKUP(H950,'Fund Utilization Report'!$A$4:$U$1800,7,FALSE)</f>
        <v>PS</v>
      </c>
      <c r="Z950" s="441">
        <f>VLOOKUP(H950,'Fund Utilization Report'!$A$4:$U$1800,8,FALSE)</f>
        <v>5010000000</v>
      </c>
      <c r="AA950" s="239" t="str">
        <f>VLOOKUP(H950,'Fund Utilization Report'!$A$4:$U$1800,14,FALSE)</f>
        <v>100000100001000</v>
      </c>
      <c r="AB950" s="242" t="str">
        <f>VLOOKUP(H950,'Fund Utilization Report'!$A$4:$U$1800,15,FALSE)</f>
        <v>General Administration and Supervision - General Management and Supervision</v>
      </c>
      <c r="AC950" s="51"/>
      <c r="AD950" s="435"/>
      <c r="AE950" s="51"/>
      <c r="AF950" s="51"/>
      <c r="AG950" s="442"/>
      <c r="AH950" s="442"/>
      <c r="AI950" s="443"/>
    </row>
    <row r="951" spans="1:35" s="32" customFormat="1" ht="27.6">
      <c r="A951" s="434" t="s">
        <v>942</v>
      </c>
      <c r="B951" s="457" t="s">
        <v>946</v>
      </c>
      <c r="C951" s="233">
        <v>44265</v>
      </c>
      <c r="D951" s="435" t="s">
        <v>1267</v>
      </c>
      <c r="E951" s="436" t="s">
        <v>1385</v>
      </c>
      <c r="F951" s="338">
        <v>0.39861111111111108</v>
      </c>
      <c r="G951" s="338">
        <v>0.40486111111111112</v>
      </c>
      <c r="H951" s="338" t="s">
        <v>960</v>
      </c>
      <c r="I951" s="353">
        <v>733</v>
      </c>
      <c r="J951" s="338" t="str">
        <f>IFERROR(VLOOKUP(I951,'Chart of accounts'!A:H,2,FALSE),"")</f>
        <v>50103030 01</v>
      </c>
      <c r="K951" s="338" t="str">
        <f>IFERROR(VLOOKUP(I951,'Chart of accounts'!A:H,3,FALSE),"")</f>
        <v>PhilHealth - Civilian</v>
      </c>
      <c r="L951" s="338" t="str">
        <f>IFERROR(VLOOKUP(I951,'Chart of accounts'!A:H,4,FALSE),"")</f>
        <v>50103030 01 - PhilHealth - Civilian (733)</v>
      </c>
      <c r="M951" s="361">
        <v>3</v>
      </c>
      <c r="N951" s="355" t="s">
        <v>777</v>
      </c>
      <c r="O951" s="355" t="s">
        <v>1384</v>
      </c>
      <c r="P951" s="355"/>
      <c r="Q951" s="363">
        <v>1450.46</v>
      </c>
      <c r="R951" s="428">
        <f t="shared" si="24"/>
        <v>-1450.46</v>
      </c>
      <c r="S951" s="239" t="str">
        <f>VLOOKUP(H951,'Fund Utilization Report'!$A$4:$U$1800,13,FALSE)</f>
        <v>PS</v>
      </c>
      <c r="T951" s="239" t="str">
        <f>VLOOKUP(H951,'Fund Utilization Report'!$A$4:$U$1800,2,FALSE)</f>
        <v>GAA</v>
      </c>
      <c r="U951" s="239" t="str">
        <f>VLOOKUP(H951,'Fund Utilization Report'!$A$4:$U$1800,3,FALSE)</f>
        <v>FY2021, RA11518</v>
      </c>
      <c r="V951" s="239" t="str">
        <f>VLOOKUP(H951,'Fund Utilization Report'!$A$4:$U$1800,4,FALSE)</f>
        <v>GAS(GMS)</v>
      </c>
      <c r="W951" s="239" t="str">
        <f>VLOOKUP(H951,'Fund Utilization Report'!$A$4:$U$1800,5,FALSE)</f>
        <v>01101101</v>
      </c>
      <c r="X951" s="239" t="str">
        <f>VLOOKUP(H951,'Fund Utilization Report'!$A$4:$U$1800,6,FALSE)</f>
        <v>GOP</v>
      </c>
      <c r="Y951" s="440" t="str">
        <f>VLOOKUP(H951,'Fund Utilization Report'!$A$4:$U$1800,7,FALSE)</f>
        <v>PS</v>
      </c>
      <c r="Z951" s="441">
        <f>VLOOKUP(H951,'Fund Utilization Report'!$A$4:$U$1800,8,FALSE)</f>
        <v>5010000000</v>
      </c>
      <c r="AA951" s="239" t="str">
        <f>VLOOKUP(H951,'Fund Utilization Report'!$A$4:$U$1800,14,FALSE)</f>
        <v>100000100001000</v>
      </c>
      <c r="AB951" s="242" t="str">
        <f>VLOOKUP(H951,'Fund Utilization Report'!$A$4:$U$1800,15,FALSE)</f>
        <v>General Administration and Supervision - General Management and Supervision</v>
      </c>
      <c r="AC951" s="51"/>
      <c r="AD951" s="435"/>
      <c r="AE951" s="51"/>
      <c r="AF951" s="51"/>
      <c r="AG951" s="442"/>
      <c r="AH951" s="442"/>
      <c r="AI951" s="443"/>
    </row>
    <row r="952" spans="1:35" s="32" customFormat="1" ht="27.6">
      <c r="A952" s="434" t="s">
        <v>942</v>
      </c>
      <c r="B952" s="457" t="s">
        <v>946</v>
      </c>
      <c r="C952" s="233">
        <v>44265</v>
      </c>
      <c r="D952" s="435" t="s">
        <v>1267</v>
      </c>
      <c r="E952" s="436" t="s">
        <v>1385</v>
      </c>
      <c r="F952" s="338">
        <v>0.39861111111111108</v>
      </c>
      <c r="G952" s="338">
        <v>0.40486111111111112</v>
      </c>
      <c r="H952" s="338" t="s">
        <v>960</v>
      </c>
      <c r="I952" s="353">
        <v>734</v>
      </c>
      <c r="J952" s="338" t="str">
        <f>IFERROR(VLOOKUP(I952,'Chart of accounts'!A:H,2,FALSE),"")</f>
        <v>50103040 01</v>
      </c>
      <c r="K952" s="338" t="str">
        <f>IFERROR(VLOOKUP(I952,'Chart of accounts'!A:H,3,FALSE),"")</f>
        <v>ECIP - Civilian</v>
      </c>
      <c r="L952" s="338" t="str">
        <f>IFERROR(VLOOKUP(I952,'Chart of accounts'!A:H,4,FALSE),"")</f>
        <v>50103040 01 - ECIP - Civilian (734)</v>
      </c>
      <c r="M952" s="361">
        <v>3</v>
      </c>
      <c r="N952" s="355" t="s">
        <v>777</v>
      </c>
      <c r="O952" s="355" t="s">
        <v>1384</v>
      </c>
      <c r="P952" s="355"/>
      <c r="Q952" s="363">
        <v>400</v>
      </c>
      <c r="R952" s="428">
        <f t="shared" si="24"/>
        <v>-400</v>
      </c>
      <c r="S952" s="239" t="str">
        <f>VLOOKUP(H952,'Fund Utilization Report'!$A$4:$U$1800,13,FALSE)</f>
        <v>PS</v>
      </c>
      <c r="T952" s="239" t="str">
        <f>VLOOKUP(H952,'Fund Utilization Report'!$A$4:$U$1800,2,FALSE)</f>
        <v>GAA</v>
      </c>
      <c r="U952" s="239" t="str">
        <f>VLOOKUP(H952,'Fund Utilization Report'!$A$4:$U$1800,3,FALSE)</f>
        <v>FY2021, RA11518</v>
      </c>
      <c r="V952" s="239" t="str">
        <f>VLOOKUP(H952,'Fund Utilization Report'!$A$4:$U$1800,4,FALSE)</f>
        <v>GAS(GMS)</v>
      </c>
      <c r="W952" s="239" t="str">
        <f>VLOOKUP(H952,'Fund Utilization Report'!$A$4:$U$1800,5,FALSE)</f>
        <v>01101101</v>
      </c>
      <c r="X952" s="239" t="str">
        <f>VLOOKUP(H952,'Fund Utilization Report'!$A$4:$U$1800,6,FALSE)</f>
        <v>GOP</v>
      </c>
      <c r="Y952" s="440" t="str">
        <f>VLOOKUP(H952,'Fund Utilization Report'!$A$4:$U$1800,7,FALSE)</f>
        <v>PS</v>
      </c>
      <c r="Z952" s="441">
        <f>VLOOKUP(H952,'Fund Utilization Report'!$A$4:$U$1800,8,FALSE)</f>
        <v>5010000000</v>
      </c>
      <c r="AA952" s="239" t="str">
        <f>VLOOKUP(H952,'Fund Utilization Report'!$A$4:$U$1800,14,FALSE)</f>
        <v>100000100001000</v>
      </c>
      <c r="AB952" s="242" t="str">
        <f>VLOOKUP(H952,'Fund Utilization Report'!$A$4:$U$1800,15,FALSE)</f>
        <v>General Administration and Supervision - General Management and Supervision</v>
      </c>
      <c r="AC952" s="51"/>
      <c r="AD952" s="435"/>
      <c r="AE952" s="51"/>
      <c r="AF952" s="51"/>
      <c r="AG952" s="442"/>
      <c r="AH952" s="442"/>
      <c r="AI952" s="443"/>
    </row>
    <row r="953" spans="1:35" s="32" customFormat="1" ht="27.6">
      <c r="A953" s="434" t="s">
        <v>942</v>
      </c>
      <c r="B953" s="457" t="s">
        <v>946</v>
      </c>
      <c r="C953" s="233">
        <v>44265</v>
      </c>
      <c r="D953" s="435" t="s">
        <v>1267</v>
      </c>
      <c r="E953" s="436" t="s">
        <v>1385</v>
      </c>
      <c r="F953" s="338">
        <v>0.39861111111111108</v>
      </c>
      <c r="G953" s="338">
        <v>0.40486111111111112</v>
      </c>
      <c r="H953" s="338" t="s">
        <v>964</v>
      </c>
      <c r="I953" s="353">
        <v>701</v>
      </c>
      <c r="J953" s="338" t="str">
        <f>IFERROR(VLOOKUP(I953,'Chart of accounts'!A:H,2,FALSE),"")</f>
        <v>50101010 01</v>
      </c>
      <c r="K953" s="338" t="str">
        <f>IFERROR(VLOOKUP(I953,'Chart of accounts'!A:H,3,FALSE),"")</f>
        <v>Basic Salary - Civilian</v>
      </c>
      <c r="L953" s="338" t="str">
        <f>IFERROR(VLOOKUP(I953,'Chart of accounts'!A:H,4,FALSE),"")</f>
        <v>50101010 01 - Basic Salary - Civilian (701)</v>
      </c>
      <c r="M953" s="361">
        <v>3</v>
      </c>
      <c r="N953" s="355" t="s">
        <v>777</v>
      </c>
      <c r="O953" s="355" t="s">
        <v>1384</v>
      </c>
      <c r="P953" s="355"/>
      <c r="Q953" s="363">
        <v>44184</v>
      </c>
      <c r="R953" s="428">
        <f t="shared" si="24"/>
        <v>-44184</v>
      </c>
      <c r="S953" s="239" t="str">
        <f>VLOOKUP(H953,'Fund Utilization Report'!$A$4:$U$1800,13,FALSE)</f>
        <v>PS</v>
      </c>
      <c r="T953" s="239" t="str">
        <f>VLOOKUP(H953,'Fund Utilization Report'!$A$4:$U$1800,2,FALSE)</f>
        <v>GAA</v>
      </c>
      <c r="U953" s="239" t="str">
        <f>VLOOKUP(H953,'Fund Utilization Report'!$A$4:$U$1800,3,FALSE)</f>
        <v>FY2021, RA11518</v>
      </c>
      <c r="V953" s="239" t="str">
        <f>VLOOKUP(H953,'Fund Utilization Report'!$A$4:$U$1800,4,FALSE)</f>
        <v>OO1</v>
      </c>
      <c r="W953" s="239" t="str">
        <f>VLOOKUP(H953,'Fund Utilization Report'!$A$4:$U$1800,5,FALSE)</f>
        <v>01101101</v>
      </c>
      <c r="X953" s="239" t="str">
        <f>VLOOKUP(H953,'Fund Utilization Report'!$A$4:$U$1800,6,FALSE)</f>
        <v>GOP</v>
      </c>
      <c r="Y953" s="440" t="str">
        <f>VLOOKUP(H953,'Fund Utilization Report'!$A$4:$U$1800,7,FALSE)</f>
        <v>PS</v>
      </c>
      <c r="Z953" s="441">
        <f>VLOOKUP(H953,'Fund Utilization Report'!$A$4:$U$1800,8,FALSE)</f>
        <v>5010000000</v>
      </c>
      <c r="AA953" s="239" t="str">
        <f>VLOOKUP(H953,'Fund Utilization Report'!$A$4:$U$1800,14,FALSE)</f>
        <v>310100100002000</v>
      </c>
      <c r="AB953" s="242" t="str">
        <f>VLOOKUP(H953,'Fund Utilization Report'!$A$4:$U$1800,15,FALSE)</f>
        <v>Development,Facilitation, and promotion of exports and investment, domestic and foreign</v>
      </c>
      <c r="AC953" s="51"/>
      <c r="AD953" s="435"/>
      <c r="AE953" s="51"/>
      <c r="AF953" s="51"/>
      <c r="AG953" s="442"/>
      <c r="AH953" s="442"/>
      <c r="AI953" s="443"/>
    </row>
    <row r="954" spans="1:35" s="32" customFormat="1" ht="27.6">
      <c r="A954" s="434" t="s">
        <v>942</v>
      </c>
      <c r="B954" s="457" t="s">
        <v>946</v>
      </c>
      <c r="C954" s="233">
        <v>44265</v>
      </c>
      <c r="D954" s="435" t="s">
        <v>1267</v>
      </c>
      <c r="E954" s="436" t="s">
        <v>1385</v>
      </c>
      <c r="F954" s="338">
        <v>0.39861111111111108</v>
      </c>
      <c r="G954" s="338">
        <v>0.40486111111111112</v>
      </c>
      <c r="H954" s="338" t="s">
        <v>964</v>
      </c>
      <c r="I954" s="353">
        <v>711</v>
      </c>
      <c r="J954" s="338" t="str">
        <f>IFERROR(VLOOKUP(I954,'Chart of accounts'!A:H,2,FALSE),"")</f>
        <v>50102010 01</v>
      </c>
      <c r="K954" s="338" t="str">
        <f>IFERROR(VLOOKUP(I954,'Chart of accounts'!A:H,3,FALSE),"")</f>
        <v>PERA - Civilian</v>
      </c>
      <c r="L954" s="338" t="str">
        <f>IFERROR(VLOOKUP(I954,'Chart of accounts'!A:H,4,FALSE),"")</f>
        <v>50102010 01 - PERA - Civilian (711)</v>
      </c>
      <c r="M954" s="361">
        <v>3</v>
      </c>
      <c r="N954" s="355" t="s">
        <v>777</v>
      </c>
      <c r="O954" s="355" t="s">
        <v>1384</v>
      </c>
      <c r="P954" s="355"/>
      <c r="Q954" s="363">
        <v>2000</v>
      </c>
      <c r="R954" s="428">
        <f t="shared" si="24"/>
        <v>-2000</v>
      </c>
      <c r="S954" s="239" t="str">
        <f>VLOOKUP(H954,'Fund Utilization Report'!$A$4:$U$1800,13,FALSE)</f>
        <v>PS</v>
      </c>
      <c r="T954" s="239" t="str">
        <f>VLOOKUP(H954,'Fund Utilization Report'!$A$4:$U$1800,2,FALSE)</f>
        <v>GAA</v>
      </c>
      <c r="U954" s="239" t="str">
        <f>VLOOKUP(H954,'Fund Utilization Report'!$A$4:$U$1800,3,FALSE)</f>
        <v>FY2021, RA11518</v>
      </c>
      <c r="V954" s="239" t="str">
        <f>VLOOKUP(H954,'Fund Utilization Report'!$A$4:$U$1800,4,FALSE)</f>
        <v>OO1</v>
      </c>
      <c r="W954" s="239" t="str">
        <f>VLOOKUP(H954,'Fund Utilization Report'!$A$4:$U$1800,5,FALSE)</f>
        <v>01101101</v>
      </c>
      <c r="X954" s="239" t="str">
        <f>VLOOKUP(H954,'Fund Utilization Report'!$A$4:$U$1800,6,FALSE)</f>
        <v>GOP</v>
      </c>
      <c r="Y954" s="440" t="str">
        <f>VLOOKUP(H954,'Fund Utilization Report'!$A$4:$U$1800,7,FALSE)</f>
        <v>PS</v>
      </c>
      <c r="Z954" s="441">
        <f>VLOOKUP(H954,'Fund Utilization Report'!$A$4:$U$1800,8,FALSE)</f>
        <v>5010000000</v>
      </c>
      <c r="AA954" s="239" t="str">
        <f>VLOOKUP(H954,'Fund Utilization Report'!$A$4:$U$1800,14,FALSE)</f>
        <v>310100100002000</v>
      </c>
      <c r="AB954" s="242" t="str">
        <f>VLOOKUP(H954,'Fund Utilization Report'!$A$4:$U$1800,15,FALSE)</f>
        <v>Development,Facilitation, and promotion of exports and investment, domestic and foreign</v>
      </c>
      <c r="AC954" s="51"/>
      <c r="AD954" s="435"/>
      <c r="AE954" s="51"/>
      <c r="AF954" s="51"/>
      <c r="AG954" s="442"/>
      <c r="AH954" s="442"/>
      <c r="AI954" s="443"/>
    </row>
    <row r="955" spans="1:35" s="32" customFormat="1" ht="27.6">
      <c r="A955" s="434" t="s">
        <v>942</v>
      </c>
      <c r="B955" s="457" t="s">
        <v>946</v>
      </c>
      <c r="C955" s="233">
        <v>44265</v>
      </c>
      <c r="D955" s="435" t="s">
        <v>1267</v>
      </c>
      <c r="E955" s="436" t="s">
        <v>1385</v>
      </c>
      <c r="F955" s="338">
        <v>0.39861111111111108</v>
      </c>
      <c r="G955" s="338">
        <v>0.40486111111111112</v>
      </c>
      <c r="H955" s="338" t="s">
        <v>966</v>
      </c>
      <c r="I955" s="353">
        <v>731</v>
      </c>
      <c r="J955" s="338" t="str">
        <f>IFERROR(VLOOKUP(I955,'Chart of accounts'!A:H,2,FALSE),"")</f>
        <v>50103010 00</v>
      </c>
      <c r="K955" s="338" t="str">
        <f>IFERROR(VLOOKUP(I955,'Chart of accounts'!A:H,3,FALSE),"")</f>
        <v>Retirement and Life Insurance Premiums</v>
      </c>
      <c r="L955" s="338" t="str">
        <f>IFERROR(VLOOKUP(I955,'Chart of accounts'!A:H,4,FALSE),"")</f>
        <v>50103010 00 - Retirement and Life Insurance Premiums (731)</v>
      </c>
      <c r="M955" s="361">
        <v>3</v>
      </c>
      <c r="N955" s="355" t="s">
        <v>777</v>
      </c>
      <c r="O955" s="355" t="s">
        <v>1384</v>
      </c>
      <c r="P955" s="355"/>
      <c r="Q955" s="363">
        <v>5302.08</v>
      </c>
      <c r="R955" s="428">
        <f t="shared" si="24"/>
        <v>-5302.08</v>
      </c>
      <c r="S955" s="239" t="str">
        <f>VLOOKUP(H955,'Fund Utilization Report'!$A$4:$U$1800,13,FALSE)</f>
        <v>PS</v>
      </c>
      <c r="T955" s="239" t="str">
        <f>VLOOKUP(H955,'Fund Utilization Report'!$A$4:$U$1800,2,FALSE)</f>
        <v>GAA</v>
      </c>
      <c r="U955" s="239" t="str">
        <f>VLOOKUP(H955,'Fund Utilization Report'!$A$4:$U$1800,3,FALSE)</f>
        <v>FY2021, RA11518</v>
      </c>
      <c r="V955" s="239" t="str">
        <f>VLOOKUP(H955,'Fund Utilization Report'!$A$4:$U$1800,4,FALSE)</f>
        <v>OO1</v>
      </c>
      <c r="W955" s="239" t="str">
        <f>VLOOKUP(H955,'Fund Utilization Report'!$A$4:$U$1800,5,FALSE)</f>
        <v>01101101</v>
      </c>
      <c r="X955" s="239" t="str">
        <f>VLOOKUP(H955,'Fund Utilization Report'!$A$4:$U$1800,6,FALSE)</f>
        <v>GOP</v>
      </c>
      <c r="Y955" s="440" t="str">
        <f>VLOOKUP(H955,'Fund Utilization Report'!$A$4:$U$1800,7,FALSE)</f>
        <v>RLIP</v>
      </c>
      <c r="Z955" s="441" t="str">
        <f>VLOOKUP(H955,'Fund Utilization Report'!$A$4:$U$1800,8,FALSE)</f>
        <v>50103010-00</v>
      </c>
      <c r="AA955" s="239" t="str">
        <f>VLOOKUP(H955,'Fund Utilization Report'!$A$4:$U$1800,14,FALSE)</f>
        <v>310100100002000</v>
      </c>
      <c r="AB955" s="242" t="str">
        <f>VLOOKUP(H955,'Fund Utilization Report'!$A$4:$U$1800,15,FALSE)</f>
        <v>Development,Facilitation, and promotion of exports and investment, domestic and foreign</v>
      </c>
      <c r="AC955" s="51"/>
      <c r="AD955" s="435"/>
      <c r="AE955" s="51"/>
      <c r="AF955" s="51"/>
      <c r="AG955" s="442"/>
      <c r="AH955" s="442"/>
      <c r="AI955" s="443"/>
    </row>
    <row r="956" spans="1:35" s="32" customFormat="1" ht="27.6">
      <c r="A956" s="434" t="s">
        <v>942</v>
      </c>
      <c r="B956" s="457" t="s">
        <v>946</v>
      </c>
      <c r="C956" s="233">
        <v>44265</v>
      </c>
      <c r="D956" s="435" t="s">
        <v>1267</v>
      </c>
      <c r="E956" s="436" t="s">
        <v>1385</v>
      </c>
      <c r="F956" s="338">
        <v>0.39861111111111108</v>
      </c>
      <c r="G956" s="338">
        <v>0.40486111111111112</v>
      </c>
      <c r="H956" s="338" t="s">
        <v>964</v>
      </c>
      <c r="I956" s="353">
        <v>732</v>
      </c>
      <c r="J956" s="338" t="str">
        <f>IFERROR(VLOOKUP(I956,'Chart of accounts'!A:H,2,FALSE),"")</f>
        <v>50103020 01</v>
      </c>
      <c r="K956" s="338" t="str">
        <f>IFERROR(VLOOKUP(I956,'Chart of accounts'!A:H,3,FALSE),"")</f>
        <v>Pag-IBIG - Civilian</v>
      </c>
      <c r="L956" s="338" t="str">
        <f>IFERROR(VLOOKUP(I956,'Chart of accounts'!A:H,4,FALSE),"")</f>
        <v>50103020 01 - Pag-IBIG - Civilian (732)</v>
      </c>
      <c r="M956" s="361">
        <v>3</v>
      </c>
      <c r="N956" s="355" t="s">
        <v>777</v>
      </c>
      <c r="O956" s="355" t="s">
        <v>1384</v>
      </c>
      <c r="P956" s="355"/>
      <c r="Q956" s="363">
        <v>100</v>
      </c>
      <c r="R956" s="428">
        <f t="shared" si="24"/>
        <v>-100</v>
      </c>
      <c r="S956" s="239" t="str">
        <f>VLOOKUP(H956,'Fund Utilization Report'!$A$4:$U$1800,13,FALSE)</f>
        <v>PS</v>
      </c>
      <c r="T956" s="239" t="str">
        <f>VLOOKUP(H956,'Fund Utilization Report'!$A$4:$U$1800,2,FALSE)</f>
        <v>GAA</v>
      </c>
      <c r="U956" s="239" t="str">
        <f>VLOOKUP(H956,'Fund Utilization Report'!$A$4:$U$1800,3,FALSE)</f>
        <v>FY2021, RA11518</v>
      </c>
      <c r="V956" s="239" t="str">
        <f>VLOOKUP(H956,'Fund Utilization Report'!$A$4:$U$1800,4,FALSE)</f>
        <v>OO1</v>
      </c>
      <c r="W956" s="239" t="str">
        <f>VLOOKUP(H956,'Fund Utilization Report'!$A$4:$U$1800,5,FALSE)</f>
        <v>01101101</v>
      </c>
      <c r="X956" s="239" t="str">
        <f>VLOOKUP(H956,'Fund Utilization Report'!$A$4:$U$1800,6,FALSE)</f>
        <v>GOP</v>
      </c>
      <c r="Y956" s="440" t="str">
        <f>VLOOKUP(H956,'Fund Utilization Report'!$A$4:$U$1800,7,FALSE)</f>
        <v>PS</v>
      </c>
      <c r="Z956" s="441">
        <f>VLOOKUP(H956,'Fund Utilization Report'!$A$4:$U$1800,8,FALSE)</f>
        <v>5010000000</v>
      </c>
      <c r="AA956" s="239" t="str">
        <f>VLOOKUP(H956,'Fund Utilization Report'!$A$4:$U$1800,14,FALSE)</f>
        <v>310100100002000</v>
      </c>
      <c r="AB956" s="242" t="str">
        <f>VLOOKUP(H956,'Fund Utilization Report'!$A$4:$U$1800,15,FALSE)</f>
        <v>Development,Facilitation, and promotion of exports and investment, domestic and foreign</v>
      </c>
      <c r="AC956" s="51"/>
      <c r="AD956" s="435"/>
      <c r="AE956" s="51"/>
      <c r="AF956" s="51"/>
      <c r="AG956" s="442"/>
      <c r="AH956" s="442"/>
      <c r="AI956" s="443"/>
    </row>
    <row r="957" spans="1:35" s="32" customFormat="1" ht="27.6">
      <c r="A957" s="434" t="s">
        <v>942</v>
      </c>
      <c r="B957" s="457" t="s">
        <v>946</v>
      </c>
      <c r="C957" s="233">
        <v>44265</v>
      </c>
      <c r="D957" s="435" t="s">
        <v>1267</v>
      </c>
      <c r="E957" s="436" t="s">
        <v>1385</v>
      </c>
      <c r="F957" s="338">
        <v>0.39861111111111108</v>
      </c>
      <c r="G957" s="338">
        <v>0.40486111111111112</v>
      </c>
      <c r="H957" s="338" t="s">
        <v>964</v>
      </c>
      <c r="I957" s="353">
        <v>733</v>
      </c>
      <c r="J957" s="338" t="str">
        <f>IFERROR(VLOOKUP(I957,'Chart of accounts'!A:H,2,FALSE),"")</f>
        <v>50103030 01</v>
      </c>
      <c r="K957" s="338" t="str">
        <f>IFERROR(VLOOKUP(I957,'Chart of accounts'!A:H,3,FALSE),"")</f>
        <v>PhilHealth - Civilian</v>
      </c>
      <c r="L957" s="338" t="str">
        <f>IFERROR(VLOOKUP(I957,'Chart of accounts'!A:H,4,FALSE),"")</f>
        <v>50103030 01 - PhilHealth - Civilian (733)</v>
      </c>
      <c r="M957" s="361">
        <v>3</v>
      </c>
      <c r="N957" s="355" t="s">
        <v>777</v>
      </c>
      <c r="O957" s="355" t="s">
        <v>1384</v>
      </c>
      <c r="P957" s="355"/>
      <c r="Q957" s="363">
        <v>662.76</v>
      </c>
      <c r="R957" s="428">
        <f t="shared" si="24"/>
        <v>-662.76</v>
      </c>
      <c r="S957" s="239" t="str">
        <f>VLOOKUP(H957,'Fund Utilization Report'!$A$4:$U$1800,13,FALSE)</f>
        <v>PS</v>
      </c>
      <c r="T957" s="239" t="str">
        <f>VLOOKUP(H957,'Fund Utilization Report'!$A$4:$U$1800,2,FALSE)</f>
        <v>GAA</v>
      </c>
      <c r="U957" s="239" t="str">
        <f>VLOOKUP(H957,'Fund Utilization Report'!$A$4:$U$1800,3,FALSE)</f>
        <v>FY2021, RA11518</v>
      </c>
      <c r="V957" s="239" t="str">
        <f>VLOOKUP(H957,'Fund Utilization Report'!$A$4:$U$1800,4,FALSE)</f>
        <v>OO1</v>
      </c>
      <c r="W957" s="239" t="str">
        <f>VLOOKUP(H957,'Fund Utilization Report'!$A$4:$U$1800,5,FALSE)</f>
        <v>01101101</v>
      </c>
      <c r="X957" s="239" t="str">
        <f>VLOOKUP(H957,'Fund Utilization Report'!$A$4:$U$1800,6,FALSE)</f>
        <v>GOP</v>
      </c>
      <c r="Y957" s="440" t="str">
        <f>VLOOKUP(H957,'Fund Utilization Report'!$A$4:$U$1800,7,FALSE)</f>
        <v>PS</v>
      </c>
      <c r="Z957" s="441">
        <f>VLOOKUP(H957,'Fund Utilization Report'!$A$4:$U$1800,8,FALSE)</f>
        <v>5010000000</v>
      </c>
      <c r="AA957" s="239" t="str">
        <f>VLOOKUP(H957,'Fund Utilization Report'!$A$4:$U$1800,14,FALSE)</f>
        <v>310100100002000</v>
      </c>
      <c r="AB957" s="242" t="str">
        <f>VLOOKUP(H957,'Fund Utilization Report'!$A$4:$U$1800,15,FALSE)</f>
        <v>Development,Facilitation, and promotion of exports and investment, domestic and foreign</v>
      </c>
      <c r="AC957" s="51"/>
      <c r="AD957" s="435"/>
      <c r="AE957" s="51"/>
      <c r="AF957" s="51"/>
      <c r="AG957" s="442"/>
      <c r="AH957" s="442"/>
      <c r="AI957" s="443"/>
    </row>
    <row r="958" spans="1:35" s="32" customFormat="1" ht="27.6">
      <c r="A958" s="434" t="s">
        <v>942</v>
      </c>
      <c r="B958" s="457" t="s">
        <v>946</v>
      </c>
      <c r="C958" s="233">
        <v>44265</v>
      </c>
      <c r="D958" s="435" t="s">
        <v>1267</v>
      </c>
      <c r="E958" s="436" t="s">
        <v>1385</v>
      </c>
      <c r="F958" s="338">
        <v>0.39861111111111108</v>
      </c>
      <c r="G958" s="338">
        <v>0.40486111111111112</v>
      </c>
      <c r="H958" s="338" t="s">
        <v>964</v>
      </c>
      <c r="I958" s="353">
        <v>734</v>
      </c>
      <c r="J958" s="338" t="str">
        <f>IFERROR(VLOOKUP(I958,'Chart of accounts'!A:H,2,FALSE),"")</f>
        <v>50103040 01</v>
      </c>
      <c r="K958" s="338" t="str">
        <f>IFERROR(VLOOKUP(I958,'Chart of accounts'!A:H,3,FALSE),"")</f>
        <v>ECIP - Civilian</v>
      </c>
      <c r="L958" s="338" t="str">
        <f>IFERROR(VLOOKUP(I958,'Chart of accounts'!A:H,4,FALSE),"")</f>
        <v>50103040 01 - ECIP - Civilian (734)</v>
      </c>
      <c r="M958" s="361">
        <v>3</v>
      </c>
      <c r="N958" s="355" t="s">
        <v>777</v>
      </c>
      <c r="O958" s="355" t="s">
        <v>1384</v>
      </c>
      <c r="P958" s="355"/>
      <c r="Q958" s="363">
        <v>100</v>
      </c>
      <c r="R958" s="428">
        <f t="shared" si="24"/>
        <v>-100</v>
      </c>
      <c r="S958" s="239" t="str">
        <f>VLOOKUP(H958,'Fund Utilization Report'!$A$4:$U$1800,13,FALSE)</f>
        <v>PS</v>
      </c>
      <c r="T958" s="239" t="str">
        <f>VLOOKUP(H958,'Fund Utilization Report'!$A$4:$U$1800,2,FALSE)</f>
        <v>GAA</v>
      </c>
      <c r="U958" s="239" t="str">
        <f>VLOOKUP(H958,'Fund Utilization Report'!$A$4:$U$1800,3,FALSE)</f>
        <v>FY2021, RA11518</v>
      </c>
      <c r="V958" s="239" t="str">
        <f>VLOOKUP(H958,'Fund Utilization Report'!$A$4:$U$1800,4,FALSE)</f>
        <v>OO1</v>
      </c>
      <c r="W958" s="239" t="str">
        <f>VLOOKUP(H958,'Fund Utilization Report'!$A$4:$U$1800,5,FALSE)</f>
        <v>01101101</v>
      </c>
      <c r="X958" s="239" t="str">
        <f>VLOOKUP(H958,'Fund Utilization Report'!$A$4:$U$1800,6,FALSE)</f>
        <v>GOP</v>
      </c>
      <c r="Y958" s="440" t="str">
        <f>VLOOKUP(H958,'Fund Utilization Report'!$A$4:$U$1800,7,FALSE)</f>
        <v>PS</v>
      </c>
      <c r="Z958" s="441">
        <f>VLOOKUP(H958,'Fund Utilization Report'!$A$4:$U$1800,8,FALSE)</f>
        <v>5010000000</v>
      </c>
      <c r="AA958" s="239" t="str">
        <f>VLOOKUP(H958,'Fund Utilization Report'!$A$4:$U$1800,14,FALSE)</f>
        <v>310100100002000</v>
      </c>
      <c r="AB958" s="242" t="str">
        <f>VLOOKUP(H958,'Fund Utilization Report'!$A$4:$U$1800,15,FALSE)</f>
        <v>Development,Facilitation, and promotion of exports and investment, domestic and foreign</v>
      </c>
      <c r="AC958" s="51"/>
      <c r="AD958" s="435"/>
      <c r="AE958" s="51"/>
      <c r="AF958" s="51"/>
      <c r="AG958" s="442"/>
      <c r="AH958" s="442"/>
      <c r="AI958" s="443"/>
    </row>
    <row r="959" spans="1:35" s="32" customFormat="1" ht="27.6">
      <c r="A959" s="434" t="s">
        <v>942</v>
      </c>
      <c r="B959" s="457" t="s">
        <v>946</v>
      </c>
      <c r="C959" s="233">
        <v>44265</v>
      </c>
      <c r="D959" s="435" t="s">
        <v>1267</v>
      </c>
      <c r="E959" s="436" t="s">
        <v>1385</v>
      </c>
      <c r="F959" s="338">
        <v>0.39861111111111108</v>
      </c>
      <c r="G959" s="338">
        <v>0.40486111111111112</v>
      </c>
      <c r="H959" s="338" t="s">
        <v>970</v>
      </c>
      <c r="I959" s="353">
        <v>701</v>
      </c>
      <c r="J959" s="338" t="str">
        <f>IFERROR(VLOOKUP(I959,'Chart of accounts'!A:H,2,FALSE),"")</f>
        <v>50101010 01</v>
      </c>
      <c r="K959" s="338" t="str">
        <f>IFERROR(VLOOKUP(I959,'Chart of accounts'!A:H,3,FALSE),"")</f>
        <v>Basic Salary - Civilian</v>
      </c>
      <c r="L959" s="338" t="str">
        <f>IFERROR(VLOOKUP(I959,'Chart of accounts'!A:H,4,FALSE),"")</f>
        <v>50101010 01 - Basic Salary - Civilian (701)</v>
      </c>
      <c r="M959" s="361">
        <v>3</v>
      </c>
      <c r="N959" s="355" t="s">
        <v>777</v>
      </c>
      <c r="O959" s="355" t="s">
        <v>1384</v>
      </c>
      <c r="P959" s="355"/>
      <c r="Q959" s="363">
        <v>67911</v>
      </c>
      <c r="R959" s="428">
        <f t="shared" si="24"/>
        <v>-67911</v>
      </c>
      <c r="S959" s="239" t="str">
        <f>VLOOKUP(H959,'Fund Utilization Report'!$A$4:$U$1800,13,FALSE)</f>
        <v>PS</v>
      </c>
      <c r="T959" s="239" t="str">
        <f>VLOOKUP(H959,'Fund Utilization Report'!$A$4:$U$1800,2,FALSE)</f>
        <v>GAA</v>
      </c>
      <c r="U959" s="239" t="str">
        <f>VLOOKUP(H959,'Fund Utilization Report'!$A$4:$U$1800,3,FALSE)</f>
        <v>FY2021, RA11518</v>
      </c>
      <c r="V959" s="239" t="str">
        <f>VLOOKUP(H959,'Fund Utilization Report'!$A$4:$U$1800,4,FALSE)</f>
        <v>OO3</v>
      </c>
      <c r="W959" s="239" t="str">
        <f>VLOOKUP(H959,'Fund Utilization Report'!$A$4:$U$1800,5,FALSE)</f>
        <v>01101101</v>
      </c>
      <c r="X959" s="239" t="str">
        <f>VLOOKUP(H959,'Fund Utilization Report'!$A$4:$U$1800,6,FALSE)</f>
        <v>GOP</v>
      </c>
      <c r="Y959" s="440" t="str">
        <f>VLOOKUP(H959,'Fund Utilization Report'!$A$4:$U$1800,7,FALSE)</f>
        <v>PS</v>
      </c>
      <c r="Z959" s="441">
        <f>VLOOKUP(H959,'Fund Utilization Report'!$A$4:$U$1800,8,FALSE)</f>
        <v>5010000000</v>
      </c>
      <c r="AA959" s="239" t="str">
        <f>VLOOKUP(H959,'Fund Utilization Report'!$A$4:$U$1800,14,FALSE)</f>
        <v>330100100002000</v>
      </c>
      <c r="AB959" s="242" t="str">
        <f>VLOOKUP(H959,'Fund Utilization Report'!$A$4:$U$1800,15,FALSE)</f>
        <v>Implementation of the MSME Development Plan and other initiatives to promote the growth of Micro, Small and Medium Enterprises</v>
      </c>
      <c r="AC959" s="51"/>
      <c r="AD959" s="435"/>
      <c r="AE959" s="51"/>
      <c r="AF959" s="51"/>
      <c r="AG959" s="442"/>
      <c r="AH959" s="442"/>
      <c r="AI959" s="443"/>
    </row>
    <row r="960" spans="1:35" s="32" customFormat="1" ht="27.6">
      <c r="A960" s="434" t="s">
        <v>942</v>
      </c>
      <c r="B960" s="457" t="s">
        <v>946</v>
      </c>
      <c r="C960" s="233">
        <v>44265</v>
      </c>
      <c r="D960" s="435" t="s">
        <v>1267</v>
      </c>
      <c r="E960" s="436" t="s">
        <v>1385</v>
      </c>
      <c r="F960" s="338">
        <v>0.39861111111111108</v>
      </c>
      <c r="G960" s="338">
        <v>0.40486111111111112</v>
      </c>
      <c r="H960" s="338" t="s">
        <v>970</v>
      </c>
      <c r="I960" s="353">
        <v>711</v>
      </c>
      <c r="J960" s="338" t="str">
        <f>IFERROR(VLOOKUP(I960,'Chart of accounts'!A:H,2,FALSE),"")</f>
        <v>50102010 01</v>
      </c>
      <c r="K960" s="338" t="str">
        <f>IFERROR(VLOOKUP(I960,'Chart of accounts'!A:H,3,FALSE),"")</f>
        <v>PERA - Civilian</v>
      </c>
      <c r="L960" s="338" t="str">
        <f>IFERROR(VLOOKUP(I960,'Chart of accounts'!A:H,4,FALSE),"")</f>
        <v>50102010 01 - PERA - Civilian (711)</v>
      </c>
      <c r="M960" s="361">
        <v>3</v>
      </c>
      <c r="N960" s="355" t="s">
        <v>777</v>
      </c>
      <c r="O960" s="355" t="s">
        <v>1384</v>
      </c>
      <c r="P960" s="355"/>
      <c r="Q960" s="363">
        <v>4000</v>
      </c>
      <c r="R960" s="428">
        <f t="shared" si="24"/>
        <v>-4000</v>
      </c>
      <c r="S960" s="239" t="str">
        <f>VLOOKUP(H960,'Fund Utilization Report'!$A$4:$U$1800,13,FALSE)</f>
        <v>PS</v>
      </c>
      <c r="T960" s="239" t="str">
        <f>VLOOKUP(H960,'Fund Utilization Report'!$A$4:$U$1800,2,FALSE)</f>
        <v>GAA</v>
      </c>
      <c r="U960" s="239" t="str">
        <f>VLOOKUP(H960,'Fund Utilization Report'!$A$4:$U$1800,3,FALSE)</f>
        <v>FY2021, RA11518</v>
      </c>
      <c r="V960" s="239" t="str">
        <f>VLOOKUP(H960,'Fund Utilization Report'!$A$4:$U$1800,4,FALSE)</f>
        <v>OO3</v>
      </c>
      <c r="W960" s="239" t="str">
        <f>VLOOKUP(H960,'Fund Utilization Report'!$A$4:$U$1800,5,FALSE)</f>
        <v>01101101</v>
      </c>
      <c r="X960" s="239" t="str">
        <f>VLOOKUP(H960,'Fund Utilization Report'!$A$4:$U$1800,6,FALSE)</f>
        <v>GOP</v>
      </c>
      <c r="Y960" s="440" t="str">
        <f>VLOOKUP(H960,'Fund Utilization Report'!$A$4:$U$1800,7,FALSE)</f>
        <v>PS</v>
      </c>
      <c r="Z960" s="441">
        <f>VLOOKUP(H960,'Fund Utilization Report'!$A$4:$U$1800,8,FALSE)</f>
        <v>5010000000</v>
      </c>
      <c r="AA960" s="239" t="str">
        <f>VLOOKUP(H960,'Fund Utilization Report'!$A$4:$U$1800,14,FALSE)</f>
        <v>330100100002000</v>
      </c>
      <c r="AB960" s="242" t="str">
        <f>VLOOKUP(H960,'Fund Utilization Report'!$A$4:$U$1800,15,FALSE)</f>
        <v>Implementation of the MSME Development Plan and other initiatives to promote the growth of Micro, Small and Medium Enterprises</v>
      </c>
      <c r="AC960" s="51"/>
      <c r="AD960" s="435"/>
      <c r="AE960" s="51"/>
      <c r="AF960" s="51"/>
      <c r="AG960" s="442"/>
      <c r="AH960" s="442"/>
      <c r="AI960" s="443"/>
    </row>
    <row r="961" spans="1:35" s="32" customFormat="1" ht="27.6">
      <c r="A961" s="434" t="s">
        <v>942</v>
      </c>
      <c r="B961" s="457" t="s">
        <v>946</v>
      </c>
      <c r="C961" s="233">
        <v>44265</v>
      </c>
      <c r="D961" s="435" t="s">
        <v>1267</v>
      </c>
      <c r="E961" s="436" t="s">
        <v>1385</v>
      </c>
      <c r="F961" s="338">
        <v>0.39861111111111108</v>
      </c>
      <c r="G961" s="338">
        <v>0.40486111111111112</v>
      </c>
      <c r="H961" s="338" t="s">
        <v>972</v>
      </c>
      <c r="I961" s="353">
        <v>731</v>
      </c>
      <c r="J961" s="338" t="str">
        <f>IFERROR(VLOOKUP(I961,'Chart of accounts'!A:H,2,FALSE),"")</f>
        <v>50103010 00</v>
      </c>
      <c r="K961" s="338" t="str">
        <f>IFERROR(VLOOKUP(I961,'Chart of accounts'!A:H,3,FALSE),"")</f>
        <v>Retirement and Life Insurance Premiums</v>
      </c>
      <c r="L961" s="338" t="str">
        <f>IFERROR(VLOOKUP(I961,'Chart of accounts'!A:H,4,FALSE),"")</f>
        <v>50103010 00 - Retirement and Life Insurance Premiums (731)</v>
      </c>
      <c r="M961" s="361">
        <v>3</v>
      </c>
      <c r="N961" s="355" t="s">
        <v>777</v>
      </c>
      <c r="O961" s="355" t="s">
        <v>1384</v>
      </c>
      <c r="P961" s="355"/>
      <c r="Q961" s="363">
        <v>8149.32</v>
      </c>
      <c r="R961" s="428">
        <f t="shared" si="24"/>
        <v>-8149.32</v>
      </c>
      <c r="S961" s="239" t="str">
        <f>VLOOKUP(H961,'Fund Utilization Report'!$A$4:$U$1800,13,FALSE)</f>
        <v>PS</v>
      </c>
      <c r="T961" s="239" t="str">
        <f>VLOOKUP(H961,'Fund Utilization Report'!$A$4:$U$1800,2,FALSE)</f>
        <v>GAA</v>
      </c>
      <c r="U961" s="239" t="str">
        <f>VLOOKUP(H961,'Fund Utilization Report'!$A$4:$U$1800,3,FALSE)</f>
        <v>FY2021, RA11518</v>
      </c>
      <c r="V961" s="239" t="str">
        <f>VLOOKUP(H961,'Fund Utilization Report'!$A$4:$U$1800,4,FALSE)</f>
        <v>OO3</v>
      </c>
      <c r="W961" s="239" t="str">
        <f>VLOOKUP(H961,'Fund Utilization Report'!$A$4:$U$1800,5,FALSE)</f>
        <v>01101101</v>
      </c>
      <c r="X961" s="239" t="str">
        <f>VLOOKUP(H961,'Fund Utilization Report'!$A$4:$U$1800,6,FALSE)</f>
        <v>GOP</v>
      </c>
      <c r="Y961" s="440" t="str">
        <f>VLOOKUP(H961,'Fund Utilization Report'!$A$4:$U$1800,7,FALSE)</f>
        <v>RLIP</v>
      </c>
      <c r="Z961" s="441" t="str">
        <f>VLOOKUP(H961,'Fund Utilization Report'!$A$4:$U$1800,8,FALSE)</f>
        <v>50103010-00</v>
      </c>
      <c r="AA961" s="239" t="str">
        <f>VLOOKUP(H961,'Fund Utilization Report'!$A$4:$U$1800,14,FALSE)</f>
        <v>330100100002000</v>
      </c>
      <c r="AB961" s="242" t="str">
        <f>VLOOKUP(H961,'Fund Utilization Report'!$A$4:$U$1800,15,FALSE)</f>
        <v>Implementation of the MSME Development Plan and other initiatives to promote the growth of Micro, Small and Medium Enterprises</v>
      </c>
      <c r="AC961" s="51"/>
      <c r="AD961" s="435"/>
      <c r="AE961" s="51"/>
      <c r="AF961" s="51"/>
      <c r="AG961" s="442"/>
      <c r="AH961" s="442"/>
      <c r="AI961" s="443"/>
    </row>
    <row r="962" spans="1:35" s="32" customFormat="1" ht="27.6">
      <c r="A962" s="434" t="s">
        <v>942</v>
      </c>
      <c r="B962" s="457" t="s">
        <v>946</v>
      </c>
      <c r="C962" s="233">
        <v>44265</v>
      </c>
      <c r="D962" s="435" t="s">
        <v>1267</v>
      </c>
      <c r="E962" s="436" t="s">
        <v>1385</v>
      </c>
      <c r="F962" s="338">
        <v>0.39861111111111108</v>
      </c>
      <c r="G962" s="338">
        <v>0.40486111111111112</v>
      </c>
      <c r="H962" s="338" t="s">
        <v>970</v>
      </c>
      <c r="I962" s="353">
        <v>732</v>
      </c>
      <c r="J962" s="338" t="str">
        <f>IFERROR(VLOOKUP(I962,'Chart of accounts'!A:H,2,FALSE),"")</f>
        <v>50103020 01</v>
      </c>
      <c r="K962" s="338" t="str">
        <f>IFERROR(VLOOKUP(I962,'Chart of accounts'!A:H,3,FALSE),"")</f>
        <v>Pag-IBIG - Civilian</v>
      </c>
      <c r="L962" s="338" t="str">
        <f>IFERROR(VLOOKUP(I962,'Chart of accounts'!A:H,4,FALSE),"")</f>
        <v>50103020 01 - Pag-IBIG - Civilian (732)</v>
      </c>
      <c r="M962" s="361">
        <v>3</v>
      </c>
      <c r="N962" s="355" t="s">
        <v>777</v>
      </c>
      <c r="O962" s="355" t="s">
        <v>1384</v>
      </c>
      <c r="P962" s="355"/>
      <c r="Q962" s="363">
        <v>200</v>
      </c>
      <c r="R962" s="428">
        <f t="shared" si="24"/>
        <v>-200</v>
      </c>
      <c r="S962" s="239" t="str">
        <f>VLOOKUP(H962,'Fund Utilization Report'!$A$4:$U$1800,13,FALSE)</f>
        <v>PS</v>
      </c>
      <c r="T962" s="239" t="str">
        <f>VLOOKUP(H962,'Fund Utilization Report'!$A$4:$U$1800,2,FALSE)</f>
        <v>GAA</v>
      </c>
      <c r="U962" s="239" t="str">
        <f>VLOOKUP(H962,'Fund Utilization Report'!$A$4:$U$1800,3,FALSE)</f>
        <v>FY2021, RA11518</v>
      </c>
      <c r="V962" s="239" t="str">
        <f>VLOOKUP(H962,'Fund Utilization Report'!$A$4:$U$1800,4,FALSE)</f>
        <v>OO3</v>
      </c>
      <c r="W962" s="239" t="str">
        <f>VLOOKUP(H962,'Fund Utilization Report'!$A$4:$U$1800,5,FALSE)</f>
        <v>01101101</v>
      </c>
      <c r="X962" s="239" t="str">
        <f>VLOOKUP(H962,'Fund Utilization Report'!$A$4:$U$1800,6,FALSE)</f>
        <v>GOP</v>
      </c>
      <c r="Y962" s="440" t="str">
        <f>VLOOKUP(H962,'Fund Utilization Report'!$A$4:$U$1800,7,FALSE)</f>
        <v>PS</v>
      </c>
      <c r="Z962" s="441">
        <f>VLOOKUP(H962,'Fund Utilization Report'!$A$4:$U$1800,8,FALSE)</f>
        <v>5010000000</v>
      </c>
      <c r="AA962" s="239" t="str">
        <f>VLOOKUP(H962,'Fund Utilization Report'!$A$4:$U$1800,14,FALSE)</f>
        <v>330100100002000</v>
      </c>
      <c r="AB962" s="242" t="str">
        <f>VLOOKUP(H962,'Fund Utilization Report'!$A$4:$U$1800,15,FALSE)</f>
        <v>Implementation of the MSME Development Plan and other initiatives to promote the growth of Micro, Small and Medium Enterprises</v>
      </c>
      <c r="AC962" s="51"/>
      <c r="AD962" s="435"/>
      <c r="AE962" s="51"/>
      <c r="AF962" s="51"/>
      <c r="AG962" s="442"/>
      <c r="AH962" s="442"/>
      <c r="AI962" s="443"/>
    </row>
    <row r="963" spans="1:35" s="32" customFormat="1" ht="27.6">
      <c r="A963" s="434" t="s">
        <v>942</v>
      </c>
      <c r="B963" s="457" t="s">
        <v>946</v>
      </c>
      <c r="C963" s="233">
        <v>44265</v>
      </c>
      <c r="D963" s="435" t="s">
        <v>1267</v>
      </c>
      <c r="E963" s="436" t="s">
        <v>1385</v>
      </c>
      <c r="F963" s="338">
        <v>0.39861111111111108</v>
      </c>
      <c r="G963" s="338">
        <v>0.40486111111111112</v>
      </c>
      <c r="H963" s="338" t="s">
        <v>970</v>
      </c>
      <c r="I963" s="353">
        <v>733</v>
      </c>
      <c r="J963" s="338" t="str">
        <f>IFERROR(VLOOKUP(I963,'Chart of accounts'!A:H,2,FALSE),"")</f>
        <v>50103030 01</v>
      </c>
      <c r="K963" s="338" t="str">
        <f>IFERROR(VLOOKUP(I963,'Chart of accounts'!A:H,3,FALSE),"")</f>
        <v>PhilHealth - Civilian</v>
      </c>
      <c r="L963" s="338" t="str">
        <f>IFERROR(VLOOKUP(I963,'Chart of accounts'!A:H,4,FALSE),"")</f>
        <v>50103030 01 - PhilHealth - Civilian (733)</v>
      </c>
      <c r="M963" s="361">
        <v>3</v>
      </c>
      <c r="N963" s="355" t="s">
        <v>777</v>
      </c>
      <c r="O963" s="355" t="s">
        <v>1384</v>
      </c>
      <c r="P963" s="355"/>
      <c r="Q963" s="363">
        <v>1018.67</v>
      </c>
      <c r="R963" s="428">
        <f t="shared" si="24"/>
        <v>-1018.67</v>
      </c>
      <c r="S963" s="239" t="str">
        <f>VLOOKUP(H963,'Fund Utilization Report'!$A$4:$U$1800,13,FALSE)</f>
        <v>PS</v>
      </c>
      <c r="T963" s="239" t="str">
        <f>VLOOKUP(H963,'Fund Utilization Report'!$A$4:$U$1800,2,FALSE)</f>
        <v>GAA</v>
      </c>
      <c r="U963" s="239" t="str">
        <f>VLOOKUP(H963,'Fund Utilization Report'!$A$4:$U$1800,3,FALSE)</f>
        <v>FY2021, RA11518</v>
      </c>
      <c r="V963" s="239" t="str">
        <f>VLOOKUP(H963,'Fund Utilization Report'!$A$4:$U$1800,4,FALSE)</f>
        <v>OO3</v>
      </c>
      <c r="W963" s="239" t="str">
        <f>VLOOKUP(H963,'Fund Utilization Report'!$A$4:$U$1800,5,FALSE)</f>
        <v>01101101</v>
      </c>
      <c r="X963" s="239" t="str">
        <f>VLOOKUP(H963,'Fund Utilization Report'!$A$4:$U$1800,6,FALSE)</f>
        <v>GOP</v>
      </c>
      <c r="Y963" s="440" t="str">
        <f>VLOOKUP(H963,'Fund Utilization Report'!$A$4:$U$1800,7,FALSE)</f>
        <v>PS</v>
      </c>
      <c r="Z963" s="441">
        <f>VLOOKUP(H963,'Fund Utilization Report'!$A$4:$U$1800,8,FALSE)</f>
        <v>5010000000</v>
      </c>
      <c r="AA963" s="239" t="str">
        <f>VLOOKUP(H963,'Fund Utilization Report'!$A$4:$U$1800,14,FALSE)</f>
        <v>330100100002000</v>
      </c>
      <c r="AB963" s="242" t="str">
        <f>VLOOKUP(H963,'Fund Utilization Report'!$A$4:$U$1800,15,FALSE)</f>
        <v>Implementation of the MSME Development Plan and other initiatives to promote the growth of Micro, Small and Medium Enterprises</v>
      </c>
      <c r="AC963" s="51"/>
      <c r="AD963" s="435"/>
      <c r="AE963" s="51"/>
      <c r="AF963" s="51"/>
      <c r="AG963" s="442"/>
      <c r="AH963" s="442"/>
      <c r="AI963" s="443"/>
    </row>
    <row r="964" spans="1:35" s="32" customFormat="1" ht="27.6">
      <c r="A964" s="434" t="s">
        <v>942</v>
      </c>
      <c r="B964" s="457" t="s">
        <v>946</v>
      </c>
      <c r="C964" s="233">
        <v>44265</v>
      </c>
      <c r="D964" s="435" t="s">
        <v>1267</v>
      </c>
      <c r="E964" s="436" t="s">
        <v>1385</v>
      </c>
      <c r="F964" s="338">
        <v>0.39861111111111108</v>
      </c>
      <c r="G964" s="338">
        <v>0.40486111111111112</v>
      </c>
      <c r="H964" s="338" t="s">
        <v>970</v>
      </c>
      <c r="I964" s="353">
        <v>734</v>
      </c>
      <c r="J964" s="338" t="str">
        <f>IFERROR(VLOOKUP(I964,'Chart of accounts'!A:H,2,FALSE),"")</f>
        <v>50103040 01</v>
      </c>
      <c r="K964" s="338" t="str">
        <f>IFERROR(VLOOKUP(I964,'Chart of accounts'!A:H,3,FALSE),"")</f>
        <v>ECIP - Civilian</v>
      </c>
      <c r="L964" s="338" t="str">
        <f>IFERROR(VLOOKUP(I964,'Chart of accounts'!A:H,4,FALSE),"")</f>
        <v>50103040 01 - ECIP - Civilian (734)</v>
      </c>
      <c r="M964" s="361">
        <v>3</v>
      </c>
      <c r="N964" s="355" t="s">
        <v>777</v>
      </c>
      <c r="O964" s="355" t="s">
        <v>1384</v>
      </c>
      <c r="P964" s="355"/>
      <c r="Q964" s="363">
        <v>200</v>
      </c>
      <c r="R964" s="428">
        <f t="shared" si="24"/>
        <v>-200</v>
      </c>
      <c r="S964" s="239" t="str">
        <f>VLOOKUP(H964,'Fund Utilization Report'!$A$4:$U$1800,13,FALSE)</f>
        <v>PS</v>
      </c>
      <c r="T964" s="239" t="str">
        <f>VLOOKUP(H964,'Fund Utilization Report'!$A$4:$U$1800,2,FALSE)</f>
        <v>GAA</v>
      </c>
      <c r="U964" s="239" t="str">
        <f>VLOOKUP(H964,'Fund Utilization Report'!$A$4:$U$1800,3,FALSE)</f>
        <v>FY2021, RA11518</v>
      </c>
      <c r="V964" s="239" t="str">
        <f>VLOOKUP(H964,'Fund Utilization Report'!$A$4:$U$1800,4,FALSE)</f>
        <v>OO3</v>
      </c>
      <c r="W964" s="239" t="str">
        <f>VLOOKUP(H964,'Fund Utilization Report'!$A$4:$U$1800,5,FALSE)</f>
        <v>01101101</v>
      </c>
      <c r="X964" s="239" t="str">
        <f>VLOOKUP(H964,'Fund Utilization Report'!$A$4:$U$1800,6,FALSE)</f>
        <v>GOP</v>
      </c>
      <c r="Y964" s="440" t="str">
        <f>VLOOKUP(H964,'Fund Utilization Report'!$A$4:$U$1800,7,FALSE)</f>
        <v>PS</v>
      </c>
      <c r="Z964" s="441">
        <f>VLOOKUP(H964,'Fund Utilization Report'!$A$4:$U$1800,8,FALSE)</f>
        <v>5010000000</v>
      </c>
      <c r="AA964" s="239" t="str">
        <f>VLOOKUP(H964,'Fund Utilization Report'!$A$4:$U$1800,14,FALSE)</f>
        <v>330100100002000</v>
      </c>
      <c r="AB964" s="242" t="str">
        <f>VLOOKUP(H964,'Fund Utilization Report'!$A$4:$U$1800,15,FALSE)</f>
        <v>Implementation of the MSME Development Plan and other initiatives to promote the growth of Micro, Small and Medium Enterprises</v>
      </c>
      <c r="AC964" s="51"/>
      <c r="AD964" s="435"/>
      <c r="AE964" s="51"/>
      <c r="AF964" s="51"/>
      <c r="AG964" s="442"/>
      <c r="AH964" s="442"/>
      <c r="AI964" s="443"/>
    </row>
    <row r="965" spans="1:35" s="32" customFormat="1" ht="27.6">
      <c r="A965" s="434" t="s">
        <v>942</v>
      </c>
      <c r="B965" s="457" t="s">
        <v>946</v>
      </c>
      <c r="C965" s="233">
        <v>44265</v>
      </c>
      <c r="D965" s="435" t="s">
        <v>1267</v>
      </c>
      <c r="E965" s="436" t="s">
        <v>1385</v>
      </c>
      <c r="F965" s="338">
        <v>0.39861111111111108</v>
      </c>
      <c r="G965" s="338">
        <v>0.40486111111111112</v>
      </c>
      <c r="H965" s="338" t="s">
        <v>973</v>
      </c>
      <c r="I965" s="353">
        <v>701</v>
      </c>
      <c r="J965" s="338" t="str">
        <f>IFERROR(VLOOKUP(I965,'Chart of accounts'!A:H,2,FALSE),"")</f>
        <v>50101010 01</v>
      </c>
      <c r="K965" s="338" t="str">
        <f>IFERROR(VLOOKUP(I965,'Chart of accounts'!A:H,3,FALSE),"")</f>
        <v>Basic Salary - Civilian</v>
      </c>
      <c r="L965" s="338" t="str">
        <f>IFERROR(VLOOKUP(I965,'Chart of accounts'!A:H,4,FALSE),"")</f>
        <v>50101010 01 - Basic Salary - Civilian (701)</v>
      </c>
      <c r="M965" s="361">
        <v>3</v>
      </c>
      <c r="N965" s="355" t="s">
        <v>777</v>
      </c>
      <c r="O965" s="355" t="s">
        <v>1384</v>
      </c>
      <c r="P965" s="355"/>
      <c r="Q965" s="363">
        <v>149727</v>
      </c>
      <c r="R965" s="428">
        <f t="shared" si="24"/>
        <v>-149727</v>
      </c>
      <c r="S965" s="239" t="str">
        <f>VLOOKUP(H965,'Fund Utilization Report'!$A$4:$U$1800,13,FALSE)</f>
        <v>PS</v>
      </c>
      <c r="T965" s="239" t="str">
        <f>VLOOKUP(H965,'Fund Utilization Report'!$A$4:$U$1800,2,FALSE)</f>
        <v>GAA</v>
      </c>
      <c r="U965" s="239" t="str">
        <f>VLOOKUP(H965,'Fund Utilization Report'!$A$4:$U$1800,3,FALSE)</f>
        <v>FY2021, RA11518</v>
      </c>
      <c r="V965" s="239" t="str">
        <f>VLOOKUP(H965,'Fund Utilization Report'!$A$4:$U$1800,4,FALSE)</f>
        <v>OO4.1(FTL)</v>
      </c>
      <c r="W965" s="239" t="str">
        <f>VLOOKUP(H965,'Fund Utilization Report'!$A$4:$U$1800,5,FALSE)</f>
        <v>01101101</v>
      </c>
      <c r="X965" s="239" t="str">
        <f>VLOOKUP(H965,'Fund Utilization Report'!$A$4:$U$1800,6,FALSE)</f>
        <v>GOP</v>
      </c>
      <c r="Y965" s="440" t="str">
        <f>VLOOKUP(H965,'Fund Utilization Report'!$A$4:$U$1800,7,FALSE)</f>
        <v>PS</v>
      </c>
      <c r="Z965" s="441">
        <f>VLOOKUP(H965,'Fund Utilization Report'!$A$4:$U$1800,8,FALSE)</f>
        <v>5010000000</v>
      </c>
      <c r="AA965" s="239" t="str">
        <f>VLOOKUP(H965,'Fund Utilization Report'!$A$4:$U$1800,14,FALSE)</f>
        <v>340100100002000</v>
      </c>
      <c r="AB965" s="242" t="str">
        <f>VLOOKUP(H965,'Fund Utilization Report'!$A$4:$U$1800,15,FALSE)</f>
        <v>Monitoring and Enforcement of FTL including consumer complaints handling</v>
      </c>
      <c r="AC965" s="51"/>
      <c r="AD965" s="435"/>
      <c r="AE965" s="51"/>
      <c r="AF965" s="51"/>
      <c r="AG965" s="442"/>
      <c r="AH965" s="442"/>
      <c r="AI965" s="443"/>
    </row>
    <row r="966" spans="1:35" s="32" customFormat="1" ht="27.6">
      <c r="A966" s="434" t="s">
        <v>942</v>
      </c>
      <c r="B966" s="457" t="s">
        <v>946</v>
      </c>
      <c r="C966" s="233">
        <v>44265</v>
      </c>
      <c r="D966" s="435" t="s">
        <v>1267</v>
      </c>
      <c r="E966" s="436" t="s">
        <v>1385</v>
      </c>
      <c r="F966" s="338">
        <v>0.39861111111111108</v>
      </c>
      <c r="G966" s="338">
        <v>0.40486111111111112</v>
      </c>
      <c r="H966" s="338" t="s">
        <v>973</v>
      </c>
      <c r="I966" s="353">
        <v>711</v>
      </c>
      <c r="J966" s="338" t="str">
        <f>IFERROR(VLOOKUP(I966,'Chart of accounts'!A:H,2,FALSE),"")</f>
        <v>50102010 01</v>
      </c>
      <c r="K966" s="338" t="str">
        <f>IFERROR(VLOOKUP(I966,'Chart of accounts'!A:H,3,FALSE),"")</f>
        <v>PERA - Civilian</v>
      </c>
      <c r="L966" s="338" t="str">
        <f>IFERROR(VLOOKUP(I966,'Chart of accounts'!A:H,4,FALSE),"")</f>
        <v>50102010 01 - PERA - Civilian (711)</v>
      </c>
      <c r="M966" s="361">
        <v>3</v>
      </c>
      <c r="N966" s="355" t="s">
        <v>777</v>
      </c>
      <c r="O966" s="355" t="s">
        <v>1384</v>
      </c>
      <c r="P966" s="355"/>
      <c r="Q966" s="363">
        <v>6000</v>
      </c>
      <c r="R966" s="428">
        <f t="shared" si="24"/>
        <v>-6000</v>
      </c>
      <c r="S966" s="239" t="str">
        <f>VLOOKUP(H966,'Fund Utilization Report'!$A$4:$U$1800,13,FALSE)</f>
        <v>PS</v>
      </c>
      <c r="T966" s="239" t="str">
        <f>VLOOKUP(H966,'Fund Utilization Report'!$A$4:$U$1800,2,FALSE)</f>
        <v>GAA</v>
      </c>
      <c r="U966" s="239" t="str">
        <f>VLOOKUP(H966,'Fund Utilization Report'!$A$4:$U$1800,3,FALSE)</f>
        <v>FY2021, RA11518</v>
      </c>
      <c r="V966" s="239" t="str">
        <f>VLOOKUP(H966,'Fund Utilization Report'!$A$4:$U$1800,4,FALSE)</f>
        <v>OO4.1(FTL)</v>
      </c>
      <c r="W966" s="239" t="str">
        <f>VLOOKUP(H966,'Fund Utilization Report'!$A$4:$U$1800,5,FALSE)</f>
        <v>01101101</v>
      </c>
      <c r="X966" s="239" t="str">
        <f>VLOOKUP(H966,'Fund Utilization Report'!$A$4:$U$1800,6,FALSE)</f>
        <v>GOP</v>
      </c>
      <c r="Y966" s="440" t="str">
        <f>VLOOKUP(H966,'Fund Utilization Report'!$A$4:$U$1800,7,FALSE)</f>
        <v>PS</v>
      </c>
      <c r="Z966" s="441">
        <f>VLOOKUP(H966,'Fund Utilization Report'!$A$4:$U$1800,8,FALSE)</f>
        <v>5010000000</v>
      </c>
      <c r="AA966" s="239" t="str">
        <f>VLOOKUP(H966,'Fund Utilization Report'!$A$4:$U$1800,14,FALSE)</f>
        <v>340100100002000</v>
      </c>
      <c r="AB966" s="242" t="str">
        <f>VLOOKUP(H966,'Fund Utilization Report'!$A$4:$U$1800,15,FALSE)</f>
        <v>Monitoring and Enforcement of FTL including consumer complaints handling</v>
      </c>
      <c r="AC966" s="51"/>
      <c r="AD966" s="435"/>
      <c r="AE966" s="51"/>
      <c r="AF966" s="51"/>
      <c r="AG966" s="442"/>
      <c r="AH966" s="442"/>
      <c r="AI966" s="443"/>
    </row>
    <row r="967" spans="1:35" s="32" customFormat="1" ht="27.6">
      <c r="A967" s="434" t="s">
        <v>942</v>
      </c>
      <c r="B967" s="457" t="s">
        <v>946</v>
      </c>
      <c r="C967" s="233">
        <v>44265</v>
      </c>
      <c r="D967" s="435" t="s">
        <v>1267</v>
      </c>
      <c r="E967" s="436" t="s">
        <v>1385</v>
      </c>
      <c r="F967" s="338">
        <v>0.39861111111111108</v>
      </c>
      <c r="G967" s="338">
        <v>0.40486111111111112</v>
      </c>
      <c r="H967" s="338" t="s">
        <v>975</v>
      </c>
      <c r="I967" s="353">
        <v>731</v>
      </c>
      <c r="J967" s="338" t="str">
        <f>IFERROR(VLOOKUP(I967,'Chart of accounts'!A:H,2,FALSE),"")</f>
        <v>50103010 00</v>
      </c>
      <c r="K967" s="338" t="str">
        <f>IFERROR(VLOOKUP(I967,'Chart of accounts'!A:H,3,FALSE),"")</f>
        <v>Retirement and Life Insurance Premiums</v>
      </c>
      <c r="L967" s="338" t="str">
        <f>IFERROR(VLOOKUP(I967,'Chart of accounts'!A:H,4,FALSE),"")</f>
        <v>50103010 00 - Retirement and Life Insurance Premiums (731)</v>
      </c>
      <c r="M967" s="361">
        <v>3</v>
      </c>
      <c r="N967" s="355" t="s">
        <v>777</v>
      </c>
      <c r="O967" s="355" t="s">
        <v>1384</v>
      </c>
      <c r="P967" s="355"/>
      <c r="Q967" s="363">
        <v>17967.240000000002</v>
      </c>
      <c r="R967" s="428">
        <f t="shared" si="24"/>
        <v>-17967.240000000002</v>
      </c>
      <c r="S967" s="239" t="str">
        <f>VLOOKUP(H967,'Fund Utilization Report'!$A$4:$U$1800,13,FALSE)</f>
        <v>PS</v>
      </c>
      <c r="T967" s="239" t="str">
        <f>VLOOKUP(H967,'Fund Utilization Report'!$A$4:$U$1800,2,FALSE)</f>
        <v>GAA</v>
      </c>
      <c r="U967" s="239" t="str">
        <f>VLOOKUP(H967,'Fund Utilization Report'!$A$4:$U$1800,3,FALSE)</f>
        <v>FY2021, RA11518</v>
      </c>
      <c r="V967" s="239" t="str">
        <f>VLOOKUP(H967,'Fund Utilization Report'!$A$4:$U$1800,4,FALSE)</f>
        <v>OO4.1(FTL)</v>
      </c>
      <c r="W967" s="239" t="str">
        <f>VLOOKUP(H967,'Fund Utilization Report'!$A$4:$U$1800,5,FALSE)</f>
        <v>01101101</v>
      </c>
      <c r="X967" s="239" t="str">
        <f>VLOOKUP(H967,'Fund Utilization Report'!$A$4:$U$1800,6,FALSE)</f>
        <v>GOP</v>
      </c>
      <c r="Y967" s="440" t="str">
        <f>VLOOKUP(H967,'Fund Utilization Report'!$A$4:$U$1800,7,FALSE)</f>
        <v>RLIP</v>
      </c>
      <c r="Z967" s="441" t="str">
        <f>VLOOKUP(H967,'Fund Utilization Report'!$A$4:$U$1800,8,FALSE)</f>
        <v>50103010-00</v>
      </c>
      <c r="AA967" s="239" t="str">
        <f>VLOOKUP(H967,'Fund Utilization Report'!$A$4:$U$1800,14,FALSE)</f>
        <v>340100100002000</v>
      </c>
      <c r="AB967" s="242" t="str">
        <f>VLOOKUP(H967,'Fund Utilization Report'!$A$4:$U$1800,15,FALSE)</f>
        <v>Monitoring and Enforcement of FTL including consumer complaints handling</v>
      </c>
      <c r="AC967" s="51"/>
      <c r="AD967" s="435"/>
      <c r="AE967" s="51"/>
      <c r="AF967" s="51"/>
      <c r="AG967" s="442"/>
      <c r="AH967" s="442"/>
      <c r="AI967" s="443"/>
    </row>
    <row r="968" spans="1:35" s="32" customFormat="1" ht="27.6">
      <c r="A968" s="434" t="s">
        <v>942</v>
      </c>
      <c r="B968" s="457" t="s">
        <v>946</v>
      </c>
      <c r="C968" s="233">
        <v>44265</v>
      </c>
      <c r="D968" s="435" t="s">
        <v>1267</v>
      </c>
      <c r="E968" s="436" t="s">
        <v>1385</v>
      </c>
      <c r="F968" s="338">
        <v>0.39861111111111108</v>
      </c>
      <c r="G968" s="338">
        <v>0.40486111111111112</v>
      </c>
      <c r="H968" s="338" t="s">
        <v>973</v>
      </c>
      <c r="I968" s="353">
        <v>732</v>
      </c>
      <c r="J968" s="338" t="str">
        <f>IFERROR(VLOOKUP(I968,'Chart of accounts'!A:H,2,FALSE),"")</f>
        <v>50103020 01</v>
      </c>
      <c r="K968" s="338" t="str">
        <f>IFERROR(VLOOKUP(I968,'Chart of accounts'!A:H,3,FALSE),"")</f>
        <v>Pag-IBIG - Civilian</v>
      </c>
      <c r="L968" s="338" t="str">
        <f>IFERROR(VLOOKUP(I968,'Chart of accounts'!A:H,4,FALSE),"")</f>
        <v>50103020 01 - Pag-IBIG - Civilian (732)</v>
      </c>
      <c r="M968" s="361">
        <v>3</v>
      </c>
      <c r="N968" s="355" t="s">
        <v>777</v>
      </c>
      <c r="O968" s="355" t="s">
        <v>1384</v>
      </c>
      <c r="P968" s="355"/>
      <c r="Q968" s="363">
        <v>300</v>
      </c>
      <c r="R968" s="428">
        <f t="shared" si="24"/>
        <v>-300</v>
      </c>
      <c r="S968" s="239" t="str">
        <f>VLOOKUP(H968,'Fund Utilization Report'!$A$4:$U$1800,13,FALSE)</f>
        <v>PS</v>
      </c>
      <c r="T968" s="239" t="str">
        <f>VLOOKUP(H968,'Fund Utilization Report'!$A$4:$U$1800,2,FALSE)</f>
        <v>GAA</v>
      </c>
      <c r="U968" s="239" t="str">
        <f>VLOOKUP(H968,'Fund Utilization Report'!$A$4:$U$1800,3,FALSE)</f>
        <v>FY2021, RA11518</v>
      </c>
      <c r="V968" s="239" t="str">
        <f>VLOOKUP(H968,'Fund Utilization Report'!$A$4:$U$1800,4,FALSE)</f>
        <v>OO4.1(FTL)</v>
      </c>
      <c r="W968" s="239" t="str">
        <f>VLOOKUP(H968,'Fund Utilization Report'!$A$4:$U$1800,5,FALSE)</f>
        <v>01101101</v>
      </c>
      <c r="X968" s="239" t="str">
        <f>VLOOKUP(H968,'Fund Utilization Report'!$A$4:$U$1800,6,FALSE)</f>
        <v>GOP</v>
      </c>
      <c r="Y968" s="440" t="str">
        <f>VLOOKUP(H968,'Fund Utilization Report'!$A$4:$U$1800,7,FALSE)</f>
        <v>PS</v>
      </c>
      <c r="Z968" s="441">
        <f>VLOOKUP(H968,'Fund Utilization Report'!$A$4:$U$1800,8,FALSE)</f>
        <v>5010000000</v>
      </c>
      <c r="AA968" s="239" t="str">
        <f>VLOOKUP(H968,'Fund Utilization Report'!$A$4:$U$1800,14,FALSE)</f>
        <v>340100100002000</v>
      </c>
      <c r="AB968" s="242" t="str">
        <f>VLOOKUP(H968,'Fund Utilization Report'!$A$4:$U$1800,15,FALSE)</f>
        <v>Monitoring and Enforcement of FTL including consumer complaints handling</v>
      </c>
      <c r="AC968" s="51"/>
      <c r="AD968" s="435"/>
      <c r="AE968" s="51"/>
      <c r="AF968" s="51"/>
      <c r="AG968" s="442"/>
      <c r="AH968" s="442"/>
      <c r="AI968" s="443"/>
    </row>
    <row r="969" spans="1:35" s="32" customFormat="1" ht="27.6">
      <c r="A969" s="434" t="s">
        <v>942</v>
      </c>
      <c r="B969" s="457" t="s">
        <v>946</v>
      </c>
      <c r="C969" s="233">
        <v>44265</v>
      </c>
      <c r="D969" s="435" t="s">
        <v>1267</v>
      </c>
      <c r="E969" s="436" t="s">
        <v>1385</v>
      </c>
      <c r="F969" s="338">
        <v>0.39861111111111108</v>
      </c>
      <c r="G969" s="338">
        <v>0.40486111111111112</v>
      </c>
      <c r="H969" s="338" t="s">
        <v>973</v>
      </c>
      <c r="I969" s="353">
        <v>733</v>
      </c>
      <c r="J969" s="338" t="str">
        <f>IFERROR(VLOOKUP(I969,'Chart of accounts'!A:H,2,FALSE),"")</f>
        <v>50103030 01</v>
      </c>
      <c r="K969" s="338" t="str">
        <f>IFERROR(VLOOKUP(I969,'Chart of accounts'!A:H,3,FALSE),"")</f>
        <v>PhilHealth - Civilian</v>
      </c>
      <c r="L969" s="338" t="str">
        <f>IFERROR(VLOOKUP(I969,'Chart of accounts'!A:H,4,FALSE),"")</f>
        <v>50103030 01 - PhilHealth - Civilian (733)</v>
      </c>
      <c r="M969" s="361">
        <v>3</v>
      </c>
      <c r="N969" s="355" t="s">
        <v>777</v>
      </c>
      <c r="O969" s="355" t="s">
        <v>1384</v>
      </c>
      <c r="P969" s="355"/>
      <c r="Q969" s="363">
        <v>2087.44</v>
      </c>
      <c r="R969" s="428">
        <f t="shared" si="24"/>
        <v>-2087.44</v>
      </c>
      <c r="S969" s="239" t="str">
        <f>VLOOKUP(H969,'Fund Utilization Report'!$A$4:$U$1800,13,FALSE)</f>
        <v>PS</v>
      </c>
      <c r="T969" s="239" t="str">
        <f>VLOOKUP(H969,'Fund Utilization Report'!$A$4:$U$1800,2,FALSE)</f>
        <v>GAA</v>
      </c>
      <c r="U969" s="239" t="str">
        <f>VLOOKUP(H969,'Fund Utilization Report'!$A$4:$U$1800,3,FALSE)</f>
        <v>FY2021, RA11518</v>
      </c>
      <c r="V969" s="239" t="str">
        <f>VLOOKUP(H969,'Fund Utilization Report'!$A$4:$U$1800,4,FALSE)</f>
        <v>OO4.1(FTL)</v>
      </c>
      <c r="W969" s="239" t="str">
        <f>VLOOKUP(H969,'Fund Utilization Report'!$A$4:$U$1800,5,FALSE)</f>
        <v>01101101</v>
      </c>
      <c r="X969" s="239" t="str">
        <f>VLOOKUP(H969,'Fund Utilization Report'!$A$4:$U$1800,6,FALSE)</f>
        <v>GOP</v>
      </c>
      <c r="Y969" s="440" t="str">
        <f>VLOOKUP(H969,'Fund Utilization Report'!$A$4:$U$1800,7,FALSE)</f>
        <v>PS</v>
      </c>
      <c r="Z969" s="441">
        <f>VLOOKUP(H969,'Fund Utilization Report'!$A$4:$U$1800,8,FALSE)</f>
        <v>5010000000</v>
      </c>
      <c r="AA969" s="239" t="str">
        <f>VLOOKUP(H969,'Fund Utilization Report'!$A$4:$U$1800,14,FALSE)</f>
        <v>340100100002000</v>
      </c>
      <c r="AB969" s="242" t="str">
        <f>VLOOKUP(H969,'Fund Utilization Report'!$A$4:$U$1800,15,FALSE)</f>
        <v>Monitoring and Enforcement of FTL including consumer complaints handling</v>
      </c>
      <c r="AC969" s="51"/>
      <c r="AD969" s="435"/>
      <c r="AE969" s="51"/>
      <c r="AF969" s="51"/>
      <c r="AG969" s="442"/>
      <c r="AH969" s="442"/>
      <c r="AI969" s="443"/>
    </row>
    <row r="970" spans="1:35" s="32" customFormat="1" ht="27.6">
      <c r="A970" s="434" t="s">
        <v>942</v>
      </c>
      <c r="B970" s="457" t="s">
        <v>946</v>
      </c>
      <c r="C970" s="233">
        <v>44265</v>
      </c>
      <c r="D970" s="435" t="s">
        <v>1267</v>
      </c>
      <c r="E970" s="436" t="s">
        <v>1385</v>
      </c>
      <c r="F970" s="338">
        <v>0.39861111111111108</v>
      </c>
      <c r="G970" s="338">
        <v>0.40486111111111112</v>
      </c>
      <c r="H970" s="338" t="s">
        <v>973</v>
      </c>
      <c r="I970" s="353">
        <v>734</v>
      </c>
      <c r="J970" s="338" t="str">
        <f>IFERROR(VLOOKUP(I970,'Chart of accounts'!A:H,2,FALSE),"")</f>
        <v>50103040 01</v>
      </c>
      <c r="K970" s="338" t="str">
        <f>IFERROR(VLOOKUP(I970,'Chart of accounts'!A:H,3,FALSE),"")</f>
        <v>ECIP - Civilian</v>
      </c>
      <c r="L970" s="338" t="str">
        <f>IFERROR(VLOOKUP(I970,'Chart of accounts'!A:H,4,FALSE),"")</f>
        <v>50103040 01 - ECIP - Civilian (734)</v>
      </c>
      <c r="M970" s="361">
        <v>3</v>
      </c>
      <c r="N970" s="355" t="s">
        <v>777</v>
      </c>
      <c r="O970" s="355" t="s">
        <v>1384</v>
      </c>
      <c r="P970" s="355"/>
      <c r="Q970" s="363">
        <v>300</v>
      </c>
      <c r="R970" s="428">
        <f t="shared" si="24"/>
        <v>-300</v>
      </c>
      <c r="S970" s="239" t="str">
        <f>VLOOKUP(H970,'Fund Utilization Report'!$A$4:$U$1800,13,FALSE)</f>
        <v>PS</v>
      </c>
      <c r="T970" s="239" t="str">
        <f>VLOOKUP(H970,'Fund Utilization Report'!$A$4:$U$1800,2,FALSE)</f>
        <v>GAA</v>
      </c>
      <c r="U970" s="239" t="str">
        <f>VLOOKUP(H970,'Fund Utilization Report'!$A$4:$U$1800,3,FALSE)</f>
        <v>FY2021, RA11518</v>
      </c>
      <c r="V970" s="239" t="str">
        <f>VLOOKUP(H970,'Fund Utilization Report'!$A$4:$U$1800,4,FALSE)</f>
        <v>OO4.1(FTL)</v>
      </c>
      <c r="W970" s="239" t="str">
        <f>VLOOKUP(H970,'Fund Utilization Report'!$A$4:$U$1800,5,FALSE)</f>
        <v>01101101</v>
      </c>
      <c r="X970" s="239" t="str">
        <f>VLOOKUP(H970,'Fund Utilization Report'!$A$4:$U$1800,6,FALSE)</f>
        <v>GOP</v>
      </c>
      <c r="Y970" s="440" t="str">
        <f>VLOOKUP(H970,'Fund Utilization Report'!$A$4:$U$1800,7,FALSE)</f>
        <v>PS</v>
      </c>
      <c r="Z970" s="441">
        <f>VLOOKUP(H970,'Fund Utilization Report'!$A$4:$U$1800,8,FALSE)</f>
        <v>5010000000</v>
      </c>
      <c r="AA970" s="239" t="str">
        <f>VLOOKUP(H970,'Fund Utilization Report'!$A$4:$U$1800,14,FALSE)</f>
        <v>340100100002000</v>
      </c>
      <c r="AB970" s="242" t="str">
        <f>VLOOKUP(H970,'Fund Utilization Report'!$A$4:$U$1800,15,FALSE)</f>
        <v>Monitoring and Enforcement of FTL including consumer complaints handling</v>
      </c>
      <c r="AC970" s="51"/>
      <c r="AD970" s="435"/>
      <c r="AE970" s="51"/>
      <c r="AF970" s="51"/>
      <c r="AG970" s="442"/>
      <c r="AH970" s="442"/>
      <c r="AI970" s="443"/>
    </row>
    <row r="971" spans="1:35" s="32" customFormat="1" ht="27.6">
      <c r="A971" s="434" t="s">
        <v>942</v>
      </c>
      <c r="B971" s="457" t="s">
        <v>946</v>
      </c>
      <c r="C971" s="233">
        <v>44265</v>
      </c>
      <c r="D971" s="435" t="s">
        <v>1267</v>
      </c>
      <c r="E971" s="436" t="s">
        <v>1386</v>
      </c>
      <c r="F971" s="338">
        <v>0.40486111111111112</v>
      </c>
      <c r="G971" s="338">
        <v>0.40833333333333338</v>
      </c>
      <c r="H971" s="338" t="s">
        <v>960</v>
      </c>
      <c r="I971" s="353">
        <v>701</v>
      </c>
      <c r="J971" s="338" t="str">
        <f>IFERROR(VLOOKUP(I971,'Chart of accounts'!A:H,2,FALSE),"")</f>
        <v>50101010 01</v>
      </c>
      <c r="K971" s="338" t="str">
        <f>IFERROR(VLOOKUP(I971,'Chart of accounts'!A:H,3,FALSE),"")</f>
        <v>Basic Salary - Civilian</v>
      </c>
      <c r="L971" s="338" t="str">
        <f>IFERROR(VLOOKUP(I971,'Chart of accounts'!A:H,4,FALSE),"")</f>
        <v>50101010 01 - Basic Salary - Civilian (701)</v>
      </c>
      <c r="M971" s="361">
        <v>67</v>
      </c>
      <c r="N971" s="355" t="s">
        <v>768</v>
      </c>
      <c r="O971" s="355" t="s">
        <v>1384</v>
      </c>
      <c r="P971" s="355"/>
      <c r="Q971" s="363">
        <v>145528</v>
      </c>
      <c r="R971" s="428">
        <f t="shared" ref="R971:R976" si="25">P971-Q971</f>
        <v>-145528</v>
      </c>
      <c r="S971" s="239" t="str">
        <f>VLOOKUP(H971,'Fund Utilization Report'!$A$4:$U$1800,13,FALSE)</f>
        <v>PS</v>
      </c>
      <c r="T971" s="239" t="str">
        <f>VLOOKUP(H971,'Fund Utilization Report'!$A$4:$U$1800,2,FALSE)</f>
        <v>GAA</v>
      </c>
      <c r="U971" s="239" t="str">
        <f>VLOOKUP(H971,'Fund Utilization Report'!$A$4:$U$1800,3,FALSE)</f>
        <v>FY2021, RA11518</v>
      </c>
      <c r="V971" s="239" t="str">
        <f>VLOOKUP(H971,'Fund Utilization Report'!$A$4:$U$1800,4,FALSE)</f>
        <v>GAS(GMS)</v>
      </c>
      <c r="W971" s="239" t="str">
        <f>VLOOKUP(H971,'Fund Utilization Report'!$A$4:$U$1800,5,FALSE)</f>
        <v>01101101</v>
      </c>
      <c r="X971" s="239" t="str">
        <f>VLOOKUP(H971,'Fund Utilization Report'!$A$4:$U$1800,6,FALSE)</f>
        <v>GOP</v>
      </c>
      <c r="Y971" s="440" t="str">
        <f>VLOOKUP(H971,'Fund Utilization Report'!$A$4:$U$1800,7,FALSE)</f>
        <v>PS</v>
      </c>
      <c r="Z971" s="441">
        <f>VLOOKUP(H971,'Fund Utilization Report'!$A$4:$U$1800,8,FALSE)</f>
        <v>5010000000</v>
      </c>
      <c r="AA971" s="239" t="str">
        <f>VLOOKUP(H971,'Fund Utilization Report'!$A$4:$U$1800,14,FALSE)</f>
        <v>100000100001000</v>
      </c>
      <c r="AB971" s="242" t="str">
        <f>VLOOKUP(H971,'Fund Utilization Report'!$A$4:$U$1800,15,FALSE)</f>
        <v>General Administration and Supervision - General Management and Supervision</v>
      </c>
      <c r="AC971" s="51"/>
      <c r="AD971" s="435"/>
      <c r="AE971" s="51"/>
      <c r="AF971" s="51"/>
      <c r="AG971" s="442"/>
      <c r="AH971" s="442"/>
      <c r="AI971" s="443"/>
    </row>
    <row r="972" spans="1:35" s="32" customFormat="1" ht="27.6">
      <c r="A972" s="434" t="s">
        <v>942</v>
      </c>
      <c r="B972" s="457" t="s">
        <v>946</v>
      </c>
      <c r="C972" s="233">
        <v>44265</v>
      </c>
      <c r="D972" s="435" t="s">
        <v>1267</v>
      </c>
      <c r="E972" s="436" t="s">
        <v>1386</v>
      </c>
      <c r="F972" s="338">
        <v>0.40486111111111112</v>
      </c>
      <c r="G972" s="338">
        <v>0.40833333333333338</v>
      </c>
      <c r="H972" s="338" t="s">
        <v>960</v>
      </c>
      <c r="I972" s="353">
        <v>711</v>
      </c>
      <c r="J972" s="338" t="str">
        <f>IFERROR(VLOOKUP(I972,'Chart of accounts'!A:H,2,FALSE),"")</f>
        <v>50102010 01</v>
      </c>
      <c r="K972" s="338" t="str">
        <f>IFERROR(VLOOKUP(I972,'Chart of accounts'!A:H,3,FALSE),"")</f>
        <v>PERA - Civilian</v>
      </c>
      <c r="L972" s="338" t="str">
        <f>IFERROR(VLOOKUP(I972,'Chart of accounts'!A:H,4,FALSE),"")</f>
        <v>50102010 01 - PERA - Civilian (711)</v>
      </c>
      <c r="M972" s="361">
        <v>67</v>
      </c>
      <c r="N972" s="355" t="s">
        <v>768</v>
      </c>
      <c r="O972" s="355" t="s">
        <v>1384</v>
      </c>
      <c r="P972" s="355"/>
      <c r="Q972" s="363">
        <v>6000</v>
      </c>
      <c r="R972" s="428">
        <f t="shared" si="25"/>
        <v>-6000</v>
      </c>
      <c r="S972" s="239" t="str">
        <f>VLOOKUP(H972,'Fund Utilization Report'!$A$4:$U$1800,13,FALSE)</f>
        <v>PS</v>
      </c>
      <c r="T972" s="239" t="str">
        <f>VLOOKUP(H972,'Fund Utilization Report'!$A$4:$U$1800,2,FALSE)</f>
        <v>GAA</v>
      </c>
      <c r="U972" s="239" t="str">
        <f>VLOOKUP(H972,'Fund Utilization Report'!$A$4:$U$1800,3,FALSE)</f>
        <v>FY2021, RA11518</v>
      </c>
      <c r="V972" s="239" t="str">
        <f>VLOOKUP(H972,'Fund Utilization Report'!$A$4:$U$1800,4,FALSE)</f>
        <v>GAS(GMS)</v>
      </c>
      <c r="W972" s="239" t="str">
        <f>VLOOKUP(H972,'Fund Utilization Report'!$A$4:$U$1800,5,FALSE)</f>
        <v>01101101</v>
      </c>
      <c r="X972" s="239" t="str">
        <f>VLOOKUP(H972,'Fund Utilization Report'!$A$4:$U$1800,6,FALSE)</f>
        <v>GOP</v>
      </c>
      <c r="Y972" s="440" t="str">
        <f>VLOOKUP(H972,'Fund Utilization Report'!$A$4:$U$1800,7,FALSE)</f>
        <v>PS</v>
      </c>
      <c r="Z972" s="441">
        <f>VLOOKUP(H972,'Fund Utilization Report'!$A$4:$U$1800,8,FALSE)</f>
        <v>5010000000</v>
      </c>
      <c r="AA972" s="239" t="str">
        <f>VLOOKUP(H972,'Fund Utilization Report'!$A$4:$U$1800,14,FALSE)</f>
        <v>100000100001000</v>
      </c>
      <c r="AB972" s="242" t="str">
        <f>VLOOKUP(H972,'Fund Utilization Report'!$A$4:$U$1800,15,FALSE)</f>
        <v>General Administration and Supervision - General Management and Supervision</v>
      </c>
      <c r="AC972" s="51"/>
      <c r="AD972" s="435"/>
      <c r="AE972" s="51"/>
      <c r="AF972" s="51"/>
      <c r="AG972" s="442"/>
      <c r="AH972" s="442"/>
      <c r="AI972" s="443"/>
    </row>
    <row r="973" spans="1:35" s="32" customFormat="1" ht="27.6">
      <c r="A973" s="434" t="s">
        <v>942</v>
      </c>
      <c r="B973" s="457" t="s">
        <v>946</v>
      </c>
      <c r="C973" s="233">
        <v>44265</v>
      </c>
      <c r="D973" s="435" t="s">
        <v>1267</v>
      </c>
      <c r="E973" s="436" t="s">
        <v>1386</v>
      </c>
      <c r="F973" s="338">
        <v>0.40486111111111112</v>
      </c>
      <c r="G973" s="338">
        <v>0.40833333333333338</v>
      </c>
      <c r="H973" s="338" t="s">
        <v>962</v>
      </c>
      <c r="I973" s="353">
        <v>731</v>
      </c>
      <c r="J973" s="338" t="str">
        <f>IFERROR(VLOOKUP(I973,'Chart of accounts'!A:H,2,FALSE),"")</f>
        <v>50103010 00</v>
      </c>
      <c r="K973" s="338" t="str">
        <f>IFERROR(VLOOKUP(I973,'Chart of accounts'!A:H,3,FALSE),"")</f>
        <v>Retirement and Life Insurance Premiums</v>
      </c>
      <c r="L973" s="338" t="str">
        <f>IFERROR(VLOOKUP(I973,'Chart of accounts'!A:H,4,FALSE),"")</f>
        <v>50103010 00 - Retirement and Life Insurance Premiums (731)</v>
      </c>
      <c r="M973" s="361">
        <v>67</v>
      </c>
      <c r="N973" s="355" t="s">
        <v>768</v>
      </c>
      <c r="O973" s="355" t="s">
        <v>1384</v>
      </c>
      <c r="P973" s="355"/>
      <c r="Q973" s="363">
        <v>17463.36</v>
      </c>
      <c r="R973" s="428">
        <f t="shared" si="25"/>
        <v>-17463.36</v>
      </c>
      <c r="S973" s="239" t="str">
        <f>VLOOKUP(H973,'Fund Utilization Report'!$A$4:$U$1800,13,FALSE)</f>
        <v>PS</v>
      </c>
      <c r="T973" s="239" t="str">
        <f>VLOOKUP(H973,'Fund Utilization Report'!$A$4:$U$1800,2,FALSE)</f>
        <v>GAA</v>
      </c>
      <c r="U973" s="239" t="str">
        <f>VLOOKUP(H973,'Fund Utilization Report'!$A$4:$U$1800,3,FALSE)</f>
        <v>FY2021, RA11518</v>
      </c>
      <c r="V973" s="239" t="str">
        <f>VLOOKUP(H973,'Fund Utilization Report'!$A$4:$U$1800,4,FALSE)</f>
        <v>GAS(GMS)</v>
      </c>
      <c r="W973" s="239" t="str">
        <f>VLOOKUP(H973,'Fund Utilization Report'!$A$4:$U$1800,5,FALSE)</f>
        <v>01101101</v>
      </c>
      <c r="X973" s="239" t="str">
        <f>VLOOKUP(H973,'Fund Utilization Report'!$A$4:$U$1800,6,FALSE)</f>
        <v>GOP</v>
      </c>
      <c r="Y973" s="440" t="str">
        <f>VLOOKUP(H973,'Fund Utilization Report'!$A$4:$U$1800,7,FALSE)</f>
        <v>RLIP</v>
      </c>
      <c r="Z973" s="441" t="str">
        <f>VLOOKUP(H973,'Fund Utilization Report'!$A$4:$U$1800,8,FALSE)</f>
        <v>50103010-00</v>
      </c>
      <c r="AA973" s="239" t="str">
        <f>VLOOKUP(H973,'Fund Utilization Report'!$A$4:$U$1800,14,FALSE)</f>
        <v>100000100001000</v>
      </c>
      <c r="AB973" s="242" t="str">
        <f>VLOOKUP(H973,'Fund Utilization Report'!$A$4:$U$1800,15,FALSE)</f>
        <v>General Administration and Supervision - General Management and Supervision</v>
      </c>
      <c r="AC973" s="51"/>
      <c r="AD973" s="435"/>
      <c r="AE973" s="51"/>
      <c r="AF973" s="51"/>
      <c r="AG973" s="442"/>
      <c r="AH973" s="442"/>
      <c r="AI973" s="443"/>
    </row>
    <row r="974" spans="1:35" s="32" customFormat="1" ht="27.6">
      <c r="A974" s="434" t="s">
        <v>942</v>
      </c>
      <c r="B974" s="457" t="s">
        <v>946</v>
      </c>
      <c r="C974" s="233">
        <v>44265</v>
      </c>
      <c r="D974" s="435" t="s">
        <v>1267</v>
      </c>
      <c r="E974" s="436" t="s">
        <v>1386</v>
      </c>
      <c r="F974" s="338">
        <v>0.40486111111111112</v>
      </c>
      <c r="G974" s="338">
        <v>0.40833333333333338</v>
      </c>
      <c r="H974" s="338" t="s">
        <v>960</v>
      </c>
      <c r="I974" s="353">
        <v>732</v>
      </c>
      <c r="J974" s="338" t="str">
        <f>IFERROR(VLOOKUP(I974,'Chart of accounts'!A:H,2,FALSE),"")</f>
        <v>50103020 01</v>
      </c>
      <c r="K974" s="338" t="str">
        <f>IFERROR(VLOOKUP(I974,'Chart of accounts'!A:H,3,FALSE),"")</f>
        <v>Pag-IBIG - Civilian</v>
      </c>
      <c r="L974" s="338" t="str">
        <f>IFERROR(VLOOKUP(I974,'Chart of accounts'!A:H,4,FALSE),"")</f>
        <v>50103020 01 - Pag-IBIG - Civilian (732)</v>
      </c>
      <c r="M974" s="361">
        <v>67</v>
      </c>
      <c r="N974" s="355" t="s">
        <v>768</v>
      </c>
      <c r="O974" s="355" t="s">
        <v>1384</v>
      </c>
      <c r="P974" s="355"/>
      <c r="Q974" s="363">
        <v>300</v>
      </c>
      <c r="R974" s="428">
        <f t="shared" si="25"/>
        <v>-300</v>
      </c>
      <c r="S974" s="239" t="str">
        <f>VLOOKUP(H974,'Fund Utilization Report'!$A$4:$U$1800,13,FALSE)</f>
        <v>PS</v>
      </c>
      <c r="T974" s="239" t="str">
        <f>VLOOKUP(H974,'Fund Utilization Report'!$A$4:$U$1800,2,FALSE)</f>
        <v>GAA</v>
      </c>
      <c r="U974" s="239" t="str">
        <f>VLOOKUP(H974,'Fund Utilization Report'!$A$4:$U$1800,3,FALSE)</f>
        <v>FY2021, RA11518</v>
      </c>
      <c r="V974" s="239" t="str">
        <f>VLOOKUP(H974,'Fund Utilization Report'!$A$4:$U$1800,4,FALSE)</f>
        <v>GAS(GMS)</v>
      </c>
      <c r="W974" s="239" t="str">
        <f>VLOOKUP(H974,'Fund Utilization Report'!$A$4:$U$1800,5,FALSE)</f>
        <v>01101101</v>
      </c>
      <c r="X974" s="239" t="str">
        <f>VLOOKUP(H974,'Fund Utilization Report'!$A$4:$U$1800,6,FALSE)</f>
        <v>GOP</v>
      </c>
      <c r="Y974" s="440" t="str">
        <f>VLOOKUP(H974,'Fund Utilization Report'!$A$4:$U$1800,7,FALSE)</f>
        <v>PS</v>
      </c>
      <c r="Z974" s="441">
        <f>VLOOKUP(H974,'Fund Utilization Report'!$A$4:$U$1800,8,FALSE)</f>
        <v>5010000000</v>
      </c>
      <c r="AA974" s="239" t="str">
        <f>VLOOKUP(H974,'Fund Utilization Report'!$A$4:$U$1800,14,FALSE)</f>
        <v>100000100001000</v>
      </c>
      <c r="AB974" s="242" t="str">
        <f>VLOOKUP(H974,'Fund Utilization Report'!$A$4:$U$1800,15,FALSE)</f>
        <v>General Administration and Supervision - General Management and Supervision</v>
      </c>
      <c r="AC974" s="51"/>
      <c r="AD974" s="435"/>
      <c r="AE974" s="51"/>
      <c r="AF974" s="51"/>
      <c r="AG974" s="442"/>
      <c r="AH974" s="442"/>
      <c r="AI974" s="443"/>
    </row>
    <row r="975" spans="1:35" s="32" customFormat="1" ht="27.6">
      <c r="A975" s="434" t="s">
        <v>942</v>
      </c>
      <c r="B975" s="457" t="s">
        <v>946</v>
      </c>
      <c r="C975" s="233">
        <v>44265</v>
      </c>
      <c r="D975" s="435" t="s">
        <v>1267</v>
      </c>
      <c r="E975" s="436" t="s">
        <v>1386</v>
      </c>
      <c r="F975" s="338">
        <v>0.40486111111111112</v>
      </c>
      <c r="G975" s="338">
        <v>0.40833333333333338</v>
      </c>
      <c r="H975" s="338" t="s">
        <v>960</v>
      </c>
      <c r="I975" s="353">
        <v>733</v>
      </c>
      <c r="J975" s="338" t="str">
        <f>IFERROR(VLOOKUP(I975,'Chart of accounts'!A:H,2,FALSE),"")</f>
        <v>50103030 01</v>
      </c>
      <c r="K975" s="338" t="str">
        <f>IFERROR(VLOOKUP(I975,'Chart of accounts'!A:H,3,FALSE),"")</f>
        <v>PhilHealth - Civilian</v>
      </c>
      <c r="L975" s="338" t="str">
        <f>IFERROR(VLOOKUP(I975,'Chart of accounts'!A:H,4,FALSE),"")</f>
        <v>50103030 01 - PhilHealth - Civilian (733)</v>
      </c>
      <c r="M975" s="361">
        <v>67</v>
      </c>
      <c r="N975" s="355" t="s">
        <v>768</v>
      </c>
      <c r="O975" s="355" t="s">
        <v>1384</v>
      </c>
      <c r="P975" s="355"/>
      <c r="Q975" s="363">
        <v>1781.79</v>
      </c>
      <c r="R975" s="428">
        <f t="shared" si="25"/>
        <v>-1781.79</v>
      </c>
      <c r="S975" s="239" t="str">
        <f>VLOOKUP(H975,'Fund Utilization Report'!$A$4:$U$1800,13,FALSE)</f>
        <v>PS</v>
      </c>
      <c r="T975" s="239" t="str">
        <f>VLOOKUP(H975,'Fund Utilization Report'!$A$4:$U$1800,2,FALSE)</f>
        <v>GAA</v>
      </c>
      <c r="U975" s="239" t="str">
        <f>VLOOKUP(H975,'Fund Utilization Report'!$A$4:$U$1800,3,FALSE)</f>
        <v>FY2021, RA11518</v>
      </c>
      <c r="V975" s="239" t="str">
        <f>VLOOKUP(H975,'Fund Utilization Report'!$A$4:$U$1800,4,FALSE)</f>
        <v>GAS(GMS)</v>
      </c>
      <c r="W975" s="239" t="str">
        <f>VLOOKUP(H975,'Fund Utilization Report'!$A$4:$U$1800,5,FALSE)</f>
        <v>01101101</v>
      </c>
      <c r="X975" s="239" t="str">
        <f>VLOOKUP(H975,'Fund Utilization Report'!$A$4:$U$1800,6,FALSE)</f>
        <v>GOP</v>
      </c>
      <c r="Y975" s="440" t="str">
        <f>VLOOKUP(H975,'Fund Utilization Report'!$A$4:$U$1800,7,FALSE)</f>
        <v>PS</v>
      </c>
      <c r="Z975" s="441">
        <f>VLOOKUP(H975,'Fund Utilization Report'!$A$4:$U$1800,8,FALSE)</f>
        <v>5010000000</v>
      </c>
      <c r="AA975" s="239" t="str">
        <f>VLOOKUP(H975,'Fund Utilization Report'!$A$4:$U$1800,14,FALSE)</f>
        <v>100000100001000</v>
      </c>
      <c r="AB975" s="242" t="str">
        <f>VLOOKUP(H975,'Fund Utilization Report'!$A$4:$U$1800,15,FALSE)</f>
        <v>General Administration and Supervision - General Management and Supervision</v>
      </c>
      <c r="AC975" s="51"/>
      <c r="AD975" s="435"/>
      <c r="AE975" s="51"/>
      <c r="AF975" s="51"/>
      <c r="AG975" s="442"/>
      <c r="AH975" s="442"/>
      <c r="AI975" s="443"/>
    </row>
    <row r="976" spans="1:35" s="32" customFormat="1" ht="27.6">
      <c r="A976" s="434" t="s">
        <v>942</v>
      </c>
      <c r="B976" s="457" t="s">
        <v>946</v>
      </c>
      <c r="C976" s="233">
        <v>44265</v>
      </c>
      <c r="D976" s="435" t="s">
        <v>1267</v>
      </c>
      <c r="E976" s="436" t="s">
        <v>1386</v>
      </c>
      <c r="F976" s="338">
        <v>0.40486111111111112</v>
      </c>
      <c r="G976" s="338">
        <v>0.40833333333333338</v>
      </c>
      <c r="H976" s="338" t="s">
        <v>960</v>
      </c>
      <c r="I976" s="353">
        <v>734</v>
      </c>
      <c r="J976" s="338" t="str">
        <f>IFERROR(VLOOKUP(I976,'Chart of accounts'!A:H,2,FALSE),"")</f>
        <v>50103040 01</v>
      </c>
      <c r="K976" s="338" t="str">
        <f>IFERROR(VLOOKUP(I976,'Chart of accounts'!A:H,3,FALSE),"")</f>
        <v>ECIP - Civilian</v>
      </c>
      <c r="L976" s="338" t="str">
        <f>IFERROR(VLOOKUP(I976,'Chart of accounts'!A:H,4,FALSE),"")</f>
        <v>50103040 01 - ECIP - Civilian (734)</v>
      </c>
      <c r="M976" s="361">
        <v>67</v>
      </c>
      <c r="N976" s="355" t="s">
        <v>768</v>
      </c>
      <c r="O976" s="355" t="s">
        <v>1384</v>
      </c>
      <c r="P976" s="355"/>
      <c r="Q976" s="363">
        <v>300</v>
      </c>
      <c r="R976" s="428">
        <f t="shared" si="25"/>
        <v>-300</v>
      </c>
      <c r="S976" s="239" t="str">
        <f>VLOOKUP(H976,'Fund Utilization Report'!$A$4:$U$1800,13,FALSE)</f>
        <v>PS</v>
      </c>
      <c r="T976" s="239" t="str">
        <f>VLOOKUP(H976,'Fund Utilization Report'!$A$4:$U$1800,2,FALSE)</f>
        <v>GAA</v>
      </c>
      <c r="U976" s="239" t="str">
        <f>VLOOKUP(H976,'Fund Utilization Report'!$A$4:$U$1800,3,FALSE)</f>
        <v>FY2021, RA11518</v>
      </c>
      <c r="V976" s="239" t="str">
        <f>VLOOKUP(H976,'Fund Utilization Report'!$A$4:$U$1800,4,FALSE)</f>
        <v>GAS(GMS)</v>
      </c>
      <c r="W976" s="239" t="str">
        <f>VLOOKUP(H976,'Fund Utilization Report'!$A$4:$U$1800,5,FALSE)</f>
        <v>01101101</v>
      </c>
      <c r="X976" s="239" t="str">
        <f>VLOOKUP(H976,'Fund Utilization Report'!$A$4:$U$1800,6,FALSE)</f>
        <v>GOP</v>
      </c>
      <c r="Y976" s="440" t="str">
        <f>VLOOKUP(H976,'Fund Utilization Report'!$A$4:$U$1800,7,FALSE)</f>
        <v>PS</v>
      </c>
      <c r="Z976" s="441">
        <f>VLOOKUP(H976,'Fund Utilization Report'!$A$4:$U$1800,8,FALSE)</f>
        <v>5010000000</v>
      </c>
      <c r="AA976" s="239" t="str">
        <f>VLOOKUP(H976,'Fund Utilization Report'!$A$4:$U$1800,14,FALSE)</f>
        <v>100000100001000</v>
      </c>
      <c r="AB976" s="242" t="str">
        <f>VLOOKUP(H976,'Fund Utilization Report'!$A$4:$U$1800,15,FALSE)</f>
        <v>General Administration and Supervision - General Management and Supervision</v>
      </c>
      <c r="AC976" s="51"/>
      <c r="AD976" s="435"/>
      <c r="AE976" s="51"/>
      <c r="AF976" s="51"/>
      <c r="AG976" s="442"/>
      <c r="AH976" s="442"/>
      <c r="AI976" s="443"/>
    </row>
    <row r="977" spans="1:35" s="32" customFormat="1" ht="27.6">
      <c r="A977" s="434" t="s">
        <v>942</v>
      </c>
      <c r="B977" s="457" t="s">
        <v>946</v>
      </c>
      <c r="C977" s="233">
        <v>44265</v>
      </c>
      <c r="D977" s="435" t="s">
        <v>1267</v>
      </c>
      <c r="E977" s="436" t="s">
        <v>1386</v>
      </c>
      <c r="F977" s="338">
        <v>0.40486111111111112</v>
      </c>
      <c r="G977" s="338">
        <v>0.40833333333333338</v>
      </c>
      <c r="H977" s="338" t="s">
        <v>964</v>
      </c>
      <c r="I977" s="353">
        <v>701</v>
      </c>
      <c r="J977" s="338" t="str">
        <f>IFERROR(VLOOKUP(I977,'Chart of accounts'!A:H,2,FALSE),"")</f>
        <v>50101010 01</v>
      </c>
      <c r="K977" s="338" t="str">
        <f>IFERROR(VLOOKUP(I977,'Chart of accounts'!A:H,3,FALSE),"")</f>
        <v>Basic Salary - Civilian</v>
      </c>
      <c r="L977" s="338" t="str">
        <f>IFERROR(VLOOKUP(I977,'Chart of accounts'!A:H,4,FALSE),"")</f>
        <v>50101010 01 - Basic Salary - Civilian (701)</v>
      </c>
      <c r="M977" s="361">
        <v>67</v>
      </c>
      <c r="N977" s="355" t="s">
        <v>768</v>
      </c>
      <c r="O977" s="355" t="s">
        <v>1384</v>
      </c>
      <c r="P977" s="355"/>
      <c r="Q977" s="363">
        <v>46261</v>
      </c>
      <c r="R977" s="428">
        <f t="shared" ref="R977:R982" si="26">P977-Q977</f>
        <v>-46261</v>
      </c>
      <c r="S977" s="239" t="str">
        <f>VLOOKUP(H977,'Fund Utilization Report'!$A$4:$U$1800,13,FALSE)</f>
        <v>PS</v>
      </c>
      <c r="T977" s="239" t="str">
        <f>VLOOKUP(H977,'Fund Utilization Report'!$A$4:$U$1800,2,FALSE)</f>
        <v>GAA</v>
      </c>
      <c r="U977" s="239" t="str">
        <f>VLOOKUP(H977,'Fund Utilization Report'!$A$4:$U$1800,3,FALSE)</f>
        <v>FY2021, RA11518</v>
      </c>
      <c r="V977" s="239" t="str">
        <f>VLOOKUP(H977,'Fund Utilization Report'!$A$4:$U$1800,4,FALSE)</f>
        <v>OO1</v>
      </c>
      <c r="W977" s="239" t="str">
        <f>VLOOKUP(H977,'Fund Utilization Report'!$A$4:$U$1800,5,FALSE)</f>
        <v>01101101</v>
      </c>
      <c r="X977" s="239" t="str">
        <f>VLOOKUP(H977,'Fund Utilization Report'!$A$4:$U$1800,6,FALSE)</f>
        <v>GOP</v>
      </c>
      <c r="Y977" s="440" t="str">
        <f>VLOOKUP(H977,'Fund Utilization Report'!$A$4:$U$1800,7,FALSE)</f>
        <v>PS</v>
      </c>
      <c r="Z977" s="441">
        <f>VLOOKUP(H977,'Fund Utilization Report'!$A$4:$U$1800,8,FALSE)</f>
        <v>5010000000</v>
      </c>
      <c r="AA977" s="239" t="str">
        <f>VLOOKUP(H977,'Fund Utilization Report'!$A$4:$U$1800,14,FALSE)</f>
        <v>310100100002000</v>
      </c>
      <c r="AB977" s="242" t="str">
        <f>VLOOKUP(H977,'Fund Utilization Report'!$A$4:$U$1800,15,FALSE)</f>
        <v>Development,Facilitation, and promotion of exports and investment, domestic and foreign</v>
      </c>
      <c r="AC977" s="51"/>
      <c r="AD977" s="435"/>
      <c r="AE977" s="51"/>
      <c r="AF977" s="51"/>
      <c r="AG977" s="442"/>
      <c r="AH977" s="442"/>
      <c r="AI977" s="443"/>
    </row>
    <row r="978" spans="1:35" s="32" customFormat="1" ht="27.6">
      <c r="A978" s="434" t="s">
        <v>942</v>
      </c>
      <c r="B978" s="457" t="s">
        <v>946</v>
      </c>
      <c r="C978" s="233">
        <v>44265</v>
      </c>
      <c r="D978" s="435" t="s">
        <v>1267</v>
      </c>
      <c r="E978" s="436" t="s">
        <v>1386</v>
      </c>
      <c r="F978" s="338">
        <v>0.40486111111111112</v>
      </c>
      <c r="G978" s="338">
        <v>0.40833333333333338</v>
      </c>
      <c r="H978" s="338" t="s">
        <v>964</v>
      </c>
      <c r="I978" s="353">
        <v>711</v>
      </c>
      <c r="J978" s="338" t="str">
        <f>IFERROR(VLOOKUP(I978,'Chart of accounts'!A:H,2,FALSE),"")</f>
        <v>50102010 01</v>
      </c>
      <c r="K978" s="338" t="str">
        <f>IFERROR(VLOOKUP(I978,'Chart of accounts'!A:H,3,FALSE),"")</f>
        <v>PERA - Civilian</v>
      </c>
      <c r="L978" s="338" t="str">
        <f>IFERROR(VLOOKUP(I978,'Chart of accounts'!A:H,4,FALSE),"")</f>
        <v>50102010 01 - PERA - Civilian (711)</v>
      </c>
      <c r="M978" s="361">
        <v>67</v>
      </c>
      <c r="N978" s="355" t="s">
        <v>768</v>
      </c>
      <c r="O978" s="355" t="s">
        <v>1384</v>
      </c>
      <c r="P978" s="355"/>
      <c r="Q978" s="363">
        <v>2000</v>
      </c>
      <c r="R978" s="428">
        <f t="shared" si="26"/>
        <v>-2000</v>
      </c>
      <c r="S978" s="239" t="str">
        <f>VLOOKUP(H978,'Fund Utilization Report'!$A$4:$U$1800,13,FALSE)</f>
        <v>PS</v>
      </c>
      <c r="T978" s="239" t="str">
        <f>VLOOKUP(H978,'Fund Utilization Report'!$A$4:$U$1800,2,FALSE)</f>
        <v>GAA</v>
      </c>
      <c r="U978" s="239" t="str">
        <f>VLOOKUP(H978,'Fund Utilization Report'!$A$4:$U$1800,3,FALSE)</f>
        <v>FY2021, RA11518</v>
      </c>
      <c r="V978" s="239" t="str">
        <f>VLOOKUP(H978,'Fund Utilization Report'!$A$4:$U$1800,4,FALSE)</f>
        <v>OO1</v>
      </c>
      <c r="W978" s="239" t="str">
        <f>VLOOKUP(H978,'Fund Utilization Report'!$A$4:$U$1800,5,FALSE)</f>
        <v>01101101</v>
      </c>
      <c r="X978" s="239" t="str">
        <f>VLOOKUP(H978,'Fund Utilization Report'!$A$4:$U$1800,6,FALSE)</f>
        <v>GOP</v>
      </c>
      <c r="Y978" s="440" t="str">
        <f>VLOOKUP(H978,'Fund Utilization Report'!$A$4:$U$1800,7,FALSE)</f>
        <v>PS</v>
      </c>
      <c r="Z978" s="441">
        <f>VLOOKUP(H978,'Fund Utilization Report'!$A$4:$U$1800,8,FALSE)</f>
        <v>5010000000</v>
      </c>
      <c r="AA978" s="239" t="str">
        <f>VLOOKUP(H978,'Fund Utilization Report'!$A$4:$U$1800,14,FALSE)</f>
        <v>310100100002000</v>
      </c>
      <c r="AB978" s="242" t="str">
        <f>VLOOKUP(H978,'Fund Utilization Report'!$A$4:$U$1800,15,FALSE)</f>
        <v>Development,Facilitation, and promotion of exports and investment, domestic and foreign</v>
      </c>
      <c r="AC978" s="51"/>
      <c r="AD978" s="435"/>
      <c r="AE978" s="51"/>
      <c r="AF978" s="51"/>
      <c r="AG978" s="442"/>
      <c r="AH978" s="442"/>
      <c r="AI978" s="443"/>
    </row>
    <row r="979" spans="1:35" s="32" customFormat="1" ht="27.6">
      <c r="A979" s="434" t="s">
        <v>942</v>
      </c>
      <c r="B979" s="457" t="s">
        <v>946</v>
      </c>
      <c r="C979" s="233">
        <v>44265</v>
      </c>
      <c r="D979" s="435" t="s">
        <v>1267</v>
      </c>
      <c r="E979" s="436" t="s">
        <v>1386</v>
      </c>
      <c r="F979" s="338">
        <v>0.40486111111111112</v>
      </c>
      <c r="G979" s="338">
        <v>0.40833333333333338</v>
      </c>
      <c r="H979" s="338" t="s">
        <v>966</v>
      </c>
      <c r="I979" s="353">
        <v>731</v>
      </c>
      <c r="J979" s="338" t="str">
        <f>IFERROR(VLOOKUP(I979,'Chart of accounts'!A:H,2,FALSE),"")</f>
        <v>50103010 00</v>
      </c>
      <c r="K979" s="338" t="str">
        <f>IFERROR(VLOOKUP(I979,'Chart of accounts'!A:H,3,FALSE),"")</f>
        <v>Retirement and Life Insurance Premiums</v>
      </c>
      <c r="L979" s="338" t="str">
        <f>IFERROR(VLOOKUP(I979,'Chart of accounts'!A:H,4,FALSE),"")</f>
        <v>50103010 00 - Retirement and Life Insurance Premiums (731)</v>
      </c>
      <c r="M979" s="361">
        <v>67</v>
      </c>
      <c r="N979" s="355" t="s">
        <v>768</v>
      </c>
      <c r="O979" s="355" t="s">
        <v>1384</v>
      </c>
      <c r="P979" s="355"/>
      <c r="Q979" s="363">
        <v>5551.32</v>
      </c>
      <c r="R979" s="428">
        <f t="shared" si="26"/>
        <v>-5551.32</v>
      </c>
      <c r="S979" s="239" t="str">
        <f>VLOOKUP(H979,'Fund Utilization Report'!$A$4:$U$1800,13,FALSE)</f>
        <v>PS</v>
      </c>
      <c r="T979" s="239" t="str">
        <f>VLOOKUP(H979,'Fund Utilization Report'!$A$4:$U$1800,2,FALSE)</f>
        <v>GAA</v>
      </c>
      <c r="U979" s="239" t="str">
        <f>VLOOKUP(H979,'Fund Utilization Report'!$A$4:$U$1800,3,FALSE)</f>
        <v>FY2021, RA11518</v>
      </c>
      <c r="V979" s="239" t="str">
        <f>VLOOKUP(H979,'Fund Utilization Report'!$A$4:$U$1800,4,FALSE)</f>
        <v>OO1</v>
      </c>
      <c r="W979" s="239" t="str">
        <f>VLOOKUP(H979,'Fund Utilization Report'!$A$4:$U$1800,5,FALSE)</f>
        <v>01101101</v>
      </c>
      <c r="X979" s="239" t="str">
        <f>VLOOKUP(H979,'Fund Utilization Report'!$A$4:$U$1800,6,FALSE)</f>
        <v>GOP</v>
      </c>
      <c r="Y979" s="440" t="str">
        <f>VLOOKUP(H979,'Fund Utilization Report'!$A$4:$U$1800,7,FALSE)</f>
        <v>RLIP</v>
      </c>
      <c r="Z979" s="441" t="str">
        <f>VLOOKUP(H979,'Fund Utilization Report'!$A$4:$U$1800,8,FALSE)</f>
        <v>50103010-00</v>
      </c>
      <c r="AA979" s="239" t="str">
        <f>VLOOKUP(H979,'Fund Utilization Report'!$A$4:$U$1800,14,FALSE)</f>
        <v>310100100002000</v>
      </c>
      <c r="AB979" s="242" t="str">
        <f>VLOOKUP(H979,'Fund Utilization Report'!$A$4:$U$1800,15,FALSE)</f>
        <v>Development,Facilitation, and promotion of exports and investment, domestic and foreign</v>
      </c>
      <c r="AC979" s="51"/>
      <c r="AD979" s="435"/>
      <c r="AE979" s="51"/>
      <c r="AF979" s="51"/>
      <c r="AG979" s="442"/>
      <c r="AH979" s="442"/>
      <c r="AI979" s="443"/>
    </row>
    <row r="980" spans="1:35" s="32" customFormat="1" ht="27.6">
      <c r="A980" s="434" t="s">
        <v>942</v>
      </c>
      <c r="B980" s="457" t="s">
        <v>946</v>
      </c>
      <c r="C980" s="233">
        <v>44265</v>
      </c>
      <c r="D980" s="435" t="s">
        <v>1267</v>
      </c>
      <c r="E980" s="436" t="s">
        <v>1386</v>
      </c>
      <c r="F980" s="338">
        <v>0.40486111111111112</v>
      </c>
      <c r="G980" s="338">
        <v>0.40833333333333338</v>
      </c>
      <c r="H980" s="338" t="s">
        <v>964</v>
      </c>
      <c r="I980" s="353">
        <v>732</v>
      </c>
      <c r="J980" s="338" t="str">
        <f>IFERROR(VLOOKUP(I980,'Chart of accounts'!A:H,2,FALSE),"")</f>
        <v>50103020 01</v>
      </c>
      <c r="K980" s="338" t="str">
        <f>IFERROR(VLOOKUP(I980,'Chart of accounts'!A:H,3,FALSE),"")</f>
        <v>Pag-IBIG - Civilian</v>
      </c>
      <c r="L980" s="338" t="str">
        <f>IFERROR(VLOOKUP(I980,'Chart of accounts'!A:H,4,FALSE),"")</f>
        <v>50103020 01 - Pag-IBIG - Civilian (732)</v>
      </c>
      <c r="M980" s="361">
        <v>67</v>
      </c>
      <c r="N980" s="355" t="s">
        <v>768</v>
      </c>
      <c r="O980" s="355" t="s">
        <v>1384</v>
      </c>
      <c r="P980" s="355"/>
      <c r="Q980" s="363">
        <v>100</v>
      </c>
      <c r="R980" s="428">
        <f t="shared" si="26"/>
        <v>-100</v>
      </c>
      <c r="S980" s="239" t="str">
        <f>VLOOKUP(H980,'Fund Utilization Report'!$A$4:$U$1800,13,FALSE)</f>
        <v>PS</v>
      </c>
      <c r="T980" s="239" t="str">
        <f>VLOOKUP(H980,'Fund Utilization Report'!$A$4:$U$1800,2,FALSE)</f>
        <v>GAA</v>
      </c>
      <c r="U980" s="239" t="str">
        <f>VLOOKUP(H980,'Fund Utilization Report'!$A$4:$U$1800,3,FALSE)</f>
        <v>FY2021, RA11518</v>
      </c>
      <c r="V980" s="239" t="str">
        <f>VLOOKUP(H980,'Fund Utilization Report'!$A$4:$U$1800,4,FALSE)</f>
        <v>OO1</v>
      </c>
      <c r="W980" s="239" t="str">
        <f>VLOOKUP(H980,'Fund Utilization Report'!$A$4:$U$1800,5,FALSE)</f>
        <v>01101101</v>
      </c>
      <c r="X980" s="239" t="str">
        <f>VLOOKUP(H980,'Fund Utilization Report'!$A$4:$U$1800,6,FALSE)</f>
        <v>GOP</v>
      </c>
      <c r="Y980" s="440" t="str">
        <f>VLOOKUP(H980,'Fund Utilization Report'!$A$4:$U$1800,7,FALSE)</f>
        <v>PS</v>
      </c>
      <c r="Z980" s="441">
        <f>VLOOKUP(H980,'Fund Utilization Report'!$A$4:$U$1800,8,FALSE)</f>
        <v>5010000000</v>
      </c>
      <c r="AA980" s="239" t="str">
        <f>VLOOKUP(H980,'Fund Utilization Report'!$A$4:$U$1800,14,FALSE)</f>
        <v>310100100002000</v>
      </c>
      <c r="AB980" s="242" t="str">
        <f>VLOOKUP(H980,'Fund Utilization Report'!$A$4:$U$1800,15,FALSE)</f>
        <v>Development,Facilitation, and promotion of exports and investment, domestic and foreign</v>
      </c>
      <c r="AC980" s="51"/>
      <c r="AD980" s="435"/>
      <c r="AE980" s="51"/>
      <c r="AF980" s="51"/>
      <c r="AG980" s="442"/>
      <c r="AH980" s="442"/>
      <c r="AI980" s="443"/>
    </row>
    <row r="981" spans="1:35" s="32" customFormat="1" ht="27.6">
      <c r="A981" s="434" t="s">
        <v>942</v>
      </c>
      <c r="B981" s="457" t="s">
        <v>946</v>
      </c>
      <c r="C981" s="233">
        <v>44265</v>
      </c>
      <c r="D981" s="435" t="s">
        <v>1267</v>
      </c>
      <c r="E981" s="436" t="s">
        <v>1386</v>
      </c>
      <c r="F981" s="338">
        <v>0.40486111111111112</v>
      </c>
      <c r="G981" s="338">
        <v>0.40833333333333338</v>
      </c>
      <c r="H981" s="338" t="s">
        <v>964</v>
      </c>
      <c r="I981" s="353">
        <v>733</v>
      </c>
      <c r="J981" s="338" t="str">
        <f>IFERROR(VLOOKUP(I981,'Chart of accounts'!A:H,2,FALSE),"")</f>
        <v>50103030 01</v>
      </c>
      <c r="K981" s="338" t="str">
        <f>IFERROR(VLOOKUP(I981,'Chart of accounts'!A:H,3,FALSE),"")</f>
        <v>PhilHealth - Civilian</v>
      </c>
      <c r="L981" s="338" t="str">
        <f>IFERROR(VLOOKUP(I981,'Chart of accounts'!A:H,4,FALSE),"")</f>
        <v>50103030 01 - PhilHealth - Civilian (733)</v>
      </c>
      <c r="M981" s="361">
        <v>67</v>
      </c>
      <c r="N981" s="355" t="s">
        <v>768</v>
      </c>
      <c r="O981" s="355" t="s">
        <v>1384</v>
      </c>
      <c r="P981" s="355"/>
      <c r="Q981" s="363">
        <v>693.92</v>
      </c>
      <c r="R981" s="428">
        <f t="shared" si="26"/>
        <v>-693.92</v>
      </c>
      <c r="S981" s="239" t="str">
        <f>VLOOKUP(H981,'Fund Utilization Report'!$A$4:$U$1800,13,FALSE)</f>
        <v>PS</v>
      </c>
      <c r="T981" s="239" t="str">
        <f>VLOOKUP(H981,'Fund Utilization Report'!$A$4:$U$1800,2,FALSE)</f>
        <v>GAA</v>
      </c>
      <c r="U981" s="239" t="str">
        <f>VLOOKUP(H981,'Fund Utilization Report'!$A$4:$U$1800,3,FALSE)</f>
        <v>FY2021, RA11518</v>
      </c>
      <c r="V981" s="239" t="str">
        <f>VLOOKUP(H981,'Fund Utilization Report'!$A$4:$U$1800,4,FALSE)</f>
        <v>OO1</v>
      </c>
      <c r="W981" s="239" t="str">
        <f>VLOOKUP(H981,'Fund Utilization Report'!$A$4:$U$1800,5,FALSE)</f>
        <v>01101101</v>
      </c>
      <c r="X981" s="239" t="str">
        <f>VLOOKUP(H981,'Fund Utilization Report'!$A$4:$U$1800,6,FALSE)</f>
        <v>GOP</v>
      </c>
      <c r="Y981" s="440" t="str">
        <f>VLOOKUP(H981,'Fund Utilization Report'!$A$4:$U$1800,7,FALSE)</f>
        <v>PS</v>
      </c>
      <c r="Z981" s="441">
        <f>VLOOKUP(H981,'Fund Utilization Report'!$A$4:$U$1800,8,FALSE)</f>
        <v>5010000000</v>
      </c>
      <c r="AA981" s="239" t="str">
        <f>VLOOKUP(H981,'Fund Utilization Report'!$A$4:$U$1800,14,FALSE)</f>
        <v>310100100002000</v>
      </c>
      <c r="AB981" s="242" t="str">
        <f>VLOOKUP(H981,'Fund Utilization Report'!$A$4:$U$1800,15,FALSE)</f>
        <v>Development,Facilitation, and promotion of exports and investment, domestic and foreign</v>
      </c>
      <c r="AC981" s="51"/>
      <c r="AD981" s="435"/>
      <c r="AE981" s="51"/>
      <c r="AF981" s="51"/>
      <c r="AG981" s="442"/>
      <c r="AH981" s="442"/>
      <c r="AI981" s="443"/>
    </row>
    <row r="982" spans="1:35" s="32" customFormat="1" ht="27.6">
      <c r="A982" s="434" t="s">
        <v>942</v>
      </c>
      <c r="B982" s="457" t="s">
        <v>946</v>
      </c>
      <c r="C982" s="233">
        <v>44265</v>
      </c>
      <c r="D982" s="435" t="s">
        <v>1267</v>
      </c>
      <c r="E982" s="436" t="s">
        <v>1386</v>
      </c>
      <c r="F982" s="338">
        <v>0.40486111111111112</v>
      </c>
      <c r="G982" s="338">
        <v>0.40833333333333338</v>
      </c>
      <c r="H982" s="338" t="s">
        <v>964</v>
      </c>
      <c r="I982" s="353">
        <v>734</v>
      </c>
      <c r="J982" s="338" t="str">
        <f>IFERROR(VLOOKUP(I982,'Chart of accounts'!A:H,2,FALSE),"")</f>
        <v>50103040 01</v>
      </c>
      <c r="K982" s="338" t="str">
        <f>IFERROR(VLOOKUP(I982,'Chart of accounts'!A:H,3,FALSE),"")</f>
        <v>ECIP - Civilian</v>
      </c>
      <c r="L982" s="338" t="str">
        <f>IFERROR(VLOOKUP(I982,'Chart of accounts'!A:H,4,FALSE),"")</f>
        <v>50103040 01 - ECIP - Civilian (734)</v>
      </c>
      <c r="M982" s="361">
        <v>67</v>
      </c>
      <c r="N982" s="355" t="s">
        <v>768</v>
      </c>
      <c r="O982" s="355" t="s">
        <v>1384</v>
      </c>
      <c r="P982" s="355"/>
      <c r="Q982" s="363">
        <v>100</v>
      </c>
      <c r="R982" s="428">
        <f t="shared" si="26"/>
        <v>-100</v>
      </c>
      <c r="S982" s="239" t="str">
        <f>VLOOKUP(H982,'Fund Utilization Report'!$A$4:$U$1800,13,FALSE)</f>
        <v>PS</v>
      </c>
      <c r="T982" s="239" t="str">
        <f>VLOOKUP(H982,'Fund Utilization Report'!$A$4:$U$1800,2,FALSE)</f>
        <v>GAA</v>
      </c>
      <c r="U982" s="239" t="str">
        <f>VLOOKUP(H982,'Fund Utilization Report'!$A$4:$U$1800,3,FALSE)</f>
        <v>FY2021, RA11518</v>
      </c>
      <c r="V982" s="239" t="str">
        <f>VLOOKUP(H982,'Fund Utilization Report'!$A$4:$U$1800,4,FALSE)</f>
        <v>OO1</v>
      </c>
      <c r="W982" s="239" t="str">
        <f>VLOOKUP(H982,'Fund Utilization Report'!$A$4:$U$1800,5,FALSE)</f>
        <v>01101101</v>
      </c>
      <c r="X982" s="239" t="str">
        <f>VLOOKUP(H982,'Fund Utilization Report'!$A$4:$U$1800,6,FALSE)</f>
        <v>GOP</v>
      </c>
      <c r="Y982" s="440" t="str">
        <f>VLOOKUP(H982,'Fund Utilization Report'!$A$4:$U$1800,7,FALSE)</f>
        <v>PS</v>
      </c>
      <c r="Z982" s="441">
        <f>VLOOKUP(H982,'Fund Utilization Report'!$A$4:$U$1800,8,FALSE)</f>
        <v>5010000000</v>
      </c>
      <c r="AA982" s="239" t="str">
        <f>VLOOKUP(H982,'Fund Utilization Report'!$A$4:$U$1800,14,FALSE)</f>
        <v>310100100002000</v>
      </c>
      <c r="AB982" s="242" t="str">
        <f>VLOOKUP(H982,'Fund Utilization Report'!$A$4:$U$1800,15,FALSE)</f>
        <v>Development,Facilitation, and promotion of exports and investment, domestic and foreign</v>
      </c>
      <c r="AC982" s="51"/>
      <c r="AD982" s="435"/>
      <c r="AE982" s="51"/>
      <c r="AF982" s="51"/>
      <c r="AG982" s="442"/>
      <c r="AH982" s="442"/>
      <c r="AI982" s="443"/>
    </row>
    <row r="983" spans="1:35" s="32" customFormat="1" ht="27.6">
      <c r="A983" s="434" t="s">
        <v>942</v>
      </c>
      <c r="B983" s="457" t="s">
        <v>946</v>
      </c>
      <c r="C983" s="233">
        <v>44265</v>
      </c>
      <c r="D983" s="435" t="s">
        <v>1267</v>
      </c>
      <c r="E983" s="436" t="s">
        <v>1386</v>
      </c>
      <c r="F983" s="338">
        <v>0.40486111111111112</v>
      </c>
      <c r="G983" s="338">
        <v>0.40833333333333338</v>
      </c>
      <c r="H983" s="338" t="s">
        <v>967</v>
      </c>
      <c r="I983" s="353">
        <v>701</v>
      </c>
      <c r="J983" s="338" t="str">
        <f>IFERROR(VLOOKUP(I983,'Chart of accounts'!A:H,2,FALSE),"")</f>
        <v>50101010 01</v>
      </c>
      <c r="K983" s="338" t="str">
        <f>IFERROR(VLOOKUP(I983,'Chart of accounts'!A:H,3,FALSE),"")</f>
        <v>Basic Salary - Civilian</v>
      </c>
      <c r="L983" s="338" t="str">
        <f>IFERROR(VLOOKUP(I983,'Chart of accounts'!A:H,4,FALSE),"")</f>
        <v>50101010 01 - Basic Salary - Civilian (701)</v>
      </c>
      <c r="M983" s="361">
        <v>67</v>
      </c>
      <c r="N983" s="355" t="s">
        <v>768</v>
      </c>
      <c r="O983" s="355" t="s">
        <v>1384</v>
      </c>
      <c r="P983" s="355"/>
      <c r="Q983" s="363">
        <v>111742</v>
      </c>
      <c r="R983" s="428">
        <f t="shared" ref="R983:R988" si="27">P983-Q983</f>
        <v>-111742</v>
      </c>
      <c r="S983" s="239" t="str">
        <f>VLOOKUP(H983,'Fund Utilization Report'!$A$4:$U$1800,13,FALSE)</f>
        <v>PS</v>
      </c>
      <c r="T983" s="239" t="str">
        <f>VLOOKUP(H983,'Fund Utilization Report'!$A$4:$U$1800,2,FALSE)</f>
        <v>GAA</v>
      </c>
      <c r="U983" s="239" t="str">
        <f>VLOOKUP(H983,'Fund Utilization Report'!$A$4:$U$1800,3,FALSE)</f>
        <v>FY2021, RA11518</v>
      </c>
      <c r="V983" s="239" t="str">
        <f>VLOOKUP(H983,'Fund Utilization Report'!$A$4:$U$1800,4,FALSE)</f>
        <v>OO2</v>
      </c>
      <c r="W983" s="239" t="str">
        <f>VLOOKUP(H983,'Fund Utilization Report'!$A$4:$U$1800,5,FALSE)</f>
        <v>01101101</v>
      </c>
      <c r="X983" s="239" t="str">
        <f>VLOOKUP(H983,'Fund Utilization Report'!$A$4:$U$1800,6,FALSE)</f>
        <v>GOP</v>
      </c>
      <c r="Y983" s="440" t="str">
        <f>VLOOKUP(H983,'Fund Utilization Report'!$A$4:$U$1800,7,FALSE)</f>
        <v>PS</v>
      </c>
      <c r="Z983" s="441">
        <f>VLOOKUP(H983,'Fund Utilization Report'!$A$4:$U$1800,8,FALSE)</f>
        <v>5010000000</v>
      </c>
      <c r="AA983" s="239" t="str">
        <f>VLOOKUP(H983,'Fund Utilization Report'!$A$4:$U$1800,14,FALSE)</f>
        <v>320100100001000</v>
      </c>
      <c r="AB983" s="242" t="str">
        <f>VLOOKUP(H983,'Fund Utilization Report'!$A$4:$U$1800,15,FALSE)</f>
        <v>Formulation of Strategic plans,programs, and policies to develop competitve industries</v>
      </c>
      <c r="AC983" s="51"/>
      <c r="AD983" s="435"/>
      <c r="AE983" s="51"/>
      <c r="AF983" s="51"/>
      <c r="AG983" s="442"/>
      <c r="AH983" s="442"/>
      <c r="AI983" s="443"/>
    </row>
    <row r="984" spans="1:35" s="32" customFormat="1" ht="27.6">
      <c r="A984" s="434" t="s">
        <v>942</v>
      </c>
      <c r="B984" s="457" t="s">
        <v>946</v>
      </c>
      <c r="C984" s="233">
        <v>44265</v>
      </c>
      <c r="D984" s="435" t="s">
        <v>1267</v>
      </c>
      <c r="E984" s="436" t="s">
        <v>1386</v>
      </c>
      <c r="F984" s="338">
        <v>0.40486111111111112</v>
      </c>
      <c r="G984" s="338">
        <v>0.40833333333333338</v>
      </c>
      <c r="H984" s="338" t="s">
        <v>967</v>
      </c>
      <c r="I984" s="353">
        <v>711</v>
      </c>
      <c r="J984" s="338" t="str">
        <f>IFERROR(VLOOKUP(I984,'Chart of accounts'!A:H,2,FALSE),"")</f>
        <v>50102010 01</v>
      </c>
      <c r="K984" s="338" t="str">
        <f>IFERROR(VLOOKUP(I984,'Chart of accounts'!A:H,3,FALSE),"")</f>
        <v>PERA - Civilian</v>
      </c>
      <c r="L984" s="338" t="str">
        <f>IFERROR(VLOOKUP(I984,'Chart of accounts'!A:H,4,FALSE),"")</f>
        <v>50102010 01 - PERA - Civilian (711)</v>
      </c>
      <c r="M984" s="361">
        <v>67</v>
      </c>
      <c r="N984" s="355" t="s">
        <v>768</v>
      </c>
      <c r="O984" s="355" t="s">
        <v>1384</v>
      </c>
      <c r="P984" s="355"/>
      <c r="Q984" s="363">
        <v>2000</v>
      </c>
      <c r="R984" s="428">
        <f t="shared" si="27"/>
        <v>-2000</v>
      </c>
      <c r="S984" s="239" t="str">
        <f>VLOOKUP(H984,'Fund Utilization Report'!$A$4:$U$1800,13,FALSE)</f>
        <v>PS</v>
      </c>
      <c r="T984" s="239" t="str">
        <f>VLOOKUP(H984,'Fund Utilization Report'!$A$4:$U$1800,2,FALSE)</f>
        <v>GAA</v>
      </c>
      <c r="U984" s="239" t="str">
        <f>VLOOKUP(H984,'Fund Utilization Report'!$A$4:$U$1800,3,FALSE)</f>
        <v>FY2021, RA11518</v>
      </c>
      <c r="V984" s="239" t="str">
        <f>VLOOKUP(H984,'Fund Utilization Report'!$A$4:$U$1800,4,FALSE)</f>
        <v>OO2</v>
      </c>
      <c r="W984" s="239" t="str">
        <f>VLOOKUP(H984,'Fund Utilization Report'!$A$4:$U$1800,5,FALSE)</f>
        <v>01101101</v>
      </c>
      <c r="X984" s="239" t="str">
        <f>VLOOKUP(H984,'Fund Utilization Report'!$A$4:$U$1800,6,FALSE)</f>
        <v>GOP</v>
      </c>
      <c r="Y984" s="440" t="str">
        <f>VLOOKUP(H984,'Fund Utilization Report'!$A$4:$U$1800,7,FALSE)</f>
        <v>PS</v>
      </c>
      <c r="Z984" s="441">
        <f>VLOOKUP(H984,'Fund Utilization Report'!$A$4:$U$1800,8,FALSE)</f>
        <v>5010000000</v>
      </c>
      <c r="AA984" s="239" t="str">
        <f>VLOOKUP(H984,'Fund Utilization Report'!$A$4:$U$1800,14,FALSE)</f>
        <v>320100100001000</v>
      </c>
      <c r="AB984" s="242" t="str">
        <f>VLOOKUP(H984,'Fund Utilization Report'!$A$4:$U$1800,15,FALSE)</f>
        <v>Formulation of Strategic plans,programs, and policies to develop competitve industries</v>
      </c>
      <c r="AC984" s="51"/>
      <c r="AD984" s="435"/>
      <c r="AE984" s="51"/>
      <c r="AF984" s="51"/>
      <c r="AG984" s="442"/>
      <c r="AH984" s="442"/>
      <c r="AI984" s="443"/>
    </row>
    <row r="985" spans="1:35" s="32" customFormat="1" ht="27.6">
      <c r="A985" s="434" t="s">
        <v>942</v>
      </c>
      <c r="B985" s="457" t="s">
        <v>946</v>
      </c>
      <c r="C985" s="233">
        <v>44265</v>
      </c>
      <c r="D985" s="435" t="s">
        <v>1267</v>
      </c>
      <c r="E985" s="436" t="s">
        <v>1386</v>
      </c>
      <c r="F985" s="338">
        <v>0.40486111111111112</v>
      </c>
      <c r="G985" s="338">
        <v>0.40833333333333338</v>
      </c>
      <c r="H985" s="338" t="s">
        <v>969</v>
      </c>
      <c r="I985" s="353">
        <v>731</v>
      </c>
      <c r="J985" s="338" t="str">
        <f>IFERROR(VLOOKUP(I985,'Chart of accounts'!A:H,2,FALSE),"")</f>
        <v>50103010 00</v>
      </c>
      <c r="K985" s="338" t="str">
        <f>IFERROR(VLOOKUP(I985,'Chart of accounts'!A:H,3,FALSE),"")</f>
        <v>Retirement and Life Insurance Premiums</v>
      </c>
      <c r="L985" s="338" t="str">
        <f>IFERROR(VLOOKUP(I985,'Chart of accounts'!A:H,4,FALSE),"")</f>
        <v>50103010 00 - Retirement and Life Insurance Premiums (731)</v>
      </c>
      <c r="M985" s="361">
        <v>67</v>
      </c>
      <c r="N985" s="355" t="s">
        <v>768</v>
      </c>
      <c r="O985" s="355" t="s">
        <v>1384</v>
      </c>
      <c r="P985" s="355"/>
      <c r="Q985" s="363">
        <v>13409.04</v>
      </c>
      <c r="R985" s="428">
        <f t="shared" si="27"/>
        <v>-13409.04</v>
      </c>
      <c r="S985" s="239" t="str">
        <f>VLOOKUP(H985,'Fund Utilization Report'!$A$4:$U$1800,13,FALSE)</f>
        <v>PS</v>
      </c>
      <c r="T985" s="239" t="str">
        <f>VLOOKUP(H985,'Fund Utilization Report'!$A$4:$U$1800,2,FALSE)</f>
        <v>GAA</v>
      </c>
      <c r="U985" s="239" t="str">
        <f>VLOOKUP(H985,'Fund Utilization Report'!$A$4:$U$1800,3,FALSE)</f>
        <v>FY2021, RA11518</v>
      </c>
      <c r="V985" s="239" t="str">
        <f>VLOOKUP(H985,'Fund Utilization Report'!$A$4:$U$1800,4,FALSE)</f>
        <v>OO2</v>
      </c>
      <c r="W985" s="239" t="str">
        <f>VLOOKUP(H985,'Fund Utilization Report'!$A$4:$U$1800,5,FALSE)</f>
        <v>01101101</v>
      </c>
      <c r="X985" s="239" t="str">
        <f>VLOOKUP(H985,'Fund Utilization Report'!$A$4:$U$1800,6,FALSE)</f>
        <v>GOP</v>
      </c>
      <c r="Y985" s="440" t="str">
        <f>VLOOKUP(H985,'Fund Utilization Report'!$A$4:$U$1800,7,FALSE)</f>
        <v>RLIP</v>
      </c>
      <c r="Z985" s="441" t="str">
        <f>VLOOKUP(H985,'Fund Utilization Report'!$A$4:$U$1800,8,FALSE)</f>
        <v>50103010-00</v>
      </c>
      <c r="AA985" s="239" t="str">
        <f>VLOOKUP(H985,'Fund Utilization Report'!$A$4:$U$1800,14,FALSE)</f>
        <v>320100100001000</v>
      </c>
      <c r="AB985" s="242" t="str">
        <f>VLOOKUP(H985,'Fund Utilization Report'!$A$4:$U$1800,15,FALSE)</f>
        <v>Formulation of Strategic plans,programs, and policies to develop competitve industries</v>
      </c>
      <c r="AC985" s="51"/>
      <c r="AD985" s="435"/>
      <c r="AE985" s="51"/>
      <c r="AF985" s="51"/>
      <c r="AG985" s="442"/>
      <c r="AH985" s="442"/>
      <c r="AI985" s="443"/>
    </row>
    <row r="986" spans="1:35" s="32" customFormat="1" ht="27.6">
      <c r="A986" s="434" t="s">
        <v>942</v>
      </c>
      <c r="B986" s="457" t="s">
        <v>946</v>
      </c>
      <c r="C986" s="233">
        <v>44265</v>
      </c>
      <c r="D986" s="435" t="s">
        <v>1267</v>
      </c>
      <c r="E986" s="436" t="s">
        <v>1386</v>
      </c>
      <c r="F986" s="338">
        <v>0.40486111111111112</v>
      </c>
      <c r="G986" s="338">
        <v>0.40833333333333338</v>
      </c>
      <c r="H986" s="338" t="s">
        <v>967</v>
      </c>
      <c r="I986" s="353">
        <v>732</v>
      </c>
      <c r="J986" s="338" t="str">
        <f>IFERROR(VLOOKUP(I986,'Chart of accounts'!A:H,2,FALSE),"")</f>
        <v>50103020 01</v>
      </c>
      <c r="K986" s="338" t="str">
        <f>IFERROR(VLOOKUP(I986,'Chart of accounts'!A:H,3,FALSE),"")</f>
        <v>Pag-IBIG - Civilian</v>
      </c>
      <c r="L986" s="338" t="str">
        <f>IFERROR(VLOOKUP(I986,'Chart of accounts'!A:H,4,FALSE),"")</f>
        <v>50103020 01 - Pag-IBIG - Civilian (732)</v>
      </c>
      <c r="M986" s="361">
        <v>67</v>
      </c>
      <c r="N986" s="355" t="s">
        <v>768</v>
      </c>
      <c r="O986" s="355" t="s">
        <v>1384</v>
      </c>
      <c r="P986" s="355"/>
      <c r="Q986" s="363">
        <v>100</v>
      </c>
      <c r="R986" s="428">
        <f t="shared" si="27"/>
        <v>-100</v>
      </c>
      <c r="S986" s="239" t="str">
        <f>VLOOKUP(H986,'Fund Utilization Report'!$A$4:$U$1800,13,FALSE)</f>
        <v>PS</v>
      </c>
      <c r="T986" s="239" t="str">
        <f>VLOOKUP(H986,'Fund Utilization Report'!$A$4:$U$1800,2,FALSE)</f>
        <v>GAA</v>
      </c>
      <c r="U986" s="239" t="str">
        <f>VLOOKUP(H986,'Fund Utilization Report'!$A$4:$U$1800,3,FALSE)</f>
        <v>FY2021, RA11518</v>
      </c>
      <c r="V986" s="239" t="str">
        <f>VLOOKUP(H986,'Fund Utilization Report'!$A$4:$U$1800,4,FALSE)</f>
        <v>OO2</v>
      </c>
      <c r="W986" s="239" t="str">
        <f>VLOOKUP(H986,'Fund Utilization Report'!$A$4:$U$1800,5,FALSE)</f>
        <v>01101101</v>
      </c>
      <c r="X986" s="239" t="str">
        <f>VLOOKUP(H986,'Fund Utilization Report'!$A$4:$U$1800,6,FALSE)</f>
        <v>GOP</v>
      </c>
      <c r="Y986" s="440" t="str">
        <f>VLOOKUP(H986,'Fund Utilization Report'!$A$4:$U$1800,7,FALSE)</f>
        <v>PS</v>
      </c>
      <c r="Z986" s="441">
        <f>VLOOKUP(H986,'Fund Utilization Report'!$A$4:$U$1800,8,FALSE)</f>
        <v>5010000000</v>
      </c>
      <c r="AA986" s="239" t="str">
        <f>VLOOKUP(H986,'Fund Utilization Report'!$A$4:$U$1800,14,FALSE)</f>
        <v>320100100001000</v>
      </c>
      <c r="AB986" s="242" t="str">
        <f>VLOOKUP(H986,'Fund Utilization Report'!$A$4:$U$1800,15,FALSE)</f>
        <v>Formulation of Strategic plans,programs, and policies to develop competitve industries</v>
      </c>
      <c r="AC986" s="51"/>
      <c r="AD986" s="435"/>
      <c r="AE986" s="51"/>
      <c r="AF986" s="51"/>
      <c r="AG986" s="442"/>
      <c r="AH986" s="442"/>
      <c r="AI986" s="443"/>
    </row>
    <row r="987" spans="1:35" s="32" customFormat="1" ht="27.6">
      <c r="A987" s="434" t="s">
        <v>942</v>
      </c>
      <c r="B987" s="457" t="s">
        <v>946</v>
      </c>
      <c r="C987" s="233">
        <v>44265</v>
      </c>
      <c r="D987" s="435" t="s">
        <v>1267</v>
      </c>
      <c r="E987" s="436" t="s">
        <v>1386</v>
      </c>
      <c r="F987" s="338">
        <v>0.40486111111111112</v>
      </c>
      <c r="G987" s="338">
        <v>0.40833333333333338</v>
      </c>
      <c r="H987" s="338" t="s">
        <v>967</v>
      </c>
      <c r="I987" s="353">
        <v>733</v>
      </c>
      <c r="J987" s="338" t="str">
        <f>IFERROR(VLOOKUP(I987,'Chart of accounts'!A:H,2,FALSE),"")</f>
        <v>50103030 01</v>
      </c>
      <c r="K987" s="338" t="str">
        <f>IFERROR(VLOOKUP(I987,'Chart of accounts'!A:H,3,FALSE),"")</f>
        <v>PhilHealth - Civilian</v>
      </c>
      <c r="L987" s="338" t="str">
        <f>IFERROR(VLOOKUP(I987,'Chart of accounts'!A:H,4,FALSE),"")</f>
        <v>50103030 01 - PhilHealth - Civilian (733)</v>
      </c>
      <c r="M987" s="361">
        <v>67</v>
      </c>
      <c r="N987" s="355" t="s">
        <v>768</v>
      </c>
      <c r="O987" s="355" t="s">
        <v>1384</v>
      </c>
      <c r="P987" s="355"/>
      <c r="Q987" s="363">
        <v>900</v>
      </c>
      <c r="R987" s="428">
        <f t="shared" si="27"/>
        <v>-900</v>
      </c>
      <c r="S987" s="239" t="str">
        <f>VLOOKUP(H987,'Fund Utilization Report'!$A$4:$U$1800,13,FALSE)</f>
        <v>PS</v>
      </c>
      <c r="T987" s="239" t="str">
        <f>VLOOKUP(H987,'Fund Utilization Report'!$A$4:$U$1800,2,FALSE)</f>
        <v>GAA</v>
      </c>
      <c r="U987" s="239" t="str">
        <f>VLOOKUP(H987,'Fund Utilization Report'!$A$4:$U$1800,3,FALSE)</f>
        <v>FY2021, RA11518</v>
      </c>
      <c r="V987" s="239" t="str">
        <f>VLOOKUP(H987,'Fund Utilization Report'!$A$4:$U$1800,4,FALSE)</f>
        <v>OO2</v>
      </c>
      <c r="W987" s="239" t="str">
        <f>VLOOKUP(H987,'Fund Utilization Report'!$A$4:$U$1800,5,FALSE)</f>
        <v>01101101</v>
      </c>
      <c r="X987" s="239" t="str">
        <f>VLOOKUP(H987,'Fund Utilization Report'!$A$4:$U$1800,6,FALSE)</f>
        <v>GOP</v>
      </c>
      <c r="Y987" s="440" t="str">
        <f>VLOOKUP(H987,'Fund Utilization Report'!$A$4:$U$1800,7,FALSE)</f>
        <v>PS</v>
      </c>
      <c r="Z987" s="441">
        <f>VLOOKUP(H987,'Fund Utilization Report'!$A$4:$U$1800,8,FALSE)</f>
        <v>5010000000</v>
      </c>
      <c r="AA987" s="239" t="str">
        <f>VLOOKUP(H987,'Fund Utilization Report'!$A$4:$U$1800,14,FALSE)</f>
        <v>320100100001000</v>
      </c>
      <c r="AB987" s="242" t="str">
        <f>VLOOKUP(H987,'Fund Utilization Report'!$A$4:$U$1800,15,FALSE)</f>
        <v>Formulation of Strategic plans,programs, and policies to develop competitve industries</v>
      </c>
      <c r="AC987" s="51"/>
      <c r="AD987" s="435"/>
      <c r="AE987" s="51"/>
      <c r="AF987" s="51"/>
      <c r="AG987" s="442"/>
      <c r="AH987" s="442"/>
      <c r="AI987" s="443"/>
    </row>
    <row r="988" spans="1:35" s="32" customFormat="1" ht="27.6">
      <c r="A988" s="434" t="s">
        <v>942</v>
      </c>
      <c r="B988" s="457" t="s">
        <v>946</v>
      </c>
      <c r="C988" s="233">
        <v>44265</v>
      </c>
      <c r="D988" s="435" t="s">
        <v>1267</v>
      </c>
      <c r="E988" s="436" t="s">
        <v>1386</v>
      </c>
      <c r="F988" s="338">
        <v>0.40486111111111112</v>
      </c>
      <c r="G988" s="338">
        <v>0.40833333333333338</v>
      </c>
      <c r="H988" s="338" t="s">
        <v>967</v>
      </c>
      <c r="I988" s="353">
        <v>734</v>
      </c>
      <c r="J988" s="338" t="str">
        <f>IFERROR(VLOOKUP(I988,'Chart of accounts'!A:H,2,FALSE),"")</f>
        <v>50103040 01</v>
      </c>
      <c r="K988" s="338" t="str">
        <f>IFERROR(VLOOKUP(I988,'Chart of accounts'!A:H,3,FALSE),"")</f>
        <v>ECIP - Civilian</v>
      </c>
      <c r="L988" s="338" t="str">
        <f>IFERROR(VLOOKUP(I988,'Chart of accounts'!A:H,4,FALSE),"")</f>
        <v>50103040 01 - ECIP - Civilian (734)</v>
      </c>
      <c r="M988" s="361">
        <v>67</v>
      </c>
      <c r="N988" s="355" t="s">
        <v>768</v>
      </c>
      <c r="O988" s="355" t="s">
        <v>1384</v>
      </c>
      <c r="P988" s="355"/>
      <c r="Q988" s="363">
        <v>100</v>
      </c>
      <c r="R988" s="428">
        <f t="shared" si="27"/>
        <v>-100</v>
      </c>
      <c r="S988" s="239" t="str">
        <f>VLOOKUP(H988,'Fund Utilization Report'!$A$4:$U$1800,13,FALSE)</f>
        <v>PS</v>
      </c>
      <c r="T988" s="239" t="str">
        <f>VLOOKUP(H988,'Fund Utilization Report'!$A$4:$U$1800,2,FALSE)</f>
        <v>GAA</v>
      </c>
      <c r="U988" s="239" t="str">
        <f>VLOOKUP(H988,'Fund Utilization Report'!$A$4:$U$1800,3,FALSE)</f>
        <v>FY2021, RA11518</v>
      </c>
      <c r="V988" s="239" t="str">
        <f>VLOOKUP(H988,'Fund Utilization Report'!$A$4:$U$1800,4,FALSE)</f>
        <v>OO2</v>
      </c>
      <c r="W988" s="239" t="str">
        <f>VLOOKUP(H988,'Fund Utilization Report'!$A$4:$U$1800,5,FALSE)</f>
        <v>01101101</v>
      </c>
      <c r="X988" s="239" t="str">
        <f>VLOOKUP(H988,'Fund Utilization Report'!$A$4:$U$1800,6,FALSE)</f>
        <v>GOP</v>
      </c>
      <c r="Y988" s="440" t="str">
        <f>VLOOKUP(H988,'Fund Utilization Report'!$A$4:$U$1800,7,FALSE)</f>
        <v>PS</v>
      </c>
      <c r="Z988" s="441">
        <f>VLOOKUP(H988,'Fund Utilization Report'!$A$4:$U$1800,8,FALSE)</f>
        <v>5010000000</v>
      </c>
      <c r="AA988" s="239" t="str">
        <f>VLOOKUP(H988,'Fund Utilization Report'!$A$4:$U$1800,14,FALSE)</f>
        <v>320100100001000</v>
      </c>
      <c r="AB988" s="242" t="str">
        <f>VLOOKUP(H988,'Fund Utilization Report'!$A$4:$U$1800,15,FALSE)</f>
        <v>Formulation of Strategic plans,programs, and policies to develop competitve industries</v>
      </c>
      <c r="AC988" s="51"/>
      <c r="AD988" s="435"/>
      <c r="AE988" s="51"/>
      <c r="AF988" s="51"/>
      <c r="AG988" s="442"/>
      <c r="AH988" s="442"/>
      <c r="AI988" s="443"/>
    </row>
    <row r="989" spans="1:35" s="32" customFormat="1" ht="27.6">
      <c r="A989" s="434" t="s">
        <v>942</v>
      </c>
      <c r="B989" s="457" t="s">
        <v>946</v>
      </c>
      <c r="C989" s="233">
        <v>44265</v>
      </c>
      <c r="D989" s="435" t="s">
        <v>1267</v>
      </c>
      <c r="E989" s="436" t="s">
        <v>1386</v>
      </c>
      <c r="F989" s="338">
        <v>0.40486111111111112</v>
      </c>
      <c r="G989" s="338">
        <v>0.40833333333333338</v>
      </c>
      <c r="H989" s="338" t="s">
        <v>970</v>
      </c>
      <c r="I989" s="353">
        <v>701</v>
      </c>
      <c r="J989" s="338" t="str">
        <f>IFERROR(VLOOKUP(I989,'Chart of accounts'!A:H,2,FALSE),"")</f>
        <v>50101010 01</v>
      </c>
      <c r="K989" s="338" t="str">
        <f>IFERROR(VLOOKUP(I989,'Chart of accounts'!A:H,3,FALSE),"")</f>
        <v>Basic Salary - Civilian</v>
      </c>
      <c r="L989" s="338" t="str">
        <f>IFERROR(VLOOKUP(I989,'Chart of accounts'!A:H,4,FALSE),"")</f>
        <v>50101010 01 - Basic Salary - Civilian (701)</v>
      </c>
      <c r="M989" s="361">
        <v>67</v>
      </c>
      <c r="N989" s="355" t="s">
        <v>768</v>
      </c>
      <c r="O989" s="355" t="s">
        <v>1384</v>
      </c>
      <c r="P989" s="355"/>
      <c r="Q989" s="363">
        <v>236044</v>
      </c>
      <c r="R989" s="428">
        <f t="shared" ref="R989:R994" si="28">P989-Q989</f>
        <v>-236044</v>
      </c>
      <c r="S989" s="239" t="str">
        <f>VLOOKUP(H989,'Fund Utilization Report'!$A$4:$U$1800,13,FALSE)</f>
        <v>PS</v>
      </c>
      <c r="T989" s="239" t="str">
        <f>VLOOKUP(H989,'Fund Utilization Report'!$A$4:$U$1800,2,FALSE)</f>
        <v>GAA</v>
      </c>
      <c r="U989" s="239" t="str">
        <f>VLOOKUP(H989,'Fund Utilization Report'!$A$4:$U$1800,3,FALSE)</f>
        <v>FY2021, RA11518</v>
      </c>
      <c r="V989" s="239" t="str">
        <f>VLOOKUP(H989,'Fund Utilization Report'!$A$4:$U$1800,4,FALSE)</f>
        <v>OO3</v>
      </c>
      <c r="W989" s="239" t="str">
        <f>VLOOKUP(H989,'Fund Utilization Report'!$A$4:$U$1800,5,FALSE)</f>
        <v>01101101</v>
      </c>
      <c r="X989" s="239" t="str">
        <f>VLOOKUP(H989,'Fund Utilization Report'!$A$4:$U$1800,6,FALSE)</f>
        <v>GOP</v>
      </c>
      <c r="Y989" s="440" t="str">
        <f>VLOOKUP(H989,'Fund Utilization Report'!$A$4:$U$1800,7,FALSE)</f>
        <v>PS</v>
      </c>
      <c r="Z989" s="441">
        <f>VLOOKUP(H989,'Fund Utilization Report'!$A$4:$U$1800,8,FALSE)</f>
        <v>5010000000</v>
      </c>
      <c r="AA989" s="239" t="str">
        <f>VLOOKUP(H989,'Fund Utilization Report'!$A$4:$U$1800,14,FALSE)</f>
        <v>330100100002000</v>
      </c>
      <c r="AB989" s="242" t="str">
        <f>VLOOKUP(H989,'Fund Utilization Report'!$A$4:$U$1800,15,FALSE)</f>
        <v>Implementation of the MSME Development Plan and other initiatives to promote the growth of Micro, Small and Medium Enterprises</v>
      </c>
      <c r="AC989" s="51"/>
      <c r="AD989" s="435"/>
      <c r="AE989" s="51"/>
      <c r="AF989" s="51"/>
      <c r="AG989" s="442"/>
      <c r="AH989" s="442"/>
      <c r="AI989" s="443"/>
    </row>
    <row r="990" spans="1:35" s="32" customFormat="1" ht="27.6">
      <c r="A990" s="434" t="s">
        <v>942</v>
      </c>
      <c r="B990" s="457" t="s">
        <v>946</v>
      </c>
      <c r="C990" s="233">
        <v>44265</v>
      </c>
      <c r="D990" s="435" t="s">
        <v>1267</v>
      </c>
      <c r="E990" s="436" t="s">
        <v>1386</v>
      </c>
      <c r="F990" s="338">
        <v>0.40486111111111112</v>
      </c>
      <c r="G990" s="338">
        <v>0.40833333333333338</v>
      </c>
      <c r="H990" s="338" t="s">
        <v>970</v>
      </c>
      <c r="I990" s="353">
        <v>711</v>
      </c>
      <c r="J990" s="338" t="str">
        <f>IFERROR(VLOOKUP(I990,'Chart of accounts'!A:H,2,FALSE),"")</f>
        <v>50102010 01</v>
      </c>
      <c r="K990" s="338" t="str">
        <f>IFERROR(VLOOKUP(I990,'Chart of accounts'!A:H,3,FALSE),"")</f>
        <v>PERA - Civilian</v>
      </c>
      <c r="L990" s="338" t="str">
        <f>IFERROR(VLOOKUP(I990,'Chart of accounts'!A:H,4,FALSE),"")</f>
        <v>50102010 01 - PERA - Civilian (711)</v>
      </c>
      <c r="M990" s="361">
        <v>67</v>
      </c>
      <c r="N990" s="355" t="s">
        <v>768</v>
      </c>
      <c r="O990" s="355" t="s">
        <v>1384</v>
      </c>
      <c r="P990" s="355"/>
      <c r="Q990" s="363">
        <v>12000</v>
      </c>
      <c r="R990" s="428">
        <f t="shared" si="28"/>
        <v>-12000</v>
      </c>
      <c r="S990" s="239" t="str">
        <f>VLOOKUP(H990,'Fund Utilization Report'!$A$4:$U$1800,13,FALSE)</f>
        <v>PS</v>
      </c>
      <c r="T990" s="239" t="str">
        <f>VLOOKUP(H990,'Fund Utilization Report'!$A$4:$U$1800,2,FALSE)</f>
        <v>GAA</v>
      </c>
      <c r="U990" s="239" t="str">
        <f>VLOOKUP(H990,'Fund Utilization Report'!$A$4:$U$1800,3,FALSE)</f>
        <v>FY2021, RA11518</v>
      </c>
      <c r="V990" s="239" t="str">
        <f>VLOOKUP(H990,'Fund Utilization Report'!$A$4:$U$1800,4,FALSE)</f>
        <v>OO3</v>
      </c>
      <c r="W990" s="239" t="str">
        <f>VLOOKUP(H990,'Fund Utilization Report'!$A$4:$U$1800,5,FALSE)</f>
        <v>01101101</v>
      </c>
      <c r="X990" s="239" t="str">
        <f>VLOOKUP(H990,'Fund Utilization Report'!$A$4:$U$1800,6,FALSE)</f>
        <v>GOP</v>
      </c>
      <c r="Y990" s="440" t="str">
        <f>VLOOKUP(H990,'Fund Utilization Report'!$A$4:$U$1800,7,FALSE)</f>
        <v>PS</v>
      </c>
      <c r="Z990" s="441">
        <f>VLOOKUP(H990,'Fund Utilization Report'!$A$4:$U$1800,8,FALSE)</f>
        <v>5010000000</v>
      </c>
      <c r="AA990" s="239" t="str">
        <f>VLOOKUP(H990,'Fund Utilization Report'!$A$4:$U$1800,14,FALSE)</f>
        <v>330100100002000</v>
      </c>
      <c r="AB990" s="242" t="str">
        <f>VLOOKUP(H990,'Fund Utilization Report'!$A$4:$U$1800,15,FALSE)</f>
        <v>Implementation of the MSME Development Plan and other initiatives to promote the growth of Micro, Small and Medium Enterprises</v>
      </c>
      <c r="AC990" s="51"/>
      <c r="AD990" s="435"/>
      <c r="AE990" s="51"/>
      <c r="AF990" s="51"/>
      <c r="AG990" s="442"/>
      <c r="AH990" s="442"/>
      <c r="AI990" s="443"/>
    </row>
    <row r="991" spans="1:35" s="32" customFormat="1" ht="27.6">
      <c r="A991" s="434" t="s">
        <v>942</v>
      </c>
      <c r="B991" s="457" t="s">
        <v>946</v>
      </c>
      <c r="C991" s="233">
        <v>44265</v>
      </c>
      <c r="D991" s="435" t="s">
        <v>1267</v>
      </c>
      <c r="E991" s="436" t="s">
        <v>1386</v>
      </c>
      <c r="F991" s="338">
        <v>0.40486111111111112</v>
      </c>
      <c r="G991" s="338">
        <v>0.40833333333333338</v>
      </c>
      <c r="H991" s="338" t="s">
        <v>972</v>
      </c>
      <c r="I991" s="353">
        <v>731</v>
      </c>
      <c r="J991" s="338" t="str">
        <f>IFERROR(VLOOKUP(I991,'Chart of accounts'!A:H,2,FALSE),"")</f>
        <v>50103010 00</v>
      </c>
      <c r="K991" s="338" t="str">
        <f>IFERROR(VLOOKUP(I991,'Chart of accounts'!A:H,3,FALSE),"")</f>
        <v>Retirement and Life Insurance Premiums</v>
      </c>
      <c r="L991" s="338" t="str">
        <f>IFERROR(VLOOKUP(I991,'Chart of accounts'!A:H,4,FALSE),"")</f>
        <v>50103010 00 - Retirement and Life Insurance Premiums (731)</v>
      </c>
      <c r="M991" s="361">
        <v>67</v>
      </c>
      <c r="N991" s="355" t="s">
        <v>768</v>
      </c>
      <c r="O991" s="355" t="s">
        <v>1384</v>
      </c>
      <c r="P991" s="355"/>
      <c r="Q991" s="363">
        <v>28325.279999999999</v>
      </c>
      <c r="R991" s="428">
        <f t="shared" si="28"/>
        <v>-28325.279999999999</v>
      </c>
      <c r="S991" s="239" t="str">
        <f>VLOOKUP(H991,'Fund Utilization Report'!$A$4:$U$1800,13,FALSE)</f>
        <v>PS</v>
      </c>
      <c r="T991" s="239" t="str">
        <f>VLOOKUP(H991,'Fund Utilization Report'!$A$4:$U$1800,2,FALSE)</f>
        <v>GAA</v>
      </c>
      <c r="U991" s="239" t="str">
        <f>VLOOKUP(H991,'Fund Utilization Report'!$A$4:$U$1800,3,FALSE)</f>
        <v>FY2021, RA11518</v>
      </c>
      <c r="V991" s="239" t="str">
        <f>VLOOKUP(H991,'Fund Utilization Report'!$A$4:$U$1800,4,FALSE)</f>
        <v>OO3</v>
      </c>
      <c r="W991" s="239" t="str">
        <f>VLOOKUP(H991,'Fund Utilization Report'!$A$4:$U$1800,5,FALSE)</f>
        <v>01101101</v>
      </c>
      <c r="X991" s="239" t="str">
        <f>VLOOKUP(H991,'Fund Utilization Report'!$A$4:$U$1800,6,FALSE)</f>
        <v>GOP</v>
      </c>
      <c r="Y991" s="440" t="str">
        <f>VLOOKUP(H991,'Fund Utilization Report'!$A$4:$U$1800,7,FALSE)</f>
        <v>RLIP</v>
      </c>
      <c r="Z991" s="441" t="str">
        <f>VLOOKUP(H991,'Fund Utilization Report'!$A$4:$U$1800,8,FALSE)</f>
        <v>50103010-00</v>
      </c>
      <c r="AA991" s="239" t="str">
        <f>VLOOKUP(H991,'Fund Utilization Report'!$A$4:$U$1800,14,FALSE)</f>
        <v>330100100002000</v>
      </c>
      <c r="AB991" s="242" t="str">
        <f>VLOOKUP(H991,'Fund Utilization Report'!$A$4:$U$1800,15,FALSE)</f>
        <v>Implementation of the MSME Development Plan and other initiatives to promote the growth of Micro, Small and Medium Enterprises</v>
      </c>
      <c r="AC991" s="51"/>
      <c r="AD991" s="435"/>
      <c r="AE991" s="51"/>
      <c r="AF991" s="51"/>
      <c r="AG991" s="442"/>
      <c r="AH991" s="442"/>
      <c r="AI991" s="443"/>
    </row>
    <row r="992" spans="1:35" s="32" customFormat="1" ht="27.6">
      <c r="A992" s="434" t="s">
        <v>942</v>
      </c>
      <c r="B992" s="457" t="s">
        <v>946</v>
      </c>
      <c r="C992" s="233">
        <v>44265</v>
      </c>
      <c r="D992" s="435" t="s">
        <v>1267</v>
      </c>
      <c r="E992" s="436" t="s">
        <v>1386</v>
      </c>
      <c r="F992" s="338">
        <v>0.40486111111111112</v>
      </c>
      <c r="G992" s="338">
        <v>0.40833333333333338</v>
      </c>
      <c r="H992" s="338" t="s">
        <v>970</v>
      </c>
      <c r="I992" s="353">
        <v>732</v>
      </c>
      <c r="J992" s="338" t="str">
        <f>IFERROR(VLOOKUP(I992,'Chart of accounts'!A:H,2,FALSE),"")</f>
        <v>50103020 01</v>
      </c>
      <c r="K992" s="338" t="str">
        <f>IFERROR(VLOOKUP(I992,'Chart of accounts'!A:H,3,FALSE),"")</f>
        <v>Pag-IBIG - Civilian</v>
      </c>
      <c r="L992" s="338" t="str">
        <f>IFERROR(VLOOKUP(I992,'Chart of accounts'!A:H,4,FALSE),"")</f>
        <v>50103020 01 - Pag-IBIG - Civilian (732)</v>
      </c>
      <c r="M992" s="361">
        <v>67</v>
      </c>
      <c r="N992" s="355" t="s">
        <v>768</v>
      </c>
      <c r="O992" s="355" t="s">
        <v>1384</v>
      </c>
      <c r="P992" s="355"/>
      <c r="Q992" s="363">
        <v>600</v>
      </c>
      <c r="R992" s="428">
        <f t="shared" si="28"/>
        <v>-600</v>
      </c>
      <c r="S992" s="239" t="str">
        <f>VLOOKUP(H992,'Fund Utilization Report'!$A$4:$U$1800,13,FALSE)</f>
        <v>PS</v>
      </c>
      <c r="T992" s="239" t="str">
        <f>VLOOKUP(H992,'Fund Utilization Report'!$A$4:$U$1800,2,FALSE)</f>
        <v>GAA</v>
      </c>
      <c r="U992" s="239" t="str">
        <f>VLOOKUP(H992,'Fund Utilization Report'!$A$4:$U$1800,3,FALSE)</f>
        <v>FY2021, RA11518</v>
      </c>
      <c r="V992" s="239" t="str">
        <f>VLOOKUP(H992,'Fund Utilization Report'!$A$4:$U$1800,4,FALSE)</f>
        <v>OO3</v>
      </c>
      <c r="W992" s="239" t="str">
        <f>VLOOKUP(H992,'Fund Utilization Report'!$A$4:$U$1800,5,FALSE)</f>
        <v>01101101</v>
      </c>
      <c r="X992" s="239" t="str">
        <f>VLOOKUP(H992,'Fund Utilization Report'!$A$4:$U$1800,6,FALSE)</f>
        <v>GOP</v>
      </c>
      <c r="Y992" s="440" t="str">
        <f>VLOOKUP(H992,'Fund Utilization Report'!$A$4:$U$1800,7,FALSE)</f>
        <v>PS</v>
      </c>
      <c r="Z992" s="441">
        <f>VLOOKUP(H992,'Fund Utilization Report'!$A$4:$U$1800,8,FALSE)</f>
        <v>5010000000</v>
      </c>
      <c r="AA992" s="239" t="str">
        <f>VLOOKUP(H992,'Fund Utilization Report'!$A$4:$U$1800,14,FALSE)</f>
        <v>330100100002000</v>
      </c>
      <c r="AB992" s="242" t="str">
        <f>VLOOKUP(H992,'Fund Utilization Report'!$A$4:$U$1800,15,FALSE)</f>
        <v>Implementation of the MSME Development Plan and other initiatives to promote the growth of Micro, Small and Medium Enterprises</v>
      </c>
      <c r="AC992" s="51"/>
      <c r="AD992" s="435"/>
      <c r="AE992" s="51"/>
      <c r="AF992" s="51"/>
      <c r="AG992" s="442"/>
      <c r="AH992" s="442"/>
      <c r="AI992" s="443"/>
    </row>
    <row r="993" spans="1:35" s="32" customFormat="1" ht="27.6">
      <c r="A993" s="434" t="s">
        <v>942</v>
      </c>
      <c r="B993" s="457" t="s">
        <v>946</v>
      </c>
      <c r="C993" s="233">
        <v>44265</v>
      </c>
      <c r="D993" s="435" t="s">
        <v>1267</v>
      </c>
      <c r="E993" s="436" t="s">
        <v>1386</v>
      </c>
      <c r="F993" s="338">
        <v>0.40486111111111112</v>
      </c>
      <c r="G993" s="338">
        <v>0.40833333333333338</v>
      </c>
      <c r="H993" s="338" t="s">
        <v>970</v>
      </c>
      <c r="I993" s="353">
        <v>733</v>
      </c>
      <c r="J993" s="338" t="str">
        <f>IFERROR(VLOOKUP(I993,'Chart of accounts'!A:H,2,FALSE),"")</f>
        <v>50103030 01</v>
      </c>
      <c r="K993" s="338" t="str">
        <f>IFERROR(VLOOKUP(I993,'Chart of accounts'!A:H,3,FALSE),"")</f>
        <v>PhilHealth - Civilian</v>
      </c>
      <c r="L993" s="338" t="str">
        <f>IFERROR(VLOOKUP(I993,'Chart of accounts'!A:H,4,FALSE),"")</f>
        <v>50103030 01 - PhilHealth - Civilian (733)</v>
      </c>
      <c r="M993" s="361">
        <v>67</v>
      </c>
      <c r="N993" s="355" t="s">
        <v>768</v>
      </c>
      <c r="O993" s="355" t="s">
        <v>1384</v>
      </c>
      <c r="P993" s="355"/>
      <c r="Q993" s="363">
        <v>3540.69</v>
      </c>
      <c r="R993" s="428">
        <f t="shared" si="28"/>
        <v>-3540.69</v>
      </c>
      <c r="S993" s="239" t="str">
        <f>VLOOKUP(H993,'Fund Utilization Report'!$A$4:$U$1800,13,FALSE)</f>
        <v>PS</v>
      </c>
      <c r="T993" s="239" t="str">
        <f>VLOOKUP(H993,'Fund Utilization Report'!$A$4:$U$1800,2,FALSE)</f>
        <v>GAA</v>
      </c>
      <c r="U993" s="239" t="str">
        <f>VLOOKUP(H993,'Fund Utilization Report'!$A$4:$U$1800,3,FALSE)</f>
        <v>FY2021, RA11518</v>
      </c>
      <c r="V993" s="239" t="str">
        <f>VLOOKUP(H993,'Fund Utilization Report'!$A$4:$U$1800,4,FALSE)</f>
        <v>OO3</v>
      </c>
      <c r="W993" s="239" t="str">
        <f>VLOOKUP(H993,'Fund Utilization Report'!$A$4:$U$1800,5,FALSE)</f>
        <v>01101101</v>
      </c>
      <c r="X993" s="239" t="str">
        <f>VLOOKUP(H993,'Fund Utilization Report'!$A$4:$U$1800,6,FALSE)</f>
        <v>GOP</v>
      </c>
      <c r="Y993" s="440" t="str">
        <f>VLOOKUP(H993,'Fund Utilization Report'!$A$4:$U$1800,7,FALSE)</f>
        <v>PS</v>
      </c>
      <c r="Z993" s="441">
        <f>VLOOKUP(H993,'Fund Utilization Report'!$A$4:$U$1800,8,FALSE)</f>
        <v>5010000000</v>
      </c>
      <c r="AA993" s="239" t="str">
        <f>VLOOKUP(H993,'Fund Utilization Report'!$A$4:$U$1800,14,FALSE)</f>
        <v>330100100002000</v>
      </c>
      <c r="AB993" s="242" t="str">
        <f>VLOOKUP(H993,'Fund Utilization Report'!$A$4:$U$1800,15,FALSE)</f>
        <v>Implementation of the MSME Development Plan and other initiatives to promote the growth of Micro, Small and Medium Enterprises</v>
      </c>
      <c r="AC993" s="51"/>
      <c r="AD993" s="435"/>
      <c r="AE993" s="51"/>
      <c r="AF993" s="51"/>
      <c r="AG993" s="442"/>
      <c r="AH993" s="442"/>
      <c r="AI993" s="443"/>
    </row>
    <row r="994" spans="1:35" s="32" customFormat="1" ht="27.6">
      <c r="A994" s="434" t="s">
        <v>942</v>
      </c>
      <c r="B994" s="457" t="s">
        <v>946</v>
      </c>
      <c r="C994" s="233">
        <v>44265</v>
      </c>
      <c r="D994" s="435" t="s">
        <v>1267</v>
      </c>
      <c r="E994" s="436" t="s">
        <v>1386</v>
      </c>
      <c r="F994" s="338">
        <v>0.40486111111111112</v>
      </c>
      <c r="G994" s="338">
        <v>0.40833333333333338</v>
      </c>
      <c r="H994" s="338" t="s">
        <v>970</v>
      </c>
      <c r="I994" s="353">
        <v>734</v>
      </c>
      <c r="J994" s="338" t="str">
        <f>IFERROR(VLOOKUP(I994,'Chart of accounts'!A:H,2,FALSE),"")</f>
        <v>50103040 01</v>
      </c>
      <c r="K994" s="338" t="str">
        <f>IFERROR(VLOOKUP(I994,'Chart of accounts'!A:H,3,FALSE),"")</f>
        <v>ECIP - Civilian</v>
      </c>
      <c r="L994" s="338" t="str">
        <f>IFERROR(VLOOKUP(I994,'Chart of accounts'!A:H,4,FALSE),"")</f>
        <v>50103040 01 - ECIP - Civilian (734)</v>
      </c>
      <c r="M994" s="361">
        <v>67</v>
      </c>
      <c r="N994" s="355" t="s">
        <v>768</v>
      </c>
      <c r="O994" s="355" t="s">
        <v>1384</v>
      </c>
      <c r="P994" s="355"/>
      <c r="Q994" s="363">
        <v>600</v>
      </c>
      <c r="R994" s="428">
        <f t="shared" si="28"/>
        <v>-600</v>
      </c>
      <c r="S994" s="239" t="str">
        <f>VLOOKUP(H994,'Fund Utilization Report'!$A$4:$U$1800,13,FALSE)</f>
        <v>PS</v>
      </c>
      <c r="T994" s="239" t="str">
        <f>VLOOKUP(H994,'Fund Utilization Report'!$A$4:$U$1800,2,FALSE)</f>
        <v>GAA</v>
      </c>
      <c r="U994" s="239" t="str">
        <f>VLOOKUP(H994,'Fund Utilization Report'!$A$4:$U$1800,3,FALSE)</f>
        <v>FY2021, RA11518</v>
      </c>
      <c r="V994" s="239" t="str">
        <f>VLOOKUP(H994,'Fund Utilization Report'!$A$4:$U$1800,4,FALSE)</f>
        <v>OO3</v>
      </c>
      <c r="W994" s="239" t="str">
        <f>VLOOKUP(H994,'Fund Utilization Report'!$A$4:$U$1800,5,FALSE)</f>
        <v>01101101</v>
      </c>
      <c r="X994" s="239" t="str">
        <f>VLOOKUP(H994,'Fund Utilization Report'!$A$4:$U$1800,6,FALSE)</f>
        <v>GOP</v>
      </c>
      <c r="Y994" s="440" t="str">
        <f>VLOOKUP(H994,'Fund Utilization Report'!$A$4:$U$1800,7,FALSE)</f>
        <v>PS</v>
      </c>
      <c r="Z994" s="441">
        <f>VLOOKUP(H994,'Fund Utilization Report'!$A$4:$U$1800,8,FALSE)</f>
        <v>5010000000</v>
      </c>
      <c r="AA994" s="239" t="str">
        <f>VLOOKUP(H994,'Fund Utilization Report'!$A$4:$U$1800,14,FALSE)</f>
        <v>330100100002000</v>
      </c>
      <c r="AB994" s="242" t="str">
        <f>VLOOKUP(H994,'Fund Utilization Report'!$A$4:$U$1800,15,FALSE)</f>
        <v>Implementation of the MSME Development Plan and other initiatives to promote the growth of Micro, Small and Medium Enterprises</v>
      </c>
      <c r="AC994" s="51"/>
      <c r="AD994" s="435"/>
      <c r="AE994" s="51"/>
      <c r="AF994" s="51"/>
      <c r="AG994" s="442"/>
      <c r="AH994" s="442"/>
      <c r="AI994" s="443"/>
    </row>
    <row r="995" spans="1:35" s="32" customFormat="1" ht="27.6">
      <c r="A995" s="434" t="s">
        <v>942</v>
      </c>
      <c r="B995" s="457" t="s">
        <v>946</v>
      </c>
      <c r="C995" s="233">
        <v>44265</v>
      </c>
      <c r="D995" s="435" t="s">
        <v>1267</v>
      </c>
      <c r="E995" s="436" t="s">
        <v>1386</v>
      </c>
      <c r="F995" s="338">
        <v>0.40486111111111112</v>
      </c>
      <c r="G995" s="338">
        <v>0.40833333333333338</v>
      </c>
      <c r="H995" s="338" t="s">
        <v>973</v>
      </c>
      <c r="I995" s="353">
        <v>701</v>
      </c>
      <c r="J995" s="338" t="str">
        <f>IFERROR(VLOOKUP(I995,'Chart of accounts'!A:H,2,FALSE),"")</f>
        <v>50101010 01</v>
      </c>
      <c r="K995" s="338" t="str">
        <f>IFERROR(VLOOKUP(I995,'Chart of accounts'!A:H,3,FALSE),"")</f>
        <v>Basic Salary - Civilian</v>
      </c>
      <c r="L995" s="338" t="str">
        <f>IFERROR(VLOOKUP(I995,'Chart of accounts'!A:H,4,FALSE),"")</f>
        <v>50101010 01 - Basic Salary - Civilian (701)</v>
      </c>
      <c r="M995" s="361">
        <v>67</v>
      </c>
      <c r="N995" s="355" t="s">
        <v>768</v>
      </c>
      <c r="O995" s="355" t="s">
        <v>1384</v>
      </c>
      <c r="P995" s="355"/>
      <c r="Q995" s="363">
        <v>44694</v>
      </c>
      <c r="R995" s="428">
        <f t="shared" ref="R995:R1000" si="29">P995-Q995</f>
        <v>-44694</v>
      </c>
      <c r="S995" s="239" t="str">
        <f>VLOOKUP(H995,'Fund Utilization Report'!$A$4:$U$1800,13,FALSE)</f>
        <v>PS</v>
      </c>
      <c r="T995" s="239" t="str">
        <f>VLOOKUP(H995,'Fund Utilization Report'!$A$4:$U$1800,2,FALSE)</f>
        <v>GAA</v>
      </c>
      <c r="U995" s="239" t="str">
        <f>VLOOKUP(H995,'Fund Utilization Report'!$A$4:$U$1800,3,FALSE)</f>
        <v>FY2021, RA11518</v>
      </c>
      <c r="V995" s="239" t="str">
        <f>VLOOKUP(H995,'Fund Utilization Report'!$A$4:$U$1800,4,FALSE)</f>
        <v>OO4.1(FTL)</v>
      </c>
      <c r="W995" s="239" t="str">
        <f>VLOOKUP(H995,'Fund Utilization Report'!$A$4:$U$1800,5,FALSE)</f>
        <v>01101101</v>
      </c>
      <c r="X995" s="239" t="str">
        <f>VLOOKUP(H995,'Fund Utilization Report'!$A$4:$U$1800,6,FALSE)</f>
        <v>GOP</v>
      </c>
      <c r="Y995" s="440" t="str">
        <f>VLOOKUP(H995,'Fund Utilization Report'!$A$4:$U$1800,7,FALSE)</f>
        <v>PS</v>
      </c>
      <c r="Z995" s="441">
        <f>VLOOKUP(H995,'Fund Utilization Report'!$A$4:$U$1800,8,FALSE)</f>
        <v>5010000000</v>
      </c>
      <c r="AA995" s="239" t="str">
        <f>VLOOKUP(H995,'Fund Utilization Report'!$A$4:$U$1800,14,FALSE)</f>
        <v>340100100002000</v>
      </c>
      <c r="AB995" s="242" t="str">
        <f>VLOOKUP(H995,'Fund Utilization Report'!$A$4:$U$1800,15,FALSE)</f>
        <v>Monitoring and Enforcement of FTL including consumer complaints handling</v>
      </c>
      <c r="AC995" s="51"/>
      <c r="AD995" s="435"/>
      <c r="AE995" s="51"/>
      <c r="AF995" s="51"/>
      <c r="AG995" s="442"/>
      <c r="AH995" s="442"/>
      <c r="AI995" s="443"/>
    </row>
    <row r="996" spans="1:35" s="32" customFormat="1" ht="27.6">
      <c r="A996" s="434" t="s">
        <v>942</v>
      </c>
      <c r="B996" s="457" t="s">
        <v>946</v>
      </c>
      <c r="C996" s="233">
        <v>44265</v>
      </c>
      <c r="D996" s="435" t="s">
        <v>1267</v>
      </c>
      <c r="E996" s="436" t="s">
        <v>1386</v>
      </c>
      <c r="F996" s="338">
        <v>0.40486111111111112</v>
      </c>
      <c r="G996" s="338">
        <v>0.40833333333333338</v>
      </c>
      <c r="H996" s="338" t="s">
        <v>973</v>
      </c>
      <c r="I996" s="353">
        <v>711</v>
      </c>
      <c r="J996" s="338" t="str">
        <f>IFERROR(VLOOKUP(I996,'Chart of accounts'!A:H,2,FALSE),"")</f>
        <v>50102010 01</v>
      </c>
      <c r="K996" s="338" t="str">
        <f>IFERROR(VLOOKUP(I996,'Chart of accounts'!A:H,3,FALSE),"")</f>
        <v>PERA - Civilian</v>
      </c>
      <c r="L996" s="338" t="str">
        <f>IFERROR(VLOOKUP(I996,'Chart of accounts'!A:H,4,FALSE),"")</f>
        <v>50102010 01 - PERA - Civilian (711)</v>
      </c>
      <c r="M996" s="361">
        <v>67</v>
      </c>
      <c r="N996" s="355" t="s">
        <v>768</v>
      </c>
      <c r="O996" s="355" t="s">
        <v>1384</v>
      </c>
      <c r="P996" s="355"/>
      <c r="Q996" s="363">
        <v>2000</v>
      </c>
      <c r="R996" s="428">
        <f t="shared" si="29"/>
        <v>-2000</v>
      </c>
      <c r="S996" s="239" t="str">
        <f>VLOOKUP(H996,'Fund Utilization Report'!$A$4:$U$1800,13,FALSE)</f>
        <v>PS</v>
      </c>
      <c r="T996" s="239" t="str">
        <f>VLOOKUP(H996,'Fund Utilization Report'!$A$4:$U$1800,2,FALSE)</f>
        <v>GAA</v>
      </c>
      <c r="U996" s="239" t="str">
        <f>VLOOKUP(H996,'Fund Utilization Report'!$A$4:$U$1800,3,FALSE)</f>
        <v>FY2021, RA11518</v>
      </c>
      <c r="V996" s="239" t="str">
        <f>VLOOKUP(H996,'Fund Utilization Report'!$A$4:$U$1800,4,FALSE)</f>
        <v>OO4.1(FTL)</v>
      </c>
      <c r="W996" s="239" t="str">
        <f>VLOOKUP(H996,'Fund Utilization Report'!$A$4:$U$1800,5,FALSE)</f>
        <v>01101101</v>
      </c>
      <c r="X996" s="239" t="str">
        <f>VLOOKUP(H996,'Fund Utilization Report'!$A$4:$U$1800,6,FALSE)</f>
        <v>GOP</v>
      </c>
      <c r="Y996" s="440" t="str">
        <f>VLOOKUP(H996,'Fund Utilization Report'!$A$4:$U$1800,7,FALSE)</f>
        <v>PS</v>
      </c>
      <c r="Z996" s="441">
        <f>VLOOKUP(H996,'Fund Utilization Report'!$A$4:$U$1800,8,FALSE)</f>
        <v>5010000000</v>
      </c>
      <c r="AA996" s="239" t="str">
        <f>VLOOKUP(H996,'Fund Utilization Report'!$A$4:$U$1800,14,FALSE)</f>
        <v>340100100002000</v>
      </c>
      <c r="AB996" s="242" t="str">
        <f>VLOOKUP(H996,'Fund Utilization Report'!$A$4:$U$1800,15,FALSE)</f>
        <v>Monitoring and Enforcement of FTL including consumer complaints handling</v>
      </c>
      <c r="AC996" s="51"/>
      <c r="AD996" s="435"/>
      <c r="AE996" s="51"/>
      <c r="AF996" s="51"/>
      <c r="AG996" s="442"/>
      <c r="AH996" s="442"/>
      <c r="AI996" s="443"/>
    </row>
    <row r="997" spans="1:35" s="32" customFormat="1" ht="27.6">
      <c r="A997" s="434" t="s">
        <v>942</v>
      </c>
      <c r="B997" s="457" t="s">
        <v>946</v>
      </c>
      <c r="C997" s="233">
        <v>44265</v>
      </c>
      <c r="D997" s="435" t="s">
        <v>1267</v>
      </c>
      <c r="E997" s="436" t="s">
        <v>1386</v>
      </c>
      <c r="F997" s="338">
        <v>0.40486111111111112</v>
      </c>
      <c r="G997" s="338">
        <v>0.40833333333333338</v>
      </c>
      <c r="H997" s="338" t="s">
        <v>975</v>
      </c>
      <c r="I997" s="353">
        <v>731</v>
      </c>
      <c r="J997" s="338" t="str">
        <f>IFERROR(VLOOKUP(I997,'Chart of accounts'!A:H,2,FALSE),"")</f>
        <v>50103010 00</v>
      </c>
      <c r="K997" s="338" t="str">
        <f>IFERROR(VLOOKUP(I997,'Chart of accounts'!A:H,3,FALSE),"")</f>
        <v>Retirement and Life Insurance Premiums</v>
      </c>
      <c r="L997" s="338" t="str">
        <f>IFERROR(VLOOKUP(I997,'Chart of accounts'!A:H,4,FALSE),"")</f>
        <v>50103010 00 - Retirement and Life Insurance Premiums (731)</v>
      </c>
      <c r="M997" s="361">
        <v>67</v>
      </c>
      <c r="N997" s="355" t="s">
        <v>768</v>
      </c>
      <c r="O997" s="355" t="s">
        <v>1384</v>
      </c>
      <c r="P997" s="355"/>
      <c r="Q997" s="363">
        <v>5363.28</v>
      </c>
      <c r="R997" s="428">
        <f t="shared" si="29"/>
        <v>-5363.28</v>
      </c>
      <c r="S997" s="239" t="str">
        <f>VLOOKUP(H997,'Fund Utilization Report'!$A$4:$U$1800,13,FALSE)</f>
        <v>PS</v>
      </c>
      <c r="T997" s="239" t="str">
        <f>VLOOKUP(H997,'Fund Utilization Report'!$A$4:$U$1800,2,FALSE)</f>
        <v>GAA</v>
      </c>
      <c r="U997" s="239" t="str">
        <f>VLOOKUP(H997,'Fund Utilization Report'!$A$4:$U$1800,3,FALSE)</f>
        <v>FY2021, RA11518</v>
      </c>
      <c r="V997" s="239" t="str">
        <f>VLOOKUP(H997,'Fund Utilization Report'!$A$4:$U$1800,4,FALSE)</f>
        <v>OO4.1(FTL)</v>
      </c>
      <c r="W997" s="239" t="str">
        <f>VLOOKUP(H997,'Fund Utilization Report'!$A$4:$U$1800,5,FALSE)</f>
        <v>01101101</v>
      </c>
      <c r="X997" s="239" t="str">
        <f>VLOOKUP(H997,'Fund Utilization Report'!$A$4:$U$1800,6,FALSE)</f>
        <v>GOP</v>
      </c>
      <c r="Y997" s="440" t="str">
        <f>VLOOKUP(H997,'Fund Utilization Report'!$A$4:$U$1800,7,FALSE)</f>
        <v>RLIP</v>
      </c>
      <c r="Z997" s="441" t="str">
        <f>VLOOKUP(H997,'Fund Utilization Report'!$A$4:$U$1800,8,FALSE)</f>
        <v>50103010-00</v>
      </c>
      <c r="AA997" s="239" t="str">
        <f>VLOOKUP(H997,'Fund Utilization Report'!$A$4:$U$1800,14,FALSE)</f>
        <v>340100100002000</v>
      </c>
      <c r="AB997" s="242" t="str">
        <f>VLOOKUP(H997,'Fund Utilization Report'!$A$4:$U$1800,15,FALSE)</f>
        <v>Monitoring and Enforcement of FTL including consumer complaints handling</v>
      </c>
      <c r="AC997" s="51"/>
      <c r="AD997" s="435"/>
      <c r="AE997" s="51"/>
      <c r="AF997" s="51"/>
      <c r="AG997" s="442"/>
      <c r="AH997" s="442"/>
      <c r="AI997" s="443"/>
    </row>
    <row r="998" spans="1:35" s="32" customFormat="1" ht="27.6">
      <c r="A998" s="434" t="s">
        <v>942</v>
      </c>
      <c r="B998" s="457" t="s">
        <v>946</v>
      </c>
      <c r="C998" s="233">
        <v>44265</v>
      </c>
      <c r="D998" s="435" t="s">
        <v>1267</v>
      </c>
      <c r="E998" s="436" t="s">
        <v>1386</v>
      </c>
      <c r="F998" s="338">
        <v>0.40486111111111112</v>
      </c>
      <c r="G998" s="338">
        <v>0.40833333333333338</v>
      </c>
      <c r="H998" s="338" t="s">
        <v>973</v>
      </c>
      <c r="I998" s="353">
        <v>732</v>
      </c>
      <c r="J998" s="338" t="str">
        <f>IFERROR(VLOOKUP(I998,'Chart of accounts'!A:H,2,FALSE),"")</f>
        <v>50103020 01</v>
      </c>
      <c r="K998" s="338" t="str">
        <f>IFERROR(VLOOKUP(I998,'Chart of accounts'!A:H,3,FALSE),"")</f>
        <v>Pag-IBIG - Civilian</v>
      </c>
      <c r="L998" s="338" t="str">
        <f>IFERROR(VLOOKUP(I998,'Chart of accounts'!A:H,4,FALSE),"")</f>
        <v>50103020 01 - Pag-IBIG - Civilian (732)</v>
      </c>
      <c r="M998" s="361">
        <v>67</v>
      </c>
      <c r="N998" s="355" t="s">
        <v>768</v>
      </c>
      <c r="O998" s="355" t="s">
        <v>1384</v>
      </c>
      <c r="P998" s="355"/>
      <c r="Q998" s="363">
        <v>100</v>
      </c>
      <c r="R998" s="428">
        <f t="shared" si="29"/>
        <v>-100</v>
      </c>
      <c r="S998" s="239" t="str">
        <f>VLOOKUP(H998,'Fund Utilization Report'!$A$4:$U$1800,13,FALSE)</f>
        <v>PS</v>
      </c>
      <c r="T998" s="239" t="str">
        <f>VLOOKUP(H998,'Fund Utilization Report'!$A$4:$U$1800,2,FALSE)</f>
        <v>GAA</v>
      </c>
      <c r="U998" s="239" t="str">
        <f>VLOOKUP(H998,'Fund Utilization Report'!$A$4:$U$1800,3,FALSE)</f>
        <v>FY2021, RA11518</v>
      </c>
      <c r="V998" s="239" t="str">
        <f>VLOOKUP(H998,'Fund Utilization Report'!$A$4:$U$1800,4,FALSE)</f>
        <v>OO4.1(FTL)</v>
      </c>
      <c r="W998" s="239" t="str">
        <f>VLOOKUP(H998,'Fund Utilization Report'!$A$4:$U$1800,5,FALSE)</f>
        <v>01101101</v>
      </c>
      <c r="X998" s="239" t="str">
        <f>VLOOKUP(H998,'Fund Utilization Report'!$A$4:$U$1800,6,FALSE)</f>
        <v>GOP</v>
      </c>
      <c r="Y998" s="440" t="str">
        <f>VLOOKUP(H998,'Fund Utilization Report'!$A$4:$U$1800,7,FALSE)</f>
        <v>PS</v>
      </c>
      <c r="Z998" s="441">
        <f>VLOOKUP(H998,'Fund Utilization Report'!$A$4:$U$1800,8,FALSE)</f>
        <v>5010000000</v>
      </c>
      <c r="AA998" s="239" t="str">
        <f>VLOOKUP(H998,'Fund Utilization Report'!$A$4:$U$1800,14,FALSE)</f>
        <v>340100100002000</v>
      </c>
      <c r="AB998" s="242" t="str">
        <f>VLOOKUP(H998,'Fund Utilization Report'!$A$4:$U$1800,15,FALSE)</f>
        <v>Monitoring and Enforcement of FTL including consumer complaints handling</v>
      </c>
      <c r="AC998" s="51"/>
      <c r="AD998" s="435"/>
      <c r="AE998" s="51"/>
      <c r="AF998" s="51"/>
      <c r="AG998" s="442"/>
      <c r="AH998" s="442"/>
      <c r="AI998" s="443"/>
    </row>
    <row r="999" spans="1:35" s="32" customFormat="1" ht="27.6">
      <c r="A999" s="434" t="s">
        <v>942</v>
      </c>
      <c r="B999" s="457" t="s">
        <v>946</v>
      </c>
      <c r="C999" s="233">
        <v>44265</v>
      </c>
      <c r="D999" s="435" t="s">
        <v>1267</v>
      </c>
      <c r="E999" s="436" t="s">
        <v>1386</v>
      </c>
      <c r="F999" s="338">
        <v>0.40486111111111112</v>
      </c>
      <c r="G999" s="338">
        <v>0.40833333333333338</v>
      </c>
      <c r="H999" s="338" t="s">
        <v>973</v>
      </c>
      <c r="I999" s="353">
        <v>733</v>
      </c>
      <c r="J999" s="338" t="str">
        <f>IFERROR(VLOOKUP(I999,'Chart of accounts'!A:H,2,FALSE),"")</f>
        <v>50103030 01</v>
      </c>
      <c r="K999" s="338" t="str">
        <f>IFERROR(VLOOKUP(I999,'Chart of accounts'!A:H,3,FALSE),"")</f>
        <v>PhilHealth - Civilian</v>
      </c>
      <c r="L999" s="338" t="str">
        <f>IFERROR(VLOOKUP(I999,'Chart of accounts'!A:H,4,FALSE),"")</f>
        <v>50103030 01 - PhilHealth - Civilian (733)</v>
      </c>
      <c r="M999" s="361">
        <v>67</v>
      </c>
      <c r="N999" s="355" t="s">
        <v>768</v>
      </c>
      <c r="O999" s="355" t="s">
        <v>1384</v>
      </c>
      <c r="P999" s="355"/>
      <c r="Q999" s="363">
        <v>670.41</v>
      </c>
      <c r="R999" s="428">
        <f t="shared" si="29"/>
        <v>-670.41</v>
      </c>
      <c r="S999" s="239" t="str">
        <f>VLOOKUP(H999,'Fund Utilization Report'!$A$4:$U$1800,13,FALSE)</f>
        <v>PS</v>
      </c>
      <c r="T999" s="239" t="str">
        <f>VLOOKUP(H999,'Fund Utilization Report'!$A$4:$U$1800,2,FALSE)</f>
        <v>GAA</v>
      </c>
      <c r="U999" s="239" t="str">
        <f>VLOOKUP(H999,'Fund Utilization Report'!$A$4:$U$1800,3,FALSE)</f>
        <v>FY2021, RA11518</v>
      </c>
      <c r="V999" s="239" t="str">
        <f>VLOOKUP(H999,'Fund Utilization Report'!$A$4:$U$1800,4,FALSE)</f>
        <v>OO4.1(FTL)</v>
      </c>
      <c r="W999" s="239" t="str">
        <f>VLOOKUP(H999,'Fund Utilization Report'!$A$4:$U$1800,5,FALSE)</f>
        <v>01101101</v>
      </c>
      <c r="X999" s="239" t="str">
        <f>VLOOKUP(H999,'Fund Utilization Report'!$A$4:$U$1800,6,FALSE)</f>
        <v>GOP</v>
      </c>
      <c r="Y999" s="440" t="str">
        <f>VLOOKUP(H999,'Fund Utilization Report'!$A$4:$U$1800,7,FALSE)</f>
        <v>PS</v>
      </c>
      <c r="Z999" s="441">
        <f>VLOOKUP(H999,'Fund Utilization Report'!$A$4:$U$1800,8,FALSE)</f>
        <v>5010000000</v>
      </c>
      <c r="AA999" s="239" t="str">
        <f>VLOOKUP(H999,'Fund Utilization Report'!$A$4:$U$1800,14,FALSE)</f>
        <v>340100100002000</v>
      </c>
      <c r="AB999" s="242" t="str">
        <f>VLOOKUP(H999,'Fund Utilization Report'!$A$4:$U$1800,15,FALSE)</f>
        <v>Monitoring and Enforcement of FTL including consumer complaints handling</v>
      </c>
      <c r="AC999" s="51"/>
      <c r="AD999" s="435"/>
      <c r="AE999" s="51"/>
      <c r="AF999" s="51"/>
      <c r="AG999" s="442"/>
      <c r="AH999" s="442"/>
      <c r="AI999" s="443"/>
    </row>
    <row r="1000" spans="1:35" s="32" customFormat="1" ht="27.6">
      <c r="A1000" s="434" t="s">
        <v>942</v>
      </c>
      <c r="B1000" s="457" t="s">
        <v>946</v>
      </c>
      <c r="C1000" s="233">
        <v>44265</v>
      </c>
      <c r="D1000" s="435" t="s">
        <v>1267</v>
      </c>
      <c r="E1000" s="436" t="s">
        <v>1386</v>
      </c>
      <c r="F1000" s="338">
        <v>0.40486111111111112</v>
      </c>
      <c r="G1000" s="338">
        <v>0.40833333333333338</v>
      </c>
      <c r="H1000" s="338" t="s">
        <v>973</v>
      </c>
      <c r="I1000" s="353">
        <v>734</v>
      </c>
      <c r="J1000" s="338" t="str">
        <f>IFERROR(VLOOKUP(I1000,'Chart of accounts'!A:H,2,FALSE),"")</f>
        <v>50103040 01</v>
      </c>
      <c r="K1000" s="338" t="str">
        <f>IFERROR(VLOOKUP(I1000,'Chart of accounts'!A:H,3,FALSE),"")</f>
        <v>ECIP - Civilian</v>
      </c>
      <c r="L1000" s="338" t="str">
        <f>IFERROR(VLOOKUP(I1000,'Chart of accounts'!A:H,4,FALSE),"")</f>
        <v>50103040 01 - ECIP - Civilian (734)</v>
      </c>
      <c r="M1000" s="361">
        <v>67</v>
      </c>
      <c r="N1000" s="355" t="s">
        <v>768</v>
      </c>
      <c r="O1000" s="355" t="s">
        <v>1384</v>
      </c>
      <c r="P1000" s="355"/>
      <c r="Q1000" s="363">
        <v>100</v>
      </c>
      <c r="R1000" s="428">
        <f t="shared" si="29"/>
        <v>-100</v>
      </c>
      <c r="S1000" s="239" t="str">
        <f>VLOOKUP(H1000,'Fund Utilization Report'!$A$4:$U$1800,13,FALSE)</f>
        <v>PS</v>
      </c>
      <c r="T1000" s="239" t="str">
        <f>VLOOKUP(H1000,'Fund Utilization Report'!$A$4:$U$1800,2,FALSE)</f>
        <v>GAA</v>
      </c>
      <c r="U1000" s="239" t="str">
        <f>VLOOKUP(H1000,'Fund Utilization Report'!$A$4:$U$1800,3,FALSE)</f>
        <v>FY2021, RA11518</v>
      </c>
      <c r="V1000" s="239" t="str">
        <f>VLOOKUP(H1000,'Fund Utilization Report'!$A$4:$U$1800,4,FALSE)</f>
        <v>OO4.1(FTL)</v>
      </c>
      <c r="W1000" s="239" t="str">
        <f>VLOOKUP(H1000,'Fund Utilization Report'!$A$4:$U$1800,5,FALSE)</f>
        <v>01101101</v>
      </c>
      <c r="X1000" s="239" t="str">
        <f>VLOOKUP(H1000,'Fund Utilization Report'!$A$4:$U$1800,6,FALSE)</f>
        <v>GOP</v>
      </c>
      <c r="Y1000" s="440" t="str">
        <f>VLOOKUP(H1000,'Fund Utilization Report'!$A$4:$U$1800,7,FALSE)</f>
        <v>PS</v>
      </c>
      <c r="Z1000" s="441">
        <f>VLOOKUP(H1000,'Fund Utilization Report'!$A$4:$U$1800,8,FALSE)</f>
        <v>5010000000</v>
      </c>
      <c r="AA1000" s="239" t="str">
        <f>VLOOKUP(H1000,'Fund Utilization Report'!$A$4:$U$1800,14,FALSE)</f>
        <v>340100100002000</v>
      </c>
      <c r="AB1000" s="242" t="str">
        <f>VLOOKUP(H1000,'Fund Utilization Report'!$A$4:$U$1800,15,FALSE)</f>
        <v>Monitoring and Enforcement of FTL including consumer complaints handling</v>
      </c>
      <c r="AC1000" s="51"/>
      <c r="AD1000" s="435"/>
      <c r="AE1000" s="51"/>
      <c r="AF1000" s="51"/>
      <c r="AG1000" s="442"/>
      <c r="AH1000" s="442"/>
      <c r="AI1000" s="443"/>
    </row>
    <row r="1001" spans="1:35" s="32" customFormat="1" ht="27.6">
      <c r="A1001" s="434" t="s">
        <v>942</v>
      </c>
      <c r="B1001" s="457" t="s">
        <v>946</v>
      </c>
      <c r="C1001" s="233">
        <v>44265</v>
      </c>
      <c r="D1001" s="435" t="s">
        <v>1267</v>
      </c>
      <c r="E1001" s="436" t="s">
        <v>1387</v>
      </c>
      <c r="F1001" s="338">
        <v>0.40833333333333338</v>
      </c>
      <c r="G1001" s="338">
        <v>0.41319444444444442</v>
      </c>
      <c r="H1001" s="338" t="s">
        <v>960</v>
      </c>
      <c r="I1001" s="353">
        <v>701</v>
      </c>
      <c r="J1001" s="338" t="str">
        <f>IFERROR(VLOOKUP(I1001,'Chart of accounts'!A:H,2,FALSE),"")</f>
        <v>50101010 01</v>
      </c>
      <c r="K1001" s="338" t="str">
        <f>IFERROR(VLOOKUP(I1001,'Chart of accounts'!A:H,3,FALSE),"")</f>
        <v>Basic Salary - Civilian</v>
      </c>
      <c r="L1001" s="338" t="str">
        <f>IFERROR(VLOOKUP(I1001,'Chart of accounts'!A:H,4,FALSE),"")</f>
        <v>50101010 01 - Basic Salary - Civilian (701)</v>
      </c>
      <c r="M1001" s="361">
        <v>85</v>
      </c>
      <c r="N1001" s="355" t="s">
        <v>765</v>
      </c>
      <c r="O1001" s="355" t="s">
        <v>1384</v>
      </c>
      <c r="P1001" s="355"/>
      <c r="Q1001" s="363">
        <v>57452</v>
      </c>
      <c r="R1001" s="428">
        <f t="shared" ref="R1001:R1012" si="30">P1001-Q1001</f>
        <v>-57452</v>
      </c>
      <c r="S1001" s="239" t="str">
        <f>VLOOKUP(H1001,'Fund Utilization Report'!$A$4:$U$1800,13,FALSE)</f>
        <v>PS</v>
      </c>
      <c r="T1001" s="239" t="str">
        <f>VLOOKUP(H1001,'Fund Utilization Report'!$A$4:$U$1800,2,FALSE)</f>
        <v>GAA</v>
      </c>
      <c r="U1001" s="239" t="str">
        <f>VLOOKUP(H1001,'Fund Utilization Report'!$A$4:$U$1800,3,FALSE)</f>
        <v>FY2021, RA11518</v>
      </c>
      <c r="V1001" s="239" t="str">
        <f>VLOOKUP(H1001,'Fund Utilization Report'!$A$4:$U$1800,4,FALSE)</f>
        <v>GAS(GMS)</v>
      </c>
      <c r="W1001" s="239" t="str">
        <f>VLOOKUP(H1001,'Fund Utilization Report'!$A$4:$U$1800,5,FALSE)</f>
        <v>01101101</v>
      </c>
      <c r="X1001" s="239" t="str">
        <f>VLOOKUP(H1001,'Fund Utilization Report'!$A$4:$U$1800,6,FALSE)</f>
        <v>GOP</v>
      </c>
      <c r="Y1001" s="440" t="str">
        <f>VLOOKUP(H1001,'Fund Utilization Report'!$A$4:$U$1800,7,FALSE)</f>
        <v>PS</v>
      </c>
      <c r="Z1001" s="441">
        <f>VLOOKUP(H1001,'Fund Utilization Report'!$A$4:$U$1800,8,FALSE)</f>
        <v>5010000000</v>
      </c>
      <c r="AA1001" s="239" t="str">
        <f>VLOOKUP(H1001,'Fund Utilization Report'!$A$4:$U$1800,14,FALSE)</f>
        <v>100000100001000</v>
      </c>
      <c r="AB1001" s="242" t="str">
        <f>VLOOKUP(H1001,'Fund Utilization Report'!$A$4:$U$1800,15,FALSE)</f>
        <v>General Administration and Supervision - General Management and Supervision</v>
      </c>
      <c r="AC1001" s="51"/>
      <c r="AD1001" s="435"/>
      <c r="AE1001" s="51"/>
      <c r="AF1001" s="51"/>
      <c r="AG1001" s="442"/>
      <c r="AH1001" s="442"/>
      <c r="AI1001" s="443"/>
    </row>
    <row r="1002" spans="1:35" s="32" customFormat="1" ht="27.6">
      <c r="A1002" s="434" t="s">
        <v>942</v>
      </c>
      <c r="B1002" s="457" t="s">
        <v>946</v>
      </c>
      <c r="C1002" s="233">
        <v>44265</v>
      </c>
      <c r="D1002" s="435" t="s">
        <v>1267</v>
      </c>
      <c r="E1002" s="436" t="s">
        <v>1387</v>
      </c>
      <c r="F1002" s="338">
        <v>0.40833333333333338</v>
      </c>
      <c r="G1002" s="338">
        <v>0.41319444444444442</v>
      </c>
      <c r="H1002" s="338" t="s">
        <v>960</v>
      </c>
      <c r="I1002" s="353">
        <v>711</v>
      </c>
      <c r="J1002" s="338" t="str">
        <f>IFERROR(VLOOKUP(I1002,'Chart of accounts'!A:H,2,FALSE),"")</f>
        <v>50102010 01</v>
      </c>
      <c r="K1002" s="338" t="str">
        <f>IFERROR(VLOOKUP(I1002,'Chart of accounts'!A:H,3,FALSE),"")</f>
        <v>PERA - Civilian</v>
      </c>
      <c r="L1002" s="338" t="str">
        <f>IFERROR(VLOOKUP(I1002,'Chart of accounts'!A:H,4,FALSE),"")</f>
        <v>50102010 01 - PERA - Civilian (711)</v>
      </c>
      <c r="M1002" s="361">
        <v>85</v>
      </c>
      <c r="N1002" s="355" t="s">
        <v>765</v>
      </c>
      <c r="O1002" s="355" t="s">
        <v>1384</v>
      </c>
      <c r="P1002" s="355"/>
      <c r="Q1002" s="363">
        <v>4000</v>
      </c>
      <c r="R1002" s="428">
        <f t="shared" si="30"/>
        <v>-4000</v>
      </c>
      <c r="S1002" s="239" t="str">
        <f>VLOOKUP(H1002,'Fund Utilization Report'!$A$4:$U$1800,13,FALSE)</f>
        <v>PS</v>
      </c>
      <c r="T1002" s="239" t="str">
        <f>VLOOKUP(H1002,'Fund Utilization Report'!$A$4:$U$1800,2,FALSE)</f>
        <v>GAA</v>
      </c>
      <c r="U1002" s="239" t="str">
        <f>VLOOKUP(H1002,'Fund Utilization Report'!$A$4:$U$1800,3,FALSE)</f>
        <v>FY2021, RA11518</v>
      </c>
      <c r="V1002" s="239" t="str">
        <f>VLOOKUP(H1002,'Fund Utilization Report'!$A$4:$U$1800,4,FALSE)</f>
        <v>GAS(GMS)</v>
      </c>
      <c r="W1002" s="239" t="str">
        <f>VLOOKUP(H1002,'Fund Utilization Report'!$A$4:$U$1800,5,FALSE)</f>
        <v>01101101</v>
      </c>
      <c r="X1002" s="239" t="str">
        <f>VLOOKUP(H1002,'Fund Utilization Report'!$A$4:$U$1800,6,FALSE)</f>
        <v>GOP</v>
      </c>
      <c r="Y1002" s="440" t="str">
        <f>VLOOKUP(H1002,'Fund Utilization Report'!$A$4:$U$1800,7,FALSE)</f>
        <v>PS</v>
      </c>
      <c r="Z1002" s="441">
        <f>VLOOKUP(H1002,'Fund Utilization Report'!$A$4:$U$1800,8,FALSE)</f>
        <v>5010000000</v>
      </c>
      <c r="AA1002" s="239" t="str">
        <f>VLOOKUP(H1002,'Fund Utilization Report'!$A$4:$U$1800,14,FALSE)</f>
        <v>100000100001000</v>
      </c>
      <c r="AB1002" s="242" t="str">
        <f>VLOOKUP(H1002,'Fund Utilization Report'!$A$4:$U$1800,15,FALSE)</f>
        <v>General Administration and Supervision - General Management and Supervision</v>
      </c>
      <c r="AC1002" s="51"/>
      <c r="AD1002" s="435"/>
      <c r="AE1002" s="51"/>
      <c r="AF1002" s="51"/>
      <c r="AG1002" s="442"/>
      <c r="AH1002" s="442"/>
      <c r="AI1002" s="443"/>
    </row>
    <row r="1003" spans="1:35" s="32" customFormat="1" ht="27.6">
      <c r="A1003" s="434" t="s">
        <v>942</v>
      </c>
      <c r="B1003" s="457" t="s">
        <v>946</v>
      </c>
      <c r="C1003" s="233">
        <v>44265</v>
      </c>
      <c r="D1003" s="435" t="s">
        <v>1267</v>
      </c>
      <c r="E1003" s="436" t="s">
        <v>1387</v>
      </c>
      <c r="F1003" s="338">
        <v>0.40833333333333338</v>
      </c>
      <c r="G1003" s="338">
        <v>0.41319444444444442</v>
      </c>
      <c r="H1003" s="338" t="s">
        <v>962</v>
      </c>
      <c r="I1003" s="353">
        <v>731</v>
      </c>
      <c r="J1003" s="338" t="str">
        <f>IFERROR(VLOOKUP(I1003,'Chart of accounts'!A:H,2,FALSE),"")</f>
        <v>50103010 00</v>
      </c>
      <c r="K1003" s="338" t="str">
        <f>IFERROR(VLOOKUP(I1003,'Chart of accounts'!A:H,3,FALSE),"")</f>
        <v>Retirement and Life Insurance Premiums</v>
      </c>
      <c r="L1003" s="338" t="str">
        <f>IFERROR(VLOOKUP(I1003,'Chart of accounts'!A:H,4,FALSE),"")</f>
        <v>50103010 00 - Retirement and Life Insurance Premiums (731)</v>
      </c>
      <c r="M1003" s="361">
        <v>85</v>
      </c>
      <c r="N1003" s="355" t="s">
        <v>765</v>
      </c>
      <c r="O1003" s="355" t="s">
        <v>1384</v>
      </c>
      <c r="P1003" s="355"/>
      <c r="Q1003" s="363">
        <v>6894.24</v>
      </c>
      <c r="R1003" s="428">
        <f t="shared" si="30"/>
        <v>-6894.24</v>
      </c>
      <c r="S1003" s="239" t="str">
        <f>VLOOKUP(H1003,'Fund Utilization Report'!$A$4:$U$1800,13,FALSE)</f>
        <v>PS</v>
      </c>
      <c r="T1003" s="239" t="str">
        <f>VLOOKUP(H1003,'Fund Utilization Report'!$A$4:$U$1800,2,FALSE)</f>
        <v>GAA</v>
      </c>
      <c r="U1003" s="239" t="str">
        <f>VLOOKUP(H1003,'Fund Utilization Report'!$A$4:$U$1800,3,FALSE)</f>
        <v>FY2021, RA11518</v>
      </c>
      <c r="V1003" s="239" t="str">
        <f>VLOOKUP(H1003,'Fund Utilization Report'!$A$4:$U$1800,4,FALSE)</f>
        <v>GAS(GMS)</v>
      </c>
      <c r="W1003" s="239" t="str">
        <f>VLOOKUP(H1003,'Fund Utilization Report'!$A$4:$U$1800,5,FALSE)</f>
        <v>01101101</v>
      </c>
      <c r="X1003" s="239" t="str">
        <f>VLOOKUP(H1003,'Fund Utilization Report'!$A$4:$U$1800,6,FALSE)</f>
        <v>GOP</v>
      </c>
      <c r="Y1003" s="440" t="str">
        <f>VLOOKUP(H1003,'Fund Utilization Report'!$A$4:$U$1800,7,FALSE)</f>
        <v>RLIP</v>
      </c>
      <c r="Z1003" s="441" t="str">
        <f>VLOOKUP(H1003,'Fund Utilization Report'!$A$4:$U$1800,8,FALSE)</f>
        <v>50103010-00</v>
      </c>
      <c r="AA1003" s="239" t="str">
        <f>VLOOKUP(H1003,'Fund Utilization Report'!$A$4:$U$1800,14,FALSE)</f>
        <v>100000100001000</v>
      </c>
      <c r="AB1003" s="242" t="str">
        <f>VLOOKUP(H1003,'Fund Utilization Report'!$A$4:$U$1800,15,FALSE)</f>
        <v>General Administration and Supervision - General Management and Supervision</v>
      </c>
      <c r="AC1003" s="51"/>
      <c r="AD1003" s="435"/>
      <c r="AE1003" s="51"/>
      <c r="AF1003" s="51"/>
      <c r="AG1003" s="442"/>
      <c r="AH1003" s="442"/>
      <c r="AI1003" s="443"/>
    </row>
    <row r="1004" spans="1:35" s="32" customFormat="1" ht="27.6">
      <c r="A1004" s="434" t="s">
        <v>942</v>
      </c>
      <c r="B1004" s="457" t="s">
        <v>946</v>
      </c>
      <c r="C1004" s="233">
        <v>44265</v>
      </c>
      <c r="D1004" s="435" t="s">
        <v>1267</v>
      </c>
      <c r="E1004" s="436" t="s">
        <v>1387</v>
      </c>
      <c r="F1004" s="338">
        <v>0.40833333333333338</v>
      </c>
      <c r="G1004" s="338">
        <v>0.41319444444444442</v>
      </c>
      <c r="H1004" s="338" t="s">
        <v>960</v>
      </c>
      <c r="I1004" s="353">
        <v>732</v>
      </c>
      <c r="J1004" s="338" t="str">
        <f>IFERROR(VLOOKUP(I1004,'Chart of accounts'!A:H,2,FALSE),"")</f>
        <v>50103020 01</v>
      </c>
      <c r="K1004" s="338" t="str">
        <f>IFERROR(VLOOKUP(I1004,'Chart of accounts'!A:H,3,FALSE),"")</f>
        <v>Pag-IBIG - Civilian</v>
      </c>
      <c r="L1004" s="338" t="str">
        <f>IFERROR(VLOOKUP(I1004,'Chart of accounts'!A:H,4,FALSE),"")</f>
        <v>50103020 01 - Pag-IBIG - Civilian (732)</v>
      </c>
      <c r="M1004" s="361">
        <v>85</v>
      </c>
      <c r="N1004" s="355" t="s">
        <v>765</v>
      </c>
      <c r="O1004" s="355" t="s">
        <v>1384</v>
      </c>
      <c r="P1004" s="355"/>
      <c r="Q1004" s="363">
        <v>200</v>
      </c>
      <c r="R1004" s="428">
        <f t="shared" si="30"/>
        <v>-200</v>
      </c>
      <c r="S1004" s="239" t="str">
        <f>VLOOKUP(H1004,'Fund Utilization Report'!$A$4:$U$1800,13,FALSE)</f>
        <v>PS</v>
      </c>
      <c r="T1004" s="239" t="str">
        <f>VLOOKUP(H1004,'Fund Utilization Report'!$A$4:$U$1800,2,FALSE)</f>
        <v>GAA</v>
      </c>
      <c r="U1004" s="239" t="str">
        <f>VLOOKUP(H1004,'Fund Utilization Report'!$A$4:$U$1800,3,FALSE)</f>
        <v>FY2021, RA11518</v>
      </c>
      <c r="V1004" s="239" t="str">
        <f>VLOOKUP(H1004,'Fund Utilization Report'!$A$4:$U$1800,4,FALSE)</f>
        <v>GAS(GMS)</v>
      </c>
      <c r="W1004" s="239" t="str">
        <f>VLOOKUP(H1004,'Fund Utilization Report'!$A$4:$U$1800,5,FALSE)</f>
        <v>01101101</v>
      </c>
      <c r="X1004" s="239" t="str">
        <f>VLOOKUP(H1004,'Fund Utilization Report'!$A$4:$U$1800,6,FALSE)</f>
        <v>GOP</v>
      </c>
      <c r="Y1004" s="440" t="str">
        <f>VLOOKUP(H1004,'Fund Utilization Report'!$A$4:$U$1800,7,FALSE)</f>
        <v>PS</v>
      </c>
      <c r="Z1004" s="441">
        <f>VLOOKUP(H1004,'Fund Utilization Report'!$A$4:$U$1800,8,FALSE)</f>
        <v>5010000000</v>
      </c>
      <c r="AA1004" s="239" t="str">
        <f>VLOOKUP(H1004,'Fund Utilization Report'!$A$4:$U$1800,14,FALSE)</f>
        <v>100000100001000</v>
      </c>
      <c r="AB1004" s="242" t="str">
        <f>VLOOKUP(H1004,'Fund Utilization Report'!$A$4:$U$1800,15,FALSE)</f>
        <v>General Administration and Supervision - General Management and Supervision</v>
      </c>
      <c r="AC1004" s="51"/>
      <c r="AD1004" s="435"/>
      <c r="AE1004" s="51"/>
      <c r="AF1004" s="51"/>
      <c r="AG1004" s="442"/>
      <c r="AH1004" s="442"/>
      <c r="AI1004" s="443"/>
    </row>
    <row r="1005" spans="1:35" s="32" customFormat="1" ht="27.6">
      <c r="A1005" s="434" t="s">
        <v>942</v>
      </c>
      <c r="B1005" s="457" t="s">
        <v>946</v>
      </c>
      <c r="C1005" s="233">
        <v>44265</v>
      </c>
      <c r="D1005" s="435" t="s">
        <v>1267</v>
      </c>
      <c r="E1005" s="436" t="s">
        <v>1387</v>
      </c>
      <c r="F1005" s="338">
        <v>0.40833333333333338</v>
      </c>
      <c r="G1005" s="338">
        <v>0.41319444444444442</v>
      </c>
      <c r="H1005" s="338" t="s">
        <v>960</v>
      </c>
      <c r="I1005" s="353">
        <v>733</v>
      </c>
      <c r="J1005" s="338" t="str">
        <f>IFERROR(VLOOKUP(I1005,'Chart of accounts'!A:H,2,FALSE),"")</f>
        <v>50103030 01</v>
      </c>
      <c r="K1005" s="338" t="str">
        <f>IFERROR(VLOOKUP(I1005,'Chart of accounts'!A:H,3,FALSE),"")</f>
        <v>PhilHealth - Civilian</v>
      </c>
      <c r="L1005" s="338" t="str">
        <f>IFERROR(VLOOKUP(I1005,'Chart of accounts'!A:H,4,FALSE),"")</f>
        <v>50103030 01 - PhilHealth - Civilian (733)</v>
      </c>
      <c r="M1005" s="361">
        <v>85</v>
      </c>
      <c r="N1005" s="355" t="s">
        <v>765</v>
      </c>
      <c r="O1005" s="355" t="s">
        <v>1384</v>
      </c>
      <c r="P1005" s="355"/>
      <c r="Q1005" s="363">
        <v>861.79</v>
      </c>
      <c r="R1005" s="428">
        <f t="shared" si="30"/>
        <v>-861.79</v>
      </c>
      <c r="S1005" s="239" t="str">
        <f>VLOOKUP(H1005,'Fund Utilization Report'!$A$4:$U$1800,13,FALSE)</f>
        <v>PS</v>
      </c>
      <c r="T1005" s="239" t="str">
        <f>VLOOKUP(H1005,'Fund Utilization Report'!$A$4:$U$1800,2,FALSE)</f>
        <v>GAA</v>
      </c>
      <c r="U1005" s="239" t="str">
        <f>VLOOKUP(H1005,'Fund Utilization Report'!$A$4:$U$1800,3,FALSE)</f>
        <v>FY2021, RA11518</v>
      </c>
      <c r="V1005" s="239" t="str">
        <f>VLOOKUP(H1005,'Fund Utilization Report'!$A$4:$U$1800,4,FALSE)</f>
        <v>GAS(GMS)</v>
      </c>
      <c r="W1005" s="239" t="str">
        <f>VLOOKUP(H1005,'Fund Utilization Report'!$A$4:$U$1800,5,FALSE)</f>
        <v>01101101</v>
      </c>
      <c r="X1005" s="239" t="str">
        <f>VLOOKUP(H1005,'Fund Utilization Report'!$A$4:$U$1800,6,FALSE)</f>
        <v>GOP</v>
      </c>
      <c r="Y1005" s="440" t="str">
        <f>VLOOKUP(H1005,'Fund Utilization Report'!$A$4:$U$1800,7,FALSE)</f>
        <v>PS</v>
      </c>
      <c r="Z1005" s="441">
        <f>VLOOKUP(H1005,'Fund Utilization Report'!$A$4:$U$1800,8,FALSE)</f>
        <v>5010000000</v>
      </c>
      <c r="AA1005" s="239" t="str">
        <f>VLOOKUP(H1005,'Fund Utilization Report'!$A$4:$U$1800,14,FALSE)</f>
        <v>100000100001000</v>
      </c>
      <c r="AB1005" s="242" t="str">
        <f>VLOOKUP(H1005,'Fund Utilization Report'!$A$4:$U$1800,15,FALSE)</f>
        <v>General Administration and Supervision - General Management and Supervision</v>
      </c>
      <c r="AC1005" s="51"/>
      <c r="AD1005" s="435"/>
      <c r="AE1005" s="51"/>
      <c r="AF1005" s="51"/>
      <c r="AG1005" s="442"/>
      <c r="AH1005" s="442"/>
      <c r="AI1005" s="443"/>
    </row>
    <row r="1006" spans="1:35" s="32" customFormat="1" ht="27.6">
      <c r="A1006" s="434" t="s">
        <v>942</v>
      </c>
      <c r="B1006" s="457" t="s">
        <v>946</v>
      </c>
      <c r="C1006" s="233">
        <v>44265</v>
      </c>
      <c r="D1006" s="435" t="s">
        <v>1267</v>
      </c>
      <c r="E1006" s="436" t="s">
        <v>1387</v>
      </c>
      <c r="F1006" s="338">
        <v>0.40833333333333338</v>
      </c>
      <c r="G1006" s="338">
        <v>0.41319444444444442</v>
      </c>
      <c r="H1006" s="338" t="s">
        <v>960</v>
      </c>
      <c r="I1006" s="353">
        <v>734</v>
      </c>
      <c r="J1006" s="338" t="str">
        <f>IFERROR(VLOOKUP(I1006,'Chart of accounts'!A:H,2,FALSE),"")</f>
        <v>50103040 01</v>
      </c>
      <c r="K1006" s="338" t="str">
        <f>IFERROR(VLOOKUP(I1006,'Chart of accounts'!A:H,3,FALSE),"")</f>
        <v>ECIP - Civilian</v>
      </c>
      <c r="L1006" s="338" t="str">
        <f>IFERROR(VLOOKUP(I1006,'Chart of accounts'!A:H,4,FALSE),"")</f>
        <v>50103040 01 - ECIP - Civilian (734)</v>
      </c>
      <c r="M1006" s="361">
        <v>85</v>
      </c>
      <c r="N1006" s="355" t="s">
        <v>765</v>
      </c>
      <c r="O1006" s="355" t="s">
        <v>1384</v>
      </c>
      <c r="P1006" s="355"/>
      <c r="Q1006" s="363">
        <v>200</v>
      </c>
      <c r="R1006" s="428">
        <f t="shared" si="30"/>
        <v>-200</v>
      </c>
      <c r="S1006" s="239" t="str">
        <f>VLOOKUP(H1006,'Fund Utilization Report'!$A$4:$U$1800,13,FALSE)</f>
        <v>PS</v>
      </c>
      <c r="T1006" s="239" t="str">
        <f>VLOOKUP(H1006,'Fund Utilization Report'!$A$4:$U$1800,2,FALSE)</f>
        <v>GAA</v>
      </c>
      <c r="U1006" s="239" t="str">
        <f>VLOOKUP(H1006,'Fund Utilization Report'!$A$4:$U$1800,3,FALSE)</f>
        <v>FY2021, RA11518</v>
      </c>
      <c r="V1006" s="239" t="str">
        <f>VLOOKUP(H1006,'Fund Utilization Report'!$A$4:$U$1800,4,FALSE)</f>
        <v>GAS(GMS)</v>
      </c>
      <c r="W1006" s="239" t="str">
        <f>VLOOKUP(H1006,'Fund Utilization Report'!$A$4:$U$1800,5,FALSE)</f>
        <v>01101101</v>
      </c>
      <c r="X1006" s="239" t="str">
        <f>VLOOKUP(H1006,'Fund Utilization Report'!$A$4:$U$1800,6,FALSE)</f>
        <v>GOP</v>
      </c>
      <c r="Y1006" s="440" t="str">
        <f>VLOOKUP(H1006,'Fund Utilization Report'!$A$4:$U$1800,7,FALSE)</f>
        <v>PS</v>
      </c>
      <c r="Z1006" s="441">
        <f>VLOOKUP(H1006,'Fund Utilization Report'!$A$4:$U$1800,8,FALSE)</f>
        <v>5010000000</v>
      </c>
      <c r="AA1006" s="239" t="str">
        <f>VLOOKUP(H1006,'Fund Utilization Report'!$A$4:$U$1800,14,FALSE)</f>
        <v>100000100001000</v>
      </c>
      <c r="AB1006" s="242" t="str">
        <f>VLOOKUP(H1006,'Fund Utilization Report'!$A$4:$U$1800,15,FALSE)</f>
        <v>General Administration and Supervision - General Management and Supervision</v>
      </c>
      <c r="AC1006" s="51"/>
      <c r="AD1006" s="435"/>
      <c r="AE1006" s="51"/>
      <c r="AF1006" s="51"/>
      <c r="AG1006" s="442"/>
      <c r="AH1006" s="442"/>
      <c r="AI1006" s="443"/>
    </row>
    <row r="1007" spans="1:35" s="32" customFormat="1" ht="27.6">
      <c r="A1007" s="434" t="s">
        <v>942</v>
      </c>
      <c r="B1007" s="457" t="s">
        <v>946</v>
      </c>
      <c r="C1007" s="233">
        <v>44265</v>
      </c>
      <c r="D1007" s="435" t="s">
        <v>1267</v>
      </c>
      <c r="E1007" s="436" t="s">
        <v>1387</v>
      </c>
      <c r="F1007" s="338">
        <v>0.40833333333333338</v>
      </c>
      <c r="G1007" s="338">
        <v>0.41319444444444442</v>
      </c>
      <c r="H1007" s="338" t="s">
        <v>964</v>
      </c>
      <c r="I1007" s="353">
        <v>701</v>
      </c>
      <c r="J1007" s="338" t="str">
        <f>IFERROR(VLOOKUP(I1007,'Chart of accounts'!A:H,2,FALSE),"")</f>
        <v>50101010 01</v>
      </c>
      <c r="K1007" s="338" t="str">
        <f>IFERROR(VLOOKUP(I1007,'Chart of accounts'!A:H,3,FALSE),"")</f>
        <v>Basic Salary - Civilian</v>
      </c>
      <c r="L1007" s="338" t="str">
        <f>IFERROR(VLOOKUP(I1007,'Chart of accounts'!A:H,4,FALSE),"")</f>
        <v>50101010 01 - Basic Salary - Civilian (701)</v>
      </c>
      <c r="M1007" s="361">
        <v>85</v>
      </c>
      <c r="N1007" s="355" t="s">
        <v>765</v>
      </c>
      <c r="O1007" s="355" t="s">
        <v>1384</v>
      </c>
      <c r="P1007" s="355"/>
      <c r="Q1007" s="363">
        <v>111742</v>
      </c>
      <c r="R1007" s="428">
        <f t="shared" si="30"/>
        <v>-111742</v>
      </c>
      <c r="S1007" s="239" t="str">
        <f>VLOOKUP(H1007,'Fund Utilization Report'!$A$4:$U$1800,13,FALSE)</f>
        <v>PS</v>
      </c>
      <c r="T1007" s="239" t="str">
        <f>VLOOKUP(H1007,'Fund Utilization Report'!$A$4:$U$1800,2,FALSE)</f>
        <v>GAA</v>
      </c>
      <c r="U1007" s="239" t="str">
        <f>VLOOKUP(H1007,'Fund Utilization Report'!$A$4:$U$1800,3,FALSE)</f>
        <v>FY2021, RA11518</v>
      </c>
      <c r="V1007" s="239" t="str">
        <f>VLOOKUP(H1007,'Fund Utilization Report'!$A$4:$U$1800,4,FALSE)</f>
        <v>OO1</v>
      </c>
      <c r="W1007" s="239" t="str">
        <f>VLOOKUP(H1007,'Fund Utilization Report'!$A$4:$U$1800,5,FALSE)</f>
        <v>01101101</v>
      </c>
      <c r="X1007" s="239" t="str">
        <f>VLOOKUP(H1007,'Fund Utilization Report'!$A$4:$U$1800,6,FALSE)</f>
        <v>GOP</v>
      </c>
      <c r="Y1007" s="440" t="str">
        <f>VLOOKUP(H1007,'Fund Utilization Report'!$A$4:$U$1800,7,FALSE)</f>
        <v>PS</v>
      </c>
      <c r="Z1007" s="441">
        <f>VLOOKUP(H1007,'Fund Utilization Report'!$A$4:$U$1800,8,FALSE)</f>
        <v>5010000000</v>
      </c>
      <c r="AA1007" s="239" t="str">
        <f>VLOOKUP(H1007,'Fund Utilization Report'!$A$4:$U$1800,14,FALSE)</f>
        <v>310100100002000</v>
      </c>
      <c r="AB1007" s="242" t="str">
        <f>VLOOKUP(H1007,'Fund Utilization Report'!$A$4:$U$1800,15,FALSE)</f>
        <v>Development,Facilitation, and promotion of exports and investment, domestic and foreign</v>
      </c>
      <c r="AC1007" s="51"/>
      <c r="AD1007" s="435"/>
      <c r="AE1007" s="51"/>
      <c r="AF1007" s="51"/>
      <c r="AG1007" s="442"/>
      <c r="AH1007" s="442"/>
      <c r="AI1007" s="443"/>
    </row>
    <row r="1008" spans="1:35" s="32" customFormat="1" ht="27.6">
      <c r="A1008" s="434" t="s">
        <v>942</v>
      </c>
      <c r="B1008" s="457" t="s">
        <v>946</v>
      </c>
      <c r="C1008" s="233">
        <v>44265</v>
      </c>
      <c r="D1008" s="435" t="s">
        <v>1267</v>
      </c>
      <c r="E1008" s="436" t="s">
        <v>1387</v>
      </c>
      <c r="F1008" s="338">
        <v>0.40833333333333338</v>
      </c>
      <c r="G1008" s="338">
        <v>0.41319444444444442</v>
      </c>
      <c r="H1008" s="338" t="s">
        <v>964</v>
      </c>
      <c r="I1008" s="353">
        <v>711</v>
      </c>
      <c r="J1008" s="338" t="str">
        <f>IFERROR(VLOOKUP(I1008,'Chart of accounts'!A:H,2,FALSE),"")</f>
        <v>50102010 01</v>
      </c>
      <c r="K1008" s="338" t="str">
        <f>IFERROR(VLOOKUP(I1008,'Chart of accounts'!A:H,3,FALSE),"")</f>
        <v>PERA - Civilian</v>
      </c>
      <c r="L1008" s="338" t="str">
        <f>IFERROR(VLOOKUP(I1008,'Chart of accounts'!A:H,4,FALSE),"")</f>
        <v>50102010 01 - PERA - Civilian (711)</v>
      </c>
      <c r="M1008" s="361">
        <v>85</v>
      </c>
      <c r="N1008" s="355" t="s">
        <v>765</v>
      </c>
      <c r="O1008" s="355" t="s">
        <v>1384</v>
      </c>
      <c r="P1008" s="355"/>
      <c r="Q1008" s="363">
        <v>2000</v>
      </c>
      <c r="R1008" s="428">
        <f t="shared" si="30"/>
        <v>-2000</v>
      </c>
      <c r="S1008" s="239" t="str">
        <f>VLOOKUP(H1008,'Fund Utilization Report'!$A$4:$U$1800,13,FALSE)</f>
        <v>PS</v>
      </c>
      <c r="T1008" s="239" t="str">
        <f>VLOOKUP(H1008,'Fund Utilization Report'!$A$4:$U$1800,2,FALSE)</f>
        <v>GAA</v>
      </c>
      <c r="U1008" s="239" t="str">
        <f>VLOOKUP(H1008,'Fund Utilization Report'!$A$4:$U$1800,3,FALSE)</f>
        <v>FY2021, RA11518</v>
      </c>
      <c r="V1008" s="239" t="str">
        <f>VLOOKUP(H1008,'Fund Utilization Report'!$A$4:$U$1800,4,FALSE)</f>
        <v>OO1</v>
      </c>
      <c r="W1008" s="239" t="str">
        <f>VLOOKUP(H1008,'Fund Utilization Report'!$A$4:$U$1800,5,FALSE)</f>
        <v>01101101</v>
      </c>
      <c r="X1008" s="239" t="str">
        <f>VLOOKUP(H1008,'Fund Utilization Report'!$A$4:$U$1800,6,FALSE)</f>
        <v>GOP</v>
      </c>
      <c r="Y1008" s="440" t="str">
        <f>VLOOKUP(H1008,'Fund Utilization Report'!$A$4:$U$1800,7,FALSE)</f>
        <v>PS</v>
      </c>
      <c r="Z1008" s="441">
        <f>VLOOKUP(H1008,'Fund Utilization Report'!$A$4:$U$1800,8,FALSE)</f>
        <v>5010000000</v>
      </c>
      <c r="AA1008" s="239" t="str">
        <f>VLOOKUP(H1008,'Fund Utilization Report'!$A$4:$U$1800,14,FALSE)</f>
        <v>310100100002000</v>
      </c>
      <c r="AB1008" s="242" t="str">
        <f>VLOOKUP(H1008,'Fund Utilization Report'!$A$4:$U$1800,15,FALSE)</f>
        <v>Development,Facilitation, and promotion of exports and investment, domestic and foreign</v>
      </c>
      <c r="AC1008" s="51"/>
      <c r="AD1008" s="435"/>
      <c r="AE1008" s="51"/>
      <c r="AF1008" s="51"/>
      <c r="AG1008" s="442"/>
      <c r="AH1008" s="442"/>
      <c r="AI1008" s="443"/>
    </row>
    <row r="1009" spans="1:35" s="32" customFormat="1" ht="27.6">
      <c r="A1009" s="434" t="s">
        <v>942</v>
      </c>
      <c r="B1009" s="457" t="s">
        <v>946</v>
      </c>
      <c r="C1009" s="233">
        <v>44265</v>
      </c>
      <c r="D1009" s="435" t="s">
        <v>1267</v>
      </c>
      <c r="E1009" s="436" t="s">
        <v>1387</v>
      </c>
      <c r="F1009" s="338">
        <v>0.40833333333333338</v>
      </c>
      <c r="G1009" s="338">
        <v>0.41319444444444442</v>
      </c>
      <c r="H1009" s="338" t="s">
        <v>966</v>
      </c>
      <c r="I1009" s="353">
        <v>731</v>
      </c>
      <c r="J1009" s="338" t="str">
        <f>IFERROR(VLOOKUP(I1009,'Chart of accounts'!A:H,2,FALSE),"")</f>
        <v>50103010 00</v>
      </c>
      <c r="K1009" s="338" t="str">
        <f>IFERROR(VLOOKUP(I1009,'Chart of accounts'!A:H,3,FALSE),"")</f>
        <v>Retirement and Life Insurance Premiums</v>
      </c>
      <c r="L1009" s="338" t="str">
        <f>IFERROR(VLOOKUP(I1009,'Chart of accounts'!A:H,4,FALSE),"")</f>
        <v>50103010 00 - Retirement and Life Insurance Premiums (731)</v>
      </c>
      <c r="M1009" s="361">
        <v>85</v>
      </c>
      <c r="N1009" s="355" t="s">
        <v>765</v>
      </c>
      <c r="O1009" s="355" t="s">
        <v>1384</v>
      </c>
      <c r="P1009" s="355"/>
      <c r="Q1009" s="363">
        <v>13409.04</v>
      </c>
      <c r="R1009" s="428">
        <f t="shared" si="30"/>
        <v>-13409.04</v>
      </c>
      <c r="S1009" s="239" t="str">
        <f>VLOOKUP(H1009,'Fund Utilization Report'!$A$4:$U$1800,13,FALSE)</f>
        <v>PS</v>
      </c>
      <c r="T1009" s="239" t="str">
        <f>VLOOKUP(H1009,'Fund Utilization Report'!$A$4:$U$1800,2,FALSE)</f>
        <v>GAA</v>
      </c>
      <c r="U1009" s="239" t="str">
        <f>VLOOKUP(H1009,'Fund Utilization Report'!$A$4:$U$1800,3,FALSE)</f>
        <v>FY2021, RA11518</v>
      </c>
      <c r="V1009" s="239" t="str">
        <f>VLOOKUP(H1009,'Fund Utilization Report'!$A$4:$U$1800,4,FALSE)</f>
        <v>OO1</v>
      </c>
      <c r="W1009" s="239" t="str">
        <f>VLOOKUP(H1009,'Fund Utilization Report'!$A$4:$U$1800,5,FALSE)</f>
        <v>01101101</v>
      </c>
      <c r="X1009" s="239" t="str">
        <f>VLOOKUP(H1009,'Fund Utilization Report'!$A$4:$U$1800,6,FALSE)</f>
        <v>GOP</v>
      </c>
      <c r="Y1009" s="440" t="str">
        <f>VLOOKUP(H1009,'Fund Utilization Report'!$A$4:$U$1800,7,FALSE)</f>
        <v>RLIP</v>
      </c>
      <c r="Z1009" s="441" t="str">
        <f>VLOOKUP(H1009,'Fund Utilization Report'!$A$4:$U$1800,8,FALSE)</f>
        <v>50103010-00</v>
      </c>
      <c r="AA1009" s="239" t="str">
        <f>VLOOKUP(H1009,'Fund Utilization Report'!$A$4:$U$1800,14,FALSE)</f>
        <v>310100100002000</v>
      </c>
      <c r="AB1009" s="242" t="str">
        <f>VLOOKUP(H1009,'Fund Utilization Report'!$A$4:$U$1800,15,FALSE)</f>
        <v>Development,Facilitation, and promotion of exports and investment, domestic and foreign</v>
      </c>
      <c r="AC1009" s="51"/>
      <c r="AD1009" s="435"/>
      <c r="AE1009" s="51"/>
      <c r="AF1009" s="51"/>
      <c r="AG1009" s="442"/>
      <c r="AH1009" s="442"/>
      <c r="AI1009" s="443"/>
    </row>
    <row r="1010" spans="1:35" s="32" customFormat="1" ht="27.6">
      <c r="A1010" s="434" t="s">
        <v>942</v>
      </c>
      <c r="B1010" s="457" t="s">
        <v>946</v>
      </c>
      <c r="C1010" s="233">
        <v>44265</v>
      </c>
      <c r="D1010" s="435" t="s">
        <v>1267</v>
      </c>
      <c r="E1010" s="436" t="s">
        <v>1387</v>
      </c>
      <c r="F1010" s="338">
        <v>0.40833333333333338</v>
      </c>
      <c r="G1010" s="338">
        <v>0.41319444444444442</v>
      </c>
      <c r="H1010" s="338" t="s">
        <v>964</v>
      </c>
      <c r="I1010" s="353">
        <v>732</v>
      </c>
      <c r="J1010" s="338" t="str">
        <f>IFERROR(VLOOKUP(I1010,'Chart of accounts'!A:H,2,FALSE),"")</f>
        <v>50103020 01</v>
      </c>
      <c r="K1010" s="338" t="str">
        <f>IFERROR(VLOOKUP(I1010,'Chart of accounts'!A:H,3,FALSE),"")</f>
        <v>Pag-IBIG - Civilian</v>
      </c>
      <c r="L1010" s="338" t="str">
        <f>IFERROR(VLOOKUP(I1010,'Chart of accounts'!A:H,4,FALSE),"")</f>
        <v>50103020 01 - Pag-IBIG - Civilian (732)</v>
      </c>
      <c r="M1010" s="361">
        <v>85</v>
      </c>
      <c r="N1010" s="355" t="s">
        <v>765</v>
      </c>
      <c r="O1010" s="355" t="s">
        <v>1384</v>
      </c>
      <c r="P1010" s="355"/>
      <c r="Q1010" s="363">
        <v>100</v>
      </c>
      <c r="R1010" s="428">
        <f t="shared" si="30"/>
        <v>-100</v>
      </c>
      <c r="S1010" s="239" t="str">
        <f>VLOOKUP(H1010,'Fund Utilization Report'!$A$4:$U$1800,13,FALSE)</f>
        <v>PS</v>
      </c>
      <c r="T1010" s="239" t="str">
        <f>VLOOKUP(H1010,'Fund Utilization Report'!$A$4:$U$1800,2,FALSE)</f>
        <v>GAA</v>
      </c>
      <c r="U1010" s="239" t="str">
        <f>VLOOKUP(H1010,'Fund Utilization Report'!$A$4:$U$1800,3,FALSE)</f>
        <v>FY2021, RA11518</v>
      </c>
      <c r="V1010" s="239" t="str">
        <f>VLOOKUP(H1010,'Fund Utilization Report'!$A$4:$U$1800,4,FALSE)</f>
        <v>OO1</v>
      </c>
      <c r="W1010" s="239" t="str">
        <f>VLOOKUP(H1010,'Fund Utilization Report'!$A$4:$U$1800,5,FALSE)</f>
        <v>01101101</v>
      </c>
      <c r="X1010" s="239" t="str">
        <f>VLOOKUP(H1010,'Fund Utilization Report'!$A$4:$U$1800,6,FALSE)</f>
        <v>GOP</v>
      </c>
      <c r="Y1010" s="440" t="str">
        <f>VLOOKUP(H1010,'Fund Utilization Report'!$A$4:$U$1800,7,FALSE)</f>
        <v>PS</v>
      </c>
      <c r="Z1010" s="441">
        <f>VLOOKUP(H1010,'Fund Utilization Report'!$A$4:$U$1800,8,FALSE)</f>
        <v>5010000000</v>
      </c>
      <c r="AA1010" s="239" t="str">
        <f>VLOOKUP(H1010,'Fund Utilization Report'!$A$4:$U$1800,14,FALSE)</f>
        <v>310100100002000</v>
      </c>
      <c r="AB1010" s="242" t="str">
        <f>VLOOKUP(H1010,'Fund Utilization Report'!$A$4:$U$1800,15,FALSE)</f>
        <v>Development,Facilitation, and promotion of exports and investment, domestic and foreign</v>
      </c>
      <c r="AC1010" s="51"/>
      <c r="AD1010" s="435"/>
      <c r="AE1010" s="51"/>
      <c r="AF1010" s="51"/>
      <c r="AG1010" s="442"/>
      <c r="AH1010" s="442"/>
      <c r="AI1010" s="443"/>
    </row>
    <row r="1011" spans="1:35" s="32" customFormat="1" ht="27.6">
      <c r="A1011" s="434" t="s">
        <v>942</v>
      </c>
      <c r="B1011" s="457" t="s">
        <v>946</v>
      </c>
      <c r="C1011" s="233">
        <v>44265</v>
      </c>
      <c r="D1011" s="435" t="s">
        <v>1267</v>
      </c>
      <c r="E1011" s="436" t="s">
        <v>1387</v>
      </c>
      <c r="F1011" s="338">
        <v>0.40833333333333338</v>
      </c>
      <c r="G1011" s="338">
        <v>0.41319444444444442</v>
      </c>
      <c r="H1011" s="338" t="s">
        <v>964</v>
      </c>
      <c r="I1011" s="353">
        <v>733</v>
      </c>
      <c r="J1011" s="338" t="str">
        <f>IFERROR(VLOOKUP(I1011,'Chart of accounts'!A:H,2,FALSE),"")</f>
        <v>50103030 01</v>
      </c>
      <c r="K1011" s="338" t="str">
        <f>IFERROR(VLOOKUP(I1011,'Chart of accounts'!A:H,3,FALSE),"")</f>
        <v>PhilHealth - Civilian</v>
      </c>
      <c r="L1011" s="338" t="str">
        <f>IFERROR(VLOOKUP(I1011,'Chart of accounts'!A:H,4,FALSE),"")</f>
        <v>50103030 01 - PhilHealth - Civilian (733)</v>
      </c>
      <c r="M1011" s="361">
        <v>85</v>
      </c>
      <c r="N1011" s="355" t="s">
        <v>765</v>
      </c>
      <c r="O1011" s="355" t="s">
        <v>1384</v>
      </c>
      <c r="P1011" s="355"/>
      <c r="Q1011" s="363">
        <v>900</v>
      </c>
      <c r="R1011" s="428">
        <f t="shared" si="30"/>
        <v>-900</v>
      </c>
      <c r="S1011" s="239" t="str">
        <f>VLOOKUP(H1011,'Fund Utilization Report'!$A$4:$U$1800,13,FALSE)</f>
        <v>PS</v>
      </c>
      <c r="T1011" s="239" t="str">
        <f>VLOOKUP(H1011,'Fund Utilization Report'!$A$4:$U$1800,2,FALSE)</f>
        <v>GAA</v>
      </c>
      <c r="U1011" s="239" t="str">
        <f>VLOOKUP(H1011,'Fund Utilization Report'!$A$4:$U$1800,3,FALSE)</f>
        <v>FY2021, RA11518</v>
      </c>
      <c r="V1011" s="239" t="str">
        <f>VLOOKUP(H1011,'Fund Utilization Report'!$A$4:$U$1800,4,FALSE)</f>
        <v>OO1</v>
      </c>
      <c r="W1011" s="239" t="str">
        <f>VLOOKUP(H1011,'Fund Utilization Report'!$A$4:$U$1800,5,FALSE)</f>
        <v>01101101</v>
      </c>
      <c r="X1011" s="239" t="str">
        <f>VLOOKUP(H1011,'Fund Utilization Report'!$A$4:$U$1800,6,FALSE)</f>
        <v>GOP</v>
      </c>
      <c r="Y1011" s="440" t="str">
        <f>VLOOKUP(H1011,'Fund Utilization Report'!$A$4:$U$1800,7,FALSE)</f>
        <v>PS</v>
      </c>
      <c r="Z1011" s="441">
        <f>VLOOKUP(H1011,'Fund Utilization Report'!$A$4:$U$1800,8,FALSE)</f>
        <v>5010000000</v>
      </c>
      <c r="AA1011" s="239" t="str">
        <f>VLOOKUP(H1011,'Fund Utilization Report'!$A$4:$U$1800,14,FALSE)</f>
        <v>310100100002000</v>
      </c>
      <c r="AB1011" s="242" t="str">
        <f>VLOOKUP(H1011,'Fund Utilization Report'!$A$4:$U$1800,15,FALSE)</f>
        <v>Development,Facilitation, and promotion of exports and investment, domestic and foreign</v>
      </c>
      <c r="AC1011" s="51"/>
      <c r="AD1011" s="435"/>
      <c r="AE1011" s="51"/>
      <c r="AF1011" s="51"/>
      <c r="AG1011" s="442"/>
      <c r="AH1011" s="442"/>
      <c r="AI1011" s="443"/>
    </row>
    <row r="1012" spans="1:35" s="32" customFormat="1" ht="27.6">
      <c r="A1012" s="434" t="s">
        <v>942</v>
      </c>
      <c r="B1012" s="457" t="s">
        <v>946</v>
      </c>
      <c r="C1012" s="233">
        <v>44265</v>
      </c>
      <c r="D1012" s="435" t="s">
        <v>1267</v>
      </c>
      <c r="E1012" s="436" t="s">
        <v>1387</v>
      </c>
      <c r="F1012" s="338">
        <v>0.40833333333333338</v>
      </c>
      <c r="G1012" s="338">
        <v>0.41319444444444442</v>
      </c>
      <c r="H1012" s="338" t="s">
        <v>964</v>
      </c>
      <c r="I1012" s="353">
        <v>734</v>
      </c>
      <c r="J1012" s="338" t="str">
        <f>IFERROR(VLOOKUP(I1012,'Chart of accounts'!A:H,2,FALSE),"")</f>
        <v>50103040 01</v>
      </c>
      <c r="K1012" s="338" t="str">
        <f>IFERROR(VLOOKUP(I1012,'Chart of accounts'!A:H,3,FALSE),"")</f>
        <v>ECIP - Civilian</v>
      </c>
      <c r="L1012" s="338" t="str">
        <f>IFERROR(VLOOKUP(I1012,'Chart of accounts'!A:H,4,FALSE),"")</f>
        <v>50103040 01 - ECIP - Civilian (734)</v>
      </c>
      <c r="M1012" s="361">
        <v>85</v>
      </c>
      <c r="N1012" s="355" t="s">
        <v>765</v>
      </c>
      <c r="O1012" s="355" t="s">
        <v>1384</v>
      </c>
      <c r="P1012" s="355"/>
      <c r="Q1012" s="363">
        <v>100</v>
      </c>
      <c r="R1012" s="428">
        <f t="shared" si="30"/>
        <v>-100</v>
      </c>
      <c r="S1012" s="239" t="str">
        <f>VLOOKUP(H1012,'Fund Utilization Report'!$A$4:$U$1800,13,FALSE)</f>
        <v>PS</v>
      </c>
      <c r="T1012" s="239" t="str">
        <f>VLOOKUP(H1012,'Fund Utilization Report'!$A$4:$U$1800,2,FALSE)</f>
        <v>GAA</v>
      </c>
      <c r="U1012" s="239" t="str">
        <f>VLOOKUP(H1012,'Fund Utilization Report'!$A$4:$U$1800,3,FALSE)</f>
        <v>FY2021, RA11518</v>
      </c>
      <c r="V1012" s="239" t="str">
        <f>VLOOKUP(H1012,'Fund Utilization Report'!$A$4:$U$1800,4,FALSE)</f>
        <v>OO1</v>
      </c>
      <c r="W1012" s="239" t="str">
        <f>VLOOKUP(H1012,'Fund Utilization Report'!$A$4:$U$1800,5,FALSE)</f>
        <v>01101101</v>
      </c>
      <c r="X1012" s="239" t="str">
        <f>VLOOKUP(H1012,'Fund Utilization Report'!$A$4:$U$1800,6,FALSE)</f>
        <v>GOP</v>
      </c>
      <c r="Y1012" s="440" t="str">
        <f>VLOOKUP(H1012,'Fund Utilization Report'!$A$4:$U$1800,7,FALSE)</f>
        <v>PS</v>
      </c>
      <c r="Z1012" s="441">
        <f>VLOOKUP(H1012,'Fund Utilization Report'!$A$4:$U$1800,8,FALSE)</f>
        <v>5010000000</v>
      </c>
      <c r="AA1012" s="239" t="str">
        <f>VLOOKUP(H1012,'Fund Utilization Report'!$A$4:$U$1800,14,FALSE)</f>
        <v>310100100002000</v>
      </c>
      <c r="AB1012" s="242" t="str">
        <f>VLOOKUP(H1012,'Fund Utilization Report'!$A$4:$U$1800,15,FALSE)</f>
        <v>Development,Facilitation, and promotion of exports and investment, domestic and foreign</v>
      </c>
      <c r="AC1012" s="51"/>
      <c r="AD1012" s="435"/>
      <c r="AE1012" s="51"/>
      <c r="AF1012" s="51"/>
      <c r="AG1012" s="442"/>
      <c r="AH1012" s="442"/>
      <c r="AI1012" s="443"/>
    </row>
    <row r="1013" spans="1:35" s="32" customFormat="1" ht="27.6">
      <c r="A1013" s="434" t="s">
        <v>942</v>
      </c>
      <c r="B1013" s="457" t="s">
        <v>946</v>
      </c>
      <c r="C1013" s="233">
        <v>44265</v>
      </c>
      <c r="D1013" s="435" t="s">
        <v>1267</v>
      </c>
      <c r="E1013" s="436" t="s">
        <v>1387</v>
      </c>
      <c r="F1013" s="338">
        <v>0.40833333333333338</v>
      </c>
      <c r="G1013" s="338">
        <v>0.41319444444444442</v>
      </c>
      <c r="H1013" s="338" t="s">
        <v>967</v>
      </c>
      <c r="I1013" s="353">
        <v>701</v>
      </c>
      <c r="J1013" s="338" t="str">
        <f>IFERROR(VLOOKUP(I1013,'Chart of accounts'!A:H,2,FALSE),"")</f>
        <v>50101010 01</v>
      </c>
      <c r="K1013" s="338" t="str">
        <f>IFERROR(VLOOKUP(I1013,'Chart of accounts'!A:H,3,FALSE),"")</f>
        <v>Basic Salary - Civilian</v>
      </c>
      <c r="L1013" s="338" t="str">
        <f>IFERROR(VLOOKUP(I1013,'Chart of accounts'!A:H,4,FALSE),"")</f>
        <v>50101010 01 - Basic Salary - Civilian (701)</v>
      </c>
      <c r="M1013" s="361">
        <v>85</v>
      </c>
      <c r="N1013" s="355" t="s">
        <v>765</v>
      </c>
      <c r="O1013" s="355" t="s">
        <v>1384</v>
      </c>
      <c r="P1013" s="355"/>
      <c r="Q1013" s="363">
        <v>81329</v>
      </c>
      <c r="R1013" s="428">
        <f t="shared" ref="R1013:R1024" si="31">P1013-Q1013</f>
        <v>-81329</v>
      </c>
      <c r="S1013" s="239" t="str">
        <f>VLOOKUP(H1013,'Fund Utilization Report'!$A$4:$U$1800,13,FALSE)</f>
        <v>PS</v>
      </c>
      <c r="T1013" s="239" t="str">
        <f>VLOOKUP(H1013,'Fund Utilization Report'!$A$4:$U$1800,2,FALSE)</f>
        <v>GAA</v>
      </c>
      <c r="U1013" s="239" t="str">
        <f>VLOOKUP(H1013,'Fund Utilization Report'!$A$4:$U$1800,3,FALSE)</f>
        <v>FY2021, RA11518</v>
      </c>
      <c r="V1013" s="239" t="str">
        <f>VLOOKUP(H1013,'Fund Utilization Report'!$A$4:$U$1800,4,FALSE)</f>
        <v>OO2</v>
      </c>
      <c r="W1013" s="239" t="str">
        <f>VLOOKUP(H1013,'Fund Utilization Report'!$A$4:$U$1800,5,FALSE)</f>
        <v>01101101</v>
      </c>
      <c r="X1013" s="239" t="str">
        <f>VLOOKUP(H1013,'Fund Utilization Report'!$A$4:$U$1800,6,FALSE)</f>
        <v>GOP</v>
      </c>
      <c r="Y1013" s="440" t="str">
        <f>VLOOKUP(H1013,'Fund Utilization Report'!$A$4:$U$1800,7,FALSE)</f>
        <v>PS</v>
      </c>
      <c r="Z1013" s="441">
        <f>VLOOKUP(H1013,'Fund Utilization Report'!$A$4:$U$1800,8,FALSE)</f>
        <v>5010000000</v>
      </c>
      <c r="AA1013" s="239" t="str">
        <f>VLOOKUP(H1013,'Fund Utilization Report'!$A$4:$U$1800,14,FALSE)</f>
        <v>320100100001000</v>
      </c>
      <c r="AB1013" s="242" t="str">
        <f>VLOOKUP(H1013,'Fund Utilization Report'!$A$4:$U$1800,15,FALSE)</f>
        <v>Formulation of Strategic plans,programs, and policies to develop competitve industries</v>
      </c>
      <c r="AC1013" s="51"/>
      <c r="AD1013" s="435"/>
      <c r="AE1013" s="51"/>
      <c r="AF1013" s="51"/>
      <c r="AG1013" s="442"/>
      <c r="AH1013" s="442"/>
      <c r="AI1013" s="443"/>
    </row>
    <row r="1014" spans="1:35" s="32" customFormat="1" ht="27.6">
      <c r="A1014" s="434" t="s">
        <v>942</v>
      </c>
      <c r="B1014" s="457" t="s">
        <v>946</v>
      </c>
      <c r="C1014" s="233">
        <v>44265</v>
      </c>
      <c r="D1014" s="435" t="s">
        <v>1267</v>
      </c>
      <c r="E1014" s="436" t="s">
        <v>1387</v>
      </c>
      <c r="F1014" s="338">
        <v>0.40833333333333338</v>
      </c>
      <c r="G1014" s="338">
        <v>0.41319444444444442</v>
      </c>
      <c r="H1014" s="338" t="s">
        <v>967</v>
      </c>
      <c r="I1014" s="353">
        <v>711</v>
      </c>
      <c r="J1014" s="338" t="str">
        <f>IFERROR(VLOOKUP(I1014,'Chart of accounts'!A:H,2,FALSE),"")</f>
        <v>50102010 01</v>
      </c>
      <c r="K1014" s="338" t="str">
        <f>IFERROR(VLOOKUP(I1014,'Chart of accounts'!A:H,3,FALSE),"")</f>
        <v>PERA - Civilian</v>
      </c>
      <c r="L1014" s="338" t="str">
        <f>IFERROR(VLOOKUP(I1014,'Chart of accounts'!A:H,4,FALSE),"")</f>
        <v>50102010 01 - PERA - Civilian (711)</v>
      </c>
      <c r="M1014" s="361">
        <v>85</v>
      </c>
      <c r="N1014" s="355" t="s">
        <v>765</v>
      </c>
      <c r="O1014" s="355" t="s">
        <v>1384</v>
      </c>
      <c r="P1014" s="355"/>
      <c r="Q1014" s="363">
        <v>6000</v>
      </c>
      <c r="R1014" s="428">
        <f t="shared" si="31"/>
        <v>-6000</v>
      </c>
      <c r="S1014" s="239" t="str">
        <f>VLOOKUP(H1014,'Fund Utilization Report'!$A$4:$U$1800,13,FALSE)</f>
        <v>PS</v>
      </c>
      <c r="T1014" s="239" t="str">
        <f>VLOOKUP(H1014,'Fund Utilization Report'!$A$4:$U$1800,2,FALSE)</f>
        <v>GAA</v>
      </c>
      <c r="U1014" s="239" t="str">
        <f>VLOOKUP(H1014,'Fund Utilization Report'!$A$4:$U$1800,3,FALSE)</f>
        <v>FY2021, RA11518</v>
      </c>
      <c r="V1014" s="239" t="str">
        <f>VLOOKUP(H1014,'Fund Utilization Report'!$A$4:$U$1800,4,FALSE)</f>
        <v>OO2</v>
      </c>
      <c r="W1014" s="239" t="str">
        <f>VLOOKUP(H1014,'Fund Utilization Report'!$A$4:$U$1800,5,FALSE)</f>
        <v>01101101</v>
      </c>
      <c r="X1014" s="239" t="str">
        <f>VLOOKUP(H1014,'Fund Utilization Report'!$A$4:$U$1800,6,FALSE)</f>
        <v>GOP</v>
      </c>
      <c r="Y1014" s="440" t="str">
        <f>VLOOKUP(H1014,'Fund Utilization Report'!$A$4:$U$1800,7,FALSE)</f>
        <v>PS</v>
      </c>
      <c r="Z1014" s="441">
        <f>VLOOKUP(H1014,'Fund Utilization Report'!$A$4:$U$1800,8,FALSE)</f>
        <v>5010000000</v>
      </c>
      <c r="AA1014" s="239" t="str">
        <f>VLOOKUP(H1014,'Fund Utilization Report'!$A$4:$U$1800,14,FALSE)</f>
        <v>320100100001000</v>
      </c>
      <c r="AB1014" s="242" t="str">
        <f>VLOOKUP(H1014,'Fund Utilization Report'!$A$4:$U$1800,15,FALSE)</f>
        <v>Formulation of Strategic plans,programs, and policies to develop competitve industries</v>
      </c>
      <c r="AC1014" s="51"/>
      <c r="AD1014" s="435"/>
      <c r="AE1014" s="51"/>
      <c r="AF1014" s="51"/>
      <c r="AG1014" s="442"/>
      <c r="AH1014" s="442"/>
      <c r="AI1014" s="443"/>
    </row>
    <row r="1015" spans="1:35" s="32" customFormat="1" ht="27.6">
      <c r="A1015" s="434" t="s">
        <v>942</v>
      </c>
      <c r="B1015" s="457" t="s">
        <v>946</v>
      </c>
      <c r="C1015" s="233">
        <v>44265</v>
      </c>
      <c r="D1015" s="435" t="s">
        <v>1267</v>
      </c>
      <c r="E1015" s="436" t="s">
        <v>1387</v>
      </c>
      <c r="F1015" s="338">
        <v>0.40833333333333338</v>
      </c>
      <c r="G1015" s="338">
        <v>0.41319444444444442</v>
      </c>
      <c r="H1015" s="338" t="s">
        <v>969</v>
      </c>
      <c r="I1015" s="353">
        <v>731</v>
      </c>
      <c r="J1015" s="338" t="str">
        <f>IFERROR(VLOOKUP(I1015,'Chart of accounts'!A:H,2,FALSE),"")</f>
        <v>50103010 00</v>
      </c>
      <c r="K1015" s="338" t="str">
        <f>IFERROR(VLOOKUP(I1015,'Chart of accounts'!A:H,3,FALSE),"")</f>
        <v>Retirement and Life Insurance Premiums</v>
      </c>
      <c r="L1015" s="338" t="str">
        <f>IFERROR(VLOOKUP(I1015,'Chart of accounts'!A:H,4,FALSE),"")</f>
        <v>50103010 00 - Retirement and Life Insurance Premiums (731)</v>
      </c>
      <c r="M1015" s="361">
        <v>85</v>
      </c>
      <c r="N1015" s="355" t="s">
        <v>765</v>
      </c>
      <c r="O1015" s="355" t="s">
        <v>1384</v>
      </c>
      <c r="P1015" s="355"/>
      <c r="Q1015" s="363">
        <v>9759.48</v>
      </c>
      <c r="R1015" s="428">
        <f t="shared" si="31"/>
        <v>-9759.48</v>
      </c>
      <c r="S1015" s="239" t="str">
        <f>VLOOKUP(H1015,'Fund Utilization Report'!$A$4:$U$1800,13,FALSE)</f>
        <v>PS</v>
      </c>
      <c r="T1015" s="239" t="str">
        <f>VLOOKUP(H1015,'Fund Utilization Report'!$A$4:$U$1800,2,FALSE)</f>
        <v>GAA</v>
      </c>
      <c r="U1015" s="239" t="str">
        <f>VLOOKUP(H1015,'Fund Utilization Report'!$A$4:$U$1800,3,FALSE)</f>
        <v>FY2021, RA11518</v>
      </c>
      <c r="V1015" s="239" t="str">
        <f>VLOOKUP(H1015,'Fund Utilization Report'!$A$4:$U$1800,4,FALSE)</f>
        <v>OO2</v>
      </c>
      <c r="W1015" s="239" t="str">
        <f>VLOOKUP(H1015,'Fund Utilization Report'!$A$4:$U$1800,5,FALSE)</f>
        <v>01101101</v>
      </c>
      <c r="X1015" s="239" t="str">
        <f>VLOOKUP(H1015,'Fund Utilization Report'!$A$4:$U$1800,6,FALSE)</f>
        <v>GOP</v>
      </c>
      <c r="Y1015" s="440" t="str">
        <f>VLOOKUP(H1015,'Fund Utilization Report'!$A$4:$U$1800,7,FALSE)</f>
        <v>RLIP</v>
      </c>
      <c r="Z1015" s="441" t="str">
        <f>VLOOKUP(H1015,'Fund Utilization Report'!$A$4:$U$1800,8,FALSE)</f>
        <v>50103010-00</v>
      </c>
      <c r="AA1015" s="239" t="str">
        <f>VLOOKUP(H1015,'Fund Utilization Report'!$A$4:$U$1800,14,FALSE)</f>
        <v>320100100001000</v>
      </c>
      <c r="AB1015" s="242" t="str">
        <f>VLOOKUP(H1015,'Fund Utilization Report'!$A$4:$U$1800,15,FALSE)</f>
        <v>Formulation of Strategic plans,programs, and policies to develop competitve industries</v>
      </c>
      <c r="AC1015" s="51"/>
      <c r="AD1015" s="435"/>
      <c r="AE1015" s="51"/>
      <c r="AF1015" s="51"/>
      <c r="AG1015" s="442"/>
      <c r="AH1015" s="442"/>
      <c r="AI1015" s="443"/>
    </row>
    <row r="1016" spans="1:35" s="32" customFormat="1" ht="27.6">
      <c r="A1016" s="434" t="s">
        <v>942</v>
      </c>
      <c r="B1016" s="457" t="s">
        <v>946</v>
      </c>
      <c r="C1016" s="233">
        <v>44265</v>
      </c>
      <c r="D1016" s="435" t="s">
        <v>1267</v>
      </c>
      <c r="E1016" s="436" t="s">
        <v>1387</v>
      </c>
      <c r="F1016" s="338">
        <v>0.40833333333333338</v>
      </c>
      <c r="G1016" s="338">
        <v>0.41319444444444442</v>
      </c>
      <c r="H1016" s="338" t="s">
        <v>967</v>
      </c>
      <c r="I1016" s="353">
        <v>732</v>
      </c>
      <c r="J1016" s="338" t="str">
        <f>IFERROR(VLOOKUP(I1016,'Chart of accounts'!A:H,2,FALSE),"")</f>
        <v>50103020 01</v>
      </c>
      <c r="K1016" s="338" t="str">
        <f>IFERROR(VLOOKUP(I1016,'Chart of accounts'!A:H,3,FALSE),"")</f>
        <v>Pag-IBIG - Civilian</v>
      </c>
      <c r="L1016" s="338" t="str">
        <f>IFERROR(VLOOKUP(I1016,'Chart of accounts'!A:H,4,FALSE),"")</f>
        <v>50103020 01 - Pag-IBIG - Civilian (732)</v>
      </c>
      <c r="M1016" s="361">
        <v>85</v>
      </c>
      <c r="N1016" s="355" t="s">
        <v>765</v>
      </c>
      <c r="O1016" s="355" t="s">
        <v>1384</v>
      </c>
      <c r="P1016" s="355"/>
      <c r="Q1016" s="363">
        <v>300</v>
      </c>
      <c r="R1016" s="428">
        <f t="shared" si="31"/>
        <v>-300</v>
      </c>
      <c r="S1016" s="239" t="str">
        <f>VLOOKUP(H1016,'Fund Utilization Report'!$A$4:$U$1800,13,FALSE)</f>
        <v>PS</v>
      </c>
      <c r="T1016" s="239" t="str">
        <f>VLOOKUP(H1016,'Fund Utilization Report'!$A$4:$U$1800,2,FALSE)</f>
        <v>GAA</v>
      </c>
      <c r="U1016" s="239" t="str">
        <f>VLOOKUP(H1016,'Fund Utilization Report'!$A$4:$U$1800,3,FALSE)</f>
        <v>FY2021, RA11518</v>
      </c>
      <c r="V1016" s="239" t="str">
        <f>VLOOKUP(H1016,'Fund Utilization Report'!$A$4:$U$1800,4,FALSE)</f>
        <v>OO2</v>
      </c>
      <c r="W1016" s="239" t="str">
        <f>VLOOKUP(H1016,'Fund Utilization Report'!$A$4:$U$1800,5,FALSE)</f>
        <v>01101101</v>
      </c>
      <c r="X1016" s="239" t="str">
        <f>VLOOKUP(H1016,'Fund Utilization Report'!$A$4:$U$1800,6,FALSE)</f>
        <v>GOP</v>
      </c>
      <c r="Y1016" s="440" t="str">
        <f>VLOOKUP(H1016,'Fund Utilization Report'!$A$4:$U$1800,7,FALSE)</f>
        <v>PS</v>
      </c>
      <c r="Z1016" s="441">
        <f>VLOOKUP(H1016,'Fund Utilization Report'!$A$4:$U$1800,8,FALSE)</f>
        <v>5010000000</v>
      </c>
      <c r="AA1016" s="239" t="str">
        <f>VLOOKUP(H1016,'Fund Utilization Report'!$A$4:$U$1800,14,FALSE)</f>
        <v>320100100001000</v>
      </c>
      <c r="AB1016" s="242" t="str">
        <f>VLOOKUP(H1016,'Fund Utilization Report'!$A$4:$U$1800,15,FALSE)</f>
        <v>Formulation of Strategic plans,programs, and policies to develop competitve industries</v>
      </c>
      <c r="AC1016" s="51"/>
      <c r="AD1016" s="435"/>
      <c r="AE1016" s="51"/>
      <c r="AF1016" s="51"/>
      <c r="AG1016" s="442"/>
      <c r="AH1016" s="442"/>
      <c r="AI1016" s="443"/>
    </row>
    <row r="1017" spans="1:35" s="32" customFormat="1" ht="27.6">
      <c r="A1017" s="434" t="s">
        <v>942</v>
      </c>
      <c r="B1017" s="457" t="s">
        <v>946</v>
      </c>
      <c r="C1017" s="233">
        <v>44265</v>
      </c>
      <c r="D1017" s="435" t="s">
        <v>1267</v>
      </c>
      <c r="E1017" s="436" t="s">
        <v>1387</v>
      </c>
      <c r="F1017" s="338">
        <v>0.40833333333333338</v>
      </c>
      <c r="G1017" s="338">
        <v>0.41319444444444442</v>
      </c>
      <c r="H1017" s="338" t="s">
        <v>967</v>
      </c>
      <c r="I1017" s="353">
        <v>733</v>
      </c>
      <c r="J1017" s="338" t="str">
        <f>IFERROR(VLOOKUP(I1017,'Chart of accounts'!A:H,2,FALSE),"")</f>
        <v>50103030 01</v>
      </c>
      <c r="K1017" s="338" t="str">
        <f>IFERROR(VLOOKUP(I1017,'Chart of accounts'!A:H,3,FALSE),"")</f>
        <v>PhilHealth - Civilian</v>
      </c>
      <c r="L1017" s="338" t="str">
        <f>IFERROR(VLOOKUP(I1017,'Chart of accounts'!A:H,4,FALSE),"")</f>
        <v>50103030 01 - PhilHealth - Civilian (733)</v>
      </c>
      <c r="M1017" s="361">
        <v>85</v>
      </c>
      <c r="N1017" s="355" t="s">
        <v>765</v>
      </c>
      <c r="O1017" s="355" t="s">
        <v>1384</v>
      </c>
      <c r="P1017" s="355"/>
      <c r="Q1017" s="363">
        <v>1219.95</v>
      </c>
      <c r="R1017" s="428">
        <f t="shared" si="31"/>
        <v>-1219.95</v>
      </c>
      <c r="S1017" s="239" t="str">
        <f>VLOOKUP(H1017,'Fund Utilization Report'!$A$4:$U$1800,13,FALSE)</f>
        <v>PS</v>
      </c>
      <c r="T1017" s="239" t="str">
        <f>VLOOKUP(H1017,'Fund Utilization Report'!$A$4:$U$1800,2,FALSE)</f>
        <v>GAA</v>
      </c>
      <c r="U1017" s="239" t="str">
        <f>VLOOKUP(H1017,'Fund Utilization Report'!$A$4:$U$1800,3,FALSE)</f>
        <v>FY2021, RA11518</v>
      </c>
      <c r="V1017" s="239" t="str">
        <f>VLOOKUP(H1017,'Fund Utilization Report'!$A$4:$U$1800,4,FALSE)</f>
        <v>OO2</v>
      </c>
      <c r="W1017" s="239" t="str">
        <f>VLOOKUP(H1017,'Fund Utilization Report'!$A$4:$U$1800,5,FALSE)</f>
        <v>01101101</v>
      </c>
      <c r="X1017" s="239" t="str">
        <f>VLOOKUP(H1017,'Fund Utilization Report'!$A$4:$U$1800,6,FALSE)</f>
        <v>GOP</v>
      </c>
      <c r="Y1017" s="440" t="str">
        <f>VLOOKUP(H1017,'Fund Utilization Report'!$A$4:$U$1800,7,FALSE)</f>
        <v>PS</v>
      </c>
      <c r="Z1017" s="441">
        <f>VLOOKUP(H1017,'Fund Utilization Report'!$A$4:$U$1800,8,FALSE)</f>
        <v>5010000000</v>
      </c>
      <c r="AA1017" s="239" t="str">
        <f>VLOOKUP(H1017,'Fund Utilization Report'!$A$4:$U$1800,14,FALSE)</f>
        <v>320100100001000</v>
      </c>
      <c r="AB1017" s="242" t="str">
        <f>VLOOKUP(H1017,'Fund Utilization Report'!$A$4:$U$1800,15,FALSE)</f>
        <v>Formulation of Strategic plans,programs, and policies to develop competitve industries</v>
      </c>
      <c r="AC1017" s="51"/>
      <c r="AD1017" s="435"/>
      <c r="AE1017" s="51"/>
      <c r="AF1017" s="51"/>
      <c r="AG1017" s="442"/>
      <c r="AH1017" s="442"/>
      <c r="AI1017" s="443"/>
    </row>
    <row r="1018" spans="1:35" s="32" customFormat="1" ht="27.6">
      <c r="A1018" s="434" t="s">
        <v>942</v>
      </c>
      <c r="B1018" s="457" t="s">
        <v>946</v>
      </c>
      <c r="C1018" s="233">
        <v>44265</v>
      </c>
      <c r="D1018" s="435" t="s">
        <v>1267</v>
      </c>
      <c r="E1018" s="436" t="s">
        <v>1387</v>
      </c>
      <c r="F1018" s="338">
        <v>0.40833333333333338</v>
      </c>
      <c r="G1018" s="338">
        <v>0.41319444444444442</v>
      </c>
      <c r="H1018" s="338" t="s">
        <v>967</v>
      </c>
      <c r="I1018" s="353">
        <v>734</v>
      </c>
      <c r="J1018" s="338" t="str">
        <f>IFERROR(VLOOKUP(I1018,'Chart of accounts'!A:H,2,FALSE),"")</f>
        <v>50103040 01</v>
      </c>
      <c r="K1018" s="338" t="str">
        <f>IFERROR(VLOOKUP(I1018,'Chart of accounts'!A:H,3,FALSE),"")</f>
        <v>ECIP - Civilian</v>
      </c>
      <c r="L1018" s="338" t="str">
        <f>IFERROR(VLOOKUP(I1018,'Chart of accounts'!A:H,4,FALSE),"")</f>
        <v>50103040 01 - ECIP - Civilian (734)</v>
      </c>
      <c r="M1018" s="361">
        <v>85</v>
      </c>
      <c r="N1018" s="355" t="s">
        <v>765</v>
      </c>
      <c r="O1018" s="355" t="s">
        <v>1384</v>
      </c>
      <c r="P1018" s="355"/>
      <c r="Q1018" s="363">
        <v>300</v>
      </c>
      <c r="R1018" s="428">
        <f t="shared" si="31"/>
        <v>-300</v>
      </c>
      <c r="S1018" s="239" t="str">
        <f>VLOOKUP(H1018,'Fund Utilization Report'!$A$4:$U$1800,13,FALSE)</f>
        <v>PS</v>
      </c>
      <c r="T1018" s="239" t="str">
        <f>VLOOKUP(H1018,'Fund Utilization Report'!$A$4:$U$1800,2,FALSE)</f>
        <v>GAA</v>
      </c>
      <c r="U1018" s="239" t="str">
        <f>VLOOKUP(H1018,'Fund Utilization Report'!$A$4:$U$1800,3,FALSE)</f>
        <v>FY2021, RA11518</v>
      </c>
      <c r="V1018" s="239" t="str">
        <f>VLOOKUP(H1018,'Fund Utilization Report'!$A$4:$U$1800,4,FALSE)</f>
        <v>OO2</v>
      </c>
      <c r="W1018" s="239" t="str">
        <f>VLOOKUP(H1018,'Fund Utilization Report'!$A$4:$U$1800,5,FALSE)</f>
        <v>01101101</v>
      </c>
      <c r="X1018" s="239" t="str">
        <f>VLOOKUP(H1018,'Fund Utilization Report'!$A$4:$U$1800,6,FALSE)</f>
        <v>GOP</v>
      </c>
      <c r="Y1018" s="440" t="str">
        <f>VLOOKUP(H1018,'Fund Utilization Report'!$A$4:$U$1800,7,FALSE)</f>
        <v>PS</v>
      </c>
      <c r="Z1018" s="441">
        <f>VLOOKUP(H1018,'Fund Utilization Report'!$A$4:$U$1800,8,FALSE)</f>
        <v>5010000000</v>
      </c>
      <c r="AA1018" s="239" t="str">
        <f>VLOOKUP(H1018,'Fund Utilization Report'!$A$4:$U$1800,14,FALSE)</f>
        <v>320100100001000</v>
      </c>
      <c r="AB1018" s="242" t="str">
        <f>VLOOKUP(H1018,'Fund Utilization Report'!$A$4:$U$1800,15,FALSE)</f>
        <v>Formulation of Strategic plans,programs, and policies to develop competitve industries</v>
      </c>
      <c r="AC1018" s="51"/>
      <c r="AD1018" s="435"/>
      <c r="AE1018" s="51"/>
      <c r="AF1018" s="51"/>
      <c r="AG1018" s="442"/>
      <c r="AH1018" s="442"/>
      <c r="AI1018" s="443"/>
    </row>
    <row r="1019" spans="1:35" s="32" customFormat="1" ht="27.6">
      <c r="A1019" s="434" t="s">
        <v>942</v>
      </c>
      <c r="B1019" s="457" t="s">
        <v>946</v>
      </c>
      <c r="C1019" s="233">
        <v>44265</v>
      </c>
      <c r="D1019" s="435" t="s">
        <v>1267</v>
      </c>
      <c r="E1019" s="436" t="s">
        <v>1387</v>
      </c>
      <c r="F1019" s="338">
        <v>0.40833333333333338</v>
      </c>
      <c r="G1019" s="338">
        <v>0.41319444444444442</v>
      </c>
      <c r="H1019" s="338" t="s">
        <v>970</v>
      </c>
      <c r="I1019" s="353">
        <v>701</v>
      </c>
      <c r="J1019" s="338" t="str">
        <f>IFERROR(VLOOKUP(I1019,'Chart of accounts'!A:H,2,FALSE),"")</f>
        <v>50101010 01</v>
      </c>
      <c r="K1019" s="338" t="str">
        <f>IFERROR(VLOOKUP(I1019,'Chart of accounts'!A:H,3,FALSE),"")</f>
        <v>Basic Salary - Civilian</v>
      </c>
      <c r="L1019" s="338" t="str">
        <f>IFERROR(VLOOKUP(I1019,'Chart of accounts'!A:H,4,FALSE),"")</f>
        <v>50101010 01 - Basic Salary - Civilian (701)</v>
      </c>
      <c r="M1019" s="361">
        <v>85</v>
      </c>
      <c r="N1019" s="355" t="s">
        <v>765</v>
      </c>
      <c r="O1019" s="355" t="s">
        <v>1384</v>
      </c>
      <c r="P1019" s="355"/>
      <c r="Q1019" s="363">
        <v>78017</v>
      </c>
      <c r="R1019" s="428">
        <f t="shared" si="31"/>
        <v>-78017</v>
      </c>
      <c r="S1019" s="239" t="str">
        <f>VLOOKUP(H1019,'Fund Utilization Report'!$A$4:$U$1800,13,FALSE)</f>
        <v>PS</v>
      </c>
      <c r="T1019" s="239" t="str">
        <f>VLOOKUP(H1019,'Fund Utilization Report'!$A$4:$U$1800,2,FALSE)</f>
        <v>GAA</v>
      </c>
      <c r="U1019" s="239" t="str">
        <f>VLOOKUP(H1019,'Fund Utilization Report'!$A$4:$U$1800,3,FALSE)</f>
        <v>FY2021, RA11518</v>
      </c>
      <c r="V1019" s="239" t="str">
        <f>VLOOKUP(H1019,'Fund Utilization Report'!$A$4:$U$1800,4,FALSE)</f>
        <v>OO3</v>
      </c>
      <c r="W1019" s="239" t="str">
        <f>VLOOKUP(H1019,'Fund Utilization Report'!$A$4:$U$1800,5,FALSE)</f>
        <v>01101101</v>
      </c>
      <c r="X1019" s="239" t="str">
        <f>VLOOKUP(H1019,'Fund Utilization Report'!$A$4:$U$1800,6,FALSE)</f>
        <v>GOP</v>
      </c>
      <c r="Y1019" s="440" t="str">
        <f>VLOOKUP(H1019,'Fund Utilization Report'!$A$4:$U$1800,7,FALSE)</f>
        <v>PS</v>
      </c>
      <c r="Z1019" s="441">
        <f>VLOOKUP(H1019,'Fund Utilization Report'!$A$4:$U$1800,8,FALSE)</f>
        <v>5010000000</v>
      </c>
      <c r="AA1019" s="239" t="str">
        <f>VLOOKUP(H1019,'Fund Utilization Report'!$A$4:$U$1800,14,FALSE)</f>
        <v>330100100002000</v>
      </c>
      <c r="AB1019" s="242" t="str">
        <f>VLOOKUP(H1019,'Fund Utilization Report'!$A$4:$U$1800,15,FALSE)</f>
        <v>Implementation of the MSME Development Plan and other initiatives to promote the growth of Micro, Small and Medium Enterprises</v>
      </c>
      <c r="AC1019" s="51"/>
      <c r="AD1019" s="435"/>
      <c r="AE1019" s="51"/>
      <c r="AF1019" s="51"/>
      <c r="AG1019" s="442"/>
      <c r="AH1019" s="442"/>
      <c r="AI1019" s="443"/>
    </row>
    <row r="1020" spans="1:35" s="32" customFormat="1" ht="27.6">
      <c r="A1020" s="434" t="s">
        <v>942</v>
      </c>
      <c r="B1020" s="457" t="s">
        <v>946</v>
      </c>
      <c r="C1020" s="233">
        <v>44265</v>
      </c>
      <c r="D1020" s="435" t="s">
        <v>1267</v>
      </c>
      <c r="E1020" s="436" t="s">
        <v>1387</v>
      </c>
      <c r="F1020" s="338">
        <v>0.40833333333333338</v>
      </c>
      <c r="G1020" s="338">
        <v>0.41319444444444442</v>
      </c>
      <c r="H1020" s="338" t="s">
        <v>970</v>
      </c>
      <c r="I1020" s="353">
        <v>711</v>
      </c>
      <c r="J1020" s="338" t="str">
        <f>IFERROR(VLOOKUP(I1020,'Chart of accounts'!A:H,2,FALSE),"")</f>
        <v>50102010 01</v>
      </c>
      <c r="K1020" s="338" t="str">
        <f>IFERROR(VLOOKUP(I1020,'Chart of accounts'!A:H,3,FALSE),"")</f>
        <v>PERA - Civilian</v>
      </c>
      <c r="L1020" s="338" t="str">
        <f>IFERROR(VLOOKUP(I1020,'Chart of accounts'!A:H,4,FALSE),"")</f>
        <v>50102010 01 - PERA - Civilian (711)</v>
      </c>
      <c r="M1020" s="361">
        <v>85</v>
      </c>
      <c r="N1020" s="355" t="s">
        <v>765</v>
      </c>
      <c r="O1020" s="355" t="s">
        <v>1384</v>
      </c>
      <c r="P1020" s="355"/>
      <c r="Q1020" s="363">
        <v>4000</v>
      </c>
      <c r="R1020" s="428">
        <f t="shared" si="31"/>
        <v>-4000</v>
      </c>
      <c r="S1020" s="239" t="str">
        <f>VLOOKUP(H1020,'Fund Utilization Report'!$A$4:$U$1800,13,FALSE)</f>
        <v>PS</v>
      </c>
      <c r="T1020" s="239" t="str">
        <f>VLOOKUP(H1020,'Fund Utilization Report'!$A$4:$U$1800,2,FALSE)</f>
        <v>GAA</v>
      </c>
      <c r="U1020" s="239" t="str">
        <f>VLOOKUP(H1020,'Fund Utilization Report'!$A$4:$U$1800,3,FALSE)</f>
        <v>FY2021, RA11518</v>
      </c>
      <c r="V1020" s="239" t="str">
        <f>VLOOKUP(H1020,'Fund Utilization Report'!$A$4:$U$1800,4,FALSE)</f>
        <v>OO3</v>
      </c>
      <c r="W1020" s="239" t="str">
        <f>VLOOKUP(H1020,'Fund Utilization Report'!$A$4:$U$1800,5,FALSE)</f>
        <v>01101101</v>
      </c>
      <c r="X1020" s="239" t="str">
        <f>VLOOKUP(H1020,'Fund Utilization Report'!$A$4:$U$1800,6,FALSE)</f>
        <v>GOP</v>
      </c>
      <c r="Y1020" s="440" t="str">
        <f>VLOOKUP(H1020,'Fund Utilization Report'!$A$4:$U$1800,7,FALSE)</f>
        <v>PS</v>
      </c>
      <c r="Z1020" s="441">
        <f>VLOOKUP(H1020,'Fund Utilization Report'!$A$4:$U$1800,8,FALSE)</f>
        <v>5010000000</v>
      </c>
      <c r="AA1020" s="239" t="str">
        <f>VLOOKUP(H1020,'Fund Utilization Report'!$A$4:$U$1800,14,FALSE)</f>
        <v>330100100002000</v>
      </c>
      <c r="AB1020" s="242" t="str">
        <f>VLOOKUP(H1020,'Fund Utilization Report'!$A$4:$U$1800,15,FALSE)</f>
        <v>Implementation of the MSME Development Plan and other initiatives to promote the growth of Micro, Small and Medium Enterprises</v>
      </c>
      <c r="AC1020" s="51"/>
      <c r="AD1020" s="435"/>
      <c r="AE1020" s="51"/>
      <c r="AF1020" s="51"/>
      <c r="AG1020" s="442"/>
      <c r="AH1020" s="442"/>
      <c r="AI1020" s="443"/>
    </row>
    <row r="1021" spans="1:35" s="32" customFormat="1" ht="27.6">
      <c r="A1021" s="434" t="s">
        <v>942</v>
      </c>
      <c r="B1021" s="457" t="s">
        <v>946</v>
      </c>
      <c r="C1021" s="233">
        <v>44265</v>
      </c>
      <c r="D1021" s="435" t="s">
        <v>1267</v>
      </c>
      <c r="E1021" s="436" t="s">
        <v>1387</v>
      </c>
      <c r="F1021" s="338">
        <v>0.40833333333333338</v>
      </c>
      <c r="G1021" s="338">
        <v>0.41319444444444442</v>
      </c>
      <c r="H1021" s="338" t="s">
        <v>972</v>
      </c>
      <c r="I1021" s="353">
        <v>731</v>
      </c>
      <c r="J1021" s="338" t="str">
        <f>IFERROR(VLOOKUP(I1021,'Chart of accounts'!A:H,2,FALSE),"")</f>
        <v>50103010 00</v>
      </c>
      <c r="K1021" s="338" t="str">
        <f>IFERROR(VLOOKUP(I1021,'Chart of accounts'!A:H,3,FALSE),"")</f>
        <v>Retirement and Life Insurance Premiums</v>
      </c>
      <c r="L1021" s="338" t="str">
        <f>IFERROR(VLOOKUP(I1021,'Chart of accounts'!A:H,4,FALSE),"")</f>
        <v>50103010 00 - Retirement and Life Insurance Premiums (731)</v>
      </c>
      <c r="M1021" s="361">
        <v>85</v>
      </c>
      <c r="N1021" s="355" t="s">
        <v>765</v>
      </c>
      <c r="O1021" s="355" t="s">
        <v>1384</v>
      </c>
      <c r="P1021" s="355"/>
      <c r="Q1021" s="363">
        <v>9362.0400000000009</v>
      </c>
      <c r="R1021" s="428">
        <f t="shared" si="31"/>
        <v>-9362.0400000000009</v>
      </c>
      <c r="S1021" s="239" t="str">
        <f>VLOOKUP(H1021,'Fund Utilization Report'!$A$4:$U$1800,13,FALSE)</f>
        <v>PS</v>
      </c>
      <c r="T1021" s="239" t="str">
        <f>VLOOKUP(H1021,'Fund Utilization Report'!$A$4:$U$1800,2,FALSE)</f>
        <v>GAA</v>
      </c>
      <c r="U1021" s="239" t="str">
        <f>VLOOKUP(H1021,'Fund Utilization Report'!$A$4:$U$1800,3,FALSE)</f>
        <v>FY2021, RA11518</v>
      </c>
      <c r="V1021" s="239" t="str">
        <f>VLOOKUP(H1021,'Fund Utilization Report'!$A$4:$U$1800,4,FALSE)</f>
        <v>OO3</v>
      </c>
      <c r="W1021" s="239" t="str">
        <f>VLOOKUP(H1021,'Fund Utilization Report'!$A$4:$U$1800,5,FALSE)</f>
        <v>01101101</v>
      </c>
      <c r="X1021" s="239" t="str">
        <f>VLOOKUP(H1021,'Fund Utilization Report'!$A$4:$U$1800,6,FALSE)</f>
        <v>GOP</v>
      </c>
      <c r="Y1021" s="440" t="str">
        <f>VLOOKUP(H1021,'Fund Utilization Report'!$A$4:$U$1800,7,FALSE)</f>
        <v>RLIP</v>
      </c>
      <c r="Z1021" s="441" t="str">
        <f>VLOOKUP(H1021,'Fund Utilization Report'!$A$4:$U$1800,8,FALSE)</f>
        <v>50103010-00</v>
      </c>
      <c r="AA1021" s="239" t="str">
        <f>VLOOKUP(H1021,'Fund Utilization Report'!$A$4:$U$1800,14,FALSE)</f>
        <v>330100100002000</v>
      </c>
      <c r="AB1021" s="242" t="str">
        <f>VLOOKUP(H1021,'Fund Utilization Report'!$A$4:$U$1800,15,FALSE)</f>
        <v>Implementation of the MSME Development Plan and other initiatives to promote the growth of Micro, Small and Medium Enterprises</v>
      </c>
      <c r="AC1021" s="51"/>
      <c r="AD1021" s="435"/>
      <c r="AE1021" s="51"/>
      <c r="AF1021" s="51"/>
      <c r="AG1021" s="442"/>
      <c r="AH1021" s="442"/>
      <c r="AI1021" s="443"/>
    </row>
    <row r="1022" spans="1:35" s="32" customFormat="1" ht="27.6">
      <c r="A1022" s="434" t="s">
        <v>942</v>
      </c>
      <c r="B1022" s="457" t="s">
        <v>946</v>
      </c>
      <c r="C1022" s="233">
        <v>44265</v>
      </c>
      <c r="D1022" s="435" t="s">
        <v>1267</v>
      </c>
      <c r="E1022" s="436" t="s">
        <v>1387</v>
      </c>
      <c r="F1022" s="338">
        <v>0.40833333333333338</v>
      </c>
      <c r="G1022" s="338">
        <v>0.41319444444444442</v>
      </c>
      <c r="H1022" s="338" t="s">
        <v>970</v>
      </c>
      <c r="I1022" s="353">
        <v>732</v>
      </c>
      <c r="J1022" s="338" t="str">
        <f>IFERROR(VLOOKUP(I1022,'Chart of accounts'!A:H,2,FALSE),"")</f>
        <v>50103020 01</v>
      </c>
      <c r="K1022" s="338" t="str">
        <f>IFERROR(VLOOKUP(I1022,'Chart of accounts'!A:H,3,FALSE),"")</f>
        <v>Pag-IBIG - Civilian</v>
      </c>
      <c r="L1022" s="338" t="str">
        <f>IFERROR(VLOOKUP(I1022,'Chart of accounts'!A:H,4,FALSE),"")</f>
        <v>50103020 01 - Pag-IBIG - Civilian (732)</v>
      </c>
      <c r="M1022" s="361">
        <v>85</v>
      </c>
      <c r="N1022" s="355" t="s">
        <v>765</v>
      </c>
      <c r="O1022" s="355" t="s">
        <v>1384</v>
      </c>
      <c r="P1022" s="355"/>
      <c r="Q1022" s="363">
        <v>200</v>
      </c>
      <c r="R1022" s="428">
        <f t="shared" si="31"/>
        <v>-200</v>
      </c>
      <c r="S1022" s="239" t="str">
        <f>VLOOKUP(H1022,'Fund Utilization Report'!$A$4:$U$1800,13,FALSE)</f>
        <v>PS</v>
      </c>
      <c r="T1022" s="239" t="str">
        <f>VLOOKUP(H1022,'Fund Utilization Report'!$A$4:$U$1800,2,FALSE)</f>
        <v>GAA</v>
      </c>
      <c r="U1022" s="239" t="str">
        <f>VLOOKUP(H1022,'Fund Utilization Report'!$A$4:$U$1800,3,FALSE)</f>
        <v>FY2021, RA11518</v>
      </c>
      <c r="V1022" s="239" t="str">
        <f>VLOOKUP(H1022,'Fund Utilization Report'!$A$4:$U$1800,4,FALSE)</f>
        <v>OO3</v>
      </c>
      <c r="W1022" s="239" t="str">
        <f>VLOOKUP(H1022,'Fund Utilization Report'!$A$4:$U$1800,5,FALSE)</f>
        <v>01101101</v>
      </c>
      <c r="X1022" s="239" t="str">
        <f>VLOOKUP(H1022,'Fund Utilization Report'!$A$4:$U$1800,6,FALSE)</f>
        <v>GOP</v>
      </c>
      <c r="Y1022" s="440" t="str">
        <f>VLOOKUP(H1022,'Fund Utilization Report'!$A$4:$U$1800,7,FALSE)</f>
        <v>PS</v>
      </c>
      <c r="Z1022" s="441">
        <f>VLOOKUP(H1022,'Fund Utilization Report'!$A$4:$U$1800,8,FALSE)</f>
        <v>5010000000</v>
      </c>
      <c r="AA1022" s="239" t="str">
        <f>VLOOKUP(H1022,'Fund Utilization Report'!$A$4:$U$1800,14,FALSE)</f>
        <v>330100100002000</v>
      </c>
      <c r="AB1022" s="242" t="str">
        <f>VLOOKUP(H1022,'Fund Utilization Report'!$A$4:$U$1800,15,FALSE)</f>
        <v>Implementation of the MSME Development Plan and other initiatives to promote the growth of Micro, Small and Medium Enterprises</v>
      </c>
      <c r="AC1022" s="51"/>
      <c r="AD1022" s="435"/>
      <c r="AE1022" s="51"/>
      <c r="AF1022" s="51"/>
      <c r="AG1022" s="442"/>
      <c r="AH1022" s="442"/>
      <c r="AI1022" s="443"/>
    </row>
    <row r="1023" spans="1:35" s="32" customFormat="1" ht="27.6">
      <c r="A1023" s="434" t="s">
        <v>942</v>
      </c>
      <c r="B1023" s="457" t="s">
        <v>946</v>
      </c>
      <c r="C1023" s="233">
        <v>44265</v>
      </c>
      <c r="D1023" s="435" t="s">
        <v>1267</v>
      </c>
      <c r="E1023" s="436" t="s">
        <v>1387</v>
      </c>
      <c r="F1023" s="338">
        <v>0.40833333333333338</v>
      </c>
      <c r="G1023" s="338">
        <v>0.41319444444444442</v>
      </c>
      <c r="H1023" s="338" t="s">
        <v>970</v>
      </c>
      <c r="I1023" s="353">
        <v>733</v>
      </c>
      <c r="J1023" s="338" t="str">
        <f>IFERROR(VLOOKUP(I1023,'Chart of accounts'!A:H,2,FALSE),"")</f>
        <v>50103030 01</v>
      </c>
      <c r="K1023" s="338" t="str">
        <f>IFERROR(VLOOKUP(I1023,'Chart of accounts'!A:H,3,FALSE),"")</f>
        <v>PhilHealth - Civilian</v>
      </c>
      <c r="L1023" s="338" t="str">
        <f>IFERROR(VLOOKUP(I1023,'Chart of accounts'!A:H,4,FALSE),"")</f>
        <v>50103030 01 - PhilHealth - Civilian (733)</v>
      </c>
      <c r="M1023" s="361">
        <v>85</v>
      </c>
      <c r="N1023" s="355" t="s">
        <v>765</v>
      </c>
      <c r="O1023" s="355" t="s">
        <v>1384</v>
      </c>
      <c r="P1023" s="355"/>
      <c r="Q1023" s="363">
        <v>1170.26</v>
      </c>
      <c r="R1023" s="428">
        <f t="shared" si="31"/>
        <v>-1170.26</v>
      </c>
      <c r="S1023" s="239" t="str">
        <f>VLOOKUP(H1023,'Fund Utilization Report'!$A$4:$U$1800,13,FALSE)</f>
        <v>PS</v>
      </c>
      <c r="T1023" s="239" t="str">
        <f>VLOOKUP(H1023,'Fund Utilization Report'!$A$4:$U$1800,2,FALSE)</f>
        <v>GAA</v>
      </c>
      <c r="U1023" s="239" t="str">
        <f>VLOOKUP(H1023,'Fund Utilization Report'!$A$4:$U$1800,3,FALSE)</f>
        <v>FY2021, RA11518</v>
      </c>
      <c r="V1023" s="239" t="str">
        <f>VLOOKUP(H1023,'Fund Utilization Report'!$A$4:$U$1800,4,FALSE)</f>
        <v>OO3</v>
      </c>
      <c r="W1023" s="239" t="str">
        <f>VLOOKUP(H1023,'Fund Utilization Report'!$A$4:$U$1800,5,FALSE)</f>
        <v>01101101</v>
      </c>
      <c r="X1023" s="239" t="str">
        <f>VLOOKUP(H1023,'Fund Utilization Report'!$A$4:$U$1800,6,FALSE)</f>
        <v>GOP</v>
      </c>
      <c r="Y1023" s="440" t="str">
        <f>VLOOKUP(H1023,'Fund Utilization Report'!$A$4:$U$1800,7,FALSE)</f>
        <v>PS</v>
      </c>
      <c r="Z1023" s="441">
        <f>VLOOKUP(H1023,'Fund Utilization Report'!$A$4:$U$1800,8,FALSE)</f>
        <v>5010000000</v>
      </c>
      <c r="AA1023" s="239" t="str">
        <f>VLOOKUP(H1023,'Fund Utilization Report'!$A$4:$U$1800,14,FALSE)</f>
        <v>330100100002000</v>
      </c>
      <c r="AB1023" s="242" t="str">
        <f>VLOOKUP(H1023,'Fund Utilization Report'!$A$4:$U$1800,15,FALSE)</f>
        <v>Implementation of the MSME Development Plan and other initiatives to promote the growth of Micro, Small and Medium Enterprises</v>
      </c>
      <c r="AC1023" s="51"/>
      <c r="AD1023" s="435"/>
      <c r="AE1023" s="51"/>
      <c r="AF1023" s="51"/>
      <c r="AG1023" s="442"/>
      <c r="AH1023" s="442"/>
      <c r="AI1023" s="443"/>
    </row>
    <row r="1024" spans="1:35" s="32" customFormat="1" ht="27.6">
      <c r="A1024" s="434" t="s">
        <v>942</v>
      </c>
      <c r="B1024" s="457" t="s">
        <v>946</v>
      </c>
      <c r="C1024" s="233">
        <v>44265</v>
      </c>
      <c r="D1024" s="435" t="s">
        <v>1267</v>
      </c>
      <c r="E1024" s="436" t="s">
        <v>1387</v>
      </c>
      <c r="F1024" s="338">
        <v>0.40833333333333338</v>
      </c>
      <c r="G1024" s="338">
        <v>0.41319444444444442</v>
      </c>
      <c r="H1024" s="338" t="s">
        <v>970</v>
      </c>
      <c r="I1024" s="353">
        <v>734</v>
      </c>
      <c r="J1024" s="338" t="str">
        <f>IFERROR(VLOOKUP(I1024,'Chart of accounts'!A:H,2,FALSE),"")</f>
        <v>50103040 01</v>
      </c>
      <c r="K1024" s="338" t="str">
        <f>IFERROR(VLOOKUP(I1024,'Chart of accounts'!A:H,3,FALSE),"")</f>
        <v>ECIP - Civilian</v>
      </c>
      <c r="L1024" s="338" t="str">
        <f>IFERROR(VLOOKUP(I1024,'Chart of accounts'!A:H,4,FALSE),"")</f>
        <v>50103040 01 - ECIP - Civilian (734)</v>
      </c>
      <c r="M1024" s="361">
        <v>85</v>
      </c>
      <c r="N1024" s="355" t="s">
        <v>765</v>
      </c>
      <c r="O1024" s="355" t="s">
        <v>1384</v>
      </c>
      <c r="P1024" s="355"/>
      <c r="Q1024" s="363">
        <v>200</v>
      </c>
      <c r="R1024" s="428">
        <f t="shared" si="31"/>
        <v>-200</v>
      </c>
      <c r="S1024" s="239" t="str">
        <f>VLOOKUP(H1024,'Fund Utilization Report'!$A$4:$U$1800,13,FALSE)</f>
        <v>PS</v>
      </c>
      <c r="T1024" s="239" t="str">
        <f>VLOOKUP(H1024,'Fund Utilization Report'!$A$4:$U$1800,2,FALSE)</f>
        <v>GAA</v>
      </c>
      <c r="U1024" s="239" t="str">
        <f>VLOOKUP(H1024,'Fund Utilization Report'!$A$4:$U$1800,3,FALSE)</f>
        <v>FY2021, RA11518</v>
      </c>
      <c r="V1024" s="239" t="str">
        <f>VLOOKUP(H1024,'Fund Utilization Report'!$A$4:$U$1800,4,FALSE)</f>
        <v>OO3</v>
      </c>
      <c r="W1024" s="239" t="str">
        <f>VLOOKUP(H1024,'Fund Utilization Report'!$A$4:$U$1800,5,FALSE)</f>
        <v>01101101</v>
      </c>
      <c r="X1024" s="239" t="str">
        <f>VLOOKUP(H1024,'Fund Utilization Report'!$A$4:$U$1800,6,FALSE)</f>
        <v>GOP</v>
      </c>
      <c r="Y1024" s="440" t="str">
        <f>VLOOKUP(H1024,'Fund Utilization Report'!$A$4:$U$1800,7,FALSE)</f>
        <v>PS</v>
      </c>
      <c r="Z1024" s="441">
        <f>VLOOKUP(H1024,'Fund Utilization Report'!$A$4:$U$1800,8,FALSE)</f>
        <v>5010000000</v>
      </c>
      <c r="AA1024" s="239" t="str">
        <f>VLOOKUP(H1024,'Fund Utilization Report'!$A$4:$U$1800,14,FALSE)</f>
        <v>330100100002000</v>
      </c>
      <c r="AB1024" s="242" t="str">
        <f>VLOOKUP(H1024,'Fund Utilization Report'!$A$4:$U$1800,15,FALSE)</f>
        <v>Implementation of the MSME Development Plan and other initiatives to promote the growth of Micro, Small and Medium Enterprises</v>
      </c>
      <c r="AC1024" s="51"/>
      <c r="AD1024" s="435"/>
      <c r="AE1024" s="51"/>
      <c r="AF1024" s="51"/>
      <c r="AG1024" s="442"/>
      <c r="AH1024" s="442"/>
      <c r="AI1024" s="443"/>
    </row>
    <row r="1025" spans="1:35" s="32" customFormat="1" ht="27.6">
      <c r="A1025" s="434" t="s">
        <v>942</v>
      </c>
      <c r="B1025" s="457" t="s">
        <v>946</v>
      </c>
      <c r="C1025" s="233">
        <v>44265</v>
      </c>
      <c r="D1025" s="435" t="s">
        <v>1267</v>
      </c>
      <c r="E1025" s="436" t="s">
        <v>1388</v>
      </c>
      <c r="F1025" s="338">
        <v>0.41319444444444442</v>
      </c>
      <c r="G1025" s="338">
        <v>0.42152777777777778</v>
      </c>
      <c r="H1025" s="338" t="s">
        <v>999</v>
      </c>
      <c r="I1025" s="353">
        <v>706</v>
      </c>
      <c r="J1025" s="338" t="str">
        <f>IFERROR(VLOOKUP(I1025,'Chart of accounts'!A:H,2,FALSE),"")</f>
        <v>50101020 00</v>
      </c>
      <c r="K1025" s="338" t="str">
        <f>IFERROR(VLOOKUP(I1025,'Chart of accounts'!A:H,3,FALSE),"")</f>
        <v>Basic Salary - Contractual</v>
      </c>
      <c r="L1025" s="338" t="str">
        <f>IFERROR(VLOOKUP(I1025,'Chart of accounts'!A:H,4,FALSE),"")</f>
        <v>50101020 00 - Basic Salary - Contractual (706)</v>
      </c>
      <c r="M1025" s="361">
        <v>85</v>
      </c>
      <c r="N1025" s="355" t="s">
        <v>872</v>
      </c>
      <c r="O1025" s="355" t="s">
        <v>1390</v>
      </c>
      <c r="P1025" s="355"/>
      <c r="Q1025" s="363">
        <v>33575</v>
      </c>
      <c r="R1025" s="428">
        <f t="shared" ref="R1025:R1030" si="32">P1025-Q1025</f>
        <v>-33575</v>
      </c>
      <c r="S1025" s="239" t="str">
        <f>VLOOKUP(H1025,'Fund Utilization Report'!$A$4:$U$1800,13,FALSE)</f>
        <v>PS</v>
      </c>
      <c r="T1025" s="239" t="str">
        <f>VLOOKUP(H1025,'Fund Utilization Report'!$A$4:$U$1800,2,FALSE)</f>
        <v>SAA15</v>
      </c>
      <c r="U1025" s="239" t="str">
        <f>VLOOKUP(H1025,'Fund Utilization Report'!$A$4:$U$1800,3,FALSE)</f>
        <v>2021-01-0015</v>
      </c>
      <c r="V1025" s="239" t="str">
        <f>VLOOKUP(H1025,'Fund Utilization Report'!$A$4:$U$1800,4,FALSE)</f>
        <v>CARP</v>
      </c>
      <c r="W1025" s="239" t="str">
        <f>VLOOKUP(H1025,'Fund Utilization Report'!$A$4:$U$1800,5,FALSE)</f>
        <v>01101101</v>
      </c>
      <c r="X1025" s="239" t="str">
        <f>VLOOKUP(H1025,'Fund Utilization Report'!$A$4:$U$1800,6,FALSE)</f>
        <v>GOP</v>
      </c>
      <c r="Y1025" s="440">
        <f>VLOOKUP(H1025,'Fund Utilization Report'!$A$4:$U$1800,7,FALSE)</f>
        <v>706</v>
      </c>
      <c r="Z1025" s="441" t="str">
        <f>VLOOKUP(H1025,'Fund Utilization Report'!$A$4:$U$1800,8,FALSE)</f>
        <v>50101020 00</v>
      </c>
      <c r="AA1025" s="239" t="str">
        <f>VLOOKUP(H1025,'Fund Utilization Report'!$A$4:$U$1800,14,FALSE)</f>
        <v>330100100003000</v>
      </c>
      <c r="AB1025" s="242" t="str">
        <f>VLOOKUP(H1025,'Fund Utilization Report'!$A$4:$U$1800,15,FALSE)</f>
        <v>MSME Development Program : Program Beneficiaries Development Component of the Comprehensive Agrarian Reform Program</v>
      </c>
      <c r="AC1025" s="51"/>
      <c r="AD1025" s="435"/>
      <c r="AE1025" s="51"/>
      <c r="AF1025" s="51"/>
      <c r="AG1025" s="442"/>
      <c r="AH1025" s="442"/>
      <c r="AI1025" s="443"/>
    </row>
    <row r="1026" spans="1:35" s="32" customFormat="1" ht="27.6">
      <c r="A1026" s="434" t="s">
        <v>942</v>
      </c>
      <c r="B1026" s="457" t="s">
        <v>946</v>
      </c>
      <c r="C1026" s="233">
        <v>44265</v>
      </c>
      <c r="D1026" s="435" t="s">
        <v>1267</v>
      </c>
      <c r="E1026" s="436" t="s">
        <v>1388</v>
      </c>
      <c r="F1026" s="338">
        <v>0.41319444444444442</v>
      </c>
      <c r="G1026" s="338">
        <v>0.42152777777777778</v>
      </c>
      <c r="H1026" s="338" t="s">
        <v>999</v>
      </c>
      <c r="I1026" s="353">
        <v>711</v>
      </c>
      <c r="J1026" s="338" t="str">
        <f>IFERROR(VLOOKUP(I1026,'Chart of accounts'!A:H,2,FALSE),"")</f>
        <v>50102010 01</v>
      </c>
      <c r="K1026" s="338" t="str">
        <f>IFERROR(VLOOKUP(I1026,'Chart of accounts'!A:H,3,FALSE),"")</f>
        <v>PERA - Civilian</v>
      </c>
      <c r="L1026" s="338" t="str">
        <f>IFERROR(VLOOKUP(I1026,'Chart of accounts'!A:H,4,FALSE),"")</f>
        <v>50102010 01 - PERA - Civilian (711)</v>
      </c>
      <c r="M1026" s="361">
        <v>85</v>
      </c>
      <c r="N1026" s="355" t="s">
        <v>872</v>
      </c>
      <c r="O1026" s="355" t="s">
        <v>1390</v>
      </c>
      <c r="P1026" s="355"/>
      <c r="Q1026" s="363">
        <v>2000</v>
      </c>
      <c r="R1026" s="428">
        <f t="shared" si="32"/>
        <v>-2000</v>
      </c>
      <c r="S1026" s="239" t="str">
        <f>VLOOKUP(H1026,'Fund Utilization Report'!$A$4:$U$1800,13,FALSE)</f>
        <v>PS</v>
      </c>
      <c r="T1026" s="239" t="str">
        <f>VLOOKUP(H1026,'Fund Utilization Report'!$A$4:$U$1800,2,FALSE)</f>
        <v>SAA15</v>
      </c>
      <c r="U1026" s="239" t="str">
        <f>VLOOKUP(H1026,'Fund Utilization Report'!$A$4:$U$1800,3,FALSE)</f>
        <v>2021-01-0015</v>
      </c>
      <c r="V1026" s="239" t="str">
        <f>VLOOKUP(H1026,'Fund Utilization Report'!$A$4:$U$1800,4,FALSE)</f>
        <v>CARP</v>
      </c>
      <c r="W1026" s="239" t="str">
        <f>VLOOKUP(H1026,'Fund Utilization Report'!$A$4:$U$1800,5,FALSE)</f>
        <v>01101101</v>
      </c>
      <c r="X1026" s="239" t="str">
        <f>VLOOKUP(H1026,'Fund Utilization Report'!$A$4:$U$1800,6,FALSE)</f>
        <v>GOP</v>
      </c>
      <c r="Y1026" s="440">
        <f>VLOOKUP(H1026,'Fund Utilization Report'!$A$4:$U$1800,7,FALSE)</f>
        <v>706</v>
      </c>
      <c r="Z1026" s="441" t="str">
        <f>VLOOKUP(H1026,'Fund Utilization Report'!$A$4:$U$1800,8,FALSE)</f>
        <v>50101020 00</v>
      </c>
      <c r="AA1026" s="239" t="str">
        <f>VLOOKUP(H1026,'Fund Utilization Report'!$A$4:$U$1800,14,FALSE)</f>
        <v>330100100003000</v>
      </c>
      <c r="AB1026" s="242" t="str">
        <f>VLOOKUP(H1026,'Fund Utilization Report'!$A$4:$U$1800,15,FALSE)</f>
        <v>MSME Development Program : Program Beneficiaries Development Component of the Comprehensive Agrarian Reform Program</v>
      </c>
      <c r="AC1026" s="51"/>
      <c r="AD1026" s="435"/>
      <c r="AE1026" s="51"/>
      <c r="AF1026" s="51"/>
      <c r="AG1026" s="442"/>
      <c r="AH1026" s="442"/>
      <c r="AI1026" s="443"/>
    </row>
    <row r="1027" spans="1:35" s="32" customFormat="1" ht="27.6">
      <c r="A1027" s="434" t="s">
        <v>942</v>
      </c>
      <c r="B1027" s="457" t="s">
        <v>946</v>
      </c>
      <c r="C1027" s="233">
        <v>44265</v>
      </c>
      <c r="D1027" s="435" t="s">
        <v>1267</v>
      </c>
      <c r="E1027" s="436" t="s">
        <v>1388</v>
      </c>
      <c r="F1027" s="338">
        <v>0.41319444444444442</v>
      </c>
      <c r="G1027" s="338">
        <v>0.42152777777777778</v>
      </c>
      <c r="H1027" s="338" t="s">
        <v>999</v>
      </c>
      <c r="I1027" s="353">
        <v>731</v>
      </c>
      <c r="J1027" s="338" t="str">
        <f>IFERROR(VLOOKUP(I1027,'Chart of accounts'!A:H,2,FALSE),"")</f>
        <v>50103010 00</v>
      </c>
      <c r="K1027" s="338" t="str">
        <f>IFERROR(VLOOKUP(I1027,'Chart of accounts'!A:H,3,FALSE),"")</f>
        <v>Retirement and Life Insurance Premiums</v>
      </c>
      <c r="L1027" s="338" t="str">
        <f>IFERROR(VLOOKUP(I1027,'Chart of accounts'!A:H,4,FALSE),"")</f>
        <v>50103010 00 - Retirement and Life Insurance Premiums (731)</v>
      </c>
      <c r="M1027" s="361">
        <v>85</v>
      </c>
      <c r="N1027" s="355" t="s">
        <v>872</v>
      </c>
      <c r="O1027" s="355" t="s">
        <v>1390</v>
      </c>
      <c r="P1027" s="355"/>
      <c r="Q1027" s="363">
        <v>4029</v>
      </c>
      <c r="R1027" s="428">
        <f t="shared" si="32"/>
        <v>-4029</v>
      </c>
      <c r="S1027" s="239" t="str">
        <f>VLOOKUP(H1027,'Fund Utilization Report'!$A$4:$U$1800,13,FALSE)</f>
        <v>PS</v>
      </c>
      <c r="T1027" s="239" t="str">
        <f>VLOOKUP(H1027,'Fund Utilization Report'!$A$4:$U$1800,2,FALSE)</f>
        <v>SAA15</v>
      </c>
      <c r="U1027" s="239" t="str">
        <f>VLOOKUP(H1027,'Fund Utilization Report'!$A$4:$U$1800,3,FALSE)</f>
        <v>2021-01-0015</v>
      </c>
      <c r="V1027" s="239" t="str">
        <f>VLOOKUP(H1027,'Fund Utilization Report'!$A$4:$U$1800,4,FALSE)</f>
        <v>CARP</v>
      </c>
      <c r="W1027" s="239" t="str">
        <f>VLOOKUP(H1027,'Fund Utilization Report'!$A$4:$U$1800,5,FALSE)</f>
        <v>01101101</v>
      </c>
      <c r="X1027" s="239" t="str">
        <f>VLOOKUP(H1027,'Fund Utilization Report'!$A$4:$U$1800,6,FALSE)</f>
        <v>GOP</v>
      </c>
      <c r="Y1027" s="440">
        <f>VLOOKUP(H1027,'Fund Utilization Report'!$A$4:$U$1800,7,FALSE)</f>
        <v>706</v>
      </c>
      <c r="Z1027" s="441" t="str">
        <f>VLOOKUP(H1027,'Fund Utilization Report'!$A$4:$U$1800,8,FALSE)</f>
        <v>50101020 00</v>
      </c>
      <c r="AA1027" s="239" t="str">
        <f>VLOOKUP(H1027,'Fund Utilization Report'!$A$4:$U$1800,14,FALSE)</f>
        <v>330100100003000</v>
      </c>
      <c r="AB1027" s="242" t="str">
        <f>VLOOKUP(H1027,'Fund Utilization Report'!$A$4:$U$1800,15,FALSE)</f>
        <v>MSME Development Program : Program Beneficiaries Development Component of the Comprehensive Agrarian Reform Program</v>
      </c>
      <c r="AC1027" s="51"/>
      <c r="AD1027" s="435"/>
      <c r="AE1027" s="51"/>
      <c r="AF1027" s="51"/>
      <c r="AG1027" s="442"/>
      <c r="AH1027" s="442"/>
      <c r="AI1027" s="443"/>
    </row>
    <row r="1028" spans="1:35" s="32" customFormat="1" ht="27.6">
      <c r="A1028" s="434" t="s">
        <v>942</v>
      </c>
      <c r="B1028" s="457" t="s">
        <v>946</v>
      </c>
      <c r="C1028" s="233">
        <v>44265</v>
      </c>
      <c r="D1028" s="435" t="s">
        <v>1267</v>
      </c>
      <c r="E1028" s="436" t="s">
        <v>1388</v>
      </c>
      <c r="F1028" s="338">
        <v>0.41319444444444442</v>
      </c>
      <c r="G1028" s="338">
        <v>0.42152777777777778</v>
      </c>
      <c r="H1028" s="338" t="s">
        <v>999</v>
      </c>
      <c r="I1028" s="353">
        <v>732</v>
      </c>
      <c r="J1028" s="338" t="str">
        <f>IFERROR(VLOOKUP(I1028,'Chart of accounts'!A:H,2,FALSE),"")</f>
        <v>50103020 01</v>
      </c>
      <c r="K1028" s="338" t="str">
        <f>IFERROR(VLOOKUP(I1028,'Chart of accounts'!A:H,3,FALSE),"")</f>
        <v>Pag-IBIG - Civilian</v>
      </c>
      <c r="L1028" s="338" t="str">
        <f>IFERROR(VLOOKUP(I1028,'Chart of accounts'!A:H,4,FALSE),"")</f>
        <v>50103020 01 - Pag-IBIG - Civilian (732)</v>
      </c>
      <c r="M1028" s="361">
        <v>85</v>
      </c>
      <c r="N1028" s="355" t="s">
        <v>872</v>
      </c>
      <c r="O1028" s="355" t="s">
        <v>1390</v>
      </c>
      <c r="P1028" s="355"/>
      <c r="Q1028" s="363">
        <v>100</v>
      </c>
      <c r="R1028" s="428">
        <f t="shared" si="32"/>
        <v>-100</v>
      </c>
      <c r="S1028" s="239" t="str">
        <f>VLOOKUP(H1028,'Fund Utilization Report'!$A$4:$U$1800,13,FALSE)</f>
        <v>PS</v>
      </c>
      <c r="T1028" s="239" t="str">
        <f>VLOOKUP(H1028,'Fund Utilization Report'!$A$4:$U$1800,2,FALSE)</f>
        <v>SAA15</v>
      </c>
      <c r="U1028" s="239" t="str">
        <f>VLOOKUP(H1028,'Fund Utilization Report'!$A$4:$U$1800,3,FALSE)</f>
        <v>2021-01-0015</v>
      </c>
      <c r="V1028" s="239" t="str">
        <f>VLOOKUP(H1028,'Fund Utilization Report'!$A$4:$U$1800,4,FALSE)</f>
        <v>CARP</v>
      </c>
      <c r="W1028" s="239" t="str">
        <f>VLOOKUP(H1028,'Fund Utilization Report'!$A$4:$U$1800,5,FALSE)</f>
        <v>01101101</v>
      </c>
      <c r="X1028" s="239" t="str">
        <f>VLOOKUP(H1028,'Fund Utilization Report'!$A$4:$U$1800,6,FALSE)</f>
        <v>GOP</v>
      </c>
      <c r="Y1028" s="440">
        <f>VLOOKUP(H1028,'Fund Utilization Report'!$A$4:$U$1800,7,FALSE)</f>
        <v>706</v>
      </c>
      <c r="Z1028" s="441" t="str">
        <f>VLOOKUP(H1028,'Fund Utilization Report'!$A$4:$U$1800,8,FALSE)</f>
        <v>50101020 00</v>
      </c>
      <c r="AA1028" s="239" t="str">
        <f>VLOOKUP(H1028,'Fund Utilization Report'!$A$4:$U$1800,14,FALSE)</f>
        <v>330100100003000</v>
      </c>
      <c r="AB1028" s="242" t="str">
        <f>VLOOKUP(H1028,'Fund Utilization Report'!$A$4:$U$1800,15,FALSE)</f>
        <v>MSME Development Program : Program Beneficiaries Development Component of the Comprehensive Agrarian Reform Program</v>
      </c>
      <c r="AC1028" s="51"/>
      <c r="AD1028" s="435"/>
      <c r="AE1028" s="51"/>
      <c r="AF1028" s="51"/>
      <c r="AG1028" s="442"/>
      <c r="AH1028" s="442"/>
      <c r="AI1028" s="443"/>
    </row>
    <row r="1029" spans="1:35" s="32" customFormat="1" ht="27.6">
      <c r="A1029" s="434" t="s">
        <v>942</v>
      </c>
      <c r="B1029" s="457" t="s">
        <v>946</v>
      </c>
      <c r="C1029" s="233">
        <v>44265</v>
      </c>
      <c r="D1029" s="435" t="s">
        <v>1267</v>
      </c>
      <c r="E1029" s="436" t="s">
        <v>1388</v>
      </c>
      <c r="F1029" s="338">
        <v>0.41319444444444442</v>
      </c>
      <c r="G1029" s="338">
        <v>0.42152777777777778</v>
      </c>
      <c r="H1029" s="338" t="s">
        <v>999</v>
      </c>
      <c r="I1029" s="353">
        <v>733</v>
      </c>
      <c r="J1029" s="338" t="str">
        <f>IFERROR(VLOOKUP(I1029,'Chart of accounts'!A:H,2,FALSE),"")</f>
        <v>50103030 01</v>
      </c>
      <c r="K1029" s="338" t="str">
        <f>IFERROR(VLOOKUP(I1029,'Chart of accounts'!A:H,3,FALSE),"")</f>
        <v>PhilHealth - Civilian</v>
      </c>
      <c r="L1029" s="338" t="str">
        <f>IFERROR(VLOOKUP(I1029,'Chart of accounts'!A:H,4,FALSE),"")</f>
        <v>50103030 01 - PhilHealth - Civilian (733)</v>
      </c>
      <c r="M1029" s="361">
        <v>85</v>
      </c>
      <c r="N1029" s="355" t="s">
        <v>872</v>
      </c>
      <c r="O1029" s="355" t="s">
        <v>1390</v>
      </c>
      <c r="P1029" s="355"/>
      <c r="Q1029" s="363">
        <v>503.63</v>
      </c>
      <c r="R1029" s="428">
        <f t="shared" si="32"/>
        <v>-503.63</v>
      </c>
      <c r="S1029" s="239" t="str">
        <f>VLOOKUP(H1029,'Fund Utilization Report'!$A$4:$U$1800,13,FALSE)</f>
        <v>PS</v>
      </c>
      <c r="T1029" s="239" t="str">
        <f>VLOOKUP(H1029,'Fund Utilization Report'!$A$4:$U$1800,2,FALSE)</f>
        <v>SAA15</v>
      </c>
      <c r="U1029" s="239" t="str">
        <f>VLOOKUP(H1029,'Fund Utilization Report'!$A$4:$U$1800,3,FALSE)</f>
        <v>2021-01-0015</v>
      </c>
      <c r="V1029" s="239" t="str">
        <f>VLOOKUP(H1029,'Fund Utilization Report'!$A$4:$U$1800,4,FALSE)</f>
        <v>CARP</v>
      </c>
      <c r="W1029" s="239" t="str">
        <f>VLOOKUP(H1029,'Fund Utilization Report'!$A$4:$U$1800,5,FALSE)</f>
        <v>01101101</v>
      </c>
      <c r="X1029" s="239" t="str">
        <f>VLOOKUP(H1029,'Fund Utilization Report'!$A$4:$U$1800,6,FALSE)</f>
        <v>GOP</v>
      </c>
      <c r="Y1029" s="440">
        <f>VLOOKUP(H1029,'Fund Utilization Report'!$A$4:$U$1800,7,FALSE)</f>
        <v>706</v>
      </c>
      <c r="Z1029" s="441" t="str">
        <f>VLOOKUP(H1029,'Fund Utilization Report'!$A$4:$U$1800,8,FALSE)</f>
        <v>50101020 00</v>
      </c>
      <c r="AA1029" s="239" t="str">
        <f>VLOOKUP(H1029,'Fund Utilization Report'!$A$4:$U$1800,14,FALSE)</f>
        <v>330100100003000</v>
      </c>
      <c r="AB1029" s="242" t="str">
        <f>VLOOKUP(H1029,'Fund Utilization Report'!$A$4:$U$1800,15,FALSE)</f>
        <v>MSME Development Program : Program Beneficiaries Development Component of the Comprehensive Agrarian Reform Program</v>
      </c>
      <c r="AC1029" s="51"/>
      <c r="AD1029" s="435"/>
      <c r="AE1029" s="51"/>
      <c r="AF1029" s="51"/>
      <c r="AG1029" s="442"/>
      <c r="AH1029" s="442"/>
      <c r="AI1029" s="443"/>
    </row>
    <row r="1030" spans="1:35" s="32" customFormat="1" ht="27.6">
      <c r="A1030" s="434" t="s">
        <v>942</v>
      </c>
      <c r="B1030" s="457" t="s">
        <v>946</v>
      </c>
      <c r="C1030" s="233">
        <v>44265</v>
      </c>
      <c r="D1030" s="435" t="s">
        <v>1267</v>
      </c>
      <c r="E1030" s="436" t="s">
        <v>1388</v>
      </c>
      <c r="F1030" s="338">
        <v>0.41319444444444442</v>
      </c>
      <c r="G1030" s="338">
        <v>0.42152777777777778</v>
      </c>
      <c r="H1030" s="338" t="s">
        <v>999</v>
      </c>
      <c r="I1030" s="353">
        <v>734</v>
      </c>
      <c r="J1030" s="338" t="str">
        <f>IFERROR(VLOOKUP(I1030,'Chart of accounts'!A:H,2,FALSE),"")</f>
        <v>50103040 01</v>
      </c>
      <c r="K1030" s="338" t="str">
        <f>IFERROR(VLOOKUP(I1030,'Chart of accounts'!A:H,3,FALSE),"")</f>
        <v>ECIP - Civilian</v>
      </c>
      <c r="L1030" s="338" t="str">
        <f>IFERROR(VLOOKUP(I1030,'Chart of accounts'!A:H,4,FALSE),"")</f>
        <v>50103040 01 - ECIP - Civilian (734)</v>
      </c>
      <c r="M1030" s="361">
        <v>85</v>
      </c>
      <c r="N1030" s="355" t="s">
        <v>872</v>
      </c>
      <c r="O1030" s="355" t="s">
        <v>1390</v>
      </c>
      <c r="P1030" s="355"/>
      <c r="Q1030" s="363">
        <v>100</v>
      </c>
      <c r="R1030" s="428">
        <f t="shared" si="32"/>
        <v>-100</v>
      </c>
      <c r="S1030" s="239" t="str">
        <f>VLOOKUP(H1030,'Fund Utilization Report'!$A$4:$U$1800,13,FALSE)</f>
        <v>PS</v>
      </c>
      <c r="T1030" s="239" t="str">
        <f>VLOOKUP(H1030,'Fund Utilization Report'!$A$4:$U$1800,2,FALSE)</f>
        <v>SAA15</v>
      </c>
      <c r="U1030" s="239" t="str">
        <f>VLOOKUP(H1030,'Fund Utilization Report'!$A$4:$U$1800,3,FALSE)</f>
        <v>2021-01-0015</v>
      </c>
      <c r="V1030" s="239" t="str">
        <f>VLOOKUP(H1030,'Fund Utilization Report'!$A$4:$U$1800,4,FALSE)</f>
        <v>CARP</v>
      </c>
      <c r="W1030" s="239" t="str">
        <f>VLOOKUP(H1030,'Fund Utilization Report'!$A$4:$U$1800,5,FALSE)</f>
        <v>01101101</v>
      </c>
      <c r="X1030" s="239" t="str">
        <f>VLOOKUP(H1030,'Fund Utilization Report'!$A$4:$U$1800,6,FALSE)</f>
        <v>GOP</v>
      </c>
      <c r="Y1030" s="440">
        <f>VLOOKUP(H1030,'Fund Utilization Report'!$A$4:$U$1800,7,FALSE)</f>
        <v>706</v>
      </c>
      <c r="Z1030" s="441" t="str">
        <f>VLOOKUP(H1030,'Fund Utilization Report'!$A$4:$U$1800,8,FALSE)</f>
        <v>50101020 00</v>
      </c>
      <c r="AA1030" s="239" t="str">
        <f>VLOOKUP(H1030,'Fund Utilization Report'!$A$4:$U$1800,14,FALSE)</f>
        <v>330100100003000</v>
      </c>
      <c r="AB1030" s="242" t="str">
        <f>VLOOKUP(H1030,'Fund Utilization Report'!$A$4:$U$1800,15,FALSE)</f>
        <v>MSME Development Program : Program Beneficiaries Development Component of the Comprehensive Agrarian Reform Program</v>
      </c>
      <c r="AC1030" s="51"/>
      <c r="AD1030" s="435"/>
      <c r="AE1030" s="51"/>
      <c r="AF1030" s="51"/>
      <c r="AG1030" s="442"/>
      <c r="AH1030" s="442"/>
      <c r="AI1030" s="443"/>
    </row>
    <row r="1031" spans="1:35" s="32" customFormat="1" ht="27.6">
      <c r="A1031" s="434" t="s">
        <v>942</v>
      </c>
      <c r="B1031" s="457" t="s">
        <v>946</v>
      </c>
      <c r="C1031" s="233">
        <v>44265</v>
      </c>
      <c r="D1031" s="435" t="s">
        <v>1267</v>
      </c>
      <c r="E1031" s="436" t="s">
        <v>1389</v>
      </c>
      <c r="F1031" s="338">
        <v>0.42152777777777778</v>
      </c>
      <c r="G1031" s="338">
        <v>0.42291666666666666</v>
      </c>
      <c r="H1031" s="338" t="s">
        <v>999</v>
      </c>
      <c r="I1031" s="353">
        <v>706</v>
      </c>
      <c r="J1031" s="338" t="str">
        <f>IFERROR(VLOOKUP(I1031,'Chart of accounts'!A:H,2,FALSE),"")</f>
        <v>50101020 00</v>
      </c>
      <c r="K1031" s="338" t="str">
        <f>IFERROR(VLOOKUP(I1031,'Chart of accounts'!A:H,3,FALSE),"")</f>
        <v>Basic Salary - Contractual</v>
      </c>
      <c r="L1031" s="338" t="str">
        <f>IFERROR(VLOOKUP(I1031,'Chart of accounts'!A:H,4,FALSE),"")</f>
        <v>50101020 00 - Basic Salary - Contractual (706)</v>
      </c>
      <c r="M1031" s="361">
        <v>1</v>
      </c>
      <c r="N1031" s="355" t="s">
        <v>863</v>
      </c>
      <c r="O1031" s="355" t="s">
        <v>1390</v>
      </c>
      <c r="P1031" s="355"/>
      <c r="Q1031" s="363">
        <v>43681</v>
      </c>
      <c r="R1031" s="428">
        <f t="shared" ref="R1031:R1051" si="33">P1031-Q1031</f>
        <v>-43681</v>
      </c>
      <c r="S1031" s="239" t="str">
        <f>VLOOKUP(H1031,'Fund Utilization Report'!$A$4:$U$1800,13,FALSE)</f>
        <v>PS</v>
      </c>
      <c r="T1031" s="239" t="str">
        <f>VLOOKUP(H1031,'Fund Utilization Report'!$A$4:$U$1800,2,FALSE)</f>
        <v>SAA15</v>
      </c>
      <c r="U1031" s="239" t="str">
        <f>VLOOKUP(H1031,'Fund Utilization Report'!$A$4:$U$1800,3,FALSE)</f>
        <v>2021-01-0015</v>
      </c>
      <c r="V1031" s="239" t="str">
        <f>VLOOKUP(H1031,'Fund Utilization Report'!$A$4:$U$1800,4,FALSE)</f>
        <v>CARP</v>
      </c>
      <c r="W1031" s="239" t="str">
        <f>VLOOKUP(H1031,'Fund Utilization Report'!$A$4:$U$1800,5,FALSE)</f>
        <v>01101101</v>
      </c>
      <c r="X1031" s="239" t="str">
        <f>VLOOKUP(H1031,'Fund Utilization Report'!$A$4:$U$1800,6,FALSE)</f>
        <v>GOP</v>
      </c>
      <c r="Y1031" s="440">
        <f>VLOOKUP(H1031,'Fund Utilization Report'!$A$4:$U$1800,7,FALSE)</f>
        <v>706</v>
      </c>
      <c r="Z1031" s="441" t="str">
        <f>VLOOKUP(H1031,'Fund Utilization Report'!$A$4:$U$1800,8,FALSE)</f>
        <v>50101020 00</v>
      </c>
      <c r="AA1031" s="239" t="str">
        <f>VLOOKUP(H1031,'Fund Utilization Report'!$A$4:$U$1800,14,FALSE)</f>
        <v>330100100003000</v>
      </c>
      <c r="AB1031" s="242" t="str">
        <f>VLOOKUP(H1031,'Fund Utilization Report'!$A$4:$U$1800,15,FALSE)</f>
        <v>MSME Development Program : Program Beneficiaries Development Component of the Comprehensive Agrarian Reform Program</v>
      </c>
      <c r="AC1031" s="51"/>
      <c r="AD1031" s="435"/>
      <c r="AE1031" s="51"/>
      <c r="AF1031" s="51"/>
      <c r="AG1031" s="442"/>
      <c r="AH1031" s="442"/>
      <c r="AI1031" s="443"/>
    </row>
    <row r="1032" spans="1:35" s="32" customFormat="1" ht="27.6">
      <c r="A1032" s="434" t="s">
        <v>942</v>
      </c>
      <c r="B1032" s="457" t="s">
        <v>946</v>
      </c>
      <c r="C1032" s="233">
        <v>44265</v>
      </c>
      <c r="D1032" s="435" t="s">
        <v>1267</v>
      </c>
      <c r="E1032" s="436" t="s">
        <v>1389</v>
      </c>
      <c r="F1032" s="338">
        <v>0.42152777777777778</v>
      </c>
      <c r="G1032" s="338">
        <v>0.42291666666666666</v>
      </c>
      <c r="H1032" s="338" t="s">
        <v>999</v>
      </c>
      <c r="I1032" s="353">
        <v>711</v>
      </c>
      <c r="J1032" s="338" t="str">
        <f>IFERROR(VLOOKUP(I1032,'Chart of accounts'!A:H,2,FALSE),"")</f>
        <v>50102010 01</v>
      </c>
      <c r="K1032" s="338" t="str">
        <f>IFERROR(VLOOKUP(I1032,'Chart of accounts'!A:H,3,FALSE),"")</f>
        <v>PERA - Civilian</v>
      </c>
      <c r="L1032" s="338" t="str">
        <f>IFERROR(VLOOKUP(I1032,'Chart of accounts'!A:H,4,FALSE),"")</f>
        <v>50102010 01 - PERA - Civilian (711)</v>
      </c>
      <c r="M1032" s="361">
        <v>1</v>
      </c>
      <c r="N1032" s="355" t="s">
        <v>863</v>
      </c>
      <c r="O1032" s="355" t="s">
        <v>1390</v>
      </c>
      <c r="P1032" s="355"/>
      <c r="Q1032" s="363">
        <v>2000</v>
      </c>
      <c r="R1032" s="428">
        <f t="shared" si="33"/>
        <v>-2000</v>
      </c>
      <c r="S1032" s="239" t="str">
        <f>VLOOKUP(H1032,'Fund Utilization Report'!$A$4:$U$1800,13,FALSE)</f>
        <v>PS</v>
      </c>
      <c r="T1032" s="239" t="str">
        <f>VLOOKUP(H1032,'Fund Utilization Report'!$A$4:$U$1800,2,FALSE)</f>
        <v>SAA15</v>
      </c>
      <c r="U1032" s="239" t="str">
        <f>VLOOKUP(H1032,'Fund Utilization Report'!$A$4:$U$1800,3,FALSE)</f>
        <v>2021-01-0015</v>
      </c>
      <c r="V1032" s="239" t="str">
        <f>VLOOKUP(H1032,'Fund Utilization Report'!$A$4:$U$1800,4,FALSE)</f>
        <v>CARP</v>
      </c>
      <c r="W1032" s="239" t="str">
        <f>VLOOKUP(H1032,'Fund Utilization Report'!$A$4:$U$1800,5,FALSE)</f>
        <v>01101101</v>
      </c>
      <c r="X1032" s="239" t="str">
        <f>VLOOKUP(H1032,'Fund Utilization Report'!$A$4:$U$1800,6,FALSE)</f>
        <v>GOP</v>
      </c>
      <c r="Y1032" s="440">
        <f>VLOOKUP(H1032,'Fund Utilization Report'!$A$4:$U$1800,7,FALSE)</f>
        <v>706</v>
      </c>
      <c r="Z1032" s="441" t="str">
        <f>VLOOKUP(H1032,'Fund Utilization Report'!$A$4:$U$1800,8,FALSE)</f>
        <v>50101020 00</v>
      </c>
      <c r="AA1032" s="239" t="str">
        <f>VLOOKUP(H1032,'Fund Utilization Report'!$A$4:$U$1800,14,FALSE)</f>
        <v>330100100003000</v>
      </c>
      <c r="AB1032" s="242" t="str">
        <f>VLOOKUP(H1032,'Fund Utilization Report'!$A$4:$U$1800,15,FALSE)</f>
        <v>MSME Development Program : Program Beneficiaries Development Component of the Comprehensive Agrarian Reform Program</v>
      </c>
      <c r="AC1032" s="51"/>
      <c r="AD1032" s="435"/>
      <c r="AE1032" s="51"/>
      <c r="AF1032" s="51"/>
      <c r="AG1032" s="442"/>
      <c r="AH1032" s="442"/>
      <c r="AI1032" s="443"/>
    </row>
    <row r="1033" spans="1:35" s="32" customFormat="1" ht="27.6">
      <c r="A1033" s="434" t="s">
        <v>942</v>
      </c>
      <c r="B1033" s="457" t="s">
        <v>946</v>
      </c>
      <c r="C1033" s="233">
        <v>44265</v>
      </c>
      <c r="D1033" s="435" t="s">
        <v>1267</v>
      </c>
      <c r="E1033" s="436" t="s">
        <v>1389</v>
      </c>
      <c r="F1033" s="338">
        <v>0.42152777777777778</v>
      </c>
      <c r="G1033" s="338">
        <v>0.42291666666666666</v>
      </c>
      <c r="H1033" s="338" t="s">
        <v>999</v>
      </c>
      <c r="I1033" s="353">
        <v>731</v>
      </c>
      <c r="J1033" s="338" t="str">
        <f>IFERROR(VLOOKUP(I1033,'Chart of accounts'!A:H,2,FALSE),"")</f>
        <v>50103010 00</v>
      </c>
      <c r="K1033" s="338" t="str">
        <f>IFERROR(VLOOKUP(I1033,'Chart of accounts'!A:H,3,FALSE),"")</f>
        <v>Retirement and Life Insurance Premiums</v>
      </c>
      <c r="L1033" s="338" t="str">
        <f>IFERROR(VLOOKUP(I1033,'Chart of accounts'!A:H,4,FALSE),"")</f>
        <v>50103010 00 - Retirement and Life Insurance Premiums (731)</v>
      </c>
      <c r="M1033" s="361">
        <v>1</v>
      </c>
      <c r="N1033" s="355" t="s">
        <v>863</v>
      </c>
      <c r="O1033" s="355" t="s">
        <v>1390</v>
      </c>
      <c r="P1033" s="355"/>
      <c r="Q1033" s="363">
        <v>5241.72</v>
      </c>
      <c r="R1033" s="428">
        <f t="shared" si="33"/>
        <v>-5241.72</v>
      </c>
      <c r="S1033" s="239" t="str">
        <f>VLOOKUP(H1033,'Fund Utilization Report'!$A$4:$U$1800,13,FALSE)</f>
        <v>PS</v>
      </c>
      <c r="T1033" s="239" t="str">
        <f>VLOOKUP(H1033,'Fund Utilization Report'!$A$4:$U$1800,2,FALSE)</f>
        <v>SAA15</v>
      </c>
      <c r="U1033" s="239" t="str">
        <f>VLOOKUP(H1033,'Fund Utilization Report'!$A$4:$U$1800,3,FALSE)</f>
        <v>2021-01-0015</v>
      </c>
      <c r="V1033" s="239" t="str">
        <f>VLOOKUP(H1033,'Fund Utilization Report'!$A$4:$U$1800,4,FALSE)</f>
        <v>CARP</v>
      </c>
      <c r="W1033" s="239" t="str">
        <f>VLOOKUP(H1033,'Fund Utilization Report'!$A$4:$U$1800,5,FALSE)</f>
        <v>01101101</v>
      </c>
      <c r="X1033" s="239" t="str">
        <f>VLOOKUP(H1033,'Fund Utilization Report'!$A$4:$U$1800,6,FALSE)</f>
        <v>GOP</v>
      </c>
      <c r="Y1033" s="440">
        <f>VLOOKUP(H1033,'Fund Utilization Report'!$A$4:$U$1800,7,FALSE)</f>
        <v>706</v>
      </c>
      <c r="Z1033" s="441" t="str">
        <f>VLOOKUP(H1033,'Fund Utilization Report'!$A$4:$U$1800,8,FALSE)</f>
        <v>50101020 00</v>
      </c>
      <c r="AA1033" s="239" t="str">
        <f>VLOOKUP(H1033,'Fund Utilization Report'!$A$4:$U$1800,14,FALSE)</f>
        <v>330100100003000</v>
      </c>
      <c r="AB1033" s="242" t="str">
        <f>VLOOKUP(H1033,'Fund Utilization Report'!$A$4:$U$1800,15,FALSE)</f>
        <v>MSME Development Program : Program Beneficiaries Development Component of the Comprehensive Agrarian Reform Program</v>
      </c>
      <c r="AC1033" s="51"/>
      <c r="AD1033" s="435"/>
      <c r="AE1033" s="51"/>
      <c r="AF1033" s="51"/>
      <c r="AG1033" s="442"/>
      <c r="AH1033" s="442"/>
      <c r="AI1033" s="443"/>
    </row>
    <row r="1034" spans="1:35" s="32" customFormat="1" ht="27.6">
      <c r="A1034" s="434" t="s">
        <v>942</v>
      </c>
      <c r="B1034" s="457" t="s">
        <v>946</v>
      </c>
      <c r="C1034" s="233">
        <v>44265</v>
      </c>
      <c r="D1034" s="435" t="s">
        <v>1267</v>
      </c>
      <c r="E1034" s="436" t="s">
        <v>1389</v>
      </c>
      <c r="F1034" s="338">
        <v>0.42152777777777778</v>
      </c>
      <c r="G1034" s="338">
        <v>0.42291666666666666</v>
      </c>
      <c r="H1034" s="338" t="s">
        <v>999</v>
      </c>
      <c r="I1034" s="353">
        <v>732</v>
      </c>
      <c r="J1034" s="338" t="str">
        <f>IFERROR(VLOOKUP(I1034,'Chart of accounts'!A:H,2,FALSE),"")</f>
        <v>50103020 01</v>
      </c>
      <c r="K1034" s="338" t="str">
        <f>IFERROR(VLOOKUP(I1034,'Chart of accounts'!A:H,3,FALSE),"")</f>
        <v>Pag-IBIG - Civilian</v>
      </c>
      <c r="L1034" s="338" t="str">
        <f>IFERROR(VLOOKUP(I1034,'Chart of accounts'!A:H,4,FALSE),"")</f>
        <v>50103020 01 - Pag-IBIG - Civilian (732)</v>
      </c>
      <c r="M1034" s="361">
        <v>1</v>
      </c>
      <c r="N1034" s="355" t="s">
        <v>863</v>
      </c>
      <c r="O1034" s="355" t="s">
        <v>1390</v>
      </c>
      <c r="P1034" s="355"/>
      <c r="Q1034" s="363">
        <v>100</v>
      </c>
      <c r="R1034" s="428">
        <f t="shared" si="33"/>
        <v>-100</v>
      </c>
      <c r="S1034" s="239" t="str">
        <f>VLOOKUP(H1034,'Fund Utilization Report'!$A$4:$U$1800,13,FALSE)</f>
        <v>PS</v>
      </c>
      <c r="T1034" s="239" t="str">
        <f>VLOOKUP(H1034,'Fund Utilization Report'!$A$4:$U$1800,2,FALSE)</f>
        <v>SAA15</v>
      </c>
      <c r="U1034" s="239" t="str">
        <f>VLOOKUP(H1034,'Fund Utilization Report'!$A$4:$U$1800,3,FALSE)</f>
        <v>2021-01-0015</v>
      </c>
      <c r="V1034" s="239" t="str">
        <f>VLOOKUP(H1034,'Fund Utilization Report'!$A$4:$U$1800,4,FALSE)</f>
        <v>CARP</v>
      </c>
      <c r="W1034" s="239" t="str">
        <f>VLOOKUP(H1034,'Fund Utilization Report'!$A$4:$U$1800,5,FALSE)</f>
        <v>01101101</v>
      </c>
      <c r="X1034" s="239" t="str">
        <f>VLOOKUP(H1034,'Fund Utilization Report'!$A$4:$U$1800,6,FALSE)</f>
        <v>GOP</v>
      </c>
      <c r="Y1034" s="440">
        <f>VLOOKUP(H1034,'Fund Utilization Report'!$A$4:$U$1800,7,FALSE)</f>
        <v>706</v>
      </c>
      <c r="Z1034" s="441" t="str">
        <f>VLOOKUP(H1034,'Fund Utilization Report'!$A$4:$U$1800,8,FALSE)</f>
        <v>50101020 00</v>
      </c>
      <c r="AA1034" s="239" t="str">
        <f>VLOOKUP(H1034,'Fund Utilization Report'!$A$4:$U$1800,14,FALSE)</f>
        <v>330100100003000</v>
      </c>
      <c r="AB1034" s="242" t="str">
        <f>VLOOKUP(H1034,'Fund Utilization Report'!$A$4:$U$1800,15,FALSE)</f>
        <v>MSME Development Program : Program Beneficiaries Development Component of the Comprehensive Agrarian Reform Program</v>
      </c>
      <c r="AC1034" s="51"/>
      <c r="AD1034" s="435"/>
      <c r="AE1034" s="51"/>
      <c r="AF1034" s="51"/>
      <c r="AG1034" s="442"/>
      <c r="AH1034" s="442"/>
      <c r="AI1034" s="443"/>
    </row>
    <row r="1035" spans="1:35" s="32" customFormat="1" ht="27.6">
      <c r="A1035" s="434" t="s">
        <v>942</v>
      </c>
      <c r="B1035" s="457" t="s">
        <v>946</v>
      </c>
      <c r="C1035" s="233">
        <v>44265</v>
      </c>
      <c r="D1035" s="435" t="s">
        <v>1267</v>
      </c>
      <c r="E1035" s="436" t="s">
        <v>1389</v>
      </c>
      <c r="F1035" s="338">
        <v>0.42152777777777778</v>
      </c>
      <c r="G1035" s="338">
        <v>0.42291666666666666</v>
      </c>
      <c r="H1035" s="338" t="s">
        <v>999</v>
      </c>
      <c r="I1035" s="353">
        <v>733</v>
      </c>
      <c r="J1035" s="338" t="str">
        <f>IFERROR(VLOOKUP(I1035,'Chart of accounts'!A:H,2,FALSE),"")</f>
        <v>50103030 01</v>
      </c>
      <c r="K1035" s="338" t="str">
        <f>IFERROR(VLOOKUP(I1035,'Chart of accounts'!A:H,3,FALSE),"")</f>
        <v>PhilHealth - Civilian</v>
      </c>
      <c r="L1035" s="338" t="str">
        <f>IFERROR(VLOOKUP(I1035,'Chart of accounts'!A:H,4,FALSE),"")</f>
        <v>50103030 01 - PhilHealth - Civilian (733)</v>
      </c>
      <c r="M1035" s="361">
        <v>1</v>
      </c>
      <c r="N1035" s="355" t="s">
        <v>863</v>
      </c>
      <c r="O1035" s="355" t="s">
        <v>1390</v>
      </c>
      <c r="P1035" s="355"/>
      <c r="Q1035" s="363">
        <v>655.22</v>
      </c>
      <c r="R1035" s="428">
        <f t="shared" si="33"/>
        <v>-655.22</v>
      </c>
      <c r="S1035" s="239" t="str">
        <f>VLOOKUP(H1035,'Fund Utilization Report'!$A$4:$U$1800,13,FALSE)</f>
        <v>PS</v>
      </c>
      <c r="T1035" s="239" t="str">
        <f>VLOOKUP(H1035,'Fund Utilization Report'!$A$4:$U$1800,2,FALSE)</f>
        <v>SAA15</v>
      </c>
      <c r="U1035" s="239" t="str">
        <f>VLOOKUP(H1035,'Fund Utilization Report'!$A$4:$U$1800,3,FALSE)</f>
        <v>2021-01-0015</v>
      </c>
      <c r="V1035" s="239" t="str">
        <f>VLOOKUP(H1035,'Fund Utilization Report'!$A$4:$U$1800,4,FALSE)</f>
        <v>CARP</v>
      </c>
      <c r="W1035" s="239" t="str">
        <f>VLOOKUP(H1035,'Fund Utilization Report'!$A$4:$U$1800,5,FALSE)</f>
        <v>01101101</v>
      </c>
      <c r="X1035" s="239" t="str">
        <f>VLOOKUP(H1035,'Fund Utilization Report'!$A$4:$U$1800,6,FALSE)</f>
        <v>GOP</v>
      </c>
      <c r="Y1035" s="440">
        <f>VLOOKUP(H1035,'Fund Utilization Report'!$A$4:$U$1800,7,FALSE)</f>
        <v>706</v>
      </c>
      <c r="Z1035" s="441" t="str">
        <f>VLOOKUP(H1035,'Fund Utilization Report'!$A$4:$U$1800,8,FALSE)</f>
        <v>50101020 00</v>
      </c>
      <c r="AA1035" s="239" t="str">
        <f>VLOOKUP(H1035,'Fund Utilization Report'!$A$4:$U$1800,14,FALSE)</f>
        <v>330100100003000</v>
      </c>
      <c r="AB1035" s="242" t="str">
        <f>VLOOKUP(H1035,'Fund Utilization Report'!$A$4:$U$1800,15,FALSE)</f>
        <v>MSME Development Program : Program Beneficiaries Development Component of the Comprehensive Agrarian Reform Program</v>
      </c>
      <c r="AC1035" s="51"/>
      <c r="AD1035" s="435"/>
      <c r="AE1035" s="51"/>
      <c r="AF1035" s="51"/>
      <c r="AG1035" s="442"/>
      <c r="AH1035" s="442"/>
      <c r="AI1035" s="443"/>
    </row>
    <row r="1036" spans="1:35" s="32" customFormat="1" ht="27.6">
      <c r="A1036" s="434" t="s">
        <v>942</v>
      </c>
      <c r="B1036" s="457" t="s">
        <v>946</v>
      </c>
      <c r="C1036" s="233">
        <v>44265</v>
      </c>
      <c r="D1036" s="435" t="s">
        <v>1267</v>
      </c>
      <c r="E1036" s="436" t="s">
        <v>1389</v>
      </c>
      <c r="F1036" s="338">
        <v>0.42152777777777778</v>
      </c>
      <c r="G1036" s="338">
        <v>0.42291666666666666</v>
      </c>
      <c r="H1036" s="338" t="s">
        <v>999</v>
      </c>
      <c r="I1036" s="353">
        <v>734</v>
      </c>
      <c r="J1036" s="338" t="str">
        <f>IFERROR(VLOOKUP(I1036,'Chart of accounts'!A:H,2,FALSE),"")</f>
        <v>50103040 01</v>
      </c>
      <c r="K1036" s="338" t="str">
        <f>IFERROR(VLOOKUP(I1036,'Chart of accounts'!A:H,3,FALSE),"")</f>
        <v>ECIP - Civilian</v>
      </c>
      <c r="L1036" s="338" t="str">
        <f>IFERROR(VLOOKUP(I1036,'Chart of accounts'!A:H,4,FALSE),"")</f>
        <v>50103040 01 - ECIP - Civilian (734)</v>
      </c>
      <c r="M1036" s="361">
        <v>1</v>
      </c>
      <c r="N1036" s="355" t="s">
        <v>863</v>
      </c>
      <c r="O1036" s="355" t="s">
        <v>1390</v>
      </c>
      <c r="P1036" s="355"/>
      <c r="Q1036" s="363">
        <v>100</v>
      </c>
      <c r="R1036" s="428">
        <f t="shared" si="33"/>
        <v>-100</v>
      </c>
      <c r="S1036" s="239" t="str">
        <f>VLOOKUP(H1036,'Fund Utilization Report'!$A$4:$U$1800,13,FALSE)</f>
        <v>PS</v>
      </c>
      <c r="T1036" s="239" t="str">
        <f>VLOOKUP(H1036,'Fund Utilization Report'!$A$4:$U$1800,2,FALSE)</f>
        <v>SAA15</v>
      </c>
      <c r="U1036" s="239" t="str">
        <f>VLOOKUP(H1036,'Fund Utilization Report'!$A$4:$U$1800,3,FALSE)</f>
        <v>2021-01-0015</v>
      </c>
      <c r="V1036" s="239" t="str">
        <f>VLOOKUP(H1036,'Fund Utilization Report'!$A$4:$U$1800,4,FALSE)</f>
        <v>CARP</v>
      </c>
      <c r="W1036" s="239" t="str">
        <f>VLOOKUP(H1036,'Fund Utilization Report'!$A$4:$U$1800,5,FALSE)</f>
        <v>01101101</v>
      </c>
      <c r="X1036" s="239" t="str">
        <f>VLOOKUP(H1036,'Fund Utilization Report'!$A$4:$U$1800,6,FALSE)</f>
        <v>GOP</v>
      </c>
      <c r="Y1036" s="440">
        <f>VLOOKUP(H1036,'Fund Utilization Report'!$A$4:$U$1800,7,FALSE)</f>
        <v>706</v>
      </c>
      <c r="Z1036" s="441" t="str">
        <f>VLOOKUP(H1036,'Fund Utilization Report'!$A$4:$U$1800,8,FALSE)</f>
        <v>50101020 00</v>
      </c>
      <c r="AA1036" s="239" t="str">
        <f>VLOOKUP(H1036,'Fund Utilization Report'!$A$4:$U$1800,14,FALSE)</f>
        <v>330100100003000</v>
      </c>
      <c r="AB1036" s="242" t="str">
        <f>VLOOKUP(H1036,'Fund Utilization Report'!$A$4:$U$1800,15,FALSE)</f>
        <v>MSME Development Program : Program Beneficiaries Development Component of the Comprehensive Agrarian Reform Program</v>
      </c>
      <c r="AC1036" s="51"/>
      <c r="AD1036" s="435"/>
      <c r="AE1036" s="51"/>
      <c r="AF1036" s="51"/>
      <c r="AG1036" s="442"/>
      <c r="AH1036" s="442"/>
      <c r="AI1036" s="443"/>
    </row>
    <row r="1037" spans="1:35" s="32" customFormat="1" ht="27.6">
      <c r="A1037" s="434" t="s">
        <v>942</v>
      </c>
      <c r="B1037" s="457" t="s">
        <v>946</v>
      </c>
      <c r="C1037" s="233">
        <v>44265</v>
      </c>
      <c r="D1037" s="435" t="s">
        <v>1267</v>
      </c>
      <c r="E1037" s="436" t="s">
        <v>1391</v>
      </c>
      <c r="F1037" s="338">
        <v>0.42291666666666666</v>
      </c>
      <c r="G1037" s="338">
        <v>0.42499999999999999</v>
      </c>
      <c r="H1037" s="338" t="s">
        <v>999</v>
      </c>
      <c r="I1037" s="353">
        <v>706</v>
      </c>
      <c r="J1037" s="338" t="str">
        <f>IFERROR(VLOOKUP(I1037,'Chart of accounts'!A:H,2,FALSE),"")</f>
        <v>50101020 00</v>
      </c>
      <c r="K1037" s="338" t="str">
        <f>IFERROR(VLOOKUP(I1037,'Chart of accounts'!A:H,3,FALSE),"")</f>
        <v>Basic Salary - Contractual</v>
      </c>
      <c r="L1037" s="338" t="str">
        <f>IFERROR(VLOOKUP(I1037,'Chart of accounts'!A:H,4,FALSE),"")</f>
        <v>50101020 00 - Basic Salary - Contractual (706)</v>
      </c>
      <c r="M1037" s="361">
        <v>67</v>
      </c>
      <c r="N1037" s="355" t="s">
        <v>768</v>
      </c>
      <c r="O1037" s="355" t="s">
        <v>1390</v>
      </c>
      <c r="P1037" s="355"/>
      <c r="Q1037" s="363">
        <v>77256</v>
      </c>
      <c r="R1037" s="428">
        <f t="shared" si="33"/>
        <v>-77256</v>
      </c>
      <c r="S1037" s="239" t="str">
        <f>VLOOKUP(H1037,'Fund Utilization Report'!$A$4:$U$1800,13,FALSE)</f>
        <v>PS</v>
      </c>
      <c r="T1037" s="239" t="str">
        <f>VLOOKUP(H1037,'Fund Utilization Report'!$A$4:$U$1800,2,FALSE)</f>
        <v>SAA15</v>
      </c>
      <c r="U1037" s="239" t="str">
        <f>VLOOKUP(H1037,'Fund Utilization Report'!$A$4:$U$1800,3,FALSE)</f>
        <v>2021-01-0015</v>
      </c>
      <c r="V1037" s="239" t="str">
        <f>VLOOKUP(H1037,'Fund Utilization Report'!$A$4:$U$1800,4,FALSE)</f>
        <v>CARP</v>
      </c>
      <c r="W1037" s="239" t="str">
        <f>VLOOKUP(H1037,'Fund Utilization Report'!$A$4:$U$1800,5,FALSE)</f>
        <v>01101101</v>
      </c>
      <c r="X1037" s="239" t="str">
        <f>VLOOKUP(H1037,'Fund Utilization Report'!$A$4:$U$1800,6,FALSE)</f>
        <v>GOP</v>
      </c>
      <c r="Y1037" s="440">
        <f>VLOOKUP(H1037,'Fund Utilization Report'!$A$4:$U$1800,7,FALSE)</f>
        <v>706</v>
      </c>
      <c r="Z1037" s="441" t="str">
        <f>VLOOKUP(H1037,'Fund Utilization Report'!$A$4:$U$1800,8,FALSE)</f>
        <v>50101020 00</v>
      </c>
      <c r="AA1037" s="239" t="str">
        <f>VLOOKUP(H1037,'Fund Utilization Report'!$A$4:$U$1800,14,FALSE)</f>
        <v>330100100003000</v>
      </c>
      <c r="AB1037" s="242" t="str">
        <f>VLOOKUP(H1037,'Fund Utilization Report'!$A$4:$U$1800,15,FALSE)</f>
        <v>MSME Development Program : Program Beneficiaries Development Component of the Comprehensive Agrarian Reform Program</v>
      </c>
      <c r="AC1037" s="51"/>
      <c r="AD1037" s="435"/>
      <c r="AE1037" s="51"/>
      <c r="AF1037" s="51"/>
      <c r="AG1037" s="442"/>
      <c r="AH1037" s="442"/>
      <c r="AI1037" s="443"/>
    </row>
    <row r="1038" spans="1:35" s="32" customFormat="1" ht="27.6">
      <c r="A1038" s="434" t="s">
        <v>942</v>
      </c>
      <c r="B1038" s="457" t="s">
        <v>946</v>
      </c>
      <c r="C1038" s="233">
        <v>44265</v>
      </c>
      <c r="D1038" s="435" t="s">
        <v>1267</v>
      </c>
      <c r="E1038" s="436" t="s">
        <v>1391</v>
      </c>
      <c r="F1038" s="338">
        <v>0.42291666666666666</v>
      </c>
      <c r="G1038" s="338">
        <v>0.42499999999999999</v>
      </c>
      <c r="H1038" s="338" t="s">
        <v>999</v>
      </c>
      <c r="I1038" s="353">
        <v>711</v>
      </c>
      <c r="J1038" s="338" t="str">
        <f>IFERROR(VLOOKUP(I1038,'Chart of accounts'!A:H,2,FALSE),"")</f>
        <v>50102010 01</v>
      </c>
      <c r="K1038" s="338" t="str">
        <f>IFERROR(VLOOKUP(I1038,'Chart of accounts'!A:H,3,FALSE),"")</f>
        <v>PERA - Civilian</v>
      </c>
      <c r="L1038" s="338" t="str">
        <f>IFERROR(VLOOKUP(I1038,'Chart of accounts'!A:H,4,FALSE),"")</f>
        <v>50102010 01 - PERA - Civilian (711)</v>
      </c>
      <c r="M1038" s="361">
        <v>67</v>
      </c>
      <c r="N1038" s="355" t="s">
        <v>768</v>
      </c>
      <c r="O1038" s="355" t="s">
        <v>1390</v>
      </c>
      <c r="P1038" s="355"/>
      <c r="Q1038" s="363">
        <v>4000</v>
      </c>
      <c r="R1038" s="428">
        <f t="shared" si="33"/>
        <v>-4000</v>
      </c>
      <c r="S1038" s="239" t="str">
        <f>VLOOKUP(H1038,'Fund Utilization Report'!$A$4:$U$1800,13,FALSE)</f>
        <v>PS</v>
      </c>
      <c r="T1038" s="239" t="str">
        <f>VLOOKUP(H1038,'Fund Utilization Report'!$A$4:$U$1800,2,FALSE)</f>
        <v>SAA15</v>
      </c>
      <c r="U1038" s="239" t="str">
        <f>VLOOKUP(H1038,'Fund Utilization Report'!$A$4:$U$1800,3,FALSE)</f>
        <v>2021-01-0015</v>
      </c>
      <c r="V1038" s="239" t="str">
        <f>VLOOKUP(H1038,'Fund Utilization Report'!$A$4:$U$1800,4,FALSE)</f>
        <v>CARP</v>
      </c>
      <c r="W1038" s="239" t="str">
        <f>VLOOKUP(H1038,'Fund Utilization Report'!$A$4:$U$1800,5,FALSE)</f>
        <v>01101101</v>
      </c>
      <c r="X1038" s="239" t="str">
        <f>VLOOKUP(H1038,'Fund Utilization Report'!$A$4:$U$1800,6,FALSE)</f>
        <v>GOP</v>
      </c>
      <c r="Y1038" s="440">
        <f>VLOOKUP(H1038,'Fund Utilization Report'!$A$4:$U$1800,7,FALSE)</f>
        <v>706</v>
      </c>
      <c r="Z1038" s="441" t="str">
        <f>VLOOKUP(H1038,'Fund Utilization Report'!$A$4:$U$1800,8,FALSE)</f>
        <v>50101020 00</v>
      </c>
      <c r="AA1038" s="239" t="str">
        <f>VLOOKUP(H1038,'Fund Utilization Report'!$A$4:$U$1800,14,FALSE)</f>
        <v>330100100003000</v>
      </c>
      <c r="AB1038" s="242" t="str">
        <f>VLOOKUP(H1038,'Fund Utilization Report'!$A$4:$U$1800,15,FALSE)</f>
        <v>MSME Development Program : Program Beneficiaries Development Component of the Comprehensive Agrarian Reform Program</v>
      </c>
      <c r="AC1038" s="51"/>
      <c r="AD1038" s="435"/>
      <c r="AE1038" s="51"/>
      <c r="AF1038" s="51"/>
      <c r="AG1038" s="442"/>
      <c r="AH1038" s="442"/>
      <c r="AI1038" s="443"/>
    </row>
    <row r="1039" spans="1:35" s="32" customFormat="1" ht="27.6">
      <c r="A1039" s="434" t="s">
        <v>942</v>
      </c>
      <c r="B1039" s="457" t="s">
        <v>946</v>
      </c>
      <c r="C1039" s="233">
        <v>44265</v>
      </c>
      <c r="D1039" s="435" t="s">
        <v>1267</v>
      </c>
      <c r="E1039" s="436" t="s">
        <v>1391</v>
      </c>
      <c r="F1039" s="338">
        <v>0.42291666666666666</v>
      </c>
      <c r="G1039" s="338">
        <v>0.42499999999999999</v>
      </c>
      <c r="H1039" s="338" t="s">
        <v>999</v>
      </c>
      <c r="I1039" s="353">
        <v>731</v>
      </c>
      <c r="J1039" s="338" t="str">
        <f>IFERROR(VLOOKUP(I1039,'Chart of accounts'!A:H,2,FALSE),"")</f>
        <v>50103010 00</v>
      </c>
      <c r="K1039" s="338" t="str">
        <f>IFERROR(VLOOKUP(I1039,'Chart of accounts'!A:H,3,FALSE),"")</f>
        <v>Retirement and Life Insurance Premiums</v>
      </c>
      <c r="L1039" s="338" t="str">
        <f>IFERROR(VLOOKUP(I1039,'Chart of accounts'!A:H,4,FALSE),"")</f>
        <v>50103010 00 - Retirement and Life Insurance Premiums (731)</v>
      </c>
      <c r="M1039" s="361">
        <v>67</v>
      </c>
      <c r="N1039" s="355" t="s">
        <v>768</v>
      </c>
      <c r="O1039" s="355" t="s">
        <v>1390</v>
      </c>
      <c r="P1039" s="355"/>
      <c r="Q1039" s="363">
        <v>9270.7199999999993</v>
      </c>
      <c r="R1039" s="428">
        <f t="shared" si="33"/>
        <v>-9270.7199999999993</v>
      </c>
      <c r="S1039" s="239" t="str">
        <f>VLOOKUP(H1039,'Fund Utilization Report'!$A$4:$U$1800,13,FALSE)</f>
        <v>PS</v>
      </c>
      <c r="T1039" s="239" t="str">
        <f>VLOOKUP(H1039,'Fund Utilization Report'!$A$4:$U$1800,2,FALSE)</f>
        <v>SAA15</v>
      </c>
      <c r="U1039" s="239" t="str">
        <f>VLOOKUP(H1039,'Fund Utilization Report'!$A$4:$U$1800,3,FALSE)</f>
        <v>2021-01-0015</v>
      </c>
      <c r="V1039" s="239" t="str">
        <f>VLOOKUP(H1039,'Fund Utilization Report'!$A$4:$U$1800,4,FALSE)</f>
        <v>CARP</v>
      </c>
      <c r="W1039" s="239" t="str">
        <f>VLOOKUP(H1039,'Fund Utilization Report'!$A$4:$U$1800,5,FALSE)</f>
        <v>01101101</v>
      </c>
      <c r="X1039" s="239" t="str">
        <f>VLOOKUP(H1039,'Fund Utilization Report'!$A$4:$U$1800,6,FALSE)</f>
        <v>GOP</v>
      </c>
      <c r="Y1039" s="440">
        <f>VLOOKUP(H1039,'Fund Utilization Report'!$A$4:$U$1800,7,FALSE)</f>
        <v>706</v>
      </c>
      <c r="Z1039" s="441" t="str">
        <f>VLOOKUP(H1039,'Fund Utilization Report'!$A$4:$U$1800,8,FALSE)</f>
        <v>50101020 00</v>
      </c>
      <c r="AA1039" s="239" t="str">
        <f>VLOOKUP(H1039,'Fund Utilization Report'!$A$4:$U$1800,14,FALSE)</f>
        <v>330100100003000</v>
      </c>
      <c r="AB1039" s="242" t="str">
        <f>VLOOKUP(H1039,'Fund Utilization Report'!$A$4:$U$1800,15,FALSE)</f>
        <v>MSME Development Program : Program Beneficiaries Development Component of the Comprehensive Agrarian Reform Program</v>
      </c>
      <c r="AC1039" s="51"/>
      <c r="AD1039" s="435"/>
      <c r="AE1039" s="51"/>
      <c r="AF1039" s="51"/>
      <c r="AG1039" s="442"/>
      <c r="AH1039" s="442"/>
      <c r="AI1039" s="443"/>
    </row>
    <row r="1040" spans="1:35" s="32" customFormat="1" ht="27.6">
      <c r="A1040" s="434" t="s">
        <v>942</v>
      </c>
      <c r="B1040" s="457" t="s">
        <v>946</v>
      </c>
      <c r="C1040" s="233">
        <v>44265</v>
      </c>
      <c r="D1040" s="435" t="s">
        <v>1267</v>
      </c>
      <c r="E1040" s="436" t="s">
        <v>1391</v>
      </c>
      <c r="F1040" s="338">
        <v>0.42291666666666666</v>
      </c>
      <c r="G1040" s="338">
        <v>0.42499999999999999</v>
      </c>
      <c r="H1040" s="338" t="s">
        <v>999</v>
      </c>
      <c r="I1040" s="353">
        <v>732</v>
      </c>
      <c r="J1040" s="338" t="str">
        <f>IFERROR(VLOOKUP(I1040,'Chart of accounts'!A:H,2,FALSE),"")</f>
        <v>50103020 01</v>
      </c>
      <c r="K1040" s="338" t="str">
        <f>IFERROR(VLOOKUP(I1040,'Chart of accounts'!A:H,3,FALSE),"")</f>
        <v>Pag-IBIG - Civilian</v>
      </c>
      <c r="L1040" s="338" t="str">
        <f>IFERROR(VLOOKUP(I1040,'Chart of accounts'!A:H,4,FALSE),"")</f>
        <v>50103020 01 - Pag-IBIG - Civilian (732)</v>
      </c>
      <c r="M1040" s="361">
        <v>67</v>
      </c>
      <c r="N1040" s="355" t="s">
        <v>768</v>
      </c>
      <c r="O1040" s="355" t="s">
        <v>1390</v>
      </c>
      <c r="P1040" s="355"/>
      <c r="Q1040" s="363">
        <v>200</v>
      </c>
      <c r="R1040" s="428">
        <f t="shared" si="33"/>
        <v>-200</v>
      </c>
      <c r="S1040" s="239" t="str">
        <f>VLOOKUP(H1040,'Fund Utilization Report'!$A$4:$U$1800,13,FALSE)</f>
        <v>PS</v>
      </c>
      <c r="T1040" s="239" t="str">
        <f>VLOOKUP(H1040,'Fund Utilization Report'!$A$4:$U$1800,2,FALSE)</f>
        <v>SAA15</v>
      </c>
      <c r="U1040" s="239" t="str">
        <f>VLOOKUP(H1040,'Fund Utilization Report'!$A$4:$U$1800,3,FALSE)</f>
        <v>2021-01-0015</v>
      </c>
      <c r="V1040" s="239" t="str">
        <f>VLOOKUP(H1040,'Fund Utilization Report'!$A$4:$U$1800,4,FALSE)</f>
        <v>CARP</v>
      </c>
      <c r="W1040" s="239" t="str">
        <f>VLOOKUP(H1040,'Fund Utilization Report'!$A$4:$U$1800,5,FALSE)</f>
        <v>01101101</v>
      </c>
      <c r="X1040" s="239" t="str">
        <f>VLOOKUP(H1040,'Fund Utilization Report'!$A$4:$U$1800,6,FALSE)</f>
        <v>GOP</v>
      </c>
      <c r="Y1040" s="440">
        <f>VLOOKUP(H1040,'Fund Utilization Report'!$A$4:$U$1800,7,FALSE)</f>
        <v>706</v>
      </c>
      <c r="Z1040" s="441" t="str">
        <f>VLOOKUP(H1040,'Fund Utilization Report'!$A$4:$U$1800,8,FALSE)</f>
        <v>50101020 00</v>
      </c>
      <c r="AA1040" s="239" t="str">
        <f>VLOOKUP(H1040,'Fund Utilization Report'!$A$4:$U$1800,14,FALSE)</f>
        <v>330100100003000</v>
      </c>
      <c r="AB1040" s="242" t="str">
        <f>VLOOKUP(H1040,'Fund Utilization Report'!$A$4:$U$1800,15,FALSE)</f>
        <v>MSME Development Program : Program Beneficiaries Development Component of the Comprehensive Agrarian Reform Program</v>
      </c>
      <c r="AC1040" s="51"/>
      <c r="AD1040" s="435"/>
      <c r="AE1040" s="51"/>
      <c r="AF1040" s="51"/>
      <c r="AG1040" s="442"/>
      <c r="AH1040" s="442"/>
      <c r="AI1040" s="443"/>
    </row>
    <row r="1041" spans="1:35" s="32" customFormat="1" ht="27.6">
      <c r="A1041" s="434" t="s">
        <v>942</v>
      </c>
      <c r="B1041" s="457" t="s">
        <v>946</v>
      </c>
      <c r="C1041" s="233">
        <v>44265</v>
      </c>
      <c r="D1041" s="435" t="s">
        <v>1267</v>
      </c>
      <c r="E1041" s="436" t="s">
        <v>1391</v>
      </c>
      <c r="F1041" s="338">
        <v>0.42291666666666666</v>
      </c>
      <c r="G1041" s="338">
        <v>0.42499999999999999</v>
      </c>
      <c r="H1041" s="338" t="s">
        <v>999</v>
      </c>
      <c r="I1041" s="353">
        <v>733</v>
      </c>
      <c r="J1041" s="338" t="str">
        <f>IFERROR(VLOOKUP(I1041,'Chart of accounts'!A:H,2,FALSE),"")</f>
        <v>50103030 01</v>
      </c>
      <c r="K1041" s="338" t="str">
        <f>IFERROR(VLOOKUP(I1041,'Chart of accounts'!A:H,3,FALSE),"")</f>
        <v>PhilHealth - Civilian</v>
      </c>
      <c r="L1041" s="338" t="str">
        <f>IFERROR(VLOOKUP(I1041,'Chart of accounts'!A:H,4,FALSE),"")</f>
        <v>50103030 01 - PhilHealth - Civilian (733)</v>
      </c>
      <c r="M1041" s="361">
        <v>67</v>
      </c>
      <c r="N1041" s="355" t="s">
        <v>768</v>
      </c>
      <c r="O1041" s="355" t="s">
        <v>1390</v>
      </c>
      <c r="P1041" s="355"/>
      <c r="Q1041" s="363">
        <v>1158.8499999999999</v>
      </c>
      <c r="R1041" s="428">
        <f t="shared" si="33"/>
        <v>-1158.8499999999999</v>
      </c>
      <c r="S1041" s="239" t="str">
        <f>VLOOKUP(H1041,'Fund Utilization Report'!$A$4:$U$1800,13,FALSE)</f>
        <v>PS</v>
      </c>
      <c r="T1041" s="239" t="str">
        <f>VLOOKUP(H1041,'Fund Utilization Report'!$A$4:$U$1800,2,FALSE)</f>
        <v>SAA15</v>
      </c>
      <c r="U1041" s="239" t="str">
        <f>VLOOKUP(H1041,'Fund Utilization Report'!$A$4:$U$1800,3,FALSE)</f>
        <v>2021-01-0015</v>
      </c>
      <c r="V1041" s="239" t="str">
        <f>VLOOKUP(H1041,'Fund Utilization Report'!$A$4:$U$1800,4,FALSE)</f>
        <v>CARP</v>
      </c>
      <c r="W1041" s="239" t="str">
        <f>VLOOKUP(H1041,'Fund Utilization Report'!$A$4:$U$1800,5,FALSE)</f>
        <v>01101101</v>
      </c>
      <c r="X1041" s="239" t="str">
        <f>VLOOKUP(H1041,'Fund Utilization Report'!$A$4:$U$1800,6,FALSE)</f>
        <v>GOP</v>
      </c>
      <c r="Y1041" s="440">
        <f>VLOOKUP(H1041,'Fund Utilization Report'!$A$4:$U$1800,7,FALSE)</f>
        <v>706</v>
      </c>
      <c r="Z1041" s="441" t="str">
        <f>VLOOKUP(H1041,'Fund Utilization Report'!$A$4:$U$1800,8,FALSE)</f>
        <v>50101020 00</v>
      </c>
      <c r="AA1041" s="239" t="str">
        <f>VLOOKUP(H1041,'Fund Utilization Report'!$A$4:$U$1800,14,FALSE)</f>
        <v>330100100003000</v>
      </c>
      <c r="AB1041" s="242" t="str">
        <f>VLOOKUP(H1041,'Fund Utilization Report'!$A$4:$U$1800,15,FALSE)</f>
        <v>MSME Development Program : Program Beneficiaries Development Component of the Comprehensive Agrarian Reform Program</v>
      </c>
      <c r="AC1041" s="51"/>
      <c r="AD1041" s="435"/>
      <c r="AE1041" s="51"/>
      <c r="AF1041" s="51"/>
      <c r="AG1041" s="442"/>
      <c r="AH1041" s="442"/>
      <c r="AI1041" s="443"/>
    </row>
    <row r="1042" spans="1:35" s="32" customFormat="1" ht="27.6">
      <c r="A1042" s="434" t="s">
        <v>942</v>
      </c>
      <c r="B1042" s="457" t="s">
        <v>946</v>
      </c>
      <c r="C1042" s="233">
        <v>44265</v>
      </c>
      <c r="D1042" s="435" t="s">
        <v>1267</v>
      </c>
      <c r="E1042" s="436" t="s">
        <v>1391</v>
      </c>
      <c r="F1042" s="338">
        <v>0.42291666666666666</v>
      </c>
      <c r="G1042" s="338">
        <v>0.42499999999999999</v>
      </c>
      <c r="H1042" s="338" t="s">
        <v>999</v>
      </c>
      <c r="I1042" s="353">
        <v>734</v>
      </c>
      <c r="J1042" s="338" t="str">
        <f>IFERROR(VLOOKUP(I1042,'Chart of accounts'!A:H,2,FALSE),"")</f>
        <v>50103040 01</v>
      </c>
      <c r="K1042" s="338" t="str">
        <f>IFERROR(VLOOKUP(I1042,'Chart of accounts'!A:H,3,FALSE),"")</f>
        <v>ECIP - Civilian</v>
      </c>
      <c r="L1042" s="338" t="str">
        <f>IFERROR(VLOOKUP(I1042,'Chart of accounts'!A:H,4,FALSE),"")</f>
        <v>50103040 01 - ECIP - Civilian (734)</v>
      </c>
      <c r="M1042" s="361">
        <v>67</v>
      </c>
      <c r="N1042" s="355" t="s">
        <v>768</v>
      </c>
      <c r="O1042" s="355" t="s">
        <v>1390</v>
      </c>
      <c r="P1042" s="355"/>
      <c r="Q1042" s="363">
        <v>200</v>
      </c>
      <c r="R1042" s="428">
        <f t="shared" si="33"/>
        <v>-200</v>
      </c>
      <c r="S1042" s="239" t="str">
        <f>VLOOKUP(H1042,'Fund Utilization Report'!$A$4:$U$1800,13,FALSE)</f>
        <v>PS</v>
      </c>
      <c r="T1042" s="239" t="str">
        <f>VLOOKUP(H1042,'Fund Utilization Report'!$A$4:$U$1800,2,FALSE)</f>
        <v>SAA15</v>
      </c>
      <c r="U1042" s="239" t="str">
        <f>VLOOKUP(H1042,'Fund Utilization Report'!$A$4:$U$1800,3,FALSE)</f>
        <v>2021-01-0015</v>
      </c>
      <c r="V1042" s="239" t="str">
        <f>VLOOKUP(H1042,'Fund Utilization Report'!$A$4:$U$1800,4,FALSE)</f>
        <v>CARP</v>
      </c>
      <c r="W1042" s="239" t="str">
        <f>VLOOKUP(H1042,'Fund Utilization Report'!$A$4:$U$1800,5,FALSE)</f>
        <v>01101101</v>
      </c>
      <c r="X1042" s="239" t="str">
        <f>VLOOKUP(H1042,'Fund Utilization Report'!$A$4:$U$1800,6,FALSE)</f>
        <v>GOP</v>
      </c>
      <c r="Y1042" s="440">
        <f>VLOOKUP(H1042,'Fund Utilization Report'!$A$4:$U$1800,7,FALSE)</f>
        <v>706</v>
      </c>
      <c r="Z1042" s="441" t="str">
        <f>VLOOKUP(H1042,'Fund Utilization Report'!$A$4:$U$1800,8,FALSE)</f>
        <v>50101020 00</v>
      </c>
      <c r="AA1042" s="239" t="str">
        <f>VLOOKUP(H1042,'Fund Utilization Report'!$A$4:$U$1800,14,FALSE)</f>
        <v>330100100003000</v>
      </c>
      <c r="AB1042" s="242" t="str">
        <f>VLOOKUP(H1042,'Fund Utilization Report'!$A$4:$U$1800,15,FALSE)</f>
        <v>MSME Development Program : Program Beneficiaries Development Component of the Comprehensive Agrarian Reform Program</v>
      </c>
      <c r="AC1042" s="51"/>
      <c r="AD1042" s="435"/>
      <c r="AE1042" s="51"/>
      <c r="AF1042" s="51"/>
      <c r="AG1042" s="442"/>
      <c r="AH1042" s="442"/>
      <c r="AI1042" s="443"/>
    </row>
    <row r="1043" spans="1:35" s="32" customFormat="1" ht="27.6">
      <c r="A1043" s="434" t="s">
        <v>942</v>
      </c>
      <c r="B1043" s="457" t="s">
        <v>946</v>
      </c>
      <c r="C1043" s="233">
        <v>44265</v>
      </c>
      <c r="D1043" s="435" t="s">
        <v>1267</v>
      </c>
      <c r="E1043" s="436" t="s">
        <v>1392</v>
      </c>
      <c r="F1043" s="338">
        <v>0.42499999999999999</v>
      </c>
      <c r="G1043" s="338">
        <v>0.42708333333333331</v>
      </c>
      <c r="H1043" s="338" t="s">
        <v>999</v>
      </c>
      <c r="I1043" s="353">
        <v>706</v>
      </c>
      <c r="J1043" s="338" t="str">
        <f>IFERROR(VLOOKUP(I1043,'Chart of accounts'!A:H,2,FALSE),"")</f>
        <v>50101020 00</v>
      </c>
      <c r="K1043" s="338" t="str">
        <f>IFERROR(VLOOKUP(I1043,'Chart of accounts'!A:H,3,FALSE),"")</f>
        <v>Basic Salary - Contractual</v>
      </c>
      <c r="L1043" s="338" t="str">
        <f>IFERROR(VLOOKUP(I1043,'Chart of accounts'!A:H,4,FALSE),"")</f>
        <v>50101020 00 - Basic Salary - Contractual (706)</v>
      </c>
      <c r="M1043" s="361">
        <v>3</v>
      </c>
      <c r="N1043" s="355" t="s">
        <v>867</v>
      </c>
      <c r="O1043" s="355" t="s">
        <v>1390</v>
      </c>
      <c r="P1043" s="355"/>
      <c r="Q1043" s="363">
        <v>33575</v>
      </c>
      <c r="R1043" s="428">
        <f t="shared" si="33"/>
        <v>-33575</v>
      </c>
      <c r="S1043" s="239" t="str">
        <f>VLOOKUP(H1043,'Fund Utilization Report'!$A$4:$U$1800,13,FALSE)</f>
        <v>PS</v>
      </c>
      <c r="T1043" s="239" t="str">
        <f>VLOOKUP(H1043,'Fund Utilization Report'!$A$4:$U$1800,2,FALSE)</f>
        <v>SAA15</v>
      </c>
      <c r="U1043" s="239" t="str">
        <f>VLOOKUP(H1043,'Fund Utilization Report'!$A$4:$U$1800,3,FALSE)</f>
        <v>2021-01-0015</v>
      </c>
      <c r="V1043" s="239" t="str">
        <f>VLOOKUP(H1043,'Fund Utilization Report'!$A$4:$U$1800,4,FALSE)</f>
        <v>CARP</v>
      </c>
      <c r="W1043" s="239" t="str">
        <f>VLOOKUP(H1043,'Fund Utilization Report'!$A$4:$U$1800,5,FALSE)</f>
        <v>01101101</v>
      </c>
      <c r="X1043" s="239" t="str">
        <f>VLOOKUP(H1043,'Fund Utilization Report'!$A$4:$U$1800,6,FALSE)</f>
        <v>GOP</v>
      </c>
      <c r="Y1043" s="440">
        <f>VLOOKUP(H1043,'Fund Utilization Report'!$A$4:$U$1800,7,FALSE)</f>
        <v>706</v>
      </c>
      <c r="Z1043" s="441" t="str">
        <f>VLOOKUP(H1043,'Fund Utilization Report'!$A$4:$U$1800,8,FALSE)</f>
        <v>50101020 00</v>
      </c>
      <c r="AA1043" s="239" t="str">
        <f>VLOOKUP(H1043,'Fund Utilization Report'!$A$4:$U$1800,14,FALSE)</f>
        <v>330100100003000</v>
      </c>
      <c r="AB1043" s="242" t="str">
        <f>VLOOKUP(H1043,'Fund Utilization Report'!$A$4:$U$1800,15,FALSE)</f>
        <v>MSME Development Program : Program Beneficiaries Development Component of the Comprehensive Agrarian Reform Program</v>
      </c>
      <c r="AC1043" s="51"/>
      <c r="AD1043" s="435"/>
      <c r="AE1043" s="51"/>
      <c r="AF1043" s="51"/>
      <c r="AG1043" s="442"/>
      <c r="AH1043" s="442"/>
      <c r="AI1043" s="443"/>
    </row>
    <row r="1044" spans="1:35" s="32" customFormat="1" ht="27.6">
      <c r="A1044" s="434" t="s">
        <v>942</v>
      </c>
      <c r="B1044" s="457" t="s">
        <v>946</v>
      </c>
      <c r="C1044" s="233">
        <v>44265</v>
      </c>
      <c r="D1044" s="435" t="s">
        <v>1267</v>
      </c>
      <c r="E1044" s="436" t="s">
        <v>1392</v>
      </c>
      <c r="F1044" s="338">
        <v>0.42499999999999999</v>
      </c>
      <c r="G1044" s="338">
        <v>0.42708333333333331</v>
      </c>
      <c r="H1044" s="338" t="s">
        <v>999</v>
      </c>
      <c r="I1044" s="353">
        <v>711</v>
      </c>
      <c r="J1044" s="338" t="str">
        <f>IFERROR(VLOOKUP(I1044,'Chart of accounts'!A:H,2,FALSE),"")</f>
        <v>50102010 01</v>
      </c>
      <c r="K1044" s="338" t="str">
        <f>IFERROR(VLOOKUP(I1044,'Chart of accounts'!A:H,3,FALSE),"")</f>
        <v>PERA - Civilian</v>
      </c>
      <c r="L1044" s="338" t="str">
        <f>IFERROR(VLOOKUP(I1044,'Chart of accounts'!A:H,4,FALSE),"")</f>
        <v>50102010 01 - PERA - Civilian (711)</v>
      </c>
      <c r="M1044" s="361">
        <v>3</v>
      </c>
      <c r="N1044" s="355" t="s">
        <v>867</v>
      </c>
      <c r="O1044" s="355" t="s">
        <v>1390</v>
      </c>
      <c r="P1044" s="355"/>
      <c r="Q1044" s="363">
        <v>2000</v>
      </c>
      <c r="R1044" s="428">
        <f t="shared" si="33"/>
        <v>-2000</v>
      </c>
      <c r="S1044" s="239" t="str">
        <f>VLOOKUP(H1044,'Fund Utilization Report'!$A$4:$U$1800,13,FALSE)</f>
        <v>PS</v>
      </c>
      <c r="T1044" s="239" t="str">
        <f>VLOOKUP(H1044,'Fund Utilization Report'!$A$4:$U$1800,2,FALSE)</f>
        <v>SAA15</v>
      </c>
      <c r="U1044" s="239" t="str">
        <f>VLOOKUP(H1044,'Fund Utilization Report'!$A$4:$U$1800,3,FALSE)</f>
        <v>2021-01-0015</v>
      </c>
      <c r="V1044" s="239" t="str">
        <f>VLOOKUP(H1044,'Fund Utilization Report'!$A$4:$U$1800,4,FALSE)</f>
        <v>CARP</v>
      </c>
      <c r="W1044" s="239" t="str">
        <f>VLOOKUP(H1044,'Fund Utilization Report'!$A$4:$U$1800,5,FALSE)</f>
        <v>01101101</v>
      </c>
      <c r="X1044" s="239" t="str">
        <f>VLOOKUP(H1044,'Fund Utilization Report'!$A$4:$U$1800,6,FALSE)</f>
        <v>GOP</v>
      </c>
      <c r="Y1044" s="440">
        <f>VLOOKUP(H1044,'Fund Utilization Report'!$A$4:$U$1800,7,FALSE)</f>
        <v>706</v>
      </c>
      <c r="Z1044" s="441" t="str">
        <f>VLOOKUP(H1044,'Fund Utilization Report'!$A$4:$U$1800,8,FALSE)</f>
        <v>50101020 00</v>
      </c>
      <c r="AA1044" s="239" t="str">
        <f>VLOOKUP(H1044,'Fund Utilization Report'!$A$4:$U$1800,14,FALSE)</f>
        <v>330100100003000</v>
      </c>
      <c r="AB1044" s="242" t="str">
        <f>VLOOKUP(H1044,'Fund Utilization Report'!$A$4:$U$1800,15,FALSE)</f>
        <v>MSME Development Program : Program Beneficiaries Development Component of the Comprehensive Agrarian Reform Program</v>
      </c>
      <c r="AC1044" s="51"/>
      <c r="AD1044" s="435"/>
      <c r="AE1044" s="51"/>
      <c r="AF1044" s="51"/>
      <c r="AG1044" s="442"/>
      <c r="AH1044" s="442"/>
      <c r="AI1044" s="443"/>
    </row>
    <row r="1045" spans="1:35" s="32" customFormat="1" ht="27.6">
      <c r="A1045" s="434" t="s">
        <v>942</v>
      </c>
      <c r="B1045" s="457" t="s">
        <v>946</v>
      </c>
      <c r="C1045" s="233">
        <v>44265</v>
      </c>
      <c r="D1045" s="435" t="s">
        <v>1267</v>
      </c>
      <c r="E1045" s="436" t="s">
        <v>1392</v>
      </c>
      <c r="F1045" s="338">
        <v>0.42499999999999999</v>
      </c>
      <c r="G1045" s="338">
        <v>0.42708333333333331</v>
      </c>
      <c r="H1045" s="338" t="s">
        <v>999</v>
      </c>
      <c r="I1045" s="353">
        <v>731</v>
      </c>
      <c r="J1045" s="338" t="str">
        <f>IFERROR(VLOOKUP(I1045,'Chart of accounts'!A:H,2,FALSE),"")</f>
        <v>50103010 00</v>
      </c>
      <c r="K1045" s="338" t="str">
        <f>IFERROR(VLOOKUP(I1045,'Chart of accounts'!A:H,3,FALSE),"")</f>
        <v>Retirement and Life Insurance Premiums</v>
      </c>
      <c r="L1045" s="338" t="str">
        <f>IFERROR(VLOOKUP(I1045,'Chart of accounts'!A:H,4,FALSE),"")</f>
        <v>50103010 00 - Retirement and Life Insurance Premiums (731)</v>
      </c>
      <c r="M1045" s="361">
        <v>3</v>
      </c>
      <c r="N1045" s="355" t="s">
        <v>867</v>
      </c>
      <c r="O1045" s="355" t="s">
        <v>1390</v>
      </c>
      <c r="P1045" s="355"/>
      <c r="Q1045" s="363">
        <v>4029</v>
      </c>
      <c r="R1045" s="428">
        <f t="shared" si="33"/>
        <v>-4029</v>
      </c>
      <c r="S1045" s="239" t="str">
        <f>VLOOKUP(H1045,'Fund Utilization Report'!$A$4:$U$1800,13,FALSE)</f>
        <v>PS</v>
      </c>
      <c r="T1045" s="239" t="str">
        <f>VLOOKUP(H1045,'Fund Utilization Report'!$A$4:$U$1800,2,FALSE)</f>
        <v>SAA15</v>
      </c>
      <c r="U1045" s="239" t="str">
        <f>VLOOKUP(H1045,'Fund Utilization Report'!$A$4:$U$1800,3,FALSE)</f>
        <v>2021-01-0015</v>
      </c>
      <c r="V1045" s="239" t="str">
        <f>VLOOKUP(H1045,'Fund Utilization Report'!$A$4:$U$1800,4,FALSE)</f>
        <v>CARP</v>
      </c>
      <c r="W1045" s="239" t="str">
        <f>VLOOKUP(H1045,'Fund Utilization Report'!$A$4:$U$1800,5,FALSE)</f>
        <v>01101101</v>
      </c>
      <c r="X1045" s="239" t="str">
        <f>VLOOKUP(H1045,'Fund Utilization Report'!$A$4:$U$1800,6,FALSE)</f>
        <v>GOP</v>
      </c>
      <c r="Y1045" s="440">
        <f>VLOOKUP(H1045,'Fund Utilization Report'!$A$4:$U$1800,7,FALSE)</f>
        <v>706</v>
      </c>
      <c r="Z1045" s="441" t="str">
        <f>VLOOKUP(H1045,'Fund Utilization Report'!$A$4:$U$1800,8,FALSE)</f>
        <v>50101020 00</v>
      </c>
      <c r="AA1045" s="239" t="str">
        <f>VLOOKUP(H1045,'Fund Utilization Report'!$A$4:$U$1800,14,FALSE)</f>
        <v>330100100003000</v>
      </c>
      <c r="AB1045" s="242" t="str">
        <f>VLOOKUP(H1045,'Fund Utilization Report'!$A$4:$U$1800,15,FALSE)</f>
        <v>MSME Development Program : Program Beneficiaries Development Component of the Comprehensive Agrarian Reform Program</v>
      </c>
      <c r="AC1045" s="51"/>
      <c r="AD1045" s="435"/>
      <c r="AE1045" s="51"/>
      <c r="AF1045" s="51"/>
      <c r="AG1045" s="442"/>
      <c r="AH1045" s="442"/>
      <c r="AI1045" s="443"/>
    </row>
    <row r="1046" spans="1:35" s="32" customFormat="1" ht="27.6">
      <c r="A1046" s="434" t="s">
        <v>942</v>
      </c>
      <c r="B1046" s="457" t="s">
        <v>946</v>
      </c>
      <c r="C1046" s="233">
        <v>44265</v>
      </c>
      <c r="D1046" s="435" t="s">
        <v>1267</v>
      </c>
      <c r="E1046" s="436" t="s">
        <v>1392</v>
      </c>
      <c r="F1046" s="338">
        <v>0.42499999999999999</v>
      </c>
      <c r="G1046" s="338">
        <v>0.42708333333333331</v>
      </c>
      <c r="H1046" s="338" t="s">
        <v>999</v>
      </c>
      <c r="I1046" s="353">
        <v>732</v>
      </c>
      <c r="J1046" s="338" t="str">
        <f>IFERROR(VLOOKUP(I1046,'Chart of accounts'!A:H,2,FALSE),"")</f>
        <v>50103020 01</v>
      </c>
      <c r="K1046" s="338" t="str">
        <f>IFERROR(VLOOKUP(I1046,'Chart of accounts'!A:H,3,FALSE),"")</f>
        <v>Pag-IBIG - Civilian</v>
      </c>
      <c r="L1046" s="338" t="str">
        <f>IFERROR(VLOOKUP(I1046,'Chart of accounts'!A:H,4,FALSE),"")</f>
        <v>50103020 01 - Pag-IBIG - Civilian (732)</v>
      </c>
      <c r="M1046" s="361">
        <v>3</v>
      </c>
      <c r="N1046" s="355" t="s">
        <v>867</v>
      </c>
      <c r="O1046" s="355" t="s">
        <v>1390</v>
      </c>
      <c r="P1046" s="355"/>
      <c r="Q1046" s="363">
        <v>100</v>
      </c>
      <c r="R1046" s="428">
        <f t="shared" si="33"/>
        <v>-100</v>
      </c>
      <c r="S1046" s="239" t="str">
        <f>VLOOKUP(H1046,'Fund Utilization Report'!$A$4:$U$1800,13,FALSE)</f>
        <v>PS</v>
      </c>
      <c r="T1046" s="239" t="str">
        <f>VLOOKUP(H1046,'Fund Utilization Report'!$A$4:$U$1800,2,FALSE)</f>
        <v>SAA15</v>
      </c>
      <c r="U1046" s="239" t="str">
        <f>VLOOKUP(H1046,'Fund Utilization Report'!$A$4:$U$1800,3,FALSE)</f>
        <v>2021-01-0015</v>
      </c>
      <c r="V1046" s="239" t="str">
        <f>VLOOKUP(H1046,'Fund Utilization Report'!$A$4:$U$1800,4,FALSE)</f>
        <v>CARP</v>
      </c>
      <c r="W1046" s="239" t="str">
        <f>VLOOKUP(H1046,'Fund Utilization Report'!$A$4:$U$1800,5,FALSE)</f>
        <v>01101101</v>
      </c>
      <c r="X1046" s="239" t="str">
        <f>VLOOKUP(H1046,'Fund Utilization Report'!$A$4:$U$1800,6,FALSE)</f>
        <v>GOP</v>
      </c>
      <c r="Y1046" s="440">
        <f>VLOOKUP(H1046,'Fund Utilization Report'!$A$4:$U$1800,7,FALSE)</f>
        <v>706</v>
      </c>
      <c r="Z1046" s="441" t="str">
        <f>VLOOKUP(H1046,'Fund Utilization Report'!$A$4:$U$1800,8,FALSE)</f>
        <v>50101020 00</v>
      </c>
      <c r="AA1046" s="239" t="str">
        <f>VLOOKUP(H1046,'Fund Utilization Report'!$A$4:$U$1800,14,FALSE)</f>
        <v>330100100003000</v>
      </c>
      <c r="AB1046" s="242" t="str">
        <f>VLOOKUP(H1046,'Fund Utilization Report'!$A$4:$U$1800,15,FALSE)</f>
        <v>MSME Development Program : Program Beneficiaries Development Component of the Comprehensive Agrarian Reform Program</v>
      </c>
      <c r="AC1046" s="51"/>
      <c r="AD1046" s="435"/>
      <c r="AE1046" s="51"/>
      <c r="AF1046" s="51"/>
      <c r="AG1046" s="442"/>
      <c r="AH1046" s="442"/>
      <c r="AI1046" s="443"/>
    </row>
    <row r="1047" spans="1:35" s="32" customFormat="1" ht="27.6">
      <c r="A1047" s="434" t="s">
        <v>942</v>
      </c>
      <c r="B1047" s="457" t="s">
        <v>946</v>
      </c>
      <c r="C1047" s="233">
        <v>44265</v>
      </c>
      <c r="D1047" s="435" t="s">
        <v>1267</v>
      </c>
      <c r="E1047" s="436" t="s">
        <v>1392</v>
      </c>
      <c r="F1047" s="338">
        <v>0.42499999999999999</v>
      </c>
      <c r="G1047" s="338">
        <v>0.42708333333333331</v>
      </c>
      <c r="H1047" s="338" t="s">
        <v>999</v>
      </c>
      <c r="I1047" s="353">
        <v>733</v>
      </c>
      <c r="J1047" s="338" t="str">
        <f>IFERROR(VLOOKUP(I1047,'Chart of accounts'!A:H,2,FALSE),"")</f>
        <v>50103030 01</v>
      </c>
      <c r="K1047" s="338" t="str">
        <f>IFERROR(VLOOKUP(I1047,'Chart of accounts'!A:H,3,FALSE),"")</f>
        <v>PhilHealth - Civilian</v>
      </c>
      <c r="L1047" s="338" t="str">
        <f>IFERROR(VLOOKUP(I1047,'Chart of accounts'!A:H,4,FALSE),"")</f>
        <v>50103030 01 - PhilHealth - Civilian (733)</v>
      </c>
      <c r="M1047" s="361">
        <v>3</v>
      </c>
      <c r="N1047" s="355" t="s">
        <v>867</v>
      </c>
      <c r="O1047" s="355" t="s">
        <v>1390</v>
      </c>
      <c r="P1047" s="355"/>
      <c r="Q1047" s="363">
        <v>503.63</v>
      </c>
      <c r="R1047" s="428">
        <f t="shared" si="33"/>
        <v>-503.63</v>
      </c>
      <c r="S1047" s="239" t="str">
        <f>VLOOKUP(H1047,'Fund Utilization Report'!$A$4:$U$1800,13,FALSE)</f>
        <v>PS</v>
      </c>
      <c r="T1047" s="239" t="str">
        <f>VLOOKUP(H1047,'Fund Utilization Report'!$A$4:$U$1800,2,FALSE)</f>
        <v>SAA15</v>
      </c>
      <c r="U1047" s="239" t="str">
        <f>VLOOKUP(H1047,'Fund Utilization Report'!$A$4:$U$1800,3,FALSE)</f>
        <v>2021-01-0015</v>
      </c>
      <c r="V1047" s="239" t="str">
        <f>VLOOKUP(H1047,'Fund Utilization Report'!$A$4:$U$1800,4,FALSE)</f>
        <v>CARP</v>
      </c>
      <c r="W1047" s="239" t="str">
        <f>VLOOKUP(H1047,'Fund Utilization Report'!$A$4:$U$1800,5,FALSE)</f>
        <v>01101101</v>
      </c>
      <c r="X1047" s="239" t="str">
        <f>VLOOKUP(H1047,'Fund Utilization Report'!$A$4:$U$1800,6,FALSE)</f>
        <v>GOP</v>
      </c>
      <c r="Y1047" s="440">
        <f>VLOOKUP(H1047,'Fund Utilization Report'!$A$4:$U$1800,7,FALSE)</f>
        <v>706</v>
      </c>
      <c r="Z1047" s="441" t="str">
        <f>VLOOKUP(H1047,'Fund Utilization Report'!$A$4:$U$1800,8,FALSE)</f>
        <v>50101020 00</v>
      </c>
      <c r="AA1047" s="239" t="str">
        <f>VLOOKUP(H1047,'Fund Utilization Report'!$A$4:$U$1800,14,FALSE)</f>
        <v>330100100003000</v>
      </c>
      <c r="AB1047" s="242" t="str">
        <f>VLOOKUP(H1047,'Fund Utilization Report'!$A$4:$U$1800,15,FALSE)</f>
        <v>MSME Development Program : Program Beneficiaries Development Component of the Comprehensive Agrarian Reform Program</v>
      </c>
      <c r="AC1047" s="51"/>
      <c r="AD1047" s="435"/>
      <c r="AE1047" s="51"/>
      <c r="AF1047" s="51"/>
      <c r="AG1047" s="442"/>
      <c r="AH1047" s="442"/>
      <c r="AI1047" s="443"/>
    </row>
    <row r="1048" spans="1:35" s="32" customFormat="1" ht="27.6">
      <c r="A1048" s="434" t="s">
        <v>942</v>
      </c>
      <c r="B1048" s="457" t="s">
        <v>946</v>
      </c>
      <c r="C1048" s="233">
        <v>44265</v>
      </c>
      <c r="D1048" s="435" t="s">
        <v>1267</v>
      </c>
      <c r="E1048" s="436" t="s">
        <v>1392</v>
      </c>
      <c r="F1048" s="338">
        <v>0.42499999999999999</v>
      </c>
      <c r="G1048" s="338">
        <v>0.42708333333333331</v>
      </c>
      <c r="H1048" s="338" t="s">
        <v>999</v>
      </c>
      <c r="I1048" s="353">
        <v>734</v>
      </c>
      <c r="J1048" s="338" t="str">
        <f>IFERROR(VLOOKUP(I1048,'Chart of accounts'!A:H,2,FALSE),"")</f>
        <v>50103040 01</v>
      </c>
      <c r="K1048" s="338" t="str">
        <f>IFERROR(VLOOKUP(I1048,'Chart of accounts'!A:H,3,FALSE),"")</f>
        <v>ECIP - Civilian</v>
      </c>
      <c r="L1048" s="338" t="str">
        <f>IFERROR(VLOOKUP(I1048,'Chart of accounts'!A:H,4,FALSE),"")</f>
        <v>50103040 01 - ECIP - Civilian (734)</v>
      </c>
      <c r="M1048" s="361">
        <v>3</v>
      </c>
      <c r="N1048" s="355" t="s">
        <v>867</v>
      </c>
      <c r="O1048" s="355" t="s">
        <v>1390</v>
      </c>
      <c r="P1048" s="355"/>
      <c r="Q1048" s="363">
        <v>100</v>
      </c>
      <c r="R1048" s="428">
        <f t="shared" si="33"/>
        <v>-100</v>
      </c>
      <c r="S1048" s="239" t="str">
        <f>VLOOKUP(H1048,'Fund Utilization Report'!$A$4:$U$1800,13,FALSE)</f>
        <v>PS</v>
      </c>
      <c r="T1048" s="239" t="str">
        <f>VLOOKUP(H1048,'Fund Utilization Report'!$A$4:$U$1800,2,FALSE)</f>
        <v>SAA15</v>
      </c>
      <c r="U1048" s="239" t="str">
        <f>VLOOKUP(H1048,'Fund Utilization Report'!$A$4:$U$1800,3,FALSE)</f>
        <v>2021-01-0015</v>
      </c>
      <c r="V1048" s="239" t="str">
        <f>VLOOKUP(H1048,'Fund Utilization Report'!$A$4:$U$1800,4,FALSE)</f>
        <v>CARP</v>
      </c>
      <c r="W1048" s="239" t="str">
        <f>VLOOKUP(H1048,'Fund Utilization Report'!$A$4:$U$1800,5,FALSE)</f>
        <v>01101101</v>
      </c>
      <c r="X1048" s="239" t="str">
        <f>VLOOKUP(H1048,'Fund Utilization Report'!$A$4:$U$1800,6,FALSE)</f>
        <v>GOP</v>
      </c>
      <c r="Y1048" s="440">
        <f>VLOOKUP(H1048,'Fund Utilization Report'!$A$4:$U$1800,7,FALSE)</f>
        <v>706</v>
      </c>
      <c r="Z1048" s="441" t="str">
        <f>VLOOKUP(H1048,'Fund Utilization Report'!$A$4:$U$1800,8,FALSE)</f>
        <v>50101020 00</v>
      </c>
      <c r="AA1048" s="239" t="str">
        <f>VLOOKUP(H1048,'Fund Utilization Report'!$A$4:$U$1800,14,FALSE)</f>
        <v>330100100003000</v>
      </c>
      <c r="AB1048" s="242" t="str">
        <f>VLOOKUP(H1048,'Fund Utilization Report'!$A$4:$U$1800,15,FALSE)</f>
        <v>MSME Development Program : Program Beneficiaries Development Component of the Comprehensive Agrarian Reform Program</v>
      </c>
      <c r="AC1048" s="51"/>
      <c r="AD1048" s="435"/>
      <c r="AE1048" s="51"/>
      <c r="AF1048" s="51"/>
      <c r="AG1048" s="442"/>
      <c r="AH1048" s="442"/>
      <c r="AI1048" s="443"/>
    </row>
    <row r="1049" spans="1:35" s="32" customFormat="1" ht="27.6">
      <c r="A1049" s="434" t="s">
        <v>942</v>
      </c>
      <c r="B1049" s="457" t="s">
        <v>946</v>
      </c>
      <c r="C1049" s="233">
        <v>44265</v>
      </c>
      <c r="D1049" s="435" t="s">
        <v>1267</v>
      </c>
      <c r="E1049" s="436" t="s">
        <v>1393</v>
      </c>
      <c r="F1049" s="338">
        <v>0.42708333333333331</v>
      </c>
      <c r="G1049" s="338">
        <v>0.4291666666666667</v>
      </c>
      <c r="H1049" s="338" t="s">
        <v>970</v>
      </c>
      <c r="I1049" s="353">
        <v>701</v>
      </c>
      <c r="J1049" s="338" t="str">
        <f>IFERROR(VLOOKUP(I1049,'Chart of accounts'!A:H,2,FALSE),"")</f>
        <v>50101010 01</v>
      </c>
      <c r="K1049" s="338" t="str">
        <f>IFERROR(VLOOKUP(I1049,'Chart of accounts'!A:H,3,FALSE),"")</f>
        <v>Basic Salary - Civilian</v>
      </c>
      <c r="L1049" s="338" t="str">
        <f>IFERROR(VLOOKUP(I1049,'Chart of accounts'!A:H,4,FALSE),"")</f>
        <v>50101010 01 - Basic Salary - Civilian (701)</v>
      </c>
      <c r="M1049" s="361">
        <v>1</v>
      </c>
      <c r="N1049" s="355" t="s">
        <v>1165</v>
      </c>
      <c r="O1049" s="355" t="s">
        <v>1394</v>
      </c>
      <c r="P1049" s="355"/>
      <c r="Q1049" s="363">
        <v>23877</v>
      </c>
      <c r="R1049" s="428">
        <f t="shared" si="33"/>
        <v>-23877</v>
      </c>
      <c r="S1049" s="239" t="str">
        <f>VLOOKUP(H1049,'Fund Utilization Report'!$A$4:$U$1800,13,FALSE)</f>
        <v>PS</v>
      </c>
      <c r="T1049" s="239" t="str">
        <f>VLOOKUP(H1049,'Fund Utilization Report'!$A$4:$U$1800,2,FALSE)</f>
        <v>GAA</v>
      </c>
      <c r="U1049" s="239" t="str">
        <f>VLOOKUP(H1049,'Fund Utilization Report'!$A$4:$U$1800,3,FALSE)</f>
        <v>FY2021, RA11518</v>
      </c>
      <c r="V1049" s="239" t="str">
        <f>VLOOKUP(H1049,'Fund Utilization Report'!$A$4:$U$1800,4,FALSE)</f>
        <v>OO3</v>
      </c>
      <c r="W1049" s="239" t="str">
        <f>VLOOKUP(H1049,'Fund Utilization Report'!$A$4:$U$1800,5,FALSE)</f>
        <v>01101101</v>
      </c>
      <c r="X1049" s="239" t="str">
        <f>VLOOKUP(H1049,'Fund Utilization Report'!$A$4:$U$1800,6,FALSE)</f>
        <v>GOP</v>
      </c>
      <c r="Y1049" s="440" t="str">
        <f>VLOOKUP(H1049,'Fund Utilization Report'!$A$4:$U$1800,7,FALSE)</f>
        <v>PS</v>
      </c>
      <c r="Z1049" s="441">
        <f>VLOOKUP(H1049,'Fund Utilization Report'!$A$4:$U$1800,8,FALSE)</f>
        <v>5010000000</v>
      </c>
      <c r="AA1049" s="239" t="str">
        <f>VLOOKUP(H1049,'Fund Utilization Report'!$A$4:$U$1800,14,FALSE)</f>
        <v>330100100002000</v>
      </c>
      <c r="AB1049" s="242" t="str">
        <f>VLOOKUP(H1049,'Fund Utilization Report'!$A$4:$U$1800,15,FALSE)</f>
        <v>Implementation of the MSME Development Plan and other initiatives to promote the growth of Micro, Small and Medium Enterprises</v>
      </c>
      <c r="AC1049" s="51"/>
      <c r="AD1049" s="435"/>
      <c r="AE1049" s="51"/>
      <c r="AF1049" s="51"/>
      <c r="AG1049" s="442"/>
      <c r="AH1049" s="442"/>
      <c r="AI1049" s="443"/>
    </row>
    <row r="1050" spans="1:35" s="32" customFormat="1" ht="27.6">
      <c r="A1050" s="434" t="s">
        <v>942</v>
      </c>
      <c r="B1050" s="457" t="s">
        <v>946</v>
      </c>
      <c r="C1050" s="233">
        <v>44265</v>
      </c>
      <c r="D1050" s="435" t="s">
        <v>1267</v>
      </c>
      <c r="E1050" s="436" t="s">
        <v>1393</v>
      </c>
      <c r="F1050" s="338">
        <v>0.42708333333333331</v>
      </c>
      <c r="G1050" s="338">
        <v>0.4291666666666667</v>
      </c>
      <c r="H1050" s="338" t="s">
        <v>970</v>
      </c>
      <c r="I1050" s="353">
        <v>711</v>
      </c>
      <c r="J1050" s="338" t="str">
        <f>IFERROR(VLOOKUP(I1050,'Chart of accounts'!A:H,2,FALSE),"")</f>
        <v>50102010 01</v>
      </c>
      <c r="K1050" s="338" t="str">
        <f>IFERROR(VLOOKUP(I1050,'Chart of accounts'!A:H,3,FALSE),"")</f>
        <v>PERA - Civilian</v>
      </c>
      <c r="L1050" s="338" t="str">
        <f>IFERROR(VLOOKUP(I1050,'Chart of accounts'!A:H,4,FALSE),"")</f>
        <v>50102010 01 - PERA - Civilian (711)</v>
      </c>
      <c r="M1050" s="361">
        <v>1</v>
      </c>
      <c r="N1050" s="355" t="s">
        <v>1165</v>
      </c>
      <c r="O1050" s="355" t="s">
        <v>1394</v>
      </c>
      <c r="P1050" s="355"/>
      <c r="Q1050" s="363">
        <v>2000</v>
      </c>
      <c r="R1050" s="428">
        <f t="shared" si="33"/>
        <v>-2000</v>
      </c>
      <c r="S1050" s="239" t="str">
        <f>VLOOKUP(H1050,'Fund Utilization Report'!$A$4:$U$1800,13,FALSE)</f>
        <v>PS</v>
      </c>
      <c r="T1050" s="239" t="str">
        <f>VLOOKUP(H1050,'Fund Utilization Report'!$A$4:$U$1800,2,FALSE)</f>
        <v>GAA</v>
      </c>
      <c r="U1050" s="239" t="str">
        <f>VLOOKUP(H1050,'Fund Utilization Report'!$A$4:$U$1800,3,FALSE)</f>
        <v>FY2021, RA11518</v>
      </c>
      <c r="V1050" s="239" t="str">
        <f>VLOOKUP(H1050,'Fund Utilization Report'!$A$4:$U$1800,4,FALSE)</f>
        <v>OO3</v>
      </c>
      <c r="W1050" s="239" t="str">
        <f>VLOOKUP(H1050,'Fund Utilization Report'!$A$4:$U$1800,5,FALSE)</f>
        <v>01101101</v>
      </c>
      <c r="X1050" s="239" t="str">
        <f>VLOOKUP(H1050,'Fund Utilization Report'!$A$4:$U$1800,6,FALSE)</f>
        <v>GOP</v>
      </c>
      <c r="Y1050" s="440" t="str">
        <f>VLOOKUP(H1050,'Fund Utilization Report'!$A$4:$U$1800,7,FALSE)</f>
        <v>PS</v>
      </c>
      <c r="Z1050" s="441">
        <f>VLOOKUP(H1050,'Fund Utilization Report'!$A$4:$U$1800,8,FALSE)</f>
        <v>5010000000</v>
      </c>
      <c r="AA1050" s="239" t="str">
        <f>VLOOKUP(H1050,'Fund Utilization Report'!$A$4:$U$1800,14,FALSE)</f>
        <v>330100100002000</v>
      </c>
      <c r="AB1050" s="242" t="str">
        <f>VLOOKUP(H1050,'Fund Utilization Report'!$A$4:$U$1800,15,FALSE)</f>
        <v>Implementation of the MSME Development Plan and other initiatives to promote the growth of Micro, Small and Medium Enterprises</v>
      </c>
      <c r="AC1050" s="51"/>
      <c r="AD1050" s="435"/>
      <c r="AE1050" s="51"/>
      <c r="AF1050" s="51"/>
      <c r="AG1050" s="442"/>
      <c r="AH1050" s="442"/>
      <c r="AI1050" s="443"/>
    </row>
    <row r="1051" spans="1:35" s="32" customFormat="1" ht="27.6">
      <c r="A1051" s="434" t="s">
        <v>942</v>
      </c>
      <c r="B1051" s="457" t="s">
        <v>946</v>
      </c>
      <c r="C1051" s="233">
        <v>44265</v>
      </c>
      <c r="D1051" s="435" t="s">
        <v>1267</v>
      </c>
      <c r="E1051" s="436" t="s">
        <v>1393</v>
      </c>
      <c r="F1051" s="338">
        <v>0.42708333333333331</v>
      </c>
      <c r="G1051" s="338">
        <v>0.4291666666666667</v>
      </c>
      <c r="H1051" s="338" t="s">
        <v>972</v>
      </c>
      <c r="I1051" s="353">
        <v>731</v>
      </c>
      <c r="J1051" s="338" t="str">
        <f>IFERROR(VLOOKUP(I1051,'Chart of accounts'!A:H,2,FALSE),"")</f>
        <v>50103010 00</v>
      </c>
      <c r="K1051" s="338" t="str">
        <f>IFERROR(VLOOKUP(I1051,'Chart of accounts'!A:H,3,FALSE),"")</f>
        <v>Retirement and Life Insurance Premiums</v>
      </c>
      <c r="L1051" s="338" t="str">
        <f>IFERROR(VLOOKUP(I1051,'Chart of accounts'!A:H,4,FALSE),"")</f>
        <v>50103010 00 - Retirement and Life Insurance Premiums (731)</v>
      </c>
      <c r="M1051" s="361">
        <v>1</v>
      </c>
      <c r="N1051" s="355" t="s">
        <v>1165</v>
      </c>
      <c r="O1051" s="355" t="s">
        <v>1394</v>
      </c>
      <c r="P1051" s="355"/>
      <c r="Q1051" s="363">
        <v>2865.24</v>
      </c>
      <c r="R1051" s="428">
        <f t="shared" si="33"/>
        <v>-2865.24</v>
      </c>
      <c r="S1051" s="239" t="str">
        <f>VLOOKUP(H1051,'Fund Utilization Report'!$A$4:$U$1800,13,FALSE)</f>
        <v>PS</v>
      </c>
      <c r="T1051" s="239" t="str">
        <f>VLOOKUP(H1051,'Fund Utilization Report'!$A$4:$U$1800,2,FALSE)</f>
        <v>GAA</v>
      </c>
      <c r="U1051" s="239" t="str">
        <f>VLOOKUP(H1051,'Fund Utilization Report'!$A$4:$U$1800,3,FALSE)</f>
        <v>FY2021, RA11518</v>
      </c>
      <c r="V1051" s="239" t="str">
        <f>VLOOKUP(H1051,'Fund Utilization Report'!$A$4:$U$1800,4,FALSE)</f>
        <v>OO3</v>
      </c>
      <c r="W1051" s="239" t="str">
        <f>VLOOKUP(H1051,'Fund Utilization Report'!$A$4:$U$1800,5,FALSE)</f>
        <v>01101101</v>
      </c>
      <c r="X1051" s="239" t="str">
        <f>VLOOKUP(H1051,'Fund Utilization Report'!$A$4:$U$1800,6,FALSE)</f>
        <v>GOP</v>
      </c>
      <c r="Y1051" s="440" t="str">
        <f>VLOOKUP(H1051,'Fund Utilization Report'!$A$4:$U$1800,7,FALSE)</f>
        <v>RLIP</v>
      </c>
      <c r="Z1051" s="441" t="str">
        <f>VLOOKUP(H1051,'Fund Utilization Report'!$A$4:$U$1800,8,FALSE)</f>
        <v>50103010-00</v>
      </c>
      <c r="AA1051" s="239" t="str">
        <f>VLOOKUP(H1051,'Fund Utilization Report'!$A$4:$U$1800,14,FALSE)</f>
        <v>330100100002000</v>
      </c>
      <c r="AB1051" s="242" t="str">
        <f>VLOOKUP(H1051,'Fund Utilization Report'!$A$4:$U$1800,15,FALSE)</f>
        <v>Implementation of the MSME Development Plan and other initiatives to promote the growth of Micro, Small and Medium Enterprises</v>
      </c>
      <c r="AC1051" s="51"/>
      <c r="AD1051" s="435"/>
      <c r="AE1051" s="51"/>
      <c r="AF1051" s="51"/>
      <c r="AG1051" s="442"/>
      <c r="AH1051" s="442"/>
      <c r="AI1051" s="443"/>
    </row>
    <row r="1052" spans="1:35" s="32" customFormat="1" ht="27.6">
      <c r="A1052" s="434" t="s">
        <v>942</v>
      </c>
      <c r="B1052" s="457" t="s">
        <v>946</v>
      </c>
      <c r="C1052" s="233">
        <v>44265</v>
      </c>
      <c r="D1052" s="435" t="s">
        <v>1267</v>
      </c>
      <c r="E1052" s="436" t="s">
        <v>1393</v>
      </c>
      <c r="F1052" s="338">
        <v>0.42708333333333331</v>
      </c>
      <c r="G1052" s="338">
        <v>0.4291666666666667</v>
      </c>
      <c r="H1052" s="338" t="s">
        <v>970</v>
      </c>
      <c r="I1052" s="353">
        <v>732</v>
      </c>
      <c r="J1052" s="338" t="str">
        <f>IFERROR(VLOOKUP(I1052,'Chart of accounts'!A:H,2,FALSE),"")</f>
        <v>50103020 01</v>
      </c>
      <c r="K1052" s="338" t="str">
        <f>IFERROR(VLOOKUP(I1052,'Chart of accounts'!A:H,3,FALSE),"")</f>
        <v>Pag-IBIG - Civilian</v>
      </c>
      <c r="L1052" s="338" t="str">
        <f>IFERROR(VLOOKUP(I1052,'Chart of accounts'!A:H,4,FALSE),"")</f>
        <v>50103020 01 - Pag-IBIG - Civilian (732)</v>
      </c>
      <c r="M1052" s="361">
        <v>1</v>
      </c>
      <c r="N1052" s="355" t="s">
        <v>1165</v>
      </c>
      <c r="O1052" s="355" t="s">
        <v>1394</v>
      </c>
      <c r="P1052" s="355"/>
      <c r="Q1052" s="363">
        <v>100</v>
      </c>
      <c r="R1052" s="428">
        <f t="shared" ref="R1052:R1058" si="34">P1052-Q1052</f>
        <v>-100</v>
      </c>
      <c r="S1052" s="239" t="str">
        <f>VLOOKUP(H1052,'Fund Utilization Report'!$A$4:$U$1800,13,FALSE)</f>
        <v>PS</v>
      </c>
      <c r="T1052" s="239" t="str">
        <f>VLOOKUP(H1052,'Fund Utilization Report'!$A$4:$U$1800,2,FALSE)</f>
        <v>GAA</v>
      </c>
      <c r="U1052" s="239" t="str">
        <f>VLOOKUP(H1052,'Fund Utilization Report'!$A$4:$U$1800,3,FALSE)</f>
        <v>FY2021, RA11518</v>
      </c>
      <c r="V1052" s="239" t="str">
        <f>VLOOKUP(H1052,'Fund Utilization Report'!$A$4:$U$1800,4,FALSE)</f>
        <v>OO3</v>
      </c>
      <c r="W1052" s="239" t="str">
        <f>VLOOKUP(H1052,'Fund Utilization Report'!$A$4:$U$1800,5,FALSE)</f>
        <v>01101101</v>
      </c>
      <c r="X1052" s="239" t="str">
        <f>VLOOKUP(H1052,'Fund Utilization Report'!$A$4:$U$1800,6,FALSE)</f>
        <v>GOP</v>
      </c>
      <c r="Y1052" s="440" t="str">
        <f>VLOOKUP(H1052,'Fund Utilization Report'!$A$4:$U$1800,7,FALSE)</f>
        <v>PS</v>
      </c>
      <c r="Z1052" s="441">
        <f>VLOOKUP(H1052,'Fund Utilization Report'!$A$4:$U$1800,8,FALSE)</f>
        <v>5010000000</v>
      </c>
      <c r="AA1052" s="239" t="str">
        <f>VLOOKUP(H1052,'Fund Utilization Report'!$A$4:$U$1800,14,FALSE)</f>
        <v>330100100002000</v>
      </c>
      <c r="AB1052" s="242" t="str">
        <f>VLOOKUP(H1052,'Fund Utilization Report'!$A$4:$U$1800,15,FALSE)</f>
        <v>Implementation of the MSME Development Plan and other initiatives to promote the growth of Micro, Small and Medium Enterprises</v>
      </c>
      <c r="AC1052" s="51"/>
      <c r="AD1052" s="435"/>
      <c r="AE1052" s="51"/>
      <c r="AF1052" s="51"/>
      <c r="AG1052" s="442"/>
      <c r="AH1052" s="442"/>
      <c r="AI1052" s="443"/>
    </row>
    <row r="1053" spans="1:35" s="32" customFormat="1" ht="27.6">
      <c r="A1053" s="434" t="s">
        <v>942</v>
      </c>
      <c r="B1053" s="457" t="s">
        <v>946</v>
      </c>
      <c r="C1053" s="233">
        <v>44265</v>
      </c>
      <c r="D1053" s="435" t="s">
        <v>1267</v>
      </c>
      <c r="E1053" s="436" t="s">
        <v>1393</v>
      </c>
      <c r="F1053" s="338">
        <v>0.42708333333333331</v>
      </c>
      <c r="G1053" s="338">
        <v>0.4291666666666667</v>
      </c>
      <c r="H1053" s="338" t="s">
        <v>970</v>
      </c>
      <c r="I1053" s="353">
        <v>733</v>
      </c>
      <c r="J1053" s="338" t="str">
        <f>IFERROR(VLOOKUP(I1053,'Chart of accounts'!A:H,2,FALSE),"")</f>
        <v>50103030 01</v>
      </c>
      <c r="K1053" s="338" t="str">
        <f>IFERROR(VLOOKUP(I1053,'Chart of accounts'!A:H,3,FALSE),"")</f>
        <v>PhilHealth - Civilian</v>
      </c>
      <c r="L1053" s="338" t="str">
        <f>IFERROR(VLOOKUP(I1053,'Chart of accounts'!A:H,4,FALSE),"")</f>
        <v>50103030 01 - PhilHealth - Civilian (733)</v>
      </c>
      <c r="M1053" s="361">
        <v>1</v>
      </c>
      <c r="N1053" s="355" t="s">
        <v>1165</v>
      </c>
      <c r="O1053" s="355" t="s">
        <v>1394</v>
      </c>
      <c r="P1053" s="355"/>
      <c r="Q1053" s="363">
        <v>358.16</v>
      </c>
      <c r="R1053" s="428">
        <f t="shared" si="34"/>
        <v>-358.16</v>
      </c>
      <c r="S1053" s="239" t="str">
        <f>VLOOKUP(H1053,'Fund Utilization Report'!$A$4:$U$1800,13,FALSE)</f>
        <v>PS</v>
      </c>
      <c r="T1053" s="239" t="str">
        <f>VLOOKUP(H1053,'Fund Utilization Report'!$A$4:$U$1800,2,FALSE)</f>
        <v>GAA</v>
      </c>
      <c r="U1053" s="239" t="str">
        <f>VLOOKUP(H1053,'Fund Utilization Report'!$A$4:$U$1800,3,FALSE)</f>
        <v>FY2021, RA11518</v>
      </c>
      <c r="V1053" s="239" t="str">
        <f>VLOOKUP(H1053,'Fund Utilization Report'!$A$4:$U$1800,4,FALSE)</f>
        <v>OO3</v>
      </c>
      <c r="W1053" s="239" t="str">
        <f>VLOOKUP(H1053,'Fund Utilization Report'!$A$4:$U$1800,5,FALSE)</f>
        <v>01101101</v>
      </c>
      <c r="X1053" s="239" t="str">
        <f>VLOOKUP(H1053,'Fund Utilization Report'!$A$4:$U$1800,6,FALSE)</f>
        <v>GOP</v>
      </c>
      <c r="Y1053" s="440" t="str">
        <f>VLOOKUP(H1053,'Fund Utilization Report'!$A$4:$U$1800,7,FALSE)</f>
        <v>PS</v>
      </c>
      <c r="Z1053" s="441">
        <f>VLOOKUP(H1053,'Fund Utilization Report'!$A$4:$U$1800,8,FALSE)</f>
        <v>5010000000</v>
      </c>
      <c r="AA1053" s="239" t="str">
        <f>VLOOKUP(H1053,'Fund Utilization Report'!$A$4:$U$1800,14,FALSE)</f>
        <v>330100100002000</v>
      </c>
      <c r="AB1053" s="242" t="str">
        <f>VLOOKUP(H1053,'Fund Utilization Report'!$A$4:$U$1800,15,FALSE)</f>
        <v>Implementation of the MSME Development Plan and other initiatives to promote the growth of Micro, Small and Medium Enterprises</v>
      </c>
      <c r="AC1053" s="51"/>
      <c r="AD1053" s="435"/>
      <c r="AE1053" s="51"/>
      <c r="AF1053" s="51"/>
      <c r="AG1053" s="442"/>
      <c r="AH1053" s="442"/>
      <c r="AI1053" s="443"/>
    </row>
    <row r="1054" spans="1:35" s="32" customFormat="1" ht="27.6">
      <c r="A1054" s="434" t="s">
        <v>942</v>
      </c>
      <c r="B1054" s="457" t="s">
        <v>946</v>
      </c>
      <c r="C1054" s="233">
        <v>44265</v>
      </c>
      <c r="D1054" s="435" t="s">
        <v>1267</v>
      </c>
      <c r="E1054" s="436" t="s">
        <v>1393</v>
      </c>
      <c r="F1054" s="338">
        <v>0.42708333333333331</v>
      </c>
      <c r="G1054" s="338">
        <v>0.4291666666666667</v>
      </c>
      <c r="H1054" s="338" t="s">
        <v>970</v>
      </c>
      <c r="I1054" s="353">
        <v>734</v>
      </c>
      <c r="J1054" s="338" t="str">
        <f>IFERROR(VLOOKUP(I1054,'Chart of accounts'!A:H,2,FALSE),"")</f>
        <v>50103040 01</v>
      </c>
      <c r="K1054" s="338" t="str">
        <f>IFERROR(VLOOKUP(I1054,'Chart of accounts'!A:H,3,FALSE),"")</f>
        <v>ECIP - Civilian</v>
      </c>
      <c r="L1054" s="338" t="str">
        <f>IFERROR(VLOOKUP(I1054,'Chart of accounts'!A:H,4,FALSE),"")</f>
        <v>50103040 01 - ECIP - Civilian (734)</v>
      </c>
      <c r="M1054" s="361">
        <v>1</v>
      </c>
      <c r="N1054" s="355" t="s">
        <v>1165</v>
      </c>
      <c r="O1054" s="355" t="s">
        <v>1394</v>
      </c>
      <c r="P1054" s="355"/>
      <c r="Q1054" s="363">
        <v>100</v>
      </c>
      <c r="R1054" s="428">
        <f t="shared" si="34"/>
        <v>-100</v>
      </c>
      <c r="S1054" s="239" t="str">
        <f>VLOOKUP(H1054,'Fund Utilization Report'!$A$4:$U$1800,13,FALSE)</f>
        <v>PS</v>
      </c>
      <c r="T1054" s="239" t="str">
        <f>VLOOKUP(H1054,'Fund Utilization Report'!$A$4:$U$1800,2,FALSE)</f>
        <v>GAA</v>
      </c>
      <c r="U1054" s="239" t="str">
        <f>VLOOKUP(H1054,'Fund Utilization Report'!$A$4:$U$1800,3,FALSE)</f>
        <v>FY2021, RA11518</v>
      </c>
      <c r="V1054" s="239" t="str">
        <f>VLOOKUP(H1054,'Fund Utilization Report'!$A$4:$U$1800,4,FALSE)</f>
        <v>OO3</v>
      </c>
      <c r="W1054" s="239" t="str">
        <f>VLOOKUP(H1054,'Fund Utilization Report'!$A$4:$U$1800,5,FALSE)</f>
        <v>01101101</v>
      </c>
      <c r="X1054" s="239" t="str">
        <f>VLOOKUP(H1054,'Fund Utilization Report'!$A$4:$U$1800,6,FALSE)</f>
        <v>GOP</v>
      </c>
      <c r="Y1054" s="440" t="str">
        <f>VLOOKUP(H1054,'Fund Utilization Report'!$A$4:$U$1800,7,FALSE)</f>
        <v>PS</v>
      </c>
      <c r="Z1054" s="441">
        <f>VLOOKUP(H1054,'Fund Utilization Report'!$A$4:$U$1800,8,FALSE)</f>
        <v>5010000000</v>
      </c>
      <c r="AA1054" s="239" t="str">
        <f>VLOOKUP(H1054,'Fund Utilization Report'!$A$4:$U$1800,14,FALSE)</f>
        <v>330100100002000</v>
      </c>
      <c r="AB1054" s="242" t="str">
        <f>VLOOKUP(H1054,'Fund Utilization Report'!$A$4:$U$1800,15,FALSE)</f>
        <v>Implementation of the MSME Development Plan and other initiatives to promote the growth of Micro, Small and Medium Enterprises</v>
      </c>
      <c r="AC1054" s="51"/>
      <c r="AD1054" s="435"/>
      <c r="AE1054" s="51"/>
      <c r="AF1054" s="51"/>
      <c r="AG1054" s="442"/>
      <c r="AH1054" s="442"/>
      <c r="AI1054" s="443"/>
    </row>
    <row r="1055" spans="1:35" s="32" customFormat="1" ht="27.6">
      <c r="A1055" s="434" t="s">
        <v>942</v>
      </c>
      <c r="B1055" s="457" t="s">
        <v>946</v>
      </c>
      <c r="C1055" s="233">
        <v>44265</v>
      </c>
      <c r="D1055" s="435" t="s">
        <v>1267</v>
      </c>
      <c r="E1055" s="436" t="s">
        <v>1395</v>
      </c>
      <c r="F1055" s="338">
        <v>0.4291666666666667</v>
      </c>
      <c r="G1055" s="338">
        <v>0.43055555555555558</v>
      </c>
      <c r="H1055" s="338" t="s">
        <v>970</v>
      </c>
      <c r="I1055" s="353">
        <v>701</v>
      </c>
      <c r="J1055" s="338" t="str">
        <f>IFERROR(VLOOKUP(I1055,'Chart of accounts'!A:H,2,FALSE),"")</f>
        <v>50101010 01</v>
      </c>
      <c r="K1055" s="338" t="str">
        <f>IFERROR(VLOOKUP(I1055,'Chart of accounts'!A:H,3,FALSE),"")</f>
        <v>Basic Salary - Civilian</v>
      </c>
      <c r="L1055" s="338" t="str">
        <f>IFERROR(VLOOKUP(I1055,'Chart of accounts'!A:H,4,FALSE),"")</f>
        <v>50101010 01 - Basic Salary - Civilian (701)</v>
      </c>
      <c r="M1055" s="361">
        <v>3</v>
      </c>
      <c r="N1055" s="355" t="s">
        <v>1170</v>
      </c>
      <c r="O1055" s="355" t="s">
        <v>1394</v>
      </c>
      <c r="P1055" s="355"/>
      <c r="Q1055" s="363">
        <v>23877</v>
      </c>
      <c r="R1055" s="428">
        <f t="shared" si="34"/>
        <v>-23877</v>
      </c>
      <c r="S1055" s="239" t="str">
        <f>VLOOKUP(H1055,'Fund Utilization Report'!$A$4:$U$1800,13,FALSE)</f>
        <v>PS</v>
      </c>
      <c r="T1055" s="239" t="str">
        <f>VLOOKUP(H1055,'Fund Utilization Report'!$A$4:$U$1800,2,FALSE)</f>
        <v>GAA</v>
      </c>
      <c r="U1055" s="239" t="str">
        <f>VLOOKUP(H1055,'Fund Utilization Report'!$A$4:$U$1800,3,FALSE)</f>
        <v>FY2021, RA11518</v>
      </c>
      <c r="V1055" s="239" t="str">
        <f>VLOOKUP(H1055,'Fund Utilization Report'!$A$4:$U$1800,4,FALSE)</f>
        <v>OO3</v>
      </c>
      <c r="W1055" s="239" t="str">
        <f>VLOOKUP(H1055,'Fund Utilization Report'!$A$4:$U$1800,5,FALSE)</f>
        <v>01101101</v>
      </c>
      <c r="X1055" s="239" t="str">
        <f>VLOOKUP(H1055,'Fund Utilization Report'!$A$4:$U$1800,6,FALSE)</f>
        <v>GOP</v>
      </c>
      <c r="Y1055" s="440" t="str">
        <f>VLOOKUP(H1055,'Fund Utilization Report'!$A$4:$U$1800,7,FALSE)</f>
        <v>PS</v>
      </c>
      <c r="Z1055" s="441">
        <f>VLOOKUP(H1055,'Fund Utilization Report'!$A$4:$U$1800,8,FALSE)</f>
        <v>5010000000</v>
      </c>
      <c r="AA1055" s="239" t="str">
        <f>VLOOKUP(H1055,'Fund Utilization Report'!$A$4:$U$1800,14,FALSE)</f>
        <v>330100100002000</v>
      </c>
      <c r="AB1055" s="242" t="str">
        <f>VLOOKUP(H1055,'Fund Utilization Report'!$A$4:$U$1800,15,FALSE)</f>
        <v>Implementation of the MSME Development Plan and other initiatives to promote the growth of Micro, Small and Medium Enterprises</v>
      </c>
      <c r="AC1055" s="51"/>
      <c r="AD1055" s="435"/>
      <c r="AE1055" s="51"/>
      <c r="AF1055" s="51"/>
      <c r="AG1055" s="442"/>
      <c r="AH1055" s="442"/>
      <c r="AI1055" s="443"/>
    </row>
    <row r="1056" spans="1:35" s="32" customFormat="1" ht="27.6">
      <c r="A1056" s="434" t="s">
        <v>942</v>
      </c>
      <c r="B1056" s="457" t="s">
        <v>946</v>
      </c>
      <c r="C1056" s="233">
        <v>44265</v>
      </c>
      <c r="D1056" s="435" t="s">
        <v>1267</v>
      </c>
      <c r="E1056" s="436" t="s">
        <v>1395</v>
      </c>
      <c r="F1056" s="338">
        <v>0.4291666666666667</v>
      </c>
      <c r="G1056" s="338">
        <v>0.43055555555555558</v>
      </c>
      <c r="H1056" s="338" t="s">
        <v>970</v>
      </c>
      <c r="I1056" s="353">
        <v>711</v>
      </c>
      <c r="J1056" s="338" t="str">
        <f>IFERROR(VLOOKUP(I1056,'Chart of accounts'!A:H,2,FALSE),"")</f>
        <v>50102010 01</v>
      </c>
      <c r="K1056" s="338" t="str">
        <f>IFERROR(VLOOKUP(I1056,'Chart of accounts'!A:H,3,FALSE),"")</f>
        <v>PERA - Civilian</v>
      </c>
      <c r="L1056" s="338" t="str">
        <f>IFERROR(VLOOKUP(I1056,'Chart of accounts'!A:H,4,FALSE),"")</f>
        <v>50102010 01 - PERA - Civilian (711)</v>
      </c>
      <c r="M1056" s="361">
        <v>3</v>
      </c>
      <c r="N1056" s="355" t="s">
        <v>1170</v>
      </c>
      <c r="O1056" s="355" t="s">
        <v>1394</v>
      </c>
      <c r="P1056" s="355"/>
      <c r="Q1056" s="363">
        <v>2000</v>
      </c>
      <c r="R1056" s="428">
        <f t="shared" si="34"/>
        <v>-2000</v>
      </c>
      <c r="S1056" s="239" t="str">
        <f>VLOOKUP(H1056,'Fund Utilization Report'!$A$4:$U$1800,13,FALSE)</f>
        <v>PS</v>
      </c>
      <c r="T1056" s="239" t="str">
        <f>VLOOKUP(H1056,'Fund Utilization Report'!$A$4:$U$1800,2,FALSE)</f>
        <v>GAA</v>
      </c>
      <c r="U1056" s="239" t="str">
        <f>VLOOKUP(H1056,'Fund Utilization Report'!$A$4:$U$1800,3,FALSE)</f>
        <v>FY2021, RA11518</v>
      </c>
      <c r="V1056" s="239" t="str">
        <f>VLOOKUP(H1056,'Fund Utilization Report'!$A$4:$U$1800,4,FALSE)</f>
        <v>OO3</v>
      </c>
      <c r="W1056" s="239" t="str">
        <f>VLOOKUP(H1056,'Fund Utilization Report'!$A$4:$U$1800,5,FALSE)</f>
        <v>01101101</v>
      </c>
      <c r="X1056" s="239" t="str">
        <f>VLOOKUP(H1056,'Fund Utilization Report'!$A$4:$U$1800,6,FALSE)</f>
        <v>GOP</v>
      </c>
      <c r="Y1056" s="440" t="str">
        <f>VLOOKUP(H1056,'Fund Utilization Report'!$A$4:$U$1800,7,FALSE)</f>
        <v>PS</v>
      </c>
      <c r="Z1056" s="441">
        <f>VLOOKUP(H1056,'Fund Utilization Report'!$A$4:$U$1800,8,FALSE)</f>
        <v>5010000000</v>
      </c>
      <c r="AA1056" s="239" t="str">
        <f>VLOOKUP(H1056,'Fund Utilization Report'!$A$4:$U$1800,14,FALSE)</f>
        <v>330100100002000</v>
      </c>
      <c r="AB1056" s="242" t="str">
        <f>VLOOKUP(H1056,'Fund Utilization Report'!$A$4:$U$1800,15,FALSE)</f>
        <v>Implementation of the MSME Development Plan and other initiatives to promote the growth of Micro, Small and Medium Enterprises</v>
      </c>
      <c r="AC1056" s="51"/>
      <c r="AD1056" s="435"/>
      <c r="AE1056" s="51"/>
      <c r="AF1056" s="51"/>
      <c r="AG1056" s="442"/>
      <c r="AH1056" s="442"/>
      <c r="AI1056" s="443"/>
    </row>
    <row r="1057" spans="1:35" s="32" customFormat="1" ht="27.6">
      <c r="A1057" s="434" t="s">
        <v>942</v>
      </c>
      <c r="B1057" s="457" t="s">
        <v>946</v>
      </c>
      <c r="C1057" s="233">
        <v>44265</v>
      </c>
      <c r="D1057" s="435" t="s">
        <v>1267</v>
      </c>
      <c r="E1057" s="436" t="s">
        <v>1395</v>
      </c>
      <c r="F1057" s="338">
        <v>0.4291666666666667</v>
      </c>
      <c r="G1057" s="338">
        <v>0.43055555555555558</v>
      </c>
      <c r="H1057" s="338" t="s">
        <v>972</v>
      </c>
      <c r="I1057" s="353">
        <v>731</v>
      </c>
      <c r="J1057" s="338" t="str">
        <f>IFERROR(VLOOKUP(I1057,'Chart of accounts'!A:H,2,FALSE),"")</f>
        <v>50103010 00</v>
      </c>
      <c r="K1057" s="338" t="str">
        <f>IFERROR(VLOOKUP(I1057,'Chart of accounts'!A:H,3,FALSE),"")</f>
        <v>Retirement and Life Insurance Premiums</v>
      </c>
      <c r="L1057" s="338" t="str">
        <f>IFERROR(VLOOKUP(I1057,'Chart of accounts'!A:H,4,FALSE),"")</f>
        <v>50103010 00 - Retirement and Life Insurance Premiums (731)</v>
      </c>
      <c r="M1057" s="361">
        <v>3</v>
      </c>
      <c r="N1057" s="355" t="s">
        <v>1170</v>
      </c>
      <c r="O1057" s="355" t="s">
        <v>1394</v>
      </c>
      <c r="P1057" s="355"/>
      <c r="Q1057" s="363">
        <v>2865.24</v>
      </c>
      <c r="R1057" s="428">
        <f t="shared" si="34"/>
        <v>-2865.24</v>
      </c>
      <c r="S1057" s="239" t="str">
        <f>VLOOKUP(H1057,'Fund Utilization Report'!$A$4:$U$1800,13,FALSE)</f>
        <v>PS</v>
      </c>
      <c r="T1057" s="239" t="str">
        <f>VLOOKUP(H1057,'Fund Utilization Report'!$A$4:$U$1800,2,FALSE)</f>
        <v>GAA</v>
      </c>
      <c r="U1057" s="239" t="str">
        <f>VLOOKUP(H1057,'Fund Utilization Report'!$A$4:$U$1800,3,FALSE)</f>
        <v>FY2021, RA11518</v>
      </c>
      <c r="V1057" s="239" t="str">
        <f>VLOOKUP(H1057,'Fund Utilization Report'!$A$4:$U$1800,4,FALSE)</f>
        <v>OO3</v>
      </c>
      <c r="W1057" s="239" t="str">
        <f>VLOOKUP(H1057,'Fund Utilization Report'!$A$4:$U$1800,5,FALSE)</f>
        <v>01101101</v>
      </c>
      <c r="X1057" s="239" t="str">
        <f>VLOOKUP(H1057,'Fund Utilization Report'!$A$4:$U$1800,6,FALSE)</f>
        <v>GOP</v>
      </c>
      <c r="Y1057" s="440" t="str">
        <f>VLOOKUP(H1057,'Fund Utilization Report'!$A$4:$U$1800,7,FALSE)</f>
        <v>RLIP</v>
      </c>
      <c r="Z1057" s="441" t="str">
        <f>VLOOKUP(H1057,'Fund Utilization Report'!$A$4:$U$1800,8,FALSE)</f>
        <v>50103010-00</v>
      </c>
      <c r="AA1057" s="239" t="str">
        <f>VLOOKUP(H1057,'Fund Utilization Report'!$A$4:$U$1800,14,FALSE)</f>
        <v>330100100002000</v>
      </c>
      <c r="AB1057" s="242" t="str">
        <f>VLOOKUP(H1057,'Fund Utilization Report'!$A$4:$U$1800,15,FALSE)</f>
        <v>Implementation of the MSME Development Plan and other initiatives to promote the growth of Micro, Small and Medium Enterprises</v>
      </c>
      <c r="AC1057" s="51"/>
      <c r="AD1057" s="435"/>
      <c r="AE1057" s="51"/>
      <c r="AF1057" s="51"/>
      <c r="AG1057" s="442"/>
      <c r="AH1057" s="442"/>
      <c r="AI1057" s="443"/>
    </row>
    <row r="1058" spans="1:35" s="32" customFormat="1" ht="27.6">
      <c r="A1058" s="434" t="s">
        <v>942</v>
      </c>
      <c r="B1058" s="457" t="s">
        <v>946</v>
      </c>
      <c r="C1058" s="233">
        <v>44265</v>
      </c>
      <c r="D1058" s="435" t="s">
        <v>1267</v>
      </c>
      <c r="E1058" s="436" t="s">
        <v>1395</v>
      </c>
      <c r="F1058" s="338">
        <v>0.4291666666666667</v>
      </c>
      <c r="G1058" s="338">
        <v>0.43055555555555558</v>
      </c>
      <c r="H1058" s="338" t="s">
        <v>970</v>
      </c>
      <c r="I1058" s="353">
        <v>732</v>
      </c>
      <c r="J1058" s="338" t="str">
        <f>IFERROR(VLOOKUP(I1058,'Chart of accounts'!A:H,2,FALSE),"")</f>
        <v>50103020 01</v>
      </c>
      <c r="K1058" s="338" t="str">
        <f>IFERROR(VLOOKUP(I1058,'Chart of accounts'!A:H,3,FALSE),"")</f>
        <v>Pag-IBIG - Civilian</v>
      </c>
      <c r="L1058" s="338" t="str">
        <f>IFERROR(VLOOKUP(I1058,'Chart of accounts'!A:H,4,FALSE),"")</f>
        <v>50103020 01 - Pag-IBIG - Civilian (732)</v>
      </c>
      <c r="M1058" s="361">
        <v>3</v>
      </c>
      <c r="N1058" s="355" t="s">
        <v>1170</v>
      </c>
      <c r="O1058" s="355" t="s">
        <v>1394</v>
      </c>
      <c r="P1058" s="355"/>
      <c r="Q1058" s="363">
        <v>100</v>
      </c>
      <c r="R1058" s="428">
        <f t="shared" si="34"/>
        <v>-100</v>
      </c>
      <c r="S1058" s="239" t="str">
        <f>VLOOKUP(H1058,'Fund Utilization Report'!$A$4:$U$1800,13,FALSE)</f>
        <v>PS</v>
      </c>
      <c r="T1058" s="239" t="str">
        <f>VLOOKUP(H1058,'Fund Utilization Report'!$A$4:$U$1800,2,FALSE)</f>
        <v>GAA</v>
      </c>
      <c r="U1058" s="239" t="str">
        <f>VLOOKUP(H1058,'Fund Utilization Report'!$A$4:$U$1800,3,FALSE)</f>
        <v>FY2021, RA11518</v>
      </c>
      <c r="V1058" s="239" t="str">
        <f>VLOOKUP(H1058,'Fund Utilization Report'!$A$4:$U$1800,4,FALSE)</f>
        <v>OO3</v>
      </c>
      <c r="W1058" s="239" t="str">
        <f>VLOOKUP(H1058,'Fund Utilization Report'!$A$4:$U$1800,5,FALSE)</f>
        <v>01101101</v>
      </c>
      <c r="X1058" s="239" t="str">
        <f>VLOOKUP(H1058,'Fund Utilization Report'!$A$4:$U$1800,6,FALSE)</f>
        <v>GOP</v>
      </c>
      <c r="Y1058" s="440" t="str">
        <f>VLOOKUP(H1058,'Fund Utilization Report'!$A$4:$U$1800,7,FALSE)</f>
        <v>PS</v>
      </c>
      <c r="Z1058" s="441">
        <f>VLOOKUP(H1058,'Fund Utilization Report'!$A$4:$U$1800,8,FALSE)</f>
        <v>5010000000</v>
      </c>
      <c r="AA1058" s="239" t="str">
        <f>VLOOKUP(H1058,'Fund Utilization Report'!$A$4:$U$1800,14,FALSE)</f>
        <v>330100100002000</v>
      </c>
      <c r="AB1058" s="242" t="str">
        <f>VLOOKUP(H1058,'Fund Utilization Report'!$A$4:$U$1800,15,FALSE)</f>
        <v>Implementation of the MSME Development Plan and other initiatives to promote the growth of Micro, Small and Medium Enterprises</v>
      </c>
      <c r="AC1058" s="51"/>
      <c r="AD1058" s="435"/>
      <c r="AE1058" s="51"/>
      <c r="AF1058" s="51"/>
      <c r="AG1058" s="442"/>
      <c r="AH1058" s="442"/>
      <c r="AI1058" s="443"/>
    </row>
    <row r="1059" spans="1:35" s="32" customFormat="1" ht="27.6">
      <c r="A1059" s="434" t="s">
        <v>942</v>
      </c>
      <c r="B1059" s="457" t="s">
        <v>946</v>
      </c>
      <c r="C1059" s="233">
        <v>44265</v>
      </c>
      <c r="D1059" s="435" t="s">
        <v>1267</v>
      </c>
      <c r="E1059" s="436" t="s">
        <v>1395</v>
      </c>
      <c r="F1059" s="338">
        <v>0.4291666666666667</v>
      </c>
      <c r="G1059" s="338">
        <v>0.43055555555555558</v>
      </c>
      <c r="H1059" s="338" t="s">
        <v>970</v>
      </c>
      <c r="I1059" s="353">
        <v>733</v>
      </c>
      <c r="J1059" s="338" t="str">
        <f>IFERROR(VLOOKUP(I1059,'Chart of accounts'!A:H,2,FALSE),"")</f>
        <v>50103030 01</v>
      </c>
      <c r="K1059" s="338" t="str">
        <f>IFERROR(VLOOKUP(I1059,'Chart of accounts'!A:H,3,FALSE),"")</f>
        <v>PhilHealth - Civilian</v>
      </c>
      <c r="L1059" s="338" t="str">
        <f>IFERROR(VLOOKUP(I1059,'Chart of accounts'!A:H,4,FALSE),"")</f>
        <v>50103030 01 - PhilHealth - Civilian (733)</v>
      </c>
      <c r="M1059" s="361">
        <v>3</v>
      </c>
      <c r="N1059" s="355" t="s">
        <v>1170</v>
      </c>
      <c r="O1059" s="355" t="s">
        <v>1394</v>
      </c>
      <c r="P1059" s="355"/>
      <c r="Q1059" s="363">
        <v>358.16</v>
      </c>
      <c r="R1059" s="428">
        <f>P1059-Q1059</f>
        <v>-358.16</v>
      </c>
      <c r="S1059" s="239" t="str">
        <f>VLOOKUP(H1059,'Fund Utilization Report'!$A$4:$U$1800,13,FALSE)</f>
        <v>PS</v>
      </c>
      <c r="T1059" s="239" t="str">
        <f>VLOOKUP(H1059,'Fund Utilization Report'!$A$4:$U$1800,2,FALSE)</f>
        <v>GAA</v>
      </c>
      <c r="U1059" s="239" t="str">
        <f>VLOOKUP(H1059,'Fund Utilization Report'!$A$4:$U$1800,3,FALSE)</f>
        <v>FY2021, RA11518</v>
      </c>
      <c r="V1059" s="239" t="str">
        <f>VLOOKUP(H1059,'Fund Utilization Report'!$A$4:$U$1800,4,FALSE)</f>
        <v>OO3</v>
      </c>
      <c r="W1059" s="239" t="str">
        <f>VLOOKUP(H1059,'Fund Utilization Report'!$A$4:$U$1800,5,FALSE)</f>
        <v>01101101</v>
      </c>
      <c r="X1059" s="239" t="str">
        <f>VLOOKUP(H1059,'Fund Utilization Report'!$A$4:$U$1800,6,FALSE)</f>
        <v>GOP</v>
      </c>
      <c r="Y1059" s="440" t="str">
        <f>VLOOKUP(H1059,'Fund Utilization Report'!$A$4:$U$1800,7,FALSE)</f>
        <v>PS</v>
      </c>
      <c r="Z1059" s="441">
        <f>VLOOKUP(H1059,'Fund Utilization Report'!$A$4:$U$1800,8,FALSE)</f>
        <v>5010000000</v>
      </c>
      <c r="AA1059" s="239" t="str">
        <f>VLOOKUP(H1059,'Fund Utilization Report'!$A$4:$U$1800,14,FALSE)</f>
        <v>330100100002000</v>
      </c>
      <c r="AB1059" s="242" t="str">
        <f>VLOOKUP(H1059,'Fund Utilization Report'!$A$4:$U$1800,15,FALSE)</f>
        <v>Implementation of the MSME Development Plan and other initiatives to promote the growth of Micro, Small and Medium Enterprises</v>
      </c>
      <c r="AC1059" s="51"/>
      <c r="AD1059" s="435"/>
      <c r="AE1059" s="51"/>
      <c r="AF1059" s="51"/>
      <c r="AG1059" s="442"/>
      <c r="AH1059" s="442"/>
      <c r="AI1059" s="443"/>
    </row>
    <row r="1060" spans="1:35" s="32" customFormat="1" ht="27.6">
      <c r="A1060" s="434" t="s">
        <v>942</v>
      </c>
      <c r="B1060" s="457" t="s">
        <v>946</v>
      </c>
      <c r="C1060" s="233">
        <v>44265</v>
      </c>
      <c r="D1060" s="435" t="s">
        <v>1267</v>
      </c>
      <c r="E1060" s="436" t="s">
        <v>1395</v>
      </c>
      <c r="F1060" s="338">
        <v>0.4291666666666667</v>
      </c>
      <c r="G1060" s="338">
        <v>0.43055555555555558</v>
      </c>
      <c r="H1060" s="338" t="s">
        <v>970</v>
      </c>
      <c r="I1060" s="353">
        <v>734</v>
      </c>
      <c r="J1060" s="338" t="str">
        <f>IFERROR(VLOOKUP(I1060,'Chart of accounts'!A:H,2,FALSE),"")</f>
        <v>50103040 01</v>
      </c>
      <c r="K1060" s="338" t="str">
        <f>IFERROR(VLOOKUP(I1060,'Chart of accounts'!A:H,3,FALSE),"")</f>
        <v>ECIP - Civilian</v>
      </c>
      <c r="L1060" s="338" t="str">
        <f>IFERROR(VLOOKUP(I1060,'Chart of accounts'!A:H,4,FALSE),"")</f>
        <v>50103040 01 - ECIP - Civilian (734)</v>
      </c>
      <c r="M1060" s="361">
        <v>3</v>
      </c>
      <c r="N1060" s="355" t="s">
        <v>1170</v>
      </c>
      <c r="O1060" s="355" t="s">
        <v>1394</v>
      </c>
      <c r="P1060" s="355"/>
      <c r="Q1060" s="363">
        <v>100</v>
      </c>
      <c r="R1060" s="428">
        <f>P1060-Q1060</f>
        <v>-100</v>
      </c>
      <c r="S1060" s="239" t="str">
        <f>VLOOKUP(H1060,'Fund Utilization Report'!$A$4:$U$1800,13,FALSE)</f>
        <v>PS</v>
      </c>
      <c r="T1060" s="239" t="str">
        <f>VLOOKUP(H1060,'Fund Utilization Report'!$A$4:$U$1800,2,FALSE)</f>
        <v>GAA</v>
      </c>
      <c r="U1060" s="239" t="str">
        <f>VLOOKUP(H1060,'Fund Utilization Report'!$A$4:$U$1800,3,FALSE)</f>
        <v>FY2021, RA11518</v>
      </c>
      <c r="V1060" s="239" t="str">
        <f>VLOOKUP(H1060,'Fund Utilization Report'!$A$4:$U$1800,4,FALSE)</f>
        <v>OO3</v>
      </c>
      <c r="W1060" s="239" t="str">
        <f>VLOOKUP(H1060,'Fund Utilization Report'!$A$4:$U$1800,5,FALSE)</f>
        <v>01101101</v>
      </c>
      <c r="X1060" s="239" t="str">
        <f>VLOOKUP(H1060,'Fund Utilization Report'!$A$4:$U$1800,6,FALSE)</f>
        <v>GOP</v>
      </c>
      <c r="Y1060" s="440" t="str">
        <f>VLOOKUP(H1060,'Fund Utilization Report'!$A$4:$U$1800,7,FALSE)</f>
        <v>PS</v>
      </c>
      <c r="Z1060" s="441">
        <f>VLOOKUP(H1060,'Fund Utilization Report'!$A$4:$U$1800,8,FALSE)</f>
        <v>5010000000</v>
      </c>
      <c r="AA1060" s="239" t="str">
        <f>VLOOKUP(H1060,'Fund Utilization Report'!$A$4:$U$1800,14,FALSE)</f>
        <v>330100100002000</v>
      </c>
      <c r="AB1060" s="242" t="str">
        <f>VLOOKUP(H1060,'Fund Utilization Report'!$A$4:$U$1800,15,FALSE)</f>
        <v>Implementation of the MSME Development Plan and other initiatives to promote the growth of Micro, Small and Medium Enterprises</v>
      </c>
      <c r="AC1060" s="51"/>
      <c r="AD1060" s="435"/>
      <c r="AE1060" s="51"/>
      <c r="AF1060" s="51"/>
      <c r="AG1060" s="442"/>
      <c r="AH1060" s="442"/>
      <c r="AI1060" s="443"/>
    </row>
    <row r="1061" spans="1:35" s="32" customFormat="1" ht="27.6">
      <c r="A1061" s="434" t="s">
        <v>942</v>
      </c>
      <c r="B1061" s="457" t="s">
        <v>946</v>
      </c>
      <c r="C1061" s="233">
        <v>44265</v>
      </c>
      <c r="D1061" s="435" t="s">
        <v>1267</v>
      </c>
      <c r="E1061" s="436" t="s">
        <v>1396</v>
      </c>
      <c r="F1061" s="338">
        <v>0.43055555555555558</v>
      </c>
      <c r="G1061" s="338">
        <v>0.43124999999999997</v>
      </c>
      <c r="H1061" s="338" t="s">
        <v>970</v>
      </c>
      <c r="I1061" s="353">
        <v>701</v>
      </c>
      <c r="J1061" s="338" t="str">
        <f>IFERROR(VLOOKUP(I1061,'Chart of accounts'!A:H,2,FALSE),"")</f>
        <v>50101010 01</v>
      </c>
      <c r="K1061" s="338" t="str">
        <f>IFERROR(VLOOKUP(I1061,'Chart of accounts'!A:H,3,FALSE),"")</f>
        <v>Basic Salary - Civilian</v>
      </c>
      <c r="L1061" s="338" t="str">
        <f>IFERROR(VLOOKUP(I1061,'Chart of accounts'!A:H,4,FALSE),"")</f>
        <v>50101010 01 - Basic Salary - Civilian (701)</v>
      </c>
      <c r="M1061" s="361">
        <v>85</v>
      </c>
      <c r="N1061" s="355" t="s">
        <v>1174</v>
      </c>
      <c r="O1061" s="355" t="s">
        <v>1394</v>
      </c>
      <c r="P1061" s="355"/>
      <c r="Q1061" s="363">
        <v>23877</v>
      </c>
      <c r="R1061" s="428">
        <f t="shared" ref="R1061:R1066" si="35">P1061-Q1061</f>
        <v>-23877</v>
      </c>
      <c r="S1061" s="239" t="str">
        <f>VLOOKUP(H1061,'Fund Utilization Report'!$A$4:$U$1800,13,FALSE)</f>
        <v>PS</v>
      </c>
      <c r="T1061" s="239" t="str">
        <f>VLOOKUP(H1061,'Fund Utilization Report'!$A$4:$U$1800,2,FALSE)</f>
        <v>GAA</v>
      </c>
      <c r="U1061" s="239" t="str">
        <f>VLOOKUP(H1061,'Fund Utilization Report'!$A$4:$U$1800,3,FALSE)</f>
        <v>FY2021, RA11518</v>
      </c>
      <c r="V1061" s="239" t="str">
        <f>VLOOKUP(H1061,'Fund Utilization Report'!$A$4:$U$1800,4,FALSE)</f>
        <v>OO3</v>
      </c>
      <c r="W1061" s="239" t="str">
        <f>VLOOKUP(H1061,'Fund Utilization Report'!$A$4:$U$1800,5,FALSE)</f>
        <v>01101101</v>
      </c>
      <c r="X1061" s="239" t="str">
        <f>VLOOKUP(H1061,'Fund Utilization Report'!$A$4:$U$1800,6,FALSE)</f>
        <v>GOP</v>
      </c>
      <c r="Y1061" s="440" t="str">
        <f>VLOOKUP(H1061,'Fund Utilization Report'!$A$4:$U$1800,7,FALSE)</f>
        <v>PS</v>
      </c>
      <c r="Z1061" s="441">
        <f>VLOOKUP(H1061,'Fund Utilization Report'!$A$4:$U$1800,8,FALSE)</f>
        <v>5010000000</v>
      </c>
      <c r="AA1061" s="239" t="str">
        <f>VLOOKUP(H1061,'Fund Utilization Report'!$A$4:$U$1800,14,FALSE)</f>
        <v>330100100002000</v>
      </c>
      <c r="AB1061" s="242" t="str">
        <f>VLOOKUP(H1061,'Fund Utilization Report'!$A$4:$U$1800,15,FALSE)</f>
        <v>Implementation of the MSME Development Plan and other initiatives to promote the growth of Micro, Small and Medium Enterprises</v>
      </c>
      <c r="AC1061" s="51"/>
      <c r="AD1061" s="435"/>
      <c r="AE1061" s="51"/>
      <c r="AF1061" s="51"/>
      <c r="AG1061" s="442"/>
      <c r="AH1061" s="442"/>
      <c r="AI1061" s="443"/>
    </row>
    <row r="1062" spans="1:35" s="32" customFormat="1" ht="27.6">
      <c r="A1062" s="434" t="s">
        <v>942</v>
      </c>
      <c r="B1062" s="457" t="s">
        <v>946</v>
      </c>
      <c r="C1062" s="233">
        <v>44265</v>
      </c>
      <c r="D1062" s="435" t="s">
        <v>1267</v>
      </c>
      <c r="E1062" s="436" t="s">
        <v>1396</v>
      </c>
      <c r="F1062" s="338">
        <v>0.43055555555555558</v>
      </c>
      <c r="G1062" s="338">
        <v>0.43124999999999997</v>
      </c>
      <c r="H1062" s="338" t="s">
        <v>970</v>
      </c>
      <c r="I1062" s="353">
        <v>711</v>
      </c>
      <c r="J1062" s="338" t="str">
        <f>IFERROR(VLOOKUP(I1062,'Chart of accounts'!A:H,2,FALSE),"")</f>
        <v>50102010 01</v>
      </c>
      <c r="K1062" s="338" t="str">
        <f>IFERROR(VLOOKUP(I1062,'Chart of accounts'!A:H,3,FALSE),"")</f>
        <v>PERA - Civilian</v>
      </c>
      <c r="L1062" s="338" t="str">
        <f>IFERROR(VLOOKUP(I1062,'Chart of accounts'!A:H,4,FALSE),"")</f>
        <v>50102010 01 - PERA - Civilian (711)</v>
      </c>
      <c r="M1062" s="361">
        <v>85</v>
      </c>
      <c r="N1062" s="355" t="s">
        <v>1174</v>
      </c>
      <c r="O1062" s="355" t="s">
        <v>1394</v>
      </c>
      <c r="P1062" s="355"/>
      <c r="Q1062" s="363">
        <v>2000</v>
      </c>
      <c r="R1062" s="428">
        <f t="shared" si="35"/>
        <v>-2000</v>
      </c>
      <c r="S1062" s="239" t="str">
        <f>VLOOKUP(H1062,'Fund Utilization Report'!$A$4:$U$1800,13,FALSE)</f>
        <v>PS</v>
      </c>
      <c r="T1062" s="239" t="str">
        <f>VLOOKUP(H1062,'Fund Utilization Report'!$A$4:$U$1800,2,FALSE)</f>
        <v>GAA</v>
      </c>
      <c r="U1062" s="239" t="str">
        <f>VLOOKUP(H1062,'Fund Utilization Report'!$A$4:$U$1800,3,FALSE)</f>
        <v>FY2021, RA11518</v>
      </c>
      <c r="V1062" s="239" t="str">
        <f>VLOOKUP(H1062,'Fund Utilization Report'!$A$4:$U$1800,4,FALSE)</f>
        <v>OO3</v>
      </c>
      <c r="W1062" s="239" t="str">
        <f>VLOOKUP(H1062,'Fund Utilization Report'!$A$4:$U$1800,5,FALSE)</f>
        <v>01101101</v>
      </c>
      <c r="X1062" s="239" t="str">
        <f>VLOOKUP(H1062,'Fund Utilization Report'!$A$4:$U$1800,6,FALSE)</f>
        <v>GOP</v>
      </c>
      <c r="Y1062" s="440" t="str">
        <f>VLOOKUP(H1062,'Fund Utilization Report'!$A$4:$U$1800,7,FALSE)</f>
        <v>PS</v>
      </c>
      <c r="Z1062" s="441">
        <f>VLOOKUP(H1062,'Fund Utilization Report'!$A$4:$U$1800,8,FALSE)</f>
        <v>5010000000</v>
      </c>
      <c r="AA1062" s="239" t="str">
        <f>VLOOKUP(H1062,'Fund Utilization Report'!$A$4:$U$1800,14,FALSE)</f>
        <v>330100100002000</v>
      </c>
      <c r="AB1062" s="242" t="str">
        <f>VLOOKUP(H1062,'Fund Utilization Report'!$A$4:$U$1800,15,FALSE)</f>
        <v>Implementation of the MSME Development Plan and other initiatives to promote the growth of Micro, Small and Medium Enterprises</v>
      </c>
      <c r="AC1062" s="51"/>
      <c r="AD1062" s="435"/>
      <c r="AE1062" s="51"/>
      <c r="AF1062" s="51"/>
      <c r="AG1062" s="442"/>
      <c r="AH1062" s="442"/>
      <c r="AI1062" s="443"/>
    </row>
    <row r="1063" spans="1:35" s="32" customFormat="1" ht="27.6">
      <c r="A1063" s="434" t="s">
        <v>942</v>
      </c>
      <c r="B1063" s="457" t="s">
        <v>946</v>
      </c>
      <c r="C1063" s="233">
        <v>44265</v>
      </c>
      <c r="D1063" s="435" t="s">
        <v>1267</v>
      </c>
      <c r="E1063" s="436" t="s">
        <v>1396</v>
      </c>
      <c r="F1063" s="338">
        <v>0.43055555555555558</v>
      </c>
      <c r="G1063" s="338">
        <v>0.43124999999999997</v>
      </c>
      <c r="H1063" s="338" t="s">
        <v>972</v>
      </c>
      <c r="I1063" s="353">
        <v>731</v>
      </c>
      <c r="J1063" s="338" t="str">
        <f>IFERROR(VLOOKUP(I1063,'Chart of accounts'!A:H,2,FALSE),"")</f>
        <v>50103010 00</v>
      </c>
      <c r="K1063" s="338" t="str">
        <f>IFERROR(VLOOKUP(I1063,'Chart of accounts'!A:H,3,FALSE),"")</f>
        <v>Retirement and Life Insurance Premiums</v>
      </c>
      <c r="L1063" s="338" t="str">
        <f>IFERROR(VLOOKUP(I1063,'Chart of accounts'!A:H,4,FALSE),"")</f>
        <v>50103010 00 - Retirement and Life Insurance Premiums (731)</v>
      </c>
      <c r="M1063" s="361">
        <v>85</v>
      </c>
      <c r="N1063" s="355" t="s">
        <v>1174</v>
      </c>
      <c r="O1063" s="355" t="s">
        <v>1394</v>
      </c>
      <c r="P1063" s="355"/>
      <c r="Q1063" s="363">
        <v>2865.24</v>
      </c>
      <c r="R1063" s="428">
        <f t="shared" si="35"/>
        <v>-2865.24</v>
      </c>
      <c r="S1063" s="239" t="str">
        <f>VLOOKUP(H1063,'Fund Utilization Report'!$A$4:$U$1800,13,FALSE)</f>
        <v>PS</v>
      </c>
      <c r="T1063" s="239" t="str">
        <f>VLOOKUP(H1063,'Fund Utilization Report'!$A$4:$U$1800,2,FALSE)</f>
        <v>GAA</v>
      </c>
      <c r="U1063" s="239" t="str">
        <f>VLOOKUP(H1063,'Fund Utilization Report'!$A$4:$U$1800,3,FALSE)</f>
        <v>FY2021, RA11518</v>
      </c>
      <c r="V1063" s="239" t="str">
        <f>VLOOKUP(H1063,'Fund Utilization Report'!$A$4:$U$1800,4,FALSE)</f>
        <v>OO3</v>
      </c>
      <c r="W1063" s="239" t="str">
        <f>VLOOKUP(H1063,'Fund Utilization Report'!$A$4:$U$1800,5,FALSE)</f>
        <v>01101101</v>
      </c>
      <c r="X1063" s="239" t="str">
        <f>VLOOKUP(H1063,'Fund Utilization Report'!$A$4:$U$1800,6,FALSE)</f>
        <v>GOP</v>
      </c>
      <c r="Y1063" s="440" t="str">
        <f>VLOOKUP(H1063,'Fund Utilization Report'!$A$4:$U$1800,7,FALSE)</f>
        <v>RLIP</v>
      </c>
      <c r="Z1063" s="441" t="str">
        <f>VLOOKUP(H1063,'Fund Utilization Report'!$A$4:$U$1800,8,FALSE)</f>
        <v>50103010-00</v>
      </c>
      <c r="AA1063" s="239" t="str">
        <f>VLOOKUP(H1063,'Fund Utilization Report'!$A$4:$U$1800,14,FALSE)</f>
        <v>330100100002000</v>
      </c>
      <c r="AB1063" s="242" t="str">
        <f>VLOOKUP(H1063,'Fund Utilization Report'!$A$4:$U$1800,15,FALSE)</f>
        <v>Implementation of the MSME Development Plan and other initiatives to promote the growth of Micro, Small and Medium Enterprises</v>
      </c>
      <c r="AC1063" s="51"/>
      <c r="AD1063" s="435"/>
      <c r="AE1063" s="51"/>
      <c r="AF1063" s="51"/>
      <c r="AG1063" s="442"/>
      <c r="AH1063" s="442"/>
      <c r="AI1063" s="443"/>
    </row>
    <row r="1064" spans="1:35" s="32" customFormat="1" ht="27.6">
      <c r="A1064" s="434" t="s">
        <v>942</v>
      </c>
      <c r="B1064" s="457" t="s">
        <v>946</v>
      </c>
      <c r="C1064" s="233">
        <v>44265</v>
      </c>
      <c r="D1064" s="435" t="s">
        <v>1267</v>
      </c>
      <c r="E1064" s="436" t="s">
        <v>1396</v>
      </c>
      <c r="F1064" s="338">
        <v>0.43055555555555558</v>
      </c>
      <c r="G1064" s="338">
        <v>0.43124999999999997</v>
      </c>
      <c r="H1064" s="338" t="s">
        <v>970</v>
      </c>
      <c r="I1064" s="353">
        <v>732</v>
      </c>
      <c r="J1064" s="338" t="str">
        <f>IFERROR(VLOOKUP(I1064,'Chart of accounts'!A:H,2,FALSE),"")</f>
        <v>50103020 01</v>
      </c>
      <c r="K1064" s="338" t="str">
        <f>IFERROR(VLOOKUP(I1064,'Chart of accounts'!A:H,3,FALSE),"")</f>
        <v>Pag-IBIG - Civilian</v>
      </c>
      <c r="L1064" s="338" t="str">
        <f>IFERROR(VLOOKUP(I1064,'Chart of accounts'!A:H,4,FALSE),"")</f>
        <v>50103020 01 - Pag-IBIG - Civilian (732)</v>
      </c>
      <c r="M1064" s="361">
        <v>85</v>
      </c>
      <c r="N1064" s="355" t="s">
        <v>1174</v>
      </c>
      <c r="O1064" s="355" t="s">
        <v>1394</v>
      </c>
      <c r="P1064" s="355"/>
      <c r="Q1064" s="363">
        <v>100</v>
      </c>
      <c r="R1064" s="428">
        <f t="shared" si="35"/>
        <v>-100</v>
      </c>
      <c r="S1064" s="239" t="str">
        <f>VLOOKUP(H1064,'Fund Utilization Report'!$A$4:$U$1800,13,FALSE)</f>
        <v>PS</v>
      </c>
      <c r="T1064" s="239" t="str">
        <f>VLOOKUP(H1064,'Fund Utilization Report'!$A$4:$U$1800,2,FALSE)</f>
        <v>GAA</v>
      </c>
      <c r="U1064" s="239" t="str">
        <f>VLOOKUP(H1064,'Fund Utilization Report'!$A$4:$U$1800,3,FALSE)</f>
        <v>FY2021, RA11518</v>
      </c>
      <c r="V1064" s="239" t="str">
        <f>VLOOKUP(H1064,'Fund Utilization Report'!$A$4:$U$1800,4,FALSE)</f>
        <v>OO3</v>
      </c>
      <c r="W1064" s="239" t="str">
        <f>VLOOKUP(H1064,'Fund Utilization Report'!$A$4:$U$1800,5,FALSE)</f>
        <v>01101101</v>
      </c>
      <c r="X1064" s="239" t="str">
        <f>VLOOKUP(H1064,'Fund Utilization Report'!$A$4:$U$1800,6,FALSE)</f>
        <v>GOP</v>
      </c>
      <c r="Y1064" s="440" t="str">
        <f>VLOOKUP(H1064,'Fund Utilization Report'!$A$4:$U$1800,7,FALSE)</f>
        <v>PS</v>
      </c>
      <c r="Z1064" s="441">
        <f>VLOOKUP(H1064,'Fund Utilization Report'!$A$4:$U$1800,8,FALSE)</f>
        <v>5010000000</v>
      </c>
      <c r="AA1064" s="239" t="str">
        <f>VLOOKUP(H1064,'Fund Utilization Report'!$A$4:$U$1800,14,FALSE)</f>
        <v>330100100002000</v>
      </c>
      <c r="AB1064" s="242" t="str">
        <f>VLOOKUP(H1064,'Fund Utilization Report'!$A$4:$U$1800,15,FALSE)</f>
        <v>Implementation of the MSME Development Plan and other initiatives to promote the growth of Micro, Small and Medium Enterprises</v>
      </c>
      <c r="AC1064" s="51"/>
      <c r="AD1064" s="435"/>
      <c r="AE1064" s="51"/>
      <c r="AF1064" s="51"/>
      <c r="AG1064" s="442"/>
      <c r="AH1064" s="442"/>
      <c r="AI1064" s="443"/>
    </row>
    <row r="1065" spans="1:35" s="32" customFormat="1" ht="27.6">
      <c r="A1065" s="434" t="s">
        <v>942</v>
      </c>
      <c r="B1065" s="457" t="s">
        <v>946</v>
      </c>
      <c r="C1065" s="233">
        <v>44265</v>
      </c>
      <c r="D1065" s="435" t="s">
        <v>1267</v>
      </c>
      <c r="E1065" s="436" t="s">
        <v>1396</v>
      </c>
      <c r="F1065" s="338">
        <v>0.43055555555555558</v>
      </c>
      <c r="G1065" s="338">
        <v>0.43124999999999997</v>
      </c>
      <c r="H1065" s="338" t="s">
        <v>970</v>
      </c>
      <c r="I1065" s="353">
        <v>733</v>
      </c>
      <c r="J1065" s="338" t="str">
        <f>IFERROR(VLOOKUP(I1065,'Chart of accounts'!A:H,2,FALSE),"")</f>
        <v>50103030 01</v>
      </c>
      <c r="K1065" s="338" t="str">
        <f>IFERROR(VLOOKUP(I1065,'Chart of accounts'!A:H,3,FALSE),"")</f>
        <v>PhilHealth - Civilian</v>
      </c>
      <c r="L1065" s="338" t="str">
        <f>IFERROR(VLOOKUP(I1065,'Chart of accounts'!A:H,4,FALSE),"")</f>
        <v>50103030 01 - PhilHealth - Civilian (733)</v>
      </c>
      <c r="M1065" s="361">
        <v>85</v>
      </c>
      <c r="N1065" s="355" t="s">
        <v>1174</v>
      </c>
      <c r="O1065" s="355" t="s">
        <v>1394</v>
      </c>
      <c r="P1065" s="355"/>
      <c r="Q1065" s="363">
        <v>358.16</v>
      </c>
      <c r="R1065" s="428">
        <f t="shared" si="35"/>
        <v>-358.16</v>
      </c>
      <c r="S1065" s="239" t="str">
        <f>VLOOKUP(H1065,'Fund Utilization Report'!$A$4:$U$1800,13,FALSE)</f>
        <v>PS</v>
      </c>
      <c r="T1065" s="239" t="str">
        <f>VLOOKUP(H1065,'Fund Utilization Report'!$A$4:$U$1800,2,FALSE)</f>
        <v>GAA</v>
      </c>
      <c r="U1065" s="239" t="str">
        <f>VLOOKUP(H1065,'Fund Utilization Report'!$A$4:$U$1800,3,FALSE)</f>
        <v>FY2021, RA11518</v>
      </c>
      <c r="V1065" s="239" t="str">
        <f>VLOOKUP(H1065,'Fund Utilization Report'!$A$4:$U$1800,4,FALSE)</f>
        <v>OO3</v>
      </c>
      <c r="W1065" s="239" t="str">
        <f>VLOOKUP(H1065,'Fund Utilization Report'!$A$4:$U$1800,5,FALSE)</f>
        <v>01101101</v>
      </c>
      <c r="X1065" s="239" t="str">
        <f>VLOOKUP(H1065,'Fund Utilization Report'!$A$4:$U$1800,6,FALSE)</f>
        <v>GOP</v>
      </c>
      <c r="Y1065" s="440" t="str">
        <f>VLOOKUP(H1065,'Fund Utilization Report'!$A$4:$U$1800,7,FALSE)</f>
        <v>PS</v>
      </c>
      <c r="Z1065" s="441">
        <f>VLOOKUP(H1065,'Fund Utilization Report'!$A$4:$U$1800,8,FALSE)</f>
        <v>5010000000</v>
      </c>
      <c r="AA1065" s="239" t="str">
        <f>VLOOKUP(H1065,'Fund Utilization Report'!$A$4:$U$1800,14,FALSE)</f>
        <v>330100100002000</v>
      </c>
      <c r="AB1065" s="242" t="str">
        <f>VLOOKUP(H1065,'Fund Utilization Report'!$A$4:$U$1800,15,FALSE)</f>
        <v>Implementation of the MSME Development Plan and other initiatives to promote the growth of Micro, Small and Medium Enterprises</v>
      </c>
      <c r="AC1065" s="51"/>
      <c r="AD1065" s="435"/>
      <c r="AE1065" s="51"/>
      <c r="AF1065" s="51"/>
      <c r="AG1065" s="442"/>
      <c r="AH1065" s="442"/>
      <c r="AI1065" s="443"/>
    </row>
    <row r="1066" spans="1:35" s="32" customFormat="1" ht="27.6">
      <c r="A1066" s="434" t="s">
        <v>942</v>
      </c>
      <c r="B1066" s="457" t="s">
        <v>946</v>
      </c>
      <c r="C1066" s="233">
        <v>44265</v>
      </c>
      <c r="D1066" s="435" t="s">
        <v>1267</v>
      </c>
      <c r="E1066" s="436" t="s">
        <v>1396</v>
      </c>
      <c r="F1066" s="338">
        <v>0.43055555555555558</v>
      </c>
      <c r="G1066" s="338">
        <v>0.43124999999999997</v>
      </c>
      <c r="H1066" s="338" t="s">
        <v>970</v>
      </c>
      <c r="I1066" s="353">
        <v>734</v>
      </c>
      <c r="J1066" s="338" t="str">
        <f>IFERROR(VLOOKUP(I1066,'Chart of accounts'!A:H,2,FALSE),"")</f>
        <v>50103040 01</v>
      </c>
      <c r="K1066" s="338" t="str">
        <f>IFERROR(VLOOKUP(I1066,'Chart of accounts'!A:H,3,FALSE),"")</f>
        <v>ECIP - Civilian</v>
      </c>
      <c r="L1066" s="338" t="str">
        <f>IFERROR(VLOOKUP(I1066,'Chart of accounts'!A:H,4,FALSE),"")</f>
        <v>50103040 01 - ECIP - Civilian (734)</v>
      </c>
      <c r="M1066" s="361">
        <v>85</v>
      </c>
      <c r="N1066" s="355" t="s">
        <v>1174</v>
      </c>
      <c r="O1066" s="355" t="s">
        <v>1394</v>
      </c>
      <c r="P1066" s="355"/>
      <c r="Q1066" s="363">
        <v>100</v>
      </c>
      <c r="R1066" s="428">
        <f t="shared" si="35"/>
        <v>-100</v>
      </c>
      <c r="S1066" s="239" t="str">
        <f>VLOOKUP(H1066,'Fund Utilization Report'!$A$4:$U$1800,13,FALSE)</f>
        <v>PS</v>
      </c>
      <c r="T1066" s="239" t="str">
        <f>VLOOKUP(H1066,'Fund Utilization Report'!$A$4:$U$1800,2,FALSE)</f>
        <v>GAA</v>
      </c>
      <c r="U1066" s="239" t="str">
        <f>VLOOKUP(H1066,'Fund Utilization Report'!$A$4:$U$1800,3,FALSE)</f>
        <v>FY2021, RA11518</v>
      </c>
      <c r="V1066" s="239" t="str">
        <f>VLOOKUP(H1066,'Fund Utilization Report'!$A$4:$U$1800,4,FALSE)</f>
        <v>OO3</v>
      </c>
      <c r="W1066" s="239" t="str">
        <f>VLOOKUP(H1066,'Fund Utilization Report'!$A$4:$U$1800,5,FALSE)</f>
        <v>01101101</v>
      </c>
      <c r="X1066" s="239" t="str">
        <f>VLOOKUP(H1066,'Fund Utilization Report'!$A$4:$U$1800,6,FALSE)</f>
        <v>GOP</v>
      </c>
      <c r="Y1066" s="440" t="str">
        <f>VLOOKUP(H1066,'Fund Utilization Report'!$A$4:$U$1800,7,FALSE)</f>
        <v>PS</v>
      </c>
      <c r="Z1066" s="441">
        <f>VLOOKUP(H1066,'Fund Utilization Report'!$A$4:$U$1800,8,FALSE)</f>
        <v>5010000000</v>
      </c>
      <c r="AA1066" s="239" t="str">
        <f>VLOOKUP(H1066,'Fund Utilization Report'!$A$4:$U$1800,14,FALSE)</f>
        <v>330100100002000</v>
      </c>
      <c r="AB1066" s="242" t="str">
        <f>VLOOKUP(H1066,'Fund Utilization Report'!$A$4:$U$1800,15,FALSE)</f>
        <v>Implementation of the MSME Development Plan and other initiatives to promote the growth of Micro, Small and Medium Enterprises</v>
      </c>
      <c r="AC1066" s="51"/>
      <c r="AD1066" s="435"/>
      <c r="AE1066" s="51"/>
      <c r="AF1066" s="51"/>
      <c r="AG1066" s="442"/>
      <c r="AH1066" s="442"/>
      <c r="AI1066" s="443"/>
    </row>
    <row r="1067" spans="1:35" s="32" customFormat="1" ht="27.6">
      <c r="A1067" s="434" t="s">
        <v>942</v>
      </c>
      <c r="B1067" s="457" t="s">
        <v>946</v>
      </c>
      <c r="C1067" s="233">
        <v>44265</v>
      </c>
      <c r="D1067" s="435" t="s">
        <v>1267</v>
      </c>
      <c r="E1067" s="436" t="s">
        <v>1397</v>
      </c>
      <c r="F1067" s="338">
        <v>0.43124999999999997</v>
      </c>
      <c r="G1067" s="338">
        <v>0.43333333333333335</v>
      </c>
      <c r="H1067" s="338" t="s">
        <v>970</v>
      </c>
      <c r="I1067" s="353">
        <v>701</v>
      </c>
      <c r="J1067" s="338" t="str">
        <f>IFERROR(VLOOKUP(I1067,'Chart of accounts'!A:H,2,FALSE),"")</f>
        <v>50101010 01</v>
      </c>
      <c r="K1067" s="338" t="str">
        <f>IFERROR(VLOOKUP(I1067,'Chart of accounts'!A:H,3,FALSE),"")</f>
        <v>Basic Salary - Civilian</v>
      </c>
      <c r="L1067" s="338" t="str">
        <f>IFERROR(VLOOKUP(I1067,'Chart of accounts'!A:H,4,FALSE),"")</f>
        <v>50101010 01 - Basic Salary - Civilian (701)</v>
      </c>
      <c r="M1067" s="361">
        <v>68</v>
      </c>
      <c r="N1067" s="355" t="s">
        <v>1176</v>
      </c>
      <c r="O1067" s="355" t="s">
        <v>1394</v>
      </c>
      <c r="P1067" s="355"/>
      <c r="Q1067" s="363">
        <v>23877</v>
      </c>
      <c r="R1067" s="428">
        <f t="shared" ref="R1067:R1072" si="36">P1067-Q1067</f>
        <v>-23877</v>
      </c>
      <c r="S1067" s="239" t="str">
        <f>VLOOKUP(H1067,'Fund Utilization Report'!$A$4:$U$1800,13,FALSE)</f>
        <v>PS</v>
      </c>
      <c r="T1067" s="239" t="str">
        <f>VLOOKUP(H1067,'Fund Utilization Report'!$A$4:$U$1800,2,FALSE)</f>
        <v>GAA</v>
      </c>
      <c r="U1067" s="239" t="str">
        <f>VLOOKUP(H1067,'Fund Utilization Report'!$A$4:$U$1800,3,FALSE)</f>
        <v>FY2021, RA11518</v>
      </c>
      <c r="V1067" s="239" t="str">
        <f>VLOOKUP(H1067,'Fund Utilization Report'!$A$4:$U$1800,4,FALSE)</f>
        <v>OO3</v>
      </c>
      <c r="W1067" s="239" t="str">
        <f>VLOOKUP(H1067,'Fund Utilization Report'!$A$4:$U$1800,5,FALSE)</f>
        <v>01101101</v>
      </c>
      <c r="X1067" s="239" t="str">
        <f>VLOOKUP(H1067,'Fund Utilization Report'!$A$4:$U$1800,6,FALSE)</f>
        <v>GOP</v>
      </c>
      <c r="Y1067" s="440" t="str">
        <f>VLOOKUP(H1067,'Fund Utilization Report'!$A$4:$U$1800,7,FALSE)</f>
        <v>PS</v>
      </c>
      <c r="Z1067" s="441">
        <f>VLOOKUP(H1067,'Fund Utilization Report'!$A$4:$U$1800,8,FALSE)</f>
        <v>5010000000</v>
      </c>
      <c r="AA1067" s="239" t="str">
        <f>VLOOKUP(H1067,'Fund Utilization Report'!$A$4:$U$1800,14,FALSE)</f>
        <v>330100100002000</v>
      </c>
      <c r="AB1067" s="242" t="str">
        <f>VLOOKUP(H1067,'Fund Utilization Report'!$A$4:$U$1800,15,FALSE)</f>
        <v>Implementation of the MSME Development Plan and other initiatives to promote the growth of Micro, Small and Medium Enterprises</v>
      </c>
      <c r="AC1067" s="51"/>
      <c r="AD1067" s="435"/>
      <c r="AE1067" s="51"/>
      <c r="AF1067" s="51"/>
      <c r="AG1067" s="442"/>
      <c r="AH1067" s="442"/>
      <c r="AI1067" s="443"/>
    </row>
    <row r="1068" spans="1:35" s="32" customFormat="1" ht="27.6">
      <c r="A1068" s="434" t="s">
        <v>942</v>
      </c>
      <c r="B1068" s="457" t="s">
        <v>946</v>
      </c>
      <c r="C1068" s="233">
        <v>44265</v>
      </c>
      <c r="D1068" s="435" t="s">
        <v>1267</v>
      </c>
      <c r="E1068" s="436" t="s">
        <v>1397</v>
      </c>
      <c r="F1068" s="338">
        <v>0.43124999999999997</v>
      </c>
      <c r="G1068" s="338">
        <v>0.43333333333333335</v>
      </c>
      <c r="H1068" s="338" t="s">
        <v>970</v>
      </c>
      <c r="I1068" s="353">
        <v>711</v>
      </c>
      <c r="J1068" s="338" t="str">
        <f>IFERROR(VLOOKUP(I1068,'Chart of accounts'!A:H,2,FALSE),"")</f>
        <v>50102010 01</v>
      </c>
      <c r="K1068" s="338" t="str">
        <f>IFERROR(VLOOKUP(I1068,'Chart of accounts'!A:H,3,FALSE),"")</f>
        <v>PERA - Civilian</v>
      </c>
      <c r="L1068" s="338" t="str">
        <f>IFERROR(VLOOKUP(I1068,'Chart of accounts'!A:H,4,FALSE),"")</f>
        <v>50102010 01 - PERA - Civilian (711)</v>
      </c>
      <c r="M1068" s="361">
        <v>68</v>
      </c>
      <c r="N1068" s="355" t="s">
        <v>1176</v>
      </c>
      <c r="O1068" s="355" t="s">
        <v>1394</v>
      </c>
      <c r="P1068" s="355"/>
      <c r="Q1068" s="363">
        <v>2000</v>
      </c>
      <c r="R1068" s="428">
        <f t="shared" si="36"/>
        <v>-2000</v>
      </c>
      <c r="S1068" s="239" t="str">
        <f>VLOOKUP(H1068,'Fund Utilization Report'!$A$4:$U$1800,13,FALSE)</f>
        <v>PS</v>
      </c>
      <c r="T1068" s="239" t="str">
        <f>VLOOKUP(H1068,'Fund Utilization Report'!$A$4:$U$1800,2,FALSE)</f>
        <v>GAA</v>
      </c>
      <c r="U1068" s="239" t="str">
        <f>VLOOKUP(H1068,'Fund Utilization Report'!$A$4:$U$1800,3,FALSE)</f>
        <v>FY2021, RA11518</v>
      </c>
      <c r="V1068" s="239" t="str">
        <f>VLOOKUP(H1068,'Fund Utilization Report'!$A$4:$U$1800,4,FALSE)</f>
        <v>OO3</v>
      </c>
      <c r="W1068" s="239" t="str">
        <f>VLOOKUP(H1068,'Fund Utilization Report'!$A$4:$U$1800,5,FALSE)</f>
        <v>01101101</v>
      </c>
      <c r="X1068" s="239" t="str">
        <f>VLOOKUP(H1068,'Fund Utilization Report'!$A$4:$U$1800,6,FALSE)</f>
        <v>GOP</v>
      </c>
      <c r="Y1068" s="440" t="str">
        <f>VLOOKUP(H1068,'Fund Utilization Report'!$A$4:$U$1800,7,FALSE)</f>
        <v>PS</v>
      </c>
      <c r="Z1068" s="441">
        <f>VLOOKUP(H1068,'Fund Utilization Report'!$A$4:$U$1800,8,FALSE)</f>
        <v>5010000000</v>
      </c>
      <c r="AA1068" s="239" t="str">
        <f>VLOOKUP(H1068,'Fund Utilization Report'!$A$4:$U$1800,14,FALSE)</f>
        <v>330100100002000</v>
      </c>
      <c r="AB1068" s="242" t="str">
        <f>VLOOKUP(H1068,'Fund Utilization Report'!$A$4:$U$1800,15,FALSE)</f>
        <v>Implementation of the MSME Development Plan and other initiatives to promote the growth of Micro, Small and Medium Enterprises</v>
      </c>
      <c r="AC1068" s="51"/>
      <c r="AD1068" s="435"/>
      <c r="AE1068" s="51"/>
      <c r="AF1068" s="51"/>
      <c r="AG1068" s="442"/>
      <c r="AH1068" s="442"/>
      <c r="AI1068" s="443"/>
    </row>
    <row r="1069" spans="1:35" s="32" customFormat="1" ht="27.6">
      <c r="A1069" s="434" t="s">
        <v>942</v>
      </c>
      <c r="B1069" s="457" t="s">
        <v>946</v>
      </c>
      <c r="C1069" s="233">
        <v>44265</v>
      </c>
      <c r="D1069" s="435" t="s">
        <v>1267</v>
      </c>
      <c r="E1069" s="436" t="s">
        <v>1397</v>
      </c>
      <c r="F1069" s="338">
        <v>0.43124999999999997</v>
      </c>
      <c r="G1069" s="338">
        <v>0.43333333333333335</v>
      </c>
      <c r="H1069" s="338" t="s">
        <v>972</v>
      </c>
      <c r="I1069" s="353">
        <v>731</v>
      </c>
      <c r="J1069" s="338" t="str">
        <f>IFERROR(VLOOKUP(I1069,'Chart of accounts'!A:H,2,FALSE),"")</f>
        <v>50103010 00</v>
      </c>
      <c r="K1069" s="338" t="str">
        <f>IFERROR(VLOOKUP(I1069,'Chart of accounts'!A:H,3,FALSE),"")</f>
        <v>Retirement and Life Insurance Premiums</v>
      </c>
      <c r="L1069" s="338" t="str">
        <f>IFERROR(VLOOKUP(I1069,'Chart of accounts'!A:H,4,FALSE),"")</f>
        <v>50103010 00 - Retirement and Life Insurance Premiums (731)</v>
      </c>
      <c r="M1069" s="361">
        <v>68</v>
      </c>
      <c r="N1069" s="355" t="s">
        <v>1176</v>
      </c>
      <c r="O1069" s="355" t="s">
        <v>1394</v>
      </c>
      <c r="P1069" s="355"/>
      <c r="Q1069" s="363">
        <v>2865.24</v>
      </c>
      <c r="R1069" s="428">
        <f t="shared" si="36"/>
        <v>-2865.24</v>
      </c>
      <c r="S1069" s="239" t="str">
        <f>VLOOKUP(H1069,'Fund Utilization Report'!$A$4:$U$1800,13,FALSE)</f>
        <v>PS</v>
      </c>
      <c r="T1069" s="239" t="str">
        <f>VLOOKUP(H1069,'Fund Utilization Report'!$A$4:$U$1800,2,FALSE)</f>
        <v>GAA</v>
      </c>
      <c r="U1069" s="239" t="str">
        <f>VLOOKUP(H1069,'Fund Utilization Report'!$A$4:$U$1800,3,FALSE)</f>
        <v>FY2021, RA11518</v>
      </c>
      <c r="V1069" s="239" t="str">
        <f>VLOOKUP(H1069,'Fund Utilization Report'!$A$4:$U$1800,4,FALSE)</f>
        <v>OO3</v>
      </c>
      <c r="W1069" s="239" t="str">
        <f>VLOOKUP(H1069,'Fund Utilization Report'!$A$4:$U$1800,5,FALSE)</f>
        <v>01101101</v>
      </c>
      <c r="X1069" s="239" t="str">
        <f>VLOOKUP(H1069,'Fund Utilization Report'!$A$4:$U$1800,6,FALSE)</f>
        <v>GOP</v>
      </c>
      <c r="Y1069" s="440" t="str">
        <f>VLOOKUP(H1069,'Fund Utilization Report'!$A$4:$U$1800,7,FALSE)</f>
        <v>RLIP</v>
      </c>
      <c r="Z1069" s="441" t="str">
        <f>VLOOKUP(H1069,'Fund Utilization Report'!$A$4:$U$1800,8,FALSE)</f>
        <v>50103010-00</v>
      </c>
      <c r="AA1069" s="239" t="str">
        <f>VLOOKUP(H1069,'Fund Utilization Report'!$A$4:$U$1800,14,FALSE)</f>
        <v>330100100002000</v>
      </c>
      <c r="AB1069" s="242" t="str">
        <f>VLOOKUP(H1069,'Fund Utilization Report'!$A$4:$U$1800,15,FALSE)</f>
        <v>Implementation of the MSME Development Plan and other initiatives to promote the growth of Micro, Small and Medium Enterprises</v>
      </c>
      <c r="AC1069" s="51"/>
      <c r="AD1069" s="435"/>
      <c r="AE1069" s="51"/>
      <c r="AF1069" s="51"/>
      <c r="AG1069" s="442"/>
      <c r="AH1069" s="442"/>
      <c r="AI1069" s="443"/>
    </row>
    <row r="1070" spans="1:35" s="32" customFormat="1" ht="27.6">
      <c r="A1070" s="434" t="s">
        <v>942</v>
      </c>
      <c r="B1070" s="457" t="s">
        <v>946</v>
      </c>
      <c r="C1070" s="233">
        <v>44265</v>
      </c>
      <c r="D1070" s="435" t="s">
        <v>1267</v>
      </c>
      <c r="E1070" s="436" t="s">
        <v>1397</v>
      </c>
      <c r="F1070" s="338">
        <v>0.43124999999999997</v>
      </c>
      <c r="G1070" s="338">
        <v>0.43333333333333335</v>
      </c>
      <c r="H1070" s="338" t="s">
        <v>970</v>
      </c>
      <c r="I1070" s="353">
        <v>732</v>
      </c>
      <c r="J1070" s="338" t="str">
        <f>IFERROR(VLOOKUP(I1070,'Chart of accounts'!A:H,2,FALSE),"")</f>
        <v>50103020 01</v>
      </c>
      <c r="K1070" s="338" t="str">
        <f>IFERROR(VLOOKUP(I1070,'Chart of accounts'!A:H,3,FALSE),"")</f>
        <v>Pag-IBIG - Civilian</v>
      </c>
      <c r="L1070" s="338" t="str">
        <f>IFERROR(VLOOKUP(I1070,'Chart of accounts'!A:H,4,FALSE),"")</f>
        <v>50103020 01 - Pag-IBIG - Civilian (732)</v>
      </c>
      <c r="M1070" s="361">
        <v>68</v>
      </c>
      <c r="N1070" s="355" t="s">
        <v>1176</v>
      </c>
      <c r="O1070" s="355" t="s">
        <v>1394</v>
      </c>
      <c r="P1070" s="355"/>
      <c r="Q1070" s="363">
        <v>100</v>
      </c>
      <c r="R1070" s="428">
        <f t="shared" si="36"/>
        <v>-100</v>
      </c>
      <c r="S1070" s="239" t="str">
        <f>VLOOKUP(H1070,'Fund Utilization Report'!$A$4:$U$1800,13,FALSE)</f>
        <v>PS</v>
      </c>
      <c r="T1070" s="239" t="str">
        <f>VLOOKUP(H1070,'Fund Utilization Report'!$A$4:$U$1800,2,FALSE)</f>
        <v>GAA</v>
      </c>
      <c r="U1070" s="239" t="str">
        <f>VLOOKUP(H1070,'Fund Utilization Report'!$A$4:$U$1800,3,FALSE)</f>
        <v>FY2021, RA11518</v>
      </c>
      <c r="V1070" s="239" t="str">
        <f>VLOOKUP(H1070,'Fund Utilization Report'!$A$4:$U$1800,4,FALSE)</f>
        <v>OO3</v>
      </c>
      <c r="W1070" s="239" t="str">
        <f>VLOOKUP(H1070,'Fund Utilization Report'!$A$4:$U$1800,5,FALSE)</f>
        <v>01101101</v>
      </c>
      <c r="X1070" s="239" t="str">
        <f>VLOOKUP(H1070,'Fund Utilization Report'!$A$4:$U$1800,6,FALSE)</f>
        <v>GOP</v>
      </c>
      <c r="Y1070" s="440" t="str">
        <f>VLOOKUP(H1070,'Fund Utilization Report'!$A$4:$U$1800,7,FALSE)</f>
        <v>PS</v>
      </c>
      <c r="Z1070" s="441">
        <f>VLOOKUP(H1070,'Fund Utilization Report'!$A$4:$U$1800,8,FALSE)</f>
        <v>5010000000</v>
      </c>
      <c r="AA1070" s="239" t="str">
        <f>VLOOKUP(H1070,'Fund Utilization Report'!$A$4:$U$1800,14,FALSE)</f>
        <v>330100100002000</v>
      </c>
      <c r="AB1070" s="242" t="str">
        <f>VLOOKUP(H1070,'Fund Utilization Report'!$A$4:$U$1800,15,FALSE)</f>
        <v>Implementation of the MSME Development Plan and other initiatives to promote the growth of Micro, Small and Medium Enterprises</v>
      </c>
      <c r="AC1070" s="51"/>
      <c r="AD1070" s="435"/>
      <c r="AE1070" s="51"/>
      <c r="AF1070" s="51"/>
      <c r="AG1070" s="442"/>
      <c r="AH1070" s="442"/>
      <c r="AI1070" s="443"/>
    </row>
    <row r="1071" spans="1:35" s="32" customFormat="1" ht="27.6">
      <c r="A1071" s="434" t="s">
        <v>942</v>
      </c>
      <c r="B1071" s="457" t="s">
        <v>946</v>
      </c>
      <c r="C1071" s="233">
        <v>44265</v>
      </c>
      <c r="D1071" s="435" t="s">
        <v>1267</v>
      </c>
      <c r="E1071" s="436" t="s">
        <v>1397</v>
      </c>
      <c r="F1071" s="338">
        <v>0.43124999999999997</v>
      </c>
      <c r="G1071" s="338">
        <v>0.43333333333333335</v>
      </c>
      <c r="H1071" s="338" t="s">
        <v>970</v>
      </c>
      <c r="I1071" s="353">
        <v>733</v>
      </c>
      <c r="J1071" s="338" t="str">
        <f>IFERROR(VLOOKUP(I1071,'Chart of accounts'!A:H,2,FALSE),"")</f>
        <v>50103030 01</v>
      </c>
      <c r="K1071" s="338" t="str">
        <f>IFERROR(VLOOKUP(I1071,'Chart of accounts'!A:H,3,FALSE),"")</f>
        <v>PhilHealth - Civilian</v>
      </c>
      <c r="L1071" s="338" t="str">
        <f>IFERROR(VLOOKUP(I1071,'Chart of accounts'!A:H,4,FALSE),"")</f>
        <v>50103030 01 - PhilHealth - Civilian (733)</v>
      </c>
      <c r="M1071" s="361">
        <v>68</v>
      </c>
      <c r="N1071" s="355" t="s">
        <v>1176</v>
      </c>
      <c r="O1071" s="355" t="s">
        <v>1394</v>
      </c>
      <c r="P1071" s="355"/>
      <c r="Q1071" s="363">
        <v>358.16</v>
      </c>
      <c r="R1071" s="428">
        <f t="shared" si="36"/>
        <v>-358.16</v>
      </c>
      <c r="S1071" s="239" t="str">
        <f>VLOOKUP(H1071,'Fund Utilization Report'!$A$4:$U$1800,13,FALSE)</f>
        <v>PS</v>
      </c>
      <c r="T1071" s="239" t="str">
        <f>VLOOKUP(H1071,'Fund Utilization Report'!$A$4:$U$1800,2,FALSE)</f>
        <v>GAA</v>
      </c>
      <c r="U1071" s="239" t="str">
        <f>VLOOKUP(H1071,'Fund Utilization Report'!$A$4:$U$1800,3,FALSE)</f>
        <v>FY2021, RA11518</v>
      </c>
      <c r="V1071" s="239" t="str">
        <f>VLOOKUP(H1071,'Fund Utilization Report'!$A$4:$U$1800,4,FALSE)</f>
        <v>OO3</v>
      </c>
      <c r="W1071" s="239" t="str">
        <f>VLOOKUP(H1071,'Fund Utilization Report'!$A$4:$U$1800,5,FALSE)</f>
        <v>01101101</v>
      </c>
      <c r="X1071" s="239" t="str">
        <f>VLOOKUP(H1071,'Fund Utilization Report'!$A$4:$U$1800,6,FALSE)</f>
        <v>GOP</v>
      </c>
      <c r="Y1071" s="440" t="str">
        <f>VLOOKUP(H1071,'Fund Utilization Report'!$A$4:$U$1800,7,FALSE)</f>
        <v>PS</v>
      </c>
      <c r="Z1071" s="441">
        <f>VLOOKUP(H1071,'Fund Utilization Report'!$A$4:$U$1800,8,FALSE)</f>
        <v>5010000000</v>
      </c>
      <c r="AA1071" s="239" t="str">
        <f>VLOOKUP(H1071,'Fund Utilization Report'!$A$4:$U$1800,14,FALSE)</f>
        <v>330100100002000</v>
      </c>
      <c r="AB1071" s="242" t="str">
        <f>VLOOKUP(H1071,'Fund Utilization Report'!$A$4:$U$1800,15,FALSE)</f>
        <v>Implementation of the MSME Development Plan and other initiatives to promote the growth of Micro, Small and Medium Enterprises</v>
      </c>
      <c r="AC1071" s="51"/>
      <c r="AD1071" s="435"/>
      <c r="AE1071" s="51"/>
      <c r="AF1071" s="51"/>
      <c r="AG1071" s="442"/>
      <c r="AH1071" s="442"/>
      <c r="AI1071" s="443"/>
    </row>
    <row r="1072" spans="1:35" s="32" customFormat="1" ht="27.6">
      <c r="A1072" s="434" t="s">
        <v>942</v>
      </c>
      <c r="B1072" s="457" t="s">
        <v>946</v>
      </c>
      <c r="C1072" s="233">
        <v>44265</v>
      </c>
      <c r="D1072" s="435" t="s">
        <v>1267</v>
      </c>
      <c r="E1072" s="436" t="s">
        <v>1397</v>
      </c>
      <c r="F1072" s="338">
        <v>0.43124999999999997</v>
      </c>
      <c r="G1072" s="338">
        <v>0.43333333333333335</v>
      </c>
      <c r="H1072" s="338" t="s">
        <v>970</v>
      </c>
      <c r="I1072" s="353">
        <v>734</v>
      </c>
      <c r="J1072" s="338" t="str">
        <f>IFERROR(VLOOKUP(I1072,'Chart of accounts'!A:H,2,FALSE),"")</f>
        <v>50103040 01</v>
      </c>
      <c r="K1072" s="338" t="str">
        <f>IFERROR(VLOOKUP(I1072,'Chart of accounts'!A:H,3,FALSE),"")</f>
        <v>ECIP - Civilian</v>
      </c>
      <c r="L1072" s="338" t="str">
        <f>IFERROR(VLOOKUP(I1072,'Chart of accounts'!A:H,4,FALSE),"")</f>
        <v>50103040 01 - ECIP - Civilian (734)</v>
      </c>
      <c r="M1072" s="361">
        <v>68</v>
      </c>
      <c r="N1072" s="355" t="s">
        <v>1176</v>
      </c>
      <c r="O1072" s="355" t="s">
        <v>1394</v>
      </c>
      <c r="P1072" s="355"/>
      <c r="Q1072" s="363">
        <v>100</v>
      </c>
      <c r="R1072" s="428">
        <f t="shared" si="36"/>
        <v>-100</v>
      </c>
      <c r="S1072" s="239" t="str">
        <f>VLOOKUP(H1072,'Fund Utilization Report'!$A$4:$U$1800,13,FALSE)</f>
        <v>PS</v>
      </c>
      <c r="T1072" s="239" t="str">
        <f>VLOOKUP(H1072,'Fund Utilization Report'!$A$4:$U$1800,2,FALSE)</f>
        <v>GAA</v>
      </c>
      <c r="U1072" s="239" t="str">
        <f>VLOOKUP(H1072,'Fund Utilization Report'!$A$4:$U$1800,3,FALSE)</f>
        <v>FY2021, RA11518</v>
      </c>
      <c r="V1072" s="239" t="str">
        <f>VLOOKUP(H1072,'Fund Utilization Report'!$A$4:$U$1800,4,FALSE)</f>
        <v>OO3</v>
      </c>
      <c r="W1072" s="239" t="str">
        <f>VLOOKUP(H1072,'Fund Utilization Report'!$A$4:$U$1800,5,FALSE)</f>
        <v>01101101</v>
      </c>
      <c r="X1072" s="239" t="str">
        <f>VLOOKUP(H1072,'Fund Utilization Report'!$A$4:$U$1800,6,FALSE)</f>
        <v>GOP</v>
      </c>
      <c r="Y1072" s="440" t="str">
        <f>VLOOKUP(H1072,'Fund Utilization Report'!$A$4:$U$1800,7,FALSE)</f>
        <v>PS</v>
      </c>
      <c r="Z1072" s="441">
        <f>VLOOKUP(H1072,'Fund Utilization Report'!$A$4:$U$1800,8,FALSE)</f>
        <v>5010000000</v>
      </c>
      <c r="AA1072" s="239" t="str">
        <f>VLOOKUP(H1072,'Fund Utilization Report'!$A$4:$U$1800,14,FALSE)</f>
        <v>330100100002000</v>
      </c>
      <c r="AB1072" s="242" t="str">
        <f>VLOOKUP(H1072,'Fund Utilization Report'!$A$4:$U$1800,15,FALSE)</f>
        <v>Implementation of the MSME Development Plan and other initiatives to promote the growth of Micro, Small and Medium Enterprises</v>
      </c>
      <c r="AC1072" s="51"/>
      <c r="AD1072" s="435"/>
      <c r="AE1072" s="51"/>
      <c r="AF1072" s="51"/>
      <c r="AG1072" s="442"/>
      <c r="AH1072" s="442"/>
      <c r="AI1072" s="443"/>
    </row>
    <row r="1073" spans="1:35" s="32" customFormat="1" ht="27.6">
      <c r="A1073" s="434" t="s">
        <v>942</v>
      </c>
      <c r="B1073" s="457" t="s">
        <v>946</v>
      </c>
      <c r="C1073" s="233">
        <v>44265</v>
      </c>
      <c r="D1073" s="435" t="s">
        <v>1267</v>
      </c>
      <c r="E1073" s="436" t="s">
        <v>1398</v>
      </c>
      <c r="F1073" s="338">
        <v>0.43333333333333335</v>
      </c>
      <c r="G1073" s="338">
        <v>0.4375</v>
      </c>
      <c r="H1073" s="338" t="s">
        <v>970</v>
      </c>
      <c r="I1073" s="353">
        <v>701</v>
      </c>
      <c r="J1073" s="338" t="str">
        <f>IFERROR(VLOOKUP(I1073,'Chart of accounts'!A:H,2,FALSE),"")</f>
        <v>50101010 01</v>
      </c>
      <c r="K1073" s="338" t="str">
        <f>IFERROR(VLOOKUP(I1073,'Chart of accounts'!A:H,3,FALSE),"")</f>
        <v>Basic Salary - Civilian</v>
      </c>
      <c r="L1073" s="338" t="str">
        <f>IFERROR(VLOOKUP(I1073,'Chart of accounts'!A:H,4,FALSE),"")</f>
        <v>50101010 01 - Basic Salary - Civilian (701)</v>
      </c>
      <c r="M1073" s="361">
        <v>67</v>
      </c>
      <c r="N1073" s="355" t="s">
        <v>1382</v>
      </c>
      <c r="O1073" s="355" t="s">
        <v>1399</v>
      </c>
      <c r="P1073" s="355"/>
      <c r="Q1073" s="363">
        <v>23877</v>
      </c>
      <c r="R1073" s="428">
        <f t="shared" ref="R1073:R1078" si="37">P1073-Q1073</f>
        <v>-23877</v>
      </c>
      <c r="S1073" s="239" t="str">
        <f>VLOOKUP(H1073,'Fund Utilization Report'!$A$4:$U$1800,13,FALSE)</f>
        <v>PS</v>
      </c>
      <c r="T1073" s="239" t="str">
        <f>VLOOKUP(H1073,'Fund Utilization Report'!$A$4:$U$1800,2,FALSE)</f>
        <v>GAA</v>
      </c>
      <c r="U1073" s="239" t="str">
        <f>VLOOKUP(H1073,'Fund Utilization Report'!$A$4:$U$1800,3,FALSE)</f>
        <v>FY2021, RA11518</v>
      </c>
      <c r="V1073" s="239" t="str">
        <f>VLOOKUP(H1073,'Fund Utilization Report'!$A$4:$U$1800,4,FALSE)</f>
        <v>OO3</v>
      </c>
      <c r="W1073" s="239" t="str">
        <f>VLOOKUP(H1073,'Fund Utilization Report'!$A$4:$U$1800,5,FALSE)</f>
        <v>01101101</v>
      </c>
      <c r="X1073" s="239" t="str">
        <f>VLOOKUP(H1073,'Fund Utilization Report'!$A$4:$U$1800,6,FALSE)</f>
        <v>GOP</v>
      </c>
      <c r="Y1073" s="440" t="str">
        <f>VLOOKUP(H1073,'Fund Utilization Report'!$A$4:$U$1800,7,FALSE)</f>
        <v>PS</v>
      </c>
      <c r="Z1073" s="441">
        <f>VLOOKUP(H1073,'Fund Utilization Report'!$A$4:$U$1800,8,FALSE)</f>
        <v>5010000000</v>
      </c>
      <c r="AA1073" s="239" t="str">
        <f>VLOOKUP(H1073,'Fund Utilization Report'!$A$4:$U$1800,14,FALSE)</f>
        <v>330100100002000</v>
      </c>
      <c r="AB1073" s="242" t="str">
        <f>VLOOKUP(H1073,'Fund Utilization Report'!$A$4:$U$1800,15,FALSE)</f>
        <v>Implementation of the MSME Development Plan and other initiatives to promote the growth of Micro, Small and Medium Enterprises</v>
      </c>
      <c r="AC1073" s="51"/>
      <c r="AD1073" s="435"/>
      <c r="AE1073" s="51"/>
      <c r="AF1073" s="51"/>
      <c r="AG1073" s="442"/>
      <c r="AH1073" s="442"/>
      <c r="AI1073" s="443"/>
    </row>
    <row r="1074" spans="1:35" s="32" customFormat="1" ht="27.6">
      <c r="A1074" s="434" t="s">
        <v>942</v>
      </c>
      <c r="B1074" s="457" t="s">
        <v>946</v>
      </c>
      <c r="C1074" s="233">
        <v>44265</v>
      </c>
      <c r="D1074" s="435" t="s">
        <v>1267</v>
      </c>
      <c r="E1074" s="436" t="s">
        <v>1398</v>
      </c>
      <c r="F1074" s="338">
        <v>0.43333333333333335</v>
      </c>
      <c r="G1074" s="338">
        <v>0.4375</v>
      </c>
      <c r="H1074" s="338" t="s">
        <v>970</v>
      </c>
      <c r="I1074" s="353">
        <v>711</v>
      </c>
      <c r="J1074" s="338" t="str">
        <f>IFERROR(VLOOKUP(I1074,'Chart of accounts'!A:H,2,FALSE),"")</f>
        <v>50102010 01</v>
      </c>
      <c r="K1074" s="338" t="str">
        <f>IFERROR(VLOOKUP(I1074,'Chart of accounts'!A:H,3,FALSE),"")</f>
        <v>PERA - Civilian</v>
      </c>
      <c r="L1074" s="338" t="str">
        <f>IFERROR(VLOOKUP(I1074,'Chart of accounts'!A:H,4,FALSE),"")</f>
        <v>50102010 01 - PERA - Civilian (711)</v>
      </c>
      <c r="M1074" s="361">
        <v>67</v>
      </c>
      <c r="N1074" s="355" t="s">
        <v>1382</v>
      </c>
      <c r="O1074" s="355" t="s">
        <v>1399</v>
      </c>
      <c r="P1074" s="355"/>
      <c r="Q1074" s="363">
        <v>2000</v>
      </c>
      <c r="R1074" s="428">
        <f t="shared" si="37"/>
        <v>-2000</v>
      </c>
      <c r="S1074" s="239" t="str">
        <f>VLOOKUP(H1074,'Fund Utilization Report'!$A$4:$U$1800,13,FALSE)</f>
        <v>PS</v>
      </c>
      <c r="T1074" s="239" t="str">
        <f>VLOOKUP(H1074,'Fund Utilization Report'!$A$4:$U$1800,2,FALSE)</f>
        <v>GAA</v>
      </c>
      <c r="U1074" s="239" t="str">
        <f>VLOOKUP(H1074,'Fund Utilization Report'!$A$4:$U$1800,3,FALSE)</f>
        <v>FY2021, RA11518</v>
      </c>
      <c r="V1074" s="239" t="str">
        <f>VLOOKUP(H1074,'Fund Utilization Report'!$A$4:$U$1800,4,FALSE)</f>
        <v>OO3</v>
      </c>
      <c r="W1074" s="239" t="str">
        <f>VLOOKUP(H1074,'Fund Utilization Report'!$A$4:$U$1800,5,FALSE)</f>
        <v>01101101</v>
      </c>
      <c r="X1074" s="239" t="str">
        <f>VLOOKUP(H1074,'Fund Utilization Report'!$A$4:$U$1800,6,FALSE)</f>
        <v>GOP</v>
      </c>
      <c r="Y1074" s="440" t="str">
        <f>VLOOKUP(H1074,'Fund Utilization Report'!$A$4:$U$1800,7,FALSE)</f>
        <v>PS</v>
      </c>
      <c r="Z1074" s="441">
        <f>VLOOKUP(H1074,'Fund Utilization Report'!$A$4:$U$1800,8,FALSE)</f>
        <v>5010000000</v>
      </c>
      <c r="AA1074" s="239" t="str">
        <f>VLOOKUP(H1074,'Fund Utilization Report'!$A$4:$U$1800,14,FALSE)</f>
        <v>330100100002000</v>
      </c>
      <c r="AB1074" s="242" t="str">
        <f>VLOOKUP(H1074,'Fund Utilization Report'!$A$4:$U$1800,15,FALSE)</f>
        <v>Implementation of the MSME Development Plan and other initiatives to promote the growth of Micro, Small and Medium Enterprises</v>
      </c>
      <c r="AC1074" s="51"/>
      <c r="AD1074" s="435"/>
      <c r="AE1074" s="51"/>
      <c r="AF1074" s="51"/>
      <c r="AG1074" s="442"/>
      <c r="AH1074" s="442"/>
      <c r="AI1074" s="443"/>
    </row>
    <row r="1075" spans="1:35" s="32" customFormat="1" ht="27.6">
      <c r="A1075" s="434" t="s">
        <v>942</v>
      </c>
      <c r="B1075" s="457" t="s">
        <v>946</v>
      </c>
      <c r="C1075" s="233">
        <v>44265</v>
      </c>
      <c r="D1075" s="435" t="s">
        <v>1267</v>
      </c>
      <c r="E1075" s="436" t="s">
        <v>1398</v>
      </c>
      <c r="F1075" s="338">
        <v>0.43333333333333335</v>
      </c>
      <c r="G1075" s="338">
        <v>0.4375</v>
      </c>
      <c r="H1075" s="338" t="s">
        <v>972</v>
      </c>
      <c r="I1075" s="353">
        <v>731</v>
      </c>
      <c r="J1075" s="338" t="str">
        <f>IFERROR(VLOOKUP(I1075,'Chart of accounts'!A:H,2,FALSE),"")</f>
        <v>50103010 00</v>
      </c>
      <c r="K1075" s="338" t="str">
        <f>IFERROR(VLOOKUP(I1075,'Chart of accounts'!A:H,3,FALSE),"")</f>
        <v>Retirement and Life Insurance Premiums</v>
      </c>
      <c r="L1075" s="338" t="str">
        <f>IFERROR(VLOOKUP(I1075,'Chart of accounts'!A:H,4,FALSE),"")</f>
        <v>50103010 00 - Retirement and Life Insurance Premiums (731)</v>
      </c>
      <c r="M1075" s="361">
        <v>67</v>
      </c>
      <c r="N1075" s="355" t="s">
        <v>1382</v>
      </c>
      <c r="O1075" s="355" t="s">
        <v>1399</v>
      </c>
      <c r="P1075" s="355"/>
      <c r="Q1075" s="363">
        <v>2865.24</v>
      </c>
      <c r="R1075" s="428">
        <f t="shared" si="37"/>
        <v>-2865.24</v>
      </c>
      <c r="S1075" s="239" t="str">
        <f>VLOOKUP(H1075,'Fund Utilization Report'!$A$4:$U$1800,13,FALSE)</f>
        <v>PS</v>
      </c>
      <c r="T1075" s="239" t="str">
        <f>VLOOKUP(H1075,'Fund Utilization Report'!$A$4:$U$1800,2,FALSE)</f>
        <v>GAA</v>
      </c>
      <c r="U1075" s="239" t="str">
        <f>VLOOKUP(H1075,'Fund Utilization Report'!$A$4:$U$1800,3,FALSE)</f>
        <v>FY2021, RA11518</v>
      </c>
      <c r="V1075" s="239" t="str">
        <f>VLOOKUP(H1075,'Fund Utilization Report'!$A$4:$U$1800,4,FALSE)</f>
        <v>OO3</v>
      </c>
      <c r="W1075" s="239" t="str">
        <f>VLOOKUP(H1075,'Fund Utilization Report'!$A$4:$U$1800,5,FALSE)</f>
        <v>01101101</v>
      </c>
      <c r="X1075" s="239" t="str">
        <f>VLOOKUP(H1075,'Fund Utilization Report'!$A$4:$U$1800,6,FALSE)</f>
        <v>GOP</v>
      </c>
      <c r="Y1075" s="440" t="str">
        <f>VLOOKUP(H1075,'Fund Utilization Report'!$A$4:$U$1800,7,FALSE)</f>
        <v>RLIP</v>
      </c>
      <c r="Z1075" s="441" t="str">
        <f>VLOOKUP(H1075,'Fund Utilization Report'!$A$4:$U$1800,8,FALSE)</f>
        <v>50103010-00</v>
      </c>
      <c r="AA1075" s="239" t="str">
        <f>VLOOKUP(H1075,'Fund Utilization Report'!$A$4:$U$1800,14,FALSE)</f>
        <v>330100100002000</v>
      </c>
      <c r="AB1075" s="242" t="str">
        <f>VLOOKUP(H1075,'Fund Utilization Report'!$A$4:$U$1800,15,FALSE)</f>
        <v>Implementation of the MSME Development Plan and other initiatives to promote the growth of Micro, Small and Medium Enterprises</v>
      </c>
      <c r="AC1075" s="51"/>
      <c r="AD1075" s="435"/>
      <c r="AE1075" s="51"/>
      <c r="AF1075" s="51"/>
      <c r="AG1075" s="442"/>
      <c r="AH1075" s="442"/>
      <c r="AI1075" s="443"/>
    </row>
    <row r="1076" spans="1:35" s="32" customFormat="1" ht="27.6">
      <c r="A1076" s="434" t="s">
        <v>942</v>
      </c>
      <c r="B1076" s="457" t="s">
        <v>946</v>
      </c>
      <c r="C1076" s="233">
        <v>44265</v>
      </c>
      <c r="D1076" s="435" t="s">
        <v>1267</v>
      </c>
      <c r="E1076" s="436" t="s">
        <v>1398</v>
      </c>
      <c r="F1076" s="338">
        <v>0.43333333333333335</v>
      </c>
      <c r="G1076" s="338">
        <v>0.4375</v>
      </c>
      <c r="H1076" s="338" t="s">
        <v>970</v>
      </c>
      <c r="I1076" s="353">
        <v>732</v>
      </c>
      <c r="J1076" s="338" t="str">
        <f>IFERROR(VLOOKUP(I1076,'Chart of accounts'!A:H,2,FALSE),"")</f>
        <v>50103020 01</v>
      </c>
      <c r="K1076" s="338" t="str">
        <f>IFERROR(VLOOKUP(I1076,'Chart of accounts'!A:H,3,FALSE),"")</f>
        <v>Pag-IBIG - Civilian</v>
      </c>
      <c r="L1076" s="338" t="str">
        <f>IFERROR(VLOOKUP(I1076,'Chart of accounts'!A:H,4,FALSE),"")</f>
        <v>50103020 01 - Pag-IBIG - Civilian (732)</v>
      </c>
      <c r="M1076" s="361">
        <v>67</v>
      </c>
      <c r="N1076" s="355" t="s">
        <v>1382</v>
      </c>
      <c r="O1076" s="355" t="s">
        <v>1399</v>
      </c>
      <c r="P1076" s="355"/>
      <c r="Q1076" s="363">
        <v>100</v>
      </c>
      <c r="R1076" s="428">
        <f t="shared" si="37"/>
        <v>-100</v>
      </c>
      <c r="S1076" s="239" t="str">
        <f>VLOOKUP(H1076,'Fund Utilization Report'!$A$4:$U$1800,13,FALSE)</f>
        <v>PS</v>
      </c>
      <c r="T1076" s="239" t="str">
        <f>VLOOKUP(H1076,'Fund Utilization Report'!$A$4:$U$1800,2,FALSE)</f>
        <v>GAA</v>
      </c>
      <c r="U1076" s="239" t="str">
        <f>VLOOKUP(H1076,'Fund Utilization Report'!$A$4:$U$1800,3,FALSE)</f>
        <v>FY2021, RA11518</v>
      </c>
      <c r="V1076" s="239" t="str">
        <f>VLOOKUP(H1076,'Fund Utilization Report'!$A$4:$U$1800,4,FALSE)</f>
        <v>OO3</v>
      </c>
      <c r="W1076" s="239" t="str">
        <f>VLOOKUP(H1076,'Fund Utilization Report'!$A$4:$U$1800,5,FALSE)</f>
        <v>01101101</v>
      </c>
      <c r="X1076" s="239" t="str">
        <f>VLOOKUP(H1076,'Fund Utilization Report'!$A$4:$U$1800,6,FALSE)</f>
        <v>GOP</v>
      </c>
      <c r="Y1076" s="440" t="str">
        <f>VLOOKUP(H1076,'Fund Utilization Report'!$A$4:$U$1800,7,FALSE)</f>
        <v>PS</v>
      </c>
      <c r="Z1076" s="441">
        <f>VLOOKUP(H1076,'Fund Utilization Report'!$A$4:$U$1800,8,FALSE)</f>
        <v>5010000000</v>
      </c>
      <c r="AA1076" s="239" t="str">
        <f>VLOOKUP(H1076,'Fund Utilization Report'!$A$4:$U$1800,14,FALSE)</f>
        <v>330100100002000</v>
      </c>
      <c r="AB1076" s="242" t="str">
        <f>VLOOKUP(H1076,'Fund Utilization Report'!$A$4:$U$1800,15,FALSE)</f>
        <v>Implementation of the MSME Development Plan and other initiatives to promote the growth of Micro, Small and Medium Enterprises</v>
      </c>
      <c r="AC1076" s="51"/>
      <c r="AD1076" s="435"/>
      <c r="AE1076" s="51"/>
      <c r="AF1076" s="51"/>
      <c r="AG1076" s="442"/>
      <c r="AH1076" s="442"/>
      <c r="AI1076" s="443"/>
    </row>
    <row r="1077" spans="1:35" s="32" customFormat="1" ht="27.6">
      <c r="A1077" s="434" t="s">
        <v>942</v>
      </c>
      <c r="B1077" s="457" t="s">
        <v>946</v>
      </c>
      <c r="C1077" s="233">
        <v>44265</v>
      </c>
      <c r="D1077" s="435" t="s">
        <v>1267</v>
      </c>
      <c r="E1077" s="436" t="s">
        <v>1398</v>
      </c>
      <c r="F1077" s="338">
        <v>0.43333333333333335</v>
      </c>
      <c r="G1077" s="338">
        <v>0.4375</v>
      </c>
      <c r="H1077" s="338" t="s">
        <v>970</v>
      </c>
      <c r="I1077" s="353">
        <v>733</v>
      </c>
      <c r="J1077" s="338" t="str">
        <f>IFERROR(VLOOKUP(I1077,'Chart of accounts'!A:H,2,FALSE),"")</f>
        <v>50103030 01</v>
      </c>
      <c r="K1077" s="338" t="str">
        <f>IFERROR(VLOOKUP(I1077,'Chart of accounts'!A:H,3,FALSE),"")</f>
        <v>PhilHealth - Civilian</v>
      </c>
      <c r="L1077" s="338" t="str">
        <f>IFERROR(VLOOKUP(I1077,'Chart of accounts'!A:H,4,FALSE),"")</f>
        <v>50103030 01 - PhilHealth - Civilian (733)</v>
      </c>
      <c r="M1077" s="361">
        <v>67</v>
      </c>
      <c r="N1077" s="355" t="s">
        <v>1382</v>
      </c>
      <c r="O1077" s="355" t="s">
        <v>1399</v>
      </c>
      <c r="P1077" s="355"/>
      <c r="Q1077" s="363">
        <v>358.16</v>
      </c>
      <c r="R1077" s="428">
        <f t="shared" si="37"/>
        <v>-358.16</v>
      </c>
      <c r="S1077" s="239" t="str">
        <f>VLOOKUP(H1077,'Fund Utilization Report'!$A$4:$U$1800,13,FALSE)</f>
        <v>PS</v>
      </c>
      <c r="T1077" s="239" t="str">
        <f>VLOOKUP(H1077,'Fund Utilization Report'!$A$4:$U$1800,2,FALSE)</f>
        <v>GAA</v>
      </c>
      <c r="U1077" s="239" t="str">
        <f>VLOOKUP(H1077,'Fund Utilization Report'!$A$4:$U$1800,3,FALSE)</f>
        <v>FY2021, RA11518</v>
      </c>
      <c r="V1077" s="239" t="str">
        <f>VLOOKUP(H1077,'Fund Utilization Report'!$A$4:$U$1800,4,FALSE)</f>
        <v>OO3</v>
      </c>
      <c r="W1077" s="239" t="str">
        <f>VLOOKUP(H1077,'Fund Utilization Report'!$A$4:$U$1800,5,FALSE)</f>
        <v>01101101</v>
      </c>
      <c r="X1077" s="239" t="str">
        <f>VLOOKUP(H1077,'Fund Utilization Report'!$A$4:$U$1800,6,FALSE)</f>
        <v>GOP</v>
      </c>
      <c r="Y1077" s="440" t="str">
        <f>VLOOKUP(H1077,'Fund Utilization Report'!$A$4:$U$1800,7,FALSE)</f>
        <v>PS</v>
      </c>
      <c r="Z1077" s="441">
        <f>VLOOKUP(H1077,'Fund Utilization Report'!$A$4:$U$1800,8,FALSE)</f>
        <v>5010000000</v>
      </c>
      <c r="AA1077" s="239" t="str">
        <f>VLOOKUP(H1077,'Fund Utilization Report'!$A$4:$U$1800,14,FALSE)</f>
        <v>330100100002000</v>
      </c>
      <c r="AB1077" s="242" t="str">
        <f>VLOOKUP(H1077,'Fund Utilization Report'!$A$4:$U$1800,15,FALSE)</f>
        <v>Implementation of the MSME Development Plan and other initiatives to promote the growth of Micro, Small and Medium Enterprises</v>
      </c>
      <c r="AC1077" s="51"/>
      <c r="AD1077" s="435"/>
      <c r="AE1077" s="51"/>
      <c r="AF1077" s="51"/>
      <c r="AG1077" s="442"/>
      <c r="AH1077" s="442"/>
      <c r="AI1077" s="443"/>
    </row>
    <row r="1078" spans="1:35" s="32" customFormat="1" ht="27.6">
      <c r="A1078" s="434" t="s">
        <v>942</v>
      </c>
      <c r="B1078" s="457" t="s">
        <v>946</v>
      </c>
      <c r="C1078" s="233">
        <v>44265</v>
      </c>
      <c r="D1078" s="435" t="s">
        <v>1267</v>
      </c>
      <c r="E1078" s="436" t="s">
        <v>1398</v>
      </c>
      <c r="F1078" s="338">
        <v>0.43333333333333335</v>
      </c>
      <c r="G1078" s="338">
        <v>0.4375</v>
      </c>
      <c r="H1078" s="338" t="s">
        <v>970</v>
      </c>
      <c r="I1078" s="353">
        <v>734</v>
      </c>
      <c r="J1078" s="338" t="str">
        <f>IFERROR(VLOOKUP(I1078,'Chart of accounts'!A:H,2,FALSE),"")</f>
        <v>50103040 01</v>
      </c>
      <c r="K1078" s="338" t="str">
        <f>IFERROR(VLOOKUP(I1078,'Chart of accounts'!A:H,3,FALSE),"")</f>
        <v>ECIP - Civilian</v>
      </c>
      <c r="L1078" s="338" t="str">
        <f>IFERROR(VLOOKUP(I1078,'Chart of accounts'!A:H,4,FALSE),"")</f>
        <v>50103040 01 - ECIP - Civilian (734)</v>
      </c>
      <c r="M1078" s="361">
        <v>67</v>
      </c>
      <c r="N1078" s="355" t="s">
        <v>1382</v>
      </c>
      <c r="O1078" s="355" t="s">
        <v>1399</v>
      </c>
      <c r="P1078" s="355"/>
      <c r="Q1078" s="363">
        <v>100</v>
      </c>
      <c r="R1078" s="428">
        <f t="shared" si="37"/>
        <v>-100</v>
      </c>
      <c r="S1078" s="239" t="str">
        <f>VLOOKUP(H1078,'Fund Utilization Report'!$A$4:$U$1800,13,FALSE)</f>
        <v>PS</v>
      </c>
      <c r="T1078" s="239" t="str">
        <f>VLOOKUP(H1078,'Fund Utilization Report'!$A$4:$U$1800,2,FALSE)</f>
        <v>GAA</v>
      </c>
      <c r="U1078" s="239" t="str">
        <f>VLOOKUP(H1078,'Fund Utilization Report'!$A$4:$U$1800,3,FALSE)</f>
        <v>FY2021, RA11518</v>
      </c>
      <c r="V1078" s="239" t="str">
        <f>VLOOKUP(H1078,'Fund Utilization Report'!$A$4:$U$1800,4,FALSE)</f>
        <v>OO3</v>
      </c>
      <c r="W1078" s="239" t="str">
        <f>VLOOKUP(H1078,'Fund Utilization Report'!$A$4:$U$1800,5,FALSE)</f>
        <v>01101101</v>
      </c>
      <c r="X1078" s="239" t="str">
        <f>VLOOKUP(H1078,'Fund Utilization Report'!$A$4:$U$1800,6,FALSE)</f>
        <v>GOP</v>
      </c>
      <c r="Y1078" s="440" t="str">
        <f>VLOOKUP(H1078,'Fund Utilization Report'!$A$4:$U$1800,7,FALSE)</f>
        <v>PS</v>
      </c>
      <c r="Z1078" s="441">
        <f>VLOOKUP(H1078,'Fund Utilization Report'!$A$4:$U$1800,8,FALSE)</f>
        <v>5010000000</v>
      </c>
      <c r="AA1078" s="239" t="str">
        <f>VLOOKUP(H1078,'Fund Utilization Report'!$A$4:$U$1800,14,FALSE)</f>
        <v>330100100002000</v>
      </c>
      <c r="AB1078" s="242" t="str">
        <f>VLOOKUP(H1078,'Fund Utilization Report'!$A$4:$U$1800,15,FALSE)</f>
        <v>Implementation of the MSME Development Plan and other initiatives to promote the growth of Micro, Small and Medium Enterprises</v>
      </c>
      <c r="AC1078" s="51"/>
      <c r="AD1078" s="435"/>
      <c r="AE1078" s="51"/>
      <c r="AF1078" s="51"/>
      <c r="AG1078" s="442"/>
      <c r="AH1078" s="442"/>
      <c r="AI1078" s="443"/>
    </row>
    <row r="1079" spans="1:35" s="32" customFormat="1" ht="27.6">
      <c r="A1079" s="434" t="s">
        <v>942</v>
      </c>
      <c r="B1079" s="457" t="s">
        <v>946</v>
      </c>
      <c r="C1079" s="233">
        <v>44265</v>
      </c>
      <c r="D1079" s="435" t="s">
        <v>1267</v>
      </c>
      <c r="E1079" s="436" t="s">
        <v>1400</v>
      </c>
      <c r="F1079" s="338">
        <v>0.4375</v>
      </c>
      <c r="G1079" s="338">
        <v>0.44027777777777777</v>
      </c>
      <c r="H1079" s="338" t="s">
        <v>970</v>
      </c>
      <c r="I1079" s="353">
        <v>701</v>
      </c>
      <c r="J1079" s="338" t="str">
        <f>IFERROR(VLOOKUP(I1079,'Chart of accounts'!A:H,2,FALSE),"")</f>
        <v>50101010 01</v>
      </c>
      <c r="K1079" s="338" t="str">
        <f>IFERROR(VLOOKUP(I1079,'Chart of accounts'!A:H,3,FALSE),"")</f>
        <v>Basic Salary - Civilian</v>
      </c>
      <c r="L1079" s="338" t="str">
        <f>IFERROR(VLOOKUP(I1079,'Chart of accounts'!A:H,4,FALSE),"")</f>
        <v>50101010 01 - Basic Salary - Civilian (701)</v>
      </c>
      <c r="M1079" s="361">
        <v>67</v>
      </c>
      <c r="N1079" s="355" t="s">
        <v>1382</v>
      </c>
      <c r="O1079" s="355" t="s">
        <v>1394</v>
      </c>
      <c r="P1079" s="355"/>
      <c r="Q1079" s="363">
        <v>23877</v>
      </c>
      <c r="R1079" s="428">
        <f t="shared" ref="R1079:R1084" si="38">P1079-Q1079</f>
        <v>-23877</v>
      </c>
      <c r="S1079" s="239" t="str">
        <f>VLOOKUP(H1079,'Fund Utilization Report'!$A$4:$U$1800,13,FALSE)</f>
        <v>PS</v>
      </c>
      <c r="T1079" s="239" t="str">
        <f>VLOOKUP(H1079,'Fund Utilization Report'!$A$4:$U$1800,2,FALSE)</f>
        <v>GAA</v>
      </c>
      <c r="U1079" s="239" t="str">
        <f>VLOOKUP(H1079,'Fund Utilization Report'!$A$4:$U$1800,3,FALSE)</f>
        <v>FY2021, RA11518</v>
      </c>
      <c r="V1079" s="239" t="str">
        <f>VLOOKUP(H1079,'Fund Utilization Report'!$A$4:$U$1800,4,FALSE)</f>
        <v>OO3</v>
      </c>
      <c r="W1079" s="239" t="str">
        <f>VLOOKUP(H1079,'Fund Utilization Report'!$A$4:$U$1800,5,FALSE)</f>
        <v>01101101</v>
      </c>
      <c r="X1079" s="239" t="str">
        <f>VLOOKUP(H1079,'Fund Utilization Report'!$A$4:$U$1800,6,FALSE)</f>
        <v>GOP</v>
      </c>
      <c r="Y1079" s="440" t="str">
        <f>VLOOKUP(H1079,'Fund Utilization Report'!$A$4:$U$1800,7,FALSE)</f>
        <v>PS</v>
      </c>
      <c r="Z1079" s="441">
        <f>VLOOKUP(H1079,'Fund Utilization Report'!$A$4:$U$1800,8,FALSE)</f>
        <v>5010000000</v>
      </c>
      <c r="AA1079" s="239" t="str">
        <f>VLOOKUP(H1079,'Fund Utilization Report'!$A$4:$U$1800,14,FALSE)</f>
        <v>330100100002000</v>
      </c>
      <c r="AB1079" s="242" t="str">
        <f>VLOOKUP(H1079,'Fund Utilization Report'!$A$4:$U$1800,15,FALSE)</f>
        <v>Implementation of the MSME Development Plan and other initiatives to promote the growth of Micro, Small and Medium Enterprises</v>
      </c>
      <c r="AC1079" s="51"/>
      <c r="AD1079" s="435"/>
      <c r="AE1079" s="51"/>
      <c r="AF1079" s="51"/>
      <c r="AG1079" s="442"/>
      <c r="AH1079" s="442"/>
      <c r="AI1079" s="443"/>
    </row>
    <row r="1080" spans="1:35" s="32" customFormat="1" ht="27.6">
      <c r="A1080" s="434" t="s">
        <v>942</v>
      </c>
      <c r="B1080" s="457" t="s">
        <v>946</v>
      </c>
      <c r="C1080" s="233">
        <v>44265</v>
      </c>
      <c r="D1080" s="435" t="s">
        <v>1267</v>
      </c>
      <c r="E1080" s="436" t="s">
        <v>1400</v>
      </c>
      <c r="F1080" s="338">
        <v>0.4375</v>
      </c>
      <c r="G1080" s="338">
        <v>0.44027777777777777</v>
      </c>
      <c r="H1080" s="338" t="s">
        <v>970</v>
      </c>
      <c r="I1080" s="353">
        <v>711</v>
      </c>
      <c r="J1080" s="338" t="str">
        <f>IFERROR(VLOOKUP(I1080,'Chart of accounts'!A:H,2,FALSE),"")</f>
        <v>50102010 01</v>
      </c>
      <c r="K1080" s="338" t="str">
        <f>IFERROR(VLOOKUP(I1080,'Chart of accounts'!A:H,3,FALSE),"")</f>
        <v>PERA - Civilian</v>
      </c>
      <c r="L1080" s="338" t="str">
        <f>IFERROR(VLOOKUP(I1080,'Chart of accounts'!A:H,4,FALSE),"")</f>
        <v>50102010 01 - PERA - Civilian (711)</v>
      </c>
      <c r="M1080" s="361">
        <v>67</v>
      </c>
      <c r="N1080" s="355" t="s">
        <v>1382</v>
      </c>
      <c r="O1080" s="355" t="s">
        <v>1394</v>
      </c>
      <c r="P1080" s="355"/>
      <c r="Q1080" s="363">
        <v>2000</v>
      </c>
      <c r="R1080" s="428">
        <f t="shared" si="38"/>
        <v>-2000</v>
      </c>
      <c r="S1080" s="239" t="str">
        <f>VLOOKUP(H1080,'Fund Utilization Report'!$A$4:$U$1800,13,FALSE)</f>
        <v>PS</v>
      </c>
      <c r="T1080" s="239" t="str">
        <f>VLOOKUP(H1080,'Fund Utilization Report'!$A$4:$U$1800,2,FALSE)</f>
        <v>GAA</v>
      </c>
      <c r="U1080" s="239" t="str">
        <f>VLOOKUP(H1080,'Fund Utilization Report'!$A$4:$U$1800,3,FALSE)</f>
        <v>FY2021, RA11518</v>
      </c>
      <c r="V1080" s="239" t="str">
        <f>VLOOKUP(H1080,'Fund Utilization Report'!$A$4:$U$1800,4,FALSE)</f>
        <v>OO3</v>
      </c>
      <c r="W1080" s="239" t="str">
        <f>VLOOKUP(H1080,'Fund Utilization Report'!$A$4:$U$1800,5,FALSE)</f>
        <v>01101101</v>
      </c>
      <c r="X1080" s="239" t="str">
        <f>VLOOKUP(H1080,'Fund Utilization Report'!$A$4:$U$1800,6,FALSE)</f>
        <v>GOP</v>
      </c>
      <c r="Y1080" s="440" t="str">
        <f>VLOOKUP(H1080,'Fund Utilization Report'!$A$4:$U$1800,7,FALSE)</f>
        <v>PS</v>
      </c>
      <c r="Z1080" s="441">
        <f>VLOOKUP(H1080,'Fund Utilization Report'!$A$4:$U$1800,8,FALSE)</f>
        <v>5010000000</v>
      </c>
      <c r="AA1080" s="239" t="str">
        <f>VLOOKUP(H1080,'Fund Utilization Report'!$A$4:$U$1800,14,FALSE)</f>
        <v>330100100002000</v>
      </c>
      <c r="AB1080" s="242" t="str">
        <f>VLOOKUP(H1080,'Fund Utilization Report'!$A$4:$U$1800,15,FALSE)</f>
        <v>Implementation of the MSME Development Plan and other initiatives to promote the growth of Micro, Small and Medium Enterprises</v>
      </c>
      <c r="AC1080" s="51"/>
      <c r="AD1080" s="435"/>
      <c r="AE1080" s="51"/>
      <c r="AF1080" s="51"/>
      <c r="AG1080" s="442"/>
      <c r="AH1080" s="442"/>
      <c r="AI1080" s="443"/>
    </row>
    <row r="1081" spans="1:35" s="32" customFormat="1" ht="27.6">
      <c r="A1081" s="434" t="s">
        <v>942</v>
      </c>
      <c r="B1081" s="457" t="s">
        <v>946</v>
      </c>
      <c r="C1081" s="233">
        <v>44265</v>
      </c>
      <c r="D1081" s="435" t="s">
        <v>1267</v>
      </c>
      <c r="E1081" s="436" t="s">
        <v>1400</v>
      </c>
      <c r="F1081" s="338">
        <v>0.4375</v>
      </c>
      <c r="G1081" s="338">
        <v>0.44027777777777777</v>
      </c>
      <c r="H1081" s="338" t="s">
        <v>972</v>
      </c>
      <c r="I1081" s="353">
        <v>731</v>
      </c>
      <c r="J1081" s="338" t="str">
        <f>IFERROR(VLOOKUP(I1081,'Chart of accounts'!A:H,2,FALSE),"")</f>
        <v>50103010 00</v>
      </c>
      <c r="K1081" s="338" t="str">
        <f>IFERROR(VLOOKUP(I1081,'Chart of accounts'!A:H,3,FALSE),"")</f>
        <v>Retirement and Life Insurance Premiums</v>
      </c>
      <c r="L1081" s="338" t="str">
        <f>IFERROR(VLOOKUP(I1081,'Chart of accounts'!A:H,4,FALSE),"")</f>
        <v>50103010 00 - Retirement and Life Insurance Premiums (731)</v>
      </c>
      <c r="M1081" s="361">
        <v>67</v>
      </c>
      <c r="N1081" s="355" t="s">
        <v>1382</v>
      </c>
      <c r="O1081" s="355" t="s">
        <v>1394</v>
      </c>
      <c r="P1081" s="355"/>
      <c r="Q1081" s="363">
        <v>2865.24</v>
      </c>
      <c r="R1081" s="428">
        <f t="shared" si="38"/>
        <v>-2865.24</v>
      </c>
      <c r="S1081" s="239" t="str">
        <f>VLOOKUP(H1081,'Fund Utilization Report'!$A$4:$U$1800,13,FALSE)</f>
        <v>PS</v>
      </c>
      <c r="T1081" s="239" t="str">
        <f>VLOOKUP(H1081,'Fund Utilization Report'!$A$4:$U$1800,2,FALSE)</f>
        <v>GAA</v>
      </c>
      <c r="U1081" s="239" t="str">
        <f>VLOOKUP(H1081,'Fund Utilization Report'!$A$4:$U$1800,3,FALSE)</f>
        <v>FY2021, RA11518</v>
      </c>
      <c r="V1081" s="239" t="str">
        <f>VLOOKUP(H1081,'Fund Utilization Report'!$A$4:$U$1800,4,FALSE)</f>
        <v>OO3</v>
      </c>
      <c r="W1081" s="239" t="str">
        <f>VLOOKUP(H1081,'Fund Utilization Report'!$A$4:$U$1800,5,FALSE)</f>
        <v>01101101</v>
      </c>
      <c r="X1081" s="239" t="str">
        <f>VLOOKUP(H1081,'Fund Utilization Report'!$A$4:$U$1800,6,FALSE)</f>
        <v>GOP</v>
      </c>
      <c r="Y1081" s="440" t="str">
        <f>VLOOKUP(H1081,'Fund Utilization Report'!$A$4:$U$1800,7,FALSE)</f>
        <v>RLIP</v>
      </c>
      <c r="Z1081" s="441" t="str">
        <f>VLOOKUP(H1081,'Fund Utilization Report'!$A$4:$U$1800,8,FALSE)</f>
        <v>50103010-00</v>
      </c>
      <c r="AA1081" s="239" t="str">
        <f>VLOOKUP(H1081,'Fund Utilization Report'!$A$4:$U$1800,14,FALSE)</f>
        <v>330100100002000</v>
      </c>
      <c r="AB1081" s="242" t="str">
        <f>VLOOKUP(H1081,'Fund Utilization Report'!$A$4:$U$1800,15,FALSE)</f>
        <v>Implementation of the MSME Development Plan and other initiatives to promote the growth of Micro, Small and Medium Enterprises</v>
      </c>
      <c r="AC1081" s="51"/>
      <c r="AD1081" s="435"/>
      <c r="AE1081" s="51"/>
      <c r="AF1081" s="51"/>
      <c r="AG1081" s="442"/>
      <c r="AH1081" s="442"/>
      <c r="AI1081" s="443"/>
    </row>
    <row r="1082" spans="1:35" s="32" customFormat="1" ht="27.6">
      <c r="A1082" s="434" t="s">
        <v>942</v>
      </c>
      <c r="B1082" s="457" t="s">
        <v>946</v>
      </c>
      <c r="C1082" s="233">
        <v>44265</v>
      </c>
      <c r="D1082" s="435" t="s">
        <v>1267</v>
      </c>
      <c r="E1082" s="436" t="s">
        <v>1400</v>
      </c>
      <c r="F1082" s="338">
        <v>0.4375</v>
      </c>
      <c r="G1082" s="338">
        <v>0.44027777777777777</v>
      </c>
      <c r="H1082" s="338" t="s">
        <v>970</v>
      </c>
      <c r="I1082" s="353">
        <v>732</v>
      </c>
      <c r="J1082" s="338" t="str">
        <f>IFERROR(VLOOKUP(I1082,'Chart of accounts'!A:H,2,FALSE),"")</f>
        <v>50103020 01</v>
      </c>
      <c r="K1082" s="338" t="str">
        <f>IFERROR(VLOOKUP(I1082,'Chart of accounts'!A:H,3,FALSE),"")</f>
        <v>Pag-IBIG - Civilian</v>
      </c>
      <c r="L1082" s="338" t="str">
        <f>IFERROR(VLOOKUP(I1082,'Chart of accounts'!A:H,4,FALSE),"")</f>
        <v>50103020 01 - Pag-IBIG - Civilian (732)</v>
      </c>
      <c r="M1082" s="361">
        <v>67</v>
      </c>
      <c r="N1082" s="355" t="s">
        <v>1382</v>
      </c>
      <c r="O1082" s="355" t="s">
        <v>1394</v>
      </c>
      <c r="P1082" s="355"/>
      <c r="Q1082" s="363">
        <v>100</v>
      </c>
      <c r="R1082" s="428">
        <f t="shared" si="38"/>
        <v>-100</v>
      </c>
      <c r="S1082" s="239" t="str">
        <f>VLOOKUP(H1082,'Fund Utilization Report'!$A$4:$U$1800,13,FALSE)</f>
        <v>PS</v>
      </c>
      <c r="T1082" s="239" t="str">
        <f>VLOOKUP(H1082,'Fund Utilization Report'!$A$4:$U$1800,2,FALSE)</f>
        <v>GAA</v>
      </c>
      <c r="U1082" s="239" t="str">
        <f>VLOOKUP(H1082,'Fund Utilization Report'!$A$4:$U$1800,3,FALSE)</f>
        <v>FY2021, RA11518</v>
      </c>
      <c r="V1082" s="239" t="str">
        <f>VLOOKUP(H1082,'Fund Utilization Report'!$A$4:$U$1800,4,FALSE)</f>
        <v>OO3</v>
      </c>
      <c r="W1082" s="239" t="str">
        <f>VLOOKUP(H1082,'Fund Utilization Report'!$A$4:$U$1800,5,FALSE)</f>
        <v>01101101</v>
      </c>
      <c r="X1082" s="239" t="str">
        <f>VLOOKUP(H1082,'Fund Utilization Report'!$A$4:$U$1800,6,FALSE)</f>
        <v>GOP</v>
      </c>
      <c r="Y1082" s="440" t="str">
        <f>VLOOKUP(H1082,'Fund Utilization Report'!$A$4:$U$1800,7,FALSE)</f>
        <v>PS</v>
      </c>
      <c r="Z1082" s="441">
        <f>VLOOKUP(H1082,'Fund Utilization Report'!$A$4:$U$1800,8,FALSE)</f>
        <v>5010000000</v>
      </c>
      <c r="AA1082" s="239" t="str">
        <f>VLOOKUP(H1082,'Fund Utilization Report'!$A$4:$U$1800,14,FALSE)</f>
        <v>330100100002000</v>
      </c>
      <c r="AB1082" s="242" t="str">
        <f>VLOOKUP(H1082,'Fund Utilization Report'!$A$4:$U$1800,15,FALSE)</f>
        <v>Implementation of the MSME Development Plan and other initiatives to promote the growth of Micro, Small and Medium Enterprises</v>
      </c>
      <c r="AC1082" s="51"/>
      <c r="AD1082" s="435"/>
      <c r="AE1082" s="51"/>
      <c r="AF1082" s="51"/>
      <c r="AG1082" s="442"/>
      <c r="AH1082" s="442"/>
      <c r="AI1082" s="443"/>
    </row>
    <row r="1083" spans="1:35" s="32" customFormat="1" ht="27.6">
      <c r="A1083" s="434" t="s">
        <v>942</v>
      </c>
      <c r="B1083" s="457" t="s">
        <v>946</v>
      </c>
      <c r="C1083" s="233">
        <v>44265</v>
      </c>
      <c r="D1083" s="435" t="s">
        <v>1267</v>
      </c>
      <c r="E1083" s="436" t="s">
        <v>1400</v>
      </c>
      <c r="F1083" s="338">
        <v>0.4375</v>
      </c>
      <c r="G1083" s="338">
        <v>0.44027777777777777</v>
      </c>
      <c r="H1083" s="338" t="s">
        <v>970</v>
      </c>
      <c r="I1083" s="353">
        <v>733</v>
      </c>
      <c r="J1083" s="338" t="str">
        <f>IFERROR(VLOOKUP(I1083,'Chart of accounts'!A:H,2,FALSE),"")</f>
        <v>50103030 01</v>
      </c>
      <c r="K1083" s="338" t="str">
        <f>IFERROR(VLOOKUP(I1083,'Chart of accounts'!A:H,3,FALSE),"")</f>
        <v>PhilHealth - Civilian</v>
      </c>
      <c r="L1083" s="338" t="str">
        <f>IFERROR(VLOOKUP(I1083,'Chart of accounts'!A:H,4,FALSE),"")</f>
        <v>50103030 01 - PhilHealth - Civilian (733)</v>
      </c>
      <c r="M1083" s="361">
        <v>67</v>
      </c>
      <c r="N1083" s="355" t="s">
        <v>1382</v>
      </c>
      <c r="O1083" s="355" t="s">
        <v>1394</v>
      </c>
      <c r="P1083" s="355"/>
      <c r="Q1083" s="363">
        <v>358.16</v>
      </c>
      <c r="R1083" s="428">
        <f t="shared" si="38"/>
        <v>-358.16</v>
      </c>
      <c r="S1083" s="239" t="str">
        <f>VLOOKUP(H1083,'Fund Utilization Report'!$A$4:$U$1800,13,FALSE)</f>
        <v>PS</v>
      </c>
      <c r="T1083" s="239" t="str">
        <f>VLOOKUP(H1083,'Fund Utilization Report'!$A$4:$U$1800,2,FALSE)</f>
        <v>GAA</v>
      </c>
      <c r="U1083" s="239" t="str">
        <f>VLOOKUP(H1083,'Fund Utilization Report'!$A$4:$U$1800,3,FALSE)</f>
        <v>FY2021, RA11518</v>
      </c>
      <c r="V1083" s="239" t="str">
        <f>VLOOKUP(H1083,'Fund Utilization Report'!$A$4:$U$1800,4,FALSE)</f>
        <v>OO3</v>
      </c>
      <c r="W1083" s="239" t="str">
        <f>VLOOKUP(H1083,'Fund Utilization Report'!$A$4:$U$1800,5,FALSE)</f>
        <v>01101101</v>
      </c>
      <c r="X1083" s="239" t="str">
        <f>VLOOKUP(H1083,'Fund Utilization Report'!$A$4:$U$1800,6,FALSE)</f>
        <v>GOP</v>
      </c>
      <c r="Y1083" s="440" t="str">
        <f>VLOOKUP(H1083,'Fund Utilization Report'!$A$4:$U$1800,7,FALSE)</f>
        <v>PS</v>
      </c>
      <c r="Z1083" s="441">
        <f>VLOOKUP(H1083,'Fund Utilization Report'!$A$4:$U$1800,8,FALSE)</f>
        <v>5010000000</v>
      </c>
      <c r="AA1083" s="239" t="str">
        <f>VLOOKUP(H1083,'Fund Utilization Report'!$A$4:$U$1800,14,FALSE)</f>
        <v>330100100002000</v>
      </c>
      <c r="AB1083" s="242" t="str">
        <f>VLOOKUP(H1083,'Fund Utilization Report'!$A$4:$U$1800,15,FALSE)</f>
        <v>Implementation of the MSME Development Plan and other initiatives to promote the growth of Micro, Small and Medium Enterprises</v>
      </c>
      <c r="AC1083" s="51"/>
      <c r="AD1083" s="435"/>
      <c r="AE1083" s="51"/>
      <c r="AF1083" s="51"/>
      <c r="AG1083" s="442"/>
      <c r="AH1083" s="442"/>
      <c r="AI1083" s="443"/>
    </row>
    <row r="1084" spans="1:35" s="32" customFormat="1" ht="27.6">
      <c r="A1084" s="434" t="s">
        <v>942</v>
      </c>
      <c r="B1084" s="457" t="s">
        <v>946</v>
      </c>
      <c r="C1084" s="233">
        <v>44265</v>
      </c>
      <c r="D1084" s="435" t="s">
        <v>1267</v>
      </c>
      <c r="E1084" s="436" t="s">
        <v>1400</v>
      </c>
      <c r="F1084" s="338">
        <v>0.4375</v>
      </c>
      <c r="G1084" s="338">
        <v>0.44027777777777777</v>
      </c>
      <c r="H1084" s="338" t="s">
        <v>970</v>
      </c>
      <c r="I1084" s="353">
        <v>734</v>
      </c>
      <c r="J1084" s="338" t="str">
        <f>IFERROR(VLOOKUP(I1084,'Chart of accounts'!A:H,2,FALSE),"")</f>
        <v>50103040 01</v>
      </c>
      <c r="K1084" s="338" t="str">
        <f>IFERROR(VLOOKUP(I1084,'Chart of accounts'!A:H,3,FALSE),"")</f>
        <v>ECIP - Civilian</v>
      </c>
      <c r="L1084" s="338" t="str">
        <f>IFERROR(VLOOKUP(I1084,'Chart of accounts'!A:H,4,FALSE),"")</f>
        <v>50103040 01 - ECIP - Civilian (734)</v>
      </c>
      <c r="M1084" s="361">
        <v>67</v>
      </c>
      <c r="N1084" s="355" t="s">
        <v>1382</v>
      </c>
      <c r="O1084" s="355" t="s">
        <v>1394</v>
      </c>
      <c r="P1084" s="355"/>
      <c r="Q1084" s="363">
        <v>100</v>
      </c>
      <c r="R1084" s="428">
        <f t="shared" si="38"/>
        <v>-100</v>
      </c>
      <c r="S1084" s="239" t="str">
        <f>VLOOKUP(H1084,'Fund Utilization Report'!$A$4:$U$1800,13,FALSE)</f>
        <v>PS</v>
      </c>
      <c r="T1084" s="239" t="str">
        <f>VLOOKUP(H1084,'Fund Utilization Report'!$A$4:$U$1800,2,FALSE)</f>
        <v>GAA</v>
      </c>
      <c r="U1084" s="239" t="str">
        <f>VLOOKUP(H1084,'Fund Utilization Report'!$A$4:$U$1800,3,FALSE)</f>
        <v>FY2021, RA11518</v>
      </c>
      <c r="V1084" s="239" t="str">
        <f>VLOOKUP(H1084,'Fund Utilization Report'!$A$4:$U$1800,4,FALSE)</f>
        <v>OO3</v>
      </c>
      <c r="W1084" s="239" t="str">
        <f>VLOOKUP(H1084,'Fund Utilization Report'!$A$4:$U$1800,5,FALSE)</f>
        <v>01101101</v>
      </c>
      <c r="X1084" s="239" t="str">
        <f>VLOOKUP(H1084,'Fund Utilization Report'!$A$4:$U$1800,6,FALSE)</f>
        <v>GOP</v>
      </c>
      <c r="Y1084" s="440" t="str">
        <f>VLOOKUP(H1084,'Fund Utilization Report'!$A$4:$U$1800,7,FALSE)</f>
        <v>PS</v>
      </c>
      <c r="Z1084" s="441">
        <f>VLOOKUP(H1084,'Fund Utilization Report'!$A$4:$U$1800,8,FALSE)</f>
        <v>5010000000</v>
      </c>
      <c r="AA1084" s="239" t="str">
        <f>VLOOKUP(H1084,'Fund Utilization Report'!$A$4:$U$1800,14,FALSE)</f>
        <v>330100100002000</v>
      </c>
      <c r="AB1084" s="242" t="str">
        <f>VLOOKUP(H1084,'Fund Utilization Report'!$A$4:$U$1800,15,FALSE)</f>
        <v>Implementation of the MSME Development Plan and other initiatives to promote the growth of Micro, Small and Medium Enterprises</v>
      </c>
      <c r="AC1084" s="51"/>
      <c r="AD1084" s="435"/>
      <c r="AE1084" s="51"/>
      <c r="AF1084" s="51"/>
      <c r="AG1084" s="442"/>
      <c r="AH1084" s="442"/>
      <c r="AI1084" s="443"/>
    </row>
    <row r="1085" spans="1:35" s="32" customFormat="1" ht="27.6">
      <c r="A1085" s="434" t="s">
        <v>942</v>
      </c>
      <c r="B1085" s="457" t="s">
        <v>946</v>
      </c>
      <c r="C1085" s="233">
        <v>44265</v>
      </c>
      <c r="D1085" s="435" t="s">
        <v>1267</v>
      </c>
      <c r="E1085" s="436" t="s">
        <v>1401</v>
      </c>
      <c r="F1085" s="338">
        <v>0.44027777777777777</v>
      </c>
      <c r="G1085" s="338">
        <v>0.44375000000000003</v>
      </c>
      <c r="H1085" s="338" t="s">
        <v>960</v>
      </c>
      <c r="I1085" s="353">
        <v>701</v>
      </c>
      <c r="J1085" s="338" t="str">
        <f>IFERROR(VLOOKUP(I1085,'Chart of accounts'!A:H,2,FALSE),"")</f>
        <v>50101010 01</v>
      </c>
      <c r="K1085" s="338" t="str">
        <f>IFERROR(VLOOKUP(I1085,'Chart of accounts'!A:H,3,FALSE),"")</f>
        <v>Basic Salary - Civilian</v>
      </c>
      <c r="L1085" s="338" t="str">
        <f>IFERROR(VLOOKUP(I1085,'Chart of accounts'!A:H,4,FALSE),"")</f>
        <v>50101010 01 - Basic Salary - Civilian (701)</v>
      </c>
      <c r="M1085" s="361">
        <v>1</v>
      </c>
      <c r="N1085" s="355" t="s">
        <v>10</v>
      </c>
      <c r="O1085" s="355" t="s">
        <v>1384</v>
      </c>
      <c r="P1085" s="355"/>
      <c r="Q1085" s="363">
        <v>1057756</v>
      </c>
      <c r="R1085" s="428">
        <f>P1085-Q1085</f>
        <v>-1057756</v>
      </c>
      <c r="S1085" s="239" t="str">
        <f>VLOOKUP(H1085,'Fund Utilization Report'!$A$4:$U$1800,13,FALSE)</f>
        <v>PS</v>
      </c>
      <c r="T1085" s="239" t="str">
        <f>VLOOKUP(H1085,'Fund Utilization Report'!$A$4:$U$1800,2,FALSE)</f>
        <v>GAA</v>
      </c>
      <c r="U1085" s="239" t="str">
        <f>VLOOKUP(H1085,'Fund Utilization Report'!$A$4:$U$1800,3,FALSE)</f>
        <v>FY2021, RA11518</v>
      </c>
      <c r="V1085" s="239" t="str">
        <f>VLOOKUP(H1085,'Fund Utilization Report'!$A$4:$U$1800,4,FALSE)</f>
        <v>GAS(GMS)</v>
      </c>
      <c r="W1085" s="239" t="str">
        <f>VLOOKUP(H1085,'Fund Utilization Report'!$A$4:$U$1800,5,FALSE)</f>
        <v>01101101</v>
      </c>
      <c r="X1085" s="239" t="str">
        <f>VLOOKUP(H1085,'Fund Utilization Report'!$A$4:$U$1800,6,FALSE)</f>
        <v>GOP</v>
      </c>
      <c r="Y1085" s="440" t="str">
        <f>VLOOKUP(H1085,'Fund Utilization Report'!$A$4:$U$1800,7,FALSE)</f>
        <v>PS</v>
      </c>
      <c r="Z1085" s="441">
        <f>VLOOKUP(H1085,'Fund Utilization Report'!$A$4:$U$1800,8,FALSE)</f>
        <v>5010000000</v>
      </c>
      <c r="AA1085" s="239" t="str">
        <f>VLOOKUP(H1085,'Fund Utilization Report'!$A$4:$U$1800,14,FALSE)</f>
        <v>100000100001000</v>
      </c>
      <c r="AB1085" s="242" t="str">
        <f>VLOOKUP(H1085,'Fund Utilization Report'!$A$4:$U$1800,15,FALSE)</f>
        <v>General Administration and Supervision - General Management and Supervision</v>
      </c>
      <c r="AC1085" s="51"/>
      <c r="AD1085" s="435"/>
      <c r="AE1085" s="51"/>
      <c r="AF1085" s="51"/>
      <c r="AG1085" s="442"/>
      <c r="AH1085" s="442"/>
      <c r="AI1085" s="443"/>
    </row>
    <row r="1086" spans="1:35" s="32" customFormat="1" ht="27.6">
      <c r="A1086" s="434" t="s">
        <v>942</v>
      </c>
      <c r="B1086" s="457" t="s">
        <v>946</v>
      </c>
      <c r="C1086" s="233">
        <v>44265</v>
      </c>
      <c r="D1086" s="435" t="s">
        <v>1267</v>
      </c>
      <c r="E1086" s="436" t="s">
        <v>1401</v>
      </c>
      <c r="F1086" s="338">
        <v>0.44027777777777777</v>
      </c>
      <c r="G1086" s="338">
        <v>0.44375000000000003</v>
      </c>
      <c r="H1086" s="338" t="s">
        <v>960</v>
      </c>
      <c r="I1086" s="353">
        <v>711</v>
      </c>
      <c r="J1086" s="338" t="str">
        <f>IFERROR(VLOOKUP(I1086,'Chart of accounts'!A:H,2,FALSE),"")</f>
        <v>50102010 01</v>
      </c>
      <c r="K1086" s="338" t="str">
        <f>IFERROR(VLOOKUP(I1086,'Chart of accounts'!A:H,3,FALSE),"")</f>
        <v>PERA - Civilian</v>
      </c>
      <c r="L1086" s="338" t="str">
        <f>IFERROR(VLOOKUP(I1086,'Chart of accounts'!A:H,4,FALSE),"")</f>
        <v>50102010 01 - PERA - Civilian (711)</v>
      </c>
      <c r="M1086" s="361">
        <v>1</v>
      </c>
      <c r="N1086" s="355" t="s">
        <v>10</v>
      </c>
      <c r="O1086" s="355" t="s">
        <v>1384</v>
      </c>
      <c r="P1086" s="355"/>
      <c r="Q1086" s="363">
        <v>44000</v>
      </c>
      <c r="R1086" s="428">
        <f>P1086-Q1086</f>
        <v>-44000</v>
      </c>
      <c r="S1086" s="239" t="str">
        <f>VLOOKUP(H1086,'Fund Utilization Report'!$A$4:$U$1800,13,FALSE)</f>
        <v>PS</v>
      </c>
      <c r="T1086" s="239" t="str">
        <f>VLOOKUP(H1086,'Fund Utilization Report'!$A$4:$U$1800,2,FALSE)</f>
        <v>GAA</v>
      </c>
      <c r="U1086" s="239" t="str">
        <f>VLOOKUP(H1086,'Fund Utilization Report'!$A$4:$U$1800,3,FALSE)</f>
        <v>FY2021, RA11518</v>
      </c>
      <c r="V1086" s="239" t="str">
        <f>VLOOKUP(H1086,'Fund Utilization Report'!$A$4:$U$1800,4,FALSE)</f>
        <v>GAS(GMS)</v>
      </c>
      <c r="W1086" s="239" t="str">
        <f>VLOOKUP(H1086,'Fund Utilization Report'!$A$4:$U$1800,5,FALSE)</f>
        <v>01101101</v>
      </c>
      <c r="X1086" s="239" t="str">
        <f>VLOOKUP(H1086,'Fund Utilization Report'!$A$4:$U$1800,6,FALSE)</f>
        <v>GOP</v>
      </c>
      <c r="Y1086" s="440" t="str">
        <f>VLOOKUP(H1086,'Fund Utilization Report'!$A$4:$U$1800,7,FALSE)</f>
        <v>PS</v>
      </c>
      <c r="Z1086" s="441">
        <f>VLOOKUP(H1086,'Fund Utilization Report'!$A$4:$U$1800,8,FALSE)</f>
        <v>5010000000</v>
      </c>
      <c r="AA1086" s="239" t="str">
        <f>VLOOKUP(H1086,'Fund Utilization Report'!$A$4:$U$1800,14,FALSE)</f>
        <v>100000100001000</v>
      </c>
      <c r="AB1086" s="242" t="str">
        <f>VLOOKUP(H1086,'Fund Utilization Report'!$A$4:$U$1800,15,FALSE)</f>
        <v>General Administration and Supervision - General Management and Supervision</v>
      </c>
      <c r="AC1086" s="51"/>
      <c r="AD1086" s="435"/>
      <c r="AE1086" s="51"/>
      <c r="AF1086" s="51"/>
      <c r="AG1086" s="442"/>
      <c r="AH1086" s="442"/>
      <c r="AI1086" s="443"/>
    </row>
    <row r="1087" spans="1:35" s="32" customFormat="1" ht="27.6">
      <c r="A1087" s="434" t="s">
        <v>942</v>
      </c>
      <c r="B1087" s="457" t="s">
        <v>946</v>
      </c>
      <c r="C1087" s="233">
        <v>44265</v>
      </c>
      <c r="D1087" s="435" t="s">
        <v>1267</v>
      </c>
      <c r="E1087" s="436" t="s">
        <v>1401</v>
      </c>
      <c r="F1087" s="338">
        <v>0.44027777777777777</v>
      </c>
      <c r="G1087" s="338">
        <v>0.44375000000000003</v>
      </c>
      <c r="H1087" s="338" t="s">
        <v>962</v>
      </c>
      <c r="I1087" s="353">
        <v>731</v>
      </c>
      <c r="J1087" s="338" t="str">
        <f>IFERROR(VLOOKUP(I1087,'Chart of accounts'!A:H,2,FALSE),"")</f>
        <v>50103010 00</v>
      </c>
      <c r="K1087" s="338" t="str">
        <f>IFERROR(VLOOKUP(I1087,'Chart of accounts'!A:H,3,FALSE),"")</f>
        <v>Retirement and Life Insurance Premiums</v>
      </c>
      <c r="L1087" s="338" t="str">
        <f>IFERROR(VLOOKUP(I1087,'Chart of accounts'!A:H,4,FALSE),"")</f>
        <v>50103010 00 - Retirement and Life Insurance Premiums (731)</v>
      </c>
      <c r="M1087" s="361">
        <v>1</v>
      </c>
      <c r="N1087" s="355" t="s">
        <v>10</v>
      </c>
      <c r="O1087" s="355" t="s">
        <v>1384</v>
      </c>
      <c r="P1087" s="355"/>
      <c r="Q1087" s="363">
        <v>126930.72</v>
      </c>
      <c r="R1087" s="428">
        <f>P1087-Q1087</f>
        <v>-126930.72</v>
      </c>
      <c r="S1087" s="239" t="str">
        <f>VLOOKUP(H1087,'Fund Utilization Report'!$A$4:$U$1800,13,FALSE)</f>
        <v>PS</v>
      </c>
      <c r="T1087" s="239" t="str">
        <f>VLOOKUP(H1087,'Fund Utilization Report'!$A$4:$U$1800,2,FALSE)</f>
        <v>GAA</v>
      </c>
      <c r="U1087" s="239" t="str">
        <f>VLOOKUP(H1087,'Fund Utilization Report'!$A$4:$U$1800,3,FALSE)</f>
        <v>FY2021, RA11518</v>
      </c>
      <c r="V1087" s="239" t="str">
        <f>VLOOKUP(H1087,'Fund Utilization Report'!$A$4:$U$1800,4,FALSE)</f>
        <v>GAS(GMS)</v>
      </c>
      <c r="W1087" s="239" t="str">
        <f>VLOOKUP(H1087,'Fund Utilization Report'!$A$4:$U$1800,5,FALSE)</f>
        <v>01101101</v>
      </c>
      <c r="X1087" s="239" t="str">
        <f>VLOOKUP(H1087,'Fund Utilization Report'!$A$4:$U$1800,6,FALSE)</f>
        <v>GOP</v>
      </c>
      <c r="Y1087" s="440" t="str">
        <f>VLOOKUP(H1087,'Fund Utilization Report'!$A$4:$U$1800,7,FALSE)</f>
        <v>RLIP</v>
      </c>
      <c r="Z1087" s="441" t="str">
        <f>VLOOKUP(H1087,'Fund Utilization Report'!$A$4:$U$1800,8,FALSE)</f>
        <v>50103010-00</v>
      </c>
      <c r="AA1087" s="239" t="str">
        <f>VLOOKUP(H1087,'Fund Utilization Report'!$A$4:$U$1800,14,FALSE)</f>
        <v>100000100001000</v>
      </c>
      <c r="AB1087" s="242" t="str">
        <f>VLOOKUP(H1087,'Fund Utilization Report'!$A$4:$U$1800,15,FALSE)</f>
        <v>General Administration and Supervision - General Management and Supervision</v>
      </c>
      <c r="AC1087" s="51"/>
      <c r="AD1087" s="435"/>
      <c r="AE1087" s="51"/>
      <c r="AF1087" s="51"/>
      <c r="AG1087" s="442"/>
      <c r="AH1087" s="442"/>
      <c r="AI1087" s="443"/>
    </row>
    <row r="1088" spans="1:35" s="32" customFormat="1" ht="27.6">
      <c r="A1088" s="434" t="s">
        <v>942</v>
      </c>
      <c r="B1088" s="457" t="s">
        <v>946</v>
      </c>
      <c r="C1088" s="233">
        <v>44265</v>
      </c>
      <c r="D1088" s="435" t="s">
        <v>1267</v>
      </c>
      <c r="E1088" s="436" t="s">
        <v>1401</v>
      </c>
      <c r="F1088" s="338">
        <v>0.44027777777777777</v>
      </c>
      <c r="G1088" s="338">
        <v>0.44375000000000003</v>
      </c>
      <c r="H1088" s="338" t="s">
        <v>960</v>
      </c>
      <c r="I1088" s="353">
        <v>732</v>
      </c>
      <c r="J1088" s="338" t="str">
        <f>IFERROR(VLOOKUP(I1088,'Chart of accounts'!A:H,2,FALSE),"")</f>
        <v>50103020 01</v>
      </c>
      <c r="K1088" s="338" t="str">
        <f>IFERROR(VLOOKUP(I1088,'Chart of accounts'!A:H,3,FALSE),"")</f>
        <v>Pag-IBIG - Civilian</v>
      </c>
      <c r="L1088" s="338" t="str">
        <f>IFERROR(VLOOKUP(I1088,'Chart of accounts'!A:H,4,FALSE),"")</f>
        <v>50103020 01 - Pag-IBIG - Civilian (732)</v>
      </c>
      <c r="M1088" s="361">
        <v>1</v>
      </c>
      <c r="N1088" s="355" t="s">
        <v>10</v>
      </c>
      <c r="O1088" s="355" t="s">
        <v>1384</v>
      </c>
      <c r="P1088" s="355"/>
      <c r="Q1088" s="363">
        <v>2200</v>
      </c>
      <c r="R1088" s="428">
        <f t="shared" ref="R1088:R1094" si="39">P1088-Q1088</f>
        <v>-2200</v>
      </c>
      <c r="S1088" s="239" t="str">
        <f>VLOOKUP(H1088,'Fund Utilization Report'!$A$4:$U$1800,13,FALSE)</f>
        <v>PS</v>
      </c>
      <c r="T1088" s="239" t="str">
        <f>VLOOKUP(H1088,'Fund Utilization Report'!$A$4:$U$1800,2,FALSE)</f>
        <v>GAA</v>
      </c>
      <c r="U1088" s="239" t="str">
        <f>VLOOKUP(H1088,'Fund Utilization Report'!$A$4:$U$1800,3,FALSE)</f>
        <v>FY2021, RA11518</v>
      </c>
      <c r="V1088" s="239" t="str">
        <f>VLOOKUP(H1088,'Fund Utilization Report'!$A$4:$U$1800,4,FALSE)</f>
        <v>GAS(GMS)</v>
      </c>
      <c r="W1088" s="239" t="str">
        <f>VLOOKUP(H1088,'Fund Utilization Report'!$A$4:$U$1800,5,FALSE)</f>
        <v>01101101</v>
      </c>
      <c r="X1088" s="239" t="str">
        <f>VLOOKUP(H1088,'Fund Utilization Report'!$A$4:$U$1800,6,FALSE)</f>
        <v>GOP</v>
      </c>
      <c r="Y1088" s="440" t="str">
        <f>VLOOKUP(H1088,'Fund Utilization Report'!$A$4:$U$1800,7,FALSE)</f>
        <v>PS</v>
      </c>
      <c r="Z1088" s="441">
        <f>VLOOKUP(H1088,'Fund Utilization Report'!$A$4:$U$1800,8,FALSE)</f>
        <v>5010000000</v>
      </c>
      <c r="AA1088" s="239" t="str">
        <f>VLOOKUP(H1088,'Fund Utilization Report'!$A$4:$U$1800,14,FALSE)</f>
        <v>100000100001000</v>
      </c>
      <c r="AB1088" s="242" t="str">
        <f>VLOOKUP(H1088,'Fund Utilization Report'!$A$4:$U$1800,15,FALSE)</f>
        <v>General Administration and Supervision - General Management and Supervision</v>
      </c>
      <c r="AC1088" s="51"/>
      <c r="AD1088" s="435"/>
      <c r="AE1088" s="51"/>
      <c r="AF1088" s="51"/>
      <c r="AG1088" s="442"/>
      <c r="AH1088" s="442"/>
      <c r="AI1088" s="443"/>
    </row>
    <row r="1089" spans="1:35" s="32" customFormat="1" ht="27.6">
      <c r="A1089" s="434" t="s">
        <v>942</v>
      </c>
      <c r="B1089" s="457" t="s">
        <v>946</v>
      </c>
      <c r="C1089" s="233">
        <v>44265</v>
      </c>
      <c r="D1089" s="435" t="s">
        <v>1267</v>
      </c>
      <c r="E1089" s="436" t="s">
        <v>1401</v>
      </c>
      <c r="F1089" s="338">
        <v>0.44027777777777777</v>
      </c>
      <c r="G1089" s="338">
        <v>0.44375000000000003</v>
      </c>
      <c r="H1089" s="338" t="s">
        <v>960</v>
      </c>
      <c r="I1089" s="353">
        <v>733</v>
      </c>
      <c r="J1089" s="338" t="str">
        <f>IFERROR(VLOOKUP(I1089,'Chart of accounts'!A:H,2,FALSE),"")</f>
        <v>50103030 01</v>
      </c>
      <c r="K1089" s="338" t="str">
        <f>IFERROR(VLOOKUP(I1089,'Chart of accounts'!A:H,3,FALSE),"")</f>
        <v>PhilHealth - Civilian</v>
      </c>
      <c r="L1089" s="338" t="str">
        <f>IFERROR(VLOOKUP(I1089,'Chart of accounts'!A:H,4,FALSE),"")</f>
        <v>50103030 01 - PhilHealth - Civilian (733)</v>
      </c>
      <c r="M1089" s="361">
        <v>1</v>
      </c>
      <c r="N1089" s="355" t="s">
        <v>10</v>
      </c>
      <c r="O1089" s="355" t="s">
        <v>1384</v>
      </c>
      <c r="P1089" s="355"/>
      <c r="Q1089" s="363">
        <v>12310.77</v>
      </c>
      <c r="R1089" s="428">
        <f t="shared" si="39"/>
        <v>-12310.77</v>
      </c>
      <c r="S1089" s="239" t="str">
        <f>VLOOKUP(H1089,'Fund Utilization Report'!$A$4:$U$1800,13,FALSE)</f>
        <v>PS</v>
      </c>
      <c r="T1089" s="239" t="str">
        <f>VLOOKUP(H1089,'Fund Utilization Report'!$A$4:$U$1800,2,FALSE)</f>
        <v>GAA</v>
      </c>
      <c r="U1089" s="239" t="str">
        <f>VLOOKUP(H1089,'Fund Utilization Report'!$A$4:$U$1800,3,FALSE)</f>
        <v>FY2021, RA11518</v>
      </c>
      <c r="V1089" s="239" t="str">
        <f>VLOOKUP(H1089,'Fund Utilization Report'!$A$4:$U$1800,4,FALSE)</f>
        <v>GAS(GMS)</v>
      </c>
      <c r="W1089" s="239" t="str">
        <f>VLOOKUP(H1089,'Fund Utilization Report'!$A$4:$U$1800,5,FALSE)</f>
        <v>01101101</v>
      </c>
      <c r="X1089" s="239" t="str">
        <f>VLOOKUP(H1089,'Fund Utilization Report'!$A$4:$U$1800,6,FALSE)</f>
        <v>GOP</v>
      </c>
      <c r="Y1089" s="440" t="str">
        <f>VLOOKUP(H1089,'Fund Utilization Report'!$A$4:$U$1800,7,FALSE)</f>
        <v>PS</v>
      </c>
      <c r="Z1089" s="441">
        <f>VLOOKUP(H1089,'Fund Utilization Report'!$A$4:$U$1800,8,FALSE)</f>
        <v>5010000000</v>
      </c>
      <c r="AA1089" s="239" t="str">
        <f>VLOOKUP(H1089,'Fund Utilization Report'!$A$4:$U$1800,14,FALSE)</f>
        <v>100000100001000</v>
      </c>
      <c r="AB1089" s="242" t="str">
        <f>VLOOKUP(H1089,'Fund Utilization Report'!$A$4:$U$1800,15,FALSE)</f>
        <v>General Administration and Supervision - General Management and Supervision</v>
      </c>
      <c r="AC1089" s="51"/>
      <c r="AD1089" s="435"/>
      <c r="AE1089" s="51"/>
      <c r="AF1089" s="51"/>
      <c r="AG1089" s="442"/>
      <c r="AH1089" s="442"/>
      <c r="AI1089" s="443"/>
    </row>
    <row r="1090" spans="1:35" s="32" customFormat="1" ht="27.6">
      <c r="A1090" s="434" t="s">
        <v>942</v>
      </c>
      <c r="B1090" s="457" t="s">
        <v>946</v>
      </c>
      <c r="C1090" s="233">
        <v>44265</v>
      </c>
      <c r="D1090" s="435" t="s">
        <v>1267</v>
      </c>
      <c r="E1090" s="436" t="s">
        <v>1401</v>
      </c>
      <c r="F1090" s="338">
        <v>0.44027777777777777</v>
      </c>
      <c r="G1090" s="338">
        <v>0.44375000000000003</v>
      </c>
      <c r="H1090" s="338" t="s">
        <v>960</v>
      </c>
      <c r="I1090" s="353">
        <v>734</v>
      </c>
      <c r="J1090" s="338" t="str">
        <f>IFERROR(VLOOKUP(I1090,'Chart of accounts'!A:H,2,FALSE),"")</f>
        <v>50103040 01</v>
      </c>
      <c r="K1090" s="338" t="str">
        <f>IFERROR(VLOOKUP(I1090,'Chart of accounts'!A:H,3,FALSE),"")</f>
        <v>ECIP - Civilian</v>
      </c>
      <c r="L1090" s="338" t="str">
        <f>IFERROR(VLOOKUP(I1090,'Chart of accounts'!A:H,4,FALSE),"")</f>
        <v>50103040 01 - ECIP - Civilian (734)</v>
      </c>
      <c r="M1090" s="361">
        <v>1</v>
      </c>
      <c r="N1090" s="355" t="s">
        <v>10</v>
      </c>
      <c r="O1090" s="355" t="s">
        <v>1384</v>
      </c>
      <c r="P1090" s="355"/>
      <c r="Q1090" s="363">
        <v>2200</v>
      </c>
      <c r="R1090" s="428">
        <f t="shared" si="39"/>
        <v>-2200</v>
      </c>
      <c r="S1090" s="239" t="str">
        <f>VLOOKUP(H1090,'Fund Utilization Report'!$A$4:$U$1800,13,FALSE)</f>
        <v>PS</v>
      </c>
      <c r="T1090" s="239" t="str">
        <f>VLOOKUP(H1090,'Fund Utilization Report'!$A$4:$U$1800,2,FALSE)</f>
        <v>GAA</v>
      </c>
      <c r="U1090" s="239" t="str">
        <f>VLOOKUP(H1090,'Fund Utilization Report'!$A$4:$U$1800,3,FALSE)</f>
        <v>FY2021, RA11518</v>
      </c>
      <c r="V1090" s="239" t="str">
        <f>VLOOKUP(H1090,'Fund Utilization Report'!$A$4:$U$1800,4,FALSE)</f>
        <v>GAS(GMS)</v>
      </c>
      <c r="W1090" s="239" t="str">
        <f>VLOOKUP(H1090,'Fund Utilization Report'!$A$4:$U$1800,5,FALSE)</f>
        <v>01101101</v>
      </c>
      <c r="X1090" s="239" t="str">
        <f>VLOOKUP(H1090,'Fund Utilization Report'!$A$4:$U$1800,6,FALSE)</f>
        <v>GOP</v>
      </c>
      <c r="Y1090" s="440" t="str">
        <f>VLOOKUP(H1090,'Fund Utilization Report'!$A$4:$U$1800,7,FALSE)</f>
        <v>PS</v>
      </c>
      <c r="Z1090" s="441">
        <f>VLOOKUP(H1090,'Fund Utilization Report'!$A$4:$U$1800,8,FALSE)</f>
        <v>5010000000</v>
      </c>
      <c r="AA1090" s="239" t="str">
        <f>VLOOKUP(H1090,'Fund Utilization Report'!$A$4:$U$1800,14,FALSE)</f>
        <v>100000100001000</v>
      </c>
      <c r="AB1090" s="242" t="str">
        <f>VLOOKUP(H1090,'Fund Utilization Report'!$A$4:$U$1800,15,FALSE)</f>
        <v>General Administration and Supervision - General Management and Supervision</v>
      </c>
      <c r="AC1090" s="51"/>
      <c r="AD1090" s="435"/>
      <c r="AE1090" s="51"/>
      <c r="AF1090" s="51"/>
      <c r="AG1090" s="442"/>
      <c r="AH1090" s="442"/>
      <c r="AI1090" s="443"/>
    </row>
    <row r="1091" spans="1:35" s="32" customFormat="1" ht="27.6">
      <c r="A1091" s="434" t="s">
        <v>942</v>
      </c>
      <c r="B1091" s="457" t="s">
        <v>946</v>
      </c>
      <c r="C1091" s="233">
        <v>44265</v>
      </c>
      <c r="D1091" s="435" t="s">
        <v>1267</v>
      </c>
      <c r="E1091" s="436" t="s">
        <v>1401</v>
      </c>
      <c r="F1091" s="338">
        <v>0.44027777777777777</v>
      </c>
      <c r="G1091" s="338">
        <v>0.44375000000000003</v>
      </c>
      <c r="H1091" s="338" t="s">
        <v>964</v>
      </c>
      <c r="I1091" s="353">
        <v>701</v>
      </c>
      <c r="J1091" s="338" t="str">
        <f>IFERROR(VLOOKUP(I1091,'Chart of accounts'!A:H,2,FALSE),"")</f>
        <v>50101010 01</v>
      </c>
      <c r="K1091" s="338" t="str">
        <f>IFERROR(VLOOKUP(I1091,'Chart of accounts'!A:H,3,FALSE),"")</f>
        <v>Basic Salary - Civilian</v>
      </c>
      <c r="L1091" s="338" t="str">
        <f>IFERROR(VLOOKUP(I1091,'Chart of accounts'!A:H,4,FALSE),"")</f>
        <v>50101010 01 - Basic Salary - Civilian (701)</v>
      </c>
      <c r="M1091" s="361">
        <v>1</v>
      </c>
      <c r="N1091" s="355" t="s">
        <v>10</v>
      </c>
      <c r="O1091" s="355" t="s">
        <v>1384</v>
      </c>
      <c r="P1091" s="355"/>
      <c r="Q1091" s="363">
        <v>80214</v>
      </c>
      <c r="R1091" s="428">
        <f t="shared" si="39"/>
        <v>-80214</v>
      </c>
      <c r="S1091" s="239" t="str">
        <f>VLOOKUP(H1091,'Fund Utilization Report'!$A$4:$U$1800,13,FALSE)</f>
        <v>PS</v>
      </c>
      <c r="T1091" s="239" t="str">
        <f>VLOOKUP(H1091,'Fund Utilization Report'!$A$4:$U$1800,2,FALSE)</f>
        <v>GAA</v>
      </c>
      <c r="U1091" s="239" t="str">
        <f>VLOOKUP(H1091,'Fund Utilization Report'!$A$4:$U$1800,3,FALSE)</f>
        <v>FY2021, RA11518</v>
      </c>
      <c r="V1091" s="239" t="str">
        <f>VLOOKUP(H1091,'Fund Utilization Report'!$A$4:$U$1800,4,FALSE)</f>
        <v>OO1</v>
      </c>
      <c r="W1091" s="239" t="str">
        <f>VLOOKUP(H1091,'Fund Utilization Report'!$A$4:$U$1800,5,FALSE)</f>
        <v>01101101</v>
      </c>
      <c r="X1091" s="239" t="str">
        <f>VLOOKUP(H1091,'Fund Utilization Report'!$A$4:$U$1800,6,FALSE)</f>
        <v>GOP</v>
      </c>
      <c r="Y1091" s="440" t="str">
        <f>VLOOKUP(H1091,'Fund Utilization Report'!$A$4:$U$1800,7,FALSE)</f>
        <v>PS</v>
      </c>
      <c r="Z1091" s="441">
        <f>VLOOKUP(H1091,'Fund Utilization Report'!$A$4:$U$1800,8,FALSE)</f>
        <v>5010000000</v>
      </c>
      <c r="AA1091" s="239" t="str">
        <f>VLOOKUP(H1091,'Fund Utilization Report'!$A$4:$U$1800,14,FALSE)</f>
        <v>310100100002000</v>
      </c>
      <c r="AB1091" s="242" t="str">
        <f>VLOOKUP(H1091,'Fund Utilization Report'!$A$4:$U$1800,15,FALSE)</f>
        <v>Development,Facilitation, and promotion of exports and investment, domestic and foreign</v>
      </c>
      <c r="AC1091" s="51"/>
      <c r="AD1091" s="435"/>
      <c r="AE1091" s="51"/>
      <c r="AF1091" s="51"/>
      <c r="AG1091" s="442"/>
      <c r="AH1091" s="442"/>
      <c r="AI1091" s="443"/>
    </row>
    <row r="1092" spans="1:35" s="32" customFormat="1" ht="27.6">
      <c r="A1092" s="434" t="s">
        <v>942</v>
      </c>
      <c r="B1092" s="457" t="s">
        <v>946</v>
      </c>
      <c r="C1092" s="233">
        <v>44265</v>
      </c>
      <c r="D1092" s="435" t="s">
        <v>1267</v>
      </c>
      <c r="E1092" s="436" t="s">
        <v>1401</v>
      </c>
      <c r="F1092" s="338">
        <v>0.44027777777777777</v>
      </c>
      <c r="G1092" s="338">
        <v>0.44375000000000003</v>
      </c>
      <c r="H1092" s="338" t="s">
        <v>964</v>
      </c>
      <c r="I1092" s="353">
        <v>711</v>
      </c>
      <c r="J1092" s="338" t="str">
        <f>IFERROR(VLOOKUP(I1092,'Chart of accounts'!A:H,2,FALSE),"")</f>
        <v>50102010 01</v>
      </c>
      <c r="K1092" s="338" t="str">
        <f>IFERROR(VLOOKUP(I1092,'Chart of accounts'!A:H,3,FALSE),"")</f>
        <v>PERA - Civilian</v>
      </c>
      <c r="L1092" s="338" t="str">
        <f>IFERROR(VLOOKUP(I1092,'Chart of accounts'!A:H,4,FALSE),"")</f>
        <v>50102010 01 - PERA - Civilian (711)</v>
      </c>
      <c r="M1092" s="361">
        <v>1</v>
      </c>
      <c r="N1092" s="355" t="s">
        <v>10</v>
      </c>
      <c r="O1092" s="355" t="s">
        <v>1384</v>
      </c>
      <c r="P1092" s="355"/>
      <c r="Q1092" s="363">
        <v>4000</v>
      </c>
      <c r="R1092" s="428">
        <f t="shared" si="39"/>
        <v>-4000</v>
      </c>
      <c r="S1092" s="239" t="str">
        <f>VLOOKUP(H1092,'Fund Utilization Report'!$A$4:$U$1800,13,FALSE)</f>
        <v>PS</v>
      </c>
      <c r="T1092" s="239" t="str">
        <f>VLOOKUP(H1092,'Fund Utilization Report'!$A$4:$U$1800,2,FALSE)</f>
        <v>GAA</v>
      </c>
      <c r="U1092" s="239" t="str">
        <f>VLOOKUP(H1092,'Fund Utilization Report'!$A$4:$U$1800,3,FALSE)</f>
        <v>FY2021, RA11518</v>
      </c>
      <c r="V1092" s="239" t="str">
        <f>VLOOKUP(H1092,'Fund Utilization Report'!$A$4:$U$1800,4,FALSE)</f>
        <v>OO1</v>
      </c>
      <c r="W1092" s="239" t="str">
        <f>VLOOKUP(H1092,'Fund Utilization Report'!$A$4:$U$1800,5,FALSE)</f>
        <v>01101101</v>
      </c>
      <c r="X1092" s="239" t="str">
        <f>VLOOKUP(H1092,'Fund Utilization Report'!$A$4:$U$1800,6,FALSE)</f>
        <v>GOP</v>
      </c>
      <c r="Y1092" s="440" t="str">
        <f>VLOOKUP(H1092,'Fund Utilization Report'!$A$4:$U$1800,7,FALSE)</f>
        <v>PS</v>
      </c>
      <c r="Z1092" s="441">
        <f>VLOOKUP(H1092,'Fund Utilization Report'!$A$4:$U$1800,8,FALSE)</f>
        <v>5010000000</v>
      </c>
      <c r="AA1092" s="239" t="str">
        <f>VLOOKUP(H1092,'Fund Utilization Report'!$A$4:$U$1800,14,FALSE)</f>
        <v>310100100002000</v>
      </c>
      <c r="AB1092" s="242" t="str">
        <f>VLOOKUP(H1092,'Fund Utilization Report'!$A$4:$U$1800,15,FALSE)</f>
        <v>Development,Facilitation, and promotion of exports and investment, domestic and foreign</v>
      </c>
      <c r="AC1092" s="51"/>
      <c r="AD1092" s="435"/>
      <c r="AE1092" s="51"/>
      <c r="AF1092" s="51"/>
      <c r="AG1092" s="442"/>
      <c r="AH1092" s="442"/>
      <c r="AI1092" s="443"/>
    </row>
    <row r="1093" spans="1:35" s="32" customFormat="1" ht="27.6">
      <c r="A1093" s="434" t="s">
        <v>942</v>
      </c>
      <c r="B1093" s="457" t="s">
        <v>946</v>
      </c>
      <c r="C1093" s="233">
        <v>44265</v>
      </c>
      <c r="D1093" s="435" t="s">
        <v>1267</v>
      </c>
      <c r="E1093" s="436" t="s">
        <v>1401</v>
      </c>
      <c r="F1093" s="338">
        <v>0.44027777777777777</v>
      </c>
      <c r="G1093" s="338">
        <v>0.44375000000000003</v>
      </c>
      <c r="H1093" s="338" t="s">
        <v>966</v>
      </c>
      <c r="I1093" s="353">
        <v>731</v>
      </c>
      <c r="J1093" s="338" t="str">
        <f>IFERROR(VLOOKUP(I1093,'Chart of accounts'!A:H,2,FALSE),"")</f>
        <v>50103010 00</v>
      </c>
      <c r="K1093" s="338" t="str">
        <f>IFERROR(VLOOKUP(I1093,'Chart of accounts'!A:H,3,FALSE),"")</f>
        <v>Retirement and Life Insurance Premiums</v>
      </c>
      <c r="L1093" s="338" t="str">
        <f>IFERROR(VLOOKUP(I1093,'Chart of accounts'!A:H,4,FALSE),"")</f>
        <v>50103010 00 - Retirement and Life Insurance Premiums (731)</v>
      </c>
      <c r="M1093" s="361">
        <v>1</v>
      </c>
      <c r="N1093" s="355" t="s">
        <v>10</v>
      </c>
      <c r="O1093" s="355" t="s">
        <v>1384</v>
      </c>
      <c r="P1093" s="355"/>
      <c r="Q1093" s="363">
        <v>9625.68</v>
      </c>
      <c r="R1093" s="428">
        <f t="shared" si="39"/>
        <v>-9625.68</v>
      </c>
      <c r="S1093" s="239" t="str">
        <f>VLOOKUP(H1093,'Fund Utilization Report'!$A$4:$U$1800,13,FALSE)</f>
        <v>PS</v>
      </c>
      <c r="T1093" s="239" t="str">
        <f>VLOOKUP(H1093,'Fund Utilization Report'!$A$4:$U$1800,2,FALSE)</f>
        <v>GAA</v>
      </c>
      <c r="U1093" s="239" t="str">
        <f>VLOOKUP(H1093,'Fund Utilization Report'!$A$4:$U$1800,3,FALSE)</f>
        <v>FY2021, RA11518</v>
      </c>
      <c r="V1093" s="239" t="str">
        <f>VLOOKUP(H1093,'Fund Utilization Report'!$A$4:$U$1800,4,FALSE)</f>
        <v>OO1</v>
      </c>
      <c r="W1093" s="239" t="str">
        <f>VLOOKUP(H1093,'Fund Utilization Report'!$A$4:$U$1800,5,FALSE)</f>
        <v>01101101</v>
      </c>
      <c r="X1093" s="239" t="str">
        <f>VLOOKUP(H1093,'Fund Utilization Report'!$A$4:$U$1800,6,FALSE)</f>
        <v>GOP</v>
      </c>
      <c r="Y1093" s="440" t="str">
        <f>VLOOKUP(H1093,'Fund Utilization Report'!$A$4:$U$1800,7,FALSE)</f>
        <v>RLIP</v>
      </c>
      <c r="Z1093" s="441" t="str">
        <f>VLOOKUP(H1093,'Fund Utilization Report'!$A$4:$U$1800,8,FALSE)</f>
        <v>50103010-00</v>
      </c>
      <c r="AA1093" s="239" t="str">
        <f>VLOOKUP(H1093,'Fund Utilization Report'!$A$4:$U$1800,14,FALSE)</f>
        <v>310100100002000</v>
      </c>
      <c r="AB1093" s="242" t="str">
        <f>VLOOKUP(H1093,'Fund Utilization Report'!$A$4:$U$1800,15,FALSE)</f>
        <v>Development,Facilitation, and promotion of exports and investment, domestic and foreign</v>
      </c>
      <c r="AC1093" s="51"/>
      <c r="AD1093" s="435"/>
      <c r="AE1093" s="51"/>
      <c r="AF1093" s="51"/>
      <c r="AG1093" s="442"/>
      <c r="AH1093" s="442"/>
      <c r="AI1093" s="443"/>
    </row>
    <row r="1094" spans="1:35" s="32" customFormat="1" ht="27.6">
      <c r="A1094" s="434" t="s">
        <v>942</v>
      </c>
      <c r="B1094" s="457" t="s">
        <v>946</v>
      </c>
      <c r="C1094" s="233">
        <v>44265</v>
      </c>
      <c r="D1094" s="435" t="s">
        <v>1267</v>
      </c>
      <c r="E1094" s="436" t="s">
        <v>1401</v>
      </c>
      <c r="F1094" s="338">
        <v>0.44027777777777777</v>
      </c>
      <c r="G1094" s="338">
        <v>0.44375000000000003</v>
      </c>
      <c r="H1094" s="338" t="s">
        <v>964</v>
      </c>
      <c r="I1094" s="353">
        <v>732</v>
      </c>
      <c r="J1094" s="338" t="str">
        <f>IFERROR(VLOOKUP(I1094,'Chart of accounts'!A:H,2,FALSE),"")</f>
        <v>50103020 01</v>
      </c>
      <c r="K1094" s="338" t="str">
        <f>IFERROR(VLOOKUP(I1094,'Chart of accounts'!A:H,3,FALSE),"")</f>
        <v>Pag-IBIG - Civilian</v>
      </c>
      <c r="L1094" s="338" t="str">
        <f>IFERROR(VLOOKUP(I1094,'Chart of accounts'!A:H,4,FALSE),"")</f>
        <v>50103020 01 - Pag-IBIG - Civilian (732)</v>
      </c>
      <c r="M1094" s="361">
        <v>1</v>
      </c>
      <c r="N1094" s="355" t="s">
        <v>10</v>
      </c>
      <c r="O1094" s="355" t="s">
        <v>1384</v>
      </c>
      <c r="P1094" s="355"/>
      <c r="Q1094" s="363">
        <v>200</v>
      </c>
      <c r="R1094" s="428">
        <f t="shared" si="39"/>
        <v>-200</v>
      </c>
      <c r="S1094" s="239" t="str">
        <f>VLOOKUP(H1094,'Fund Utilization Report'!$A$4:$U$1800,13,FALSE)</f>
        <v>PS</v>
      </c>
      <c r="T1094" s="239" t="str">
        <f>VLOOKUP(H1094,'Fund Utilization Report'!$A$4:$U$1800,2,FALSE)</f>
        <v>GAA</v>
      </c>
      <c r="U1094" s="239" t="str">
        <f>VLOOKUP(H1094,'Fund Utilization Report'!$A$4:$U$1800,3,FALSE)</f>
        <v>FY2021, RA11518</v>
      </c>
      <c r="V1094" s="239" t="str">
        <f>VLOOKUP(H1094,'Fund Utilization Report'!$A$4:$U$1800,4,FALSE)</f>
        <v>OO1</v>
      </c>
      <c r="W1094" s="239" t="str">
        <f>VLOOKUP(H1094,'Fund Utilization Report'!$A$4:$U$1800,5,FALSE)</f>
        <v>01101101</v>
      </c>
      <c r="X1094" s="239" t="str">
        <f>VLOOKUP(H1094,'Fund Utilization Report'!$A$4:$U$1800,6,FALSE)</f>
        <v>GOP</v>
      </c>
      <c r="Y1094" s="440" t="str">
        <f>VLOOKUP(H1094,'Fund Utilization Report'!$A$4:$U$1800,7,FALSE)</f>
        <v>PS</v>
      </c>
      <c r="Z1094" s="441">
        <f>VLOOKUP(H1094,'Fund Utilization Report'!$A$4:$U$1800,8,FALSE)</f>
        <v>5010000000</v>
      </c>
      <c r="AA1094" s="239" t="str">
        <f>VLOOKUP(H1094,'Fund Utilization Report'!$A$4:$U$1800,14,FALSE)</f>
        <v>310100100002000</v>
      </c>
      <c r="AB1094" s="242" t="str">
        <f>VLOOKUP(H1094,'Fund Utilization Report'!$A$4:$U$1800,15,FALSE)</f>
        <v>Development,Facilitation, and promotion of exports and investment, domestic and foreign</v>
      </c>
      <c r="AC1094" s="51"/>
      <c r="AD1094" s="435"/>
      <c r="AE1094" s="51"/>
      <c r="AF1094" s="51"/>
      <c r="AG1094" s="442"/>
      <c r="AH1094" s="442"/>
      <c r="AI1094" s="443"/>
    </row>
    <row r="1095" spans="1:35" s="32" customFormat="1" ht="27.6">
      <c r="A1095" s="434" t="s">
        <v>942</v>
      </c>
      <c r="B1095" s="457" t="s">
        <v>946</v>
      </c>
      <c r="C1095" s="233">
        <v>44265</v>
      </c>
      <c r="D1095" s="435" t="s">
        <v>1267</v>
      </c>
      <c r="E1095" s="436" t="s">
        <v>1401</v>
      </c>
      <c r="F1095" s="338">
        <v>0.44027777777777777</v>
      </c>
      <c r="G1095" s="338">
        <v>0.44375000000000003</v>
      </c>
      <c r="H1095" s="338" t="s">
        <v>964</v>
      </c>
      <c r="I1095" s="353">
        <v>733</v>
      </c>
      <c r="J1095" s="338" t="str">
        <f>IFERROR(VLOOKUP(I1095,'Chart of accounts'!A:H,2,FALSE),"")</f>
        <v>50103030 01</v>
      </c>
      <c r="K1095" s="338" t="str">
        <f>IFERROR(VLOOKUP(I1095,'Chart of accounts'!A:H,3,FALSE),"")</f>
        <v>PhilHealth - Civilian</v>
      </c>
      <c r="L1095" s="338" t="str">
        <f>IFERROR(VLOOKUP(I1095,'Chart of accounts'!A:H,4,FALSE),"")</f>
        <v>50103030 01 - PhilHealth - Civilian (733)</v>
      </c>
      <c r="M1095" s="361">
        <v>1</v>
      </c>
      <c r="N1095" s="355" t="s">
        <v>10</v>
      </c>
      <c r="O1095" s="355" t="s">
        <v>1384</v>
      </c>
      <c r="P1095" s="355"/>
      <c r="Q1095" s="363">
        <v>1203.22</v>
      </c>
      <c r="R1095" s="428">
        <f t="shared" ref="R1095:R1101" si="40">P1095-Q1095</f>
        <v>-1203.22</v>
      </c>
      <c r="S1095" s="239" t="str">
        <f>VLOOKUP(H1095,'Fund Utilization Report'!$A$4:$U$1800,13,FALSE)</f>
        <v>PS</v>
      </c>
      <c r="T1095" s="239" t="str">
        <f>VLOOKUP(H1095,'Fund Utilization Report'!$A$4:$U$1800,2,FALSE)</f>
        <v>GAA</v>
      </c>
      <c r="U1095" s="239" t="str">
        <f>VLOOKUP(H1095,'Fund Utilization Report'!$A$4:$U$1800,3,FALSE)</f>
        <v>FY2021, RA11518</v>
      </c>
      <c r="V1095" s="239" t="str">
        <f>VLOOKUP(H1095,'Fund Utilization Report'!$A$4:$U$1800,4,FALSE)</f>
        <v>OO1</v>
      </c>
      <c r="W1095" s="239" t="str">
        <f>VLOOKUP(H1095,'Fund Utilization Report'!$A$4:$U$1800,5,FALSE)</f>
        <v>01101101</v>
      </c>
      <c r="X1095" s="239" t="str">
        <f>VLOOKUP(H1095,'Fund Utilization Report'!$A$4:$U$1800,6,FALSE)</f>
        <v>GOP</v>
      </c>
      <c r="Y1095" s="440" t="str">
        <f>VLOOKUP(H1095,'Fund Utilization Report'!$A$4:$U$1800,7,FALSE)</f>
        <v>PS</v>
      </c>
      <c r="Z1095" s="441">
        <f>VLOOKUP(H1095,'Fund Utilization Report'!$A$4:$U$1800,8,FALSE)</f>
        <v>5010000000</v>
      </c>
      <c r="AA1095" s="239" t="str">
        <f>VLOOKUP(H1095,'Fund Utilization Report'!$A$4:$U$1800,14,FALSE)</f>
        <v>310100100002000</v>
      </c>
      <c r="AB1095" s="242" t="str">
        <f>VLOOKUP(H1095,'Fund Utilization Report'!$A$4:$U$1800,15,FALSE)</f>
        <v>Development,Facilitation, and promotion of exports and investment, domestic and foreign</v>
      </c>
      <c r="AC1095" s="51"/>
      <c r="AD1095" s="435"/>
      <c r="AE1095" s="51"/>
      <c r="AF1095" s="51"/>
      <c r="AG1095" s="442"/>
      <c r="AH1095" s="442"/>
      <c r="AI1095" s="443"/>
    </row>
    <row r="1096" spans="1:35" s="32" customFormat="1" ht="27.6">
      <c r="A1096" s="434" t="s">
        <v>942</v>
      </c>
      <c r="B1096" s="457" t="s">
        <v>946</v>
      </c>
      <c r="C1096" s="233">
        <v>44265</v>
      </c>
      <c r="D1096" s="435" t="s">
        <v>1267</v>
      </c>
      <c r="E1096" s="436" t="s">
        <v>1401</v>
      </c>
      <c r="F1096" s="338">
        <v>0.44027777777777777</v>
      </c>
      <c r="G1096" s="338">
        <v>0.44375000000000003</v>
      </c>
      <c r="H1096" s="338" t="s">
        <v>964</v>
      </c>
      <c r="I1096" s="353">
        <v>734</v>
      </c>
      <c r="J1096" s="338" t="str">
        <f>IFERROR(VLOOKUP(I1096,'Chart of accounts'!A:H,2,FALSE),"")</f>
        <v>50103040 01</v>
      </c>
      <c r="K1096" s="338" t="str">
        <f>IFERROR(VLOOKUP(I1096,'Chart of accounts'!A:H,3,FALSE),"")</f>
        <v>ECIP - Civilian</v>
      </c>
      <c r="L1096" s="338" t="str">
        <f>IFERROR(VLOOKUP(I1096,'Chart of accounts'!A:H,4,FALSE),"")</f>
        <v>50103040 01 - ECIP - Civilian (734)</v>
      </c>
      <c r="M1096" s="361">
        <v>1</v>
      </c>
      <c r="N1096" s="355" t="s">
        <v>10</v>
      </c>
      <c r="O1096" s="355" t="s">
        <v>1384</v>
      </c>
      <c r="P1096" s="355"/>
      <c r="Q1096" s="363">
        <v>200</v>
      </c>
      <c r="R1096" s="428">
        <f t="shared" si="40"/>
        <v>-200</v>
      </c>
      <c r="S1096" s="239" t="str">
        <f>VLOOKUP(H1096,'Fund Utilization Report'!$A$4:$U$1800,13,FALSE)</f>
        <v>PS</v>
      </c>
      <c r="T1096" s="239" t="str">
        <f>VLOOKUP(H1096,'Fund Utilization Report'!$A$4:$U$1800,2,FALSE)</f>
        <v>GAA</v>
      </c>
      <c r="U1096" s="239" t="str">
        <f>VLOOKUP(H1096,'Fund Utilization Report'!$A$4:$U$1800,3,FALSE)</f>
        <v>FY2021, RA11518</v>
      </c>
      <c r="V1096" s="239" t="str">
        <f>VLOOKUP(H1096,'Fund Utilization Report'!$A$4:$U$1800,4,FALSE)</f>
        <v>OO1</v>
      </c>
      <c r="W1096" s="239" t="str">
        <f>VLOOKUP(H1096,'Fund Utilization Report'!$A$4:$U$1800,5,FALSE)</f>
        <v>01101101</v>
      </c>
      <c r="X1096" s="239" t="str">
        <f>VLOOKUP(H1096,'Fund Utilization Report'!$A$4:$U$1800,6,FALSE)</f>
        <v>GOP</v>
      </c>
      <c r="Y1096" s="440" t="str">
        <f>VLOOKUP(H1096,'Fund Utilization Report'!$A$4:$U$1800,7,FALSE)</f>
        <v>PS</v>
      </c>
      <c r="Z1096" s="441">
        <f>VLOOKUP(H1096,'Fund Utilization Report'!$A$4:$U$1800,8,FALSE)</f>
        <v>5010000000</v>
      </c>
      <c r="AA1096" s="239" t="str">
        <f>VLOOKUP(H1096,'Fund Utilization Report'!$A$4:$U$1800,14,FALSE)</f>
        <v>310100100002000</v>
      </c>
      <c r="AB1096" s="242" t="str">
        <f>VLOOKUP(H1096,'Fund Utilization Report'!$A$4:$U$1800,15,FALSE)</f>
        <v>Development,Facilitation, and promotion of exports and investment, domestic and foreign</v>
      </c>
      <c r="AC1096" s="51"/>
      <c r="AD1096" s="435"/>
      <c r="AE1096" s="51"/>
      <c r="AF1096" s="51"/>
      <c r="AG1096" s="442"/>
      <c r="AH1096" s="442"/>
      <c r="AI1096" s="443"/>
    </row>
    <row r="1097" spans="1:35" s="32" customFormat="1" ht="27.6">
      <c r="A1097" s="434" t="s">
        <v>942</v>
      </c>
      <c r="B1097" s="457" t="s">
        <v>946</v>
      </c>
      <c r="C1097" s="233">
        <v>44265</v>
      </c>
      <c r="D1097" s="435" t="s">
        <v>1267</v>
      </c>
      <c r="E1097" s="436" t="s">
        <v>1401</v>
      </c>
      <c r="F1097" s="338">
        <v>0.44027777777777777</v>
      </c>
      <c r="G1097" s="338">
        <v>0.44375000000000003</v>
      </c>
      <c r="H1097" s="338" t="s">
        <v>967</v>
      </c>
      <c r="I1097" s="353">
        <v>701</v>
      </c>
      <c r="J1097" s="338" t="str">
        <f>IFERROR(VLOOKUP(I1097,'Chart of accounts'!A:H,2,FALSE),"")</f>
        <v>50101010 01</v>
      </c>
      <c r="K1097" s="338" t="str">
        <f>IFERROR(VLOOKUP(I1097,'Chart of accounts'!A:H,3,FALSE),"")</f>
        <v>Basic Salary - Civilian</v>
      </c>
      <c r="L1097" s="338" t="str">
        <f>IFERROR(VLOOKUP(I1097,'Chart of accounts'!A:H,4,FALSE),"")</f>
        <v>50101010 01 - Basic Salary - Civilian (701)</v>
      </c>
      <c r="M1097" s="361">
        <v>1</v>
      </c>
      <c r="N1097" s="355" t="s">
        <v>10</v>
      </c>
      <c r="O1097" s="355" t="s">
        <v>1384</v>
      </c>
      <c r="P1097" s="355"/>
      <c r="Q1097" s="363">
        <v>199631</v>
      </c>
      <c r="R1097" s="428">
        <f t="shared" si="40"/>
        <v>-199631</v>
      </c>
      <c r="S1097" s="239" t="str">
        <f>VLOOKUP(H1097,'Fund Utilization Report'!$A$4:$U$1800,13,FALSE)</f>
        <v>PS</v>
      </c>
      <c r="T1097" s="239" t="str">
        <f>VLOOKUP(H1097,'Fund Utilization Report'!$A$4:$U$1800,2,FALSE)</f>
        <v>GAA</v>
      </c>
      <c r="U1097" s="239" t="str">
        <f>VLOOKUP(H1097,'Fund Utilization Report'!$A$4:$U$1800,3,FALSE)</f>
        <v>FY2021, RA11518</v>
      </c>
      <c r="V1097" s="239" t="str">
        <f>VLOOKUP(H1097,'Fund Utilization Report'!$A$4:$U$1800,4,FALSE)</f>
        <v>OO2</v>
      </c>
      <c r="W1097" s="239" t="str">
        <f>VLOOKUP(H1097,'Fund Utilization Report'!$A$4:$U$1800,5,FALSE)</f>
        <v>01101101</v>
      </c>
      <c r="X1097" s="239" t="str">
        <f>VLOOKUP(H1097,'Fund Utilization Report'!$A$4:$U$1800,6,FALSE)</f>
        <v>GOP</v>
      </c>
      <c r="Y1097" s="440" t="str">
        <f>VLOOKUP(H1097,'Fund Utilization Report'!$A$4:$U$1800,7,FALSE)</f>
        <v>PS</v>
      </c>
      <c r="Z1097" s="441">
        <f>VLOOKUP(H1097,'Fund Utilization Report'!$A$4:$U$1800,8,FALSE)</f>
        <v>5010000000</v>
      </c>
      <c r="AA1097" s="239" t="str">
        <f>VLOOKUP(H1097,'Fund Utilization Report'!$A$4:$U$1800,14,FALSE)</f>
        <v>320100100001000</v>
      </c>
      <c r="AB1097" s="242" t="str">
        <f>VLOOKUP(H1097,'Fund Utilization Report'!$A$4:$U$1800,15,FALSE)</f>
        <v>Formulation of Strategic plans,programs, and policies to develop competitve industries</v>
      </c>
      <c r="AC1097" s="51"/>
      <c r="AD1097" s="435"/>
      <c r="AE1097" s="51"/>
      <c r="AF1097" s="51"/>
      <c r="AG1097" s="442"/>
      <c r="AH1097" s="442"/>
      <c r="AI1097" s="443"/>
    </row>
    <row r="1098" spans="1:35" s="32" customFormat="1" ht="27.6">
      <c r="A1098" s="434" t="s">
        <v>942</v>
      </c>
      <c r="B1098" s="457" t="s">
        <v>946</v>
      </c>
      <c r="C1098" s="233">
        <v>44265</v>
      </c>
      <c r="D1098" s="435" t="s">
        <v>1267</v>
      </c>
      <c r="E1098" s="436" t="s">
        <v>1401</v>
      </c>
      <c r="F1098" s="338">
        <v>0.44027777777777777</v>
      </c>
      <c r="G1098" s="338">
        <v>0.44375000000000003</v>
      </c>
      <c r="H1098" s="338" t="s">
        <v>967</v>
      </c>
      <c r="I1098" s="353">
        <v>711</v>
      </c>
      <c r="J1098" s="338" t="str">
        <f>IFERROR(VLOOKUP(I1098,'Chart of accounts'!A:H,2,FALSE),"")</f>
        <v>50102010 01</v>
      </c>
      <c r="K1098" s="338" t="str">
        <f>IFERROR(VLOOKUP(I1098,'Chart of accounts'!A:H,3,FALSE),"")</f>
        <v>PERA - Civilian</v>
      </c>
      <c r="L1098" s="338" t="str">
        <f>IFERROR(VLOOKUP(I1098,'Chart of accounts'!A:H,4,FALSE),"")</f>
        <v>50102010 01 - PERA - Civilian (711)</v>
      </c>
      <c r="M1098" s="361">
        <v>1</v>
      </c>
      <c r="N1098" s="355" t="s">
        <v>10</v>
      </c>
      <c r="O1098" s="355" t="s">
        <v>1384</v>
      </c>
      <c r="P1098" s="355"/>
      <c r="Q1098" s="363">
        <v>10000</v>
      </c>
      <c r="R1098" s="428">
        <f t="shared" si="40"/>
        <v>-10000</v>
      </c>
      <c r="S1098" s="239" t="str">
        <f>VLOOKUP(H1098,'Fund Utilization Report'!$A$4:$U$1800,13,FALSE)</f>
        <v>PS</v>
      </c>
      <c r="T1098" s="239" t="str">
        <f>VLOOKUP(H1098,'Fund Utilization Report'!$A$4:$U$1800,2,FALSE)</f>
        <v>GAA</v>
      </c>
      <c r="U1098" s="239" t="str">
        <f>VLOOKUP(H1098,'Fund Utilization Report'!$A$4:$U$1800,3,FALSE)</f>
        <v>FY2021, RA11518</v>
      </c>
      <c r="V1098" s="239" t="str">
        <f>VLOOKUP(H1098,'Fund Utilization Report'!$A$4:$U$1800,4,FALSE)</f>
        <v>OO2</v>
      </c>
      <c r="W1098" s="239" t="str">
        <f>VLOOKUP(H1098,'Fund Utilization Report'!$A$4:$U$1800,5,FALSE)</f>
        <v>01101101</v>
      </c>
      <c r="X1098" s="239" t="str">
        <f>VLOOKUP(H1098,'Fund Utilization Report'!$A$4:$U$1800,6,FALSE)</f>
        <v>GOP</v>
      </c>
      <c r="Y1098" s="440" t="str">
        <f>VLOOKUP(H1098,'Fund Utilization Report'!$A$4:$U$1800,7,FALSE)</f>
        <v>PS</v>
      </c>
      <c r="Z1098" s="441">
        <f>VLOOKUP(H1098,'Fund Utilization Report'!$A$4:$U$1800,8,FALSE)</f>
        <v>5010000000</v>
      </c>
      <c r="AA1098" s="239" t="str">
        <f>VLOOKUP(H1098,'Fund Utilization Report'!$A$4:$U$1800,14,FALSE)</f>
        <v>320100100001000</v>
      </c>
      <c r="AB1098" s="242" t="str">
        <f>VLOOKUP(H1098,'Fund Utilization Report'!$A$4:$U$1800,15,FALSE)</f>
        <v>Formulation of Strategic plans,programs, and policies to develop competitve industries</v>
      </c>
      <c r="AC1098" s="51"/>
      <c r="AD1098" s="435"/>
      <c r="AE1098" s="51"/>
      <c r="AF1098" s="51"/>
      <c r="AG1098" s="442"/>
      <c r="AH1098" s="442"/>
      <c r="AI1098" s="443"/>
    </row>
    <row r="1099" spans="1:35" s="32" customFormat="1" ht="27.6">
      <c r="A1099" s="434" t="s">
        <v>942</v>
      </c>
      <c r="B1099" s="457" t="s">
        <v>946</v>
      </c>
      <c r="C1099" s="233">
        <v>44265</v>
      </c>
      <c r="D1099" s="435" t="s">
        <v>1267</v>
      </c>
      <c r="E1099" s="436" t="s">
        <v>1401</v>
      </c>
      <c r="F1099" s="338">
        <v>0.44027777777777777</v>
      </c>
      <c r="G1099" s="338">
        <v>0.44375000000000003</v>
      </c>
      <c r="H1099" s="338" t="s">
        <v>969</v>
      </c>
      <c r="I1099" s="353">
        <v>731</v>
      </c>
      <c r="J1099" s="338" t="str">
        <f>IFERROR(VLOOKUP(I1099,'Chart of accounts'!A:H,2,FALSE),"")</f>
        <v>50103010 00</v>
      </c>
      <c r="K1099" s="338" t="str">
        <f>IFERROR(VLOOKUP(I1099,'Chart of accounts'!A:H,3,FALSE),"")</f>
        <v>Retirement and Life Insurance Premiums</v>
      </c>
      <c r="L1099" s="338" t="str">
        <f>IFERROR(VLOOKUP(I1099,'Chart of accounts'!A:H,4,FALSE),"")</f>
        <v>50103010 00 - Retirement and Life Insurance Premiums (731)</v>
      </c>
      <c r="M1099" s="361">
        <v>1</v>
      </c>
      <c r="N1099" s="355" t="s">
        <v>10</v>
      </c>
      <c r="O1099" s="355" t="s">
        <v>1384</v>
      </c>
      <c r="P1099" s="355"/>
      <c r="Q1099" s="363">
        <v>23955.72</v>
      </c>
      <c r="R1099" s="428">
        <f t="shared" si="40"/>
        <v>-23955.72</v>
      </c>
      <c r="S1099" s="239" t="str">
        <f>VLOOKUP(H1099,'Fund Utilization Report'!$A$4:$U$1800,13,FALSE)</f>
        <v>PS</v>
      </c>
      <c r="T1099" s="239" t="str">
        <f>VLOOKUP(H1099,'Fund Utilization Report'!$A$4:$U$1800,2,FALSE)</f>
        <v>GAA</v>
      </c>
      <c r="U1099" s="239" t="str">
        <f>VLOOKUP(H1099,'Fund Utilization Report'!$A$4:$U$1800,3,FALSE)</f>
        <v>FY2021, RA11518</v>
      </c>
      <c r="V1099" s="239" t="str">
        <f>VLOOKUP(H1099,'Fund Utilization Report'!$A$4:$U$1800,4,FALSE)</f>
        <v>OO2</v>
      </c>
      <c r="W1099" s="239" t="str">
        <f>VLOOKUP(H1099,'Fund Utilization Report'!$A$4:$U$1800,5,FALSE)</f>
        <v>01101101</v>
      </c>
      <c r="X1099" s="239" t="str">
        <f>VLOOKUP(H1099,'Fund Utilization Report'!$A$4:$U$1800,6,FALSE)</f>
        <v>GOP</v>
      </c>
      <c r="Y1099" s="440" t="str">
        <f>VLOOKUP(H1099,'Fund Utilization Report'!$A$4:$U$1800,7,FALSE)</f>
        <v>RLIP</v>
      </c>
      <c r="Z1099" s="441" t="str">
        <f>VLOOKUP(H1099,'Fund Utilization Report'!$A$4:$U$1800,8,FALSE)</f>
        <v>50103010-00</v>
      </c>
      <c r="AA1099" s="239" t="str">
        <f>VLOOKUP(H1099,'Fund Utilization Report'!$A$4:$U$1800,14,FALSE)</f>
        <v>320100100001000</v>
      </c>
      <c r="AB1099" s="242" t="str">
        <f>VLOOKUP(H1099,'Fund Utilization Report'!$A$4:$U$1800,15,FALSE)</f>
        <v>Formulation of Strategic plans,programs, and policies to develop competitve industries</v>
      </c>
      <c r="AC1099" s="51"/>
      <c r="AD1099" s="435"/>
      <c r="AE1099" s="51"/>
      <c r="AF1099" s="51"/>
      <c r="AG1099" s="442"/>
      <c r="AH1099" s="442"/>
      <c r="AI1099" s="443"/>
    </row>
    <row r="1100" spans="1:35" s="32" customFormat="1" ht="27.6">
      <c r="A1100" s="434" t="s">
        <v>942</v>
      </c>
      <c r="B1100" s="457" t="s">
        <v>946</v>
      </c>
      <c r="C1100" s="233">
        <v>44265</v>
      </c>
      <c r="D1100" s="435" t="s">
        <v>1267</v>
      </c>
      <c r="E1100" s="436" t="s">
        <v>1401</v>
      </c>
      <c r="F1100" s="338">
        <v>0.44027777777777777</v>
      </c>
      <c r="G1100" s="338">
        <v>0.44375000000000003</v>
      </c>
      <c r="H1100" s="338" t="s">
        <v>967</v>
      </c>
      <c r="I1100" s="353">
        <v>732</v>
      </c>
      <c r="J1100" s="338" t="str">
        <f>IFERROR(VLOOKUP(I1100,'Chart of accounts'!A:H,2,FALSE),"")</f>
        <v>50103020 01</v>
      </c>
      <c r="K1100" s="338" t="str">
        <f>IFERROR(VLOOKUP(I1100,'Chart of accounts'!A:H,3,FALSE),"")</f>
        <v>Pag-IBIG - Civilian</v>
      </c>
      <c r="L1100" s="338" t="str">
        <f>IFERROR(VLOOKUP(I1100,'Chart of accounts'!A:H,4,FALSE),"")</f>
        <v>50103020 01 - Pag-IBIG - Civilian (732)</v>
      </c>
      <c r="M1100" s="361">
        <v>1</v>
      </c>
      <c r="N1100" s="355" t="s">
        <v>10</v>
      </c>
      <c r="O1100" s="355" t="s">
        <v>1384</v>
      </c>
      <c r="P1100" s="355"/>
      <c r="Q1100" s="363">
        <v>500</v>
      </c>
      <c r="R1100" s="428">
        <f t="shared" si="40"/>
        <v>-500</v>
      </c>
      <c r="S1100" s="239" t="str">
        <f>VLOOKUP(H1100,'Fund Utilization Report'!$A$4:$U$1800,13,FALSE)</f>
        <v>PS</v>
      </c>
      <c r="T1100" s="239" t="str">
        <f>VLOOKUP(H1100,'Fund Utilization Report'!$A$4:$U$1800,2,FALSE)</f>
        <v>GAA</v>
      </c>
      <c r="U1100" s="239" t="str">
        <f>VLOOKUP(H1100,'Fund Utilization Report'!$A$4:$U$1800,3,FALSE)</f>
        <v>FY2021, RA11518</v>
      </c>
      <c r="V1100" s="239" t="str">
        <f>VLOOKUP(H1100,'Fund Utilization Report'!$A$4:$U$1800,4,FALSE)</f>
        <v>OO2</v>
      </c>
      <c r="W1100" s="239" t="str">
        <f>VLOOKUP(H1100,'Fund Utilization Report'!$A$4:$U$1800,5,FALSE)</f>
        <v>01101101</v>
      </c>
      <c r="X1100" s="239" t="str">
        <f>VLOOKUP(H1100,'Fund Utilization Report'!$A$4:$U$1800,6,FALSE)</f>
        <v>GOP</v>
      </c>
      <c r="Y1100" s="440" t="str">
        <f>VLOOKUP(H1100,'Fund Utilization Report'!$A$4:$U$1800,7,FALSE)</f>
        <v>PS</v>
      </c>
      <c r="Z1100" s="441">
        <f>VLOOKUP(H1100,'Fund Utilization Report'!$A$4:$U$1800,8,FALSE)</f>
        <v>5010000000</v>
      </c>
      <c r="AA1100" s="239" t="str">
        <f>VLOOKUP(H1100,'Fund Utilization Report'!$A$4:$U$1800,14,FALSE)</f>
        <v>320100100001000</v>
      </c>
      <c r="AB1100" s="242" t="str">
        <f>VLOOKUP(H1100,'Fund Utilization Report'!$A$4:$U$1800,15,FALSE)</f>
        <v>Formulation of Strategic plans,programs, and policies to develop competitve industries</v>
      </c>
      <c r="AC1100" s="51"/>
      <c r="AD1100" s="435"/>
      <c r="AE1100" s="51"/>
      <c r="AF1100" s="51"/>
      <c r="AG1100" s="442"/>
      <c r="AH1100" s="442"/>
      <c r="AI1100" s="443"/>
    </row>
    <row r="1101" spans="1:35" s="32" customFormat="1" ht="27.6">
      <c r="A1101" s="434" t="s">
        <v>942</v>
      </c>
      <c r="B1101" s="457" t="s">
        <v>946</v>
      </c>
      <c r="C1101" s="233">
        <v>44265</v>
      </c>
      <c r="D1101" s="435" t="s">
        <v>1267</v>
      </c>
      <c r="E1101" s="436" t="s">
        <v>1401</v>
      </c>
      <c r="F1101" s="338">
        <v>0.44027777777777777</v>
      </c>
      <c r="G1101" s="338">
        <v>0.44375000000000003</v>
      </c>
      <c r="H1101" s="338" t="s">
        <v>967</v>
      </c>
      <c r="I1101" s="353">
        <v>733</v>
      </c>
      <c r="J1101" s="338" t="str">
        <f>IFERROR(VLOOKUP(I1101,'Chart of accounts'!A:H,2,FALSE),"")</f>
        <v>50103030 01</v>
      </c>
      <c r="K1101" s="338" t="str">
        <f>IFERROR(VLOOKUP(I1101,'Chart of accounts'!A:H,3,FALSE),"")</f>
        <v>PhilHealth - Civilian</v>
      </c>
      <c r="L1101" s="338" t="str">
        <f>IFERROR(VLOOKUP(I1101,'Chart of accounts'!A:H,4,FALSE),"")</f>
        <v>50103030 01 - PhilHealth - Civilian (733)</v>
      </c>
      <c r="M1101" s="361">
        <v>1</v>
      </c>
      <c r="N1101" s="355" t="s">
        <v>10</v>
      </c>
      <c r="O1101" s="355" t="s">
        <v>1384</v>
      </c>
      <c r="P1101" s="355"/>
      <c r="Q1101" s="363">
        <v>2593.35</v>
      </c>
      <c r="R1101" s="428">
        <f t="shared" si="40"/>
        <v>-2593.35</v>
      </c>
      <c r="S1101" s="239" t="str">
        <f>VLOOKUP(H1101,'Fund Utilization Report'!$A$4:$U$1800,13,FALSE)</f>
        <v>PS</v>
      </c>
      <c r="T1101" s="239" t="str">
        <f>VLOOKUP(H1101,'Fund Utilization Report'!$A$4:$U$1800,2,FALSE)</f>
        <v>GAA</v>
      </c>
      <c r="U1101" s="239" t="str">
        <f>VLOOKUP(H1101,'Fund Utilization Report'!$A$4:$U$1800,3,FALSE)</f>
        <v>FY2021, RA11518</v>
      </c>
      <c r="V1101" s="239" t="str">
        <f>VLOOKUP(H1101,'Fund Utilization Report'!$A$4:$U$1800,4,FALSE)</f>
        <v>OO2</v>
      </c>
      <c r="W1101" s="239" t="str">
        <f>VLOOKUP(H1101,'Fund Utilization Report'!$A$4:$U$1800,5,FALSE)</f>
        <v>01101101</v>
      </c>
      <c r="X1101" s="239" t="str">
        <f>VLOOKUP(H1101,'Fund Utilization Report'!$A$4:$U$1800,6,FALSE)</f>
        <v>GOP</v>
      </c>
      <c r="Y1101" s="440" t="str">
        <f>VLOOKUP(H1101,'Fund Utilization Report'!$A$4:$U$1800,7,FALSE)</f>
        <v>PS</v>
      </c>
      <c r="Z1101" s="441">
        <f>VLOOKUP(H1101,'Fund Utilization Report'!$A$4:$U$1800,8,FALSE)</f>
        <v>5010000000</v>
      </c>
      <c r="AA1101" s="239" t="str">
        <f>VLOOKUP(H1101,'Fund Utilization Report'!$A$4:$U$1800,14,FALSE)</f>
        <v>320100100001000</v>
      </c>
      <c r="AB1101" s="242" t="str">
        <f>VLOOKUP(H1101,'Fund Utilization Report'!$A$4:$U$1800,15,FALSE)</f>
        <v>Formulation of Strategic plans,programs, and policies to develop competitve industries</v>
      </c>
      <c r="AC1101" s="51"/>
      <c r="AD1101" s="435"/>
      <c r="AE1101" s="51"/>
      <c r="AF1101" s="51"/>
      <c r="AG1101" s="442"/>
      <c r="AH1101" s="442"/>
      <c r="AI1101" s="443"/>
    </row>
    <row r="1102" spans="1:35" s="32" customFormat="1" ht="27.6">
      <c r="A1102" s="434" t="s">
        <v>942</v>
      </c>
      <c r="B1102" s="457" t="s">
        <v>946</v>
      </c>
      <c r="C1102" s="233">
        <v>44265</v>
      </c>
      <c r="D1102" s="435" t="s">
        <v>1267</v>
      </c>
      <c r="E1102" s="436" t="s">
        <v>1401</v>
      </c>
      <c r="F1102" s="338">
        <v>0.44027777777777777</v>
      </c>
      <c r="G1102" s="338">
        <v>0.44375000000000003</v>
      </c>
      <c r="H1102" s="338" t="s">
        <v>967</v>
      </c>
      <c r="I1102" s="353">
        <v>734</v>
      </c>
      <c r="J1102" s="338" t="str">
        <f>IFERROR(VLOOKUP(I1102,'Chart of accounts'!A:H,2,FALSE),"")</f>
        <v>50103040 01</v>
      </c>
      <c r="K1102" s="338" t="str">
        <f>IFERROR(VLOOKUP(I1102,'Chart of accounts'!A:H,3,FALSE),"")</f>
        <v>ECIP - Civilian</v>
      </c>
      <c r="L1102" s="338" t="str">
        <f>IFERROR(VLOOKUP(I1102,'Chart of accounts'!A:H,4,FALSE),"")</f>
        <v>50103040 01 - ECIP - Civilian (734)</v>
      </c>
      <c r="M1102" s="361">
        <v>1</v>
      </c>
      <c r="N1102" s="355" t="s">
        <v>10</v>
      </c>
      <c r="O1102" s="355" t="s">
        <v>1384</v>
      </c>
      <c r="P1102" s="355"/>
      <c r="Q1102" s="363">
        <v>500</v>
      </c>
      <c r="R1102" s="428">
        <f t="shared" ref="R1102:R1108" si="41">P1102-Q1102</f>
        <v>-500</v>
      </c>
      <c r="S1102" s="239" t="str">
        <f>VLOOKUP(H1102,'Fund Utilization Report'!$A$4:$U$1800,13,FALSE)</f>
        <v>PS</v>
      </c>
      <c r="T1102" s="239" t="str">
        <f>VLOOKUP(H1102,'Fund Utilization Report'!$A$4:$U$1800,2,FALSE)</f>
        <v>GAA</v>
      </c>
      <c r="U1102" s="239" t="str">
        <f>VLOOKUP(H1102,'Fund Utilization Report'!$A$4:$U$1800,3,FALSE)</f>
        <v>FY2021, RA11518</v>
      </c>
      <c r="V1102" s="239" t="str">
        <f>VLOOKUP(H1102,'Fund Utilization Report'!$A$4:$U$1800,4,FALSE)</f>
        <v>OO2</v>
      </c>
      <c r="W1102" s="239" t="str">
        <f>VLOOKUP(H1102,'Fund Utilization Report'!$A$4:$U$1800,5,FALSE)</f>
        <v>01101101</v>
      </c>
      <c r="X1102" s="239" t="str">
        <f>VLOOKUP(H1102,'Fund Utilization Report'!$A$4:$U$1800,6,FALSE)</f>
        <v>GOP</v>
      </c>
      <c r="Y1102" s="440" t="str">
        <f>VLOOKUP(H1102,'Fund Utilization Report'!$A$4:$U$1800,7,FALSE)</f>
        <v>PS</v>
      </c>
      <c r="Z1102" s="441">
        <f>VLOOKUP(H1102,'Fund Utilization Report'!$A$4:$U$1800,8,FALSE)</f>
        <v>5010000000</v>
      </c>
      <c r="AA1102" s="239" t="str">
        <f>VLOOKUP(H1102,'Fund Utilization Report'!$A$4:$U$1800,14,FALSE)</f>
        <v>320100100001000</v>
      </c>
      <c r="AB1102" s="242" t="str">
        <f>VLOOKUP(H1102,'Fund Utilization Report'!$A$4:$U$1800,15,FALSE)</f>
        <v>Formulation of Strategic plans,programs, and policies to develop competitve industries</v>
      </c>
      <c r="AC1102" s="51"/>
      <c r="AD1102" s="435"/>
      <c r="AE1102" s="51"/>
      <c r="AF1102" s="51"/>
      <c r="AG1102" s="442"/>
      <c r="AH1102" s="442"/>
      <c r="AI1102" s="443"/>
    </row>
    <row r="1103" spans="1:35" s="32" customFormat="1" ht="27.6">
      <c r="A1103" s="434" t="s">
        <v>942</v>
      </c>
      <c r="B1103" s="457" t="s">
        <v>946</v>
      </c>
      <c r="C1103" s="233">
        <v>44265</v>
      </c>
      <c r="D1103" s="435" t="s">
        <v>1267</v>
      </c>
      <c r="E1103" s="436" t="s">
        <v>1401</v>
      </c>
      <c r="F1103" s="338">
        <v>0.44027777777777777</v>
      </c>
      <c r="G1103" s="338">
        <v>0.44375000000000003</v>
      </c>
      <c r="H1103" s="338" t="s">
        <v>970</v>
      </c>
      <c r="I1103" s="353">
        <v>701</v>
      </c>
      <c r="J1103" s="338" t="str">
        <f>IFERROR(VLOOKUP(I1103,'Chart of accounts'!A:H,2,FALSE),"")</f>
        <v>50101010 01</v>
      </c>
      <c r="K1103" s="338" t="str">
        <f>IFERROR(VLOOKUP(I1103,'Chart of accounts'!A:H,3,FALSE),"")</f>
        <v>Basic Salary - Civilian</v>
      </c>
      <c r="L1103" s="338" t="str">
        <f>IFERROR(VLOOKUP(I1103,'Chart of accounts'!A:H,4,FALSE),"")</f>
        <v>50101010 01 - Basic Salary - Civilian (701)</v>
      </c>
      <c r="M1103" s="361">
        <v>1</v>
      </c>
      <c r="N1103" s="355" t="s">
        <v>10</v>
      </c>
      <c r="O1103" s="355" t="s">
        <v>1384</v>
      </c>
      <c r="P1103" s="355"/>
      <c r="Q1103" s="363">
        <v>190370</v>
      </c>
      <c r="R1103" s="428">
        <f t="shared" si="41"/>
        <v>-190370</v>
      </c>
      <c r="S1103" s="239" t="str">
        <f>VLOOKUP(H1103,'Fund Utilization Report'!$A$4:$U$1800,13,FALSE)</f>
        <v>PS</v>
      </c>
      <c r="T1103" s="239" t="str">
        <f>VLOOKUP(H1103,'Fund Utilization Report'!$A$4:$U$1800,2,FALSE)</f>
        <v>GAA</v>
      </c>
      <c r="U1103" s="239" t="str">
        <f>VLOOKUP(H1103,'Fund Utilization Report'!$A$4:$U$1800,3,FALSE)</f>
        <v>FY2021, RA11518</v>
      </c>
      <c r="V1103" s="239" t="str">
        <f>VLOOKUP(H1103,'Fund Utilization Report'!$A$4:$U$1800,4,FALSE)</f>
        <v>OO3</v>
      </c>
      <c r="W1103" s="239" t="str">
        <f>VLOOKUP(H1103,'Fund Utilization Report'!$A$4:$U$1800,5,FALSE)</f>
        <v>01101101</v>
      </c>
      <c r="X1103" s="239" t="str">
        <f>VLOOKUP(H1103,'Fund Utilization Report'!$A$4:$U$1800,6,FALSE)</f>
        <v>GOP</v>
      </c>
      <c r="Y1103" s="440" t="str">
        <f>VLOOKUP(H1103,'Fund Utilization Report'!$A$4:$U$1800,7,FALSE)</f>
        <v>PS</v>
      </c>
      <c r="Z1103" s="441">
        <f>VLOOKUP(H1103,'Fund Utilization Report'!$A$4:$U$1800,8,FALSE)</f>
        <v>5010000000</v>
      </c>
      <c r="AA1103" s="239" t="str">
        <f>VLOOKUP(H1103,'Fund Utilization Report'!$A$4:$U$1800,14,FALSE)</f>
        <v>330100100002000</v>
      </c>
      <c r="AB1103" s="242" t="str">
        <f>VLOOKUP(H1103,'Fund Utilization Report'!$A$4:$U$1800,15,FALSE)</f>
        <v>Implementation of the MSME Development Plan and other initiatives to promote the growth of Micro, Small and Medium Enterprises</v>
      </c>
      <c r="AC1103" s="51"/>
      <c r="AD1103" s="435"/>
      <c r="AE1103" s="51"/>
      <c r="AF1103" s="51"/>
      <c r="AG1103" s="442"/>
      <c r="AH1103" s="442"/>
      <c r="AI1103" s="443"/>
    </row>
    <row r="1104" spans="1:35" s="32" customFormat="1" ht="27.6">
      <c r="A1104" s="434" t="s">
        <v>942</v>
      </c>
      <c r="B1104" s="457" t="s">
        <v>946</v>
      </c>
      <c r="C1104" s="233">
        <v>44265</v>
      </c>
      <c r="D1104" s="435" t="s">
        <v>1267</v>
      </c>
      <c r="E1104" s="436" t="s">
        <v>1401</v>
      </c>
      <c r="F1104" s="338">
        <v>0.44027777777777777</v>
      </c>
      <c r="G1104" s="338">
        <v>0.44375000000000003</v>
      </c>
      <c r="H1104" s="338" t="s">
        <v>970</v>
      </c>
      <c r="I1104" s="353">
        <v>711</v>
      </c>
      <c r="J1104" s="338" t="str">
        <f>IFERROR(VLOOKUP(I1104,'Chart of accounts'!A:H,2,FALSE),"")</f>
        <v>50102010 01</v>
      </c>
      <c r="K1104" s="338" t="str">
        <f>IFERROR(VLOOKUP(I1104,'Chart of accounts'!A:H,3,FALSE),"")</f>
        <v>PERA - Civilian</v>
      </c>
      <c r="L1104" s="338" t="str">
        <f>IFERROR(VLOOKUP(I1104,'Chart of accounts'!A:H,4,FALSE),"")</f>
        <v>50102010 01 - PERA - Civilian (711)</v>
      </c>
      <c r="M1104" s="361">
        <v>1</v>
      </c>
      <c r="N1104" s="355" t="s">
        <v>10</v>
      </c>
      <c r="O1104" s="355" t="s">
        <v>1384</v>
      </c>
      <c r="P1104" s="355"/>
      <c r="Q1104" s="363">
        <v>10000</v>
      </c>
      <c r="R1104" s="428">
        <f t="shared" si="41"/>
        <v>-10000</v>
      </c>
      <c r="S1104" s="239" t="str">
        <f>VLOOKUP(H1104,'Fund Utilization Report'!$A$4:$U$1800,13,FALSE)</f>
        <v>PS</v>
      </c>
      <c r="T1104" s="239" t="str">
        <f>VLOOKUP(H1104,'Fund Utilization Report'!$A$4:$U$1800,2,FALSE)</f>
        <v>GAA</v>
      </c>
      <c r="U1104" s="239" t="str">
        <f>VLOOKUP(H1104,'Fund Utilization Report'!$A$4:$U$1800,3,FALSE)</f>
        <v>FY2021, RA11518</v>
      </c>
      <c r="V1104" s="239" t="str">
        <f>VLOOKUP(H1104,'Fund Utilization Report'!$A$4:$U$1800,4,FALSE)</f>
        <v>OO3</v>
      </c>
      <c r="W1104" s="239" t="str">
        <f>VLOOKUP(H1104,'Fund Utilization Report'!$A$4:$U$1800,5,FALSE)</f>
        <v>01101101</v>
      </c>
      <c r="X1104" s="239" t="str">
        <f>VLOOKUP(H1104,'Fund Utilization Report'!$A$4:$U$1800,6,FALSE)</f>
        <v>GOP</v>
      </c>
      <c r="Y1104" s="440" t="str">
        <f>VLOOKUP(H1104,'Fund Utilization Report'!$A$4:$U$1800,7,FALSE)</f>
        <v>PS</v>
      </c>
      <c r="Z1104" s="441">
        <f>VLOOKUP(H1104,'Fund Utilization Report'!$A$4:$U$1800,8,FALSE)</f>
        <v>5010000000</v>
      </c>
      <c r="AA1104" s="239" t="str">
        <f>VLOOKUP(H1104,'Fund Utilization Report'!$A$4:$U$1800,14,FALSE)</f>
        <v>330100100002000</v>
      </c>
      <c r="AB1104" s="242" t="str">
        <f>VLOOKUP(H1104,'Fund Utilization Report'!$A$4:$U$1800,15,FALSE)</f>
        <v>Implementation of the MSME Development Plan and other initiatives to promote the growth of Micro, Small and Medium Enterprises</v>
      </c>
      <c r="AC1104" s="51"/>
      <c r="AD1104" s="435"/>
      <c r="AE1104" s="51"/>
      <c r="AF1104" s="51"/>
      <c r="AG1104" s="442"/>
      <c r="AH1104" s="442"/>
      <c r="AI1104" s="443"/>
    </row>
    <row r="1105" spans="1:35" s="32" customFormat="1" ht="27.6">
      <c r="A1105" s="434" t="s">
        <v>942</v>
      </c>
      <c r="B1105" s="457" t="s">
        <v>946</v>
      </c>
      <c r="C1105" s="233">
        <v>44265</v>
      </c>
      <c r="D1105" s="435" t="s">
        <v>1267</v>
      </c>
      <c r="E1105" s="436" t="s">
        <v>1401</v>
      </c>
      <c r="F1105" s="338">
        <v>0.44027777777777777</v>
      </c>
      <c r="G1105" s="338">
        <v>0.44375000000000003</v>
      </c>
      <c r="H1105" s="338" t="s">
        <v>972</v>
      </c>
      <c r="I1105" s="353">
        <v>731</v>
      </c>
      <c r="J1105" s="338" t="str">
        <f>IFERROR(VLOOKUP(I1105,'Chart of accounts'!A:H,2,FALSE),"")</f>
        <v>50103010 00</v>
      </c>
      <c r="K1105" s="338" t="str">
        <f>IFERROR(VLOOKUP(I1105,'Chart of accounts'!A:H,3,FALSE),"")</f>
        <v>Retirement and Life Insurance Premiums</v>
      </c>
      <c r="L1105" s="338" t="str">
        <f>IFERROR(VLOOKUP(I1105,'Chart of accounts'!A:H,4,FALSE),"")</f>
        <v>50103010 00 - Retirement and Life Insurance Premiums (731)</v>
      </c>
      <c r="M1105" s="361">
        <v>1</v>
      </c>
      <c r="N1105" s="355" t="s">
        <v>10</v>
      </c>
      <c r="O1105" s="355" t="s">
        <v>1384</v>
      </c>
      <c r="P1105" s="355"/>
      <c r="Q1105" s="363">
        <v>22844.400000000001</v>
      </c>
      <c r="R1105" s="428">
        <f t="shared" si="41"/>
        <v>-22844.400000000001</v>
      </c>
      <c r="S1105" s="239" t="str">
        <f>VLOOKUP(H1105,'Fund Utilization Report'!$A$4:$U$1800,13,FALSE)</f>
        <v>PS</v>
      </c>
      <c r="T1105" s="239" t="str">
        <f>VLOOKUP(H1105,'Fund Utilization Report'!$A$4:$U$1800,2,FALSE)</f>
        <v>GAA</v>
      </c>
      <c r="U1105" s="239" t="str">
        <f>VLOOKUP(H1105,'Fund Utilization Report'!$A$4:$U$1800,3,FALSE)</f>
        <v>FY2021, RA11518</v>
      </c>
      <c r="V1105" s="239" t="str">
        <f>VLOOKUP(H1105,'Fund Utilization Report'!$A$4:$U$1800,4,FALSE)</f>
        <v>OO3</v>
      </c>
      <c r="W1105" s="239" t="str">
        <f>VLOOKUP(H1105,'Fund Utilization Report'!$A$4:$U$1800,5,FALSE)</f>
        <v>01101101</v>
      </c>
      <c r="X1105" s="239" t="str">
        <f>VLOOKUP(H1105,'Fund Utilization Report'!$A$4:$U$1800,6,FALSE)</f>
        <v>GOP</v>
      </c>
      <c r="Y1105" s="440" t="str">
        <f>VLOOKUP(H1105,'Fund Utilization Report'!$A$4:$U$1800,7,FALSE)</f>
        <v>RLIP</v>
      </c>
      <c r="Z1105" s="441" t="str">
        <f>VLOOKUP(H1105,'Fund Utilization Report'!$A$4:$U$1800,8,FALSE)</f>
        <v>50103010-00</v>
      </c>
      <c r="AA1105" s="239" t="str">
        <f>VLOOKUP(H1105,'Fund Utilization Report'!$A$4:$U$1800,14,FALSE)</f>
        <v>330100100002000</v>
      </c>
      <c r="AB1105" s="242" t="str">
        <f>VLOOKUP(H1105,'Fund Utilization Report'!$A$4:$U$1800,15,FALSE)</f>
        <v>Implementation of the MSME Development Plan and other initiatives to promote the growth of Micro, Small and Medium Enterprises</v>
      </c>
      <c r="AC1105" s="51"/>
      <c r="AD1105" s="435"/>
      <c r="AE1105" s="51"/>
      <c r="AF1105" s="51"/>
      <c r="AG1105" s="442"/>
      <c r="AH1105" s="442"/>
      <c r="AI1105" s="443"/>
    </row>
    <row r="1106" spans="1:35" s="32" customFormat="1" ht="27.6">
      <c r="A1106" s="434" t="s">
        <v>942</v>
      </c>
      <c r="B1106" s="457" t="s">
        <v>946</v>
      </c>
      <c r="C1106" s="233">
        <v>44265</v>
      </c>
      <c r="D1106" s="435" t="s">
        <v>1267</v>
      </c>
      <c r="E1106" s="436" t="s">
        <v>1401</v>
      </c>
      <c r="F1106" s="338">
        <v>0.44027777777777777</v>
      </c>
      <c r="G1106" s="338">
        <v>0.44375000000000003</v>
      </c>
      <c r="H1106" s="338" t="s">
        <v>970</v>
      </c>
      <c r="I1106" s="353">
        <v>732</v>
      </c>
      <c r="J1106" s="338" t="str">
        <f>IFERROR(VLOOKUP(I1106,'Chart of accounts'!A:H,2,FALSE),"")</f>
        <v>50103020 01</v>
      </c>
      <c r="K1106" s="338" t="str">
        <f>IFERROR(VLOOKUP(I1106,'Chart of accounts'!A:H,3,FALSE),"")</f>
        <v>Pag-IBIG - Civilian</v>
      </c>
      <c r="L1106" s="338" t="str">
        <f>IFERROR(VLOOKUP(I1106,'Chart of accounts'!A:H,4,FALSE),"")</f>
        <v>50103020 01 - Pag-IBIG - Civilian (732)</v>
      </c>
      <c r="M1106" s="361">
        <v>1</v>
      </c>
      <c r="N1106" s="355" t="s">
        <v>10</v>
      </c>
      <c r="O1106" s="355" t="s">
        <v>1384</v>
      </c>
      <c r="P1106" s="355"/>
      <c r="Q1106" s="363">
        <v>500</v>
      </c>
      <c r="R1106" s="428">
        <f t="shared" si="41"/>
        <v>-500</v>
      </c>
      <c r="S1106" s="239" t="str">
        <f>VLOOKUP(H1106,'Fund Utilization Report'!$A$4:$U$1800,13,FALSE)</f>
        <v>PS</v>
      </c>
      <c r="T1106" s="239" t="str">
        <f>VLOOKUP(H1106,'Fund Utilization Report'!$A$4:$U$1800,2,FALSE)</f>
        <v>GAA</v>
      </c>
      <c r="U1106" s="239" t="str">
        <f>VLOOKUP(H1106,'Fund Utilization Report'!$A$4:$U$1800,3,FALSE)</f>
        <v>FY2021, RA11518</v>
      </c>
      <c r="V1106" s="239" t="str">
        <f>VLOOKUP(H1106,'Fund Utilization Report'!$A$4:$U$1800,4,FALSE)</f>
        <v>OO3</v>
      </c>
      <c r="W1106" s="239" t="str">
        <f>VLOOKUP(H1106,'Fund Utilization Report'!$A$4:$U$1800,5,FALSE)</f>
        <v>01101101</v>
      </c>
      <c r="X1106" s="239" t="str">
        <f>VLOOKUP(H1106,'Fund Utilization Report'!$A$4:$U$1800,6,FALSE)</f>
        <v>GOP</v>
      </c>
      <c r="Y1106" s="440" t="str">
        <f>VLOOKUP(H1106,'Fund Utilization Report'!$A$4:$U$1800,7,FALSE)</f>
        <v>PS</v>
      </c>
      <c r="Z1106" s="441">
        <f>VLOOKUP(H1106,'Fund Utilization Report'!$A$4:$U$1800,8,FALSE)</f>
        <v>5010000000</v>
      </c>
      <c r="AA1106" s="239" t="str">
        <f>VLOOKUP(H1106,'Fund Utilization Report'!$A$4:$U$1800,14,FALSE)</f>
        <v>330100100002000</v>
      </c>
      <c r="AB1106" s="242" t="str">
        <f>VLOOKUP(H1106,'Fund Utilization Report'!$A$4:$U$1800,15,FALSE)</f>
        <v>Implementation of the MSME Development Plan and other initiatives to promote the growth of Micro, Small and Medium Enterprises</v>
      </c>
      <c r="AC1106" s="51"/>
      <c r="AD1106" s="435"/>
      <c r="AE1106" s="51"/>
      <c r="AF1106" s="51"/>
      <c r="AG1106" s="442"/>
      <c r="AH1106" s="442"/>
      <c r="AI1106" s="443"/>
    </row>
    <row r="1107" spans="1:35" s="32" customFormat="1" ht="27.6">
      <c r="A1107" s="434" t="s">
        <v>942</v>
      </c>
      <c r="B1107" s="457" t="s">
        <v>946</v>
      </c>
      <c r="C1107" s="233">
        <v>44265</v>
      </c>
      <c r="D1107" s="435" t="s">
        <v>1267</v>
      </c>
      <c r="E1107" s="436" t="s">
        <v>1401</v>
      </c>
      <c r="F1107" s="338">
        <v>0.44027777777777777</v>
      </c>
      <c r="G1107" s="338">
        <v>0.44375000000000003</v>
      </c>
      <c r="H1107" s="338" t="s">
        <v>970</v>
      </c>
      <c r="I1107" s="353">
        <v>733</v>
      </c>
      <c r="J1107" s="338" t="str">
        <f>IFERROR(VLOOKUP(I1107,'Chart of accounts'!A:H,2,FALSE),"")</f>
        <v>50103030 01</v>
      </c>
      <c r="K1107" s="338" t="str">
        <f>IFERROR(VLOOKUP(I1107,'Chart of accounts'!A:H,3,FALSE),"")</f>
        <v>PhilHealth - Civilian</v>
      </c>
      <c r="L1107" s="338" t="str">
        <f>IFERROR(VLOOKUP(I1107,'Chart of accounts'!A:H,4,FALSE),"")</f>
        <v>50103030 01 - PhilHealth - Civilian (733)</v>
      </c>
      <c r="M1107" s="361">
        <v>1</v>
      </c>
      <c r="N1107" s="355" t="s">
        <v>10</v>
      </c>
      <c r="O1107" s="355" t="s">
        <v>1384</v>
      </c>
      <c r="P1107" s="355"/>
      <c r="Q1107" s="363">
        <v>2855.56</v>
      </c>
      <c r="R1107" s="428">
        <f t="shared" si="41"/>
        <v>-2855.56</v>
      </c>
      <c r="S1107" s="239" t="str">
        <f>VLOOKUP(H1107,'Fund Utilization Report'!$A$4:$U$1800,13,FALSE)</f>
        <v>PS</v>
      </c>
      <c r="T1107" s="239" t="str">
        <f>VLOOKUP(H1107,'Fund Utilization Report'!$A$4:$U$1800,2,FALSE)</f>
        <v>GAA</v>
      </c>
      <c r="U1107" s="239" t="str">
        <f>VLOOKUP(H1107,'Fund Utilization Report'!$A$4:$U$1800,3,FALSE)</f>
        <v>FY2021, RA11518</v>
      </c>
      <c r="V1107" s="239" t="str">
        <f>VLOOKUP(H1107,'Fund Utilization Report'!$A$4:$U$1800,4,FALSE)</f>
        <v>OO3</v>
      </c>
      <c r="W1107" s="239" t="str">
        <f>VLOOKUP(H1107,'Fund Utilization Report'!$A$4:$U$1800,5,FALSE)</f>
        <v>01101101</v>
      </c>
      <c r="X1107" s="239" t="str">
        <f>VLOOKUP(H1107,'Fund Utilization Report'!$A$4:$U$1800,6,FALSE)</f>
        <v>GOP</v>
      </c>
      <c r="Y1107" s="440" t="str">
        <f>VLOOKUP(H1107,'Fund Utilization Report'!$A$4:$U$1800,7,FALSE)</f>
        <v>PS</v>
      </c>
      <c r="Z1107" s="441">
        <f>VLOOKUP(H1107,'Fund Utilization Report'!$A$4:$U$1800,8,FALSE)</f>
        <v>5010000000</v>
      </c>
      <c r="AA1107" s="239" t="str">
        <f>VLOOKUP(H1107,'Fund Utilization Report'!$A$4:$U$1800,14,FALSE)</f>
        <v>330100100002000</v>
      </c>
      <c r="AB1107" s="242" t="str">
        <f>VLOOKUP(H1107,'Fund Utilization Report'!$A$4:$U$1800,15,FALSE)</f>
        <v>Implementation of the MSME Development Plan and other initiatives to promote the growth of Micro, Small and Medium Enterprises</v>
      </c>
      <c r="AC1107" s="51"/>
      <c r="AD1107" s="435"/>
      <c r="AE1107" s="51"/>
      <c r="AF1107" s="51"/>
      <c r="AG1107" s="442"/>
      <c r="AH1107" s="442"/>
      <c r="AI1107" s="443"/>
    </row>
    <row r="1108" spans="1:35" s="32" customFormat="1" ht="27.6">
      <c r="A1108" s="434" t="s">
        <v>942</v>
      </c>
      <c r="B1108" s="457" t="s">
        <v>946</v>
      </c>
      <c r="C1108" s="233">
        <v>44265</v>
      </c>
      <c r="D1108" s="435" t="s">
        <v>1267</v>
      </c>
      <c r="E1108" s="436" t="s">
        <v>1401</v>
      </c>
      <c r="F1108" s="338">
        <v>0.44027777777777777</v>
      </c>
      <c r="G1108" s="338">
        <v>0.44375000000000003</v>
      </c>
      <c r="H1108" s="338" t="s">
        <v>970</v>
      </c>
      <c r="I1108" s="353">
        <v>734</v>
      </c>
      <c r="J1108" s="338" t="str">
        <f>IFERROR(VLOOKUP(I1108,'Chart of accounts'!A:H,2,FALSE),"")</f>
        <v>50103040 01</v>
      </c>
      <c r="K1108" s="338" t="str">
        <f>IFERROR(VLOOKUP(I1108,'Chart of accounts'!A:H,3,FALSE),"")</f>
        <v>ECIP - Civilian</v>
      </c>
      <c r="L1108" s="338" t="str">
        <f>IFERROR(VLOOKUP(I1108,'Chart of accounts'!A:H,4,FALSE),"")</f>
        <v>50103040 01 - ECIP - Civilian (734)</v>
      </c>
      <c r="M1108" s="361">
        <v>1</v>
      </c>
      <c r="N1108" s="355" t="s">
        <v>10</v>
      </c>
      <c r="O1108" s="355" t="s">
        <v>1384</v>
      </c>
      <c r="P1108" s="355"/>
      <c r="Q1108" s="363">
        <v>500</v>
      </c>
      <c r="R1108" s="428">
        <f t="shared" si="41"/>
        <v>-500</v>
      </c>
      <c r="S1108" s="239" t="str">
        <f>VLOOKUP(H1108,'Fund Utilization Report'!$A$4:$U$1800,13,FALSE)</f>
        <v>PS</v>
      </c>
      <c r="T1108" s="239" t="str">
        <f>VLOOKUP(H1108,'Fund Utilization Report'!$A$4:$U$1800,2,FALSE)</f>
        <v>GAA</v>
      </c>
      <c r="U1108" s="239" t="str">
        <f>VLOOKUP(H1108,'Fund Utilization Report'!$A$4:$U$1800,3,FALSE)</f>
        <v>FY2021, RA11518</v>
      </c>
      <c r="V1108" s="239" t="str">
        <f>VLOOKUP(H1108,'Fund Utilization Report'!$A$4:$U$1800,4,FALSE)</f>
        <v>OO3</v>
      </c>
      <c r="W1108" s="239" t="str">
        <f>VLOOKUP(H1108,'Fund Utilization Report'!$A$4:$U$1800,5,FALSE)</f>
        <v>01101101</v>
      </c>
      <c r="X1108" s="239" t="str">
        <f>VLOOKUP(H1108,'Fund Utilization Report'!$A$4:$U$1800,6,FALSE)</f>
        <v>GOP</v>
      </c>
      <c r="Y1108" s="440" t="str">
        <f>VLOOKUP(H1108,'Fund Utilization Report'!$A$4:$U$1800,7,FALSE)</f>
        <v>PS</v>
      </c>
      <c r="Z1108" s="441">
        <f>VLOOKUP(H1108,'Fund Utilization Report'!$A$4:$U$1800,8,FALSE)</f>
        <v>5010000000</v>
      </c>
      <c r="AA1108" s="239" t="str">
        <f>VLOOKUP(H1108,'Fund Utilization Report'!$A$4:$U$1800,14,FALSE)</f>
        <v>330100100002000</v>
      </c>
      <c r="AB1108" s="242" t="str">
        <f>VLOOKUP(H1108,'Fund Utilization Report'!$A$4:$U$1800,15,FALSE)</f>
        <v>Implementation of the MSME Development Plan and other initiatives to promote the growth of Micro, Small and Medium Enterprises</v>
      </c>
      <c r="AC1108" s="51"/>
      <c r="AD1108" s="435"/>
      <c r="AE1108" s="51"/>
      <c r="AF1108" s="51"/>
      <c r="AG1108" s="442"/>
      <c r="AH1108" s="442"/>
      <c r="AI1108" s="443"/>
    </row>
    <row r="1109" spans="1:35" s="32" customFormat="1" ht="27.6">
      <c r="A1109" s="434" t="s">
        <v>942</v>
      </c>
      <c r="B1109" s="457" t="s">
        <v>946</v>
      </c>
      <c r="C1109" s="233">
        <v>44265</v>
      </c>
      <c r="D1109" s="435" t="s">
        <v>1267</v>
      </c>
      <c r="E1109" s="436" t="s">
        <v>1401</v>
      </c>
      <c r="F1109" s="338">
        <v>0.44027777777777777</v>
      </c>
      <c r="G1109" s="338">
        <v>0.44375000000000003</v>
      </c>
      <c r="H1109" s="338" t="s">
        <v>973</v>
      </c>
      <c r="I1109" s="353">
        <v>701</v>
      </c>
      <c r="J1109" s="338" t="str">
        <f>IFERROR(VLOOKUP(I1109,'Chart of accounts'!A:H,2,FALSE),"")</f>
        <v>50101010 01</v>
      </c>
      <c r="K1109" s="338" t="str">
        <f>IFERROR(VLOOKUP(I1109,'Chart of accounts'!A:H,3,FALSE),"")</f>
        <v>Basic Salary - Civilian</v>
      </c>
      <c r="L1109" s="338" t="str">
        <f>IFERROR(VLOOKUP(I1109,'Chart of accounts'!A:H,4,FALSE),"")</f>
        <v>50101010 01 - Basic Salary - Civilian (701)</v>
      </c>
      <c r="M1109" s="361">
        <v>1</v>
      </c>
      <c r="N1109" s="355" t="s">
        <v>10</v>
      </c>
      <c r="O1109" s="355" t="s">
        <v>1384</v>
      </c>
      <c r="P1109" s="355"/>
      <c r="Q1109" s="363">
        <v>206068</v>
      </c>
      <c r="R1109" s="428">
        <f t="shared" ref="R1109:R1115" si="42">P1109-Q1109</f>
        <v>-206068</v>
      </c>
      <c r="S1109" s="239" t="str">
        <f>VLOOKUP(H1109,'Fund Utilization Report'!$A$4:$U$1800,13,FALSE)</f>
        <v>PS</v>
      </c>
      <c r="T1109" s="239" t="str">
        <f>VLOOKUP(H1109,'Fund Utilization Report'!$A$4:$U$1800,2,FALSE)</f>
        <v>GAA</v>
      </c>
      <c r="U1109" s="239" t="str">
        <f>VLOOKUP(H1109,'Fund Utilization Report'!$A$4:$U$1800,3,FALSE)</f>
        <v>FY2021, RA11518</v>
      </c>
      <c r="V1109" s="239" t="str">
        <f>VLOOKUP(H1109,'Fund Utilization Report'!$A$4:$U$1800,4,FALSE)</f>
        <v>OO4.1(FTL)</v>
      </c>
      <c r="W1109" s="239" t="str">
        <f>VLOOKUP(H1109,'Fund Utilization Report'!$A$4:$U$1800,5,FALSE)</f>
        <v>01101101</v>
      </c>
      <c r="X1109" s="239" t="str">
        <f>VLOOKUP(H1109,'Fund Utilization Report'!$A$4:$U$1800,6,FALSE)</f>
        <v>GOP</v>
      </c>
      <c r="Y1109" s="440" t="str">
        <f>VLOOKUP(H1109,'Fund Utilization Report'!$A$4:$U$1800,7,FALSE)</f>
        <v>PS</v>
      </c>
      <c r="Z1109" s="441">
        <f>VLOOKUP(H1109,'Fund Utilization Report'!$A$4:$U$1800,8,FALSE)</f>
        <v>5010000000</v>
      </c>
      <c r="AA1109" s="239" t="str">
        <f>VLOOKUP(H1109,'Fund Utilization Report'!$A$4:$U$1800,14,FALSE)</f>
        <v>340100100002000</v>
      </c>
      <c r="AB1109" s="242" t="str">
        <f>VLOOKUP(H1109,'Fund Utilization Report'!$A$4:$U$1800,15,FALSE)</f>
        <v>Monitoring and Enforcement of FTL including consumer complaints handling</v>
      </c>
      <c r="AC1109" s="51"/>
      <c r="AD1109" s="435"/>
      <c r="AE1109" s="51"/>
      <c r="AF1109" s="51"/>
      <c r="AG1109" s="442"/>
      <c r="AH1109" s="442"/>
      <c r="AI1109" s="443"/>
    </row>
    <row r="1110" spans="1:35" s="32" customFormat="1" ht="27.6">
      <c r="A1110" s="434" t="s">
        <v>942</v>
      </c>
      <c r="B1110" s="457" t="s">
        <v>946</v>
      </c>
      <c r="C1110" s="233">
        <v>44265</v>
      </c>
      <c r="D1110" s="435" t="s">
        <v>1267</v>
      </c>
      <c r="E1110" s="436" t="s">
        <v>1401</v>
      </c>
      <c r="F1110" s="338">
        <v>0.44027777777777777</v>
      </c>
      <c r="G1110" s="338">
        <v>0.44375000000000003</v>
      </c>
      <c r="H1110" s="338" t="s">
        <v>973</v>
      </c>
      <c r="I1110" s="353">
        <v>711</v>
      </c>
      <c r="J1110" s="338" t="str">
        <f>IFERROR(VLOOKUP(I1110,'Chart of accounts'!A:H,2,FALSE),"")</f>
        <v>50102010 01</v>
      </c>
      <c r="K1110" s="338" t="str">
        <f>IFERROR(VLOOKUP(I1110,'Chart of accounts'!A:H,3,FALSE),"")</f>
        <v>PERA - Civilian</v>
      </c>
      <c r="L1110" s="338" t="str">
        <f>IFERROR(VLOOKUP(I1110,'Chart of accounts'!A:H,4,FALSE),"")</f>
        <v>50102010 01 - PERA - Civilian (711)</v>
      </c>
      <c r="M1110" s="361">
        <v>1</v>
      </c>
      <c r="N1110" s="355" t="s">
        <v>10</v>
      </c>
      <c r="O1110" s="355" t="s">
        <v>1384</v>
      </c>
      <c r="P1110" s="355"/>
      <c r="Q1110" s="363">
        <v>10000</v>
      </c>
      <c r="R1110" s="428">
        <f t="shared" si="42"/>
        <v>-10000</v>
      </c>
      <c r="S1110" s="239" t="str">
        <f>VLOOKUP(H1110,'Fund Utilization Report'!$A$4:$U$1800,13,FALSE)</f>
        <v>PS</v>
      </c>
      <c r="T1110" s="239" t="str">
        <f>VLOOKUP(H1110,'Fund Utilization Report'!$A$4:$U$1800,2,FALSE)</f>
        <v>GAA</v>
      </c>
      <c r="U1110" s="239" t="str">
        <f>VLOOKUP(H1110,'Fund Utilization Report'!$A$4:$U$1800,3,FALSE)</f>
        <v>FY2021, RA11518</v>
      </c>
      <c r="V1110" s="239" t="str">
        <f>VLOOKUP(H1110,'Fund Utilization Report'!$A$4:$U$1800,4,FALSE)</f>
        <v>OO4.1(FTL)</v>
      </c>
      <c r="W1110" s="239" t="str">
        <f>VLOOKUP(H1110,'Fund Utilization Report'!$A$4:$U$1800,5,FALSE)</f>
        <v>01101101</v>
      </c>
      <c r="X1110" s="239" t="str">
        <f>VLOOKUP(H1110,'Fund Utilization Report'!$A$4:$U$1800,6,FALSE)</f>
        <v>GOP</v>
      </c>
      <c r="Y1110" s="440" t="str">
        <f>VLOOKUP(H1110,'Fund Utilization Report'!$A$4:$U$1800,7,FALSE)</f>
        <v>PS</v>
      </c>
      <c r="Z1110" s="441">
        <f>VLOOKUP(H1110,'Fund Utilization Report'!$A$4:$U$1800,8,FALSE)</f>
        <v>5010000000</v>
      </c>
      <c r="AA1110" s="239" t="str">
        <f>VLOOKUP(H1110,'Fund Utilization Report'!$A$4:$U$1800,14,FALSE)</f>
        <v>340100100002000</v>
      </c>
      <c r="AB1110" s="242" t="str">
        <f>VLOOKUP(H1110,'Fund Utilization Report'!$A$4:$U$1800,15,FALSE)</f>
        <v>Monitoring and Enforcement of FTL including consumer complaints handling</v>
      </c>
      <c r="AC1110" s="51"/>
      <c r="AD1110" s="435"/>
      <c r="AE1110" s="51"/>
      <c r="AF1110" s="51"/>
      <c r="AG1110" s="442"/>
      <c r="AH1110" s="442"/>
      <c r="AI1110" s="443"/>
    </row>
    <row r="1111" spans="1:35" s="32" customFormat="1" ht="27.6">
      <c r="A1111" s="434" t="s">
        <v>942</v>
      </c>
      <c r="B1111" s="457" t="s">
        <v>946</v>
      </c>
      <c r="C1111" s="233">
        <v>44265</v>
      </c>
      <c r="D1111" s="435" t="s">
        <v>1267</v>
      </c>
      <c r="E1111" s="436" t="s">
        <v>1401</v>
      </c>
      <c r="F1111" s="338">
        <v>0.44027777777777777</v>
      </c>
      <c r="G1111" s="338">
        <v>0.44375000000000003</v>
      </c>
      <c r="H1111" s="338" t="s">
        <v>975</v>
      </c>
      <c r="I1111" s="353">
        <v>731</v>
      </c>
      <c r="J1111" s="338" t="str">
        <f>IFERROR(VLOOKUP(I1111,'Chart of accounts'!A:H,2,FALSE),"")</f>
        <v>50103010 00</v>
      </c>
      <c r="K1111" s="338" t="str">
        <f>IFERROR(VLOOKUP(I1111,'Chart of accounts'!A:H,3,FALSE),"")</f>
        <v>Retirement and Life Insurance Premiums</v>
      </c>
      <c r="L1111" s="338" t="str">
        <f>IFERROR(VLOOKUP(I1111,'Chart of accounts'!A:H,4,FALSE),"")</f>
        <v>50103010 00 - Retirement and Life Insurance Premiums (731)</v>
      </c>
      <c r="M1111" s="361">
        <v>1</v>
      </c>
      <c r="N1111" s="355" t="s">
        <v>10</v>
      </c>
      <c r="O1111" s="355" t="s">
        <v>1384</v>
      </c>
      <c r="P1111" s="355"/>
      <c r="Q1111" s="363">
        <v>24728.16</v>
      </c>
      <c r="R1111" s="428">
        <f t="shared" si="42"/>
        <v>-24728.16</v>
      </c>
      <c r="S1111" s="239" t="str">
        <f>VLOOKUP(H1111,'Fund Utilization Report'!$A$4:$U$1800,13,FALSE)</f>
        <v>PS</v>
      </c>
      <c r="T1111" s="239" t="str">
        <f>VLOOKUP(H1111,'Fund Utilization Report'!$A$4:$U$1800,2,FALSE)</f>
        <v>GAA</v>
      </c>
      <c r="U1111" s="239" t="str">
        <f>VLOOKUP(H1111,'Fund Utilization Report'!$A$4:$U$1800,3,FALSE)</f>
        <v>FY2021, RA11518</v>
      </c>
      <c r="V1111" s="239" t="str">
        <f>VLOOKUP(H1111,'Fund Utilization Report'!$A$4:$U$1800,4,FALSE)</f>
        <v>OO4.1(FTL)</v>
      </c>
      <c r="W1111" s="239" t="str">
        <f>VLOOKUP(H1111,'Fund Utilization Report'!$A$4:$U$1800,5,FALSE)</f>
        <v>01101101</v>
      </c>
      <c r="X1111" s="239" t="str">
        <f>VLOOKUP(H1111,'Fund Utilization Report'!$A$4:$U$1800,6,FALSE)</f>
        <v>GOP</v>
      </c>
      <c r="Y1111" s="440" t="str">
        <f>VLOOKUP(H1111,'Fund Utilization Report'!$A$4:$U$1800,7,FALSE)</f>
        <v>RLIP</v>
      </c>
      <c r="Z1111" s="441" t="str">
        <f>VLOOKUP(H1111,'Fund Utilization Report'!$A$4:$U$1800,8,FALSE)</f>
        <v>50103010-00</v>
      </c>
      <c r="AA1111" s="239" t="str">
        <f>VLOOKUP(H1111,'Fund Utilization Report'!$A$4:$U$1800,14,FALSE)</f>
        <v>340100100002000</v>
      </c>
      <c r="AB1111" s="242" t="str">
        <f>VLOOKUP(H1111,'Fund Utilization Report'!$A$4:$U$1800,15,FALSE)</f>
        <v>Monitoring and Enforcement of FTL including consumer complaints handling</v>
      </c>
      <c r="AC1111" s="51"/>
      <c r="AD1111" s="435"/>
      <c r="AE1111" s="51"/>
      <c r="AF1111" s="51"/>
      <c r="AG1111" s="442"/>
      <c r="AH1111" s="442"/>
      <c r="AI1111" s="443"/>
    </row>
    <row r="1112" spans="1:35" s="32" customFormat="1" ht="27.6">
      <c r="A1112" s="434" t="s">
        <v>942</v>
      </c>
      <c r="B1112" s="457" t="s">
        <v>946</v>
      </c>
      <c r="C1112" s="233">
        <v>44265</v>
      </c>
      <c r="D1112" s="435" t="s">
        <v>1267</v>
      </c>
      <c r="E1112" s="436" t="s">
        <v>1401</v>
      </c>
      <c r="F1112" s="338">
        <v>0.44027777777777777</v>
      </c>
      <c r="G1112" s="338">
        <v>0.44375000000000003</v>
      </c>
      <c r="H1112" s="338" t="s">
        <v>973</v>
      </c>
      <c r="I1112" s="353">
        <v>732</v>
      </c>
      <c r="J1112" s="338" t="str">
        <f>IFERROR(VLOOKUP(I1112,'Chart of accounts'!A:H,2,FALSE),"")</f>
        <v>50103020 01</v>
      </c>
      <c r="K1112" s="338" t="str">
        <f>IFERROR(VLOOKUP(I1112,'Chart of accounts'!A:H,3,FALSE),"")</f>
        <v>Pag-IBIG - Civilian</v>
      </c>
      <c r="L1112" s="338" t="str">
        <f>IFERROR(VLOOKUP(I1112,'Chart of accounts'!A:H,4,FALSE),"")</f>
        <v>50103020 01 - Pag-IBIG - Civilian (732)</v>
      </c>
      <c r="M1112" s="361">
        <v>1</v>
      </c>
      <c r="N1112" s="355" t="s">
        <v>10</v>
      </c>
      <c r="O1112" s="355" t="s">
        <v>1384</v>
      </c>
      <c r="P1112" s="355"/>
      <c r="Q1112" s="363">
        <v>500</v>
      </c>
      <c r="R1112" s="428">
        <f t="shared" si="42"/>
        <v>-500</v>
      </c>
      <c r="S1112" s="239" t="str">
        <f>VLOOKUP(H1112,'Fund Utilization Report'!$A$4:$U$1800,13,FALSE)</f>
        <v>PS</v>
      </c>
      <c r="T1112" s="239" t="str">
        <f>VLOOKUP(H1112,'Fund Utilization Report'!$A$4:$U$1800,2,FALSE)</f>
        <v>GAA</v>
      </c>
      <c r="U1112" s="239" t="str">
        <f>VLOOKUP(H1112,'Fund Utilization Report'!$A$4:$U$1800,3,FALSE)</f>
        <v>FY2021, RA11518</v>
      </c>
      <c r="V1112" s="239" t="str">
        <f>VLOOKUP(H1112,'Fund Utilization Report'!$A$4:$U$1800,4,FALSE)</f>
        <v>OO4.1(FTL)</v>
      </c>
      <c r="W1112" s="239" t="str">
        <f>VLOOKUP(H1112,'Fund Utilization Report'!$A$4:$U$1800,5,FALSE)</f>
        <v>01101101</v>
      </c>
      <c r="X1112" s="239" t="str">
        <f>VLOOKUP(H1112,'Fund Utilization Report'!$A$4:$U$1800,6,FALSE)</f>
        <v>GOP</v>
      </c>
      <c r="Y1112" s="440" t="str">
        <f>VLOOKUP(H1112,'Fund Utilization Report'!$A$4:$U$1800,7,FALSE)</f>
        <v>PS</v>
      </c>
      <c r="Z1112" s="441">
        <f>VLOOKUP(H1112,'Fund Utilization Report'!$A$4:$U$1800,8,FALSE)</f>
        <v>5010000000</v>
      </c>
      <c r="AA1112" s="239" t="str">
        <f>VLOOKUP(H1112,'Fund Utilization Report'!$A$4:$U$1800,14,FALSE)</f>
        <v>340100100002000</v>
      </c>
      <c r="AB1112" s="242" t="str">
        <f>VLOOKUP(H1112,'Fund Utilization Report'!$A$4:$U$1800,15,FALSE)</f>
        <v>Monitoring and Enforcement of FTL including consumer complaints handling</v>
      </c>
      <c r="AC1112" s="51"/>
      <c r="AD1112" s="435"/>
      <c r="AE1112" s="51"/>
      <c r="AF1112" s="51"/>
      <c r="AG1112" s="442"/>
      <c r="AH1112" s="442"/>
      <c r="AI1112" s="443"/>
    </row>
    <row r="1113" spans="1:35" s="32" customFormat="1" ht="27.6">
      <c r="A1113" s="434" t="s">
        <v>942</v>
      </c>
      <c r="B1113" s="457" t="s">
        <v>946</v>
      </c>
      <c r="C1113" s="233">
        <v>44265</v>
      </c>
      <c r="D1113" s="435" t="s">
        <v>1267</v>
      </c>
      <c r="E1113" s="436" t="s">
        <v>1401</v>
      </c>
      <c r="F1113" s="338">
        <v>0.44027777777777777</v>
      </c>
      <c r="G1113" s="338">
        <v>0.44375000000000003</v>
      </c>
      <c r="H1113" s="338" t="s">
        <v>973</v>
      </c>
      <c r="I1113" s="353">
        <v>733</v>
      </c>
      <c r="J1113" s="338" t="str">
        <f>IFERROR(VLOOKUP(I1113,'Chart of accounts'!A:H,2,FALSE),"")</f>
        <v>50103030 01</v>
      </c>
      <c r="K1113" s="338" t="str">
        <f>IFERROR(VLOOKUP(I1113,'Chart of accounts'!A:H,3,FALSE),"")</f>
        <v>PhilHealth - Civilian</v>
      </c>
      <c r="L1113" s="338" t="str">
        <f>IFERROR(VLOOKUP(I1113,'Chart of accounts'!A:H,4,FALSE),"")</f>
        <v>50103030 01 - PhilHealth - Civilian (733)</v>
      </c>
      <c r="M1113" s="361">
        <v>1</v>
      </c>
      <c r="N1113" s="355" t="s">
        <v>10</v>
      </c>
      <c r="O1113" s="355" t="s">
        <v>1384</v>
      </c>
      <c r="P1113" s="355"/>
      <c r="Q1113" s="363">
        <v>3077.52</v>
      </c>
      <c r="R1113" s="428">
        <f t="shared" si="42"/>
        <v>-3077.52</v>
      </c>
      <c r="S1113" s="239" t="str">
        <f>VLOOKUP(H1113,'Fund Utilization Report'!$A$4:$U$1800,13,FALSE)</f>
        <v>PS</v>
      </c>
      <c r="T1113" s="239" t="str">
        <f>VLOOKUP(H1113,'Fund Utilization Report'!$A$4:$U$1800,2,FALSE)</f>
        <v>GAA</v>
      </c>
      <c r="U1113" s="239" t="str">
        <f>VLOOKUP(H1113,'Fund Utilization Report'!$A$4:$U$1800,3,FALSE)</f>
        <v>FY2021, RA11518</v>
      </c>
      <c r="V1113" s="239" t="str">
        <f>VLOOKUP(H1113,'Fund Utilization Report'!$A$4:$U$1800,4,FALSE)</f>
        <v>OO4.1(FTL)</v>
      </c>
      <c r="W1113" s="239" t="str">
        <f>VLOOKUP(H1113,'Fund Utilization Report'!$A$4:$U$1800,5,FALSE)</f>
        <v>01101101</v>
      </c>
      <c r="X1113" s="239" t="str">
        <f>VLOOKUP(H1113,'Fund Utilization Report'!$A$4:$U$1800,6,FALSE)</f>
        <v>GOP</v>
      </c>
      <c r="Y1113" s="440" t="str">
        <f>VLOOKUP(H1113,'Fund Utilization Report'!$A$4:$U$1800,7,FALSE)</f>
        <v>PS</v>
      </c>
      <c r="Z1113" s="441">
        <f>VLOOKUP(H1113,'Fund Utilization Report'!$A$4:$U$1800,8,FALSE)</f>
        <v>5010000000</v>
      </c>
      <c r="AA1113" s="239" t="str">
        <f>VLOOKUP(H1113,'Fund Utilization Report'!$A$4:$U$1800,14,FALSE)</f>
        <v>340100100002000</v>
      </c>
      <c r="AB1113" s="242" t="str">
        <f>VLOOKUP(H1113,'Fund Utilization Report'!$A$4:$U$1800,15,FALSE)</f>
        <v>Monitoring and Enforcement of FTL including consumer complaints handling</v>
      </c>
      <c r="AC1113" s="51"/>
      <c r="AD1113" s="435"/>
      <c r="AE1113" s="51"/>
      <c r="AF1113" s="51"/>
      <c r="AG1113" s="442"/>
      <c r="AH1113" s="442"/>
      <c r="AI1113" s="443"/>
    </row>
    <row r="1114" spans="1:35" s="32" customFormat="1" ht="27.6">
      <c r="A1114" s="434" t="s">
        <v>942</v>
      </c>
      <c r="B1114" s="457" t="s">
        <v>946</v>
      </c>
      <c r="C1114" s="233">
        <v>44265</v>
      </c>
      <c r="D1114" s="435" t="s">
        <v>1267</v>
      </c>
      <c r="E1114" s="436" t="s">
        <v>1401</v>
      </c>
      <c r="F1114" s="338">
        <v>0.44027777777777777</v>
      </c>
      <c r="G1114" s="338">
        <v>0.44375000000000003</v>
      </c>
      <c r="H1114" s="338" t="s">
        <v>973</v>
      </c>
      <c r="I1114" s="353">
        <v>734</v>
      </c>
      <c r="J1114" s="338" t="str">
        <f>IFERROR(VLOOKUP(I1114,'Chart of accounts'!A:H,2,FALSE),"")</f>
        <v>50103040 01</v>
      </c>
      <c r="K1114" s="338" t="str">
        <f>IFERROR(VLOOKUP(I1114,'Chart of accounts'!A:H,3,FALSE),"")</f>
        <v>ECIP - Civilian</v>
      </c>
      <c r="L1114" s="338" t="str">
        <f>IFERROR(VLOOKUP(I1114,'Chart of accounts'!A:H,4,FALSE),"")</f>
        <v>50103040 01 - ECIP - Civilian (734)</v>
      </c>
      <c r="M1114" s="361">
        <v>1</v>
      </c>
      <c r="N1114" s="355" t="s">
        <v>10</v>
      </c>
      <c r="O1114" s="355" t="s">
        <v>1384</v>
      </c>
      <c r="P1114" s="355"/>
      <c r="Q1114" s="363">
        <v>500</v>
      </c>
      <c r="R1114" s="428">
        <f t="shared" si="42"/>
        <v>-500</v>
      </c>
      <c r="S1114" s="239" t="str">
        <f>VLOOKUP(H1114,'Fund Utilization Report'!$A$4:$U$1800,13,FALSE)</f>
        <v>PS</v>
      </c>
      <c r="T1114" s="239" t="str">
        <f>VLOOKUP(H1114,'Fund Utilization Report'!$A$4:$U$1800,2,FALSE)</f>
        <v>GAA</v>
      </c>
      <c r="U1114" s="239" t="str">
        <f>VLOOKUP(H1114,'Fund Utilization Report'!$A$4:$U$1800,3,FALSE)</f>
        <v>FY2021, RA11518</v>
      </c>
      <c r="V1114" s="239" t="str">
        <f>VLOOKUP(H1114,'Fund Utilization Report'!$A$4:$U$1800,4,FALSE)</f>
        <v>OO4.1(FTL)</v>
      </c>
      <c r="W1114" s="239" t="str">
        <f>VLOOKUP(H1114,'Fund Utilization Report'!$A$4:$U$1800,5,FALSE)</f>
        <v>01101101</v>
      </c>
      <c r="X1114" s="239" t="str">
        <f>VLOOKUP(H1114,'Fund Utilization Report'!$A$4:$U$1800,6,FALSE)</f>
        <v>GOP</v>
      </c>
      <c r="Y1114" s="440" t="str">
        <f>VLOOKUP(H1114,'Fund Utilization Report'!$A$4:$U$1800,7,FALSE)</f>
        <v>PS</v>
      </c>
      <c r="Z1114" s="441">
        <f>VLOOKUP(H1114,'Fund Utilization Report'!$A$4:$U$1800,8,FALSE)</f>
        <v>5010000000</v>
      </c>
      <c r="AA1114" s="239" t="str">
        <f>VLOOKUP(H1114,'Fund Utilization Report'!$A$4:$U$1800,14,FALSE)</f>
        <v>340100100002000</v>
      </c>
      <c r="AB1114" s="242" t="str">
        <f>VLOOKUP(H1114,'Fund Utilization Report'!$A$4:$U$1800,15,FALSE)</f>
        <v>Monitoring and Enforcement of FTL including consumer complaints handling</v>
      </c>
      <c r="AC1114" s="51"/>
      <c r="AD1114" s="435"/>
      <c r="AE1114" s="51"/>
      <c r="AF1114" s="51"/>
      <c r="AG1114" s="442"/>
      <c r="AH1114" s="442"/>
      <c r="AI1114" s="443"/>
    </row>
    <row r="1115" spans="1:35" s="32" customFormat="1" ht="27.6">
      <c r="A1115" s="434" t="s">
        <v>942</v>
      </c>
      <c r="B1115" s="457" t="s">
        <v>946</v>
      </c>
      <c r="C1115" s="233">
        <v>44265</v>
      </c>
      <c r="D1115" s="435" t="s">
        <v>1267</v>
      </c>
      <c r="E1115" s="436" t="s">
        <v>1402</v>
      </c>
      <c r="F1115" s="338">
        <v>0.44375000000000003</v>
      </c>
      <c r="G1115" s="338">
        <v>0.44513888888888892</v>
      </c>
      <c r="H1115" s="338" t="s">
        <v>960</v>
      </c>
      <c r="I1115" s="353">
        <v>701</v>
      </c>
      <c r="J1115" s="338" t="str">
        <f>IFERROR(VLOOKUP(I1115,'Chart of accounts'!A:H,2,FALSE),"")</f>
        <v>50101010 01</v>
      </c>
      <c r="K1115" s="338" t="str">
        <f>IFERROR(VLOOKUP(I1115,'Chart of accounts'!A:H,3,FALSE),"")</f>
        <v>Basic Salary - Civilian</v>
      </c>
      <c r="L1115" s="338" t="str">
        <f>IFERROR(VLOOKUP(I1115,'Chart of accounts'!A:H,4,FALSE),"")</f>
        <v>50101010 01 - Basic Salary - Civilian (701)</v>
      </c>
      <c r="M1115" s="361">
        <v>68</v>
      </c>
      <c r="N1115" s="355" t="s">
        <v>764</v>
      </c>
      <c r="O1115" s="355" t="s">
        <v>1384</v>
      </c>
      <c r="P1115" s="355"/>
      <c r="Q1115" s="363">
        <v>99206</v>
      </c>
      <c r="R1115" s="428">
        <f t="shared" si="42"/>
        <v>-99206</v>
      </c>
      <c r="S1115" s="239" t="str">
        <f>VLOOKUP(H1115,'Fund Utilization Report'!$A$4:$U$1800,13,FALSE)</f>
        <v>PS</v>
      </c>
      <c r="T1115" s="239" t="str">
        <f>VLOOKUP(H1115,'Fund Utilization Report'!$A$4:$U$1800,2,FALSE)</f>
        <v>GAA</v>
      </c>
      <c r="U1115" s="239" t="str">
        <f>VLOOKUP(H1115,'Fund Utilization Report'!$A$4:$U$1800,3,FALSE)</f>
        <v>FY2021, RA11518</v>
      </c>
      <c r="V1115" s="239" t="str">
        <f>VLOOKUP(H1115,'Fund Utilization Report'!$A$4:$U$1800,4,FALSE)</f>
        <v>GAS(GMS)</v>
      </c>
      <c r="W1115" s="239" t="str">
        <f>VLOOKUP(H1115,'Fund Utilization Report'!$A$4:$U$1800,5,FALSE)</f>
        <v>01101101</v>
      </c>
      <c r="X1115" s="239" t="str">
        <f>VLOOKUP(H1115,'Fund Utilization Report'!$A$4:$U$1800,6,FALSE)</f>
        <v>GOP</v>
      </c>
      <c r="Y1115" s="440" t="str">
        <f>VLOOKUP(H1115,'Fund Utilization Report'!$A$4:$U$1800,7,FALSE)</f>
        <v>PS</v>
      </c>
      <c r="Z1115" s="441">
        <f>VLOOKUP(H1115,'Fund Utilization Report'!$A$4:$U$1800,8,FALSE)</f>
        <v>5010000000</v>
      </c>
      <c r="AA1115" s="239" t="str">
        <f>VLOOKUP(H1115,'Fund Utilization Report'!$A$4:$U$1800,14,FALSE)</f>
        <v>100000100001000</v>
      </c>
      <c r="AB1115" s="242" t="str">
        <f>VLOOKUP(H1115,'Fund Utilization Report'!$A$4:$U$1800,15,FALSE)</f>
        <v>General Administration and Supervision - General Management and Supervision</v>
      </c>
      <c r="AC1115" s="51"/>
      <c r="AD1115" s="435"/>
      <c r="AE1115" s="51"/>
      <c r="AF1115" s="51"/>
      <c r="AG1115" s="442"/>
      <c r="AH1115" s="442"/>
      <c r="AI1115" s="443"/>
    </row>
    <row r="1116" spans="1:35" s="32" customFormat="1" ht="27.6">
      <c r="A1116" s="434" t="s">
        <v>942</v>
      </c>
      <c r="B1116" s="457" t="s">
        <v>946</v>
      </c>
      <c r="C1116" s="233">
        <v>44265</v>
      </c>
      <c r="D1116" s="435" t="s">
        <v>1267</v>
      </c>
      <c r="E1116" s="436" t="s">
        <v>1402</v>
      </c>
      <c r="F1116" s="338">
        <v>0.44375000000000003</v>
      </c>
      <c r="G1116" s="338">
        <v>0.44513888888888892</v>
      </c>
      <c r="H1116" s="338" t="s">
        <v>960</v>
      </c>
      <c r="I1116" s="353">
        <v>711</v>
      </c>
      <c r="J1116" s="338" t="str">
        <f>IFERROR(VLOOKUP(I1116,'Chart of accounts'!A:H,2,FALSE),"")</f>
        <v>50102010 01</v>
      </c>
      <c r="K1116" s="338" t="str">
        <f>IFERROR(VLOOKUP(I1116,'Chart of accounts'!A:H,3,FALSE),"")</f>
        <v>PERA - Civilian</v>
      </c>
      <c r="L1116" s="338" t="str">
        <f>IFERROR(VLOOKUP(I1116,'Chart of accounts'!A:H,4,FALSE),"")</f>
        <v>50102010 01 - PERA - Civilian (711)</v>
      </c>
      <c r="M1116" s="361">
        <v>68</v>
      </c>
      <c r="N1116" s="355" t="s">
        <v>764</v>
      </c>
      <c r="O1116" s="355" t="s">
        <v>1384</v>
      </c>
      <c r="P1116" s="355"/>
      <c r="Q1116" s="363">
        <v>8000</v>
      </c>
      <c r="R1116" s="428">
        <f t="shared" ref="R1116:R1147" si="43">P1116-Q1116</f>
        <v>-8000</v>
      </c>
      <c r="S1116" s="239" t="str">
        <f>VLOOKUP(H1116,'Fund Utilization Report'!$A$4:$U$1800,13,FALSE)</f>
        <v>PS</v>
      </c>
      <c r="T1116" s="239" t="str">
        <f>VLOOKUP(H1116,'Fund Utilization Report'!$A$4:$U$1800,2,FALSE)</f>
        <v>GAA</v>
      </c>
      <c r="U1116" s="239" t="str">
        <f>VLOOKUP(H1116,'Fund Utilization Report'!$A$4:$U$1800,3,FALSE)</f>
        <v>FY2021, RA11518</v>
      </c>
      <c r="V1116" s="239" t="str">
        <f>VLOOKUP(H1116,'Fund Utilization Report'!$A$4:$U$1800,4,FALSE)</f>
        <v>GAS(GMS)</v>
      </c>
      <c r="W1116" s="239" t="str">
        <f>VLOOKUP(H1116,'Fund Utilization Report'!$A$4:$U$1800,5,FALSE)</f>
        <v>01101101</v>
      </c>
      <c r="X1116" s="239" t="str">
        <f>VLOOKUP(H1116,'Fund Utilization Report'!$A$4:$U$1800,6,FALSE)</f>
        <v>GOP</v>
      </c>
      <c r="Y1116" s="440" t="str">
        <f>VLOOKUP(H1116,'Fund Utilization Report'!$A$4:$U$1800,7,FALSE)</f>
        <v>PS</v>
      </c>
      <c r="Z1116" s="441">
        <f>VLOOKUP(H1116,'Fund Utilization Report'!$A$4:$U$1800,8,FALSE)</f>
        <v>5010000000</v>
      </c>
      <c r="AA1116" s="239" t="str">
        <f>VLOOKUP(H1116,'Fund Utilization Report'!$A$4:$U$1800,14,FALSE)</f>
        <v>100000100001000</v>
      </c>
      <c r="AB1116" s="242" t="str">
        <f>VLOOKUP(H1116,'Fund Utilization Report'!$A$4:$U$1800,15,FALSE)</f>
        <v>General Administration and Supervision - General Management and Supervision</v>
      </c>
      <c r="AC1116" s="51"/>
      <c r="AD1116" s="435"/>
      <c r="AE1116" s="51"/>
      <c r="AF1116" s="51"/>
      <c r="AG1116" s="442"/>
      <c r="AH1116" s="442"/>
      <c r="AI1116" s="443"/>
    </row>
    <row r="1117" spans="1:35" s="32" customFormat="1" ht="27.6">
      <c r="A1117" s="434" t="s">
        <v>942</v>
      </c>
      <c r="B1117" s="457" t="s">
        <v>946</v>
      </c>
      <c r="C1117" s="233">
        <v>44265</v>
      </c>
      <c r="D1117" s="435" t="s">
        <v>1267</v>
      </c>
      <c r="E1117" s="436" t="s">
        <v>1402</v>
      </c>
      <c r="F1117" s="338">
        <v>0.44375000000000003</v>
      </c>
      <c r="G1117" s="338">
        <v>0.44513888888888892</v>
      </c>
      <c r="H1117" s="338" t="s">
        <v>962</v>
      </c>
      <c r="I1117" s="353">
        <v>731</v>
      </c>
      <c r="J1117" s="338" t="str">
        <f>IFERROR(VLOOKUP(I1117,'Chart of accounts'!A:H,2,FALSE),"")</f>
        <v>50103010 00</v>
      </c>
      <c r="K1117" s="338" t="str">
        <f>IFERROR(VLOOKUP(I1117,'Chart of accounts'!A:H,3,FALSE),"")</f>
        <v>Retirement and Life Insurance Premiums</v>
      </c>
      <c r="L1117" s="338" t="str">
        <f>IFERROR(VLOOKUP(I1117,'Chart of accounts'!A:H,4,FALSE),"")</f>
        <v>50103010 00 - Retirement and Life Insurance Premiums (731)</v>
      </c>
      <c r="M1117" s="361">
        <v>68</v>
      </c>
      <c r="N1117" s="355" t="s">
        <v>764</v>
      </c>
      <c r="O1117" s="355" t="s">
        <v>1384</v>
      </c>
      <c r="P1117" s="355"/>
      <c r="Q1117" s="363">
        <v>11904.72</v>
      </c>
      <c r="R1117" s="428">
        <f t="shared" si="43"/>
        <v>-11904.72</v>
      </c>
      <c r="S1117" s="239" t="str">
        <f>VLOOKUP(H1117,'Fund Utilization Report'!$A$4:$U$1800,13,FALSE)</f>
        <v>PS</v>
      </c>
      <c r="T1117" s="239" t="str">
        <f>VLOOKUP(H1117,'Fund Utilization Report'!$A$4:$U$1800,2,FALSE)</f>
        <v>GAA</v>
      </c>
      <c r="U1117" s="239" t="str">
        <f>VLOOKUP(H1117,'Fund Utilization Report'!$A$4:$U$1800,3,FALSE)</f>
        <v>FY2021, RA11518</v>
      </c>
      <c r="V1117" s="239" t="str">
        <f>VLOOKUP(H1117,'Fund Utilization Report'!$A$4:$U$1800,4,FALSE)</f>
        <v>GAS(GMS)</v>
      </c>
      <c r="W1117" s="239" t="str">
        <f>VLOOKUP(H1117,'Fund Utilization Report'!$A$4:$U$1800,5,FALSE)</f>
        <v>01101101</v>
      </c>
      <c r="X1117" s="239" t="str">
        <f>VLOOKUP(H1117,'Fund Utilization Report'!$A$4:$U$1800,6,FALSE)</f>
        <v>GOP</v>
      </c>
      <c r="Y1117" s="440" t="str">
        <f>VLOOKUP(H1117,'Fund Utilization Report'!$A$4:$U$1800,7,FALSE)</f>
        <v>RLIP</v>
      </c>
      <c r="Z1117" s="441" t="str">
        <f>VLOOKUP(H1117,'Fund Utilization Report'!$A$4:$U$1800,8,FALSE)</f>
        <v>50103010-00</v>
      </c>
      <c r="AA1117" s="239" t="str">
        <f>VLOOKUP(H1117,'Fund Utilization Report'!$A$4:$U$1800,14,FALSE)</f>
        <v>100000100001000</v>
      </c>
      <c r="AB1117" s="242" t="str">
        <f>VLOOKUP(H1117,'Fund Utilization Report'!$A$4:$U$1800,15,FALSE)</f>
        <v>General Administration and Supervision - General Management and Supervision</v>
      </c>
      <c r="AC1117" s="51"/>
      <c r="AD1117" s="435"/>
      <c r="AE1117" s="51"/>
      <c r="AF1117" s="51"/>
      <c r="AG1117" s="442"/>
      <c r="AH1117" s="442"/>
      <c r="AI1117" s="443"/>
    </row>
    <row r="1118" spans="1:35" s="32" customFormat="1" ht="27.6">
      <c r="A1118" s="434" t="s">
        <v>942</v>
      </c>
      <c r="B1118" s="457" t="s">
        <v>946</v>
      </c>
      <c r="C1118" s="233">
        <v>44265</v>
      </c>
      <c r="D1118" s="435" t="s">
        <v>1267</v>
      </c>
      <c r="E1118" s="436" t="s">
        <v>1402</v>
      </c>
      <c r="F1118" s="338">
        <v>0.44375000000000003</v>
      </c>
      <c r="G1118" s="338">
        <v>0.44513888888888892</v>
      </c>
      <c r="H1118" s="338" t="s">
        <v>960</v>
      </c>
      <c r="I1118" s="353">
        <v>732</v>
      </c>
      <c r="J1118" s="338" t="str">
        <f>IFERROR(VLOOKUP(I1118,'Chart of accounts'!A:H,2,FALSE),"")</f>
        <v>50103020 01</v>
      </c>
      <c r="K1118" s="338" t="str">
        <f>IFERROR(VLOOKUP(I1118,'Chart of accounts'!A:H,3,FALSE),"")</f>
        <v>Pag-IBIG - Civilian</v>
      </c>
      <c r="L1118" s="338" t="str">
        <f>IFERROR(VLOOKUP(I1118,'Chart of accounts'!A:H,4,FALSE),"")</f>
        <v>50103020 01 - Pag-IBIG - Civilian (732)</v>
      </c>
      <c r="M1118" s="361">
        <v>68</v>
      </c>
      <c r="N1118" s="355" t="s">
        <v>764</v>
      </c>
      <c r="O1118" s="355" t="s">
        <v>1384</v>
      </c>
      <c r="P1118" s="355"/>
      <c r="Q1118" s="363">
        <v>400</v>
      </c>
      <c r="R1118" s="428">
        <f t="shared" si="43"/>
        <v>-400</v>
      </c>
      <c r="S1118" s="239" t="str">
        <f>VLOOKUP(H1118,'Fund Utilization Report'!$A$4:$U$1800,13,FALSE)</f>
        <v>PS</v>
      </c>
      <c r="T1118" s="239" t="str">
        <f>VLOOKUP(H1118,'Fund Utilization Report'!$A$4:$U$1800,2,FALSE)</f>
        <v>GAA</v>
      </c>
      <c r="U1118" s="239" t="str">
        <f>VLOOKUP(H1118,'Fund Utilization Report'!$A$4:$U$1800,3,FALSE)</f>
        <v>FY2021, RA11518</v>
      </c>
      <c r="V1118" s="239" t="str">
        <f>VLOOKUP(H1118,'Fund Utilization Report'!$A$4:$U$1800,4,FALSE)</f>
        <v>GAS(GMS)</v>
      </c>
      <c r="W1118" s="239" t="str">
        <f>VLOOKUP(H1118,'Fund Utilization Report'!$A$4:$U$1800,5,FALSE)</f>
        <v>01101101</v>
      </c>
      <c r="X1118" s="239" t="str">
        <f>VLOOKUP(H1118,'Fund Utilization Report'!$A$4:$U$1800,6,FALSE)</f>
        <v>GOP</v>
      </c>
      <c r="Y1118" s="440" t="str">
        <f>VLOOKUP(H1118,'Fund Utilization Report'!$A$4:$U$1800,7,FALSE)</f>
        <v>PS</v>
      </c>
      <c r="Z1118" s="441">
        <f>VLOOKUP(H1118,'Fund Utilization Report'!$A$4:$U$1800,8,FALSE)</f>
        <v>5010000000</v>
      </c>
      <c r="AA1118" s="239" t="str">
        <f>VLOOKUP(H1118,'Fund Utilization Report'!$A$4:$U$1800,14,FALSE)</f>
        <v>100000100001000</v>
      </c>
      <c r="AB1118" s="242" t="str">
        <f>VLOOKUP(H1118,'Fund Utilization Report'!$A$4:$U$1800,15,FALSE)</f>
        <v>General Administration and Supervision - General Management and Supervision</v>
      </c>
      <c r="AC1118" s="51"/>
      <c r="AD1118" s="435"/>
      <c r="AE1118" s="51"/>
      <c r="AF1118" s="51"/>
      <c r="AG1118" s="442"/>
      <c r="AH1118" s="442"/>
      <c r="AI1118" s="443"/>
    </row>
    <row r="1119" spans="1:35" s="32" customFormat="1" ht="27.6">
      <c r="A1119" s="434" t="s">
        <v>942</v>
      </c>
      <c r="B1119" s="457" t="s">
        <v>946</v>
      </c>
      <c r="C1119" s="233">
        <v>44265</v>
      </c>
      <c r="D1119" s="435" t="s">
        <v>1267</v>
      </c>
      <c r="E1119" s="436" t="s">
        <v>1402</v>
      </c>
      <c r="F1119" s="338">
        <v>0.44375000000000003</v>
      </c>
      <c r="G1119" s="338">
        <v>0.44513888888888892</v>
      </c>
      <c r="H1119" s="338" t="s">
        <v>960</v>
      </c>
      <c r="I1119" s="353">
        <v>733</v>
      </c>
      <c r="J1119" s="338" t="str">
        <f>IFERROR(VLOOKUP(I1119,'Chart of accounts'!A:H,2,FALSE),"")</f>
        <v>50103030 01</v>
      </c>
      <c r="K1119" s="338" t="str">
        <f>IFERROR(VLOOKUP(I1119,'Chart of accounts'!A:H,3,FALSE),"")</f>
        <v>PhilHealth - Civilian</v>
      </c>
      <c r="L1119" s="338" t="str">
        <f>IFERROR(VLOOKUP(I1119,'Chart of accounts'!A:H,4,FALSE),"")</f>
        <v>50103030 01 - PhilHealth - Civilian (733)</v>
      </c>
      <c r="M1119" s="361">
        <v>68</v>
      </c>
      <c r="N1119" s="355" t="s">
        <v>764</v>
      </c>
      <c r="O1119" s="355" t="s">
        <v>1384</v>
      </c>
      <c r="P1119" s="355"/>
      <c r="Q1119" s="363">
        <v>1488.1</v>
      </c>
      <c r="R1119" s="428">
        <f t="shared" si="43"/>
        <v>-1488.1</v>
      </c>
      <c r="S1119" s="239" t="str">
        <f>VLOOKUP(H1119,'Fund Utilization Report'!$A$4:$U$1800,13,FALSE)</f>
        <v>PS</v>
      </c>
      <c r="T1119" s="239" t="str">
        <f>VLOOKUP(H1119,'Fund Utilization Report'!$A$4:$U$1800,2,FALSE)</f>
        <v>GAA</v>
      </c>
      <c r="U1119" s="239" t="str">
        <f>VLOOKUP(H1119,'Fund Utilization Report'!$A$4:$U$1800,3,FALSE)</f>
        <v>FY2021, RA11518</v>
      </c>
      <c r="V1119" s="239" t="str">
        <f>VLOOKUP(H1119,'Fund Utilization Report'!$A$4:$U$1800,4,FALSE)</f>
        <v>GAS(GMS)</v>
      </c>
      <c r="W1119" s="239" t="str">
        <f>VLOOKUP(H1119,'Fund Utilization Report'!$A$4:$U$1800,5,FALSE)</f>
        <v>01101101</v>
      </c>
      <c r="X1119" s="239" t="str">
        <f>VLOOKUP(H1119,'Fund Utilization Report'!$A$4:$U$1800,6,FALSE)</f>
        <v>GOP</v>
      </c>
      <c r="Y1119" s="440" t="str">
        <f>VLOOKUP(H1119,'Fund Utilization Report'!$A$4:$U$1800,7,FALSE)</f>
        <v>PS</v>
      </c>
      <c r="Z1119" s="441">
        <f>VLOOKUP(H1119,'Fund Utilization Report'!$A$4:$U$1800,8,FALSE)</f>
        <v>5010000000</v>
      </c>
      <c r="AA1119" s="239" t="str">
        <f>VLOOKUP(H1119,'Fund Utilization Report'!$A$4:$U$1800,14,FALSE)</f>
        <v>100000100001000</v>
      </c>
      <c r="AB1119" s="242" t="str">
        <f>VLOOKUP(H1119,'Fund Utilization Report'!$A$4:$U$1800,15,FALSE)</f>
        <v>General Administration and Supervision - General Management and Supervision</v>
      </c>
      <c r="AC1119" s="51"/>
      <c r="AD1119" s="435"/>
      <c r="AE1119" s="51"/>
      <c r="AF1119" s="51"/>
      <c r="AG1119" s="442"/>
      <c r="AH1119" s="442"/>
      <c r="AI1119" s="443"/>
    </row>
    <row r="1120" spans="1:35" s="32" customFormat="1" ht="27.6">
      <c r="A1120" s="434" t="s">
        <v>942</v>
      </c>
      <c r="B1120" s="457" t="s">
        <v>946</v>
      </c>
      <c r="C1120" s="233">
        <v>44265</v>
      </c>
      <c r="D1120" s="435" t="s">
        <v>1267</v>
      </c>
      <c r="E1120" s="436" t="s">
        <v>1402</v>
      </c>
      <c r="F1120" s="338">
        <v>0.44375000000000003</v>
      </c>
      <c r="G1120" s="338">
        <v>0.44513888888888892</v>
      </c>
      <c r="H1120" s="338" t="s">
        <v>960</v>
      </c>
      <c r="I1120" s="353">
        <v>734</v>
      </c>
      <c r="J1120" s="338" t="str">
        <f>IFERROR(VLOOKUP(I1120,'Chart of accounts'!A:H,2,FALSE),"")</f>
        <v>50103040 01</v>
      </c>
      <c r="K1120" s="338" t="str">
        <f>IFERROR(VLOOKUP(I1120,'Chart of accounts'!A:H,3,FALSE),"")</f>
        <v>ECIP - Civilian</v>
      </c>
      <c r="L1120" s="338" t="str">
        <f>IFERROR(VLOOKUP(I1120,'Chart of accounts'!A:H,4,FALSE),"")</f>
        <v>50103040 01 - ECIP - Civilian (734)</v>
      </c>
      <c r="M1120" s="361">
        <v>68</v>
      </c>
      <c r="N1120" s="355" t="s">
        <v>764</v>
      </c>
      <c r="O1120" s="355" t="s">
        <v>1384</v>
      </c>
      <c r="P1120" s="355"/>
      <c r="Q1120" s="363">
        <v>400</v>
      </c>
      <c r="R1120" s="428">
        <f t="shared" si="43"/>
        <v>-400</v>
      </c>
      <c r="S1120" s="239" t="str">
        <f>VLOOKUP(H1120,'Fund Utilization Report'!$A$4:$U$1800,13,FALSE)</f>
        <v>PS</v>
      </c>
      <c r="T1120" s="239" t="str">
        <f>VLOOKUP(H1120,'Fund Utilization Report'!$A$4:$U$1800,2,FALSE)</f>
        <v>GAA</v>
      </c>
      <c r="U1120" s="239" t="str">
        <f>VLOOKUP(H1120,'Fund Utilization Report'!$A$4:$U$1800,3,FALSE)</f>
        <v>FY2021, RA11518</v>
      </c>
      <c r="V1120" s="239" t="str">
        <f>VLOOKUP(H1120,'Fund Utilization Report'!$A$4:$U$1800,4,FALSE)</f>
        <v>GAS(GMS)</v>
      </c>
      <c r="W1120" s="239" t="str">
        <f>VLOOKUP(H1120,'Fund Utilization Report'!$A$4:$U$1800,5,FALSE)</f>
        <v>01101101</v>
      </c>
      <c r="X1120" s="239" t="str">
        <f>VLOOKUP(H1120,'Fund Utilization Report'!$A$4:$U$1800,6,FALSE)</f>
        <v>GOP</v>
      </c>
      <c r="Y1120" s="440" t="str">
        <f>VLOOKUP(H1120,'Fund Utilization Report'!$A$4:$U$1800,7,FALSE)</f>
        <v>PS</v>
      </c>
      <c r="Z1120" s="441">
        <f>VLOOKUP(H1120,'Fund Utilization Report'!$A$4:$U$1800,8,FALSE)</f>
        <v>5010000000</v>
      </c>
      <c r="AA1120" s="239" t="str">
        <f>VLOOKUP(H1120,'Fund Utilization Report'!$A$4:$U$1800,14,FALSE)</f>
        <v>100000100001000</v>
      </c>
      <c r="AB1120" s="242" t="str">
        <f>VLOOKUP(H1120,'Fund Utilization Report'!$A$4:$U$1800,15,FALSE)</f>
        <v>General Administration and Supervision - General Management and Supervision</v>
      </c>
      <c r="AC1120" s="51"/>
      <c r="AD1120" s="435"/>
      <c r="AE1120" s="51"/>
      <c r="AF1120" s="51"/>
      <c r="AG1120" s="442"/>
      <c r="AH1120" s="442"/>
      <c r="AI1120" s="443"/>
    </row>
    <row r="1121" spans="1:35" s="32" customFormat="1" ht="27.6">
      <c r="A1121" s="434" t="s">
        <v>942</v>
      </c>
      <c r="B1121" s="457" t="s">
        <v>946</v>
      </c>
      <c r="C1121" s="233">
        <v>44265</v>
      </c>
      <c r="D1121" s="435" t="s">
        <v>1267</v>
      </c>
      <c r="E1121" s="436" t="s">
        <v>1402</v>
      </c>
      <c r="F1121" s="338">
        <v>0.44375000000000003</v>
      </c>
      <c r="G1121" s="338">
        <v>0.44513888888888892</v>
      </c>
      <c r="H1121" s="338" t="s">
        <v>964</v>
      </c>
      <c r="I1121" s="353">
        <v>701</v>
      </c>
      <c r="J1121" s="338" t="str">
        <f>IFERROR(VLOOKUP(I1121,'Chart of accounts'!A:H,2,FALSE),"")</f>
        <v>50101010 01</v>
      </c>
      <c r="K1121" s="338" t="str">
        <f>IFERROR(VLOOKUP(I1121,'Chart of accounts'!A:H,3,FALSE),"")</f>
        <v>Basic Salary - Civilian</v>
      </c>
      <c r="L1121" s="338" t="str">
        <f>IFERROR(VLOOKUP(I1121,'Chart of accounts'!A:H,4,FALSE),"")</f>
        <v>50101010 01 - Basic Salary - Civilian (701)</v>
      </c>
      <c r="M1121" s="361">
        <v>68</v>
      </c>
      <c r="N1121" s="355" t="s">
        <v>764</v>
      </c>
      <c r="O1121" s="355" t="s">
        <v>1384</v>
      </c>
      <c r="P1121" s="355"/>
      <c r="Q1121" s="363">
        <v>44184</v>
      </c>
      <c r="R1121" s="428">
        <f t="shared" si="43"/>
        <v>-44184</v>
      </c>
      <c r="S1121" s="239" t="str">
        <f>VLOOKUP(H1121,'Fund Utilization Report'!$A$4:$U$1800,13,FALSE)</f>
        <v>PS</v>
      </c>
      <c r="T1121" s="239" t="str">
        <f>VLOOKUP(H1121,'Fund Utilization Report'!$A$4:$U$1800,2,FALSE)</f>
        <v>GAA</v>
      </c>
      <c r="U1121" s="239" t="str">
        <f>VLOOKUP(H1121,'Fund Utilization Report'!$A$4:$U$1800,3,FALSE)</f>
        <v>FY2021, RA11518</v>
      </c>
      <c r="V1121" s="239" t="str">
        <f>VLOOKUP(H1121,'Fund Utilization Report'!$A$4:$U$1800,4,FALSE)</f>
        <v>OO1</v>
      </c>
      <c r="W1121" s="239" t="str">
        <f>VLOOKUP(H1121,'Fund Utilization Report'!$A$4:$U$1800,5,FALSE)</f>
        <v>01101101</v>
      </c>
      <c r="X1121" s="239" t="str">
        <f>VLOOKUP(H1121,'Fund Utilization Report'!$A$4:$U$1800,6,FALSE)</f>
        <v>GOP</v>
      </c>
      <c r="Y1121" s="440" t="str">
        <f>VLOOKUP(H1121,'Fund Utilization Report'!$A$4:$U$1800,7,FALSE)</f>
        <v>PS</v>
      </c>
      <c r="Z1121" s="441">
        <f>VLOOKUP(H1121,'Fund Utilization Report'!$A$4:$U$1800,8,FALSE)</f>
        <v>5010000000</v>
      </c>
      <c r="AA1121" s="239" t="str">
        <f>VLOOKUP(H1121,'Fund Utilization Report'!$A$4:$U$1800,14,FALSE)</f>
        <v>310100100002000</v>
      </c>
      <c r="AB1121" s="242" t="str">
        <f>VLOOKUP(H1121,'Fund Utilization Report'!$A$4:$U$1800,15,FALSE)</f>
        <v>Development,Facilitation, and promotion of exports and investment, domestic and foreign</v>
      </c>
      <c r="AC1121" s="51"/>
      <c r="AD1121" s="435"/>
      <c r="AE1121" s="51"/>
      <c r="AF1121" s="51"/>
      <c r="AG1121" s="442"/>
      <c r="AH1121" s="442"/>
      <c r="AI1121" s="443"/>
    </row>
    <row r="1122" spans="1:35" s="32" customFormat="1" ht="27.6">
      <c r="A1122" s="434" t="s">
        <v>942</v>
      </c>
      <c r="B1122" s="457" t="s">
        <v>946</v>
      </c>
      <c r="C1122" s="233">
        <v>44265</v>
      </c>
      <c r="D1122" s="435" t="s">
        <v>1267</v>
      </c>
      <c r="E1122" s="436" t="s">
        <v>1402</v>
      </c>
      <c r="F1122" s="338">
        <v>0.44375000000000003</v>
      </c>
      <c r="G1122" s="338">
        <v>0.44513888888888892</v>
      </c>
      <c r="H1122" s="338" t="s">
        <v>964</v>
      </c>
      <c r="I1122" s="353">
        <v>711</v>
      </c>
      <c r="J1122" s="338" t="str">
        <f>IFERROR(VLOOKUP(I1122,'Chart of accounts'!A:H,2,FALSE),"")</f>
        <v>50102010 01</v>
      </c>
      <c r="K1122" s="338" t="str">
        <f>IFERROR(VLOOKUP(I1122,'Chart of accounts'!A:H,3,FALSE),"")</f>
        <v>PERA - Civilian</v>
      </c>
      <c r="L1122" s="338" t="str">
        <f>IFERROR(VLOOKUP(I1122,'Chart of accounts'!A:H,4,FALSE),"")</f>
        <v>50102010 01 - PERA - Civilian (711)</v>
      </c>
      <c r="M1122" s="361">
        <v>68</v>
      </c>
      <c r="N1122" s="355" t="s">
        <v>764</v>
      </c>
      <c r="O1122" s="355" t="s">
        <v>1384</v>
      </c>
      <c r="P1122" s="355"/>
      <c r="Q1122" s="363">
        <v>2000</v>
      </c>
      <c r="R1122" s="428">
        <f t="shared" si="43"/>
        <v>-2000</v>
      </c>
      <c r="S1122" s="239" t="str">
        <f>VLOOKUP(H1122,'Fund Utilization Report'!$A$4:$U$1800,13,FALSE)</f>
        <v>PS</v>
      </c>
      <c r="T1122" s="239" t="str">
        <f>VLOOKUP(H1122,'Fund Utilization Report'!$A$4:$U$1800,2,FALSE)</f>
        <v>GAA</v>
      </c>
      <c r="U1122" s="239" t="str">
        <f>VLOOKUP(H1122,'Fund Utilization Report'!$A$4:$U$1800,3,FALSE)</f>
        <v>FY2021, RA11518</v>
      </c>
      <c r="V1122" s="239" t="str">
        <f>VLOOKUP(H1122,'Fund Utilization Report'!$A$4:$U$1800,4,FALSE)</f>
        <v>OO1</v>
      </c>
      <c r="W1122" s="239" t="str">
        <f>VLOOKUP(H1122,'Fund Utilization Report'!$A$4:$U$1800,5,FALSE)</f>
        <v>01101101</v>
      </c>
      <c r="X1122" s="239" t="str">
        <f>VLOOKUP(H1122,'Fund Utilization Report'!$A$4:$U$1800,6,FALSE)</f>
        <v>GOP</v>
      </c>
      <c r="Y1122" s="440" t="str">
        <f>VLOOKUP(H1122,'Fund Utilization Report'!$A$4:$U$1800,7,FALSE)</f>
        <v>PS</v>
      </c>
      <c r="Z1122" s="441">
        <f>VLOOKUP(H1122,'Fund Utilization Report'!$A$4:$U$1800,8,FALSE)</f>
        <v>5010000000</v>
      </c>
      <c r="AA1122" s="239" t="str">
        <f>VLOOKUP(H1122,'Fund Utilization Report'!$A$4:$U$1800,14,FALSE)</f>
        <v>310100100002000</v>
      </c>
      <c r="AB1122" s="242" t="str">
        <f>VLOOKUP(H1122,'Fund Utilization Report'!$A$4:$U$1800,15,FALSE)</f>
        <v>Development,Facilitation, and promotion of exports and investment, domestic and foreign</v>
      </c>
      <c r="AC1122" s="51"/>
      <c r="AD1122" s="435"/>
      <c r="AE1122" s="51"/>
      <c r="AF1122" s="51"/>
      <c r="AG1122" s="442"/>
      <c r="AH1122" s="442"/>
      <c r="AI1122" s="443"/>
    </row>
    <row r="1123" spans="1:35" s="32" customFormat="1" ht="27.6">
      <c r="A1123" s="434" t="s">
        <v>942</v>
      </c>
      <c r="B1123" s="457" t="s">
        <v>946</v>
      </c>
      <c r="C1123" s="233">
        <v>44265</v>
      </c>
      <c r="D1123" s="435" t="s">
        <v>1267</v>
      </c>
      <c r="E1123" s="436" t="s">
        <v>1402</v>
      </c>
      <c r="F1123" s="338">
        <v>0.44375000000000003</v>
      </c>
      <c r="G1123" s="338">
        <v>0.44513888888888892</v>
      </c>
      <c r="H1123" s="338" t="s">
        <v>966</v>
      </c>
      <c r="I1123" s="353">
        <v>731</v>
      </c>
      <c r="J1123" s="338" t="str">
        <f>IFERROR(VLOOKUP(I1123,'Chart of accounts'!A:H,2,FALSE),"")</f>
        <v>50103010 00</v>
      </c>
      <c r="K1123" s="338" t="str">
        <f>IFERROR(VLOOKUP(I1123,'Chart of accounts'!A:H,3,FALSE),"")</f>
        <v>Retirement and Life Insurance Premiums</v>
      </c>
      <c r="L1123" s="338" t="str">
        <f>IFERROR(VLOOKUP(I1123,'Chart of accounts'!A:H,4,FALSE),"")</f>
        <v>50103010 00 - Retirement and Life Insurance Premiums (731)</v>
      </c>
      <c r="M1123" s="361">
        <v>68</v>
      </c>
      <c r="N1123" s="355" t="s">
        <v>764</v>
      </c>
      <c r="O1123" s="355" t="s">
        <v>1384</v>
      </c>
      <c r="P1123" s="355"/>
      <c r="Q1123" s="363">
        <v>5302.08</v>
      </c>
      <c r="R1123" s="428">
        <f t="shared" si="43"/>
        <v>-5302.08</v>
      </c>
      <c r="S1123" s="239" t="str">
        <f>VLOOKUP(H1123,'Fund Utilization Report'!$A$4:$U$1800,13,FALSE)</f>
        <v>PS</v>
      </c>
      <c r="T1123" s="239" t="str">
        <f>VLOOKUP(H1123,'Fund Utilization Report'!$A$4:$U$1800,2,FALSE)</f>
        <v>GAA</v>
      </c>
      <c r="U1123" s="239" t="str">
        <f>VLOOKUP(H1123,'Fund Utilization Report'!$A$4:$U$1800,3,FALSE)</f>
        <v>FY2021, RA11518</v>
      </c>
      <c r="V1123" s="239" t="str">
        <f>VLOOKUP(H1123,'Fund Utilization Report'!$A$4:$U$1800,4,FALSE)</f>
        <v>OO1</v>
      </c>
      <c r="W1123" s="239" t="str">
        <f>VLOOKUP(H1123,'Fund Utilization Report'!$A$4:$U$1800,5,FALSE)</f>
        <v>01101101</v>
      </c>
      <c r="X1123" s="239" t="str">
        <f>VLOOKUP(H1123,'Fund Utilization Report'!$A$4:$U$1800,6,FALSE)</f>
        <v>GOP</v>
      </c>
      <c r="Y1123" s="440" t="str">
        <f>VLOOKUP(H1123,'Fund Utilization Report'!$A$4:$U$1800,7,FALSE)</f>
        <v>RLIP</v>
      </c>
      <c r="Z1123" s="441" t="str">
        <f>VLOOKUP(H1123,'Fund Utilization Report'!$A$4:$U$1800,8,FALSE)</f>
        <v>50103010-00</v>
      </c>
      <c r="AA1123" s="239" t="str">
        <f>VLOOKUP(H1123,'Fund Utilization Report'!$A$4:$U$1800,14,FALSE)</f>
        <v>310100100002000</v>
      </c>
      <c r="AB1123" s="242" t="str">
        <f>VLOOKUP(H1123,'Fund Utilization Report'!$A$4:$U$1800,15,FALSE)</f>
        <v>Development,Facilitation, and promotion of exports and investment, domestic and foreign</v>
      </c>
      <c r="AC1123" s="51"/>
      <c r="AD1123" s="435"/>
      <c r="AE1123" s="51"/>
      <c r="AF1123" s="51"/>
      <c r="AG1123" s="442"/>
      <c r="AH1123" s="442"/>
      <c r="AI1123" s="443"/>
    </row>
    <row r="1124" spans="1:35" s="32" customFormat="1" ht="27.6">
      <c r="A1124" s="434" t="s">
        <v>942</v>
      </c>
      <c r="B1124" s="457" t="s">
        <v>946</v>
      </c>
      <c r="C1124" s="233">
        <v>44265</v>
      </c>
      <c r="D1124" s="435" t="s">
        <v>1267</v>
      </c>
      <c r="E1124" s="436" t="s">
        <v>1402</v>
      </c>
      <c r="F1124" s="338">
        <v>0.44375000000000003</v>
      </c>
      <c r="G1124" s="338">
        <v>0.44513888888888892</v>
      </c>
      <c r="H1124" s="338" t="s">
        <v>964</v>
      </c>
      <c r="I1124" s="353">
        <v>732</v>
      </c>
      <c r="J1124" s="338" t="str">
        <f>IFERROR(VLOOKUP(I1124,'Chart of accounts'!A:H,2,FALSE),"")</f>
        <v>50103020 01</v>
      </c>
      <c r="K1124" s="338" t="str">
        <f>IFERROR(VLOOKUP(I1124,'Chart of accounts'!A:H,3,FALSE),"")</f>
        <v>Pag-IBIG - Civilian</v>
      </c>
      <c r="L1124" s="338" t="str">
        <f>IFERROR(VLOOKUP(I1124,'Chart of accounts'!A:H,4,FALSE),"")</f>
        <v>50103020 01 - Pag-IBIG - Civilian (732)</v>
      </c>
      <c r="M1124" s="361">
        <v>68</v>
      </c>
      <c r="N1124" s="355" t="s">
        <v>764</v>
      </c>
      <c r="O1124" s="355" t="s">
        <v>1384</v>
      </c>
      <c r="P1124" s="355"/>
      <c r="Q1124" s="363">
        <v>100</v>
      </c>
      <c r="R1124" s="319">
        <f t="shared" si="43"/>
        <v>-100</v>
      </c>
      <c r="S1124" s="239" t="str">
        <f>VLOOKUP(H1124,'Fund Utilization Report'!$A$4:$U$1800,13,FALSE)</f>
        <v>PS</v>
      </c>
      <c r="T1124" s="239" t="str">
        <f>VLOOKUP(H1124,'Fund Utilization Report'!$A$4:$U$1800,2,FALSE)</f>
        <v>GAA</v>
      </c>
      <c r="U1124" s="239" t="str">
        <f>VLOOKUP(H1124,'Fund Utilization Report'!$A$4:$U$1800,3,FALSE)</f>
        <v>FY2021, RA11518</v>
      </c>
      <c r="V1124" s="239" t="str">
        <f>VLOOKUP(H1124,'Fund Utilization Report'!$A$4:$U$1800,4,FALSE)</f>
        <v>OO1</v>
      </c>
      <c r="W1124" s="239" t="str">
        <f>VLOOKUP(H1124,'Fund Utilization Report'!$A$4:$U$1800,5,FALSE)</f>
        <v>01101101</v>
      </c>
      <c r="X1124" s="239" t="str">
        <f>VLOOKUP(H1124,'Fund Utilization Report'!$A$4:$U$1800,6,FALSE)</f>
        <v>GOP</v>
      </c>
      <c r="Y1124" s="440" t="str">
        <f>VLOOKUP(H1124,'Fund Utilization Report'!$A$4:$U$1800,7,FALSE)</f>
        <v>PS</v>
      </c>
      <c r="Z1124" s="441">
        <f>VLOOKUP(H1124,'Fund Utilization Report'!$A$4:$U$1800,8,FALSE)</f>
        <v>5010000000</v>
      </c>
      <c r="AA1124" s="239" t="str">
        <f>VLOOKUP(H1124,'Fund Utilization Report'!$A$4:$U$1800,14,FALSE)</f>
        <v>310100100002000</v>
      </c>
      <c r="AB1124" s="242" t="str">
        <f>VLOOKUP(H1124,'Fund Utilization Report'!$A$4:$U$1800,15,FALSE)</f>
        <v>Development,Facilitation, and promotion of exports and investment, domestic and foreign</v>
      </c>
      <c r="AC1124" s="51"/>
      <c r="AD1124" s="435"/>
      <c r="AE1124" s="51"/>
      <c r="AF1124" s="51"/>
      <c r="AG1124" s="442"/>
      <c r="AH1124" s="442"/>
      <c r="AI1124" s="443"/>
    </row>
    <row r="1125" spans="1:35" s="32" customFormat="1" ht="27.6">
      <c r="A1125" s="434" t="s">
        <v>942</v>
      </c>
      <c r="B1125" s="457" t="s">
        <v>946</v>
      </c>
      <c r="C1125" s="233">
        <v>44265</v>
      </c>
      <c r="D1125" s="435" t="s">
        <v>1267</v>
      </c>
      <c r="E1125" s="436" t="s">
        <v>1402</v>
      </c>
      <c r="F1125" s="338">
        <v>0.44375000000000003</v>
      </c>
      <c r="G1125" s="338">
        <v>0.44513888888888892</v>
      </c>
      <c r="H1125" s="338" t="s">
        <v>964</v>
      </c>
      <c r="I1125" s="353">
        <v>733</v>
      </c>
      <c r="J1125" s="338" t="str">
        <f>IFERROR(VLOOKUP(I1125,'Chart of accounts'!A:H,2,FALSE),"")</f>
        <v>50103030 01</v>
      </c>
      <c r="K1125" s="338" t="str">
        <f>IFERROR(VLOOKUP(I1125,'Chart of accounts'!A:H,3,FALSE),"")</f>
        <v>PhilHealth - Civilian</v>
      </c>
      <c r="L1125" s="338" t="str">
        <f>IFERROR(VLOOKUP(I1125,'Chart of accounts'!A:H,4,FALSE),"")</f>
        <v>50103030 01 - PhilHealth - Civilian (733)</v>
      </c>
      <c r="M1125" s="361">
        <v>68</v>
      </c>
      <c r="N1125" s="355" t="s">
        <v>764</v>
      </c>
      <c r="O1125" s="355" t="s">
        <v>1384</v>
      </c>
      <c r="P1125" s="355"/>
      <c r="Q1125" s="363">
        <v>662.76</v>
      </c>
      <c r="R1125" s="319">
        <f t="shared" si="43"/>
        <v>-662.76</v>
      </c>
      <c r="S1125" s="239" t="str">
        <f>VLOOKUP(H1125,'Fund Utilization Report'!$A$4:$U$1800,13,FALSE)</f>
        <v>PS</v>
      </c>
      <c r="T1125" s="239" t="str">
        <f>VLOOKUP(H1125,'Fund Utilization Report'!$A$4:$U$1800,2,FALSE)</f>
        <v>GAA</v>
      </c>
      <c r="U1125" s="239" t="str">
        <f>VLOOKUP(H1125,'Fund Utilization Report'!$A$4:$U$1800,3,FALSE)</f>
        <v>FY2021, RA11518</v>
      </c>
      <c r="V1125" s="239" t="str">
        <f>VLOOKUP(H1125,'Fund Utilization Report'!$A$4:$U$1800,4,FALSE)</f>
        <v>OO1</v>
      </c>
      <c r="W1125" s="239" t="str">
        <f>VLOOKUP(H1125,'Fund Utilization Report'!$A$4:$U$1800,5,FALSE)</f>
        <v>01101101</v>
      </c>
      <c r="X1125" s="239" t="str">
        <f>VLOOKUP(H1125,'Fund Utilization Report'!$A$4:$U$1800,6,FALSE)</f>
        <v>GOP</v>
      </c>
      <c r="Y1125" s="440" t="str">
        <f>VLOOKUP(H1125,'Fund Utilization Report'!$A$4:$U$1800,7,FALSE)</f>
        <v>PS</v>
      </c>
      <c r="Z1125" s="441">
        <f>VLOOKUP(H1125,'Fund Utilization Report'!$A$4:$U$1800,8,FALSE)</f>
        <v>5010000000</v>
      </c>
      <c r="AA1125" s="239" t="str">
        <f>VLOOKUP(H1125,'Fund Utilization Report'!$A$4:$U$1800,14,FALSE)</f>
        <v>310100100002000</v>
      </c>
      <c r="AB1125" s="242" t="str">
        <f>VLOOKUP(H1125,'Fund Utilization Report'!$A$4:$U$1800,15,FALSE)</f>
        <v>Development,Facilitation, and promotion of exports and investment, domestic and foreign</v>
      </c>
      <c r="AC1125" s="51"/>
      <c r="AD1125" s="435"/>
      <c r="AE1125" s="51"/>
      <c r="AF1125" s="51"/>
      <c r="AG1125" s="442"/>
      <c r="AH1125" s="442"/>
      <c r="AI1125" s="443"/>
    </row>
    <row r="1126" spans="1:35" s="32" customFormat="1" ht="27.6">
      <c r="A1126" s="434" t="s">
        <v>942</v>
      </c>
      <c r="B1126" s="457" t="s">
        <v>946</v>
      </c>
      <c r="C1126" s="233">
        <v>44265</v>
      </c>
      <c r="D1126" s="435" t="s">
        <v>1267</v>
      </c>
      <c r="E1126" s="436" t="s">
        <v>1402</v>
      </c>
      <c r="F1126" s="338">
        <v>0.44375000000000003</v>
      </c>
      <c r="G1126" s="338">
        <v>0.44513888888888892</v>
      </c>
      <c r="H1126" s="338" t="s">
        <v>964</v>
      </c>
      <c r="I1126" s="353">
        <v>734</v>
      </c>
      <c r="J1126" s="338" t="str">
        <f>IFERROR(VLOOKUP(I1126,'Chart of accounts'!A:H,2,FALSE),"")</f>
        <v>50103040 01</v>
      </c>
      <c r="K1126" s="338" t="str">
        <f>IFERROR(VLOOKUP(I1126,'Chart of accounts'!A:H,3,FALSE),"")</f>
        <v>ECIP - Civilian</v>
      </c>
      <c r="L1126" s="338" t="str">
        <f>IFERROR(VLOOKUP(I1126,'Chart of accounts'!A:H,4,FALSE),"")</f>
        <v>50103040 01 - ECIP - Civilian (734)</v>
      </c>
      <c r="M1126" s="361">
        <v>68</v>
      </c>
      <c r="N1126" s="355" t="s">
        <v>764</v>
      </c>
      <c r="O1126" s="355" t="s">
        <v>1384</v>
      </c>
      <c r="P1126" s="355"/>
      <c r="Q1126" s="363">
        <v>100</v>
      </c>
      <c r="R1126" s="319">
        <f t="shared" si="43"/>
        <v>-100</v>
      </c>
      <c r="S1126" s="239" t="str">
        <f>VLOOKUP(H1126,'Fund Utilization Report'!$A$4:$U$1800,13,FALSE)</f>
        <v>PS</v>
      </c>
      <c r="T1126" s="239" t="str">
        <f>VLOOKUP(H1126,'Fund Utilization Report'!$A$4:$U$1800,2,FALSE)</f>
        <v>GAA</v>
      </c>
      <c r="U1126" s="239" t="str">
        <f>VLOOKUP(H1126,'Fund Utilization Report'!$A$4:$U$1800,3,FALSE)</f>
        <v>FY2021, RA11518</v>
      </c>
      <c r="V1126" s="239" t="str">
        <f>VLOOKUP(H1126,'Fund Utilization Report'!$A$4:$U$1800,4,FALSE)</f>
        <v>OO1</v>
      </c>
      <c r="W1126" s="239" t="str">
        <f>VLOOKUP(H1126,'Fund Utilization Report'!$A$4:$U$1800,5,FALSE)</f>
        <v>01101101</v>
      </c>
      <c r="X1126" s="239" t="str">
        <f>VLOOKUP(H1126,'Fund Utilization Report'!$A$4:$U$1800,6,FALSE)</f>
        <v>GOP</v>
      </c>
      <c r="Y1126" s="440" t="str">
        <f>VLOOKUP(H1126,'Fund Utilization Report'!$A$4:$U$1800,7,FALSE)</f>
        <v>PS</v>
      </c>
      <c r="Z1126" s="441">
        <f>VLOOKUP(H1126,'Fund Utilization Report'!$A$4:$U$1800,8,FALSE)</f>
        <v>5010000000</v>
      </c>
      <c r="AA1126" s="239" t="str">
        <f>VLOOKUP(H1126,'Fund Utilization Report'!$A$4:$U$1800,14,FALSE)</f>
        <v>310100100002000</v>
      </c>
      <c r="AB1126" s="242" t="str">
        <f>VLOOKUP(H1126,'Fund Utilization Report'!$A$4:$U$1800,15,FALSE)</f>
        <v>Development,Facilitation, and promotion of exports and investment, domestic and foreign</v>
      </c>
      <c r="AC1126" s="51"/>
      <c r="AD1126" s="435"/>
      <c r="AE1126" s="51"/>
      <c r="AF1126" s="51"/>
      <c r="AG1126" s="442"/>
      <c r="AH1126" s="442"/>
      <c r="AI1126" s="443"/>
    </row>
    <row r="1127" spans="1:35" s="32" customFormat="1" ht="27.6">
      <c r="A1127" s="434" t="s">
        <v>942</v>
      </c>
      <c r="B1127" s="457" t="s">
        <v>946</v>
      </c>
      <c r="C1127" s="233">
        <v>44265</v>
      </c>
      <c r="D1127" s="435" t="s">
        <v>1267</v>
      </c>
      <c r="E1127" s="436" t="s">
        <v>1402</v>
      </c>
      <c r="F1127" s="338">
        <v>0.44375000000000003</v>
      </c>
      <c r="G1127" s="338">
        <v>0.44513888888888892</v>
      </c>
      <c r="H1127" s="338" t="s">
        <v>970</v>
      </c>
      <c r="I1127" s="353">
        <v>701</v>
      </c>
      <c r="J1127" s="338" t="str">
        <f>IFERROR(VLOOKUP(I1127,'Chart of accounts'!A:H,2,FALSE),"")</f>
        <v>50101010 01</v>
      </c>
      <c r="K1127" s="338" t="str">
        <f>IFERROR(VLOOKUP(I1127,'Chart of accounts'!A:H,3,FALSE),"")</f>
        <v>Basic Salary - Civilian</v>
      </c>
      <c r="L1127" s="338" t="str">
        <f>IFERROR(VLOOKUP(I1127,'Chart of accounts'!A:H,4,FALSE),"")</f>
        <v>50101010 01 - Basic Salary - Civilian (701)</v>
      </c>
      <c r="M1127" s="361">
        <v>68</v>
      </c>
      <c r="N1127" s="355" t="s">
        <v>764</v>
      </c>
      <c r="O1127" s="355" t="s">
        <v>1384</v>
      </c>
      <c r="P1127" s="355"/>
      <c r="Q1127" s="363">
        <v>113498</v>
      </c>
      <c r="R1127" s="319">
        <f t="shared" si="43"/>
        <v>-113498</v>
      </c>
      <c r="S1127" s="239" t="str">
        <f>VLOOKUP(H1127,'Fund Utilization Report'!$A$4:$U$1800,13,FALSE)</f>
        <v>PS</v>
      </c>
      <c r="T1127" s="239" t="str">
        <f>VLOOKUP(H1127,'Fund Utilization Report'!$A$4:$U$1800,2,FALSE)</f>
        <v>GAA</v>
      </c>
      <c r="U1127" s="239" t="str">
        <f>VLOOKUP(H1127,'Fund Utilization Report'!$A$4:$U$1800,3,FALSE)</f>
        <v>FY2021, RA11518</v>
      </c>
      <c r="V1127" s="239" t="str">
        <f>VLOOKUP(H1127,'Fund Utilization Report'!$A$4:$U$1800,4,FALSE)</f>
        <v>OO3</v>
      </c>
      <c r="W1127" s="239" t="str">
        <f>VLOOKUP(H1127,'Fund Utilization Report'!$A$4:$U$1800,5,FALSE)</f>
        <v>01101101</v>
      </c>
      <c r="X1127" s="239" t="str">
        <f>VLOOKUP(H1127,'Fund Utilization Report'!$A$4:$U$1800,6,FALSE)</f>
        <v>GOP</v>
      </c>
      <c r="Y1127" s="440" t="str">
        <f>VLOOKUP(H1127,'Fund Utilization Report'!$A$4:$U$1800,7,FALSE)</f>
        <v>PS</v>
      </c>
      <c r="Z1127" s="441">
        <f>VLOOKUP(H1127,'Fund Utilization Report'!$A$4:$U$1800,8,FALSE)</f>
        <v>5010000000</v>
      </c>
      <c r="AA1127" s="239" t="str">
        <f>VLOOKUP(H1127,'Fund Utilization Report'!$A$4:$U$1800,14,FALSE)</f>
        <v>330100100002000</v>
      </c>
      <c r="AB1127" s="242" t="str">
        <f>VLOOKUP(H1127,'Fund Utilization Report'!$A$4:$U$1800,15,FALSE)</f>
        <v>Implementation of the MSME Development Plan and other initiatives to promote the growth of Micro, Small and Medium Enterprises</v>
      </c>
      <c r="AC1127" s="51"/>
      <c r="AD1127" s="435"/>
      <c r="AE1127" s="51"/>
      <c r="AF1127" s="51"/>
      <c r="AG1127" s="442"/>
      <c r="AH1127" s="442"/>
      <c r="AI1127" s="443"/>
    </row>
    <row r="1128" spans="1:35" s="32" customFormat="1" ht="27.6">
      <c r="A1128" s="434" t="s">
        <v>942</v>
      </c>
      <c r="B1128" s="457" t="s">
        <v>946</v>
      </c>
      <c r="C1128" s="233">
        <v>44265</v>
      </c>
      <c r="D1128" s="435" t="s">
        <v>1267</v>
      </c>
      <c r="E1128" s="436" t="s">
        <v>1402</v>
      </c>
      <c r="F1128" s="338">
        <v>0.44375000000000003</v>
      </c>
      <c r="G1128" s="338">
        <v>0.44513888888888892</v>
      </c>
      <c r="H1128" s="338" t="s">
        <v>970</v>
      </c>
      <c r="I1128" s="353">
        <v>711</v>
      </c>
      <c r="J1128" s="338" t="str">
        <f>IFERROR(VLOOKUP(I1128,'Chart of accounts'!A:H,2,FALSE),"")</f>
        <v>50102010 01</v>
      </c>
      <c r="K1128" s="338" t="str">
        <f>IFERROR(VLOOKUP(I1128,'Chart of accounts'!A:H,3,FALSE),"")</f>
        <v>PERA - Civilian</v>
      </c>
      <c r="L1128" s="338" t="str">
        <f>IFERROR(VLOOKUP(I1128,'Chart of accounts'!A:H,4,FALSE),"")</f>
        <v>50102010 01 - PERA - Civilian (711)</v>
      </c>
      <c r="M1128" s="361">
        <v>68</v>
      </c>
      <c r="N1128" s="355" t="s">
        <v>764</v>
      </c>
      <c r="O1128" s="355" t="s">
        <v>1384</v>
      </c>
      <c r="P1128" s="355"/>
      <c r="Q1128" s="363">
        <v>6000</v>
      </c>
      <c r="R1128" s="319">
        <f t="shared" si="43"/>
        <v>-6000</v>
      </c>
      <c r="S1128" s="239" t="str">
        <f>VLOOKUP(H1128,'Fund Utilization Report'!$A$4:$U$1800,13,FALSE)</f>
        <v>PS</v>
      </c>
      <c r="T1128" s="239" t="str">
        <f>VLOOKUP(H1128,'Fund Utilization Report'!$A$4:$U$1800,2,FALSE)</f>
        <v>GAA</v>
      </c>
      <c r="U1128" s="239" t="str">
        <f>VLOOKUP(H1128,'Fund Utilization Report'!$A$4:$U$1800,3,FALSE)</f>
        <v>FY2021, RA11518</v>
      </c>
      <c r="V1128" s="239" t="str">
        <f>VLOOKUP(H1128,'Fund Utilization Report'!$A$4:$U$1800,4,FALSE)</f>
        <v>OO3</v>
      </c>
      <c r="W1128" s="239" t="str">
        <f>VLOOKUP(H1128,'Fund Utilization Report'!$A$4:$U$1800,5,FALSE)</f>
        <v>01101101</v>
      </c>
      <c r="X1128" s="239" t="str">
        <f>VLOOKUP(H1128,'Fund Utilization Report'!$A$4:$U$1800,6,FALSE)</f>
        <v>GOP</v>
      </c>
      <c r="Y1128" s="440" t="str">
        <f>VLOOKUP(H1128,'Fund Utilization Report'!$A$4:$U$1800,7,FALSE)</f>
        <v>PS</v>
      </c>
      <c r="Z1128" s="441">
        <f>VLOOKUP(H1128,'Fund Utilization Report'!$A$4:$U$1800,8,FALSE)</f>
        <v>5010000000</v>
      </c>
      <c r="AA1128" s="239" t="str">
        <f>VLOOKUP(H1128,'Fund Utilization Report'!$A$4:$U$1800,14,FALSE)</f>
        <v>330100100002000</v>
      </c>
      <c r="AB1128" s="242" t="str">
        <f>VLOOKUP(H1128,'Fund Utilization Report'!$A$4:$U$1800,15,FALSE)</f>
        <v>Implementation of the MSME Development Plan and other initiatives to promote the growth of Micro, Small and Medium Enterprises</v>
      </c>
      <c r="AC1128" s="51"/>
      <c r="AD1128" s="435"/>
      <c r="AE1128" s="51"/>
      <c r="AF1128" s="51"/>
      <c r="AG1128" s="442"/>
      <c r="AH1128" s="442"/>
      <c r="AI1128" s="443"/>
    </row>
    <row r="1129" spans="1:35" s="32" customFormat="1" ht="27.6">
      <c r="A1129" s="434" t="s">
        <v>942</v>
      </c>
      <c r="B1129" s="457" t="s">
        <v>946</v>
      </c>
      <c r="C1129" s="233">
        <v>44265</v>
      </c>
      <c r="D1129" s="435" t="s">
        <v>1267</v>
      </c>
      <c r="E1129" s="436" t="s">
        <v>1402</v>
      </c>
      <c r="F1129" s="338">
        <v>0.44375000000000003</v>
      </c>
      <c r="G1129" s="338">
        <v>0.44513888888888892</v>
      </c>
      <c r="H1129" s="338" t="s">
        <v>972</v>
      </c>
      <c r="I1129" s="353">
        <v>731</v>
      </c>
      <c r="J1129" s="338" t="str">
        <f>IFERROR(VLOOKUP(I1129,'Chart of accounts'!A:H,2,FALSE),"")</f>
        <v>50103010 00</v>
      </c>
      <c r="K1129" s="338" t="str">
        <f>IFERROR(VLOOKUP(I1129,'Chart of accounts'!A:H,3,FALSE),"")</f>
        <v>Retirement and Life Insurance Premiums</v>
      </c>
      <c r="L1129" s="338" t="str">
        <f>IFERROR(VLOOKUP(I1129,'Chart of accounts'!A:H,4,FALSE),"")</f>
        <v>50103010 00 - Retirement and Life Insurance Premiums (731)</v>
      </c>
      <c r="M1129" s="361">
        <v>68</v>
      </c>
      <c r="N1129" s="355" t="s">
        <v>764</v>
      </c>
      <c r="O1129" s="355" t="s">
        <v>1384</v>
      </c>
      <c r="P1129" s="355"/>
      <c r="Q1129" s="363">
        <v>13619.76</v>
      </c>
      <c r="R1129" s="319">
        <f t="shared" si="43"/>
        <v>-13619.76</v>
      </c>
      <c r="S1129" s="239" t="str">
        <f>VLOOKUP(H1129,'Fund Utilization Report'!$A$4:$U$1800,13,FALSE)</f>
        <v>PS</v>
      </c>
      <c r="T1129" s="239" t="str">
        <f>VLOOKUP(H1129,'Fund Utilization Report'!$A$4:$U$1800,2,FALSE)</f>
        <v>GAA</v>
      </c>
      <c r="U1129" s="239" t="str">
        <f>VLOOKUP(H1129,'Fund Utilization Report'!$A$4:$U$1800,3,FALSE)</f>
        <v>FY2021, RA11518</v>
      </c>
      <c r="V1129" s="239" t="str">
        <f>VLOOKUP(H1129,'Fund Utilization Report'!$A$4:$U$1800,4,FALSE)</f>
        <v>OO3</v>
      </c>
      <c r="W1129" s="239" t="str">
        <f>VLOOKUP(H1129,'Fund Utilization Report'!$A$4:$U$1800,5,FALSE)</f>
        <v>01101101</v>
      </c>
      <c r="X1129" s="239" t="str">
        <f>VLOOKUP(H1129,'Fund Utilization Report'!$A$4:$U$1800,6,FALSE)</f>
        <v>GOP</v>
      </c>
      <c r="Y1129" s="440" t="str">
        <f>VLOOKUP(H1129,'Fund Utilization Report'!$A$4:$U$1800,7,FALSE)</f>
        <v>RLIP</v>
      </c>
      <c r="Z1129" s="441" t="str">
        <f>VLOOKUP(H1129,'Fund Utilization Report'!$A$4:$U$1800,8,FALSE)</f>
        <v>50103010-00</v>
      </c>
      <c r="AA1129" s="239" t="str">
        <f>VLOOKUP(H1129,'Fund Utilization Report'!$A$4:$U$1800,14,FALSE)</f>
        <v>330100100002000</v>
      </c>
      <c r="AB1129" s="242" t="str">
        <f>VLOOKUP(H1129,'Fund Utilization Report'!$A$4:$U$1800,15,FALSE)</f>
        <v>Implementation of the MSME Development Plan and other initiatives to promote the growth of Micro, Small and Medium Enterprises</v>
      </c>
      <c r="AC1129" s="51"/>
      <c r="AD1129" s="435"/>
      <c r="AE1129" s="51"/>
      <c r="AF1129" s="51"/>
      <c r="AG1129" s="442"/>
      <c r="AH1129" s="442"/>
      <c r="AI1129" s="443"/>
    </row>
    <row r="1130" spans="1:35" s="32" customFormat="1" ht="27.6">
      <c r="A1130" s="434" t="s">
        <v>942</v>
      </c>
      <c r="B1130" s="457" t="s">
        <v>946</v>
      </c>
      <c r="C1130" s="233">
        <v>44265</v>
      </c>
      <c r="D1130" s="435" t="s">
        <v>1267</v>
      </c>
      <c r="E1130" s="436" t="s">
        <v>1402</v>
      </c>
      <c r="F1130" s="338">
        <v>0.44375000000000003</v>
      </c>
      <c r="G1130" s="338">
        <v>0.44513888888888892</v>
      </c>
      <c r="H1130" s="338" t="s">
        <v>970</v>
      </c>
      <c r="I1130" s="353">
        <v>732</v>
      </c>
      <c r="J1130" s="338" t="str">
        <f>IFERROR(VLOOKUP(I1130,'Chart of accounts'!A:H,2,FALSE),"")</f>
        <v>50103020 01</v>
      </c>
      <c r="K1130" s="338" t="str">
        <f>IFERROR(VLOOKUP(I1130,'Chart of accounts'!A:H,3,FALSE),"")</f>
        <v>Pag-IBIG - Civilian</v>
      </c>
      <c r="L1130" s="338" t="str">
        <f>IFERROR(VLOOKUP(I1130,'Chart of accounts'!A:H,4,FALSE),"")</f>
        <v>50103020 01 - Pag-IBIG - Civilian (732)</v>
      </c>
      <c r="M1130" s="361">
        <v>68</v>
      </c>
      <c r="N1130" s="355" t="s">
        <v>764</v>
      </c>
      <c r="O1130" s="355" t="s">
        <v>1384</v>
      </c>
      <c r="P1130" s="355"/>
      <c r="Q1130" s="363">
        <v>300</v>
      </c>
      <c r="R1130" s="319">
        <f t="shared" si="43"/>
        <v>-300</v>
      </c>
      <c r="S1130" s="239" t="str">
        <f>VLOOKUP(H1130,'Fund Utilization Report'!$A$4:$U$1800,13,FALSE)</f>
        <v>PS</v>
      </c>
      <c r="T1130" s="239" t="str">
        <f>VLOOKUP(H1130,'Fund Utilization Report'!$A$4:$U$1800,2,FALSE)</f>
        <v>GAA</v>
      </c>
      <c r="U1130" s="239" t="str">
        <f>VLOOKUP(H1130,'Fund Utilization Report'!$A$4:$U$1800,3,FALSE)</f>
        <v>FY2021, RA11518</v>
      </c>
      <c r="V1130" s="239" t="str">
        <f>VLOOKUP(H1130,'Fund Utilization Report'!$A$4:$U$1800,4,FALSE)</f>
        <v>OO3</v>
      </c>
      <c r="W1130" s="239" t="str">
        <f>VLOOKUP(H1130,'Fund Utilization Report'!$A$4:$U$1800,5,FALSE)</f>
        <v>01101101</v>
      </c>
      <c r="X1130" s="239" t="str">
        <f>VLOOKUP(H1130,'Fund Utilization Report'!$A$4:$U$1800,6,FALSE)</f>
        <v>GOP</v>
      </c>
      <c r="Y1130" s="440" t="str">
        <f>VLOOKUP(H1130,'Fund Utilization Report'!$A$4:$U$1800,7,FALSE)</f>
        <v>PS</v>
      </c>
      <c r="Z1130" s="441">
        <f>VLOOKUP(H1130,'Fund Utilization Report'!$A$4:$U$1800,8,FALSE)</f>
        <v>5010000000</v>
      </c>
      <c r="AA1130" s="239" t="str">
        <f>VLOOKUP(H1130,'Fund Utilization Report'!$A$4:$U$1800,14,FALSE)</f>
        <v>330100100002000</v>
      </c>
      <c r="AB1130" s="242" t="str">
        <f>VLOOKUP(H1130,'Fund Utilization Report'!$A$4:$U$1800,15,FALSE)</f>
        <v>Implementation of the MSME Development Plan and other initiatives to promote the growth of Micro, Small and Medium Enterprises</v>
      </c>
      <c r="AC1130" s="51"/>
      <c r="AD1130" s="435"/>
      <c r="AE1130" s="51"/>
      <c r="AF1130" s="51"/>
      <c r="AG1130" s="442"/>
      <c r="AH1130" s="442"/>
      <c r="AI1130" s="443"/>
    </row>
    <row r="1131" spans="1:35" s="32" customFormat="1" ht="27.6">
      <c r="A1131" s="434" t="s">
        <v>942</v>
      </c>
      <c r="B1131" s="457" t="s">
        <v>946</v>
      </c>
      <c r="C1131" s="233">
        <v>44265</v>
      </c>
      <c r="D1131" s="435" t="s">
        <v>1267</v>
      </c>
      <c r="E1131" s="436" t="s">
        <v>1402</v>
      </c>
      <c r="F1131" s="338">
        <v>0.44375000000000003</v>
      </c>
      <c r="G1131" s="338">
        <v>0.44513888888888892</v>
      </c>
      <c r="H1131" s="338" t="s">
        <v>970</v>
      </c>
      <c r="I1131" s="353">
        <v>733</v>
      </c>
      <c r="J1131" s="338" t="str">
        <f>IFERROR(VLOOKUP(I1131,'Chart of accounts'!A:H,2,FALSE),"")</f>
        <v>50103030 01</v>
      </c>
      <c r="K1131" s="338" t="str">
        <f>IFERROR(VLOOKUP(I1131,'Chart of accounts'!A:H,3,FALSE),"")</f>
        <v>PhilHealth - Civilian</v>
      </c>
      <c r="L1131" s="338" t="str">
        <f>IFERROR(VLOOKUP(I1131,'Chart of accounts'!A:H,4,FALSE),"")</f>
        <v>50103030 01 - PhilHealth - Civilian (733)</v>
      </c>
      <c r="M1131" s="361">
        <v>68</v>
      </c>
      <c r="N1131" s="355" t="s">
        <v>764</v>
      </c>
      <c r="O1131" s="355" t="s">
        <v>1384</v>
      </c>
      <c r="P1131" s="355"/>
      <c r="Q1131" s="363">
        <v>1702.48</v>
      </c>
      <c r="R1131" s="319">
        <f t="shared" si="43"/>
        <v>-1702.48</v>
      </c>
      <c r="S1131" s="239" t="str">
        <f>VLOOKUP(H1131,'Fund Utilization Report'!$A$4:$U$1800,13,FALSE)</f>
        <v>PS</v>
      </c>
      <c r="T1131" s="239" t="str">
        <f>VLOOKUP(H1131,'Fund Utilization Report'!$A$4:$U$1800,2,FALSE)</f>
        <v>GAA</v>
      </c>
      <c r="U1131" s="239" t="str">
        <f>VLOOKUP(H1131,'Fund Utilization Report'!$A$4:$U$1800,3,FALSE)</f>
        <v>FY2021, RA11518</v>
      </c>
      <c r="V1131" s="239" t="str">
        <f>VLOOKUP(H1131,'Fund Utilization Report'!$A$4:$U$1800,4,FALSE)</f>
        <v>OO3</v>
      </c>
      <c r="W1131" s="239" t="str">
        <f>VLOOKUP(H1131,'Fund Utilization Report'!$A$4:$U$1800,5,FALSE)</f>
        <v>01101101</v>
      </c>
      <c r="X1131" s="239" t="str">
        <f>VLOOKUP(H1131,'Fund Utilization Report'!$A$4:$U$1800,6,FALSE)</f>
        <v>GOP</v>
      </c>
      <c r="Y1131" s="440" t="str">
        <f>VLOOKUP(H1131,'Fund Utilization Report'!$A$4:$U$1800,7,FALSE)</f>
        <v>PS</v>
      </c>
      <c r="Z1131" s="441">
        <f>VLOOKUP(H1131,'Fund Utilization Report'!$A$4:$U$1800,8,FALSE)</f>
        <v>5010000000</v>
      </c>
      <c r="AA1131" s="239" t="str">
        <f>VLOOKUP(H1131,'Fund Utilization Report'!$A$4:$U$1800,14,FALSE)</f>
        <v>330100100002000</v>
      </c>
      <c r="AB1131" s="242" t="str">
        <f>VLOOKUP(H1131,'Fund Utilization Report'!$A$4:$U$1800,15,FALSE)</f>
        <v>Implementation of the MSME Development Plan and other initiatives to promote the growth of Micro, Small and Medium Enterprises</v>
      </c>
      <c r="AC1131" s="51"/>
      <c r="AD1131" s="435"/>
      <c r="AE1131" s="51"/>
      <c r="AF1131" s="51"/>
      <c r="AG1131" s="442"/>
      <c r="AH1131" s="442"/>
      <c r="AI1131" s="443"/>
    </row>
    <row r="1132" spans="1:35" s="32" customFormat="1" ht="27.6">
      <c r="A1132" s="434" t="s">
        <v>942</v>
      </c>
      <c r="B1132" s="457" t="s">
        <v>946</v>
      </c>
      <c r="C1132" s="233">
        <v>44265</v>
      </c>
      <c r="D1132" s="435" t="s">
        <v>1267</v>
      </c>
      <c r="E1132" s="436" t="s">
        <v>1402</v>
      </c>
      <c r="F1132" s="338">
        <v>0.44375000000000003</v>
      </c>
      <c r="G1132" s="338">
        <v>0.44513888888888892</v>
      </c>
      <c r="H1132" s="338" t="s">
        <v>970</v>
      </c>
      <c r="I1132" s="353">
        <v>734</v>
      </c>
      <c r="J1132" s="338" t="str">
        <f>IFERROR(VLOOKUP(I1132,'Chart of accounts'!A:H,2,FALSE),"")</f>
        <v>50103040 01</v>
      </c>
      <c r="K1132" s="338" t="str">
        <f>IFERROR(VLOOKUP(I1132,'Chart of accounts'!A:H,3,FALSE),"")</f>
        <v>ECIP - Civilian</v>
      </c>
      <c r="L1132" s="338" t="str">
        <f>IFERROR(VLOOKUP(I1132,'Chart of accounts'!A:H,4,FALSE),"")</f>
        <v>50103040 01 - ECIP - Civilian (734)</v>
      </c>
      <c r="M1132" s="361">
        <v>68</v>
      </c>
      <c r="N1132" s="355" t="s">
        <v>764</v>
      </c>
      <c r="O1132" s="355" t="s">
        <v>1384</v>
      </c>
      <c r="P1132" s="355"/>
      <c r="Q1132" s="363">
        <v>300</v>
      </c>
      <c r="R1132" s="319">
        <f t="shared" si="43"/>
        <v>-300</v>
      </c>
      <c r="S1132" s="239" t="str">
        <f>VLOOKUP(H1132,'Fund Utilization Report'!$A$4:$U$1800,13,FALSE)</f>
        <v>PS</v>
      </c>
      <c r="T1132" s="239" t="str">
        <f>VLOOKUP(H1132,'Fund Utilization Report'!$A$4:$U$1800,2,FALSE)</f>
        <v>GAA</v>
      </c>
      <c r="U1132" s="239" t="str">
        <f>VLOOKUP(H1132,'Fund Utilization Report'!$A$4:$U$1800,3,FALSE)</f>
        <v>FY2021, RA11518</v>
      </c>
      <c r="V1132" s="239" t="str">
        <f>VLOOKUP(H1132,'Fund Utilization Report'!$A$4:$U$1800,4,FALSE)</f>
        <v>OO3</v>
      </c>
      <c r="W1132" s="239" t="str">
        <f>VLOOKUP(H1132,'Fund Utilization Report'!$A$4:$U$1800,5,FALSE)</f>
        <v>01101101</v>
      </c>
      <c r="X1132" s="239" t="str">
        <f>VLOOKUP(H1132,'Fund Utilization Report'!$A$4:$U$1800,6,FALSE)</f>
        <v>GOP</v>
      </c>
      <c r="Y1132" s="440" t="str">
        <f>VLOOKUP(H1132,'Fund Utilization Report'!$A$4:$U$1800,7,FALSE)</f>
        <v>PS</v>
      </c>
      <c r="Z1132" s="441">
        <f>VLOOKUP(H1132,'Fund Utilization Report'!$A$4:$U$1800,8,FALSE)</f>
        <v>5010000000</v>
      </c>
      <c r="AA1132" s="239" t="str">
        <f>VLOOKUP(H1132,'Fund Utilization Report'!$A$4:$U$1800,14,FALSE)</f>
        <v>330100100002000</v>
      </c>
      <c r="AB1132" s="242" t="str">
        <f>VLOOKUP(H1132,'Fund Utilization Report'!$A$4:$U$1800,15,FALSE)</f>
        <v>Implementation of the MSME Development Plan and other initiatives to promote the growth of Micro, Small and Medium Enterprises</v>
      </c>
      <c r="AC1132" s="51"/>
      <c r="AD1132" s="435"/>
      <c r="AE1132" s="51"/>
      <c r="AF1132" s="51"/>
      <c r="AG1132" s="442"/>
      <c r="AH1132" s="442"/>
      <c r="AI1132" s="443"/>
    </row>
    <row r="1133" spans="1:35" s="32" customFormat="1" ht="27.6">
      <c r="A1133" s="434" t="s">
        <v>942</v>
      </c>
      <c r="B1133" s="457" t="s">
        <v>946</v>
      </c>
      <c r="C1133" s="233">
        <v>44265</v>
      </c>
      <c r="D1133" s="435" t="s">
        <v>1267</v>
      </c>
      <c r="E1133" s="436" t="s">
        <v>1402</v>
      </c>
      <c r="F1133" s="338">
        <v>0.44375000000000003</v>
      </c>
      <c r="G1133" s="338">
        <v>0.44513888888888892</v>
      </c>
      <c r="H1133" s="338" t="s">
        <v>973</v>
      </c>
      <c r="I1133" s="353">
        <v>701</v>
      </c>
      <c r="J1133" s="338" t="str">
        <f>IFERROR(VLOOKUP(I1133,'Chart of accounts'!A:H,2,FALSE),"")</f>
        <v>50101010 01</v>
      </c>
      <c r="K1133" s="338" t="str">
        <f>IFERROR(VLOOKUP(I1133,'Chart of accounts'!A:H,3,FALSE),"")</f>
        <v>Basic Salary - Civilian</v>
      </c>
      <c r="L1133" s="338" t="str">
        <f>IFERROR(VLOOKUP(I1133,'Chart of accounts'!A:H,4,FALSE),"")</f>
        <v>50101010 01 - Basic Salary - Civilian (701)</v>
      </c>
      <c r="M1133" s="361">
        <v>68</v>
      </c>
      <c r="N1133" s="355" t="s">
        <v>764</v>
      </c>
      <c r="O1133" s="355" t="s">
        <v>1384</v>
      </c>
      <c r="P1133" s="355"/>
      <c r="Q1133" s="363">
        <v>136714</v>
      </c>
      <c r="R1133" s="319">
        <f t="shared" si="43"/>
        <v>-136714</v>
      </c>
      <c r="S1133" s="239" t="str">
        <f>VLOOKUP(H1133,'Fund Utilization Report'!$A$4:$U$1800,13,FALSE)</f>
        <v>PS</v>
      </c>
      <c r="T1133" s="239" t="str">
        <f>VLOOKUP(H1133,'Fund Utilization Report'!$A$4:$U$1800,2,FALSE)</f>
        <v>GAA</v>
      </c>
      <c r="U1133" s="239" t="str">
        <f>VLOOKUP(H1133,'Fund Utilization Report'!$A$4:$U$1800,3,FALSE)</f>
        <v>FY2021, RA11518</v>
      </c>
      <c r="V1133" s="239" t="str">
        <f>VLOOKUP(H1133,'Fund Utilization Report'!$A$4:$U$1800,4,FALSE)</f>
        <v>OO4.1(FTL)</v>
      </c>
      <c r="W1133" s="239" t="str">
        <f>VLOOKUP(H1133,'Fund Utilization Report'!$A$4:$U$1800,5,FALSE)</f>
        <v>01101101</v>
      </c>
      <c r="X1133" s="239" t="str">
        <f>VLOOKUP(H1133,'Fund Utilization Report'!$A$4:$U$1800,6,FALSE)</f>
        <v>GOP</v>
      </c>
      <c r="Y1133" s="440" t="str">
        <f>VLOOKUP(H1133,'Fund Utilization Report'!$A$4:$U$1800,7,FALSE)</f>
        <v>PS</v>
      </c>
      <c r="Z1133" s="441">
        <f>VLOOKUP(H1133,'Fund Utilization Report'!$A$4:$U$1800,8,FALSE)</f>
        <v>5010000000</v>
      </c>
      <c r="AA1133" s="239" t="str">
        <f>VLOOKUP(H1133,'Fund Utilization Report'!$A$4:$U$1800,14,FALSE)</f>
        <v>340100100002000</v>
      </c>
      <c r="AB1133" s="242" t="str">
        <f>VLOOKUP(H1133,'Fund Utilization Report'!$A$4:$U$1800,15,FALSE)</f>
        <v>Monitoring and Enforcement of FTL including consumer complaints handling</v>
      </c>
      <c r="AC1133" s="51"/>
      <c r="AD1133" s="435"/>
      <c r="AE1133" s="51"/>
      <c r="AF1133" s="51"/>
      <c r="AG1133" s="442"/>
      <c r="AH1133" s="442"/>
      <c r="AI1133" s="443"/>
    </row>
    <row r="1134" spans="1:35" s="32" customFormat="1" ht="27.6">
      <c r="A1134" s="434" t="s">
        <v>942</v>
      </c>
      <c r="B1134" s="457" t="s">
        <v>946</v>
      </c>
      <c r="C1134" s="233">
        <v>44265</v>
      </c>
      <c r="D1134" s="435" t="s">
        <v>1267</v>
      </c>
      <c r="E1134" s="436" t="s">
        <v>1402</v>
      </c>
      <c r="F1134" s="338">
        <v>0.44375000000000003</v>
      </c>
      <c r="G1134" s="338">
        <v>0.44513888888888892</v>
      </c>
      <c r="H1134" s="338" t="s">
        <v>973</v>
      </c>
      <c r="I1134" s="353">
        <v>711</v>
      </c>
      <c r="J1134" s="338" t="str">
        <f>IFERROR(VLOOKUP(I1134,'Chart of accounts'!A:H,2,FALSE),"")</f>
        <v>50102010 01</v>
      </c>
      <c r="K1134" s="338" t="str">
        <f>IFERROR(VLOOKUP(I1134,'Chart of accounts'!A:H,3,FALSE),"")</f>
        <v>PERA - Civilian</v>
      </c>
      <c r="L1134" s="338" t="str">
        <f>IFERROR(VLOOKUP(I1134,'Chart of accounts'!A:H,4,FALSE),"")</f>
        <v>50102010 01 - PERA - Civilian (711)</v>
      </c>
      <c r="M1134" s="361">
        <v>68</v>
      </c>
      <c r="N1134" s="355" t="s">
        <v>764</v>
      </c>
      <c r="O1134" s="355" t="s">
        <v>1384</v>
      </c>
      <c r="P1134" s="355"/>
      <c r="Q1134" s="363">
        <v>6000</v>
      </c>
      <c r="R1134" s="319">
        <f t="shared" si="43"/>
        <v>-6000</v>
      </c>
      <c r="S1134" s="239" t="str">
        <f>VLOOKUP(H1134,'Fund Utilization Report'!$A$4:$U$1800,13,FALSE)</f>
        <v>PS</v>
      </c>
      <c r="T1134" s="239" t="str">
        <f>VLOOKUP(H1134,'Fund Utilization Report'!$A$4:$U$1800,2,FALSE)</f>
        <v>GAA</v>
      </c>
      <c r="U1134" s="239" t="str">
        <f>VLOOKUP(H1134,'Fund Utilization Report'!$A$4:$U$1800,3,FALSE)</f>
        <v>FY2021, RA11518</v>
      </c>
      <c r="V1134" s="239" t="str">
        <f>VLOOKUP(H1134,'Fund Utilization Report'!$A$4:$U$1800,4,FALSE)</f>
        <v>OO4.1(FTL)</v>
      </c>
      <c r="W1134" s="239" t="str">
        <f>VLOOKUP(H1134,'Fund Utilization Report'!$A$4:$U$1800,5,FALSE)</f>
        <v>01101101</v>
      </c>
      <c r="X1134" s="239" t="str">
        <f>VLOOKUP(H1134,'Fund Utilization Report'!$A$4:$U$1800,6,FALSE)</f>
        <v>GOP</v>
      </c>
      <c r="Y1134" s="440" t="str">
        <f>VLOOKUP(H1134,'Fund Utilization Report'!$A$4:$U$1800,7,FALSE)</f>
        <v>PS</v>
      </c>
      <c r="Z1134" s="441">
        <f>VLOOKUP(H1134,'Fund Utilization Report'!$A$4:$U$1800,8,FALSE)</f>
        <v>5010000000</v>
      </c>
      <c r="AA1134" s="239" t="str">
        <f>VLOOKUP(H1134,'Fund Utilization Report'!$A$4:$U$1800,14,FALSE)</f>
        <v>340100100002000</v>
      </c>
      <c r="AB1134" s="242" t="str">
        <f>VLOOKUP(H1134,'Fund Utilization Report'!$A$4:$U$1800,15,FALSE)</f>
        <v>Monitoring and Enforcement of FTL including consumer complaints handling</v>
      </c>
      <c r="AC1134" s="51"/>
      <c r="AD1134" s="435"/>
      <c r="AE1134" s="51"/>
      <c r="AF1134" s="51"/>
      <c r="AG1134" s="442"/>
      <c r="AH1134" s="442"/>
      <c r="AI1134" s="443"/>
    </row>
    <row r="1135" spans="1:35" s="32" customFormat="1" ht="27.6">
      <c r="A1135" s="434" t="s">
        <v>942</v>
      </c>
      <c r="B1135" s="457" t="s">
        <v>946</v>
      </c>
      <c r="C1135" s="233">
        <v>44265</v>
      </c>
      <c r="D1135" s="435" t="s">
        <v>1267</v>
      </c>
      <c r="E1135" s="436" t="s">
        <v>1402</v>
      </c>
      <c r="F1135" s="338">
        <v>0.44375000000000003</v>
      </c>
      <c r="G1135" s="338">
        <v>0.44513888888888892</v>
      </c>
      <c r="H1135" s="338" t="s">
        <v>975</v>
      </c>
      <c r="I1135" s="353">
        <v>731</v>
      </c>
      <c r="J1135" s="338" t="str">
        <f>IFERROR(VLOOKUP(I1135,'Chart of accounts'!A:H,2,FALSE),"")</f>
        <v>50103010 00</v>
      </c>
      <c r="K1135" s="338" t="str">
        <f>IFERROR(VLOOKUP(I1135,'Chart of accounts'!A:H,3,FALSE),"")</f>
        <v>Retirement and Life Insurance Premiums</v>
      </c>
      <c r="L1135" s="338" t="str">
        <f>IFERROR(VLOOKUP(I1135,'Chart of accounts'!A:H,4,FALSE),"")</f>
        <v>50103010 00 - Retirement and Life Insurance Premiums (731)</v>
      </c>
      <c r="M1135" s="361">
        <v>68</v>
      </c>
      <c r="N1135" s="355" t="s">
        <v>764</v>
      </c>
      <c r="O1135" s="355" t="s">
        <v>1384</v>
      </c>
      <c r="P1135" s="355"/>
      <c r="Q1135" s="363">
        <v>16405.68</v>
      </c>
      <c r="R1135" s="319">
        <f t="shared" si="43"/>
        <v>-16405.68</v>
      </c>
      <c r="S1135" s="239" t="str">
        <f>VLOOKUP(H1135,'Fund Utilization Report'!$A$4:$U$1800,13,FALSE)</f>
        <v>PS</v>
      </c>
      <c r="T1135" s="239" t="str">
        <f>VLOOKUP(H1135,'Fund Utilization Report'!$A$4:$U$1800,2,FALSE)</f>
        <v>GAA</v>
      </c>
      <c r="U1135" s="239" t="str">
        <f>VLOOKUP(H1135,'Fund Utilization Report'!$A$4:$U$1800,3,FALSE)</f>
        <v>FY2021, RA11518</v>
      </c>
      <c r="V1135" s="239" t="str">
        <f>VLOOKUP(H1135,'Fund Utilization Report'!$A$4:$U$1800,4,FALSE)</f>
        <v>OO4.1(FTL)</v>
      </c>
      <c r="W1135" s="239" t="str">
        <f>VLOOKUP(H1135,'Fund Utilization Report'!$A$4:$U$1800,5,FALSE)</f>
        <v>01101101</v>
      </c>
      <c r="X1135" s="239" t="str">
        <f>VLOOKUP(H1135,'Fund Utilization Report'!$A$4:$U$1800,6,FALSE)</f>
        <v>GOP</v>
      </c>
      <c r="Y1135" s="440" t="str">
        <f>VLOOKUP(H1135,'Fund Utilization Report'!$A$4:$U$1800,7,FALSE)</f>
        <v>RLIP</v>
      </c>
      <c r="Z1135" s="441" t="str">
        <f>VLOOKUP(H1135,'Fund Utilization Report'!$A$4:$U$1800,8,FALSE)</f>
        <v>50103010-00</v>
      </c>
      <c r="AA1135" s="239" t="str">
        <f>VLOOKUP(H1135,'Fund Utilization Report'!$A$4:$U$1800,14,FALSE)</f>
        <v>340100100002000</v>
      </c>
      <c r="AB1135" s="242" t="str">
        <f>VLOOKUP(H1135,'Fund Utilization Report'!$A$4:$U$1800,15,FALSE)</f>
        <v>Monitoring and Enforcement of FTL including consumer complaints handling</v>
      </c>
      <c r="AC1135" s="51"/>
      <c r="AD1135" s="435"/>
      <c r="AE1135" s="51"/>
      <c r="AF1135" s="51"/>
      <c r="AG1135" s="442"/>
      <c r="AH1135" s="442"/>
      <c r="AI1135" s="443"/>
    </row>
    <row r="1136" spans="1:35" s="32" customFormat="1" ht="27.6">
      <c r="A1136" s="434" t="s">
        <v>942</v>
      </c>
      <c r="B1136" s="457" t="s">
        <v>946</v>
      </c>
      <c r="C1136" s="233">
        <v>44265</v>
      </c>
      <c r="D1136" s="435" t="s">
        <v>1267</v>
      </c>
      <c r="E1136" s="436" t="s">
        <v>1402</v>
      </c>
      <c r="F1136" s="338">
        <v>0.44375000000000003</v>
      </c>
      <c r="G1136" s="338">
        <v>0.44513888888888892</v>
      </c>
      <c r="H1136" s="338" t="s">
        <v>973</v>
      </c>
      <c r="I1136" s="353">
        <v>732</v>
      </c>
      <c r="J1136" s="338" t="str">
        <f>IFERROR(VLOOKUP(I1136,'Chart of accounts'!A:H,2,FALSE),"")</f>
        <v>50103020 01</v>
      </c>
      <c r="K1136" s="338" t="str">
        <f>IFERROR(VLOOKUP(I1136,'Chart of accounts'!A:H,3,FALSE),"")</f>
        <v>Pag-IBIG - Civilian</v>
      </c>
      <c r="L1136" s="338" t="str">
        <f>IFERROR(VLOOKUP(I1136,'Chart of accounts'!A:H,4,FALSE),"")</f>
        <v>50103020 01 - Pag-IBIG - Civilian (732)</v>
      </c>
      <c r="M1136" s="361">
        <v>68</v>
      </c>
      <c r="N1136" s="355" t="s">
        <v>764</v>
      </c>
      <c r="O1136" s="355" t="s">
        <v>1384</v>
      </c>
      <c r="P1136" s="355"/>
      <c r="Q1136" s="363">
        <v>300</v>
      </c>
      <c r="R1136" s="319">
        <f t="shared" si="43"/>
        <v>-300</v>
      </c>
      <c r="S1136" s="239" t="str">
        <f>VLOOKUP(H1136,'Fund Utilization Report'!$A$4:$U$1800,13,FALSE)</f>
        <v>PS</v>
      </c>
      <c r="T1136" s="239" t="str">
        <f>VLOOKUP(H1136,'Fund Utilization Report'!$A$4:$U$1800,2,FALSE)</f>
        <v>GAA</v>
      </c>
      <c r="U1136" s="239" t="str">
        <f>VLOOKUP(H1136,'Fund Utilization Report'!$A$4:$U$1800,3,FALSE)</f>
        <v>FY2021, RA11518</v>
      </c>
      <c r="V1136" s="239" t="str">
        <f>VLOOKUP(H1136,'Fund Utilization Report'!$A$4:$U$1800,4,FALSE)</f>
        <v>OO4.1(FTL)</v>
      </c>
      <c r="W1136" s="239" t="str">
        <f>VLOOKUP(H1136,'Fund Utilization Report'!$A$4:$U$1800,5,FALSE)</f>
        <v>01101101</v>
      </c>
      <c r="X1136" s="239" t="str">
        <f>VLOOKUP(H1136,'Fund Utilization Report'!$A$4:$U$1800,6,FALSE)</f>
        <v>GOP</v>
      </c>
      <c r="Y1136" s="440" t="str">
        <f>VLOOKUP(H1136,'Fund Utilization Report'!$A$4:$U$1800,7,FALSE)</f>
        <v>PS</v>
      </c>
      <c r="Z1136" s="441">
        <f>VLOOKUP(H1136,'Fund Utilization Report'!$A$4:$U$1800,8,FALSE)</f>
        <v>5010000000</v>
      </c>
      <c r="AA1136" s="239" t="str">
        <f>VLOOKUP(H1136,'Fund Utilization Report'!$A$4:$U$1800,14,FALSE)</f>
        <v>340100100002000</v>
      </c>
      <c r="AB1136" s="242" t="str">
        <f>VLOOKUP(H1136,'Fund Utilization Report'!$A$4:$U$1800,15,FALSE)</f>
        <v>Monitoring and Enforcement of FTL including consumer complaints handling</v>
      </c>
      <c r="AC1136" s="51"/>
      <c r="AD1136" s="435"/>
      <c r="AE1136" s="51"/>
      <c r="AF1136" s="51"/>
      <c r="AG1136" s="442"/>
      <c r="AH1136" s="442"/>
      <c r="AI1136" s="443"/>
    </row>
    <row r="1137" spans="1:35" s="32" customFormat="1" ht="27.6">
      <c r="A1137" s="434" t="s">
        <v>942</v>
      </c>
      <c r="B1137" s="457" t="s">
        <v>946</v>
      </c>
      <c r="C1137" s="233">
        <v>44265</v>
      </c>
      <c r="D1137" s="435" t="s">
        <v>1267</v>
      </c>
      <c r="E1137" s="436" t="s">
        <v>1402</v>
      </c>
      <c r="F1137" s="338">
        <v>0.44375000000000003</v>
      </c>
      <c r="G1137" s="338">
        <v>0.44513888888888892</v>
      </c>
      <c r="H1137" s="338" t="s">
        <v>973</v>
      </c>
      <c r="I1137" s="353">
        <v>733</v>
      </c>
      <c r="J1137" s="338" t="str">
        <f>IFERROR(VLOOKUP(I1137,'Chart of accounts'!A:H,2,FALSE),"")</f>
        <v>50103030 01</v>
      </c>
      <c r="K1137" s="338" t="str">
        <f>IFERROR(VLOOKUP(I1137,'Chart of accounts'!A:H,3,FALSE),"")</f>
        <v>PhilHealth - Civilian</v>
      </c>
      <c r="L1137" s="338" t="str">
        <f>IFERROR(VLOOKUP(I1137,'Chart of accounts'!A:H,4,FALSE),"")</f>
        <v>50103030 01 - PhilHealth - Civilian (733)</v>
      </c>
      <c r="M1137" s="361">
        <v>68</v>
      </c>
      <c r="N1137" s="355" t="s">
        <v>764</v>
      </c>
      <c r="O1137" s="355" t="s">
        <v>1384</v>
      </c>
      <c r="P1137" s="355"/>
      <c r="Q1137" s="363">
        <v>1924.49</v>
      </c>
      <c r="R1137" s="319">
        <f t="shared" si="43"/>
        <v>-1924.49</v>
      </c>
      <c r="S1137" s="239" t="str">
        <f>VLOOKUP(H1137,'Fund Utilization Report'!$A$4:$U$1800,13,FALSE)</f>
        <v>PS</v>
      </c>
      <c r="T1137" s="239" t="str">
        <f>VLOOKUP(H1137,'Fund Utilization Report'!$A$4:$U$1800,2,FALSE)</f>
        <v>GAA</v>
      </c>
      <c r="U1137" s="239" t="str">
        <f>VLOOKUP(H1137,'Fund Utilization Report'!$A$4:$U$1800,3,FALSE)</f>
        <v>FY2021, RA11518</v>
      </c>
      <c r="V1137" s="239" t="str">
        <f>VLOOKUP(H1137,'Fund Utilization Report'!$A$4:$U$1800,4,FALSE)</f>
        <v>OO4.1(FTL)</v>
      </c>
      <c r="W1137" s="239" t="str">
        <f>VLOOKUP(H1137,'Fund Utilization Report'!$A$4:$U$1800,5,FALSE)</f>
        <v>01101101</v>
      </c>
      <c r="X1137" s="239" t="str">
        <f>VLOOKUP(H1137,'Fund Utilization Report'!$A$4:$U$1800,6,FALSE)</f>
        <v>GOP</v>
      </c>
      <c r="Y1137" s="440" t="str">
        <f>VLOOKUP(H1137,'Fund Utilization Report'!$A$4:$U$1800,7,FALSE)</f>
        <v>PS</v>
      </c>
      <c r="Z1137" s="441">
        <f>VLOOKUP(H1137,'Fund Utilization Report'!$A$4:$U$1800,8,FALSE)</f>
        <v>5010000000</v>
      </c>
      <c r="AA1137" s="239" t="str">
        <f>VLOOKUP(H1137,'Fund Utilization Report'!$A$4:$U$1800,14,FALSE)</f>
        <v>340100100002000</v>
      </c>
      <c r="AB1137" s="242" t="str">
        <f>VLOOKUP(H1137,'Fund Utilization Report'!$A$4:$U$1800,15,FALSE)</f>
        <v>Monitoring and Enforcement of FTL including consumer complaints handling</v>
      </c>
      <c r="AC1137" s="51"/>
      <c r="AD1137" s="435"/>
      <c r="AE1137" s="51"/>
      <c r="AF1137" s="51"/>
      <c r="AG1137" s="442"/>
      <c r="AH1137" s="442"/>
      <c r="AI1137" s="443"/>
    </row>
    <row r="1138" spans="1:35" s="32" customFormat="1" ht="27.6">
      <c r="A1138" s="434" t="s">
        <v>942</v>
      </c>
      <c r="B1138" s="457" t="s">
        <v>946</v>
      </c>
      <c r="C1138" s="233">
        <v>44265</v>
      </c>
      <c r="D1138" s="435" t="s">
        <v>1267</v>
      </c>
      <c r="E1138" s="436" t="s">
        <v>1402</v>
      </c>
      <c r="F1138" s="338">
        <v>0.44375000000000003</v>
      </c>
      <c r="G1138" s="338">
        <v>0.44513888888888892</v>
      </c>
      <c r="H1138" s="338" t="s">
        <v>973</v>
      </c>
      <c r="I1138" s="353">
        <v>734</v>
      </c>
      <c r="J1138" s="338" t="str">
        <f>IFERROR(VLOOKUP(I1138,'Chart of accounts'!A:H,2,FALSE),"")</f>
        <v>50103040 01</v>
      </c>
      <c r="K1138" s="338" t="str">
        <f>IFERROR(VLOOKUP(I1138,'Chart of accounts'!A:H,3,FALSE),"")</f>
        <v>ECIP - Civilian</v>
      </c>
      <c r="L1138" s="338" t="str">
        <f>IFERROR(VLOOKUP(I1138,'Chart of accounts'!A:H,4,FALSE),"")</f>
        <v>50103040 01 - ECIP - Civilian (734)</v>
      </c>
      <c r="M1138" s="361">
        <v>68</v>
      </c>
      <c r="N1138" s="355" t="s">
        <v>764</v>
      </c>
      <c r="O1138" s="355" t="s">
        <v>1384</v>
      </c>
      <c r="P1138" s="355"/>
      <c r="Q1138" s="363">
        <v>300</v>
      </c>
      <c r="R1138" s="319">
        <f t="shared" si="43"/>
        <v>-300</v>
      </c>
      <c r="S1138" s="239" t="str">
        <f>VLOOKUP(H1138,'Fund Utilization Report'!$A$4:$U$1800,13,FALSE)</f>
        <v>PS</v>
      </c>
      <c r="T1138" s="239" t="str">
        <f>VLOOKUP(H1138,'Fund Utilization Report'!$A$4:$U$1800,2,FALSE)</f>
        <v>GAA</v>
      </c>
      <c r="U1138" s="239" t="str">
        <f>VLOOKUP(H1138,'Fund Utilization Report'!$A$4:$U$1800,3,FALSE)</f>
        <v>FY2021, RA11518</v>
      </c>
      <c r="V1138" s="239" t="str">
        <f>VLOOKUP(H1138,'Fund Utilization Report'!$A$4:$U$1800,4,FALSE)</f>
        <v>OO4.1(FTL)</v>
      </c>
      <c r="W1138" s="239" t="str">
        <f>VLOOKUP(H1138,'Fund Utilization Report'!$A$4:$U$1800,5,FALSE)</f>
        <v>01101101</v>
      </c>
      <c r="X1138" s="239" t="str">
        <f>VLOOKUP(H1138,'Fund Utilization Report'!$A$4:$U$1800,6,FALSE)</f>
        <v>GOP</v>
      </c>
      <c r="Y1138" s="440" t="str">
        <f>VLOOKUP(H1138,'Fund Utilization Report'!$A$4:$U$1800,7,FALSE)</f>
        <v>PS</v>
      </c>
      <c r="Z1138" s="441">
        <f>VLOOKUP(H1138,'Fund Utilization Report'!$A$4:$U$1800,8,FALSE)</f>
        <v>5010000000</v>
      </c>
      <c r="AA1138" s="239" t="str">
        <f>VLOOKUP(H1138,'Fund Utilization Report'!$A$4:$U$1800,14,FALSE)</f>
        <v>340100100002000</v>
      </c>
      <c r="AB1138" s="242" t="str">
        <f>VLOOKUP(H1138,'Fund Utilization Report'!$A$4:$U$1800,15,FALSE)</f>
        <v>Monitoring and Enforcement of FTL including consumer complaints handling</v>
      </c>
      <c r="AC1138" s="51"/>
      <c r="AD1138" s="435"/>
      <c r="AE1138" s="51"/>
      <c r="AF1138" s="51"/>
      <c r="AG1138" s="442"/>
      <c r="AH1138" s="442"/>
      <c r="AI1138" s="443"/>
    </row>
    <row r="1139" spans="1:35" s="32" customFormat="1" ht="27.6">
      <c r="A1139" s="434" t="s">
        <v>942</v>
      </c>
      <c r="B1139" s="457" t="s">
        <v>946</v>
      </c>
      <c r="C1139" s="233">
        <v>44265</v>
      </c>
      <c r="D1139" s="435" t="s">
        <v>1267</v>
      </c>
      <c r="E1139" s="436" t="s">
        <v>1403</v>
      </c>
      <c r="F1139" s="338">
        <v>0.44513888888888892</v>
      </c>
      <c r="G1139" s="338">
        <v>0.44930555555555557</v>
      </c>
      <c r="H1139" s="338" t="s">
        <v>999</v>
      </c>
      <c r="I1139" s="353">
        <v>706</v>
      </c>
      <c r="J1139" s="338" t="str">
        <f>IFERROR(VLOOKUP(I1139,'Chart of accounts'!A:H,2,FALSE),"")</f>
        <v>50101020 00</v>
      </c>
      <c r="K1139" s="338" t="str">
        <f>IFERROR(VLOOKUP(I1139,'Chart of accounts'!A:H,3,FALSE),"")</f>
        <v>Basic Salary - Contractual</v>
      </c>
      <c r="L1139" s="338" t="str">
        <f>IFERROR(VLOOKUP(I1139,'Chart of accounts'!A:H,4,FALSE),"")</f>
        <v>50101020 00 - Basic Salary - Contractual (706)</v>
      </c>
      <c r="M1139" s="361">
        <v>68</v>
      </c>
      <c r="N1139" s="355" t="s">
        <v>869</v>
      </c>
      <c r="O1139" s="355" t="s">
        <v>1390</v>
      </c>
      <c r="P1139" s="355"/>
      <c r="Q1139" s="363">
        <v>33575</v>
      </c>
      <c r="R1139" s="319">
        <f t="shared" si="43"/>
        <v>-33575</v>
      </c>
      <c r="S1139" s="239" t="str">
        <f>VLOOKUP(H1139,'Fund Utilization Report'!$A$4:$U$1800,13,FALSE)</f>
        <v>PS</v>
      </c>
      <c r="T1139" s="239" t="str">
        <f>VLOOKUP(H1139,'Fund Utilization Report'!$A$4:$U$1800,2,FALSE)</f>
        <v>SAA15</v>
      </c>
      <c r="U1139" s="239" t="str">
        <f>VLOOKUP(H1139,'Fund Utilization Report'!$A$4:$U$1800,3,FALSE)</f>
        <v>2021-01-0015</v>
      </c>
      <c r="V1139" s="239" t="str">
        <f>VLOOKUP(H1139,'Fund Utilization Report'!$A$4:$U$1800,4,FALSE)</f>
        <v>CARP</v>
      </c>
      <c r="W1139" s="239" t="str">
        <f>VLOOKUP(H1139,'Fund Utilization Report'!$A$4:$U$1800,5,FALSE)</f>
        <v>01101101</v>
      </c>
      <c r="X1139" s="239" t="str">
        <f>VLOOKUP(H1139,'Fund Utilization Report'!$A$4:$U$1800,6,FALSE)</f>
        <v>GOP</v>
      </c>
      <c r="Y1139" s="440">
        <f>VLOOKUP(H1139,'Fund Utilization Report'!$A$4:$U$1800,7,FALSE)</f>
        <v>706</v>
      </c>
      <c r="Z1139" s="441" t="str">
        <f>VLOOKUP(H1139,'Fund Utilization Report'!$A$4:$U$1800,8,FALSE)</f>
        <v>50101020 00</v>
      </c>
      <c r="AA1139" s="239" t="str">
        <f>VLOOKUP(H1139,'Fund Utilization Report'!$A$4:$U$1800,14,FALSE)</f>
        <v>330100100003000</v>
      </c>
      <c r="AB1139" s="242" t="str">
        <f>VLOOKUP(H1139,'Fund Utilization Report'!$A$4:$U$1800,15,FALSE)</f>
        <v>MSME Development Program : Program Beneficiaries Development Component of the Comprehensive Agrarian Reform Program</v>
      </c>
      <c r="AC1139" s="51"/>
      <c r="AD1139" s="435"/>
      <c r="AE1139" s="51"/>
      <c r="AF1139" s="51"/>
      <c r="AG1139" s="442"/>
      <c r="AH1139" s="442"/>
      <c r="AI1139" s="443"/>
    </row>
    <row r="1140" spans="1:35" s="32" customFormat="1" ht="27.6">
      <c r="A1140" s="434" t="s">
        <v>942</v>
      </c>
      <c r="B1140" s="457" t="s">
        <v>946</v>
      </c>
      <c r="C1140" s="233">
        <v>44265</v>
      </c>
      <c r="D1140" s="435" t="s">
        <v>1267</v>
      </c>
      <c r="E1140" s="436" t="s">
        <v>1403</v>
      </c>
      <c r="F1140" s="338">
        <v>0.44513888888888892</v>
      </c>
      <c r="G1140" s="338">
        <v>0.44930555555555557</v>
      </c>
      <c r="H1140" s="338" t="s">
        <v>999</v>
      </c>
      <c r="I1140" s="353">
        <v>711</v>
      </c>
      <c r="J1140" s="338" t="str">
        <f>IFERROR(VLOOKUP(I1140,'Chart of accounts'!A:H,2,FALSE),"")</f>
        <v>50102010 01</v>
      </c>
      <c r="K1140" s="338" t="str">
        <f>IFERROR(VLOOKUP(I1140,'Chart of accounts'!A:H,3,FALSE),"")</f>
        <v>PERA - Civilian</v>
      </c>
      <c r="L1140" s="338" t="str">
        <f>IFERROR(VLOOKUP(I1140,'Chart of accounts'!A:H,4,FALSE),"")</f>
        <v>50102010 01 - PERA - Civilian (711)</v>
      </c>
      <c r="M1140" s="361">
        <v>68</v>
      </c>
      <c r="N1140" s="355" t="s">
        <v>869</v>
      </c>
      <c r="O1140" s="355" t="s">
        <v>1390</v>
      </c>
      <c r="P1140" s="355"/>
      <c r="Q1140" s="363">
        <v>2000</v>
      </c>
      <c r="R1140" s="428">
        <f t="shared" si="43"/>
        <v>-2000</v>
      </c>
      <c r="S1140" s="239" t="str">
        <f>VLOOKUP(H1140,'Fund Utilization Report'!$A$4:$U$1800,13,FALSE)</f>
        <v>PS</v>
      </c>
      <c r="T1140" s="239" t="str">
        <f>VLOOKUP(H1140,'Fund Utilization Report'!$A$4:$U$1800,2,FALSE)</f>
        <v>SAA15</v>
      </c>
      <c r="U1140" s="239" t="str">
        <f>VLOOKUP(H1140,'Fund Utilization Report'!$A$4:$U$1800,3,FALSE)</f>
        <v>2021-01-0015</v>
      </c>
      <c r="V1140" s="239" t="str">
        <f>VLOOKUP(H1140,'Fund Utilization Report'!$A$4:$U$1800,4,FALSE)</f>
        <v>CARP</v>
      </c>
      <c r="W1140" s="239" t="str">
        <f>VLOOKUP(H1140,'Fund Utilization Report'!$A$4:$U$1800,5,FALSE)</f>
        <v>01101101</v>
      </c>
      <c r="X1140" s="239" t="str">
        <f>VLOOKUP(H1140,'Fund Utilization Report'!$A$4:$U$1800,6,FALSE)</f>
        <v>GOP</v>
      </c>
      <c r="Y1140" s="440">
        <f>VLOOKUP(H1140,'Fund Utilization Report'!$A$4:$U$1800,7,FALSE)</f>
        <v>706</v>
      </c>
      <c r="Z1140" s="441" t="str">
        <f>VLOOKUP(H1140,'Fund Utilization Report'!$A$4:$U$1800,8,FALSE)</f>
        <v>50101020 00</v>
      </c>
      <c r="AA1140" s="239" t="str">
        <f>VLOOKUP(H1140,'Fund Utilization Report'!$A$4:$U$1800,14,FALSE)</f>
        <v>330100100003000</v>
      </c>
      <c r="AB1140" s="242" t="str">
        <f>VLOOKUP(H1140,'Fund Utilization Report'!$A$4:$U$1800,15,FALSE)</f>
        <v>MSME Development Program : Program Beneficiaries Development Component of the Comprehensive Agrarian Reform Program</v>
      </c>
      <c r="AC1140" s="51"/>
      <c r="AD1140" s="435"/>
      <c r="AE1140" s="51"/>
      <c r="AF1140" s="51"/>
      <c r="AG1140" s="442"/>
      <c r="AH1140" s="442"/>
      <c r="AI1140" s="443"/>
    </row>
    <row r="1141" spans="1:35" s="32" customFormat="1" ht="27.6">
      <c r="A1141" s="434" t="s">
        <v>942</v>
      </c>
      <c r="B1141" s="457" t="s">
        <v>946</v>
      </c>
      <c r="C1141" s="233">
        <v>44265</v>
      </c>
      <c r="D1141" s="435" t="s">
        <v>1267</v>
      </c>
      <c r="E1141" s="436" t="s">
        <v>1403</v>
      </c>
      <c r="F1141" s="338">
        <v>0.44513888888888892</v>
      </c>
      <c r="G1141" s="338">
        <v>0.44930555555555557</v>
      </c>
      <c r="H1141" s="338" t="s">
        <v>999</v>
      </c>
      <c r="I1141" s="353">
        <v>731</v>
      </c>
      <c r="J1141" s="338" t="str">
        <f>IFERROR(VLOOKUP(I1141,'Chart of accounts'!A:H,2,FALSE),"")</f>
        <v>50103010 00</v>
      </c>
      <c r="K1141" s="338" t="str">
        <f>IFERROR(VLOOKUP(I1141,'Chart of accounts'!A:H,3,FALSE),"")</f>
        <v>Retirement and Life Insurance Premiums</v>
      </c>
      <c r="L1141" s="338" t="str">
        <f>IFERROR(VLOOKUP(I1141,'Chart of accounts'!A:H,4,FALSE),"")</f>
        <v>50103010 00 - Retirement and Life Insurance Premiums (731)</v>
      </c>
      <c r="M1141" s="361">
        <v>68</v>
      </c>
      <c r="N1141" s="355" t="s">
        <v>869</v>
      </c>
      <c r="O1141" s="355" t="s">
        <v>1390</v>
      </c>
      <c r="P1141" s="355"/>
      <c r="Q1141" s="363">
        <v>4029</v>
      </c>
      <c r="R1141" s="428">
        <f t="shared" si="43"/>
        <v>-4029</v>
      </c>
      <c r="S1141" s="239" t="str">
        <f>VLOOKUP(H1141,'Fund Utilization Report'!$A$4:$U$1800,13,FALSE)</f>
        <v>PS</v>
      </c>
      <c r="T1141" s="239" t="str">
        <f>VLOOKUP(H1141,'Fund Utilization Report'!$A$4:$U$1800,2,FALSE)</f>
        <v>SAA15</v>
      </c>
      <c r="U1141" s="239" t="str">
        <f>VLOOKUP(H1141,'Fund Utilization Report'!$A$4:$U$1800,3,FALSE)</f>
        <v>2021-01-0015</v>
      </c>
      <c r="V1141" s="239" t="str">
        <f>VLOOKUP(H1141,'Fund Utilization Report'!$A$4:$U$1800,4,FALSE)</f>
        <v>CARP</v>
      </c>
      <c r="W1141" s="239" t="str">
        <f>VLOOKUP(H1141,'Fund Utilization Report'!$A$4:$U$1800,5,FALSE)</f>
        <v>01101101</v>
      </c>
      <c r="X1141" s="239" t="str">
        <f>VLOOKUP(H1141,'Fund Utilization Report'!$A$4:$U$1800,6,FALSE)</f>
        <v>GOP</v>
      </c>
      <c r="Y1141" s="440">
        <f>VLOOKUP(H1141,'Fund Utilization Report'!$A$4:$U$1800,7,FALSE)</f>
        <v>706</v>
      </c>
      <c r="Z1141" s="441" t="str">
        <f>VLOOKUP(H1141,'Fund Utilization Report'!$A$4:$U$1800,8,FALSE)</f>
        <v>50101020 00</v>
      </c>
      <c r="AA1141" s="239" t="str">
        <f>VLOOKUP(H1141,'Fund Utilization Report'!$A$4:$U$1800,14,FALSE)</f>
        <v>330100100003000</v>
      </c>
      <c r="AB1141" s="242" t="str">
        <f>VLOOKUP(H1141,'Fund Utilization Report'!$A$4:$U$1800,15,FALSE)</f>
        <v>MSME Development Program : Program Beneficiaries Development Component of the Comprehensive Agrarian Reform Program</v>
      </c>
      <c r="AC1141" s="51"/>
      <c r="AD1141" s="435"/>
      <c r="AE1141" s="51"/>
      <c r="AF1141" s="51"/>
      <c r="AG1141" s="442"/>
      <c r="AH1141" s="442"/>
      <c r="AI1141" s="443"/>
    </row>
    <row r="1142" spans="1:35" s="32" customFormat="1" ht="27.6">
      <c r="A1142" s="434" t="s">
        <v>942</v>
      </c>
      <c r="B1142" s="457" t="s">
        <v>946</v>
      </c>
      <c r="C1142" s="233">
        <v>44265</v>
      </c>
      <c r="D1142" s="435" t="s">
        <v>1267</v>
      </c>
      <c r="E1142" s="436" t="s">
        <v>1403</v>
      </c>
      <c r="F1142" s="338">
        <v>0.44513888888888892</v>
      </c>
      <c r="G1142" s="338">
        <v>0.44930555555555557</v>
      </c>
      <c r="H1142" s="338" t="s">
        <v>999</v>
      </c>
      <c r="I1142" s="353">
        <v>732</v>
      </c>
      <c r="J1142" s="338" t="str">
        <f>IFERROR(VLOOKUP(I1142,'Chart of accounts'!A:H,2,FALSE),"")</f>
        <v>50103020 01</v>
      </c>
      <c r="K1142" s="338" t="str">
        <f>IFERROR(VLOOKUP(I1142,'Chart of accounts'!A:H,3,FALSE),"")</f>
        <v>Pag-IBIG - Civilian</v>
      </c>
      <c r="L1142" s="338" t="str">
        <f>IFERROR(VLOOKUP(I1142,'Chart of accounts'!A:H,4,FALSE),"")</f>
        <v>50103020 01 - Pag-IBIG - Civilian (732)</v>
      </c>
      <c r="M1142" s="361">
        <v>68</v>
      </c>
      <c r="N1142" s="355" t="s">
        <v>869</v>
      </c>
      <c r="O1142" s="355" t="s">
        <v>1390</v>
      </c>
      <c r="P1142" s="355"/>
      <c r="Q1142" s="363">
        <v>100</v>
      </c>
      <c r="R1142" s="428">
        <f t="shared" si="43"/>
        <v>-100</v>
      </c>
      <c r="S1142" s="239" t="str">
        <f>VLOOKUP(H1142,'Fund Utilization Report'!$A$4:$U$1800,13,FALSE)</f>
        <v>PS</v>
      </c>
      <c r="T1142" s="239" t="str">
        <f>VLOOKUP(H1142,'Fund Utilization Report'!$A$4:$U$1800,2,FALSE)</f>
        <v>SAA15</v>
      </c>
      <c r="U1142" s="239" t="str">
        <f>VLOOKUP(H1142,'Fund Utilization Report'!$A$4:$U$1800,3,FALSE)</f>
        <v>2021-01-0015</v>
      </c>
      <c r="V1142" s="239" t="str">
        <f>VLOOKUP(H1142,'Fund Utilization Report'!$A$4:$U$1800,4,FALSE)</f>
        <v>CARP</v>
      </c>
      <c r="W1142" s="239" t="str">
        <f>VLOOKUP(H1142,'Fund Utilization Report'!$A$4:$U$1800,5,FALSE)</f>
        <v>01101101</v>
      </c>
      <c r="X1142" s="239" t="str">
        <f>VLOOKUP(H1142,'Fund Utilization Report'!$A$4:$U$1800,6,FALSE)</f>
        <v>GOP</v>
      </c>
      <c r="Y1142" s="440">
        <f>VLOOKUP(H1142,'Fund Utilization Report'!$A$4:$U$1800,7,FALSE)</f>
        <v>706</v>
      </c>
      <c r="Z1142" s="441" t="str">
        <f>VLOOKUP(H1142,'Fund Utilization Report'!$A$4:$U$1800,8,FALSE)</f>
        <v>50101020 00</v>
      </c>
      <c r="AA1142" s="239" t="str">
        <f>VLOOKUP(H1142,'Fund Utilization Report'!$A$4:$U$1800,14,FALSE)</f>
        <v>330100100003000</v>
      </c>
      <c r="AB1142" s="242" t="str">
        <f>VLOOKUP(H1142,'Fund Utilization Report'!$A$4:$U$1800,15,FALSE)</f>
        <v>MSME Development Program : Program Beneficiaries Development Component of the Comprehensive Agrarian Reform Program</v>
      </c>
      <c r="AC1142" s="51"/>
      <c r="AD1142" s="435"/>
      <c r="AE1142" s="51"/>
      <c r="AF1142" s="51"/>
      <c r="AG1142" s="442"/>
      <c r="AH1142" s="442"/>
      <c r="AI1142" s="443"/>
    </row>
    <row r="1143" spans="1:35" s="32" customFormat="1" ht="27.6">
      <c r="A1143" s="434" t="s">
        <v>942</v>
      </c>
      <c r="B1143" s="457" t="s">
        <v>946</v>
      </c>
      <c r="C1143" s="233">
        <v>44265</v>
      </c>
      <c r="D1143" s="435" t="s">
        <v>1267</v>
      </c>
      <c r="E1143" s="436" t="s">
        <v>1403</v>
      </c>
      <c r="F1143" s="338">
        <v>0.44513888888888892</v>
      </c>
      <c r="G1143" s="338">
        <v>0.44930555555555557</v>
      </c>
      <c r="H1143" s="338" t="s">
        <v>999</v>
      </c>
      <c r="I1143" s="353">
        <v>733</v>
      </c>
      <c r="J1143" s="338" t="str">
        <f>IFERROR(VLOOKUP(I1143,'Chart of accounts'!A:H,2,FALSE),"")</f>
        <v>50103030 01</v>
      </c>
      <c r="K1143" s="338" t="str">
        <f>IFERROR(VLOOKUP(I1143,'Chart of accounts'!A:H,3,FALSE),"")</f>
        <v>PhilHealth - Civilian</v>
      </c>
      <c r="L1143" s="338" t="str">
        <f>IFERROR(VLOOKUP(I1143,'Chart of accounts'!A:H,4,FALSE),"")</f>
        <v>50103030 01 - PhilHealth - Civilian (733)</v>
      </c>
      <c r="M1143" s="361">
        <v>68</v>
      </c>
      <c r="N1143" s="355" t="s">
        <v>869</v>
      </c>
      <c r="O1143" s="355" t="s">
        <v>1390</v>
      </c>
      <c r="P1143" s="355"/>
      <c r="Q1143" s="363">
        <v>503.63</v>
      </c>
      <c r="R1143" s="428">
        <f t="shared" si="43"/>
        <v>-503.63</v>
      </c>
      <c r="S1143" s="239" t="str">
        <f>VLOOKUP(H1143,'Fund Utilization Report'!$A$4:$U$1800,13,FALSE)</f>
        <v>PS</v>
      </c>
      <c r="T1143" s="239" t="str">
        <f>VLOOKUP(H1143,'Fund Utilization Report'!$A$4:$U$1800,2,FALSE)</f>
        <v>SAA15</v>
      </c>
      <c r="U1143" s="239" t="str">
        <f>VLOOKUP(H1143,'Fund Utilization Report'!$A$4:$U$1800,3,FALSE)</f>
        <v>2021-01-0015</v>
      </c>
      <c r="V1143" s="239" t="str">
        <f>VLOOKUP(H1143,'Fund Utilization Report'!$A$4:$U$1800,4,FALSE)</f>
        <v>CARP</v>
      </c>
      <c r="W1143" s="239" t="str">
        <f>VLOOKUP(H1143,'Fund Utilization Report'!$A$4:$U$1800,5,FALSE)</f>
        <v>01101101</v>
      </c>
      <c r="X1143" s="239" t="str">
        <f>VLOOKUP(H1143,'Fund Utilization Report'!$A$4:$U$1800,6,FALSE)</f>
        <v>GOP</v>
      </c>
      <c r="Y1143" s="440">
        <f>VLOOKUP(H1143,'Fund Utilization Report'!$A$4:$U$1800,7,FALSE)</f>
        <v>706</v>
      </c>
      <c r="Z1143" s="441" t="str">
        <f>VLOOKUP(H1143,'Fund Utilization Report'!$A$4:$U$1800,8,FALSE)</f>
        <v>50101020 00</v>
      </c>
      <c r="AA1143" s="239" t="str">
        <f>VLOOKUP(H1143,'Fund Utilization Report'!$A$4:$U$1800,14,FALSE)</f>
        <v>330100100003000</v>
      </c>
      <c r="AB1143" s="242" t="str">
        <f>VLOOKUP(H1143,'Fund Utilization Report'!$A$4:$U$1800,15,FALSE)</f>
        <v>MSME Development Program : Program Beneficiaries Development Component of the Comprehensive Agrarian Reform Program</v>
      </c>
      <c r="AC1143" s="51"/>
      <c r="AD1143" s="435"/>
      <c r="AE1143" s="51"/>
      <c r="AF1143" s="51"/>
      <c r="AG1143" s="442"/>
      <c r="AH1143" s="442"/>
      <c r="AI1143" s="443"/>
    </row>
    <row r="1144" spans="1:35" s="32" customFormat="1" ht="27.6">
      <c r="A1144" s="434" t="s">
        <v>942</v>
      </c>
      <c r="B1144" s="457" t="s">
        <v>946</v>
      </c>
      <c r="C1144" s="233">
        <v>44265</v>
      </c>
      <c r="D1144" s="435" t="s">
        <v>1267</v>
      </c>
      <c r="E1144" s="436" t="s">
        <v>1403</v>
      </c>
      <c r="F1144" s="338">
        <v>0.44513888888888892</v>
      </c>
      <c r="G1144" s="338">
        <v>0.44930555555555557</v>
      </c>
      <c r="H1144" s="338" t="s">
        <v>999</v>
      </c>
      <c r="I1144" s="353">
        <v>734</v>
      </c>
      <c r="J1144" s="338" t="str">
        <f>IFERROR(VLOOKUP(I1144,'Chart of accounts'!A:H,2,FALSE),"")</f>
        <v>50103040 01</v>
      </c>
      <c r="K1144" s="338" t="str">
        <f>IFERROR(VLOOKUP(I1144,'Chart of accounts'!A:H,3,FALSE),"")</f>
        <v>ECIP - Civilian</v>
      </c>
      <c r="L1144" s="338" t="str">
        <f>IFERROR(VLOOKUP(I1144,'Chart of accounts'!A:H,4,FALSE),"")</f>
        <v>50103040 01 - ECIP - Civilian (734)</v>
      </c>
      <c r="M1144" s="361">
        <v>68</v>
      </c>
      <c r="N1144" s="355" t="s">
        <v>869</v>
      </c>
      <c r="O1144" s="355" t="s">
        <v>1390</v>
      </c>
      <c r="P1144" s="355"/>
      <c r="Q1144" s="363">
        <v>100</v>
      </c>
      <c r="R1144" s="319">
        <f t="shared" si="43"/>
        <v>-100</v>
      </c>
      <c r="S1144" s="239" t="str">
        <f>VLOOKUP(H1144,'Fund Utilization Report'!$A$4:$U$1800,13,FALSE)</f>
        <v>PS</v>
      </c>
      <c r="T1144" s="239" t="str">
        <f>VLOOKUP(H1144,'Fund Utilization Report'!$A$4:$U$1800,2,FALSE)</f>
        <v>SAA15</v>
      </c>
      <c r="U1144" s="239" t="str">
        <f>VLOOKUP(H1144,'Fund Utilization Report'!$A$4:$U$1800,3,FALSE)</f>
        <v>2021-01-0015</v>
      </c>
      <c r="V1144" s="239" t="str">
        <f>VLOOKUP(H1144,'Fund Utilization Report'!$A$4:$U$1800,4,FALSE)</f>
        <v>CARP</v>
      </c>
      <c r="W1144" s="239" t="str">
        <f>VLOOKUP(H1144,'Fund Utilization Report'!$A$4:$U$1800,5,FALSE)</f>
        <v>01101101</v>
      </c>
      <c r="X1144" s="239" t="str">
        <f>VLOOKUP(H1144,'Fund Utilization Report'!$A$4:$U$1800,6,FALSE)</f>
        <v>GOP</v>
      </c>
      <c r="Y1144" s="440">
        <f>VLOOKUP(H1144,'Fund Utilization Report'!$A$4:$U$1800,7,FALSE)</f>
        <v>706</v>
      </c>
      <c r="Z1144" s="441" t="str">
        <f>VLOOKUP(H1144,'Fund Utilization Report'!$A$4:$U$1800,8,FALSE)</f>
        <v>50101020 00</v>
      </c>
      <c r="AA1144" s="239" t="str">
        <f>VLOOKUP(H1144,'Fund Utilization Report'!$A$4:$U$1800,14,FALSE)</f>
        <v>330100100003000</v>
      </c>
      <c r="AB1144" s="242" t="str">
        <f>VLOOKUP(H1144,'Fund Utilization Report'!$A$4:$U$1800,15,FALSE)</f>
        <v>MSME Development Program : Program Beneficiaries Development Component of the Comprehensive Agrarian Reform Program</v>
      </c>
      <c r="AC1144" s="51"/>
      <c r="AD1144" s="435"/>
      <c r="AE1144" s="51"/>
      <c r="AF1144" s="51"/>
      <c r="AG1144" s="442"/>
      <c r="AH1144" s="442"/>
      <c r="AI1144" s="443"/>
    </row>
    <row r="1145" spans="1:35" s="32" customFormat="1" ht="27.6">
      <c r="A1145" s="434" t="s">
        <v>942</v>
      </c>
      <c r="B1145" s="457" t="s">
        <v>946</v>
      </c>
      <c r="C1145" s="233">
        <v>44266</v>
      </c>
      <c r="D1145" s="435" t="s">
        <v>1267</v>
      </c>
      <c r="E1145" s="436" t="s">
        <v>1405</v>
      </c>
      <c r="F1145" s="338">
        <v>0.35416666666666669</v>
      </c>
      <c r="G1145" s="338">
        <v>0.35486111111111113</v>
      </c>
      <c r="H1145" s="338" t="s">
        <v>970</v>
      </c>
      <c r="I1145" s="353">
        <v>701</v>
      </c>
      <c r="J1145" s="338" t="str">
        <f>IFERROR(VLOOKUP(I1145,'Chart of accounts'!A:H,2,FALSE),"")</f>
        <v>50101010 01</v>
      </c>
      <c r="K1145" s="338" t="str">
        <f>IFERROR(VLOOKUP(I1145,'Chart of accounts'!A:H,3,FALSE),"")</f>
        <v>Basic Salary - Civilian</v>
      </c>
      <c r="L1145" s="338" t="str">
        <f>IFERROR(VLOOKUP(I1145,'Chart of accounts'!A:H,4,FALSE),"")</f>
        <v>50101010 01 - Basic Salary - Civilian (701)</v>
      </c>
      <c r="M1145" s="361">
        <v>3</v>
      </c>
      <c r="N1145" s="355" t="s">
        <v>1170</v>
      </c>
      <c r="O1145" s="355" t="s">
        <v>1406</v>
      </c>
      <c r="P1145" s="355"/>
      <c r="Q1145" s="363">
        <v>23877</v>
      </c>
      <c r="R1145" s="319">
        <f t="shared" si="43"/>
        <v>-23877</v>
      </c>
      <c r="S1145" s="239" t="str">
        <f>VLOOKUP(H1145,'Fund Utilization Report'!$A$4:$U$1800,13,FALSE)</f>
        <v>PS</v>
      </c>
      <c r="T1145" s="239" t="str">
        <f>VLOOKUP(H1145,'Fund Utilization Report'!$A$4:$U$1800,2,FALSE)</f>
        <v>GAA</v>
      </c>
      <c r="U1145" s="239" t="str">
        <f>VLOOKUP(H1145,'Fund Utilization Report'!$A$4:$U$1800,3,FALSE)</f>
        <v>FY2021, RA11518</v>
      </c>
      <c r="V1145" s="239" t="str">
        <f>VLOOKUP(H1145,'Fund Utilization Report'!$A$4:$U$1800,4,FALSE)</f>
        <v>OO3</v>
      </c>
      <c r="W1145" s="239" t="str">
        <f>VLOOKUP(H1145,'Fund Utilization Report'!$A$4:$U$1800,5,FALSE)</f>
        <v>01101101</v>
      </c>
      <c r="X1145" s="239" t="str">
        <f>VLOOKUP(H1145,'Fund Utilization Report'!$A$4:$U$1800,6,FALSE)</f>
        <v>GOP</v>
      </c>
      <c r="Y1145" s="440" t="str">
        <f>VLOOKUP(H1145,'Fund Utilization Report'!$A$4:$U$1800,7,FALSE)</f>
        <v>PS</v>
      </c>
      <c r="Z1145" s="441">
        <f>VLOOKUP(H1145,'Fund Utilization Report'!$A$4:$U$1800,8,FALSE)</f>
        <v>5010000000</v>
      </c>
      <c r="AA1145" s="239" t="str">
        <f>VLOOKUP(H1145,'Fund Utilization Report'!$A$4:$U$1800,14,FALSE)</f>
        <v>330100100002000</v>
      </c>
      <c r="AB1145" s="242" t="str">
        <f>VLOOKUP(H1145,'Fund Utilization Report'!$A$4:$U$1800,15,FALSE)</f>
        <v>Implementation of the MSME Development Plan and other initiatives to promote the growth of Micro, Small and Medium Enterprises</v>
      </c>
      <c r="AC1145" s="51"/>
      <c r="AD1145" s="435"/>
      <c r="AE1145" s="51"/>
      <c r="AF1145" s="51"/>
      <c r="AG1145" s="442"/>
      <c r="AH1145" s="442"/>
      <c r="AI1145" s="443"/>
    </row>
    <row r="1146" spans="1:35" s="32" customFormat="1" ht="27.6">
      <c r="A1146" s="434" t="s">
        <v>942</v>
      </c>
      <c r="B1146" s="457" t="s">
        <v>946</v>
      </c>
      <c r="C1146" s="233">
        <v>44266</v>
      </c>
      <c r="D1146" s="435" t="s">
        <v>1267</v>
      </c>
      <c r="E1146" s="436" t="s">
        <v>1405</v>
      </c>
      <c r="F1146" s="338">
        <v>0.35416666666666669</v>
      </c>
      <c r="G1146" s="338">
        <v>0.35486111111111113</v>
      </c>
      <c r="H1146" s="338" t="s">
        <v>970</v>
      </c>
      <c r="I1146" s="353">
        <v>711</v>
      </c>
      <c r="J1146" s="338" t="str">
        <f>IFERROR(VLOOKUP(I1146,'Chart of accounts'!A:H,2,FALSE),"")</f>
        <v>50102010 01</v>
      </c>
      <c r="K1146" s="338" t="str">
        <f>IFERROR(VLOOKUP(I1146,'Chart of accounts'!A:H,3,FALSE),"")</f>
        <v>PERA - Civilian</v>
      </c>
      <c r="L1146" s="338" t="str">
        <f>IFERROR(VLOOKUP(I1146,'Chart of accounts'!A:H,4,FALSE),"")</f>
        <v>50102010 01 - PERA - Civilian (711)</v>
      </c>
      <c r="M1146" s="361">
        <v>3</v>
      </c>
      <c r="N1146" s="355" t="s">
        <v>1170</v>
      </c>
      <c r="O1146" s="355" t="s">
        <v>1406</v>
      </c>
      <c r="P1146" s="355"/>
      <c r="Q1146" s="363">
        <v>2000</v>
      </c>
      <c r="R1146" s="319">
        <f t="shared" si="43"/>
        <v>-2000</v>
      </c>
      <c r="S1146" s="239" t="str">
        <f>VLOOKUP(H1146,'Fund Utilization Report'!$A$4:$U$1800,13,FALSE)</f>
        <v>PS</v>
      </c>
      <c r="T1146" s="239" t="str">
        <f>VLOOKUP(H1146,'Fund Utilization Report'!$A$4:$U$1800,2,FALSE)</f>
        <v>GAA</v>
      </c>
      <c r="U1146" s="239" t="str">
        <f>VLOOKUP(H1146,'Fund Utilization Report'!$A$4:$U$1800,3,FALSE)</f>
        <v>FY2021, RA11518</v>
      </c>
      <c r="V1146" s="239" t="str">
        <f>VLOOKUP(H1146,'Fund Utilization Report'!$A$4:$U$1800,4,FALSE)</f>
        <v>OO3</v>
      </c>
      <c r="W1146" s="239" t="str">
        <f>VLOOKUP(H1146,'Fund Utilization Report'!$A$4:$U$1800,5,FALSE)</f>
        <v>01101101</v>
      </c>
      <c r="X1146" s="239" t="str">
        <f>VLOOKUP(H1146,'Fund Utilization Report'!$A$4:$U$1800,6,FALSE)</f>
        <v>GOP</v>
      </c>
      <c r="Y1146" s="440" t="str">
        <f>VLOOKUP(H1146,'Fund Utilization Report'!$A$4:$U$1800,7,FALSE)</f>
        <v>PS</v>
      </c>
      <c r="Z1146" s="441">
        <f>VLOOKUP(H1146,'Fund Utilization Report'!$A$4:$U$1800,8,FALSE)</f>
        <v>5010000000</v>
      </c>
      <c r="AA1146" s="239" t="str">
        <f>VLOOKUP(H1146,'Fund Utilization Report'!$A$4:$U$1800,14,FALSE)</f>
        <v>330100100002000</v>
      </c>
      <c r="AB1146" s="242" t="str">
        <f>VLOOKUP(H1146,'Fund Utilization Report'!$A$4:$U$1800,15,FALSE)</f>
        <v>Implementation of the MSME Development Plan and other initiatives to promote the growth of Micro, Small and Medium Enterprises</v>
      </c>
      <c r="AC1146" s="51"/>
      <c r="AD1146" s="435"/>
      <c r="AE1146" s="51"/>
      <c r="AF1146" s="51"/>
      <c r="AG1146" s="442"/>
      <c r="AH1146" s="442"/>
      <c r="AI1146" s="443"/>
    </row>
    <row r="1147" spans="1:35" s="32" customFormat="1" ht="27.6">
      <c r="A1147" s="434" t="s">
        <v>942</v>
      </c>
      <c r="B1147" s="457" t="s">
        <v>946</v>
      </c>
      <c r="C1147" s="233">
        <v>44266</v>
      </c>
      <c r="D1147" s="435" t="s">
        <v>1267</v>
      </c>
      <c r="E1147" s="436" t="s">
        <v>1405</v>
      </c>
      <c r="F1147" s="338">
        <v>0.35416666666666669</v>
      </c>
      <c r="G1147" s="338">
        <v>0.35486111111111113</v>
      </c>
      <c r="H1147" s="338" t="s">
        <v>972</v>
      </c>
      <c r="I1147" s="353">
        <v>731</v>
      </c>
      <c r="J1147" s="338" t="str">
        <f>IFERROR(VLOOKUP(I1147,'Chart of accounts'!A:H,2,FALSE),"")</f>
        <v>50103010 00</v>
      </c>
      <c r="K1147" s="338" t="str">
        <f>IFERROR(VLOOKUP(I1147,'Chart of accounts'!A:H,3,FALSE),"")</f>
        <v>Retirement and Life Insurance Premiums</v>
      </c>
      <c r="L1147" s="338" t="str">
        <f>IFERROR(VLOOKUP(I1147,'Chart of accounts'!A:H,4,FALSE),"")</f>
        <v>50103010 00 - Retirement and Life Insurance Premiums (731)</v>
      </c>
      <c r="M1147" s="361">
        <v>3</v>
      </c>
      <c r="N1147" s="355" t="s">
        <v>1170</v>
      </c>
      <c r="O1147" s="355" t="s">
        <v>1406</v>
      </c>
      <c r="P1147" s="355"/>
      <c r="Q1147" s="363">
        <v>2865.24</v>
      </c>
      <c r="R1147" s="319">
        <f t="shared" si="43"/>
        <v>-2865.24</v>
      </c>
      <c r="S1147" s="239" t="str">
        <f>VLOOKUP(H1147,'Fund Utilization Report'!$A$4:$U$1800,13,FALSE)</f>
        <v>PS</v>
      </c>
      <c r="T1147" s="239" t="str">
        <f>VLOOKUP(H1147,'Fund Utilization Report'!$A$4:$U$1800,2,FALSE)</f>
        <v>GAA</v>
      </c>
      <c r="U1147" s="239" t="str">
        <f>VLOOKUP(H1147,'Fund Utilization Report'!$A$4:$U$1800,3,FALSE)</f>
        <v>FY2021, RA11518</v>
      </c>
      <c r="V1147" s="239" t="str">
        <f>VLOOKUP(H1147,'Fund Utilization Report'!$A$4:$U$1800,4,FALSE)</f>
        <v>OO3</v>
      </c>
      <c r="W1147" s="239" t="str">
        <f>VLOOKUP(H1147,'Fund Utilization Report'!$A$4:$U$1800,5,FALSE)</f>
        <v>01101101</v>
      </c>
      <c r="X1147" s="239" t="str">
        <f>VLOOKUP(H1147,'Fund Utilization Report'!$A$4:$U$1800,6,FALSE)</f>
        <v>GOP</v>
      </c>
      <c r="Y1147" s="440" t="str">
        <f>VLOOKUP(H1147,'Fund Utilization Report'!$A$4:$U$1800,7,FALSE)</f>
        <v>RLIP</v>
      </c>
      <c r="Z1147" s="441" t="str">
        <f>VLOOKUP(H1147,'Fund Utilization Report'!$A$4:$U$1800,8,FALSE)</f>
        <v>50103010-00</v>
      </c>
      <c r="AA1147" s="239" t="str">
        <f>VLOOKUP(H1147,'Fund Utilization Report'!$A$4:$U$1800,14,FALSE)</f>
        <v>330100100002000</v>
      </c>
      <c r="AB1147" s="242" t="str">
        <f>VLOOKUP(H1147,'Fund Utilization Report'!$A$4:$U$1800,15,FALSE)</f>
        <v>Implementation of the MSME Development Plan and other initiatives to promote the growth of Micro, Small and Medium Enterprises</v>
      </c>
      <c r="AC1147" s="51"/>
      <c r="AD1147" s="435"/>
      <c r="AE1147" s="51"/>
      <c r="AF1147" s="51"/>
      <c r="AG1147" s="442"/>
      <c r="AH1147" s="442"/>
      <c r="AI1147" s="443"/>
    </row>
    <row r="1148" spans="1:35" s="32" customFormat="1" ht="27.6">
      <c r="A1148" s="434" t="s">
        <v>942</v>
      </c>
      <c r="B1148" s="457" t="s">
        <v>946</v>
      </c>
      <c r="C1148" s="233">
        <v>44266</v>
      </c>
      <c r="D1148" s="435" t="s">
        <v>1267</v>
      </c>
      <c r="E1148" s="436" t="s">
        <v>1405</v>
      </c>
      <c r="F1148" s="338">
        <v>0.35416666666666669</v>
      </c>
      <c r="G1148" s="338">
        <v>0.35486111111111113</v>
      </c>
      <c r="H1148" s="338" t="s">
        <v>970</v>
      </c>
      <c r="I1148" s="353">
        <v>732</v>
      </c>
      <c r="J1148" s="338" t="str">
        <f>IFERROR(VLOOKUP(I1148,'Chart of accounts'!A:H,2,FALSE),"")</f>
        <v>50103020 01</v>
      </c>
      <c r="K1148" s="338" t="str">
        <f>IFERROR(VLOOKUP(I1148,'Chart of accounts'!A:H,3,FALSE),"")</f>
        <v>Pag-IBIG - Civilian</v>
      </c>
      <c r="L1148" s="338" t="str">
        <f>IFERROR(VLOOKUP(I1148,'Chart of accounts'!A:H,4,FALSE),"")</f>
        <v>50103020 01 - Pag-IBIG - Civilian (732)</v>
      </c>
      <c r="M1148" s="361">
        <v>3</v>
      </c>
      <c r="N1148" s="355" t="s">
        <v>1170</v>
      </c>
      <c r="O1148" s="355" t="s">
        <v>1406</v>
      </c>
      <c r="P1148" s="355"/>
      <c r="Q1148" s="363">
        <v>100</v>
      </c>
      <c r="R1148" s="319">
        <f t="shared" ref="R1148:R1179" si="44">P1148-Q1148</f>
        <v>-100</v>
      </c>
      <c r="S1148" s="239" t="str">
        <f>VLOOKUP(H1148,'Fund Utilization Report'!$A$4:$U$1800,13,FALSE)</f>
        <v>PS</v>
      </c>
      <c r="T1148" s="239" t="str">
        <f>VLOOKUP(H1148,'Fund Utilization Report'!$A$4:$U$1800,2,FALSE)</f>
        <v>GAA</v>
      </c>
      <c r="U1148" s="239" t="str">
        <f>VLOOKUP(H1148,'Fund Utilization Report'!$A$4:$U$1800,3,FALSE)</f>
        <v>FY2021, RA11518</v>
      </c>
      <c r="V1148" s="239" t="str">
        <f>VLOOKUP(H1148,'Fund Utilization Report'!$A$4:$U$1800,4,FALSE)</f>
        <v>OO3</v>
      </c>
      <c r="W1148" s="239" t="str">
        <f>VLOOKUP(H1148,'Fund Utilization Report'!$A$4:$U$1800,5,FALSE)</f>
        <v>01101101</v>
      </c>
      <c r="X1148" s="239" t="str">
        <f>VLOOKUP(H1148,'Fund Utilization Report'!$A$4:$U$1800,6,FALSE)</f>
        <v>GOP</v>
      </c>
      <c r="Y1148" s="440" t="str">
        <f>VLOOKUP(H1148,'Fund Utilization Report'!$A$4:$U$1800,7,FALSE)</f>
        <v>PS</v>
      </c>
      <c r="Z1148" s="441">
        <f>VLOOKUP(H1148,'Fund Utilization Report'!$A$4:$U$1800,8,FALSE)</f>
        <v>5010000000</v>
      </c>
      <c r="AA1148" s="239" t="str">
        <f>VLOOKUP(H1148,'Fund Utilization Report'!$A$4:$U$1800,14,FALSE)</f>
        <v>330100100002000</v>
      </c>
      <c r="AB1148" s="242" t="str">
        <f>VLOOKUP(H1148,'Fund Utilization Report'!$A$4:$U$1800,15,FALSE)</f>
        <v>Implementation of the MSME Development Plan and other initiatives to promote the growth of Micro, Small and Medium Enterprises</v>
      </c>
      <c r="AC1148" s="51"/>
      <c r="AD1148" s="435"/>
      <c r="AE1148" s="51"/>
      <c r="AF1148" s="51"/>
      <c r="AG1148" s="442"/>
      <c r="AH1148" s="442"/>
      <c r="AI1148" s="443"/>
    </row>
    <row r="1149" spans="1:35" s="32" customFormat="1" ht="27.6">
      <c r="A1149" s="434" t="s">
        <v>942</v>
      </c>
      <c r="B1149" s="457" t="s">
        <v>946</v>
      </c>
      <c r="C1149" s="233">
        <v>44266</v>
      </c>
      <c r="D1149" s="435" t="s">
        <v>1267</v>
      </c>
      <c r="E1149" s="436" t="s">
        <v>1405</v>
      </c>
      <c r="F1149" s="338">
        <v>0.35416666666666669</v>
      </c>
      <c r="G1149" s="338">
        <v>0.35486111111111113</v>
      </c>
      <c r="H1149" s="338" t="s">
        <v>970</v>
      </c>
      <c r="I1149" s="353">
        <v>733</v>
      </c>
      <c r="J1149" s="338" t="str">
        <f>IFERROR(VLOOKUP(I1149,'Chart of accounts'!A:H,2,FALSE),"")</f>
        <v>50103030 01</v>
      </c>
      <c r="K1149" s="338" t="str">
        <f>IFERROR(VLOOKUP(I1149,'Chart of accounts'!A:H,3,FALSE),"")</f>
        <v>PhilHealth - Civilian</v>
      </c>
      <c r="L1149" s="338" t="str">
        <f>IFERROR(VLOOKUP(I1149,'Chart of accounts'!A:H,4,FALSE),"")</f>
        <v>50103030 01 - PhilHealth - Civilian (733)</v>
      </c>
      <c r="M1149" s="361">
        <v>3</v>
      </c>
      <c r="N1149" s="355" t="s">
        <v>1170</v>
      </c>
      <c r="O1149" s="355" t="s">
        <v>1406</v>
      </c>
      <c r="P1149" s="355"/>
      <c r="Q1149" s="363">
        <v>358.16</v>
      </c>
      <c r="R1149" s="319">
        <f t="shared" si="44"/>
        <v>-358.16</v>
      </c>
      <c r="S1149" s="239" t="str">
        <f>VLOOKUP(H1149,'Fund Utilization Report'!$A$4:$U$1800,13,FALSE)</f>
        <v>PS</v>
      </c>
      <c r="T1149" s="239" t="str">
        <f>VLOOKUP(H1149,'Fund Utilization Report'!$A$4:$U$1800,2,FALSE)</f>
        <v>GAA</v>
      </c>
      <c r="U1149" s="239" t="str">
        <f>VLOOKUP(H1149,'Fund Utilization Report'!$A$4:$U$1800,3,FALSE)</f>
        <v>FY2021, RA11518</v>
      </c>
      <c r="V1149" s="239" t="str">
        <f>VLOOKUP(H1149,'Fund Utilization Report'!$A$4:$U$1800,4,FALSE)</f>
        <v>OO3</v>
      </c>
      <c r="W1149" s="239" t="str">
        <f>VLOOKUP(H1149,'Fund Utilization Report'!$A$4:$U$1800,5,FALSE)</f>
        <v>01101101</v>
      </c>
      <c r="X1149" s="239" t="str">
        <f>VLOOKUP(H1149,'Fund Utilization Report'!$A$4:$U$1800,6,FALSE)</f>
        <v>GOP</v>
      </c>
      <c r="Y1149" s="440" t="str">
        <f>VLOOKUP(H1149,'Fund Utilization Report'!$A$4:$U$1800,7,FALSE)</f>
        <v>PS</v>
      </c>
      <c r="Z1149" s="441">
        <f>VLOOKUP(H1149,'Fund Utilization Report'!$A$4:$U$1800,8,FALSE)</f>
        <v>5010000000</v>
      </c>
      <c r="AA1149" s="239" t="str">
        <f>VLOOKUP(H1149,'Fund Utilization Report'!$A$4:$U$1800,14,FALSE)</f>
        <v>330100100002000</v>
      </c>
      <c r="AB1149" s="242" t="str">
        <f>VLOOKUP(H1149,'Fund Utilization Report'!$A$4:$U$1800,15,FALSE)</f>
        <v>Implementation of the MSME Development Plan and other initiatives to promote the growth of Micro, Small and Medium Enterprises</v>
      </c>
      <c r="AC1149" s="51"/>
      <c r="AD1149" s="435"/>
      <c r="AE1149" s="51"/>
      <c r="AF1149" s="51"/>
      <c r="AG1149" s="442"/>
      <c r="AH1149" s="442"/>
      <c r="AI1149" s="443"/>
    </row>
    <row r="1150" spans="1:35" s="32" customFormat="1" ht="27.6">
      <c r="A1150" s="434" t="s">
        <v>942</v>
      </c>
      <c r="B1150" s="457" t="s">
        <v>946</v>
      </c>
      <c r="C1150" s="233">
        <v>44266</v>
      </c>
      <c r="D1150" s="435" t="s">
        <v>1267</v>
      </c>
      <c r="E1150" s="436" t="s">
        <v>1405</v>
      </c>
      <c r="F1150" s="338">
        <v>0.35416666666666669</v>
      </c>
      <c r="G1150" s="338">
        <v>0.35486111111111113</v>
      </c>
      <c r="H1150" s="338" t="s">
        <v>970</v>
      </c>
      <c r="I1150" s="353">
        <v>734</v>
      </c>
      <c r="J1150" s="338" t="str">
        <f>IFERROR(VLOOKUP(I1150,'Chart of accounts'!A:H,2,FALSE),"")</f>
        <v>50103040 01</v>
      </c>
      <c r="K1150" s="338" t="str">
        <f>IFERROR(VLOOKUP(I1150,'Chart of accounts'!A:H,3,FALSE),"")</f>
        <v>ECIP - Civilian</v>
      </c>
      <c r="L1150" s="338" t="str">
        <f>IFERROR(VLOOKUP(I1150,'Chart of accounts'!A:H,4,FALSE),"")</f>
        <v>50103040 01 - ECIP - Civilian (734)</v>
      </c>
      <c r="M1150" s="361">
        <v>3</v>
      </c>
      <c r="N1150" s="355" t="s">
        <v>1170</v>
      </c>
      <c r="O1150" s="355" t="s">
        <v>1406</v>
      </c>
      <c r="P1150" s="355"/>
      <c r="Q1150" s="363">
        <v>100</v>
      </c>
      <c r="R1150" s="319">
        <f t="shared" si="44"/>
        <v>-100</v>
      </c>
      <c r="S1150" s="239" t="str">
        <f>VLOOKUP(H1150,'Fund Utilization Report'!$A$4:$U$1800,13,FALSE)</f>
        <v>PS</v>
      </c>
      <c r="T1150" s="239" t="str">
        <f>VLOOKUP(H1150,'Fund Utilization Report'!$A$4:$U$1800,2,FALSE)</f>
        <v>GAA</v>
      </c>
      <c r="U1150" s="239" t="str">
        <f>VLOOKUP(H1150,'Fund Utilization Report'!$A$4:$U$1800,3,FALSE)</f>
        <v>FY2021, RA11518</v>
      </c>
      <c r="V1150" s="239" t="str">
        <f>VLOOKUP(H1150,'Fund Utilization Report'!$A$4:$U$1800,4,FALSE)</f>
        <v>OO3</v>
      </c>
      <c r="W1150" s="239" t="str">
        <f>VLOOKUP(H1150,'Fund Utilization Report'!$A$4:$U$1800,5,FALSE)</f>
        <v>01101101</v>
      </c>
      <c r="X1150" s="239" t="str">
        <f>VLOOKUP(H1150,'Fund Utilization Report'!$A$4:$U$1800,6,FALSE)</f>
        <v>GOP</v>
      </c>
      <c r="Y1150" s="440" t="str">
        <f>VLOOKUP(H1150,'Fund Utilization Report'!$A$4:$U$1800,7,FALSE)</f>
        <v>PS</v>
      </c>
      <c r="Z1150" s="441">
        <f>VLOOKUP(H1150,'Fund Utilization Report'!$A$4:$U$1800,8,FALSE)</f>
        <v>5010000000</v>
      </c>
      <c r="AA1150" s="239" t="str">
        <f>VLOOKUP(H1150,'Fund Utilization Report'!$A$4:$U$1800,14,FALSE)</f>
        <v>330100100002000</v>
      </c>
      <c r="AB1150" s="242" t="str">
        <f>VLOOKUP(H1150,'Fund Utilization Report'!$A$4:$U$1800,15,FALSE)</f>
        <v>Implementation of the MSME Development Plan and other initiatives to promote the growth of Micro, Small and Medium Enterprises</v>
      </c>
      <c r="AC1150" s="51"/>
      <c r="AD1150" s="435"/>
      <c r="AE1150" s="51"/>
      <c r="AF1150" s="51"/>
      <c r="AG1150" s="442"/>
      <c r="AH1150" s="442"/>
      <c r="AI1150" s="443"/>
    </row>
    <row r="1151" spans="1:35" s="32" customFormat="1" ht="27.6">
      <c r="A1151" s="434" t="s">
        <v>942</v>
      </c>
      <c r="B1151" s="457" t="s">
        <v>946</v>
      </c>
      <c r="C1151" s="233">
        <v>44266</v>
      </c>
      <c r="D1151" s="435" t="s">
        <v>1267</v>
      </c>
      <c r="E1151" s="436" t="s">
        <v>1407</v>
      </c>
      <c r="F1151" s="338">
        <v>0.35486111111111113</v>
      </c>
      <c r="G1151" s="338">
        <v>0.35833333333333334</v>
      </c>
      <c r="H1151" s="338" t="s">
        <v>974</v>
      </c>
      <c r="I1151" s="353">
        <v>773</v>
      </c>
      <c r="J1151" s="338" t="str">
        <f>IFERROR(VLOOKUP(I1151,'Chart of accounts'!A:H,2,FALSE),"")</f>
        <v>50205020 01</v>
      </c>
      <c r="K1151" s="338" t="str">
        <f>IFERROR(VLOOKUP(I1151,'Chart of accounts'!A:H,3,FALSE),"")</f>
        <v xml:space="preserve">Telephone Expenses - Mobile </v>
      </c>
      <c r="L1151" s="338" t="str">
        <f>IFERROR(VLOOKUP(I1151,'Chart of accounts'!A:H,4,FALSE),"")</f>
        <v>50205020 01 - Telephone Expenses - Mobile  (773)</v>
      </c>
      <c r="M1151" s="361" t="s">
        <v>815</v>
      </c>
      <c r="N1151" s="355" t="s">
        <v>1245</v>
      </c>
      <c r="O1151" s="355" t="s">
        <v>1408</v>
      </c>
      <c r="P1151" s="355"/>
      <c r="Q1151" s="363">
        <v>2016</v>
      </c>
      <c r="R1151" s="319">
        <f t="shared" si="44"/>
        <v>-2016</v>
      </c>
      <c r="S1151" s="239" t="str">
        <f>VLOOKUP(H1151,'Fund Utilization Report'!$A$4:$U$1800,13,FALSE)</f>
        <v>MOOE</v>
      </c>
      <c r="T1151" s="239" t="str">
        <f>VLOOKUP(H1151,'Fund Utilization Report'!$A$4:$U$1800,2,FALSE)</f>
        <v>GAA</v>
      </c>
      <c r="U1151" s="239" t="str">
        <f>VLOOKUP(H1151,'Fund Utilization Report'!$A$4:$U$1800,3,FALSE)</f>
        <v>FY2021, RA11518</v>
      </c>
      <c r="V1151" s="239" t="str">
        <f>VLOOKUP(H1151,'Fund Utilization Report'!$A$4:$U$1800,4,FALSE)</f>
        <v>OO4.1(FTL)</v>
      </c>
      <c r="W1151" s="239" t="str">
        <f>VLOOKUP(H1151,'Fund Utilization Report'!$A$4:$U$1800,5,FALSE)</f>
        <v>01101101</v>
      </c>
      <c r="X1151" s="239" t="str">
        <f>VLOOKUP(H1151,'Fund Utilization Report'!$A$4:$U$1800,6,FALSE)</f>
        <v>GOP</v>
      </c>
      <c r="Y1151" s="440" t="str">
        <f>VLOOKUP(H1151,'Fund Utilization Report'!$A$4:$U$1800,7,FALSE)</f>
        <v>MOOE</v>
      </c>
      <c r="Z1151" s="441">
        <f>VLOOKUP(H1151,'Fund Utilization Report'!$A$4:$U$1800,8,FALSE)</f>
        <v>5020000000</v>
      </c>
      <c r="AA1151" s="239" t="str">
        <f>VLOOKUP(H1151,'Fund Utilization Report'!$A$4:$U$1800,14,FALSE)</f>
        <v>340100100002000</v>
      </c>
      <c r="AB1151" s="242" t="str">
        <f>VLOOKUP(H1151,'Fund Utilization Report'!$A$4:$U$1800,15,FALSE)</f>
        <v>Monitoring and Enforcement of FTL including consumer complaints handling</v>
      </c>
      <c r="AC1151" s="51"/>
      <c r="AD1151" s="435"/>
      <c r="AE1151" s="51"/>
      <c r="AF1151" s="51"/>
      <c r="AG1151" s="442"/>
      <c r="AH1151" s="442"/>
      <c r="AI1151" s="443"/>
    </row>
    <row r="1152" spans="1:35" s="32" customFormat="1" ht="27.6">
      <c r="A1152" s="434" t="s">
        <v>942</v>
      </c>
      <c r="B1152" s="457" t="s">
        <v>946</v>
      </c>
      <c r="C1152" s="233">
        <v>44266</v>
      </c>
      <c r="D1152" s="435" t="s">
        <v>1267</v>
      </c>
      <c r="E1152" s="436" t="s">
        <v>1409</v>
      </c>
      <c r="F1152" s="338">
        <v>0.35833333333333334</v>
      </c>
      <c r="G1152" s="338">
        <v>0.36041666666666666</v>
      </c>
      <c r="H1152" s="338" t="s">
        <v>961</v>
      </c>
      <c r="I1152" s="353">
        <v>773</v>
      </c>
      <c r="J1152" s="338" t="str">
        <f>IFERROR(VLOOKUP(I1152,'Chart of accounts'!A:H,2,FALSE),"")</f>
        <v>50205020 01</v>
      </c>
      <c r="K1152" s="338" t="str">
        <f>IFERROR(VLOOKUP(I1152,'Chart of accounts'!A:H,3,FALSE),"")</f>
        <v xml:space="preserve">Telephone Expenses - Mobile </v>
      </c>
      <c r="L1152" s="338" t="str">
        <f>IFERROR(VLOOKUP(I1152,'Chart of accounts'!A:H,4,FALSE),"")</f>
        <v>50205020 01 - Telephone Expenses - Mobile  (773)</v>
      </c>
      <c r="M1152" s="361" t="s">
        <v>812</v>
      </c>
      <c r="N1152" s="355" t="s">
        <v>1245</v>
      </c>
      <c r="O1152" s="355" t="s">
        <v>1248</v>
      </c>
      <c r="P1152" s="355"/>
      <c r="Q1152" s="363">
        <v>1344</v>
      </c>
      <c r="R1152" s="319">
        <f t="shared" si="44"/>
        <v>-1344</v>
      </c>
      <c r="S1152" s="239" t="str">
        <f>VLOOKUP(H1152,'Fund Utilization Report'!$A$4:$U$1800,13,FALSE)</f>
        <v>MOOE</v>
      </c>
      <c r="T1152" s="239" t="str">
        <f>VLOOKUP(H1152,'Fund Utilization Report'!$A$4:$U$1800,2,FALSE)</f>
        <v>GAA</v>
      </c>
      <c r="U1152" s="239" t="str">
        <f>VLOOKUP(H1152,'Fund Utilization Report'!$A$4:$U$1800,3,FALSE)</f>
        <v>FY2021, RA11518</v>
      </c>
      <c r="V1152" s="239" t="str">
        <f>VLOOKUP(H1152,'Fund Utilization Report'!$A$4:$U$1800,4,FALSE)</f>
        <v>GAS(GMS)</v>
      </c>
      <c r="W1152" s="239" t="str">
        <f>VLOOKUP(H1152,'Fund Utilization Report'!$A$4:$U$1800,5,FALSE)</f>
        <v>01101101</v>
      </c>
      <c r="X1152" s="239" t="str">
        <f>VLOOKUP(H1152,'Fund Utilization Report'!$A$4:$U$1800,6,FALSE)</f>
        <v>GOP</v>
      </c>
      <c r="Y1152" s="440" t="str">
        <f>VLOOKUP(H1152,'Fund Utilization Report'!$A$4:$U$1800,7,FALSE)</f>
        <v>MOOE</v>
      </c>
      <c r="Z1152" s="441">
        <f>VLOOKUP(H1152,'Fund Utilization Report'!$A$4:$U$1800,8,FALSE)</f>
        <v>5020000000</v>
      </c>
      <c r="AA1152" s="239" t="str">
        <f>VLOOKUP(H1152,'Fund Utilization Report'!$A$4:$U$1800,14,FALSE)</f>
        <v>100000100001000</v>
      </c>
      <c r="AB1152" s="242" t="str">
        <f>VLOOKUP(H1152,'Fund Utilization Report'!$A$4:$U$1800,15,FALSE)</f>
        <v>General Administration and Supervision - General Management and Supervision</v>
      </c>
      <c r="AC1152" s="51"/>
      <c r="AD1152" s="435"/>
      <c r="AE1152" s="51"/>
      <c r="AF1152" s="51"/>
      <c r="AG1152" s="442"/>
      <c r="AH1152" s="442"/>
      <c r="AI1152" s="443"/>
    </row>
    <row r="1153" spans="1:35" s="32" customFormat="1">
      <c r="A1153" s="434" t="s">
        <v>942</v>
      </c>
      <c r="B1153" s="457" t="s">
        <v>946</v>
      </c>
      <c r="C1153" s="233">
        <v>44266</v>
      </c>
      <c r="D1153" s="435" t="s">
        <v>1267</v>
      </c>
      <c r="E1153" s="436" t="s">
        <v>1410</v>
      </c>
      <c r="F1153" s="338">
        <v>0.36041666666666666</v>
      </c>
      <c r="G1153" s="338">
        <v>0.3611111111111111</v>
      </c>
      <c r="H1153" s="338" t="s">
        <v>974</v>
      </c>
      <c r="I1153" s="353">
        <v>755</v>
      </c>
      <c r="J1153" s="338" t="str">
        <f>IFERROR(VLOOKUP(I1153,'Chart of accounts'!A:H,2,FALSE),"")</f>
        <v>50203010 00</v>
      </c>
      <c r="K1153" s="338" t="str">
        <f>IFERROR(VLOOKUP(I1153,'Chart of accounts'!A:H,3,FALSE),"")</f>
        <v>Office Supplies Expenses</v>
      </c>
      <c r="L1153" s="338" t="str">
        <f>IFERROR(VLOOKUP(I1153,'Chart of accounts'!A:H,4,FALSE),"")</f>
        <v>50203010 00 - Office Supplies Expenses (755)</v>
      </c>
      <c r="M1153" s="361" t="s">
        <v>815</v>
      </c>
      <c r="N1153" s="355" t="s">
        <v>1036</v>
      </c>
      <c r="O1153" s="355" t="s">
        <v>1411</v>
      </c>
      <c r="P1153" s="355"/>
      <c r="Q1153" s="363">
        <v>1651.12</v>
      </c>
      <c r="R1153" s="319">
        <f t="shared" si="44"/>
        <v>-1651.12</v>
      </c>
      <c r="S1153" s="239" t="str">
        <f>VLOOKUP(H1153,'Fund Utilization Report'!$A$4:$U$1800,13,FALSE)</f>
        <v>MOOE</v>
      </c>
      <c r="T1153" s="239" t="str">
        <f>VLOOKUP(H1153,'Fund Utilization Report'!$A$4:$U$1800,2,FALSE)</f>
        <v>GAA</v>
      </c>
      <c r="U1153" s="239" t="str">
        <f>VLOOKUP(H1153,'Fund Utilization Report'!$A$4:$U$1800,3,FALSE)</f>
        <v>FY2021, RA11518</v>
      </c>
      <c r="V1153" s="239" t="str">
        <f>VLOOKUP(H1153,'Fund Utilization Report'!$A$4:$U$1800,4,FALSE)</f>
        <v>OO4.1(FTL)</v>
      </c>
      <c r="W1153" s="239" t="str">
        <f>VLOOKUP(H1153,'Fund Utilization Report'!$A$4:$U$1800,5,FALSE)</f>
        <v>01101101</v>
      </c>
      <c r="X1153" s="239" t="str">
        <f>VLOOKUP(H1153,'Fund Utilization Report'!$A$4:$U$1800,6,FALSE)</f>
        <v>GOP</v>
      </c>
      <c r="Y1153" s="440" t="str">
        <f>VLOOKUP(H1153,'Fund Utilization Report'!$A$4:$U$1800,7,FALSE)</f>
        <v>MOOE</v>
      </c>
      <c r="Z1153" s="441">
        <f>VLOOKUP(H1153,'Fund Utilization Report'!$A$4:$U$1800,8,FALSE)</f>
        <v>5020000000</v>
      </c>
      <c r="AA1153" s="239" t="str">
        <f>VLOOKUP(H1153,'Fund Utilization Report'!$A$4:$U$1800,14,FALSE)</f>
        <v>340100100002000</v>
      </c>
      <c r="AB1153" s="242" t="str">
        <f>VLOOKUP(H1153,'Fund Utilization Report'!$A$4:$U$1800,15,FALSE)</f>
        <v>Monitoring and Enforcement of FTL including consumer complaints handling</v>
      </c>
      <c r="AC1153" s="51"/>
      <c r="AD1153" s="435"/>
      <c r="AE1153" s="51"/>
      <c r="AF1153" s="51"/>
      <c r="AG1153" s="442"/>
      <c r="AH1153" s="442"/>
      <c r="AI1153" s="443"/>
    </row>
    <row r="1154" spans="1:35" s="32" customFormat="1" ht="27.6">
      <c r="A1154" s="434" t="s">
        <v>942</v>
      </c>
      <c r="B1154" s="457" t="s">
        <v>946</v>
      </c>
      <c r="C1154" s="233">
        <v>44266</v>
      </c>
      <c r="D1154" s="435" t="s">
        <v>1267</v>
      </c>
      <c r="E1154" s="436" t="s">
        <v>1412</v>
      </c>
      <c r="F1154" s="338">
        <v>0.3611111111111111</v>
      </c>
      <c r="G1154" s="338">
        <v>0.36388888888888887</v>
      </c>
      <c r="H1154" s="338" t="s">
        <v>970</v>
      </c>
      <c r="I1154" s="353">
        <v>701</v>
      </c>
      <c r="J1154" s="338" t="str">
        <f>IFERROR(VLOOKUP(I1154,'Chart of accounts'!A:H,2,FALSE),"")</f>
        <v>50101010 01</v>
      </c>
      <c r="K1154" s="338" t="str">
        <f>IFERROR(VLOOKUP(I1154,'Chart of accounts'!A:H,3,FALSE),"")</f>
        <v>Basic Salary - Civilian</v>
      </c>
      <c r="L1154" s="338" t="str">
        <f>IFERROR(VLOOKUP(I1154,'Chart of accounts'!A:H,4,FALSE),"")</f>
        <v>50101010 01 - Basic Salary - Civilian (701)</v>
      </c>
      <c r="M1154" s="361">
        <v>2</v>
      </c>
      <c r="N1154" s="355" t="s">
        <v>1172</v>
      </c>
      <c r="O1154" s="355" t="s">
        <v>1394</v>
      </c>
      <c r="P1154" s="355"/>
      <c r="Q1154" s="363">
        <v>23877</v>
      </c>
      <c r="R1154" s="319">
        <f t="shared" si="44"/>
        <v>-23877</v>
      </c>
      <c r="S1154" s="239" t="str">
        <f>VLOOKUP(H1154,'Fund Utilization Report'!$A$4:$U$1800,13,FALSE)</f>
        <v>PS</v>
      </c>
      <c r="T1154" s="239" t="str">
        <f>VLOOKUP(H1154,'Fund Utilization Report'!$A$4:$U$1800,2,FALSE)</f>
        <v>GAA</v>
      </c>
      <c r="U1154" s="239" t="str">
        <f>VLOOKUP(H1154,'Fund Utilization Report'!$A$4:$U$1800,3,FALSE)</f>
        <v>FY2021, RA11518</v>
      </c>
      <c r="V1154" s="239" t="str">
        <f>VLOOKUP(H1154,'Fund Utilization Report'!$A$4:$U$1800,4,FALSE)</f>
        <v>OO3</v>
      </c>
      <c r="W1154" s="239" t="str">
        <f>VLOOKUP(H1154,'Fund Utilization Report'!$A$4:$U$1800,5,FALSE)</f>
        <v>01101101</v>
      </c>
      <c r="X1154" s="239" t="str">
        <f>VLOOKUP(H1154,'Fund Utilization Report'!$A$4:$U$1800,6,FALSE)</f>
        <v>GOP</v>
      </c>
      <c r="Y1154" s="440" t="str">
        <f>VLOOKUP(H1154,'Fund Utilization Report'!$A$4:$U$1800,7,FALSE)</f>
        <v>PS</v>
      </c>
      <c r="Z1154" s="441">
        <f>VLOOKUP(H1154,'Fund Utilization Report'!$A$4:$U$1800,8,FALSE)</f>
        <v>5010000000</v>
      </c>
      <c r="AA1154" s="239" t="str">
        <f>VLOOKUP(H1154,'Fund Utilization Report'!$A$4:$U$1800,14,FALSE)</f>
        <v>330100100002000</v>
      </c>
      <c r="AB1154" s="242" t="str">
        <f>VLOOKUP(H1154,'Fund Utilization Report'!$A$4:$U$1800,15,FALSE)</f>
        <v>Implementation of the MSME Development Plan and other initiatives to promote the growth of Micro, Small and Medium Enterprises</v>
      </c>
      <c r="AC1154" s="51"/>
      <c r="AD1154" s="435"/>
      <c r="AE1154" s="51"/>
      <c r="AF1154" s="51"/>
      <c r="AG1154" s="442"/>
      <c r="AH1154" s="442"/>
      <c r="AI1154" s="443"/>
    </row>
    <row r="1155" spans="1:35" s="32" customFormat="1" ht="27.6">
      <c r="A1155" s="434" t="s">
        <v>942</v>
      </c>
      <c r="B1155" s="457" t="s">
        <v>946</v>
      </c>
      <c r="C1155" s="233">
        <v>44266</v>
      </c>
      <c r="D1155" s="435" t="s">
        <v>1267</v>
      </c>
      <c r="E1155" s="436" t="s">
        <v>1412</v>
      </c>
      <c r="F1155" s="338">
        <v>0.3611111111111111</v>
      </c>
      <c r="G1155" s="338">
        <v>0.36388888888888887</v>
      </c>
      <c r="H1155" s="338" t="s">
        <v>970</v>
      </c>
      <c r="I1155" s="353">
        <v>711</v>
      </c>
      <c r="J1155" s="338" t="str">
        <f>IFERROR(VLOOKUP(I1155,'Chart of accounts'!A:H,2,FALSE),"")</f>
        <v>50102010 01</v>
      </c>
      <c r="K1155" s="338" t="str">
        <f>IFERROR(VLOOKUP(I1155,'Chart of accounts'!A:H,3,FALSE),"")</f>
        <v>PERA - Civilian</v>
      </c>
      <c r="L1155" s="338" t="str">
        <f>IFERROR(VLOOKUP(I1155,'Chart of accounts'!A:H,4,FALSE),"")</f>
        <v>50102010 01 - PERA - Civilian (711)</v>
      </c>
      <c r="M1155" s="361">
        <v>2</v>
      </c>
      <c r="N1155" s="355" t="s">
        <v>1172</v>
      </c>
      <c r="O1155" s="355" t="s">
        <v>1394</v>
      </c>
      <c r="P1155" s="355"/>
      <c r="Q1155" s="363">
        <v>2000</v>
      </c>
      <c r="R1155" s="319">
        <f t="shared" si="44"/>
        <v>-2000</v>
      </c>
      <c r="S1155" s="239" t="str">
        <f>VLOOKUP(H1155,'Fund Utilization Report'!$A$4:$U$1800,13,FALSE)</f>
        <v>PS</v>
      </c>
      <c r="T1155" s="239" t="str">
        <f>VLOOKUP(H1155,'Fund Utilization Report'!$A$4:$U$1800,2,FALSE)</f>
        <v>GAA</v>
      </c>
      <c r="U1155" s="239" t="str">
        <f>VLOOKUP(H1155,'Fund Utilization Report'!$A$4:$U$1800,3,FALSE)</f>
        <v>FY2021, RA11518</v>
      </c>
      <c r="V1155" s="239" t="str">
        <f>VLOOKUP(H1155,'Fund Utilization Report'!$A$4:$U$1800,4,FALSE)</f>
        <v>OO3</v>
      </c>
      <c r="W1155" s="239" t="str">
        <f>VLOOKUP(H1155,'Fund Utilization Report'!$A$4:$U$1800,5,FALSE)</f>
        <v>01101101</v>
      </c>
      <c r="X1155" s="239" t="str">
        <f>VLOOKUP(H1155,'Fund Utilization Report'!$A$4:$U$1800,6,FALSE)</f>
        <v>GOP</v>
      </c>
      <c r="Y1155" s="440" t="str">
        <f>VLOOKUP(H1155,'Fund Utilization Report'!$A$4:$U$1800,7,FALSE)</f>
        <v>PS</v>
      </c>
      <c r="Z1155" s="441">
        <f>VLOOKUP(H1155,'Fund Utilization Report'!$A$4:$U$1800,8,FALSE)</f>
        <v>5010000000</v>
      </c>
      <c r="AA1155" s="239" t="str">
        <f>VLOOKUP(H1155,'Fund Utilization Report'!$A$4:$U$1800,14,FALSE)</f>
        <v>330100100002000</v>
      </c>
      <c r="AB1155" s="242" t="str">
        <f>VLOOKUP(H1155,'Fund Utilization Report'!$A$4:$U$1800,15,FALSE)</f>
        <v>Implementation of the MSME Development Plan and other initiatives to promote the growth of Micro, Small and Medium Enterprises</v>
      </c>
      <c r="AC1155" s="51"/>
      <c r="AD1155" s="435"/>
      <c r="AE1155" s="51"/>
      <c r="AF1155" s="51"/>
      <c r="AG1155" s="442"/>
      <c r="AH1155" s="442"/>
      <c r="AI1155" s="443"/>
    </row>
    <row r="1156" spans="1:35" s="32" customFormat="1" ht="27.6">
      <c r="A1156" s="434" t="s">
        <v>942</v>
      </c>
      <c r="B1156" s="457" t="s">
        <v>946</v>
      </c>
      <c r="C1156" s="233">
        <v>44266</v>
      </c>
      <c r="D1156" s="435" t="s">
        <v>1267</v>
      </c>
      <c r="E1156" s="436" t="s">
        <v>1412</v>
      </c>
      <c r="F1156" s="338">
        <v>0.3611111111111111</v>
      </c>
      <c r="G1156" s="338">
        <v>0.36388888888888887</v>
      </c>
      <c r="H1156" s="338" t="s">
        <v>972</v>
      </c>
      <c r="I1156" s="353">
        <v>731</v>
      </c>
      <c r="J1156" s="338" t="str">
        <f>IFERROR(VLOOKUP(I1156,'Chart of accounts'!A:H,2,FALSE),"")</f>
        <v>50103010 00</v>
      </c>
      <c r="K1156" s="338" t="str">
        <f>IFERROR(VLOOKUP(I1156,'Chart of accounts'!A:H,3,FALSE),"")</f>
        <v>Retirement and Life Insurance Premiums</v>
      </c>
      <c r="L1156" s="338" t="str">
        <f>IFERROR(VLOOKUP(I1156,'Chart of accounts'!A:H,4,FALSE),"")</f>
        <v>50103010 00 - Retirement and Life Insurance Premiums (731)</v>
      </c>
      <c r="M1156" s="361">
        <v>2</v>
      </c>
      <c r="N1156" s="355" t="s">
        <v>1172</v>
      </c>
      <c r="O1156" s="355" t="s">
        <v>1394</v>
      </c>
      <c r="P1156" s="355"/>
      <c r="Q1156" s="363">
        <v>2865.24</v>
      </c>
      <c r="R1156" s="319">
        <f t="shared" si="44"/>
        <v>-2865.24</v>
      </c>
      <c r="S1156" s="239" t="str">
        <f>VLOOKUP(H1156,'Fund Utilization Report'!$A$4:$U$1800,13,FALSE)</f>
        <v>PS</v>
      </c>
      <c r="T1156" s="239" t="str">
        <f>VLOOKUP(H1156,'Fund Utilization Report'!$A$4:$U$1800,2,FALSE)</f>
        <v>GAA</v>
      </c>
      <c r="U1156" s="239" t="str">
        <f>VLOOKUP(H1156,'Fund Utilization Report'!$A$4:$U$1800,3,FALSE)</f>
        <v>FY2021, RA11518</v>
      </c>
      <c r="V1156" s="239" t="str">
        <f>VLOOKUP(H1156,'Fund Utilization Report'!$A$4:$U$1800,4,FALSE)</f>
        <v>OO3</v>
      </c>
      <c r="W1156" s="239" t="str">
        <f>VLOOKUP(H1156,'Fund Utilization Report'!$A$4:$U$1800,5,FALSE)</f>
        <v>01101101</v>
      </c>
      <c r="X1156" s="239" t="str">
        <f>VLOOKUP(H1156,'Fund Utilization Report'!$A$4:$U$1800,6,FALSE)</f>
        <v>GOP</v>
      </c>
      <c r="Y1156" s="440" t="str">
        <f>VLOOKUP(H1156,'Fund Utilization Report'!$A$4:$U$1800,7,FALSE)</f>
        <v>RLIP</v>
      </c>
      <c r="Z1156" s="441" t="str">
        <f>VLOOKUP(H1156,'Fund Utilization Report'!$A$4:$U$1800,8,FALSE)</f>
        <v>50103010-00</v>
      </c>
      <c r="AA1156" s="239" t="str">
        <f>VLOOKUP(H1156,'Fund Utilization Report'!$A$4:$U$1800,14,FALSE)</f>
        <v>330100100002000</v>
      </c>
      <c r="AB1156" s="242" t="str">
        <f>VLOOKUP(H1156,'Fund Utilization Report'!$A$4:$U$1800,15,FALSE)</f>
        <v>Implementation of the MSME Development Plan and other initiatives to promote the growth of Micro, Small and Medium Enterprises</v>
      </c>
      <c r="AC1156" s="51"/>
      <c r="AD1156" s="435"/>
      <c r="AE1156" s="51"/>
      <c r="AF1156" s="51"/>
      <c r="AG1156" s="442"/>
      <c r="AH1156" s="442"/>
      <c r="AI1156" s="443"/>
    </row>
    <row r="1157" spans="1:35" s="32" customFormat="1" ht="27.6">
      <c r="A1157" s="434" t="s">
        <v>942</v>
      </c>
      <c r="B1157" s="457" t="s">
        <v>946</v>
      </c>
      <c r="C1157" s="233">
        <v>44266</v>
      </c>
      <c r="D1157" s="435" t="s">
        <v>1267</v>
      </c>
      <c r="E1157" s="436" t="s">
        <v>1412</v>
      </c>
      <c r="F1157" s="338">
        <v>0.3611111111111111</v>
      </c>
      <c r="G1157" s="338">
        <v>0.36388888888888887</v>
      </c>
      <c r="H1157" s="338" t="s">
        <v>970</v>
      </c>
      <c r="I1157" s="353">
        <v>732</v>
      </c>
      <c r="J1157" s="338" t="str">
        <f>IFERROR(VLOOKUP(I1157,'Chart of accounts'!A:H,2,FALSE),"")</f>
        <v>50103020 01</v>
      </c>
      <c r="K1157" s="338" t="str">
        <f>IFERROR(VLOOKUP(I1157,'Chart of accounts'!A:H,3,FALSE),"")</f>
        <v>Pag-IBIG - Civilian</v>
      </c>
      <c r="L1157" s="338" t="str">
        <f>IFERROR(VLOOKUP(I1157,'Chart of accounts'!A:H,4,FALSE),"")</f>
        <v>50103020 01 - Pag-IBIG - Civilian (732)</v>
      </c>
      <c r="M1157" s="361">
        <v>2</v>
      </c>
      <c r="N1157" s="355" t="s">
        <v>1172</v>
      </c>
      <c r="O1157" s="355" t="s">
        <v>1394</v>
      </c>
      <c r="P1157" s="355"/>
      <c r="Q1157" s="363">
        <v>100</v>
      </c>
      <c r="R1157" s="319">
        <f t="shared" si="44"/>
        <v>-100</v>
      </c>
      <c r="S1157" s="239" t="str">
        <f>VLOOKUP(H1157,'Fund Utilization Report'!$A$4:$U$1800,13,FALSE)</f>
        <v>PS</v>
      </c>
      <c r="T1157" s="239" t="str">
        <f>VLOOKUP(H1157,'Fund Utilization Report'!$A$4:$U$1800,2,FALSE)</f>
        <v>GAA</v>
      </c>
      <c r="U1157" s="239" t="str">
        <f>VLOOKUP(H1157,'Fund Utilization Report'!$A$4:$U$1800,3,FALSE)</f>
        <v>FY2021, RA11518</v>
      </c>
      <c r="V1157" s="239" t="str">
        <f>VLOOKUP(H1157,'Fund Utilization Report'!$A$4:$U$1800,4,FALSE)</f>
        <v>OO3</v>
      </c>
      <c r="W1157" s="239" t="str">
        <f>VLOOKUP(H1157,'Fund Utilization Report'!$A$4:$U$1800,5,FALSE)</f>
        <v>01101101</v>
      </c>
      <c r="X1157" s="239" t="str">
        <f>VLOOKUP(H1157,'Fund Utilization Report'!$A$4:$U$1800,6,FALSE)</f>
        <v>GOP</v>
      </c>
      <c r="Y1157" s="440" t="str">
        <f>VLOOKUP(H1157,'Fund Utilization Report'!$A$4:$U$1800,7,FALSE)</f>
        <v>PS</v>
      </c>
      <c r="Z1157" s="441">
        <f>VLOOKUP(H1157,'Fund Utilization Report'!$A$4:$U$1800,8,FALSE)</f>
        <v>5010000000</v>
      </c>
      <c r="AA1157" s="239" t="str">
        <f>VLOOKUP(H1157,'Fund Utilization Report'!$A$4:$U$1800,14,FALSE)</f>
        <v>330100100002000</v>
      </c>
      <c r="AB1157" s="242" t="str">
        <f>VLOOKUP(H1157,'Fund Utilization Report'!$A$4:$U$1800,15,FALSE)</f>
        <v>Implementation of the MSME Development Plan and other initiatives to promote the growth of Micro, Small and Medium Enterprises</v>
      </c>
      <c r="AC1157" s="51"/>
      <c r="AD1157" s="435"/>
      <c r="AE1157" s="51"/>
      <c r="AF1157" s="51"/>
      <c r="AG1157" s="442"/>
      <c r="AH1157" s="442"/>
      <c r="AI1157" s="443"/>
    </row>
    <row r="1158" spans="1:35" s="32" customFormat="1" ht="27.6">
      <c r="A1158" s="434" t="s">
        <v>942</v>
      </c>
      <c r="B1158" s="457" t="s">
        <v>946</v>
      </c>
      <c r="C1158" s="233">
        <v>44266</v>
      </c>
      <c r="D1158" s="435" t="s">
        <v>1267</v>
      </c>
      <c r="E1158" s="436" t="s">
        <v>1412</v>
      </c>
      <c r="F1158" s="338">
        <v>0.3611111111111111</v>
      </c>
      <c r="G1158" s="338">
        <v>0.36388888888888887</v>
      </c>
      <c r="H1158" s="338" t="s">
        <v>970</v>
      </c>
      <c r="I1158" s="353">
        <v>733</v>
      </c>
      <c r="J1158" s="338" t="str">
        <f>IFERROR(VLOOKUP(I1158,'Chart of accounts'!A:H,2,FALSE),"")</f>
        <v>50103030 01</v>
      </c>
      <c r="K1158" s="338" t="str">
        <f>IFERROR(VLOOKUP(I1158,'Chart of accounts'!A:H,3,FALSE),"")</f>
        <v>PhilHealth - Civilian</v>
      </c>
      <c r="L1158" s="338" t="str">
        <f>IFERROR(VLOOKUP(I1158,'Chart of accounts'!A:H,4,FALSE),"")</f>
        <v>50103030 01 - PhilHealth - Civilian (733)</v>
      </c>
      <c r="M1158" s="361">
        <v>2</v>
      </c>
      <c r="N1158" s="355" t="s">
        <v>1172</v>
      </c>
      <c r="O1158" s="355" t="s">
        <v>1394</v>
      </c>
      <c r="P1158" s="355"/>
      <c r="Q1158" s="363">
        <v>358.16</v>
      </c>
      <c r="R1158" s="319">
        <f t="shared" si="44"/>
        <v>-358.16</v>
      </c>
      <c r="S1158" s="239" t="str">
        <f>VLOOKUP(H1158,'Fund Utilization Report'!$A$4:$U$1800,13,FALSE)</f>
        <v>PS</v>
      </c>
      <c r="T1158" s="239" t="str">
        <f>VLOOKUP(H1158,'Fund Utilization Report'!$A$4:$U$1800,2,FALSE)</f>
        <v>GAA</v>
      </c>
      <c r="U1158" s="239" t="str">
        <f>VLOOKUP(H1158,'Fund Utilization Report'!$A$4:$U$1800,3,FALSE)</f>
        <v>FY2021, RA11518</v>
      </c>
      <c r="V1158" s="239" t="str">
        <f>VLOOKUP(H1158,'Fund Utilization Report'!$A$4:$U$1800,4,FALSE)</f>
        <v>OO3</v>
      </c>
      <c r="W1158" s="239" t="str">
        <f>VLOOKUP(H1158,'Fund Utilization Report'!$A$4:$U$1800,5,FALSE)</f>
        <v>01101101</v>
      </c>
      <c r="X1158" s="239" t="str">
        <f>VLOOKUP(H1158,'Fund Utilization Report'!$A$4:$U$1800,6,FALSE)</f>
        <v>GOP</v>
      </c>
      <c r="Y1158" s="440" t="str">
        <f>VLOOKUP(H1158,'Fund Utilization Report'!$A$4:$U$1800,7,FALSE)</f>
        <v>PS</v>
      </c>
      <c r="Z1158" s="441">
        <f>VLOOKUP(H1158,'Fund Utilization Report'!$A$4:$U$1800,8,FALSE)</f>
        <v>5010000000</v>
      </c>
      <c r="AA1158" s="239" t="str">
        <f>VLOOKUP(H1158,'Fund Utilization Report'!$A$4:$U$1800,14,FALSE)</f>
        <v>330100100002000</v>
      </c>
      <c r="AB1158" s="242" t="str">
        <f>VLOOKUP(H1158,'Fund Utilization Report'!$A$4:$U$1800,15,FALSE)</f>
        <v>Implementation of the MSME Development Plan and other initiatives to promote the growth of Micro, Small and Medium Enterprises</v>
      </c>
      <c r="AC1158" s="51"/>
      <c r="AD1158" s="435"/>
      <c r="AE1158" s="51"/>
      <c r="AF1158" s="51"/>
      <c r="AG1158" s="442"/>
      <c r="AH1158" s="442"/>
      <c r="AI1158" s="443"/>
    </row>
    <row r="1159" spans="1:35" s="32" customFormat="1" ht="27.6">
      <c r="A1159" s="434" t="s">
        <v>942</v>
      </c>
      <c r="B1159" s="457" t="s">
        <v>946</v>
      </c>
      <c r="C1159" s="233">
        <v>44266</v>
      </c>
      <c r="D1159" s="435" t="s">
        <v>1267</v>
      </c>
      <c r="E1159" s="436" t="s">
        <v>1412</v>
      </c>
      <c r="F1159" s="338">
        <v>0.3611111111111111</v>
      </c>
      <c r="G1159" s="338">
        <v>0.36388888888888887</v>
      </c>
      <c r="H1159" s="338" t="s">
        <v>970</v>
      </c>
      <c r="I1159" s="353">
        <v>734</v>
      </c>
      <c r="J1159" s="338" t="str">
        <f>IFERROR(VLOOKUP(I1159,'Chart of accounts'!A:H,2,FALSE),"")</f>
        <v>50103040 01</v>
      </c>
      <c r="K1159" s="338" t="str">
        <f>IFERROR(VLOOKUP(I1159,'Chart of accounts'!A:H,3,FALSE),"")</f>
        <v>ECIP - Civilian</v>
      </c>
      <c r="L1159" s="338" t="str">
        <f>IFERROR(VLOOKUP(I1159,'Chart of accounts'!A:H,4,FALSE),"")</f>
        <v>50103040 01 - ECIP - Civilian (734)</v>
      </c>
      <c r="M1159" s="361">
        <v>2</v>
      </c>
      <c r="N1159" s="355" t="s">
        <v>1172</v>
      </c>
      <c r="O1159" s="355" t="s">
        <v>1394</v>
      </c>
      <c r="P1159" s="355"/>
      <c r="Q1159" s="363">
        <v>100</v>
      </c>
      <c r="R1159" s="319">
        <f t="shared" si="44"/>
        <v>-100</v>
      </c>
      <c r="S1159" s="239" t="str">
        <f>VLOOKUP(H1159,'Fund Utilization Report'!$A$4:$U$1800,13,FALSE)</f>
        <v>PS</v>
      </c>
      <c r="T1159" s="239" t="str">
        <f>VLOOKUP(H1159,'Fund Utilization Report'!$A$4:$U$1800,2,FALSE)</f>
        <v>GAA</v>
      </c>
      <c r="U1159" s="239" t="str">
        <f>VLOOKUP(H1159,'Fund Utilization Report'!$A$4:$U$1800,3,FALSE)</f>
        <v>FY2021, RA11518</v>
      </c>
      <c r="V1159" s="239" t="str">
        <f>VLOOKUP(H1159,'Fund Utilization Report'!$A$4:$U$1800,4,FALSE)</f>
        <v>OO3</v>
      </c>
      <c r="W1159" s="239" t="str">
        <f>VLOOKUP(H1159,'Fund Utilization Report'!$A$4:$U$1800,5,FALSE)</f>
        <v>01101101</v>
      </c>
      <c r="X1159" s="239" t="str">
        <f>VLOOKUP(H1159,'Fund Utilization Report'!$A$4:$U$1800,6,FALSE)</f>
        <v>GOP</v>
      </c>
      <c r="Y1159" s="440" t="str">
        <f>VLOOKUP(H1159,'Fund Utilization Report'!$A$4:$U$1800,7,FALSE)</f>
        <v>PS</v>
      </c>
      <c r="Z1159" s="441">
        <f>VLOOKUP(H1159,'Fund Utilization Report'!$A$4:$U$1800,8,FALSE)</f>
        <v>5010000000</v>
      </c>
      <c r="AA1159" s="239" t="str">
        <f>VLOOKUP(H1159,'Fund Utilization Report'!$A$4:$U$1800,14,FALSE)</f>
        <v>330100100002000</v>
      </c>
      <c r="AB1159" s="242" t="str">
        <f>VLOOKUP(H1159,'Fund Utilization Report'!$A$4:$U$1800,15,FALSE)</f>
        <v>Implementation of the MSME Development Plan and other initiatives to promote the growth of Micro, Small and Medium Enterprises</v>
      </c>
      <c r="AC1159" s="51"/>
      <c r="AD1159" s="435"/>
      <c r="AE1159" s="51"/>
      <c r="AF1159" s="51"/>
      <c r="AG1159" s="442"/>
      <c r="AH1159" s="442"/>
      <c r="AI1159" s="443"/>
    </row>
    <row r="1160" spans="1:35" s="32" customFormat="1" ht="27.6">
      <c r="A1160" s="434" t="s">
        <v>942</v>
      </c>
      <c r="B1160" s="457" t="s">
        <v>946</v>
      </c>
      <c r="C1160" s="233">
        <v>44266</v>
      </c>
      <c r="D1160" s="435" t="s">
        <v>1267</v>
      </c>
      <c r="E1160" s="436" t="s">
        <v>1413</v>
      </c>
      <c r="F1160" s="338">
        <v>0.36388888888888887</v>
      </c>
      <c r="G1160" s="338">
        <v>0.36458333333333331</v>
      </c>
      <c r="H1160" s="338" t="s">
        <v>999</v>
      </c>
      <c r="I1160" s="353">
        <v>706</v>
      </c>
      <c r="J1160" s="338" t="str">
        <f>IFERROR(VLOOKUP(I1160,'Chart of accounts'!A:H,2,FALSE),"")</f>
        <v>50101020 00</v>
      </c>
      <c r="K1160" s="338" t="str">
        <f>IFERROR(VLOOKUP(I1160,'Chart of accounts'!A:H,3,FALSE),"")</f>
        <v>Basic Salary - Contractual</v>
      </c>
      <c r="L1160" s="338" t="str">
        <f>IFERROR(VLOOKUP(I1160,'Chart of accounts'!A:H,4,FALSE),"")</f>
        <v>50101020 00 - Basic Salary - Contractual (706)</v>
      </c>
      <c r="M1160" s="361">
        <v>2</v>
      </c>
      <c r="N1160" s="355" t="s">
        <v>789</v>
      </c>
      <c r="O1160" s="355" t="s">
        <v>1390</v>
      </c>
      <c r="P1160" s="355"/>
      <c r="Q1160" s="363">
        <v>77256</v>
      </c>
      <c r="R1160" s="319">
        <f t="shared" si="44"/>
        <v>-77256</v>
      </c>
      <c r="S1160" s="239" t="str">
        <f>VLOOKUP(H1160,'Fund Utilization Report'!$A$4:$U$1800,13,FALSE)</f>
        <v>PS</v>
      </c>
      <c r="T1160" s="239" t="str">
        <f>VLOOKUP(H1160,'Fund Utilization Report'!$A$4:$U$1800,2,FALSE)</f>
        <v>SAA15</v>
      </c>
      <c r="U1160" s="239" t="str">
        <f>VLOOKUP(H1160,'Fund Utilization Report'!$A$4:$U$1800,3,FALSE)</f>
        <v>2021-01-0015</v>
      </c>
      <c r="V1160" s="239" t="str">
        <f>VLOOKUP(H1160,'Fund Utilization Report'!$A$4:$U$1800,4,FALSE)</f>
        <v>CARP</v>
      </c>
      <c r="W1160" s="239" t="str">
        <f>VLOOKUP(H1160,'Fund Utilization Report'!$A$4:$U$1800,5,FALSE)</f>
        <v>01101101</v>
      </c>
      <c r="X1160" s="239" t="str">
        <f>VLOOKUP(H1160,'Fund Utilization Report'!$A$4:$U$1800,6,FALSE)</f>
        <v>GOP</v>
      </c>
      <c r="Y1160" s="440">
        <f>VLOOKUP(H1160,'Fund Utilization Report'!$A$4:$U$1800,7,FALSE)</f>
        <v>706</v>
      </c>
      <c r="Z1160" s="441" t="str">
        <f>VLOOKUP(H1160,'Fund Utilization Report'!$A$4:$U$1800,8,FALSE)</f>
        <v>50101020 00</v>
      </c>
      <c r="AA1160" s="239" t="str">
        <f>VLOOKUP(H1160,'Fund Utilization Report'!$A$4:$U$1800,14,FALSE)</f>
        <v>330100100003000</v>
      </c>
      <c r="AB1160" s="242" t="str">
        <f>VLOOKUP(H1160,'Fund Utilization Report'!$A$4:$U$1800,15,FALSE)</f>
        <v>MSME Development Program : Program Beneficiaries Development Component of the Comprehensive Agrarian Reform Program</v>
      </c>
      <c r="AC1160" s="51"/>
      <c r="AD1160" s="435"/>
      <c r="AE1160" s="51"/>
      <c r="AF1160" s="51"/>
      <c r="AG1160" s="442"/>
      <c r="AH1160" s="442"/>
      <c r="AI1160" s="443"/>
    </row>
    <row r="1161" spans="1:35" s="32" customFormat="1" ht="27.6">
      <c r="A1161" s="434" t="s">
        <v>942</v>
      </c>
      <c r="B1161" s="457" t="s">
        <v>946</v>
      </c>
      <c r="C1161" s="233">
        <v>44266</v>
      </c>
      <c r="D1161" s="435" t="s">
        <v>1267</v>
      </c>
      <c r="E1161" s="436" t="s">
        <v>1413</v>
      </c>
      <c r="F1161" s="338">
        <v>0.36388888888888887</v>
      </c>
      <c r="G1161" s="338">
        <v>0.36458333333333331</v>
      </c>
      <c r="H1161" s="338" t="s">
        <v>999</v>
      </c>
      <c r="I1161" s="353">
        <v>711</v>
      </c>
      <c r="J1161" s="338" t="str">
        <f>IFERROR(VLOOKUP(I1161,'Chart of accounts'!A:H,2,FALSE),"")</f>
        <v>50102010 01</v>
      </c>
      <c r="K1161" s="338" t="str">
        <f>IFERROR(VLOOKUP(I1161,'Chart of accounts'!A:H,3,FALSE),"")</f>
        <v>PERA - Civilian</v>
      </c>
      <c r="L1161" s="338" t="str">
        <f>IFERROR(VLOOKUP(I1161,'Chart of accounts'!A:H,4,FALSE),"")</f>
        <v>50102010 01 - PERA - Civilian (711)</v>
      </c>
      <c r="M1161" s="361">
        <v>2</v>
      </c>
      <c r="N1161" s="355" t="s">
        <v>789</v>
      </c>
      <c r="O1161" s="355" t="s">
        <v>1390</v>
      </c>
      <c r="P1161" s="355"/>
      <c r="Q1161" s="363">
        <v>4000</v>
      </c>
      <c r="R1161" s="319">
        <f t="shared" si="44"/>
        <v>-4000</v>
      </c>
      <c r="S1161" s="239" t="str">
        <f>VLOOKUP(H1161,'Fund Utilization Report'!$A$4:$U$1800,13,FALSE)</f>
        <v>PS</v>
      </c>
      <c r="T1161" s="239" t="str">
        <f>VLOOKUP(H1161,'Fund Utilization Report'!$A$4:$U$1800,2,FALSE)</f>
        <v>SAA15</v>
      </c>
      <c r="U1161" s="239" t="str">
        <f>VLOOKUP(H1161,'Fund Utilization Report'!$A$4:$U$1800,3,FALSE)</f>
        <v>2021-01-0015</v>
      </c>
      <c r="V1161" s="239" t="str">
        <f>VLOOKUP(H1161,'Fund Utilization Report'!$A$4:$U$1800,4,FALSE)</f>
        <v>CARP</v>
      </c>
      <c r="W1161" s="239" t="str">
        <f>VLOOKUP(H1161,'Fund Utilization Report'!$A$4:$U$1800,5,FALSE)</f>
        <v>01101101</v>
      </c>
      <c r="X1161" s="239" t="str">
        <f>VLOOKUP(H1161,'Fund Utilization Report'!$A$4:$U$1800,6,FALSE)</f>
        <v>GOP</v>
      </c>
      <c r="Y1161" s="440">
        <f>VLOOKUP(H1161,'Fund Utilization Report'!$A$4:$U$1800,7,FALSE)</f>
        <v>706</v>
      </c>
      <c r="Z1161" s="441" t="str">
        <f>VLOOKUP(H1161,'Fund Utilization Report'!$A$4:$U$1800,8,FALSE)</f>
        <v>50101020 00</v>
      </c>
      <c r="AA1161" s="239" t="str">
        <f>VLOOKUP(H1161,'Fund Utilization Report'!$A$4:$U$1800,14,FALSE)</f>
        <v>330100100003000</v>
      </c>
      <c r="AB1161" s="242" t="str">
        <f>VLOOKUP(H1161,'Fund Utilization Report'!$A$4:$U$1800,15,FALSE)</f>
        <v>MSME Development Program : Program Beneficiaries Development Component of the Comprehensive Agrarian Reform Program</v>
      </c>
      <c r="AC1161" s="51"/>
      <c r="AD1161" s="435"/>
      <c r="AE1161" s="51"/>
      <c r="AF1161" s="51"/>
      <c r="AG1161" s="442"/>
      <c r="AH1161" s="442"/>
      <c r="AI1161" s="443"/>
    </row>
    <row r="1162" spans="1:35" s="32" customFormat="1" ht="27.6">
      <c r="A1162" s="434" t="s">
        <v>942</v>
      </c>
      <c r="B1162" s="457" t="s">
        <v>946</v>
      </c>
      <c r="C1162" s="233">
        <v>44266</v>
      </c>
      <c r="D1162" s="435" t="s">
        <v>1267</v>
      </c>
      <c r="E1162" s="436" t="s">
        <v>1413</v>
      </c>
      <c r="F1162" s="338">
        <v>0.36388888888888887</v>
      </c>
      <c r="G1162" s="338">
        <v>0.36458333333333331</v>
      </c>
      <c r="H1162" s="338" t="s">
        <v>999</v>
      </c>
      <c r="I1162" s="353">
        <v>731</v>
      </c>
      <c r="J1162" s="338" t="str">
        <f>IFERROR(VLOOKUP(I1162,'Chart of accounts'!A:H,2,FALSE),"")</f>
        <v>50103010 00</v>
      </c>
      <c r="K1162" s="338" t="str">
        <f>IFERROR(VLOOKUP(I1162,'Chart of accounts'!A:H,3,FALSE),"")</f>
        <v>Retirement and Life Insurance Premiums</v>
      </c>
      <c r="L1162" s="338" t="str">
        <f>IFERROR(VLOOKUP(I1162,'Chart of accounts'!A:H,4,FALSE),"")</f>
        <v>50103010 00 - Retirement and Life Insurance Premiums (731)</v>
      </c>
      <c r="M1162" s="361">
        <v>2</v>
      </c>
      <c r="N1162" s="355" t="s">
        <v>789</v>
      </c>
      <c r="O1162" s="355" t="s">
        <v>1390</v>
      </c>
      <c r="P1162" s="355"/>
      <c r="Q1162" s="363">
        <v>9270.7199999999993</v>
      </c>
      <c r="R1162" s="319">
        <f t="shared" si="44"/>
        <v>-9270.7199999999993</v>
      </c>
      <c r="S1162" s="239" t="str">
        <f>VLOOKUP(H1162,'Fund Utilization Report'!$A$4:$U$1800,13,FALSE)</f>
        <v>PS</v>
      </c>
      <c r="T1162" s="239" t="str">
        <f>VLOOKUP(H1162,'Fund Utilization Report'!$A$4:$U$1800,2,FALSE)</f>
        <v>SAA15</v>
      </c>
      <c r="U1162" s="239" t="str">
        <f>VLOOKUP(H1162,'Fund Utilization Report'!$A$4:$U$1800,3,FALSE)</f>
        <v>2021-01-0015</v>
      </c>
      <c r="V1162" s="239" t="str">
        <f>VLOOKUP(H1162,'Fund Utilization Report'!$A$4:$U$1800,4,FALSE)</f>
        <v>CARP</v>
      </c>
      <c r="W1162" s="239" t="str">
        <f>VLOOKUP(H1162,'Fund Utilization Report'!$A$4:$U$1800,5,FALSE)</f>
        <v>01101101</v>
      </c>
      <c r="X1162" s="239" t="str">
        <f>VLOOKUP(H1162,'Fund Utilization Report'!$A$4:$U$1800,6,FALSE)</f>
        <v>GOP</v>
      </c>
      <c r="Y1162" s="440">
        <f>VLOOKUP(H1162,'Fund Utilization Report'!$A$4:$U$1800,7,FALSE)</f>
        <v>706</v>
      </c>
      <c r="Z1162" s="441" t="str">
        <f>VLOOKUP(H1162,'Fund Utilization Report'!$A$4:$U$1800,8,FALSE)</f>
        <v>50101020 00</v>
      </c>
      <c r="AA1162" s="239" t="str">
        <f>VLOOKUP(H1162,'Fund Utilization Report'!$A$4:$U$1800,14,FALSE)</f>
        <v>330100100003000</v>
      </c>
      <c r="AB1162" s="242" t="str">
        <f>VLOOKUP(H1162,'Fund Utilization Report'!$A$4:$U$1800,15,FALSE)</f>
        <v>MSME Development Program : Program Beneficiaries Development Component of the Comprehensive Agrarian Reform Program</v>
      </c>
      <c r="AC1162" s="51"/>
      <c r="AD1162" s="435"/>
      <c r="AE1162" s="51"/>
      <c r="AF1162" s="51"/>
      <c r="AG1162" s="442"/>
      <c r="AH1162" s="442"/>
      <c r="AI1162" s="443"/>
    </row>
    <row r="1163" spans="1:35" s="32" customFormat="1" ht="27.6">
      <c r="A1163" s="434" t="s">
        <v>942</v>
      </c>
      <c r="B1163" s="457" t="s">
        <v>946</v>
      </c>
      <c r="C1163" s="233">
        <v>44266</v>
      </c>
      <c r="D1163" s="435" t="s">
        <v>1267</v>
      </c>
      <c r="E1163" s="436" t="s">
        <v>1413</v>
      </c>
      <c r="F1163" s="338">
        <v>0.36388888888888887</v>
      </c>
      <c r="G1163" s="338">
        <v>0.36458333333333331</v>
      </c>
      <c r="H1163" s="338" t="s">
        <v>999</v>
      </c>
      <c r="I1163" s="353">
        <v>732</v>
      </c>
      <c r="J1163" s="338" t="str">
        <f>IFERROR(VLOOKUP(I1163,'Chart of accounts'!A:H,2,FALSE),"")</f>
        <v>50103020 01</v>
      </c>
      <c r="K1163" s="338" t="str">
        <f>IFERROR(VLOOKUP(I1163,'Chart of accounts'!A:H,3,FALSE),"")</f>
        <v>Pag-IBIG - Civilian</v>
      </c>
      <c r="L1163" s="338" t="str">
        <f>IFERROR(VLOOKUP(I1163,'Chart of accounts'!A:H,4,FALSE),"")</f>
        <v>50103020 01 - Pag-IBIG - Civilian (732)</v>
      </c>
      <c r="M1163" s="361">
        <v>2</v>
      </c>
      <c r="N1163" s="355" t="s">
        <v>789</v>
      </c>
      <c r="O1163" s="355" t="s">
        <v>1390</v>
      </c>
      <c r="P1163" s="355"/>
      <c r="Q1163" s="363">
        <v>200</v>
      </c>
      <c r="R1163" s="319">
        <f t="shared" si="44"/>
        <v>-200</v>
      </c>
      <c r="S1163" s="239" t="str">
        <f>VLOOKUP(H1163,'Fund Utilization Report'!$A$4:$U$1800,13,FALSE)</f>
        <v>PS</v>
      </c>
      <c r="T1163" s="239" t="str">
        <f>VLOOKUP(H1163,'Fund Utilization Report'!$A$4:$U$1800,2,FALSE)</f>
        <v>SAA15</v>
      </c>
      <c r="U1163" s="239" t="str">
        <f>VLOOKUP(H1163,'Fund Utilization Report'!$A$4:$U$1800,3,FALSE)</f>
        <v>2021-01-0015</v>
      </c>
      <c r="V1163" s="239" t="str">
        <f>VLOOKUP(H1163,'Fund Utilization Report'!$A$4:$U$1800,4,FALSE)</f>
        <v>CARP</v>
      </c>
      <c r="W1163" s="239" t="str">
        <f>VLOOKUP(H1163,'Fund Utilization Report'!$A$4:$U$1800,5,FALSE)</f>
        <v>01101101</v>
      </c>
      <c r="X1163" s="239" t="str">
        <f>VLOOKUP(H1163,'Fund Utilization Report'!$A$4:$U$1800,6,FALSE)</f>
        <v>GOP</v>
      </c>
      <c r="Y1163" s="440">
        <f>VLOOKUP(H1163,'Fund Utilization Report'!$A$4:$U$1800,7,FALSE)</f>
        <v>706</v>
      </c>
      <c r="Z1163" s="441" t="str">
        <f>VLOOKUP(H1163,'Fund Utilization Report'!$A$4:$U$1800,8,FALSE)</f>
        <v>50101020 00</v>
      </c>
      <c r="AA1163" s="239" t="str">
        <f>VLOOKUP(H1163,'Fund Utilization Report'!$A$4:$U$1800,14,FALSE)</f>
        <v>330100100003000</v>
      </c>
      <c r="AB1163" s="242" t="str">
        <f>VLOOKUP(H1163,'Fund Utilization Report'!$A$4:$U$1800,15,FALSE)</f>
        <v>MSME Development Program : Program Beneficiaries Development Component of the Comprehensive Agrarian Reform Program</v>
      </c>
      <c r="AC1163" s="51"/>
      <c r="AD1163" s="435"/>
      <c r="AE1163" s="51"/>
      <c r="AF1163" s="51"/>
      <c r="AG1163" s="442"/>
      <c r="AH1163" s="442"/>
      <c r="AI1163" s="443"/>
    </row>
    <row r="1164" spans="1:35" s="32" customFormat="1" ht="27.6">
      <c r="A1164" s="434" t="s">
        <v>942</v>
      </c>
      <c r="B1164" s="457" t="s">
        <v>946</v>
      </c>
      <c r="C1164" s="233">
        <v>44266</v>
      </c>
      <c r="D1164" s="435" t="s">
        <v>1267</v>
      </c>
      <c r="E1164" s="436" t="s">
        <v>1413</v>
      </c>
      <c r="F1164" s="338">
        <v>0.36388888888888887</v>
      </c>
      <c r="G1164" s="338">
        <v>0.36458333333333331</v>
      </c>
      <c r="H1164" s="338" t="s">
        <v>999</v>
      </c>
      <c r="I1164" s="353">
        <v>733</v>
      </c>
      <c r="J1164" s="338" t="str">
        <f>IFERROR(VLOOKUP(I1164,'Chart of accounts'!A:H,2,FALSE),"")</f>
        <v>50103030 01</v>
      </c>
      <c r="K1164" s="338" t="str">
        <f>IFERROR(VLOOKUP(I1164,'Chart of accounts'!A:H,3,FALSE),"")</f>
        <v>PhilHealth - Civilian</v>
      </c>
      <c r="L1164" s="338" t="str">
        <f>IFERROR(VLOOKUP(I1164,'Chart of accounts'!A:H,4,FALSE),"")</f>
        <v>50103030 01 - PhilHealth - Civilian (733)</v>
      </c>
      <c r="M1164" s="361">
        <v>2</v>
      </c>
      <c r="N1164" s="355" t="s">
        <v>789</v>
      </c>
      <c r="O1164" s="355" t="s">
        <v>1390</v>
      </c>
      <c r="P1164" s="355"/>
      <c r="Q1164" s="363">
        <v>1158.8499999999999</v>
      </c>
      <c r="R1164" s="319">
        <f t="shared" si="44"/>
        <v>-1158.8499999999999</v>
      </c>
      <c r="S1164" s="239" t="str">
        <f>VLOOKUP(H1164,'Fund Utilization Report'!$A$4:$U$1800,13,FALSE)</f>
        <v>PS</v>
      </c>
      <c r="T1164" s="239" t="str">
        <f>VLOOKUP(H1164,'Fund Utilization Report'!$A$4:$U$1800,2,FALSE)</f>
        <v>SAA15</v>
      </c>
      <c r="U1164" s="239" t="str">
        <f>VLOOKUP(H1164,'Fund Utilization Report'!$A$4:$U$1800,3,FALSE)</f>
        <v>2021-01-0015</v>
      </c>
      <c r="V1164" s="239" t="str">
        <f>VLOOKUP(H1164,'Fund Utilization Report'!$A$4:$U$1800,4,FALSE)</f>
        <v>CARP</v>
      </c>
      <c r="W1164" s="239" t="str">
        <f>VLOOKUP(H1164,'Fund Utilization Report'!$A$4:$U$1800,5,FALSE)</f>
        <v>01101101</v>
      </c>
      <c r="X1164" s="239" t="str">
        <f>VLOOKUP(H1164,'Fund Utilization Report'!$A$4:$U$1800,6,FALSE)</f>
        <v>GOP</v>
      </c>
      <c r="Y1164" s="440">
        <f>VLOOKUP(H1164,'Fund Utilization Report'!$A$4:$U$1800,7,FALSE)</f>
        <v>706</v>
      </c>
      <c r="Z1164" s="441" t="str">
        <f>VLOOKUP(H1164,'Fund Utilization Report'!$A$4:$U$1800,8,FALSE)</f>
        <v>50101020 00</v>
      </c>
      <c r="AA1164" s="239" t="str">
        <f>VLOOKUP(H1164,'Fund Utilization Report'!$A$4:$U$1800,14,FALSE)</f>
        <v>330100100003000</v>
      </c>
      <c r="AB1164" s="242" t="str">
        <f>VLOOKUP(H1164,'Fund Utilization Report'!$A$4:$U$1800,15,FALSE)</f>
        <v>MSME Development Program : Program Beneficiaries Development Component of the Comprehensive Agrarian Reform Program</v>
      </c>
      <c r="AC1164" s="51"/>
      <c r="AD1164" s="435"/>
      <c r="AE1164" s="51"/>
      <c r="AF1164" s="51"/>
      <c r="AG1164" s="442"/>
      <c r="AH1164" s="442"/>
      <c r="AI1164" s="443"/>
    </row>
    <row r="1165" spans="1:35" s="32" customFormat="1" ht="27.6">
      <c r="A1165" s="434" t="s">
        <v>942</v>
      </c>
      <c r="B1165" s="457" t="s">
        <v>946</v>
      </c>
      <c r="C1165" s="233">
        <v>44266</v>
      </c>
      <c r="D1165" s="435" t="s">
        <v>1267</v>
      </c>
      <c r="E1165" s="436" t="s">
        <v>1413</v>
      </c>
      <c r="F1165" s="338">
        <v>0.36388888888888887</v>
      </c>
      <c r="G1165" s="338">
        <v>0.36458333333333331</v>
      </c>
      <c r="H1165" s="338" t="s">
        <v>999</v>
      </c>
      <c r="I1165" s="353">
        <v>734</v>
      </c>
      <c r="J1165" s="338" t="str">
        <f>IFERROR(VLOOKUP(I1165,'Chart of accounts'!A:H,2,FALSE),"")</f>
        <v>50103040 01</v>
      </c>
      <c r="K1165" s="338" t="str">
        <f>IFERROR(VLOOKUP(I1165,'Chart of accounts'!A:H,3,FALSE),"")</f>
        <v>ECIP - Civilian</v>
      </c>
      <c r="L1165" s="338" t="str">
        <f>IFERROR(VLOOKUP(I1165,'Chart of accounts'!A:H,4,FALSE),"")</f>
        <v>50103040 01 - ECIP - Civilian (734)</v>
      </c>
      <c r="M1165" s="361">
        <v>2</v>
      </c>
      <c r="N1165" s="355" t="s">
        <v>789</v>
      </c>
      <c r="O1165" s="355" t="s">
        <v>1390</v>
      </c>
      <c r="P1165" s="355"/>
      <c r="Q1165" s="363">
        <v>200</v>
      </c>
      <c r="R1165" s="319">
        <f t="shared" si="44"/>
        <v>-200</v>
      </c>
      <c r="S1165" s="239" t="str">
        <f>VLOOKUP(H1165,'Fund Utilization Report'!$A$4:$U$1800,13,FALSE)</f>
        <v>PS</v>
      </c>
      <c r="T1165" s="239" t="str">
        <f>VLOOKUP(H1165,'Fund Utilization Report'!$A$4:$U$1800,2,FALSE)</f>
        <v>SAA15</v>
      </c>
      <c r="U1165" s="239" t="str">
        <f>VLOOKUP(H1165,'Fund Utilization Report'!$A$4:$U$1800,3,FALSE)</f>
        <v>2021-01-0015</v>
      </c>
      <c r="V1165" s="239" t="str">
        <f>VLOOKUP(H1165,'Fund Utilization Report'!$A$4:$U$1800,4,FALSE)</f>
        <v>CARP</v>
      </c>
      <c r="W1165" s="239" t="str">
        <f>VLOOKUP(H1165,'Fund Utilization Report'!$A$4:$U$1800,5,FALSE)</f>
        <v>01101101</v>
      </c>
      <c r="X1165" s="239" t="str">
        <f>VLOOKUP(H1165,'Fund Utilization Report'!$A$4:$U$1800,6,FALSE)</f>
        <v>GOP</v>
      </c>
      <c r="Y1165" s="440">
        <f>VLOOKUP(H1165,'Fund Utilization Report'!$A$4:$U$1800,7,FALSE)</f>
        <v>706</v>
      </c>
      <c r="Z1165" s="441" t="str">
        <f>VLOOKUP(H1165,'Fund Utilization Report'!$A$4:$U$1800,8,FALSE)</f>
        <v>50101020 00</v>
      </c>
      <c r="AA1165" s="239" t="str">
        <f>VLOOKUP(H1165,'Fund Utilization Report'!$A$4:$U$1800,14,FALSE)</f>
        <v>330100100003000</v>
      </c>
      <c r="AB1165" s="242" t="str">
        <f>VLOOKUP(H1165,'Fund Utilization Report'!$A$4:$U$1800,15,FALSE)</f>
        <v>MSME Development Program : Program Beneficiaries Development Component of the Comprehensive Agrarian Reform Program</v>
      </c>
      <c r="AC1165" s="51"/>
      <c r="AD1165" s="435"/>
      <c r="AE1165" s="51"/>
      <c r="AF1165" s="51"/>
      <c r="AG1165" s="442"/>
      <c r="AH1165" s="442"/>
      <c r="AI1165" s="443"/>
    </row>
    <row r="1166" spans="1:35" s="32" customFormat="1" ht="27.6">
      <c r="A1166" s="434" t="s">
        <v>942</v>
      </c>
      <c r="B1166" s="457" t="s">
        <v>946</v>
      </c>
      <c r="C1166" s="233">
        <v>44266</v>
      </c>
      <c r="D1166" s="435" t="s">
        <v>1267</v>
      </c>
      <c r="E1166" s="436" t="s">
        <v>1414</v>
      </c>
      <c r="F1166" s="338">
        <v>0.36458333333333331</v>
      </c>
      <c r="G1166" s="338">
        <v>0.3666666666666667</v>
      </c>
      <c r="H1166" s="338" t="s">
        <v>960</v>
      </c>
      <c r="I1166" s="353">
        <v>701</v>
      </c>
      <c r="J1166" s="338" t="str">
        <f>IFERROR(VLOOKUP(I1166,'Chart of accounts'!A:H,2,FALSE),"")</f>
        <v>50101010 01</v>
      </c>
      <c r="K1166" s="338" t="str">
        <f>IFERROR(VLOOKUP(I1166,'Chart of accounts'!A:H,3,FALSE),"")</f>
        <v>Basic Salary - Civilian</v>
      </c>
      <c r="L1166" s="338" t="str">
        <f>IFERROR(VLOOKUP(I1166,'Chart of accounts'!A:H,4,FALSE),"")</f>
        <v>50101010 01 - Basic Salary - Civilian (701)</v>
      </c>
      <c r="M1166" s="361">
        <v>2</v>
      </c>
      <c r="N1166" s="355" t="s">
        <v>789</v>
      </c>
      <c r="O1166" s="355" t="s">
        <v>1384</v>
      </c>
      <c r="P1166" s="355"/>
      <c r="Q1166" s="363">
        <f>33575+23877</f>
        <v>57452</v>
      </c>
      <c r="R1166" s="319">
        <f t="shared" si="44"/>
        <v>-57452</v>
      </c>
      <c r="S1166" s="239" t="str">
        <f>VLOOKUP(H1166,'Fund Utilization Report'!$A$4:$U$1800,13,FALSE)</f>
        <v>PS</v>
      </c>
      <c r="T1166" s="239" t="str">
        <f>VLOOKUP(H1166,'Fund Utilization Report'!$A$4:$U$1800,2,FALSE)</f>
        <v>GAA</v>
      </c>
      <c r="U1166" s="239" t="str">
        <f>VLOOKUP(H1166,'Fund Utilization Report'!$A$4:$U$1800,3,FALSE)</f>
        <v>FY2021, RA11518</v>
      </c>
      <c r="V1166" s="239" t="str">
        <f>VLOOKUP(H1166,'Fund Utilization Report'!$A$4:$U$1800,4,FALSE)</f>
        <v>GAS(GMS)</v>
      </c>
      <c r="W1166" s="239" t="str">
        <f>VLOOKUP(H1166,'Fund Utilization Report'!$A$4:$U$1800,5,FALSE)</f>
        <v>01101101</v>
      </c>
      <c r="X1166" s="239" t="str">
        <f>VLOOKUP(H1166,'Fund Utilization Report'!$A$4:$U$1800,6,FALSE)</f>
        <v>GOP</v>
      </c>
      <c r="Y1166" s="440" t="str">
        <f>VLOOKUP(H1166,'Fund Utilization Report'!$A$4:$U$1800,7,FALSE)</f>
        <v>PS</v>
      </c>
      <c r="Z1166" s="441">
        <f>VLOOKUP(H1166,'Fund Utilization Report'!$A$4:$U$1800,8,FALSE)</f>
        <v>5010000000</v>
      </c>
      <c r="AA1166" s="239" t="str">
        <f>VLOOKUP(H1166,'Fund Utilization Report'!$A$4:$U$1800,14,FALSE)</f>
        <v>100000100001000</v>
      </c>
      <c r="AB1166" s="242" t="str">
        <f>VLOOKUP(H1166,'Fund Utilization Report'!$A$4:$U$1800,15,FALSE)</f>
        <v>General Administration and Supervision - General Management and Supervision</v>
      </c>
      <c r="AC1166" s="51"/>
      <c r="AD1166" s="435"/>
      <c r="AE1166" s="51"/>
      <c r="AF1166" s="51"/>
      <c r="AG1166" s="442"/>
      <c r="AH1166" s="442"/>
      <c r="AI1166" s="443"/>
    </row>
    <row r="1167" spans="1:35" s="32" customFormat="1" ht="27.6">
      <c r="A1167" s="434" t="s">
        <v>942</v>
      </c>
      <c r="B1167" s="457" t="s">
        <v>946</v>
      </c>
      <c r="C1167" s="233">
        <v>44266</v>
      </c>
      <c r="D1167" s="435" t="s">
        <v>1267</v>
      </c>
      <c r="E1167" s="436" t="s">
        <v>1414</v>
      </c>
      <c r="F1167" s="338">
        <v>0.36458333333333331</v>
      </c>
      <c r="G1167" s="338">
        <v>0.3666666666666667</v>
      </c>
      <c r="H1167" s="338" t="s">
        <v>960</v>
      </c>
      <c r="I1167" s="353">
        <v>711</v>
      </c>
      <c r="J1167" s="338" t="str">
        <f>IFERROR(VLOOKUP(I1167,'Chart of accounts'!A:H,2,FALSE),"")</f>
        <v>50102010 01</v>
      </c>
      <c r="K1167" s="338" t="str">
        <f>IFERROR(VLOOKUP(I1167,'Chart of accounts'!A:H,3,FALSE),"")</f>
        <v>PERA - Civilian</v>
      </c>
      <c r="L1167" s="338" t="str">
        <f>IFERROR(VLOOKUP(I1167,'Chart of accounts'!A:H,4,FALSE),"")</f>
        <v>50102010 01 - PERA - Civilian (711)</v>
      </c>
      <c r="M1167" s="361">
        <v>2</v>
      </c>
      <c r="N1167" s="355" t="s">
        <v>789</v>
      </c>
      <c r="O1167" s="355" t="s">
        <v>1384</v>
      </c>
      <c r="P1167" s="355"/>
      <c r="Q1167" s="363">
        <v>4000</v>
      </c>
      <c r="R1167" s="319">
        <f t="shared" si="44"/>
        <v>-4000</v>
      </c>
      <c r="S1167" s="239" t="str">
        <f>VLOOKUP(H1167,'Fund Utilization Report'!$A$4:$U$1800,13,FALSE)</f>
        <v>PS</v>
      </c>
      <c r="T1167" s="239" t="str">
        <f>VLOOKUP(H1167,'Fund Utilization Report'!$A$4:$U$1800,2,FALSE)</f>
        <v>GAA</v>
      </c>
      <c r="U1167" s="239" t="str">
        <f>VLOOKUP(H1167,'Fund Utilization Report'!$A$4:$U$1800,3,FALSE)</f>
        <v>FY2021, RA11518</v>
      </c>
      <c r="V1167" s="239" t="str">
        <f>VLOOKUP(H1167,'Fund Utilization Report'!$A$4:$U$1800,4,FALSE)</f>
        <v>GAS(GMS)</v>
      </c>
      <c r="W1167" s="239" t="str">
        <f>VLOOKUP(H1167,'Fund Utilization Report'!$A$4:$U$1800,5,FALSE)</f>
        <v>01101101</v>
      </c>
      <c r="X1167" s="239" t="str">
        <f>VLOOKUP(H1167,'Fund Utilization Report'!$A$4:$U$1800,6,FALSE)</f>
        <v>GOP</v>
      </c>
      <c r="Y1167" s="440" t="str">
        <f>VLOOKUP(H1167,'Fund Utilization Report'!$A$4:$U$1800,7,FALSE)</f>
        <v>PS</v>
      </c>
      <c r="Z1167" s="441">
        <f>VLOOKUP(H1167,'Fund Utilization Report'!$A$4:$U$1800,8,FALSE)</f>
        <v>5010000000</v>
      </c>
      <c r="AA1167" s="239" t="str">
        <f>VLOOKUP(H1167,'Fund Utilization Report'!$A$4:$U$1800,14,FALSE)</f>
        <v>100000100001000</v>
      </c>
      <c r="AB1167" s="242" t="str">
        <f>VLOOKUP(H1167,'Fund Utilization Report'!$A$4:$U$1800,15,FALSE)</f>
        <v>General Administration and Supervision - General Management and Supervision</v>
      </c>
      <c r="AC1167" s="51"/>
      <c r="AD1167" s="435"/>
      <c r="AE1167" s="51"/>
      <c r="AF1167" s="51"/>
      <c r="AG1167" s="442"/>
      <c r="AH1167" s="442"/>
      <c r="AI1167" s="443"/>
    </row>
    <row r="1168" spans="1:35" s="32" customFormat="1" ht="27.6">
      <c r="A1168" s="434" t="s">
        <v>942</v>
      </c>
      <c r="B1168" s="457" t="s">
        <v>946</v>
      </c>
      <c r="C1168" s="233">
        <v>44266</v>
      </c>
      <c r="D1168" s="435" t="s">
        <v>1267</v>
      </c>
      <c r="E1168" s="436" t="s">
        <v>1414</v>
      </c>
      <c r="F1168" s="338">
        <v>0.36458333333333331</v>
      </c>
      <c r="G1168" s="338">
        <v>0.3666666666666667</v>
      </c>
      <c r="H1168" s="338" t="s">
        <v>962</v>
      </c>
      <c r="I1168" s="353">
        <v>731</v>
      </c>
      <c r="J1168" s="338" t="str">
        <f>IFERROR(VLOOKUP(I1168,'Chart of accounts'!A:H,2,FALSE),"")</f>
        <v>50103010 00</v>
      </c>
      <c r="K1168" s="338" t="str">
        <f>IFERROR(VLOOKUP(I1168,'Chart of accounts'!A:H,3,FALSE),"")</f>
        <v>Retirement and Life Insurance Premiums</v>
      </c>
      <c r="L1168" s="338" t="str">
        <f>IFERROR(VLOOKUP(I1168,'Chart of accounts'!A:H,4,FALSE),"")</f>
        <v>50103010 00 - Retirement and Life Insurance Premiums (731)</v>
      </c>
      <c r="M1168" s="361">
        <v>2</v>
      </c>
      <c r="N1168" s="355" t="s">
        <v>789</v>
      </c>
      <c r="O1168" s="355" t="s">
        <v>1384</v>
      </c>
      <c r="P1168" s="355"/>
      <c r="Q1168" s="363">
        <f>4029+2865.24</f>
        <v>6894.24</v>
      </c>
      <c r="R1168" s="319">
        <f t="shared" si="44"/>
        <v>-6894.24</v>
      </c>
      <c r="S1168" s="239" t="str">
        <f>VLOOKUP(H1168,'Fund Utilization Report'!$A$4:$U$1800,13,FALSE)</f>
        <v>PS</v>
      </c>
      <c r="T1168" s="239" t="str">
        <f>VLOOKUP(H1168,'Fund Utilization Report'!$A$4:$U$1800,2,FALSE)</f>
        <v>GAA</v>
      </c>
      <c r="U1168" s="239" t="str">
        <f>VLOOKUP(H1168,'Fund Utilization Report'!$A$4:$U$1800,3,FALSE)</f>
        <v>FY2021, RA11518</v>
      </c>
      <c r="V1168" s="239" t="str">
        <f>VLOOKUP(H1168,'Fund Utilization Report'!$A$4:$U$1800,4,FALSE)</f>
        <v>GAS(GMS)</v>
      </c>
      <c r="W1168" s="239" t="str">
        <f>VLOOKUP(H1168,'Fund Utilization Report'!$A$4:$U$1800,5,FALSE)</f>
        <v>01101101</v>
      </c>
      <c r="X1168" s="239" t="str">
        <f>VLOOKUP(H1168,'Fund Utilization Report'!$A$4:$U$1800,6,FALSE)</f>
        <v>GOP</v>
      </c>
      <c r="Y1168" s="440" t="str">
        <f>VLOOKUP(H1168,'Fund Utilization Report'!$A$4:$U$1800,7,FALSE)</f>
        <v>RLIP</v>
      </c>
      <c r="Z1168" s="441" t="str">
        <f>VLOOKUP(H1168,'Fund Utilization Report'!$A$4:$U$1800,8,FALSE)</f>
        <v>50103010-00</v>
      </c>
      <c r="AA1168" s="239" t="str">
        <f>VLOOKUP(H1168,'Fund Utilization Report'!$A$4:$U$1800,14,FALSE)</f>
        <v>100000100001000</v>
      </c>
      <c r="AB1168" s="242" t="str">
        <f>VLOOKUP(H1168,'Fund Utilization Report'!$A$4:$U$1800,15,FALSE)</f>
        <v>General Administration and Supervision - General Management and Supervision</v>
      </c>
      <c r="AC1168" s="51"/>
      <c r="AD1168" s="435"/>
      <c r="AE1168" s="51"/>
      <c r="AF1168" s="51"/>
      <c r="AG1168" s="442"/>
      <c r="AH1168" s="442"/>
      <c r="AI1168" s="443"/>
    </row>
    <row r="1169" spans="1:35" s="32" customFormat="1" ht="27.6">
      <c r="A1169" s="434" t="s">
        <v>942</v>
      </c>
      <c r="B1169" s="457" t="s">
        <v>946</v>
      </c>
      <c r="C1169" s="233">
        <v>44266</v>
      </c>
      <c r="D1169" s="435" t="s">
        <v>1267</v>
      </c>
      <c r="E1169" s="436" t="s">
        <v>1414</v>
      </c>
      <c r="F1169" s="338">
        <v>0.36458333333333331</v>
      </c>
      <c r="G1169" s="338">
        <v>0.3666666666666667</v>
      </c>
      <c r="H1169" s="338" t="s">
        <v>960</v>
      </c>
      <c r="I1169" s="353">
        <v>732</v>
      </c>
      <c r="J1169" s="338" t="str">
        <f>IFERROR(VLOOKUP(I1169,'Chart of accounts'!A:H,2,FALSE),"")</f>
        <v>50103020 01</v>
      </c>
      <c r="K1169" s="338" t="str">
        <f>IFERROR(VLOOKUP(I1169,'Chart of accounts'!A:H,3,FALSE),"")</f>
        <v>Pag-IBIG - Civilian</v>
      </c>
      <c r="L1169" s="338" t="str">
        <f>IFERROR(VLOOKUP(I1169,'Chart of accounts'!A:H,4,FALSE),"")</f>
        <v>50103020 01 - Pag-IBIG - Civilian (732)</v>
      </c>
      <c r="M1169" s="361">
        <v>2</v>
      </c>
      <c r="N1169" s="355" t="s">
        <v>789</v>
      </c>
      <c r="O1169" s="355" t="s">
        <v>1384</v>
      </c>
      <c r="P1169" s="355"/>
      <c r="Q1169" s="363">
        <v>200</v>
      </c>
      <c r="R1169" s="319">
        <f t="shared" si="44"/>
        <v>-200</v>
      </c>
      <c r="S1169" s="239" t="str">
        <f>VLOOKUP(H1169,'Fund Utilization Report'!$A$4:$U$1800,13,FALSE)</f>
        <v>PS</v>
      </c>
      <c r="T1169" s="239" t="str">
        <f>VLOOKUP(H1169,'Fund Utilization Report'!$A$4:$U$1800,2,FALSE)</f>
        <v>GAA</v>
      </c>
      <c r="U1169" s="239" t="str">
        <f>VLOOKUP(H1169,'Fund Utilization Report'!$A$4:$U$1800,3,FALSE)</f>
        <v>FY2021, RA11518</v>
      </c>
      <c r="V1169" s="239" t="str">
        <f>VLOOKUP(H1169,'Fund Utilization Report'!$A$4:$U$1800,4,FALSE)</f>
        <v>GAS(GMS)</v>
      </c>
      <c r="W1169" s="239" t="str">
        <f>VLOOKUP(H1169,'Fund Utilization Report'!$A$4:$U$1800,5,FALSE)</f>
        <v>01101101</v>
      </c>
      <c r="X1169" s="239" t="str">
        <f>VLOOKUP(H1169,'Fund Utilization Report'!$A$4:$U$1800,6,FALSE)</f>
        <v>GOP</v>
      </c>
      <c r="Y1169" s="440" t="str">
        <f>VLOOKUP(H1169,'Fund Utilization Report'!$A$4:$U$1800,7,FALSE)</f>
        <v>PS</v>
      </c>
      <c r="Z1169" s="441">
        <f>VLOOKUP(H1169,'Fund Utilization Report'!$A$4:$U$1800,8,FALSE)</f>
        <v>5010000000</v>
      </c>
      <c r="AA1169" s="239" t="str">
        <f>VLOOKUP(H1169,'Fund Utilization Report'!$A$4:$U$1800,14,FALSE)</f>
        <v>100000100001000</v>
      </c>
      <c r="AB1169" s="242" t="str">
        <f>VLOOKUP(H1169,'Fund Utilization Report'!$A$4:$U$1800,15,FALSE)</f>
        <v>General Administration and Supervision - General Management and Supervision</v>
      </c>
      <c r="AC1169" s="51"/>
      <c r="AD1169" s="435"/>
      <c r="AE1169" s="51"/>
      <c r="AF1169" s="51"/>
      <c r="AG1169" s="442"/>
      <c r="AH1169" s="442"/>
      <c r="AI1169" s="443"/>
    </row>
    <row r="1170" spans="1:35" s="32" customFormat="1" ht="27.6">
      <c r="A1170" s="434" t="s">
        <v>942</v>
      </c>
      <c r="B1170" s="457" t="s">
        <v>946</v>
      </c>
      <c r="C1170" s="233">
        <v>44266</v>
      </c>
      <c r="D1170" s="435" t="s">
        <v>1267</v>
      </c>
      <c r="E1170" s="436" t="s">
        <v>1414</v>
      </c>
      <c r="F1170" s="338">
        <v>0.36458333333333331</v>
      </c>
      <c r="G1170" s="338">
        <v>0.3666666666666667</v>
      </c>
      <c r="H1170" s="338" t="s">
        <v>960</v>
      </c>
      <c r="I1170" s="353">
        <v>733</v>
      </c>
      <c r="J1170" s="338" t="str">
        <f>IFERROR(VLOOKUP(I1170,'Chart of accounts'!A:H,2,FALSE),"")</f>
        <v>50103030 01</v>
      </c>
      <c r="K1170" s="338" t="str">
        <f>IFERROR(VLOOKUP(I1170,'Chart of accounts'!A:H,3,FALSE),"")</f>
        <v>PhilHealth - Civilian</v>
      </c>
      <c r="L1170" s="338" t="str">
        <f>IFERROR(VLOOKUP(I1170,'Chart of accounts'!A:H,4,FALSE),"")</f>
        <v>50103030 01 - PhilHealth - Civilian (733)</v>
      </c>
      <c r="M1170" s="361">
        <v>2</v>
      </c>
      <c r="N1170" s="355" t="s">
        <v>789</v>
      </c>
      <c r="O1170" s="355" t="s">
        <v>1384</v>
      </c>
      <c r="P1170" s="355"/>
      <c r="Q1170" s="363">
        <f>503.63+358.16</f>
        <v>861.79</v>
      </c>
      <c r="R1170" s="319">
        <f t="shared" si="44"/>
        <v>-861.79</v>
      </c>
      <c r="S1170" s="239" t="str">
        <f>VLOOKUP(H1170,'Fund Utilization Report'!$A$4:$U$1800,13,FALSE)</f>
        <v>PS</v>
      </c>
      <c r="T1170" s="239" t="str">
        <f>VLOOKUP(H1170,'Fund Utilization Report'!$A$4:$U$1800,2,FALSE)</f>
        <v>GAA</v>
      </c>
      <c r="U1170" s="239" t="str">
        <f>VLOOKUP(H1170,'Fund Utilization Report'!$A$4:$U$1800,3,FALSE)</f>
        <v>FY2021, RA11518</v>
      </c>
      <c r="V1170" s="239" t="str">
        <f>VLOOKUP(H1170,'Fund Utilization Report'!$A$4:$U$1800,4,FALSE)</f>
        <v>GAS(GMS)</v>
      </c>
      <c r="W1170" s="239" t="str">
        <f>VLOOKUP(H1170,'Fund Utilization Report'!$A$4:$U$1800,5,FALSE)</f>
        <v>01101101</v>
      </c>
      <c r="X1170" s="239" t="str">
        <f>VLOOKUP(H1170,'Fund Utilization Report'!$A$4:$U$1800,6,FALSE)</f>
        <v>GOP</v>
      </c>
      <c r="Y1170" s="440" t="str">
        <f>VLOOKUP(H1170,'Fund Utilization Report'!$A$4:$U$1800,7,FALSE)</f>
        <v>PS</v>
      </c>
      <c r="Z1170" s="441">
        <f>VLOOKUP(H1170,'Fund Utilization Report'!$A$4:$U$1800,8,FALSE)</f>
        <v>5010000000</v>
      </c>
      <c r="AA1170" s="239" t="str">
        <f>VLOOKUP(H1170,'Fund Utilization Report'!$A$4:$U$1800,14,FALSE)</f>
        <v>100000100001000</v>
      </c>
      <c r="AB1170" s="242" t="str">
        <f>VLOOKUP(H1170,'Fund Utilization Report'!$A$4:$U$1800,15,FALSE)</f>
        <v>General Administration and Supervision - General Management and Supervision</v>
      </c>
      <c r="AC1170" s="51"/>
      <c r="AD1170" s="435"/>
      <c r="AE1170" s="51"/>
      <c r="AF1170" s="51"/>
      <c r="AG1170" s="442"/>
      <c r="AH1170" s="442"/>
      <c r="AI1170" s="443"/>
    </row>
    <row r="1171" spans="1:35" s="32" customFormat="1" ht="27.6">
      <c r="A1171" s="434" t="s">
        <v>942</v>
      </c>
      <c r="B1171" s="457" t="s">
        <v>946</v>
      </c>
      <c r="C1171" s="233">
        <v>44266</v>
      </c>
      <c r="D1171" s="435" t="s">
        <v>1267</v>
      </c>
      <c r="E1171" s="436" t="s">
        <v>1414</v>
      </c>
      <c r="F1171" s="338">
        <v>0.36458333333333331</v>
      </c>
      <c r="G1171" s="338">
        <v>0.3666666666666667</v>
      </c>
      <c r="H1171" s="338" t="s">
        <v>960</v>
      </c>
      <c r="I1171" s="353">
        <v>734</v>
      </c>
      <c r="J1171" s="338" t="str">
        <f>IFERROR(VLOOKUP(I1171,'Chart of accounts'!A:H,2,FALSE),"")</f>
        <v>50103040 01</v>
      </c>
      <c r="K1171" s="338" t="str">
        <f>IFERROR(VLOOKUP(I1171,'Chart of accounts'!A:H,3,FALSE),"")</f>
        <v>ECIP - Civilian</v>
      </c>
      <c r="L1171" s="338" t="str">
        <f>IFERROR(VLOOKUP(I1171,'Chart of accounts'!A:H,4,FALSE),"")</f>
        <v>50103040 01 - ECIP - Civilian (734)</v>
      </c>
      <c r="M1171" s="361">
        <v>2</v>
      </c>
      <c r="N1171" s="355" t="s">
        <v>789</v>
      </c>
      <c r="O1171" s="355" t="s">
        <v>1384</v>
      </c>
      <c r="P1171" s="355"/>
      <c r="Q1171" s="363">
        <v>200</v>
      </c>
      <c r="R1171" s="319">
        <f t="shared" si="44"/>
        <v>-200</v>
      </c>
      <c r="S1171" s="239" t="str">
        <f>VLOOKUP(H1171,'Fund Utilization Report'!$A$4:$U$1800,13,FALSE)</f>
        <v>PS</v>
      </c>
      <c r="T1171" s="239" t="str">
        <f>VLOOKUP(H1171,'Fund Utilization Report'!$A$4:$U$1800,2,FALSE)</f>
        <v>GAA</v>
      </c>
      <c r="U1171" s="239" t="str">
        <f>VLOOKUP(H1171,'Fund Utilization Report'!$A$4:$U$1800,3,FALSE)</f>
        <v>FY2021, RA11518</v>
      </c>
      <c r="V1171" s="239" t="str">
        <f>VLOOKUP(H1171,'Fund Utilization Report'!$A$4:$U$1800,4,FALSE)</f>
        <v>GAS(GMS)</v>
      </c>
      <c r="W1171" s="239" t="str">
        <f>VLOOKUP(H1171,'Fund Utilization Report'!$A$4:$U$1800,5,FALSE)</f>
        <v>01101101</v>
      </c>
      <c r="X1171" s="239" t="str">
        <f>VLOOKUP(H1171,'Fund Utilization Report'!$A$4:$U$1800,6,FALSE)</f>
        <v>GOP</v>
      </c>
      <c r="Y1171" s="440" t="str">
        <f>VLOOKUP(H1171,'Fund Utilization Report'!$A$4:$U$1800,7,FALSE)</f>
        <v>PS</v>
      </c>
      <c r="Z1171" s="441">
        <f>VLOOKUP(H1171,'Fund Utilization Report'!$A$4:$U$1800,8,FALSE)</f>
        <v>5010000000</v>
      </c>
      <c r="AA1171" s="239" t="str">
        <f>VLOOKUP(H1171,'Fund Utilization Report'!$A$4:$U$1800,14,FALSE)</f>
        <v>100000100001000</v>
      </c>
      <c r="AB1171" s="242" t="str">
        <f>VLOOKUP(H1171,'Fund Utilization Report'!$A$4:$U$1800,15,FALSE)</f>
        <v>General Administration and Supervision - General Management and Supervision</v>
      </c>
      <c r="AC1171" s="51"/>
      <c r="AD1171" s="435"/>
      <c r="AE1171" s="51"/>
      <c r="AF1171" s="51"/>
      <c r="AG1171" s="442"/>
      <c r="AH1171" s="442"/>
      <c r="AI1171" s="443"/>
    </row>
    <row r="1172" spans="1:35" s="32" customFormat="1" ht="27.6">
      <c r="A1172" s="434" t="s">
        <v>942</v>
      </c>
      <c r="B1172" s="457" t="s">
        <v>946</v>
      </c>
      <c r="C1172" s="233">
        <v>44266</v>
      </c>
      <c r="D1172" s="435" t="s">
        <v>1267</v>
      </c>
      <c r="E1172" s="436" t="s">
        <v>1414</v>
      </c>
      <c r="F1172" s="338">
        <v>0.36458333333333331</v>
      </c>
      <c r="G1172" s="338">
        <v>0.3666666666666667</v>
      </c>
      <c r="H1172" s="338" t="s">
        <v>964</v>
      </c>
      <c r="I1172" s="353">
        <v>701</v>
      </c>
      <c r="J1172" s="338" t="str">
        <f>IFERROR(VLOOKUP(I1172,'Chart of accounts'!A:H,2,FALSE),"")</f>
        <v>50101010 01</v>
      </c>
      <c r="K1172" s="338" t="str">
        <f>IFERROR(VLOOKUP(I1172,'Chart of accounts'!A:H,3,FALSE),"")</f>
        <v>Basic Salary - Civilian</v>
      </c>
      <c r="L1172" s="338" t="str">
        <f>IFERROR(VLOOKUP(I1172,'Chart of accounts'!A:H,4,FALSE),"")</f>
        <v>50101010 01 - Basic Salary - Civilian (701)</v>
      </c>
      <c r="M1172" s="361">
        <v>2</v>
      </c>
      <c r="N1172" s="355" t="s">
        <v>789</v>
      </c>
      <c r="O1172" s="355" t="s">
        <v>1384</v>
      </c>
      <c r="P1172" s="355"/>
      <c r="Q1172" s="363">
        <f>86742+43681</f>
        <v>130423</v>
      </c>
      <c r="R1172" s="319">
        <f t="shared" si="44"/>
        <v>-130423</v>
      </c>
      <c r="S1172" s="239" t="str">
        <f>VLOOKUP(H1172,'Fund Utilization Report'!$A$4:$U$1800,13,FALSE)</f>
        <v>PS</v>
      </c>
      <c r="T1172" s="239" t="str">
        <f>VLOOKUP(H1172,'Fund Utilization Report'!$A$4:$U$1800,2,FALSE)</f>
        <v>GAA</v>
      </c>
      <c r="U1172" s="239" t="str">
        <f>VLOOKUP(H1172,'Fund Utilization Report'!$A$4:$U$1800,3,FALSE)</f>
        <v>FY2021, RA11518</v>
      </c>
      <c r="V1172" s="239" t="str">
        <f>VLOOKUP(H1172,'Fund Utilization Report'!$A$4:$U$1800,4,FALSE)</f>
        <v>OO1</v>
      </c>
      <c r="W1172" s="239" t="str">
        <f>VLOOKUP(H1172,'Fund Utilization Report'!$A$4:$U$1800,5,FALSE)</f>
        <v>01101101</v>
      </c>
      <c r="X1172" s="239" t="str">
        <f>VLOOKUP(H1172,'Fund Utilization Report'!$A$4:$U$1800,6,FALSE)</f>
        <v>GOP</v>
      </c>
      <c r="Y1172" s="440" t="str">
        <f>VLOOKUP(H1172,'Fund Utilization Report'!$A$4:$U$1800,7,FALSE)</f>
        <v>PS</v>
      </c>
      <c r="Z1172" s="441">
        <f>VLOOKUP(H1172,'Fund Utilization Report'!$A$4:$U$1800,8,FALSE)</f>
        <v>5010000000</v>
      </c>
      <c r="AA1172" s="239" t="str">
        <f>VLOOKUP(H1172,'Fund Utilization Report'!$A$4:$U$1800,14,FALSE)</f>
        <v>310100100002000</v>
      </c>
      <c r="AB1172" s="242" t="str">
        <f>VLOOKUP(H1172,'Fund Utilization Report'!$A$4:$U$1800,15,FALSE)</f>
        <v>Development,Facilitation, and promotion of exports and investment, domestic and foreign</v>
      </c>
      <c r="AC1172" s="51"/>
      <c r="AD1172" s="435"/>
      <c r="AE1172" s="51"/>
      <c r="AF1172" s="51"/>
      <c r="AG1172" s="442"/>
      <c r="AH1172" s="442"/>
      <c r="AI1172" s="443"/>
    </row>
    <row r="1173" spans="1:35" s="32" customFormat="1" ht="27.6">
      <c r="A1173" s="434" t="s">
        <v>942</v>
      </c>
      <c r="B1173" s="457" t="s">
        <v>946</v>
      </c>
      <c r="C1173" s="233">
        <v>44266</v>
      </c>
      <c r="D1173" s="435" t="s">
        <v>1267</v>
      </c>
      <c r="E1173" s="436" t="s">
        <v>1414</v>
      </c>
      <c r="F1173" s="338">
        <v>0.36458333333333331</v>
      </c>
      <c r="G1173" s="338">
        <v>0.3666666666666667</v>
      </c>
      <c r="H1173" s="338" t="s">
        <v>964</v>
      </c>
      <c r="I1173" s="353">
        <v>711</v>
      </c>
      <c r="J1173" s="338" t="str">
        <f>IFERROR(VLOOKUP(I1173,'Chart of accounts'!A:H,2,FALSE),"")</f>
        <v>50102010 01</v>
      </c>
      <c r="K1173" s="338" t="str">
        <f>IFERROR(VLOOKUP(I1173,'Chart of accounts'!A:H,3,FALSE),"")</f>
        <v>PERA - Civilian</v>
      </c>
      <c r="L1173" s="338" t="str">
        <f>IFERROR(VLOOKUP(I1173,'Chart of accounts'!A:H,4,FALSE),"")</f>
        <v>50102010 01 - PERA - Civilian (711)</v>
      </c>
      <c r="M1173" s="361">
        <v>2</v>
      </c>
      <c r="N1173" s="355" t="s">
        <v>789</v>
      </c>
      <c r="O1173" s="355" t="s">
        <v>1384</v>
      </c>
      <c r="P1173" s="355"/>
      <c r="Q1173" s="363">
        <v>4000</v>
      </c>
      <c r="R1173" s="319">
        <f t="shared" si="44"/>
        <v>-4000</v>
      </c>
      <c r="S1173" s="239" t="str">
        <f>VLOOKUP(H1173,'Fund Utilization Report'!$A$4:$U$1800,13,FALSE)</f>
        <v>PS</v>
      </c>
      <c r="T1173" s="239" t="str">
        <f>VLOOKUP(H1173,'Fund Utilization Report'!$A$4:$U$1800,2,FALSE)</f>
        <v>GAA</v>
      </c>
      <c r="U1173" s="239" t="str">
        <f>VLOOKUP(H1173,'Fund Utilization Report'!$A$4:$U$1800,3,FALSE)</f>
        <v>FY2021, RA11518</v>
      </c>
      <c r="V1173" s="239" t="str">
        <f>VLOOKUP(H1173,'Fund Utilization Report'!$A$4:$U$1800,4,FALSE)</f>
        <v>OO1</v>
      </c>
      <c r="W1173" s="239" t="str">
        <f>VLOOKUP(H1173,'Fund Utilization Report'!$A$4:$U$1800,5,FALSE)</f>
        <v>01101101</v>
      </c>
      <c r="X1173" s="239" t="str">
        <f>VLOOKUP(H1173,'Fund Utilization Report'!$A$4:$U$1800,6,FALSE)</f>
        <v>GOP</v>
      </c>
      <c r="Y1173" s="440" t="str">
        <f>VLOOKUP(H1173,'Fund Utilization Report'!$A$4:$U$1800,7,FALSE)</f>
        <v>PS</v>
      </c>
      <c r="Z1173" s="441">
        <f>VLOOKUP(H1173,'Fund Utilization Report'!$A$4:$U$1800,8,FALSE)</f>
        <v>5010000000</v>
      </c>
      <c r="AA1173" s="239" t="str">
        <f>VLOOKUP(H1173,'Fund Utilization Report'!$A$4:$U$1800,14,FALSE)</f>
        <v>310100100002000</v>
      </c>
      <c r="AB1173" s="242" t="str">
        <f>VLOOKUP(H1173,'Fund Utilization Report'!$A$4:$U$1800,15,FALSE)</f>
        <v>Development,Facilitation, and promotion of exports and investment, domestic and foreign</v>
      </c>
      <c r="AC1173" s="51"/>
      <c r="AD1173" s="435"/>
      <c r="AE1173" s="51"/>
      <c r="AF1173" s="51"/>
      <c r="AG1173" s="442"/>
      <c r="AH1173" s="442"/>
      <c r="AI1173" s="443"/>
    </row>
    <row r="1174" spans="1:35" s="32" customFormat="1" ht="27.6">
      <c r="A1174" s="434" t="s">
        <v>942</v>
      </c>
      <c r="B1174" s="457" t="s">
        <v>946</v>
      </c>
      <c r="C1174" s="233">
        <v>44266</v>
      </c>
      <c r="D1174" s="435" t="s">
        <v>1267</v>
      </c>
      <c r="E1174" s="436" t="s">
        <v>1414</v>
      </c>
      <c r="F1174" s="338">
        <v>0.36458333333333331</v>
      </c>
      <c r="G1174" s="338">
        <v>0.3666666666666667</v>
      </c>
      <c r="H1174" s="338" t="s">
        <v>966</v>
      </c>
      <c r="I1174" s="353">
        <v>731</v>
      </c>
      <c r="J1174" s="338" t="str">
        <f>IFERROR(VLOOKUP(I1174,'Chart of accounts'!A:H,2,FALSE),"")</f>
        <v>50103010 00</v>
      </c>
      <c r="K1174" s="338" t="str">
        <f>IFERROR(VLOOKUP(I1174,'Chart of accounts'!A:H,3,FALSE),"")</f>
        <v>Retirement and Life Insurance Premiums</v>
      </c>
      <c r="L1174" s="338" t="str">
        <f>IFERROR(VLOOKUP(I1174,'Chart of accounts'!A:H,4,FALSE),"")</f>
        <v>50103010 00 - Retirement and Life Insurance Premiums (731)</v>
      </c>
      <c r="M1174" s="361">
        <v>2</v>
      </c>
      <c r="N1174" s="355" t="s">
        <v>789</v>
      </c>
      <c r="O1174" s="355" t="s">
        <v>1384</v>
      </c>
      <c r="P1174" s="355"/>
      <c r="Q1174" s="363">
        <f>10409.04+5241.72</f>
        <v>15650.760000000002</v>
      </c>
      <c r="R1174" s="319">
        <f t="shared" si="44"/>
        <v>-15650.760000000002</v>
      </c>
      <c r="S1174" s="239" t="str">
        <f>VLOOKUP(H1174,'Fund Utilization Report'!$A$4:$U$1800,13,FALSE)</f>
        <v>PS</v>
      </c>
      <c r="T1174" s="239" t="str">
        <f>VLOOKUP(H1174,'Fund Utilization Report'!$A$4:$U$1800,2,FALSE)</f>
        <v>GAA</v>
      </c>
      <c r="U1174" s="239" t="str">
        <f>VLOOKUP(H1174,'Fund Utilization Report'!$A$4:$U$1800,3,FALSE)</f>
        <v>FY2021, RA11518</v>
      </c>
      <c r="V1174" s="239" t="str">
        <f>VLOOKUP(H1174,'Fund Utilization Report'!$A$4:$U$1800,4,FALSE)</f>
        <v>OO1</v>
      </c>
      <c r="W1174" s="239" t="str">
        <f>VLOOKUP(H1174,'Fund Utilization Report'!$A$4:$U$1800,5,FALSE)</f>
        <v>01101101</v>
      </c>
      <c r="X1174" s="239" t="str">
        <f>VLOOKUP(H1174,'Fund Utilization Report'!$A$4:$U$1800,6,FALSE)</f>
        <v>GOP</v>
      </c>
      <c r="Y1174" s="440" t="str">
        <f>VLOOKUP(H1174,'Fund Utilization Report'!$A$4:$U$1800,7,FALSE)</f>
        <v>RLIP</v>
      </c>
      <c r="Z1174" s="441" t="str">
        <f>VLOOKUP(H1174,'Fund Utilization Report'!$A$4:$U$1800,8,FALSE)</f>
        <v>50103010-00</v>
      </c>
      <c r="AA1174" s="239" t="str">
        <f>VLOOKUP(H1174,'Fund Utilization Report'!$A$4:$U$1800,14,FALSE)</f>
        <v>310100100002000</v>
      </c>
      <c r="AB1174" s="242" t="str">
        <f>VLOOKUP(H1174,'Fund Utilization Report'!$A$4:$U$1800,15,FALSE)</f>
        <v>Development,Facilitation, and promotion of exports and investment, domestic and foreign</v>
      </c>
      <c r="AC1174" s="51"/>
      <c r="AD1174" s="435"/>
      <c r="AE1174" s="51"/>
      <c r="AF1174" s="51"/>
      <c r="AG1174" s="442"/>
      <c r="AH1174" s="442"/>
      <c r="AI1174" s="443"/>
    </row>
    <row r="1175" spans="1:35" s="32" customFormat="1" ht="27.6">
      <c r="A1175" s="434" t="s">
        <v>942</v>
      </c>
      <c r="B1175" s="457" t="s">
        <v>946</v>
      </c>
      <c r="C1175" s="233">
        <v>44266</v>
      </c>
      <c r="D1175" s="435" t="s">
        <v>1267</v>
      </c>
      <c r="E1175" s="436" t="s">
        <v>1414</v>
      </c>
      <c r="F1175" s="338">
        <v>0.36458333333333331</v>
      </c>
      <c r="G1175" s="338">
        <v>0.3666666666666667</v>
      </c>
      <c r="H1175" s="338" t="s">
        <v>964</v>
      </c>
      <c r="I1175" s="353">
        <v>732</v>
      </c>
      <c r="J1175" s="338" t="str">
        <f>IFERROR(VLOOKUP(I1175,'Chart of accounts'!A:H,2,FALSE),"")</f>
        <v>50103020 01</v>
      </c>
      <c r="K1175" s="338" t="str">
        <f>IFERROR(VLOOKUP(I1175,'Chart of accounts'!A:H,3,FALSE),"")</f>
        <v>Pag-IBIG - Civilian</v>
      </c>
      <c r="L1175" s="338" t="str">
        <f>IFERROR(VLOOKUP(I1175,'Chart of accounts'!A:H,4,FALSE),"")</f>
        <v>50103020 01 - Pag-IBIG - Civilian (732)</v>
      </c>
      <c r="M1175" s="361">
        <v>2</v>
      </c>
      <c r="N1175" s="355" t="s">
        <v>789</v>
      </c>
      <c r="O1175" s="355" t="s">
        <v>1384</v>
      </c>
      <c r="P1175" s="355"/>
      <c r="Q1175" s="363">
        <v>200</v>
      </c>
      <c r="R1175" s="319">
        <f t="shared" si="44"/>
        <v>-200</v>
      </c>
      <c r="S1175" s="239" t="str">
        <f>VLOOKUP(H1175,'Fund Utilization Report'!$A$4:$U$1800,13,FALSE)</f>
        <v>PS</v>
      </c>
      <c r="T1175" s="239" t="str">
        <f>VLOOKUP(H1175,'Fund Utilization Report'!$A$4:$U$1800,2,FALSE)</f>
        <v>GAA</v>
      </c>
      <c r="U1175" s="239" t="str">
        <f>VLOOKUP(H1175,'Fund Utilization Report'!$A$4:$U$1800,3,FALSE)</f>
        <v>FY2021, RA11518</v>
      </c>
      <c r="V1175" s="239" t="str">
        <f>VLOOKUP(H1175,'Fund Utilization Report'!$A$4:$U$1800,4,FALSE)</f>
        <v>OO1</v>
      </c>
      <c r="W1175" s="239" t="str">
        <f>VLOOKUP(H1175,'Fund Utilization Report'!$A$4:$U$1800,5,FALSE)</f>
        <v>01101101</v>
      </c>
      <c r="X1175" s="239" t="str">
        <f>VLOOKUP(H1175,'Fund Utilization Report'!$A$4:$U$1800,6,FALSE)</f>
        <v>GOP</v>
      </c>
      <c r="Y1175" s="440" t="str">
        <f>VLOOKUP(H1175,'Fund Utilization Report'!$A$4:$U$1800,7,FALSE)</f>
        <v>PS</v>
      </c>
      <c r="Z1175" s="441">
        <f>VLOOKUP(H1175,'Fund Utilization Report'!$A$4:$U$1800,8,FALSE)</f>
        <v>5010000000</v>
      </c>
      <c r="AA1175" s="239" t="str">
        <f>VLOOKUP(H1175,'Fund Utilization Report'!$A$4:$U$1800,14,FALSE)</f>
        <v>310100100002000</v>
      </c>
      <c r="AB1175" s="242" t="str">
        <f>VLOOKUP(H1175,'Fund Utilization Report'!$A$4:$U$1800,15,FALSE)</f>
        <v>Development,Facilitation, and promotion of exports and investment, domestic and foreign</v>
      </c>
      <c r="AC1175" s="51"/>
      <c r="AD1175" s="435"/>
      <c r="AE1175" s="51"/>
      <c r="AF1175" s="51"/>
      <c r="AG1175" s="442"/>
      <c r="AH1175" s="442"/>
      <c r="AI1175" s="443"/>
    </row>
    <row r="1176" spans="1:35" s="32" customFormat="1" ht="27.6">
      <c r="A1176" s="434" t="s">
        <v>942</v>
      </c>
      <c r="B1176" s="457" t="s">
        <v>946</v>
      </c>
      <c r="C1176" s="233">
        <v>44266</v>
      </c>
      <c r="D1176" s="435" t="s">
        <v>1267</v>
      </c>
      <c r="E1176" s="436" t="s">
        <v>1414</v>
      </c>
      <c r="F1176" s="338">
        <v>0.36458333333333331</v>
      </c>
      <c r="G1176" s="338">
        <v>0.3666666666666667</v>
      </c>
      <c r="H1176" s="338" t="s">
        <v>964</v>
      </c>
      <c r="I1176" s="353">
        <v>733</v>
      </c>
      <c r="J1176" s="338" t="str">
        <f>IFERROR(VLOOKUP(I1176,'Chart of accounts'!A:H,2,FALSE),"")</f>
        <v>50103030 01</v>
      </c>
      <c r="K1176" s="338" t="str">
        <f>IFERROR(VLOOKUP(I1176,'Chart of accounts'!A:H,3,FALSE),"")</f>
        <v>PhilHealth - Civilian</v>
      </c>
      <c r="L1176" s="338" t="str">
        <f>IFERROR(VLOOKUP(I1176,'Chart of accounts'!A:H,4,FALSE),"")</f>
        <v>50103030 01 - PhilHealth - Civilian (733)</v>
      </c>
      <c r="M1176" s="361">
        <v>2</v>
      </c>
      <c r="N1176" s="355" t="s">
        <v>789</v>
      </c>
      <c r="O1176" s="355" t="s">
        <v>1384</v>
      </c>
      <c r="P1176" s="355"/>
      <c r="Q1176" s="363">
        <f>900+655.22</f>
        <v>1555.22</v>
      </c>
      <c r="R1176" s="319">
        <f t="shared" si="44"/>
        <v>-1555.22</v>
      </c>
      <c r="S1176" s="239" t="str">
        <f>VLOOKUP(H1176,'Fund Utilization Report'!$A$4:$U$1800,13,FALSE)</f>
        <v>PS</v>
      </c>
      <c r="T1176" s="239" t="str">
        <f>VLOOKUP(H1176,'Fund Utilization Report'!$A$4:$U$1800,2,FALSE)</f>
        <v>GAA</v>
      </c>
      <c r="U1176" s="239" t="str">
        <f>VLOOKUP(H1176,'Fund Utilization Report'!$A$4:$U$1800,3,FALSE)</f>
        <v>FY2021, RA11518</v>
      </c>
      <c r="V1176" s="239" t="str">
        <f>VLOOKUP(H1176,'Fund Utilization Report'!$A$4:$U$1800,4,FALSE)</f>
        <v>OO1</v>
      </c>
      <c r="W1176" s="239" t="str">
        <f>VLOOKUP(H1176,'Fund Utilization Report'!$A$4:$U$1800,5,FALSE)</f>
        <v>01101101</v>
      </c>
      <c r="X1176" s="239" t="str">
        <f>VLOOKUP(H1176,'Fund Utilization Report'!$A$4:$U$1800,6,FALSE)</f>
        <v>GOP</v>
      </c>
      <c r="Y1176" s="440" t="str">
        <f>VLOOKUP(H1176,'Fund Utilization Report'!$A$4:$U$1800,7,FALSE)</f>
        <v>PS</v>
      </c>
      <c r="Z1176" s="441">
        <f>VLOOKUP(H1176,'Fund Utilization Report'!$A$4:$U$1800,8,FALSE)</f>
        <v>5010000000</v>
      </c>
      <c r="AA1176" s="239" t="str">
        <f>VLOOKUP(H1176,'Fund Utilization Report'!$A$4:$U$1800,14,FALSE)</f>
        <v>310100100002000</v>
      </c>
      <c r="AB1176" s="242" t="str">
        <f>VLOOKUP(H1176,'Fund Utilization Report'!$A$4:$U$1800,15,FALSE)</f>
        <v>Development,Facilitation, and promotion of exports and investment, domestic and foreign</v>
      </c>
      <c r="AC1176" s="51"/>
      <c r="AD1176" s="435"/>
      <c r="AE1176" s="51"/>
      <c r="AF1176" s="51"/>
      <c r="AG1176" s="442"/>
      <c r="AH1176" s="442"/>
      <c r="AI1176" s="443"/>
    </row>
    <row r="1177" spans="1:35" s="32" customFormat="1" ht="27.6">
      <c r="A1177" s="434" t="s">
        <v>942</v>
      </c>
      <c r="B1177" s="457" t="s">
        <v>946</v>
      </c>
      <c r="C1177" s="233">
        <v>44266</v>
      </c>
      <c r="D1177" s="435" t="s">
        <v>1267</v>
      </c>
      <c r="E1177" s="436" t="s">
        <v>1414</v>
      </c>
      <c r="F1177" s="338">
        <v>0.36458333333333331</v>
      </c>
      <c r="G1177" s="338">
        <v>0.3666666666666667</v>
      </c>
      <c r="H1177" s="338" t="s">
        <v>964</v>
      </c>
      <c r="I1177" s="353">
        <v>734</v>
      </c>
      <c r="J1177" s="338" t="str">
        <f>IFERROR(VLOOKUP(I1177,'Chart of accounts'!A:H,2,FALSE),"")</f>
        <v>50103040 01</v>
      </c>
      <c r="K1177" s="338" t="str">
        <f>IFERROR(VLOOKUP(I1177,'Chart of accounts'!A:H,3,FALSE),"")</f>
        <v>ECIP - Civilian</v>
      </c>
      <c r="L1177" s="338" t="str">
        <f>IFERROR(VLOOKUP(I1177,'Chart of accounts'!A:H,4,FALSE),"")</f>
        <v>50103040 01 - ECIP - Civilian (734)</v>
      </c>
      <c r="M1177" s="361">
        <v>2</v>
      </c>
      <c r="N1177" s="355" t="s">
        <v>789</v>
      </c>
      <c r="O1177" s="355" t="s">
        <v>1384</v>
      </c>
      <c r="P1177" s="355"/>
      <c r="Q1177" s="363">
        <v>200</v>
      </c>
      <c r="R1177" s="319">
        <f t="shared" si="44"/>
        <v>-200</v>
      </c>
      <c r="S1177" s="239" t="str">
        <f>VLOOKUP(H1177,'Fund Utilization Report'!$A$4:$U$1800,13,FALSE)</f>
        <v>PS</v>
      </c>
      <c r="T1177" s="239" t="str">
        <f>VLOOKUP(H1177,'Fund Utilization Report'!$A$4:$U$1800,2,FALSE)</f>
        <v>GAA</v>
      </c>
      <c r="U1177" s="239" t="str">
        <f>VLOOKUP(H1177,'Fund Utilization Report'!$A$4:$U$1800,3,FALSE)</f>
        <v>FY2021, RA11518</v>
      </c>
      <c r="V1177" s="239" t="str">
        <f>VLOOKUP(H1177,'Fund Utilization Report'!$A$4:$U$1800,4,FALSE)</f>
        <v>OO1</v>
      </c>
      <c r="W1177" s="239" t="str">
        <f>VLOOKUP(H1177,'Fund Utilization Report'!$A$4:$U$1800,5,FALSE)</f>
        <v>01101101</v>
      </c>
      <c r="X1177" s="239" t="str">
        <f>VLOOKUP(H1177,'Fund Utilization Report'!$A$4:$U$1800,6,FALSE)</f>
        <v>GOP</v>
      </c>
      <c r="Y1177" s="440" t="str">
        <f>VLOOKUP(H1177,'Fund Utilization Report'!$A$4:$U$1800,7,FALSE)</f>
        <v>PS</v>
      </c>
      <c r="Z1177" s="441">
        <f>VLOOKUP(H1177,'Fund Utilization Report'!$A$4:$U$1800,8,FALSE)</f>
        <v>5010000000</v>
      </c>
      <c r="AA1177" s="239" t="str">
        <f>VLOOKUP(H1177,'Fund Utilization Report'!$A$4:$U$1800,14,FALSE)</f>
        <v>310100100002000</v>
      </c>
      <c r="AB1177" s="242" t="str">
        <f>VLOOKUP(H1177,'Fund Utilization Report'!$A$4:$U$1800,15,FALSE)</f>
        <v>Development,Facilitation, and promotion of exports and investment, domestic and foreign</v>
      </c>
      <c r="AC1177" s="51"/>
      <c r="AD1177" s="435"/>
      <c r="AE1177" s="51"/>
      <c r="AF1177" s="51"/>
      <c r="AG1177" s="442"/>
      <c r="AH1177" s="442"/>
      <c r="AI1177" s="443"/>
    </row>
    <row r="1178" spans="1:35" s="32" customFormat="1" ht="27.6">
      <c r="A1178" s="434" t="s">
        <v>942</v>
      </c>
      <c r="B1178" s="457" t="s">
        <v>946</v>
      </c>
      <c r="C1178" s="233">
        <v>44266</v>
      </c>
      <c r="D1178" s="435" t="s">
        <v>1267</v>
      </c>
      <c r="E1178" s="436" t="s">
        <v>1414</v>
      </c>
      <c r="F1178" s="338">
        <v>0.36458333333333331</v>
      </c>
      <c r="G1178" s="338">
        <v>0.3666666666666667</v>
      </c>
      <c r="H1178" s="338" t="s">
        <v>967</v>
      </c>
      <c r="I1178" s="353">
        <v>701</v>
      </c>
      <c r="J1178" s="338" t="str">
        <f>IFERROR(VLOOKUP(I1178,'Chart of accounts'!A:H,2,FALSE),"")</f>
        <v>50101010 01</v>
      </c>
      <c r="K1178" s="338" t="str">
        <f>IFERROR(VLOOKUP(I1178,'Chart of accounts'!A:H,3,FALSE),"")</f>
        <v>Basic Salary - Civilian</v>
      </c>
      <c r="L1178" s="338" t="str">
        <f>IFERROR(VLOOKUP(I1178,'Chart of accounts'!A:H,4,FALSE),"")</f>
        <v>50101010 01 - Basic Salary - Civilian (701)</v>
      </c>
      <c r="M1178" s="361">
        <v>2</v>
      </c>
      <c r="N1178" s="355" t="s">
        <v>789</v>
      </c>
      <c r="O1178" s="355" t="s">
        <v>1384</v>
      </c>
      <c r="P1178" s="355"/>
      <c r="Q1178" s="363">
        <v>111742</v>
      </c>
      <c r="R1178" s="319">
        <f t="shared" si="44"/>
        <v>-111742</v>
      </c>
      <c r="S1178" s="239" t="str">
        <f>VLOOKUP(H1178,'Fund Utilization Report'!$A$4:$U$1800,13,FALSE)</f>
        <v>PS</v>
      </c>
      <c r="T1178" s="239" t="str">
        <f>VLOOKUP(H1178,'Fund Utilization Report'!$A$4:$U$1800,2,FALSE)</f>
        <v>GAA</v>
      </c>
      <c r="U1178" s="239" t="str">
        <f>VLOOKUP(H1178,'Fund Utilization Report'!$A$4:$U$1800,3,FALSE)</f>
        <v>FY2021, RA11518</v>
      </c>
      <c r="V1178" s="239" t="str">
        <f>VLOOKUP(H1178,'Fund Utilization Report'!$A$4:$U$1800,4,FALSE)</f>
        <v>OO2</v>
      </c>
      <c r="W1178" s="239" t="str">
        <f>VLOOKUP(H1178,'Fund Utilization Report'!$A$4:$U$1800,5,FALSE)</f>
        <v>01101101</v>
      </c>
      <c r="X1178" s="239" t="str">
        <f>VLOOKUP(H1178,'Fund Utilization Report'!$A$4:$U$1800,6,FALSE)</f>
        <v>GOP</v>
      </c>
      <c r="Y1178" s="440" t="str">
        <f>VLOOKUP(H1178,'Fund Utilization Report'!$A$4:$U$1800,7,FALSE)</f>
        <v>PS</v>
      </c>
      <c r="Z1178" s="441">
        <f>VLOOKUP(H1178,'Fund Utilization Report'!$A$4:$U$1800,8,FALSE)</f>
        <v>5010000000</v>
      </c>
      <c r="AA1178" s="239" t="str">
        <f>VLOOKUP(H1178,'Fund Utilization Report'!$A$4:$U$1800,14,FALSE)</f>
        <v>320100100001000</v>
      </c>
      <c r="AB1178" s="242" t="str">
        <f>VLOOKUP(H1178,'Fund Utilization Report'!$A$4:$U$1800,15,FALSE)</f>
        <v>Formulation of Strategic plans,programs, and policies to develop competitve industries</v>
      </c>
      <c r="AC1178" s="51"/>
      <c r="AD1178" s="435"/>
      <c r="AE1178" s="51"/>
      <c r="AF1178" s="51"/>
      <c r="AG1178" s="442"/>
      <c r="AH1178" s="442"/>
      <c r="AI1178" s="443"/>
    </row>
    <row r="1179" spans="1:35" s="32" customFormat="1" ht="27.6">
      <c r="A1179" s="434" t="s">
        <v>942</v>
      </c>
      <c r="B1179" s="457" t="s">
        <v>946</v>
      </c>
      <c r="C1179" s="233">
        <v>44266</v>
      </c>
      <c r="D1179" s="435" t="s">
        <v>1267</v>
      </c>
      <c r="E1179" s="436" t="s">
        <v>1414</v>
      </c>
      <c r="F1179" s="338">
        <v>0.36458333333333331</v>
      </c>
      <c r="G1179" s="338">
        <v>0.3666666666666667</v>
      </c>
      <c r="H1179" s="338" t="s">
        <v>967</v>
      </c>
      <c r="I1179" s="353">
        <v>711</v>
      </c>
      <c r="J1179" s="338" t="str">
        <f>IFERROR(VLOOKUP(I1179,'Chart of accounts'!A:H,2,FALSE),"")</f>
        <v>50102010 01</v>
      </c>
      <c r="K1179" s="338" t="str">
        <f>IFERROR(VLOOKUP(I1179,'Chart of accounts'!A:H,3,FALSE),"")</f>
        <v>PERA - Civilian</v>
      </c>
      <c r="L1179" s="338" t="str">
        <f>IFERROR(VLOOKUP(I1179,'Chart of accounts'!A:H,4,FALSE),"")</f>
        <v>50102010 01 - PERA - Civilian (711)</v>
      </c>
      <c r="M1179" s="361">
        <v>2</v>
      </c>
      <c r="N1179" s="355" t="s">
        <v>789</v>
      </c>
      <c r="O1179" s="355" t="s">
        <v>1384</v>
      </c>
      <c r="P1179" s="355"/>
      <c r="Q1179" s="363">
        <v>2000</v>
      </c>
      <c r="R1179" s="319">
        <f t="shared" si="44"/>
        <v>-2000</v>
      </c>
      <c r="S1179" s="239" t="str">
        <f>VLOOKUP(H1179,'Fund Utilization Report'!$A$4:$U$1800,13,FALSE)</f>
        <v>PS</v>
      </c>
      <c r="T1179" s="239" t="str">
        <f>VLOOKUP(H1179,'Fund Utilization Report'!$A$4:$U$1800,2,FALSE)</f>
        <v>GAA</v>
      </c>
      <c r="U1179" s="239" t="str">
        <f>VLOOKUP(H1179,'Fund Utilization Report'!$A$4:$U$1800,3,FALSE)</f>
        <v>FY2021, RA11518</v>
      </c>
      <c r="V1179" s="239" t="str">
        <f>VLOOKUP(H1179,'Fund Utilization Report'!$A$4:$U$1800,4,FALSE)</f>
        <v>OO2</v>
      </c>
      <c r="W1179" s="239" t="str">
        <f>VLOOKUP(H1179,'Fund Utilization Report'!$A$4:$U$1800,5,FALSE)</f>
        <v>01101101</v>
      </c>
      <c r="X1179" s="239" t="str">
        <f>VLOOKUP(H1179,'Fund Utilization Report'!$A$4:$U$1800,6,FALSE)</f>
        <v>GOP</v>
      </c>
      <c r="Y1179" s="440" t="str">
        <f>VLOOKUP(H1179,'Fund Utilization Report'!$A$4:$U$1800,7,FALSE)</f>
        <v>PS</v>
      </c>
      <c r="Z1179" s="441">
        <f>VLOOKUP(H1179,'Fund Utilization Report'!$A$4:$U$1800,8,FALSE)</f>
        <v>5010000000</v>
      </c>
      <c r="AA1179" s="239" t="str">
        <f>VLOOKUP(H1179,'Fund Utilization Report'!$A$4:$U$1800,14,FALSE)</f>
        <v>320100100001000</v>
      </c>
      <c r="AB1179" s="242" t="str">
        <f>VLOOKUP(H1179,'Fund Utilization Report'!$A$4:$U$1800,15,FALSE)</f>
        <v>Formulation of Strategic plans,programs, and policies to develop competitve industries</v>
      </c>
      <c r="AC1179" s="51"/>
      <c r="AD1179" s="435"/>
      <c r="AE1179" s="51"/>
      <c r="AF1179" s="51"/>
      <c r="AG1179" s="442"/>
      <c r="AH1179" s="442"/>
      <c r="AI1179" s="443"/>
    </row>
    <row r="1180" spans="1:35" s="32" customFormat="1" ht="27.6">
      <c r="A1180" s="434" t="s">
        <v>942</v>
      </c>
      <c r="B1180" s="457" t="s">
        <v>946</v>
      </c>
      <c r="C1180" s="233">
        <v>44266</v>
      </c>
      <c r="D1180" s="435" t="s">
        <v>1267</v>
      </c>
      <c r="E1180" s="436" t="s">
        <v>1414</v>
      </c>
      <c r="F1180" s="338">
        <v>0.36458333333333331</v>
      </c>
      <c r="G1180" s="338">
        <v>0.3666666666666667</v>
      </c>
      <c r="H1180" s="338" t="s">
        <v>969</v>
      </c>
      <c r="I1180" s="353">
        <v>731</v>
      </c>
      <c r="J1180" s="338" t="str">
        <f>IFERROR(VLOOKUP(I1180,'Chart of accounts'!A:H,2,FALSE),"")</f>
        <v>50103010 00</v>
      </c>
      <c r="K1180" s="338" t="str">
        <f>IFERROR(VLOOKUP(I1180,'Chart of accounts'!A:H,3,FALSE),"")</f>
        <v>Retirement and Life Insurance Premiums</v>
      </c>
      <c r="L1180" s="338" t="str">
        <f>IFERROR(VLOOKUP(I1180,'Chart of accounts'!A:H,4,FALSE),"")</f>
        <v>50103010 00 - Retirement and Life Insurance Premiums (731)</v>
      </c>
      <c r="M1180" s="361">
        <v>2</v>
      </c>
      <c r="N1180" s="355" t="s">
        <v>789</v>
      </c>
      <c r="O1180" s="355" t="s">
        <v>1384</v>
      </c>
      <c r="P1180" s="355"/>
      <c r="Q1180" s="363">
        <v>13409.04</v>
      </c>
      <c r="R1180" s="319">
        <f t="shared" ref="R1180:R1185" si="45">P1180-Q1180</f>
        <v>-13409.04</v>
      </c>
      <c r="S1180" s="239" t="str">
        <f>VLOOKUP(H1180,'Fund Utilization Report'!$A$4:$U$1800,13,FALSE)</f>
        <v>PS</v>
      </c>
      <c r="T1180" s="239" t="str">
        <f>VLOOKUP(H1180,'Fund Utilization Report'!$A$4:$U$1800,2,FALSE)</f>
        <v>GAA</v>
      </c>
      <c r="U1180" s="239" t="str">
        <f>VLOOKUP(H1180,'Fund Utilization Report'!$A$4:$U$1800,3,FALSE)</f>
        <v>FY2021, RA11518</v>
      </c>
      <c r="V1180" s="239" t="str">
        <f>VLOOKUP(H1180,'Fund Utilization Report'!$A$4:$U$1800,4,FALSE)</f>
        <v>OO2</v>
      </c>
      <c r="W1180" s="239" t="str">
        <f>VLOOKUP(H1180,'Fund Utilization Report'!$A$4:$U$1800,5,FALSE)</f>
        <v>01101101</v>
      </c>
      <c r="X1180" s="239" t="str">
        <f>VLOOKUP(H1180,'Fund Utilization Report'!$A$4:$U$1800,6,FALSE)</f>
        <v>GOP</v>
      </c>
      <c r="Y1180" s="440" t="str">
        <f>VLOOKUP(H1180,'Fund Utilization Report'!$A$4:$U$1800,7,FALSE)</f>
        <v>RLIP</v>
      </c>
      <c r="Z1180" s="441" t="str">
        <f>VLOOKUP(H1180,'Fund Utilization Report'!$A$4:$U$1800,8,FALSE)</f>
        <v>50103010-00</v>
      </c>
      <c r="AA1180" s="239" t="str">
        <f>VLOOKUP(H1180,'Fund Utilization Report'!$A$4:$U$1800,14,FALSE)</f>
        <v>320100100001000</v>
      </c>
      <c r="AB1180" s="242" t="str">
        <f>VLOOKUP(H1180,'Fund Utilization Report'!$A$4:$U$1800,15,FALSE)</f>
        <v>Formulation of Strategic plans,programs, and policies to develop competitve industries</v>
      </c>
      <c r="AC1180" s="51"/>
      <c r="AD1180" s="435"/>
      <c r="AE1180" s="51"/>
      <c r="AF1180" s="51"/>
      <c r="AG1180" s="442"/>
      <c r="AH1180" s="442"/>
      <c r="AI1180" s="443"/>
    </row>
    <row r="1181" spans="1:35" s="32" customFormat="1" ht="27.6">
      <c r="A1181" s="434" t="s">
        <v>942</v>
      </c>
      <c r="B1181" s="457" t="s">
        <v>946</v>
      </c>
      <c r="C1181" s="233">
        <v>44266</v>
      </c>
      <c r="D1181" s="435" t="s">
        <v>1267</v>
      </c>
      <c r="E1181" s="436" t="s">
        <v>1414</v>
      </c>
      <c r="F1181" s="338">
        <v>0.36458333333333331</v>
      </c>
      <c r="G1181" s="338">
        <v>0.3666666666666667</v>
      </c>
      <c r="H1181" s="338" t="s">
        <v>967</v>
      </c>
      <c r="I1181" s="353">
        <v>732</v>
      </c>
      <c r="J1181" s="338" t="str">
        <f>IFERROR(VLOOKUP(I1181,'Chart of accounts'!A:H,2,FALSE),"")</f>
        <v>50103020 01</v>
      </c>
      <c r="K1181" s="338" t="str">
        <f>IFERROR(VLOOKUP(I1181,'Chart of accounts'!A:H,3,FALSE),"")</f>
        <v>Pag-IBIG - Civilian</v>
      </c>
      <c r="L1181" s="338" t="str">
        <f>IFERROR(VLOOKUP(I1181,'Chart of accounts'!A:H,4,FALSE),"")</f>
        <v>50103020 01 - Pag-IBIG - Civilian (732)</v>
      </c>
      <c r="M1181" s="361">
        <v>2</v>
      </c>
      <c r="N1181" s="355" t="s">
        <v>789</v>
      </c>
      <c r="O1181" s="355" t="s">
        <v>1384</v>
      </c>
      <c r="P1181" s="355"/>
      <c r="Q1181" s="363">
        <v>100</v>
      </c>
      <c r="R1181" s="319">
        <f t="shared" si="45"/>
        <v>-100</v>
      </c>
      <c r="S1181" s="239" t="str">
        <f>VLOOKUP(H1181,'Fund Utilization Report'!$A$4:$U$1800,13,FALSE)</f>
        <v>PS</v>
      </c>
      <c r="T1181" s="239" t="str">
        <f>VLOOKUP(H1181,'Fund Utilization Report'!$A$4:$U$1800,2,FALSE)</f>
        <v>GAA</v>
      </c>
      <c r="U1181" s="239" t="str">
        <f>VLOOKUP(H1181,'Fund Utilization Report'!$A$4:$U$1800,3,FALSE)</f>
        <v>FY2021, RA11518</v>
      </c>
      <c r="V1181" s="239" t="str">
        <f>VLOOKUP(H1181,'Fund Utilization Report'!$A$4:$U$1800,4,FALSE)</f>
        <v>OO2</v>
      </c>
      <c r="W1181" s="239" t="str">
        <f>VLOOKUP(H1181,'Fund Utilization Report'!$A$4:$U$1800,5,FALSE)</f>
        <v>01101101</v>
      </c>
      <c r="X1181" s="239" t="str">
        <f>VLOOKUP(H1181,'Fund Utilization Report'!$A$4:$U$1800,6,FALSE)</f>
        <v>GOP</v>
      </c>
      <c r="Y1181" s="440" t="str">
        <f>VLOOKUP(H1181,'Fund Utilization Report'!$A$4:$U$1800,7,FALSE)</f>
        <v>PS</v>
      </c>
      <c r="Z1181" s="441">
        <f>VLOOKUP(H1181,'Fund Utilization Report'!$A$4:$U$1800,8,FALSE)</f>
        <v>5010000000</v>
      </c>
      <c r="AA1181" s="239" t="str">
        <f>VLOOKUP(H1181,'Fund Utilization Report'!$A$4:$U$1800,14,FALSE)</f>
        <v>320100100001000</v>
      </c>
      <c r="AB1181" s="242" t="str">
        <f>VLOOKUP(H1181,'Fund Utilization Report'!$A$4:$U$1800,15,FALSE)</f>
        <v>Formulation of Strategic plans,programs, and policies to develop competitve industries</v>
      </c>
      <c r="AC1181" s="51"/>
      <c r="AD1181" s="435"/>
      <c r="AE1181" s="51"/>
      <c r="AF1181" s="51"/>
      <c r="AG1181" s="442"/>
      <c r="AH1181" s="442"/>
      <c r="AI1181" s="443"/>
    </row>
    <row r="1182" spans="1:35" s="32" customFormat="1" ht="27.6">
      <c r="A1182" s="434" t="s">
        <v>942</v>
      </c>
      <c r="B1182" s="457" t="s">
        <v>946</v>
      </c>
      <c r="C1182" s="233">
        <v>44266</v>
      </c>
      <c r="D1182" s="435" t="s">
        <v>1267</v>
      </c>
      <c r="E1182" s="436" t="s">
        <v>1414</v>
      </c>
      <c r="F1182" s="338">
        <v>0.36458333333333331</v>
      </c>
      <c r="G1182" s="338">
        <v>0.3666666666666667</v>
      </c>
      <c r="H1182" s="338" t="s">
        <v>967</v>
      </c>
      <c r="I1182" s="353">
        <v>733</v>
      </c>
      <c r="J1182" s="338" t="str">
        <f>IFERROR(VLOOKUP(I1182,'Chart of accounts'!A:H,2,FALSE),"")</f>
        <v>50103030 01</v>
      </c>
      <c r="K1182" s="338" t="str">
        <f>IFERROR(VLOOKUP(I1182,'Chart of accounts'!A:H,3,FALSE),"")</f>
        <v>PhilHealth - Civilian</v>
      </c>
      <c r="L1182" s="338" t="str">
        <f>IFERROR(VLOOKUP(I1182,'Chart of accounts'!A:H,4,FALSE),"")</f>
        <v>50103030 01 - PhilHealth - Civilian (733)</v>
      </c>
      <c r="M1182" s="361">
        <v>2</v>
      </c>
      <c r="N1182" s="355" t="s">
        <v>789</v>
      </c>
      <c r="O1182" s="355" t="s">
        <v>1384</v>
      </c>
      <c r="P1182" s="355"/>
      <c r="Q1182" s="363">
        <v>900</v>
      </c>
      <c r="R1182" s="319">
        <f t="shared" si="45"/>
        <v>-900</v>
      </c>
      <c r="S1182" s="239" t="str">
        <f>VLOOKUP(H1182,'Fund Utilization Report'!$A$4:$U$1800,13,FALSE)</f>
        <v>PS</v>
      </c>
      <c r="T1182" s="239" t="str">
        <f>VLOOKUP(H1182,'Fund Utilization Report'!$A$4:$U$1800,2,FALSE)</f>
        <v>GAA</v>
      </c>
      <c r="U1182" s="239" t="str">
        <f>VLOOKUP(H1182,'Fund Utilization Report'!$A$4:$U$1800,3,FALSE)</f>
        <v>FY2021, RA11518</v>
      </c>
      <c r="V1182" s="239" t="str">
        <f>VLOOKUP(H1182,'Fund Utilization Report'!$A$4:$U$1800,4,FALSE)</f>
        <v>OO2</v>
      </c>
      <c r="W1182" s="239" t="str">
        <f>VLOOKUP(H1182,'Fund Utilization Report'!$A$4:$U$1800,5,FALSE)</f>
        <v>01101101</v>
      </c>
      <c r="X1182" s="239" t="str">
        <f>VLOOKUP(H1182,'Fund Utilization Report'!$A$4:$U$1800,6,FALSE)</f>
        <v>GOP</v>
      </c>
      <c r="Y1182" s="440" t="str">
        <f>VLOOKUP(H1182,'Fund Utilization Report'!$A$4:$U$1800,7,FALSE)</f>
        <v>PS</v>
      </c>
      <c r="Z1182" s="441">
        <f>VLOOKUP(H1182,'Fund Utilization Report'!$A$4:$U$1800,8,FALSE)</f>
        <v>5010000000</v>
      </c>
      <c r="AA1182" s="239" t="str">
        <f>VLOOKUP(H1182,'Fund Utilization Report'!$A$4:$U$1800,14,FALSE)</f>
        <v>320100100001000</v>
      </c>
      <c r="AB1182" s="242" t="str">
        <f>VLOOKUP(H1182,'Fund Utilization Report'!$A$4:$U$1800,15,FALSE)</f>
        <v>Formulation of Strategic plans,programs, and policies to develop competitve industries</v>
      </c>
      <c r="AC1182" s="51"/>
      <c r="AD1182" s="435"/>
      <c r="AE1182" s="51"/>
      <c r="AF1182" s="51"/>
      <c r="AG1182" s="442"/>
      <c r="AH1182" s="442"/>
      <c r="AI1182" s="443"/>
    </row>
    <row r="1183" spans="1:35" s="32" customFormat="1" ht="27.6">
      <c r="A1183" s="434" t="s">
        <v>942</v>
      </c>
      <c r="B1183" s="457" t="s">
        <v>946</v>
      </c>
      <c r="C1183" s="233">
        <v>44266</v>
      </c>
      <c r="D1183" s="435" t="s">
        <v>1267</v>
      </c>
      <c r="E1183" s="436" t="s">
        <v>1414</v>
      </c>
      <c r="F1183" s="338">
        <v>0.36458333333333331</v>
      </c>
      <c r="G1183" s="338">
        <v>0.3666666666666667</v>
      </c>
      <c r="H1183" s="338" t="s">
        <v>967</v>
      </c>
      <c r="I1183" s="353">
        <v>734</v>
      </c>
      <c r="J1183" s="338" t="str">
        <f>IFERROR(VLOOKUP(I1183,'Chart of accounts'!A:H,2,FALSE),"")</f>
        <v>50103040 01</v>
      </c>
      <c r="K1183" s="338" t="str">
        <f>IFERROR(VLOOKUP(I1183,'Chart of accounts'!A:H,3,FALSE),"")</f>
        <v>ECIP - Civilian</v>
      </c>
      <c r="L1183" s="338" t="str">
        <f>IFERROR(VLOOKUP(I1183,'Chart of accounts'!A:H,4,FALSE),"")</f>
        <v>50103040 01 - ECIP - Civilian (734)</v>
      </c>
      <c r="M1183" s="361">
        <v>2</v>
      </c>
      <c r="N1183" s="355" t="s">
        <v>789</v>
      </c>
      <c r="O1183" s="355" t="s">
        <v>1384</v>
      </c>
      <c r="P1183" s="355"/>
      <c r="Q1183" s="363">
        <v>100</v>
      </c>
      <c r="R1183" s="319">
        <f t="shared" si="45"/>
        <v>-100</v>
      </c>
      <c r="S1183" s="239" t="str">
        <f>VLOOKUP(H1183,'Fund Utilization Report'!$A$4:$U$1800,13,FALSE)</f>
        <v>PS</v>
      </c>
      <c r="T1183" s="239" t="str">
        <f>VLOOKUP(H1183,'Fund Utilization Report'!$A$4:$U$1800,2,FALSE)</f>
        <v>GAA</v>
      </c>
      <c r="U1183" s="239" t="str">
        <f>VLOOKUP(H1183,'Fund Utilization Report'!$A$4:$U$1800,3,FALSE)</f>
        <v>FY2021, RA11518</v>
      </c>
      <c r="V1183" s="239" t="str">
        <f>VLOOKUP(H1183,'Fund Utilization Report'!$A$4:$U$1800,4,FALSE)</f>
        <v>OO2</v>
      </c>
      <c r="W1183" s="239" t="str">
        <f>VLOOKUP(H1183,'Fund Utilization Report'!$A$4:$U$1800,5,FALSE)</f>
        <v>01101101</v>
      </c>
      <c r="X1183" s="239" t="str">
        <f>VLOOKUP(H1183,'Fund Utilization Report'!$A$4:$U$1800,6,FALSE)</f>
        <v>GOP</v>
      </c>
      <c r="Y1183" s="440" t="str">
        <f>VLOOKUP(H1183,'Fund Utilization Report'!$A$4:$U$1800,7,FALSE)</f>
        <v>PS</v>
      </c>
      <c r="Z1183" s="441">
        <f>VLOOKUP(H1183,'Fund Utilization Report'!$A$4:$U$1800,8,FALSE)</f>
        <v>5010000000</v>
      </c>
      <c r="AA1183" s="239" t="str">
        <f>VLOOKUP(H1183,'Fund Utilization Report'!$A$4:$U$1800,14,FALSE)</f>
        <v>320100100001000</v>
      </c>
      <c r="AB1183" s="242" t="str">
        <f>VLOOKUP(H1183,'Fund Utilization Report'!$A$4:$U$1800,15,FALSE)</f>
        <v>Formulation of Strategic plans,programs, and policies to develop competitve industries</v>
      </c>
      <c r="AC1183" s="51"/>
      <c r="AD1183" s="435"/>
      <c r="AE1183" s="51"/>
      <c r="AF1183" s="51"/>
      <c r="AG1183" s="442"/>
      <c r="AH1183" s="442"/>
      <c r="AI1183" s="443"/>
    </row>
    <row r="1184" spans="1:35" s="32" customFormat="1" ht="27.6">
      <c r="A1184" s="434" t="s">
        <v>942</v>
      </c>
      <c r="B1184" s="457" t="s">
        <v>946</v>
      </c>
      <c r="C1184" s="233">
        <v>44266</v>
      </c>
      <c r="D1184" s="435" t="s">
        <v>1267</v>
      </c>
      <c r="E1184" s="436" t="s">
        <v>1414</v>
      </c>
      <c r="F1184" s="338">
        <v>0.36458333333333331</v>
      </c>
      <c r="G1184" s="338">
        <v>0.3666666666666667</v>
      </c>
      <c r="H1184" s="338" t="s">
        <v>970</v>
      </c>
      <c r="I1184" s="353">
        <v>701</v>
      </c>
      <c r="J1184" s="338" t="str">
        <f>IFERROR(VLOOKUP(I1184,'Chart of accounts'!A:H,2,FALSE),"")</f>
        <v>50101010 01</v>
      </c>
      <c r="K1184" s="338" t="str">
        <f>IFERROR(VLOOKUP(I1184,'Chart of accounts'!A:H,3,FALSE),"")</f>
        <v>Basic Salary - Civilian</v>
      </c>
      <c r="L1184" s="338" t="str">
        <f>IFERROR(VLOOKUP(I1184,'Chart of accounts'!A:H,4,FALSE),"")</f>
        <v>50101010 01 - Basic Salary - Civilian (701)</v>
      </c>
      <c r="M1184" s="361">
        <v>2</v>
      </c>
      <c r="N1184" s="355" t="s">
        <v>789</v>
      </c>
      <c r="O1184" s="355" t="s">
        <v>1384</v>
      </c>
      <c r="P1184" s="355"/>
      <c r="Q1184" s="363">
        <f>46261+88158</f>
        <v>134419</v>
      </c>
      <c r="R1184" s="319">
        <f t="shared" si="45"/>
        <v>-134419</v>
      </c>
      <c r="S1184" s="239" t="str">
        <f>VLOOKUP(H1184,'Fund Utilization Report'!$A$4:$U$1800,13,FALSE)</f>
        <v>PS</v>
      </c>
      <c r="T1184" s="239" t="str">
        <f>VLOOKUP(H1184,'Fund Utilization Report'!$A$4:$U$1800,2,FALSE)</f>
        <v>GAA</v>
      </c>
      <c r="U1184" s="239" t="str">
        <f>VLOOKUP(H1184,'Fund Utilization Report'!$A$4:$U$1800,3,FALSE)</f>
        <v>FY2021, RA11518</v>
      </c>
      <c r="V1184" s="239" t="str">
        <f>VLOOKUP(H1184,'Fund Utilization Report'!$A$4:$U$1800,4,FALSE)</f>
        <v>OO3</v>
      </c>
      <c r="W1184" s="239" t="str">
        <f>VLOOKUP(H1184,'Fund Utilization Report'!$A$4:$U$1800,5,FALSE)</f>
        <v>01101101</v>
      </c>
      <c r="X1184" s="239" t="str">
        <f>VLOOKUP(H1184,'Fund Utilization Report'!$A$4:$U$1800,6,FALSE)</f>
        <v>GOP</v>
      </c>
      <c r="Y1184" s="440" t="str">
        <f>VLOOKUP(H1184,'Fund Utilization Report'!$A$4:$U$1800,7,FALSE)</f>
        <v>PS</v>
      </c>
      <c r="Z1184" s="441">
        <f>VLOOKUP(H1184,'Fund Utilization Report'!$A$4:$U$1800,8,FALSE)</f>
        <v>5010000000</v>
      </c>
      <c r="AA1184" s="239" t="str">
        <f>VLOOKUP(H1184,'Fund Utilization Report'!$A$4:$U$1800,14,FALSE)</f>
        <v>330100100002000</v>
      </c>
      <c r="AB1184" s="242" t="str">
        <f>VLOOKUP(H1184,'Fund Utilization Report'!$A$4:$U$1800,15,FALSE)</f>
        <v>Implementation of the MSME Development Plan and other initiatives to promote the growth of Micro, Small and Medium Enterprises</v>
      </c>
      <c r="AC1184" s="51"/>
      <c r="AD1184" s="435"/>
      <c r="AE1184" s="51"/>
      <c r="AF1184" s="51"/>
      <c r="AG1184" s="442"/>
      <c r="AH1184" s="442"/>
      <c r="AI1184" s="443"/>
    </row>
    <row r="1185" spans="1:35" s="32" customFormat="1" ht="27.6">
      <c r="A1185" s="434" t="s">
        <v>942</v>
      </c>
      <c r="B1185" s="457" t="s">
        <v>946</v>
      </c>
      <c r="C1185" s="233">
        <v>44266</v>
      </c>
      <c r="D1185" s="435" t="s">
        <v>1267</v>
      </c>
      <c r="E1185" s="436" t="s">
        <v>1414</v>
      </c>
      <c r="F1185" s="338">
        <v>0.36458333333333331</v>
      </c>
      <c r="G1185" s="338">
        <v>0.3666666666666667</v>
      </c>
      <c r="H1185" s="338" t="s">
        <v>970</v>
      </c>
      <c r="I1185" s="353">
        <v>711</v>
      </c>
      <c r="J1185" s="338" t="str">
        <f>IFERROR(VLOOKUP(I1185,'Chart of accounts'!A:H,2,FALSE),"")</f>
        <v>50102010 01</v>
      </c>
      <c r="K1185" s="338" t="str">
        <f>IFERROR(VLOOKUP(I1185,'Chart of accounts'!A:H,3,FALSE),"")</f>
        <v>PERA - Civilian</v>
      </c>
      <c r="L1185" s="338" t="str">
        <f>IFERROR(VLOOKUP(I1185,'Chart of accounts'!A:H,4,FALSE),"")</f>
        <v>50102010 01 - PERA - Civilian (711)</v>
      </c>
      <c r="M1185" s="361">
        <v>2</v>
      </c>
      <c r="N1185" s="355" t="s">
        <v>789</v>
      </c>
      <c r="O1185" s="355" t="s">
        <v>1384</v>
      </c>
      <c r="P1185" s="355"/>
      <c r="Q1185" s="363">
        <v>4000</v>
      </c>
      <c r="R1185" s="319">
        <f t="shared" si="45"/>
        <v>-4000</v>
      </c>
      <c r="S1185" s="239" t="str">
        <f>VLOOKUP(H1185,'Fund Utilization Report'!$A$4:$U$1800,13,FALSE)</f>
        <v>PS</v>
      </c>
      <c r="T1185" s="239" t="str">
        <f>VLOOKUP(H1185,'Fund Utilization Report'!$A$4:$U$1800,2,FALSE)</f>
        <v>GAA</v>
      </c>
      <c r="U1185" s="239" t="str">
        <f>VLOOKUP(H1185,'Fund Utilization Report'!$A$4:$U$1800,3,FALSE)</f>
        <v>FY2021, RA11518</v>
      </c>
      <c r="V1185" s="239" t="str">
        <f>VLOOKUP(H1185,'Fund Utilization Report'!$A$4:$U$1800,4,FALSE)</f>
        <v>OO3</v>
      </c>
      <c r="W1185" s="239" t="str">
        <f>VLOOKUP(H1185,'Fund Utilization Report'!$A$4:$U$1800,5,FALSE)</f>
        <v>01101101</v>
      </c>
      <c r="X1185" s="239" t="str">
        <f>VLOOKUP(H1185,'Fund Utilization Report'!$A$4:$U$1800,6,FALSE)</f>
        <v>GOP</v>
      </c>
      <c r="Y1185" s="440" t="str">
        <f>VLOOKUP(H1185,'Fund Utilization Report'!$A$4:$U$1800,7,FALSE)</f>
        <v>PS</v>
      </c>
      <c r="Z1185" s="441">
        <f>VLOOKUP(H1185,'Fund Utilization Report'!$A$4:$U$1800,8,FALSE)</f>
        <v>5010000000</v>
      </c>
      <c r="AA1185" s="239" t="str">
        <f>VLOOKUP(H1185,'Fund Utilization Report'!$A$4:$U$1800,14,FALSE)</f>
        <v>330100100002000</v>
      </c>
      <c r="AB1185" s="242" t="str">
        <f>VLOOKUP(H1185,'Fund Utilization Report'!$A$4:$U$1800,15,FALSE)</f>
        <v>Implementation of the MSME Development Plan and other initiatives to promote the growth of Micro, Small and Medium Enterprises</v>
      </c>
      <c r="AC1185" s="51"/>
      <c r="AD1185" s="435"/>
      <c r="AE1185" s="51"/>
      <c r="AF1185" s="51"/>
      <c r="AG1185" s="442"/>
      <c r="AH1185" s="442"/>
      <c r="AI1185" s="443"/>
    </row>
    <row r="1186" spans="1:35" s="32" customFormat="1" ht="27.6">
      <c r="A1186" s="434" t="s">
        <v>942</v>
      </c>
      <c r="B1186" s="457" t="s">
        <v>946</v>
      </c>
      <c r="C1186" s="233">
        <v>44266</v>
      </c>
      <c r="D1186" s="435" t="s">
        <v>1267</v>
      </c>
      <c r="E1186" s="436" t="s">
        <v>1414</v>
      </c>
      <c r="F1186" s="338">
        <v>0.36458333333333331</v>
      </c>
      <c r="G1186" s="338">
        <v>0.3666666666666667</v>
      </c>
      <c r="H1186" s="338" t="s">
        <v>972</v>
      </c>
      <c r="I1186" s="353">
        <v>731</v>
      </c>
      <c r="J1186" s="338" t="str">
        <f>IFERROR(VLOOKUP(I1186,'Chart of accounts'!A:H,2,FALSE),"")</f>
        <v>50103010 00</v>
      </c>
      <c r="K1186" s="338" t="str">
        <f>IFERROR(VLOOKUP(I1186,'Chart of accounts'!A:H,3,FALSE),"")</f>
        <v>Retirement and Life Insurance Premiums</v>
      </c>
      <c r="L1186" s="338" t="str">
        <f>IFERROR(VLOOKUP(I1186,'Chart of accounts'!A:H,4,FALSE),"")</f>
        <v>50103010 00 - Retirement and Life Insurance Premiums (731)</v>
      </c>
      <c r="M1186" s="361">
        <v>2</v>
      </c>
      <c r="N1186" s="355" t="s">
        <v>789</v>
      </c>
      <c r="O1186" s="355" t="s">
        <v>1384</v>
      </c>
      <c r="P1186" s="355"/>
      <c r="Q1186" s="363">
        <f>5551.32+10578.96</f>
        <v>16130.279999999999</v>
      </c>
      <c r="R1186" s="319">
        <f t="shared" ref="R1186:R1232" si="46">P1186-Q1186</f>
        <v>-16130.279999999999</v>
      </c>
      <c r="S1186" s="239" t="str">
        <f>VLOOKUP(H1186,'Fund Utilization Report'!$A$4:$U$1800,13,FALSE)</f>
        <v>PS</v>
      </c>
      <c r="T1186" s="239" t="str">
        <f>VLOOKUP(H1186,'Fund Utilization Report'!$A$4:$U$1800,2,FALSE)</f>
        <v>GAA</v>
      </c>
      <c r="U1186" s="239" t="str">
        <f>VLOOKUP(H1186,'Fund Utilization Report'!$A$4:$U$1800,3,FALSE)</f>
        <v>FY2021, RA11518</v>
      </c>
      <c r="V1186" s="239" t="str">
        <f>VLOOKUP(H1186,'Fund Utilization Report'!$A$4:$U$1800,4,FALSE)</f>
        <v>OO3</v>
      </c>
      <c r="W1186" s="239" t="str">
        <f>VLOOKUP(H1186,'Fund Utilization Report'!$A$4:$U$1800,5,FALSE)</f>
        <v>01101101</v>
      </c>
      <c r="X1186" s="239" t="str">
        <f>VLOOKUP(H1186,'Fund Utilization Report'!$A$4:$U$1800,6,FALSE)</f>
        <v>GOP</v>
      </c>
      <c r="Y1186" s="440" t="str">
        <f>VLOOKUP(H1186,'Fund Utilization Report'!$A$4:$U$1800,7,FALSE)</f>
        <v>RLIP</v>
      </c>
      <c r="Z1186" s="441" t="str">
        <f>VLOOKUP(H1186,'Fund Utilization Report'!$A$4:$U$1800,8,FALSE)</f>
        <v>50103010-00</v>
      </c>
      <c r="AA1186" s="239" t="str">
        <f>VLOOKUP(H1186,'Fund Utilization Report'!$A$4:$U$1800,14,FALSE)</f>
        <v>330100100002000</v>
      </c>
      <c r="AB1186" s="242" t="str">
        <f>VLOOKUP(H1186,'Fund Utilization Report'!$A$4:$U$1800,15,FALSE)</f>
        <v>Implementation of the MSME Development Plan and other initiatives to promote the growth of Micro, Small and Medium Enterprises</v>
      </c>
      <c r="AC1186" s="51"/>
      <c r="AD1186" s="435"/>
      <c r="AE1186" s="51"/>
      <c r="AF1186" s="51"/>
      <c r="AG1186" s="442"/>
      <c r="AH1186" s="442"/>
      <c r="AI1186" s="443"/>
    </row>
    <row r="1187" spans="1:35" s="32" customFormat="1" ht="27.6">
      <c r="A1187" s="434" t="s">
        <v>942</v>
      </c>
      <c r="B1187" s="457" t="s">
        <v>946</v>
      </c>
      <c r="C1187" s="233">
        <v>44266</v>
      </c>
      <c r="D1187" s="435" t="s">
        <v>1267</v>
      </c>
      <c r="E1187" s="436" t="s">
        <v>1414</v>
      </c>
      <c r="F1187" s="338">
        <v>0.36458333333333331</v>
      </c>
      <c r="G1187" s="338">
        <v>0.3666666666666667</v>
      </c>
      <c r="H1187" s="338" t="s">
        <v>970</v>
      </c>
      <c r="I1187" s="353">
        <v>732</v>
      </c>
      <c r="J1187" s="338" t="str">
        <f>IFERROR(VLOOKUP(I1187,'Chart of accounts'!A:H,2,FALSE),"")</f>
        <v>50103020 01</v>
      </c>
      <c r="K1187" s="338" t="str">
        <f>IFERROR(VLOOKUP(I1187,'Chart of accounts'!A:H,3,FALSE),"")</f>
        <v>Pag-IBIG - Civilian</v>
      </c>
      <c r="L1187" s="338" t="str">
        <f>IFERROR(VLOOKUP(I1187,'Chart of accounts'!A:H,4,FALSE),"")</f>
        <v>50103020 01 - Pag-IBIG - Civilian (732)</v>
      </c>
      <c r="M1187" s="361">
        <v>2</v>
      </c>
      <c r="N1187" s="355" t="s">
        <v>789</v>
      </c>
      <c r="O1187" s="355" t="s">
        <v>1384</v>
      </c>
      <c r="P1187" s="355"/>
      <c r="Q1187" s="363">
        <v>200</v>
      </c>
      <c r="R1187" s="319">
        <f t="shared" si="46"/>
        <v>-200</v>
      </c>
      <c r="S1187" s="239" t="str">
        <f>VLOOKUP(H1187,'Fund Utilization Report'!$A$4:$U$1800,13,FALSE)</f>
        <v>PS</v>
      </c>
      <c r="T1187" s="239" t="str">
        <f>VLOOKUP(H1187,'Fund Utilization Report'!$A$4:$U$1800,2,FALSE)</f>
        <v>GAA</v>
      </c>
      <c r="U1187" s="239" t="str">
        <f>VLOOKUP(H1187,'Fund Utilization Report'!$A$4:$U$1800,3,FALSE)</f>
        <v>FY2021, RA11518</v>
      </c>
      <c r="V1187" s="239" t="str">
        <f>VLOOKUP(H1187,'Fund Utilization Report'!$A$4:$U$1800,4,FALSE)</f>
        <v>OO3</v>
      </c>
      <c r="W1187" s="239" t="str">
        <f>VLOOKUP(H1187,'Fund Utilization Report'!$A$4:$U$1800,5,FALSE)</f>
        <v>01101101</v>
      </c>
      <c r="X1187" s="239" t="str">
        <f>VLOOKUP(H1187,'Fund Utilization Report'!$A$4:$U$1800,6,FALSE)</f>
        <v>GOP</v>
      </c>
      <c r="Y1187" s="440" t="str">
        <f>VLOOKUP(H1187,'Fund Utilization Report'!$A$4:$U$1800,7,FALSE)</f>
        <v>PS</v>
      </c>
      <c r="Z1187" s="441">
        <f>VLOOKUP(H1187,'Fund Utilization Report'!$A$4:$U$1800,8,FALSE)</f>
        <v>5010000000</v>
      </c>
      <c r="AA1187" s="239" t="str">
        <f>VLOOKUP(H1187,'Fund Utilization Report'!$A$4:$U$1800,14,FALSE)</f>
        <v>330100100002000</v>
      </c>
      <c r="AB1187" s="242" t="str">
        <f>VLOOKUP(H1187,'Fund Utilization Report'!$A$4:$U$1800,15,FALSE)</f>
        <v>Implementation of the MSME Development Plan and other initiatives to promote the growth of Micro, Small and Medium Enterprises</v>
      </c>
      <c r="AC1187" s="51"/>
      <c r="AD1187" s="435"/>
      <c r="AE1187" s="51"/>
      <c r="AF1187" s="51"/>
      <c r="AG1187" s="442"/>
      <c r="AH1187" s="442"/>
      <c r="AI1187" s="443"/>
    </row>
    <row r="1188" spans="1:35" s="32" customFormat="1" ht="27.6">
      <c r="A1188" s="434" t="s">
        <v>942</v>
      </c>
      <c r="B1188" s="457" t="s">
        <v>946</v>
      </c>
      <c r="C1188" s="233">
        <v>44266</v>
      </c>
      <c r="D1188" s="435" t="s">
        <v>1267</v>
      </c>
      <c r="E1188" s="436" t="s">
        <v>1414</v>
      </c>
      <c r="F1188" s="338">
        <v>0.36458333333333331</v>
      </c>
      <c r="G1188" s="338">
        <v>0.3666666666666667</v>
      </c>
      <c r="H1188" s="338" t="s">
        <v>970</v>
      </c>
      <c r="I1188" s="353">
        <v>733</v>
      </c>
      <c r="J1188" s="338" t="str">
        <f>IFERROR(VLOOKUP(I1188,'Chart of accounts'!A:H,2,FALSE),"")</f>
        <v>50103030 01</v>
      </c>
      <c r="K1188" s="338" t="str">
        <f>IFERROR(VLOOKUP(I1188,'Chart of accounts'!A:H,3,FALSE),"")</f>
        <v>PhilHealth - Civilian</v>
      </c>
      <c r="L1188" s="338" t="str">
        <f>IFERROR(VLOOKUP(I1188,'Chart of accounts'!A:H,4,FALSE),"")</f>
        <v>50103030 01 - PhilHealth - Civilian (733)</v>
      </c>
      <c r="M1188" s="361">
        <v>2</v>
      </c>
      <c r="N1188" s="355" t="s">
        <v>789</v>
      </c>
      <c r="O1188" s="355" t="s">
        <v>1384</v>
      </c>
      <c r="P1188" s="355"/>
      <c r="Q1188" s="363">
        <f>693.92+900</f>
        <v>1593.92</v>
      </c>
      <c r="R1188" s="319">
        <f t="shared" si="46"/>
        <v>-1593.92</v>
      </c>
      <c r="S1188" s="239" t="str">
        <f>VLOOKUP(H1188,'Fund Utilization Report'!$A$4:$U$1800,13,FALSE)</f>
        <v>PS</v>
      </c>
      <c r="T1188" s="239" t="str">
        <f>VLOOKUP(H1188,'Fund Utilization Report'!$A$4:$U$1800,2,FALSE)</f>
        <v>GAA</v>
      </c>
      <c r="U1188" s="239" t="str">
        <f>VLOOKUP(H1188,'Fund Utilization Report'!$A$4:$U$1800,3,FALSE)</f>
        <v>FY2021, RA11518</v>
      </c>
      <c r="V1188" s="239" t="str">
        <f>VLOOKUP(H1188,'Fund Utilization Report'!$A$4:$U$1800,4,FALSE)</f>
        <v>OO3</v>
      </c>
      <c r="W1188" s="239" t="str">
        <f>VLOOKUP(H1188,'Fund Utilization Report'!$A$4:$U$1800,5,FALSE)</f>
        <v>01101101</v>
      </c>
      <c r="X1188" s="239" t="str">
        <f>VLOOKUP(H1188,'Fund Utilization Report'!$A$4:$U$1800,6,FALSE)</f>
        <v>GOP</v>
      </c>
      <c r="Y1188" s="440" t="str">
        <f>VLOOKUP(H1188,'Fund Utilization Report'!$A$4:$U$1800,7,FALSE)</f>
        <v>PS</v>
      </c>
      <c r="Z1188" s="441">
        <f>VLOOKUP(H1188,'Fund Utilization Report'!$A$4:$U$1800,8,FALSE)</f>
        <v>5010000000</v>
      </c>
      <c r="AA1188" s="239" t="str">
        <f>VLOOKUP(H1188,'Fund Utilization Report'!$A$4:$U$1800,14,FALSE)</f>
        <v>330100100002000</v>
      </c>
      <c r="AB1188" s="242" t="str">
        <f>VLOOKUP(H1188,'Fund Utilization Report'!$A$4:$U$1800,15,FALSE)</f>
        <v>Implementation of the MSME Development Plan and other initiatives to promote the growth of Micro, Small and Medium Enterprises</v>
      </c>
      <c r="AC1188" s="51"/>
      <c r="AD1188" s="435"/>
      <c r="AE1188" s="51"/>
      <c r="AF1188" s="51"/>
      <c r="AG1188" s="442"/>
      <c r="AH1188" s="442"/>
      <c r="AI1188" s="443"/>
    </row>
    <row r="1189" spans="1:35" s="32" customFormat="1" ht="27.6">
      <c r="A1189" s="434" t="s">
        <v>942</v>
      </c>
      <c r="B1189" s="457" t="s">
        <v>946</v>
      </c>
      <c r="C1189" s="233">
        <v>44266</v>
      </c>
      <c r="D1189" s="435" t="s">
        <v>1267</v>
      </c>
      <c r="E1189" s="436" t="s">
        <v>1414</v>
      </c>
      <c r="F1189" s="338">
        <v>0.36458333333333331</v>
      </c>
      <c r="G1189" s="338">
        <v>0.3666666666666667</v>
      </c>
      <c r="H1189" s="338" t="s">
        <v>970</v>
      </c>
      <c r="I1189" s="353">
        <v>734</v>
      </c>
      <c r="J1189" s="338" t="str">
        <f>IFERROR(VLOOKUP(I1189,'Chart of accounts'!A:H,2,FALSE),"")</f>
        <v>50103040 01</v>
      </c>
      <c r="K1189" s="338" t="str">
        <f>IFERROR(VLOOKUP(I1189,'Chart of accounts'!A:H,3,FALSE),"")</f>
        <v>ECIP - Civilian</v>
      </c>
      <c r="L1189" s="338" t="str">
        <f>IFERROR(VLOOKUP(I1189,'Chart of accounts'!A:H,4,FALSE),"")</f>
        <v>50103040 01 - ECIP - Civilian (734)</v>
      </c>
      <c r="M1189" s="361">
        <v>2</v>
      </c>
      <c r="N1189" s="355" t="s">
        <v>789</v>
      </c>
      <c r="O1189" s="355" t="s">
        <v>1384</v>
      </c>
      <c r="P1189" s="355"/>
      <c r="Q1189" s="363">
        <v>200</v>
      </c>
      <c r="R1189" s="319">
        <f t="shared" si="46"/>
        <v>-200</v>
      </c>
      <c r="S1189" s="239" t="str">
        <f>VLOOKUP(H1189,'Fund Utilization Report'!$A$4:$U$1800,13,FALSE)</f>
        <v>PS</v>
      </c>
      <c r="T1189" s="239" t="str">
        <f>VLOOKUP(H1189,'Fund Utilization Report'!$A$4:$U$1800,2,FALSE)</f>
        <v>GAA</v>
      </c>
      <c r="U1189" s="239" t="str">
        <f>VLOOKUP(H1189,'Fund Utilization Report'!$A$4:$U$1800,3,FALSE)</f>
        <v>FY2021, RA11518</v>
      </c>
      <c r="V1189" s="239" t="str">
        <f>VLOOKUP(H1189,'Fund Utilization Report'!$A$4:$U$1800,4,FALSE)</f>
        <v>OO3</v>
      </c>
      <c r="W1189" s="239" t="str">
        <f>VLOOKUP(H1189,'Fund Utilization Report'!$A$4:$U$1800,5,FALSE)</f>
        <v>01101101</v>
      </c>
      <c r="X1189" s="239" t="str">
        <f>VLOOKUP(H1189,'Fund Utilization Report'!$A$4:$U$1800,6,FALSE)</f>
        <v>GOP</v>
      </c>
      <c r="Y1189" s="440" t="str">
        <f>VLOOKUP(H1189,'Fund Utilization Report'!$A$4:$U$1800,7,FALSE)</f>
        <v>PS</v>
      </c>
      <c r="Z1189" s="441">
        <f>VLOOKUP(H1189,'Fund Utilization Report'!$A$4:$U$1800,8,FALSE)</f>
        <v>5010000000</v>
      </c>
      <c r="AA1189" s="239" t="str">
        <f>VLOOKUP(H1189,'Fund Utilization Report'!$A$4:$U$1800,14,FALSE)</f>
        <v>330100100002000</v>
      </c>
      <c r="AB1189" s="242" t="str">
        <f>VLOOKUP(H1189,'Fund Utilization Report'!$A$4:$U$1800,15,FALSE)</f>
        <v>Implementation of the MSME Development Plan and other initiatives to promote the growth of Micro, Small and Medium Enterprises</v>
      </c>
      <c r="AC1189" s="51"/>
      <c r="AD1189" s="435"/>
      <c r="AE1189" s="51"/>
      <c r="AF1189" s="51"/>
      <c r="AG1189" s="442"/>
      <c r="AH1189" s="442"/>
      <c r="AI1189" s="443"/>
    </row>
    <row r="1190" spans="1:35" s="32" customFormat="1" ht="27.6">
      <c r="A1190" s="434" t="s">
        <v>942</v>
      </c>
      <c r="B1190" s="457" t="s">
        <v>946</v>
      </c>
      <c r="C1190" s="233">
        <v>44266</v>
      </c>
      <c r="D1190" s="435" t="s">
        <v>1267</v>
      </c>
      <c r="E1190" s="436" t="s">
        <v>1414</v>
      </c>
      <c r="F1190" s="338">
        <v>0.36458333333333331</v>
      </c>
      <c r="G1190" s="338">
        <v>0.3666666666666667</v>
      </c>
      <c r="H1190" s="338" t="s">
        <v>973</v>
      </c>
      <c r="I1190" s="353">
        <v>701</v>
      </c>
      <c r="J1190" s="338" t="str">
        <f>IFERROR(VLOOKUP(I1190,'Chart of accounts'!A:H,2,FALSE),"")</f>
        <v>50101010 01</v>
      </c>
      <c r="K1190" s="338" t="str">
        <f>IFERROR(VLOOKUP(I1190,'Chart of accounts'!A:H,3,FALSE),"")</f>
        <v>Basic Salary - Civilian</v>
      </c>
      <c r="L1190" s="338" t="str">
        <f>IFERROR(VLOOKUP(I1190,'Chart of accounts'!A:H,4,FALSE),"")</f>
        <v>50101010 01 - Basic Salary - Civilian (701)</v>
      </c>
      <c r="M1190" s="361">
        <v>2</v>
      </c>
      <c r="N1190" s="355" t="s">
        <v>789</v>
      </c>
      <c r="O1190" s="355" t="s">
        <v>1384</v>
      </c>
      <c r="P1190" s="355"/>
      <c r="Q1190" s="363">
        <f>44184+47338</f>
        <v>91522</v>
      </c>
      <c r="R1190" s="319">
        <f t="shared" si="46"/>
        <v>-91522</v>
      </c>
      <c r="S1190" s="239" t="str">
        <f>VLOOKUP(H1190,'Fund Utilization Report'!$A$4:$U$1800,13,FALSE)</f>
        <v>PS</v>
      </c>
      <c r="T1190" s="239" t="str">
        <f>VLOOKUP(H1190,'Fund Utilization Report'!$A$4:$U$1800,2,FALSE)</f>
        <v>GAA</v>
      </c>
      <c r="U1190" s="239" t="str">
        <f>VLOOKUP(H1190,'Fund Utilization Report'!$A$4:$U$1800,3,FALSE)</f>
        <v>FY2021, RA11518</v>
      </c>
      <c r="V1190" s="239" t="str">
        <f>VLOOKUP(H1190,'Fund Utilization Report'!$A$4:$U$1800,4,FALSE)</f>
        <v>OO4.1(FTL)</v>
      </c>
      <c r="W1190" s="239" t="str">
        <f>VLOOKUP(H1190,'Fund Utilization Report'!$A$4:$U$1800,5,FALSE)</f>
        <v>01101101</v>
      </c>
      <c r="X1190" s="239" t="str">
        <f>VLOOKUP(H1190,'Fund Utilization Report'!$A$4:$U$1800,6,FALSE)</f>
        <v>GOP</v>
      </c>
      <c r="Y1190" s="440" t="str">
        <f>VLOOKUP(H1190,'Fund Utilization Report'!$A$4:$U$1800,7,FALSE)</f>
        <v>PS</v>
      </c>
      <c r="Z1190" s="441">
        <f>VLOOKUP(H1190,'Fund Utilization Report'!$A$4:$U$1800,8,FALSE)</f>
        <v>5010000000</v>
      </c>
      <c r="AA1190" s="239" t="str">
        <f>VLOOKUP(H1190,'Fund Utilization Report'!$A$4:$U$1800,14,FALSE)</f>
        <v>340100100002000</v>
      </c>
      <c r="AB1190" s="242" t="str">
        <f>VLOOKUP(H1190,'Fund Utilization Report'!$A$4:$U$1800,15,FALSE)</f>
        <v>Monitoring and Enforcement of FTL including consumer complaints handling</v>
      </c>
      <c r="AC1190" s="51"/>
      <c r="AD1190" s="435"/>
      <c r="AE1190" s="51"/>
      <c r="AF1190" s="51"/>
      <c r="AG1190" s="442"/>
      <c r="AH1190" s="442"/>
      <c r="AI1190" s="443"/>
    </row>
    <row r="1191" spans="1:35" s="32" customFormat="1" ht="27.6">
      <c r="A1191" s="434" t="s">
        <v>942</v>
      </c>
      <c r="B1191" s="457" t="s">
        <v>946</v>
      </c>
      <c r="C1191" s="233">
        <v>44266</v>
      </c>
      <c r="D1191" s="435" t="s">
        <v>1267</v>
      </c>
      <c r="E1191" s="436" t="s">
        <v>1414</v>
      </c>
      <c r="F1191" s="338">
        <v>0.36458333333333331</v>
      </c>
      <c r="G1191" s="338">
        <v>0.3666666666666667</v>
      </c>
      <c r="H1191" s="338" t="s">
        <v>973</v>
      </c>
      <c r="I1191" s="353">
        <v>711</v>
      </c>
      <c r="J1191" s="338" t="str">
        <f>IFERROR(VLOOKUP(I1191,'Chart of accounts'!A:H,2,FALSE),"")</f>
        <v>50102010 01</v>
      </c>
      <c r="K1191" s="338" t="str">
        <f>IFERROR(VLOOKUP(I1191,'Chart of accounts'!A:H,3,FALSE),"")</f>
        <v>PERA - Civilian</v>
      </c>
      <c r="L1191" s="338" t="str">
        <f>IFERROR(VLOOKUP(I1191,'Chart of accounts'!A:H,4,FALSE),"")</f>
        <v>50102010 01 - PERA - Civilian (711)</v>
      </c>
      <c r="M1191" s="361">
        <v>2</v>
      </c>
      <c r="N1191" s="355" t="s">
        <v>789</v>
      </c>
      <c r="O1191" s="355" t="s">
        <v>1384</v>
      </c>
      <c r="P1191" s="355"/>
      <c r="Q1191" s="363">
        <v>4000</v>
      </c>
      <c r="R1191" s="319">
        <f t="shared" si="46"/>
        <v>-4000</v>
      </c>
      <c r="S1191" s="239" t="str">
        <f>VLOOKUP(H1191,'Fund Utilization Report'!$A$4:$U$1800,13,FALSE)</f>
        <v>PS</v>
      </c>
      <c r="T1191" s="239" t="str">
        <f>VLOOKUP(H1191,'Fund Utilization Report'!$A$4:$U$1800,2,FALSE)</f>
        <v>GAA</v>
      </c>
      <c r="U1191" s="239" t="str">
        <f>VLOOKUP(H1191,'Fund Utilization Report'!$A$4:$U$1800,3,FALSE)</f>
        <v>FY2021, RA11518</v>
      </c>
      <c r="V1191" s="239" t="str">
        <f>VLOOKUP(H1191,'Fund Utilization Report'!$A$4:$U$1800,4,FALSE)</f>
        <v>OO4.1(FTL)</v>
      </c>
      <c r="W1191" s="239" t="str">
        <f>VLOOKUP(H1191,'Fund Utilization Report'!$A$4:$U$1800,5,FALSE)</f>
        <v>01101101</v>
      </c>
      <c r="X1191" s="239" t="str">
        <f>VLOOKUP(H1191,'Fund Utilization Report'!$A$4:$U$1800,6,FALSE)</f>
        <v>GOP</v>
      </c>
      <c r="Y1191" s="440" t="str">
        <f>VLOOKUP(H1191,'Fund Utilization Report'!$A$4:$U$1800,7,FALSE)</f>
        <v>PS</v>
      </c>
      <c r="Z1191" s="441">
        <f>VLOOKUP(H1191,'Fund Utilization Report'!$A$4:$U$1800,8,FALSE)</f>
        <v>5010000000</v>
      </c>
      <c r="AA1191" s="239" t="str">
        <f>VLOOKUP(H1191,'Fund Utilization Report'!$A$4:$U$1800,14,FALSE)</f>
        <v>340100100002000</v>
      </c>
      <c r="AB1191" s="242" t="str">
        <f>VLOOKUP(H1191,'Fund Utilization Report'!$A$4:$U$1800,15,FALSE)</f>
        <v>Monitoring and Enforcement of FTL including consumer complaints handling</v>
      </c>
      <c r="AC1191" s="51"/>
      <c r="AD1191" s="435"/>
      <c r="AE1191" s="51"/>
      <c r="AF1191" s="51"/>
      <c r="AG1191" s="442"/>
      <c r="AH1191" s="442"/>
      <c r="AI1191" s="443"/>
    </row>
    <row r="1192" spans="1:35" s="32" customFormat="1" ht="27.6">
      <c r="A1192" s="434" t="s">
        <v>942</v>
      </c>
      <c r="B1192" s="457" t="s">
        <v>946</v>
      </c>
      <c r="C1192" s="233">
        <v>44266</v>
      </c>
      <c r="D1192" s="435" t="s">
        <v>1267</v>
      </c>
      <c r="E1192" s="436" t="s">
        <v>1414</v>
      </c>
      <c r="F1192" s="338">
        <v>0.36458333333333331</v>
      </c>
      <c r="G1192" s="338">
        <v>0.3666666666666667</v>
      </c>
      <c r="H1192" s="338" t="s">
        <v>975</v>
      </c>
      <c r="I1192" s="353">
        <v>731</v>
      </c>
      <c r="J1192" s="338" t="str">
        <f>IFERROR(VLOOKUP(I1192,'Chart of accounts'!A:H,2,FALSE),"")</f>
        <v>50103010 00</v>
      </c>
      <c r="K1192" s="338" t="str">
        <f>IFERROR(VLOOKUP(I1192,'Chart of accounts'!A:H,3,FALSE),"")</f>
        <v>Retirement and Life Insurance Premiums</v>
      </c>
      <c r="L1192" s="338" t="str">
        <f>IFERROR(VLOOKUP(I1192,'Chart of accounts'!A:H,4,FALSE),"")</f>
        <v>50103010 00 - Retirement and Life Insurance Premiums (731)</v>
      </c>
      <c r="M1192" s="361">
        <v>2</v>
      </c>
      <c r="N1192" s="355" t="s">
        <v>789</v>
      </c>
      <c r="O1192" s="355" t="s">
        <v>1384</v>
      </c>
      <c r="P1192" s="355"/>
      <c r="Q1192" s="363">
        <f>5302.08+5680.56</f>
        <v>10982.64</v>
      </c>
      <c r="R1192" s="319">
        <f t="shared" si="46"/>
        <v>-10982.64</v>
      </c>
      <c r="S1192" s="239" t="str">
        <f>VLOOKUP(H1192,'Fund Utilization Report'!$A$4:$U$1800,13,FALSE)</f>
        <v>PS</v>
      </c>
      <c r="T1192" s="239" t="str">
        <f>VLOOKUP(H1192,'Fund Utilization Report'!$A$4:$U$1800,2,FALSE)</f>
        <v>GAA</v>
      </c>
      <c r="U1192" s="239" t="str">
        <f>VLOOKUP(H1192,'Fund Utilization Report'!$A$4:$U$1800,3,FALSE)</f>
        <v>FY2021, RA11518</v>
      </c>
      <c r="V1192" s="239" t="str">
        <f>VLOOKUP(H1192,'Fund Utilization Report'!$A$4:$U$1800,4,FALSE)</f>
        <v>OO4.1(FTL)</v>
      </c>
      <c r="W1192" s="239" t="str">
        <f>VLOOKUP(H1192,'Fund Utilization Report'!$A$4:$U$1800,5,FALSE)</f>
        <v>01101101</v>
      </c>
      <c r="X1192" s="239" t="str">
        <f>VLOOKUP(H1192,'Fund Utilization Report'!$A$4:$U$1800,6,FALSE)</f>
        <v>GOP</v>
      </c>
      <c r="Y1192" s="440" t="str">
        <f>VLOOKUP(H1192,'Fund Utilization Report'!$A$4:$U$1800,7,FALSE)</f>
        <v>RLIP</v>
      </c>
      <c r="Z1192" s="441" t="str">
        <f>VLOOKUP(H1192,'Fund Utilization Report'!$A$4:$U$1800,8,FALSE)</f>
        <v>50103010-00</v>
      </c>
      <c r="AA1192" s="239" t="str">
        <f>VLOOKUP(H1192,'Fund Utilization Report'!$A$4:$U$1800,14,FALSE)</f>
        <v>340100100002000</v>
      </c>
      <c r="AB1192" s="242" t="str">
        <f>VLOOKUP(H1192,'Fund Utilization Report'!$A$4:$U$1800,15,FALSE)</f>
        <v>Monitoring and Enforcement of FTL including consumer complaints handling</v>
      </c>
      <c r="AC1192" s="51"/>
      <c r="AD1192" s="435"/>
      <c r="AE1192" s="51"/>
      <c r="AF1192" s="51"/>
      <c r="AG1192" s="442"/>
      <c r="AH1192" s="442"/>
      <c r="AI1192" s="443"/>
    </row>
    <row r="1193" spans="1:35" s="32" customFormat="1" ht="27.6">
      <c r="A1193" s="434" t="s">
        <v>942</v>
      </c>
      <c r="B1193" s="457" t="s">
        <v>946</v>
      </c>
      <c r="C1193" s="233">
        <v>44266</v>
      </c>
      <c r="D1193" s="435" t="s">
        <v>1267</v>
      </c>
      <c r="E1193" s="436" t="s">
        <v>1414</v>
      </c>
      <c r="F1193" s="338">
        <v>0.36458333333333331</v>
      </c>
      <c r="G1193" s="338">
        <v>0.3666666666666667</v>
      </c>
      <c r="H1193" s="338" t="s">
        <v>973</v>
      </c>
      <c r="I1193" s="353">
        <v>732</v>
      </c>
      <c r="J1193" s="338" t="str">
        <f>IFERROR(VLOOKUP(I1193,'Chart of accounts'!A:H,2,FALSE),"")</f>
        <v>50103020 01</v>
      </c>
      <c r="K1193" s="338" t="str">
        <f>IFERROR(VLOOKUP(I1193,'Chart of accounts'!A:H,3,FALSE),"")</f>
        <v>Pag-IBIG - Civilian</v>
      </c>
      <c r="L1193" s="338" t="str">
        <f>IFERROR(VLOOKUP(I1193,'Chart of accounts'!A:H,4,FALSE),"")</f>
        <v>50103020 01 - Pag-IBIG - Civilian (732)</v>
      </c>
      <c r="M1193" s="361">
        <v>2</v>
      </c>
      <c r="N1193" s="355" t="s">
        <v>789</v>
      </c>
      <c r="O1193" s="355" t="s">
        <v>1384</v>
      </c>
      <c r="P1193" s="355"/>
      <c r="Q1193" s="363">
        <v>200</v>
      </c>
      <c r="R1193" s="319">
        <f t="shared" si="46"/>
        <v>-200</v>
      </c>
      <c r="S1193" s="239" t="str">
        <f>VLOOKUP(H1193,'Fund Utilization Report'!$A$4:$U$1800,13,FALSE)</f>
        <v>PS</v>
      </c>
      <c r="T1193" s="239" t="str">
        <f>VLOOKUP(H1193,'Fund Utilization Report'!$A$4:$U$1800,2,FALSE)</f>
        <v>GAA</v>
      </c>
      <c r="U1193" s="239" t="str">
        <f>VLOOKUP(H1193,'Fund Utilization Report'!$A$4:$U$1800,3,FALSE)</f>
        <v>FY2021, RA11518</v>
      </c>
      <c r="V1193" s="239" t="str">
        <f>VLOOKUP(H1193,'Fund Utilization Report'!$A$4:$U$1800,4,FALSE)</f>
        <v>OO4.1(FTL)</v>
      </c>
      <c r="W1193" s="239" t="str">
        <f>VLOOKUP(H1193,'Fund Utilization Report'!$A$4:$U$1800,5,FALSE)</f>
        <v>01101101</v>
      </c>
      <c r="X1193" s="239" t="str">
        <f>VLOOKUP(H1193,'Fund Utilization Report'!$A$4:$U$1800,6,FALSE)</f>
        <v>GOP</v>
      </c>
      <c r="Y1193" s="440" t="str">
        <f>VLOOKUP(H1193,'Fund Utilization Report'!$A$4:$U$1800,7,FALSE)</f>
        <v>PS</v>
      </c>
      <c r="Z1193" s="441">
        <f>VLOOKUP(H1193,'Fund Utilization Report'!$A$4:$U$1800,8,FALSE)</f>
        <v>5010000000</v>
      </c>
      <c r="AA1193" s="239" t="str">
        <f>VLOOKUP(H1193,'Fund Utilization Report'!$A$4:$U$1800,14,FALSE)</f>
        <v>340100100002000</v>
      </c>
      <c r="AB1193" s="242" t="str">
        <f>VLOOKUP(H1193,'Fund Utilization Report'!$A$4:$U$1800,15,FALSE)</f>
        <v>Monitoring and Enforcement of FTL including consumer complaints handling</v>
      </c>
      <c r="AC1193" s="51"/>
      <c r="AD1193" s="435"/>
      <c r="AE1193" s="51"/>
      <c r="AF1193" s="51"/>
      <c r="AG1193" s="442"/>
      <c r="AH1193" s="442"/>
      <c r="AI1193" s="443"/>
    </row>
    <row r="1194" spans="1:35" s="32" customFormat="1" ht="27.6">
      <c r="A1194" s="434" t="s">
        <v>942</v>
      </c>
      <c r="B1194" s="457" t="s">
        <v>946</v>
      </c>
      <c r="C1194" s="233">
        <v>44266</v>
      </c>
      <c r="D1194" s="435" t="s">
        <v>1267</v>
      </c>
      <c r="E1194" s="436" t="s">
        <v>1414</v>
      </c>
      <c r="F1194" s="338">
        <v>0.36458333333333331</v>
      </c>
      <c r="G1194" s="338">
        <v>0.3666666666666667</v>
      </c>
      <c r="H1194" s="338" t="s">
        <v>973</v>
      </c>
      <c r="I1194" s="353">
        <v>733</v>
      </c>
      <c r="J1194" s="338" t="str">
        <f>IFERROR(VLOOKUP(I1194,'Chart of accounts'!A:H,2,FALSE),"")</f>
        <v>50103030 01</v>
      </c>
      <c r="K1194" s="338" t="str">
        <f>IFERROR(VLOOKUP(I1194,'Chart of accounts'!A:H,3,FALSE),"")</f>
        <v>PhilHealth - Civilian</v>
      </c>
      <c r="L1194" s="338" t="str">
        <f>IFERROR(VLOOKUP(I1194,'Chart of accounts'!A:H,4,FALSE),"")</f>
        <v>50103030 01 - PhilHealth - Civilian (733)</v>
      </c>
      <c r="M1194" s="361">
        <v>2</v>
      </c>
      <c r="N1194" s="355" t="s">
        <v>789</v>
      </c>
      <c r="O1194" s="355" t="s">
        <v>1384</v>
      </c>
      <c r="P1194" s="355"/>
      <c r="Q1194" s="363">
        <f>662.76+710.07</f>
        <v>1372.83</v>
      </c>
      <c r="R1194" s="319">
        <f t="shared" si="46"/>
        <v>-1372.83</v>
      </c>
      <c r="S1194" s="239" t="str">
        <f>VLOOKUP(H1194,'Fund Utilization Report'!$A$4:$U$1800,13,FALSE)</f>
        <v>PS</v>
      </c>
      <c r="T1194" s="239" t="str">
        <f>VLOOKUP(H1194,'Fund Utilization Report'!$A$4:$U$1800,2,FALSE)</f>
        <v>GAA</v>
      </c>
      <c r="U1194" s="239" t="str">
        <f>VLOOKUP(H1194,'Fund Utilization Report'!$A$4:$U$1800,3,FALSE)</f>
        <v>FY2021, RA11518</v>
      </c>
      <c r="V1194" s="239" t="str">
        <f>VLOOKUP(H1194,'Fund Utilization Report'!$A$4:$U$1800,4,FALSE)</f>
        <v>OO4.1(FTL)</v>
      </c>
      <c r="W1194" s="239" t="str">
        <f>VLOOKUP(H1194,'Fund Utilization Report'!$A$4:$U$1800,5,FALSE)</f>
        <v>01101101</v>
      </c>
      <c r="X1194" s="239" t="str">
        <f>VLOOKUP(H1194,'Fund Utilization Report'!$A$4:$U$1800,6,FALSE)</f>
        <v>GOP</v>
      </c>
      <c r="Y1194" s="440" t="str">
        <f>VLOOKUP(H1194,'Fund Utilization Report'!$A$4:$U$1800,7,FALSE)</f>
        <v>PS</v>
      </c>
      <c r="Z1194" s="441">
        <f>VLOOKUP(H1194,'Fund Utilization Report'!$A$4:$U$1800,8,FALSE)</f>
        <v>5010000000</v>
      </c>
      <c r="AA1194" s="239" t="str">
        <f>VLOOKUP(H1194,'Fund Utilization Report'!$A$4:$U$1800,14,FALSE)</f>
        <v>340100100002000</v>
      </c>
      <c r="AB1194" s="242" t="str">
        <f>VLOOKUP(H1194,'Fund Utilization Report'!$A$4:$U$1800,15,FALSE)</f>
        <v>Monitoring and Enforcement of FTL including consumer complaints handling</v>
      </c>
      <c r="AC1194" s="51"/>
      <c r="AD1194" s="435"/>
      <c r="AE1194" s="51"/>
      <c r="AF1194" s="51"/>
      <c r="AG1194" s="442"/>
      <c r="AH1194" s="442"/>
      <c r="AI1194" s="443"/>
    </row>
    <row r="1195" spans="1:35" s="32" customFormat="1" ht="27.6">
      <c r="A1195" s="434" t="s">
        <v>942</v>
      </c>
      <c r="B1195" s="457" t="s">
        <v>946</v>
      </c>
      <c r="C1195" s="233">
        <v>44266</v>
      </c>
      <c r="D1195" s="435" t="s">
        <v>1267</v>
      </c>
      <c r="E1195" s="436" t="s">
        <v>1414</v>
      </c>
      <c r="F1195" s="338">
        <v>0.36458333333333331</v>
      </c>
      <c r="G1195" s="338">
        <v>0.3666666666666667</v>
      </c>
      <c r="H1195" s="338" t="s">
        <v>973</v>
      </c>
      <c r="I1195" s="353">
        <v>734</v>
      </c>
      <c r="J1195" s="338" t="str">
        <f>IFERROR(VLOOKUP(I1195,'Chart of accounts'!A:H,2,FALSE),"")</f>
        <v>50103040 01</v>
      </c>
      <c r="K1195" s="338" t="str">
        <f>IFERROR(VLOOKUP(I1195,'Chart of accounts'!A:H,3,FALSE),"")</f>
        <v>ECIP - Civilian</v>
      </c>
      <c r="L1195" s="338" t="str">
        <f>IFERROR(VLOOKUP(I1195,'Chart of accounts'!A:H,4,FALSE),"")</f>
        <v>50103040 01 - ECIP - Civilian (734)</v>
      </c>
      <c r="M1195" s="361">
        <v>2</v>
      </c>
      <c r="N1195" s="355" t="s">
        <v>789</v>
      </c>
      <c r="O1195" s="355" t="s">
        <v>1384</v>
      </c>
      <c r="P1195" s="355"/>
      <c r="Q1195" s="363">
        <v>200</v>
      </c>
      <c r="R1195" s="319">
        <f t="shared" si="46"/>
        <v>-200</v>
      </c>
      <c r="S1195" s="239" t="str">
        <f>VLOOKUP(H1195,'Fund Utilization Report'!$A$4:$U$1800,13,FALSE)</f>
        <v>PS</v>
      </c>
      <c r="T1195" s="239" t="str">
        <f>VLOOKUP(H1195,'Fund Utilization Report'!$A$4:$U$1800,2,FALSE)</f>
        <v>GAA</v>
      </c>
      <c r="U1195" s="239" t="str">
        <f>VLOOKUP(H1195,'Fund Utilization Report'!$A$4:$U$1800,3,FALSE)</f>
        <v>FY2021, RA11518</v>
      </c>
      <c r="V1195" s="239" t="str">
        <f>VLOOKUP(H1195,'Fund Utilization Report'!$A$4:$U$1800,4,FALSE)</f>
        <v>OO4.1(FTL)</v>
      </c>
      <c r="W1195" s="239" t="str">
        <f>VLOOKUP(H1195,'Fund Utilization Report'!$A$4:$U$1800,5,FALSE)</f>
        <v>01101101</v>
      </c>
      <c r="X1195" s="239" t="str">
        <f>VLOOKUP(H1195,'Fund Utilization Report'!$A$4:$U$1800,6,FALSE)</f>
        <v>GOP</v>
      </c>
      <c r="Y1195" s="440" t="str">
        <f>VLOOKUP(H1195,'Fund Utilization Report'!$A$4:$U$1800,7,FALSE)</f>
        <v>PS</v>
      </c>
      <c r="Z1195" s="441">
        <f>VLOOKUP(H1195,'Fund Utilization Report'!$A$4:$U$1800,8,FALSE)</f>
        <v>5010000000</v>
      </c>
      <c r="AA1195" s="239" t="str">
        <f>VLOOKUP(H1195,'Fund Utilization Report'!$A$4:$U$1800,14,FALSE)</f>
        <v>340100100002000</v>
      </c>
      <c r="AB1195" s="242" t="str">
        <f>VLOOKUP(H1195,'Fund Utilization Report'!$A$4:$U$1800,15,FALSE)</f>
        <v>Monitoring and Enforcement of FTL including consumer complaints handling</v>
      </c>
      <c r="AC1195" s="51"/>
      <c r="AD1195" s="435"/>
      <c r="AE1195" s="51"/>
      <c r="AF1195" s="51"/>
      <c r="AG1195" s="442"/>
      <c r="AH1195" s="442"/>
      <c r="AI1195" s="443"/>
    </row>
    <row r="1196" spans="1:35" s="32" customFormat="1" ht="27.6">
      <c r="A1196" s="434" t="s">
        <v>942</v>
      </c>
      <c r="B1196" s="457" t="s">
        <v>946</v>
      </c>
      <c r="C1196" s="233">
        <v>44266</v>
      </c>
      <c r="D1196" s="435" t="s">
        <v>1267</v>
      </c>
      <c r="E1196" s="436" t="s">
        <v>1414</v>
      </c>
      <c r="F1196" s="338">
        <v>0.36458333333333331</v>
      </c>
      <c r="G1196" s="338">
        <v>0.3666666666666667</v>
      </c>
      <c r="H1196" s="338" t="s">
        <v>976</v>
      </c>
      <c r="I1196" s="353">
        <v>701</v>
      </c>
      <c r="J1196" s="338" t="str">
        <f>IFERROR(VLOOKUP(I1196,'Chart of accounts'!A:H,2,FALSE),"")</f>
        <v>50101010 01</v>
      </c>
      <c r="K1196" s="338" t="str">
        <f>IFERROR(VLOOKUP(I1196,'Chart of accounts'!A:H,3,FALSE),"")</f>
        <v>Basic Salary - Civilian</v>
      </c>
      <c r="L1196" s="338" t="str">
        <f>IFERROR(VLOOKUP(I1196,'Chart of accounts'!A:H,4,FALSE),"")</f>
        <v>50101010 01 - Basic Salary - Civilian (701)</v>
      </c>
      <c r="M1196" s="361">
        <v>2</v>
      </c>
      <c r="N1196" s="355" t="s">
        <v>789</v>
      </c>
      <c r="O1196" s="355" t="s">
        <v>1384</v>
      </c>
      <c r="P1196" s="355"/>
      <c r="Q1196" s="363">
        <v>43681</v>
      </c>
      <c r="R1196" s="319">
        <f t="shared" si="46"/>
        <v>-43681</v>
      </c>
      <c r="S1196" s="239" t="str">
        <f>VLOOKUP(H1196,'Fund Utilization Report'!$A$4:$U$1800,13,FALSE)</f>
        <v>PS</v>
      </c>
      <c r="T1196" s="239" t="str">
        <f>VLOOKUP(H1196,'Fund Utilization Report'!$A$4:$U$1800,2,FALSE)</f>
        <v>GAA</v>
      </c>
      <c r="U1196" s="239" t="str">
        <f>VLOOKUP(H1196,'Fund Utilization Report'!$A$4:$U$1800,3,FALSE)</f>
        <v>FY2021, RA11518</v>
      </c>
      <c r="V1196" s="239" t="str">
        <f>VLOOKUP(H1196,'Fund Utilization Report'!$A$4:$U$1800,4,FALSE)</f>
        <v>OO4.1(Acc)</v>
      </c>
      <c r="W1196" s="239" t="str">
        <f>VLOOKUP(H1196,'Fund Utilization Report'!$A$4:$U$1800,5,FALSE)</f>
        <v>01101101</v>
      </c>
      <c r="X1196" s="239" t="str">
        <f>VLOOKUP(H1196,'Fund Utilization Report'!$A$4:$U$1800,6,FALSE)</f>
        <v>GOP</v>
      </c>
      <c r="Y1196" s="440" t="str">
        <f>VLOOKUP(H1196,'Fund Utilization Report'!$A$4:$U$1800,7,FALSE)</f>
        <v>PS</v>
      </c>
      <c r="Z1196" s="441">
        <f>VLOOKUP(H1196,'Fund Utilization Report'!$A$4:$U$1800,8,FALSE)</f>
        <v>5010000000</v>
      </c>
      <c r="AA1196" s="239" t="str">
        <f>VLOOKUP(H1196,'Fund Utilization Report'!$A$4:$U$1800,14,FALSE)</f>
        <v>340100100003000</v>
      </c>
      <c r="AB1196" s="242" t="str">
        <f>VLOOKUP(H1196,'Fund Utilization Report'!$A$4:$U$1800,15,FALSE)</f>
        <v>Accreditation and Issuance of Business Licenses, Permits, registration and authorities</v>
      </c>
      <c r="AC1196" s="51"/>
      <c r="AD1196" s="435"/>
      <c r="AE1196" s="51"/>
      <c r="AF1196" s="51"/>
      <c r="AG1196" s="442"/>
      <c r="AH1196" s="442"/>
      <c r="AI1196" s="443"/>
    </row>
    <row r="1197" spans="1:35" s="32" customFormat="1" ht="27.6">
      <c r="A1197" s="434" t="s">
        <v>942</v>
      </c>
      <c r="B1197" s="457" t="s">
        <v>946</v>
      </c>
      <c r="C1197" s="233">
        <v>44266</v>
      </c>
      <c r="D1197" s="435" t="s">
        <v>1267</v>
      </c>
      <c r="E1197" s="436" t="s">
        <v>1414</v>
      </c>
      <c r="F1197" s="338">
        <v>0.36458333333333331</v>
      </c>
      <c r="G1197" s="338">
        <v>0.3666666666666667</v>
      </c>
      <c r="H1197" s="338" t="s">
        <v>976</v>
      </c>
      <c r="I1197" s="353">
        <v>711</v>
      </c>
      <c r="J1197" s="338" t="str">
        <f>IFERROR(VLOOKUP(I1197,'Chart of accounts'!A:H,2,FALSE),"")</f>
        <v>50102010 01</v>
      </c>
      <c r="K1197" s="338" t="str">
        <f>IFERROR(VLOOKUP(I1197,'Chart of accounts'!A:H,3,FALSE),"")</f>
        <v>PERA - Civilian</v>
      </c>
      <c r="L1197" s="338" t="str">
        <f>IFERROR(VLOOKUP(I1197,'Chart of accounts'!A:H,4,FALSE),"")</f>
        <v>50102010 01 - PERA - Civilian (711)</v>
      </c>
      <c r="M1197" s="361">
        <v>2</v>
      </c>
      <c r="N1197" s="355" t="s">
        <v>789</v>
      </c>
      <c r="O1197" s="355" t="s">
        <v>1384</v>
      </c>
      <c r="P1197" s="355"/>
      <c r="Q1197" s="363">
        <v>2000</v>
      </c>
      <c r="R1197" s="319">
        <f t="shared" si="46"/>
        <v>-2000</v>
      </c>
      <c r="S1197" s="239" t="str">
        <f>VLOOKUP(H1197,'Fund Utilization Report'!$A$4:$U$1800,13,FALSE)</f>
        <v>PS</v>
      </c>
      <c r="T1197" s="239" t="str">
        <f>VLOOKUP(H1197,'Fund Utilization Report'!$A$4:$U$1800,2,FALSE)</f>
        <v>GAA</v>
      </c>
      <c r="U1197" s="239" t="str">
        <f>VLOOKUP(H1197,'Fund Utilization Report'!$A$4:$U$1800,3,FALSE)</f>
        <v>FY2021, RA11518</v>
      </c>
      <c r="V1197" s="239" t="str">
        <f>VLOOKUP(H1197,'Fund Utilization Report'!$A$4:$U$1800,4,FALSE)</f>
        <v>OO4.1(Acc)</v>
      </c>
      <c r="W1197" s="239" t="str">
        <f>VLOOKUP(H1197,'Fund Utilization Report'!$A$4:$U$1800,5,FALSE)</f>
        <v>01101101</v>
      </c>
      <c r="X1197" s="239" t="str">
        <f>VLOOKUP(H1197,'Fund Utilization Report'!$A$4:$U$1800,6,FALSE)</f>
        <v>GOP</v>
      </c>
      <c r="Y1197" s="440" t="str">
        <f>VLOOKUP(H1197,'Fund Utilization Report'!$A$4:$U$1800,7,FALSE)</f>
        <v>PS</v>
      </c>
      <c r="Z1197" s="441">
        <f>VLOOKUP(H1197,'Fund Utilization Report'!$A$4:$U$1800,8,FALSE)</f>
        <v>5010000000</v>
      </c>
      <c r="AA1197" s="239" t="str">
        <f>VLOOKUP(H1197,'Fund Utilization Report'!$A$4:$U$1800,14,FALSE)</f>
        <v>340100100003000</v>
      </c>
      <c r="AB1197" s="242" t="str">
        <f>VLOOKUP(H1197,'Fund Utilization Report'!$A$4:$U$1800,15,FALSE)</f>
        <v>Accreditation and Issuance of Business Licenses, Permits, registration and authorities</v>
      </c>
      <c r="AC1197" s="51"/>
      <c r="AD1197" s="435"/>
      <c r="AE1197" s="51"/>
      <c r="AF1197" s="51"/>
      <c r="AG1197" s="442"/>
      <c r="AH1197" s="442"/>
      <c r="AI1197" s="443"/>
    </row>
    <row r="1198" spans="1:35" s="32" customFormat="1" ht="27.6">
      <c r="A1198" s="434" t="s">
        <v>942</v>
      </c>
      <c r="B1198" s="457" t="s">
        <v>946</v>
      </c>
      <c r="C1198" s="233">
        <v>44266</v>
      </c>
      <c r="D1198" s="435" t="s">
        <v>1267</v>
      </c>
      <c r="E1198" s="436" t="s">
        <v>1414</v>
      </c>
      <c r="F1198" s="338">
        <v>0.36458333333333331</v>
      </c>
      <c r="G1198" s="338">
        <v>0.3666666666666667</v>
      </c>
      <c r="H1198" s="338" t="s">
        <v>978</v>
      </c>
      <c r="I1198" s="353">
        <v>731</v>
      </c>
      <c r="J1198" s="338" t="str">
        <f>IFERROR(VLOOKUP(I1198,'Chart of accounts'!A:H,2,FALSE),"")</f>
        <v>50103010 00</v>
      </c>
      <c r="K1198" s="338" t="str">
        <f>IFERROR(VLOOKUP(I1198,'Chart of accounts'!A:H,3,FALSE),"")</f>
        <v>Retirement and Life Insurance Premiums</v>
      </c>
      <c r="L1198" s="338" t="str">
        <f>IFERROR(VLOOKUP(I1198,'Chart of accounts'!A:H,4,FALSE),"")</f>
        <v>50103010 00 - Retirement and Life Insurance Premiums (731)</v>
      </c>
      <c r="M1198" s="361">
        <v>2</v>
      </c>
      <c r="N1198" s="355" t="s">
        <v>789</v>
      </c>
      <c r="O1198" s="355" t="s">
        <v>1384</v>
      </c>
      <c r="P1198" s="355"/>
      <c r="Q1198" s="363">
        <v>5241.72</v>
      </c>
      <c r="R1198" s="319">
        <f t="shared" si="46"/>
        <v>-5241.72</v>
      </c>
      <c r="S1198" s="239" t="str">
        <f>VLOOKUP(H1198,'Fund Utilization Report'!$A$4:$U$1800,13,FALSE)</f>
        <v>PS</v>
      </c>
      <c r="T1198" s="239" t="str">
        <f>VLOOKUP(H1198,'Fund Utilization Report'!$A$4:$U$1800,2,FALSE)</f>
        <v>GAA</v>
      </c>
      <c r="U1198" s="239" t="str">
        <f>VLOOKUP(H1198,'Fund Utilization Report'!$A$4:$U$1800,3,FALSE)</f>
        <v>FY2021, RA11518</v>
      </c>
      <c r="V1198" s="239" t="str">
        <f>VLOOKUP(H1198,'Fund Utilization Report'!$A$4:$U$1800,4,FALSE)</f>
        <v>OO4.1(Acc)</v>
      </c>
      <c r="W1198" s="239" t="str">
        <f>VLOOKUP(H1198,'Fund Utilization Report'!$A$4:$U$1800,5,FALSE)</f>
        <v>01101101</v>
      </c>
      <c r="X1198" s="239" t="str">
        <f>VLOOKUP(H1198,'Fund Utilization Report'!$A$4:$U$1800,6,FALSE)</f>
        <v>GOP</v>
      </c>
      <c r="Y1198" s="440" t="str">
        <f>VLOOKUP(H1198,'Fund Utilization Report'!$A$4:$U$1800,7,FALSE)</f>
        <v>RLIP</v>
      </c>
      <c r="Z1198" s="441" t="str">
        <f>VLOOKUP(H1198,'Fund Utilization Report'!$A$4:$U$1800,8,FALSE)</f>
        <v>50103010-00</v>
      </c>
      <c r="AA1198" s="239" t="str">
        <f>VLOOKUP(H1198,'Fund Utilization Report'!$A$4:$U$1800,14,FALSE)</f>
        <v>340100100003000</v>
      </c>
      <c r="AB1198" s="242" t="str">
        <f>VLOOKUP(H1198,'Fund Utilization Report'!$A$4:$U$1800,15,FALSE)</f>
        <v>Accreditation and Issuance of Business Licenses, Permits, registration and authorities</v>
      </c>
      <c r="AC1198" s="51"/>
      <c r="AD1198" s="435"/>
      <c r="AE1198" s="51"/>
      <c r="AF1198" s="51"/>
      <c r="AG1198" s="442"/>
      <c r="AH1198" s="442"/>
      <c r="AI1198" s="443"/>
    </row>
    <row r="1199" spans="1:35" s="32" customFormat="1" ht="27.6">
      <c r="A1199" s="434" t="s">
        <v>942</v>
      </c>
      <c r="B1199" s="457" t="s">
        <v>946</v>
      </c>
      <c r="C1199" s="233">
        <v>44266</v>
      </c>
      <c r="D1199" s="435" t="s">
        <v>1267</v>
      </c>
      <c r="E1199" s="436" t="s">
        <v>1414</v>
      </c>
      <c r="F1199" s="338">
        <v>0.36458333333333331</v>
      </c>
      <c r="G1199" s="338">
        <v>0.3666666666666667</v>
      </c>
      <c r="H1199" s="338" t="s">
        <v>976</v>
      </c>
      <c r="I1199" s="353">
        <v>732</v>
      </c>
      <c r="J1199" s="338" t="str">
        <f>IFERROR(VLOOKUP(I1199,'Chart of accounts'!A:H,2,FALSE),"")</f>
        <v>50103020 01</v>
      </c>
      <c r="K1199" s="338" t="str">
        <f>IFERROR(VLOOKUP(I1199,'Chart of accounts'!A:H,3,FALSE),"")</f>
        <v>Pag-IBIG - Civilian</v>
      </c>
      <c r="L1199" s="338" t="str">
        <f>IFERROR(VLOOKUP(I1199,'Chart of accounts'!A:H,4,FALSE),"")</f>
        <v>50103020 01 - Pag-IBIG - Civilian (732)</v>
      </c>
      <c r="M1199" s="361">
        <v>2</v>
      </c>
      <c r="N1199" s="355" t="s">
        <v>789</v>
      </c>
      <c r="O1199" s="355" t="s">
        <v>1384</v>
      </c>
      <c r="P1199" s="355"/>
      <c r="Q1199" s="363">
        <v>100</v>
      </c>
      <c r="R1199" s="319">
        <f t="shared" si="46"/>
        <v>-100</v>
      </c>
      <c r="S1199" s="239" t="str">
        <f>VLOOKUP(H1199,'Fund Utilization Report'!$A$4:$U$1800,13,FALSE)</f>
        <v>PS</v>
      </c>
      <c r="T1199" s="239" t="str">
        <f>VLOOKUP(H1199,'Fund Utilization Report'!$A$4:$U$1800,2,FALSE)</f>
        <v>GAA</v>
      </c>
      <c r="U1199" s="239" t="str">
        <f>VLOOKUP(H1199,'Fund Utilization Report'!$A$4:$U$1800,3,FALSE)</f>
        <v>FY2021, RA11518</v>
      </c>
      <c r="V1199" s="239" t="str">
        <f>VLOOKUP(H1199,'Fund Utilization Report'!$A$4:$U$1800,4,FALSE)</f>
        <v>OO4.1(Acc)</v>
      </c>
      <c r="W1199" s="239" t="str">
        <f>VLOOKUP(H1199,'Fund Utilization Report'!$A$4:$U$1800,5,FALSE)</f>
        <v>01101101</v>
      </c>
      <c r="X1199" s="239" t="str">
        <f>VLOOKUP(H1199,'Fund Utilization Report'!$A$4:$U$1800,6,FALSE)</f>
        <v>GOP</v>
      </c>
      <c r="Y1199" s="440" t="str">
        <f>VLOOKUP(H1199,'Fund Utilization Report'!$A$4:$U$1800,7,FALSE)</f>
        <v>PS</v>
      </c>
      <c r="Z1199" s="441">
        <f>VLOOKUP(H1199,'Fund Utilization Report'!$A$4:$U$1800,8,FALSE)</f>
        <v>5010000000</v>
      </c>
      <c r="AA1199" s="239" t="str">
        <f>VLOOKUP(H1199,'Fund Utilization Report'!$A$4:$U$1800,14,FALSE)</f>
        <v>340100100003000</v>
      </c>
      <c r="AB1199" s="242" t="str">
        <f>VLOOKUP(H1199,'Fund Utilization Report'!$A$4:$U$1800,15,FALSE)</f>
        <v>Accreditation and Issuance of Business Licenses, Permits, registration and authorities</v>
      </c>
      <c r="AC1199" s="51"/>
      <c r="AD1199" s="435"/>
      <c r="AE1199" s="51"/>
      <c r="AF1199" s="51"/>
      <c r="AG1199" s="442"/>
      <c r="AH1199" s="442"/>
      <c r="AI1199" s="443"/>
    </row>
    <row r="1200" spans="1:35" s="32" customFormat="1" ht="27.6">
      <c r="A1200" s="434" t="s">
        <v>942</v>
      </c>
      <c r="B1200" s="457" t="s">
        <v>946</v>
      </c>
      <c r="C1200" s="233">
        <v>44266</v>
      </c>
      <c r="D1200" s="435" t="s">
        <v>1267</v>
      </c>
      <c r="E1200" s="436" t="s">
        <v>1414</v>
      </c>
      <c r="F1200" s="338">
        <v>0.36458333333333331</v>
      </c>
      <c r="G1200" s="338">
        <v>0.3666666666666667</v>
      </c>
      <c r="H1200" s="338" t="s">
        <v>976</v>
      </c>
      <c r="I1200" s="353">
        <v>733</v>
      </c>
      <c r="J1200" s="338" t="str">
        <f>IFERROR(VLOOKUP(I1200,'Chart of accounts'!A:H,2,FALSE),"")</f>
        <v>50103030 01</v>
      </c>
      <c r="K1200" s="338" t="str">
        <f>IFERROR(VLOOKUP(I1200,'Chart of accounts'!A:H,3,FALSE),"")</f>
        <v>PhilHealth - Civilian</v>
      </c>
      <c r="L1200" s="338" t="str">
        <f>IFERROR(VLOOKUP(I1200,'Chart of accounts'!A:H,4,FALSE),"")</f>
        <v>50103030 01 - PhilHealth - Civilian (733)</v>
      </c>
      <c r="M1200" s="361">
        <v>2</v>
      </c>
      <c r="N1200" s="355" t="s">
        <v>789</v>
      </c>
      <c r="O1200" s="355" t="s">
        <v>1384</v>
      </c>
      <c r="P1200" s="355"/>
      <c r="Q1200" s="363">
        <v>655.22</v>
      </c>
      <c r="R1200" s="319">
        <f t="shared" si="46"/>
        <v>-655.22</v>
      </c>
      <c r="S1200" s="239" t="str">
        <f>VLOOKUP(H1200,'Fund Utilization Report'!$A$4:$U$1800,13,FALSE)</f>
        <v>PS</v>
      </c>
      <c r="T1200" s="239" t="str">
        <f>VLOOKUP(H1200,'Fund Utilization Report'!$A$4:$U$1800,2,FALSE)</f>
        <v>GAA</v>
      </c>
      <c r="U1200" s="239" t="str">
        <f>VLOOKUP(H1200,'Fund Utilization Report'!$A$4:$U$1800,3,FALSE)</f>
        <v>FY2021, RA11518</v>
      </c>
      <c r="V1200" s="239" t="str">
        <f>VLOOKUP(H1200,'Fund Utilization Report'!$A$4:$U$1800,4,FALSE)</f>
        <v>OO4.1(Acc)</v>
      </c>
      <c r="W1200" s="239" t="str">
        <f>VLOOKUP(H1200,'Fund Utilization Report'!$A$4:$U$1800,5,FALSE)</f>
        <v>01101101</v>
      </c>
      <c r="X1200" s="239" t="str">
        <f>VLOOKUP(H1200,'Fund Utilization Report'!$A$4:$U$1800,6,FALSE)</f>
        <v>GOP</v>
      </c>
      <c r="Y1200" s="440" t="str">
        <f>VLOOKUP(H1200,'Fund Utilization Report'!$A$4:$U$1800,7,FALSE)</f>
        <v>PS</v>
      </c>
      <c r="Z1200" s="441">
        <f>VLOOKUP(H1200,'Fund Utilization Report'!$A$4:$U$1800,8,FALSE)</f>
        <v>5010000000</v>
      </c>
      <c r="AA1200" s="239" t="str">
        <f>VLOOKUP(H1200,'Fund Utilization Report'!$A$4:$U$1800,14,FALSE)</f>
        <v>340100100003000</v>
      </c>
      <c r="AB1200" s="242" t="str">
        <f>VLOOKUP(H1200,'Fund Utilization Report'!$A$4:$U$1800,15,FALSE)</f>
        <v>Accreditation and Issuance of Business Licenses, Permits, registration and authorities</v>
      </c>
      <c r="AC1200" s="51"/>
      <c r="AD1200" s="435"/>
      <c r="AE1200" s="51"/>
      <c r="AF1200" s="51"/>
      <c r="AG1200" s="442"/>
      <c r="AH1200" s="442"/>
      <c r="AI1200" s="443"/>
    </row>
    <row r="1201" spans="1:35" s="32" customFormat="1" ht="27.6">
      <c r="A1201" s="434" t="s">
        <v>942</v>
      </c>
      <c r="B1201" s="457" t="s">
        <v>946</v>
      </c>
      <c r="C1201" s="233">
        <v>44266</v>
      </c>
      <c r="D1201" s="435" t="s">
        <v>1267</v>
      </c>
      <c r="E1201" s="436" t="s">
        <v>1414</v>
      </c>
      <c r="F1201" s="338">
        <v>0.36458333333333331</v>
      </c>
      <c r="G1201" s="338">
        <v>0.3666666666666667</v>
      </c>
      <c r="H1201" s="338" t="s">
        <v>976</v>
      </c>
      <c r="I1201" s="353">
        <v>734</v>
      </c>
      <c r="J1201" s="338" t="str">
        <f>IFERROR(VLOOKUP(I1201,'Chart of accounts'!A:H,2,FALSE),"")</f>
        <v>50103040 01</v>
      </c>
      <c r="K1201" s="338" t="str">
        <f>IFERROR(VLOOKUP(I1201,'Chart of accounts'!A:H,3,FALSE),"")</f>
        <v>ECIP - Civilian</v>
      </c>
      <c r="L1201" s="338" t="str">
        <f>IFERROR(VLOOKUP(I1201,'Chart of accounts'!A:H,4,FALSE),"")</f>
        <v>50103040 01 - ECIP - Civilian (734)</v>
      </c>
      <c r="M1201" s="361">
        <v>2</v>
      </c>
      <c r="N1201" s="355" t="s">
        <v>789</v>
      </c>
      <c r="O1201" s="355" t="s">
        <v>1384</v>
      </c>
      <c r="P1201" s="355"/>
      <c r="Q1201" s="363">
        <v>100</v>
      </c>
      <c r="R1201" s="319">
        <f t="shared" si="46"/>
        <v>-100</v>
      </c>
      <c r="S1201" s="239" t="str">
        <f>VLOOKUP(H1201,'Fund Utilization Report'!$A$4:$U$1800,13,FALSE)</f>
        <v>PS</v>
      </c>
      <c r="T1201" s="239" t="str">
        <f>VLOOKUP(H1201,'Fund Utilization Report'!$A$4:$U$1800,2,FALSE)</f>
        <v>GAA</v>
      </c>
      <c r="U1201" s="239" t="str">
        <f>VLOOKUP(H1201,'Fund Utilization Report'!$A$4:$U$1800,3,FALSE)</f>
        <v>FY2021, RA11518</v>
      </c>
      <c r="V1201" s="239" t="str">
        <f>VLOOKUP(H1201,'Fund Utilization Report'!$A$4:$U$1800,4,FALSE)</f>
        <v>OO4.1(Acc)</v>
      </c>
      <c r="W1201" s="239" t="str">
        <f>VLOOKUP(H1201,'Fund Utilization Report'!$A$4:$U$1800,5,FALSE)</f>
        <v>01101101</v>
      </c>
      <c r="X1201" s="239" t="str">
        <f>VLOOKUP(H1201,'Fund Utilization Report'!$A$4:$U$1800,6,FALSE)</f>
        <v>GOP</v>
      </c>
      <c r="Y1201" s="440" t="str">
        <f>VLOOKUP(H1201,'Fund Utilization Report'!$A$4:$U$1800,7,FALSE)</f>
        <v>PS</v>
      </c>
      <c r="Z1201" s="441">
        <f>VLOOKUP(H1201,'Fund Utilization Report'!$A$4:$U$1800,8,FALSE)</f>
        <v>5010000000</v>
      </c>
      <c r="AA1201" s="239" t="str">
        <f>VLOOKUP(H1201,'Fund Utilization Report'!$A$4:$U$1800,14,FALSE)</f>
        <v>340100100003000</v>
      </c>
      <c r="AB1201" s="242" t="str">
        <f>VLOOKUP(H1201,'Fund Utilization Report'!$A$4:$U$1800,15,FALSE)</f>
        <v>Accreditation and Issuance of Business Licenses, Permits, registration and authorities</v>
      </c>
      <c r="AC1201" s="51"/>
      <c r="AD1201" s="435"/>
      <c r="AE1201" s="51"/>
      <c r="AF1201" s="51"/>
      <c r="AG1201" s="442"/>
      <c r="AH1201" s="442"/>
      <c r="AI1201" s="443"/>
    </row>
    <row r="1202" spans="1:35" s="411" customFormat="1" ht="27.75" customHeight="1">
      <c r="A1202" s="405" t="s">
        <v>942</v>
      </c>
      <c r="B1202" s="488" t="s">
        <v>946</v>
      </c>
      <c r="C1202" s="402">
        <v>44266</v>
      </c>
      <c r="D1202" s="403" t="s">
        <v>1267</v>
      </c>
      <c r="E1202" s="404" t="s">
        <v>1415</v>
      </c>
      <c r="F1202" s="405">
        <v>0.6020833333333333</v>
      </c>
      <c r="G1202" s="405">
        <v>0.60416666666666663</v>
      </c>
      <c r="H1202" s="405" t="s">
        <v>961</v>
      </c>
      <c r="I1202" s="416">
        <v>783</v>
      </c>
      <c r="J1202" s="405" t="str">
        <f>IFERROR(VLOOKUP(I1202,'Chart of accounts'!A:H,2,FALSE),"")</f>
        <v>50299030 00</v>
      </c>
      <c r="K1202" s="405" t="str">
        <f>IFERROR(VLOOKUP(I1202,'Chart of accounts'!A:H,3,FALSE),"")</f>
        <v>Representation Expenses</v>
      </c>
      <c r="L1202" s="405" t="str">
        <f>IFERROR(VLOOKUP(I1202,'Chart of accounts'!A:H,4,FALSE),"")</f>
        <v>50299030 00 - Representation Expenses (783)</v>
      </c>
      <c r="M1202" s="408" t="s">
        <v>812</v>
      </c>
      <c r="N1202" s="409" t="s">
        <v>822</v>
      </c>
      <c r="O1202" s="409" t="s">
        <v>1416</v>
      </c>
      <c r="P1202" s="409"/>
      <c r="Q1202" s="65">
        <f>65000-65000</f>
        <v>0</v>
      </c>
      <c r="R1202" s="319">
        <f t="shared" si="46"/>
        <v>0</v>
      </c>
      <c r="S1202" s="63" t="str">
        <f>VLOOKUP(H1202,'Fund Utilization Report'!$A$4:$U$1800,13,FALSE)</f>
        <v>MOOE</v>
      </c>
      <c r="T1202" s="63" t="str">
        <f>VLOOKUP(H1202,'Fund Utilization Report'!$A$4:$U$1800,2,FALSE)</f>
        <v>GAA</v>
      </c>
      <c r="U1202" s="63" t="str">
        <f>VLOOKUP(H1202,'Fund Utilization Report'!$A$4:$U$1800,3,FALSE)</f>
        <v>FY2021, RA11518</v>
      </c>
      <c r="V1202" s="63" t="str">
        <f>VLOOKUP(H1202,'Fund Utilization Report'!$A$4:$U$1800,4,FALSE)</f>
        <v>GAS(GMS)</v>
      </c>
      <c r="W1202" s="63" t="str">
        <f>VLOOKUP(H1202,'Fund Utilization Report'!$A$4:$U$1800,5,FALSE)</f>
        <v>01101101</v>
      </c>
      <c r="X1202" s="63" t="str">
        <f>VLOOKUP(H1202,'Fund Utilization Report'!$A$4:$U$1800,6,FALSE)</f>
        <v>GOP</v>
      </c>
      <c r="Y1202" s="417" t="str">
        <f>VLOOKUP(H1202,'Fund Utilization Report'!$A$4:$U$1800,7,FALSE)</f>
        <v>MOOE</v>
      </c>
      <c r="Z1202" s="418">
        <f>VLOOKUP(H1202,'Fund Utilization Report'!$A$4:$U$1800,8,FALSE)</f>
        <v>5020000000</v>
      </c>
      <c r="AA1202" s="63" t="str">
        <f>VLOOKUP(H1202,'Fund Utilization Report'!$A$4:$U$1800,14,FALSE)</f>
        <v>100000100001000</v>
      </c>
      <c r="AB1202" s="419" t="str">
        <f>VLOOKUP(H1202,'Fund Utilization Report'!$A$4:$U$1800,15,FALSE)</f>
        <v>General Administration and Supervision - General Management and Supervision</v>
      </c>
      <c r="AC1202" s="406"/>
      <c r="AD1202" s="403"/>
      <c r="AE1202" s="406"/>
      <c r="AF1202" s="406"/>
      <c r="AG1202" s="407"/>
      <c r="AH1202" s="407"/>
    </row>
    <row r="1203" spans="1:35" s="32" customFormat="1">
      <c r="A1203" s="434" t="s">
        <v>942</v>
      </c>
      <c r="B1203" s="457" t="s">
        <v>946</v>
      </c>
      <c r="C1203" s="233">
        <v>44266</v>
      </c>
      <c r="D1203" s="435" t="s">
        <v>1267</v>
      </c>
      <c r="E1203" s="436" t="s">
        <v>1417</v>
      </c>
      <c r="F1203" s="338">
        <v>0.60416666666666663</v>
      </c>
      <c r="G1203" s="338">
        <v>0.60486111111111118</v>
      </c>
      <c r="H1203" s="338" t="s">
        <v>961</v>
      </c>
      <c r="I1203" s="353">
        <v>841</v>
      </c>
      <c r="J1203" s="338" t="str">
        <f>IFERROR(VLOOKUP(I1203,'Chart of accounts'!A:H,2,FALSE),"")</f>
        <v>50213060 01</v>
      </c>
      <c r="K1203" s="338" t="str">
        <f>IFERROR(VLOOKUP(I1203,'Chart of accounts'!A:H,3,FALSE),"")</f>
        <v>Motor Vehicles</v>
      </c>
      <c r="L1203" s="338" t="str">
        <f>IFERROR(VLOOKUP(I1203,'Chart of accounts'!A:H,4,FALSE),"")</f>
        <v>50213060 01 - Motor Vehicles (841)</v>
      </c>
      <c r="M1203" s="361">
        <v>1</v>
      </c>
      <c r="N1203" s="355" t="s">
        <v>1418</v>
      </c>
      <c r="O1203" s="355" t="s">
        <v>1419</v>
      </c>
      <c r="P1203" s="355"/>
      <c r="Q1203" s="363">
        <v>22000</v>
      </c>
      <c r="R1203" s="319">
        <f t="shared" si="46"/>
        <v>-22000</v>
      </c>
      <c r="S1203" s="239" t="str">
        <f>VLOOKUP(H1203,'Fund Utilization Report'!$A$4:$U$1800,13,FALSE)</f>
        <v>MOOE</v>
      </c>
      <c r="T1203" s="239" t="str">
        <f>VLOOKUP(H1203,'Fund Utilization Report'!$A$4:$U$1800,2,FALSE)</f>
        <v>GAA</v>
      </c>
      <c r="U1203" s="239" t="str">
        <f>VLOOKUP(H1203,'Fund Utilization Report'!$A$4:$U$1800,3,FALSE)</f>
        <v>FY2021, RA11518</v>
      </c>
      <c r="V1203" s="239" t="str">
        <f>VLOOKUP(H1203,'Fund Utilization Report'!$A$4:$U$1800,4,FALSE)</f>
        <v>GAS(GMS)</v>
      </c>
      <c r="W1203" s="239" t="str">
        <f>VLOOKUP(H1203,'Fund Utilization Report'!$A$4:$U$1800,5,FALSE)</f>
        <v>01101101</v>
      </c>
      <c r="X1203" s="239" t="str">
        <f>VLOOKUP(H1203,'Fund Utilization Report'!$A$4:$U$1800,6,FALSE)</f>
        <v>GOP</v>
      </c>
      <c r="Y1203" s="440" t="str">
        <f>VLOOKUP(H1203,'Fund Utilization Report'!$A$4:$U$1800,7,FALSE)</f>
        <v>MOOE</v>
      </c>
      <c r="Z1203" s="441">
        <f>VLOOKUP(H1203,'Fund Utilization Report'!$A$4:$U$1800,8,FALSE)</f>
        <v>5020000000</v>
      </c>
      <c r="AA1203" s="239" t="str">
        <f>VLOOKUP(H1203,'Fund Utilization Report'!$A$4:$U$1800,14,FALSE)</f>
        <v>100000100001000</v>
      </c>
      <c r="AB1203" s="242" t="str">
        <f>VLOOKUP(H1203,'Fund Utilization Report'!$A$4:$U$1800,15,FALSE)</f>
        <v>General Administration and Supervision - General Management and Supervision</v>
      </c>
      <c r="AC1203" s="51"/>
      <c r="AD1203" s="435"/>
      <c r="AE1203" s="51"/>
      <c r="AF1203" s="51"/>
      <c r="AG1203" s="442"/>
      <c r="AH1203" s="442"/>
      <c r="AI1203" s="443"/>
    </row>
    <row r="1204" spans="1:35" s="32" customFormat="1" ht="27.6">
      <c r="A1204" s="434" t="s">
        <v>942</v>
      </c>
      <c r="B1204" s="457" t="s">
        <v>946</v>
      </c>
      <c r="C1204" s="233">
        <v>44271</v>
      </c>
      <c r="D1204" s="435" t="s">
        <v>1267</v>
      </c>
      <c r="E1204" s="436" t="s">
        <v>1420</v>
      </c>
      <c r="F1204" s="338">
        <v>0.42083333333333334</v>
      </c>
      <c r="G1204" s="338">
        <v>0.42291666666666666</v>
      </c>
      <c r="H1204" s="338" t="s">
        <v>961</v>
      </c>
      <c r="I1204" s="353">
        <v>753</v>
      </c>
      <c r="J1204" s="338" t="str">
        <f>IFERROR(VLOOKUP(I1204,'Chart of accounts'!A:H,2,FALSE),"")</f>
        <v>50202010 00</v>
      </c>
      <c r="K1204" s="338" t="str">
        <f>IFERROR(VLOOKUP(I1204,'Chart of accounts'!A:H,3,FALSE),"")</f>
        <v>Training Expenses</v>
      </c>
      <c r="L1204" s="338" t="str">
        <f>IFERROR(VLOOKUP(I1204,'Chart of accounts'!A:H,4,FALSE),"")</f>
        <v>50202010 00 - Training Expenses (753)</v>
      </c>
      <c r="M1204" s="361" t="s">
        <v>1256</v>
      </c>
      <c r="N1204" s="355" t="s">
        <v>1344</v>
      </c>
      <c r="O1204" s="355" t="s">
        <v>1421</v>
      </c>
      <c r="P1204" s="355"/>
      <c r="Q1204" s="363">
        <v>14000</v>
      </c>
      <c r="R1204" s="319">
        <f t="shared" si="46"/>
        <v>-14000</v>
      </c>
      <c r="S1204" s="239" t="str">
        <f>VLOOKUP(H1204,'Fund Utilization Report'!$A$4:$U$1800,13,FALSE)</f>
        <v>MOOE</v>
      </c>
      <c r="T1204" s="239" t="str">
        <f>VLOOKUP(H1204,'Fund Utilization Report'!$A$4:$U$1800,2,FALSE)</f>
        <v>GAA</v>
      </c>
      <c r="U1204" s="239" t="str">
        <f>VLOOKUP(H1204,'Fund Utilization Report'!$A$4:$U$1800,3,FALSE)</f>
        <v>FY2021, RA11518</v>
      </c>
      <c r="V1204" s="239" t="str">
        <f>VLOOKUP(H1204,'Fund Utilization Report'!$A$4:$U$1800,4,FALSE)</f>
        <v>GAS(GMS)</v>
      </c>
      <c r="W1204" s="239" t="str">
        <f>VLOOKUP(H1204,'Fund Utilization Report'!$A$4:$U$1800,5,FALSE)</f>
        <v>01101101</v>
      </c>
      <c r="X1204" s="239" t="str">
        <f>VLOOKUP(H1204,'Fund Utilization Report'!$A$4:$U$1800,6,FALSE)</f>
        <v>GOP</v>
      </c>
      <c r="Y1204" s="440" t="str">
        <f>VLOOKUP(H1204,'Fund Utilization Report'!$A$4:$U$1800,7,FALSE)</f>
        <v>MOOE</v>
      </c>
      <c r="Z1204" s="441">
        <f>VLOOKUP(H1204,'Fund Utilization Report'!$A$4:$U$1800,8,FALSE)</f>
        <v>5020000000</v>
      </c>
      <c r="AA1204" s="239" t="str">
        <f>VLOOKUP(H1204,'Fund Utilization Report'!$A$4:$U$1800,14,FALSE)</f>
        <v>100000100001000</v>
      </c>
      <c r="AB1204" s="242" t="str">
        <f>VLOOKUP(H1204,'Fund Utilization Report'!$A$4:$U$1800,15,FALSE)</f>
        <v>General Administration and Supervision - General Management and Supervision</v>
      </c>
      <c r="AC1204" s="51"/>
      <c r="AD1204" s="435"/>
      <c r="AE1204" s="51"/>
      <c r="AF1204" s="51"/>
      <c r="AG1204" s="442"/>
      <c r="AH1204" s="442"/>
      <c r="AI1204" s="443"/>
    </row>
    <row r="1205" spans="1:35" s="32" customFormat="1" ht="27.6">
      <c r="A1205" s="434" t="s">
        <v>942</v>
      </c>
      <c r="B1205" s="457" t="s">
        <v>946</v>
      </c>
      <c r="C1205" s="233">
        <v>44271</v>
      </c>
      <c r="D1205" s="435" t="s">
        <v>1267</v>
      </c>
      <c r="E1205" s="436" t="s">
        <v>1422</v>
      </c>
      <c r="F1205" s="338">
        <v>0.42291666666666666</v>
      </c>
      <c r="G1205" s="338">
        <v>0.4236111111111111</v>
      </c>
      <c r="H1205" s="338" t="s">
        <v>965</v>
      </c>
      <c r="I1205" s="353">
        <v>771</v>
      </c>
      <c r="J1205" s="338" t="str">
        <f>IFERROR(VLOOKUP(I1205,'Chart of accounts'!A:H,2,FALSE),"")</f>
        <v>50205010 00</v>
      </c>
      <c r="K1205" s="338" t="str">
        <f>IFERROR(VLOOKUP(I1205,'Chart of accounts'!A:H,3,FALSE),"")</f>
        <v>Postage and Courier Services</v>
      </c>
      <c r="L1205" s="338" t="str">
        <f>IFERROR(VLOOKUP(I1205,'Chart of accounts'!A:H,4,FALSE),"")</f>
        <v>50205010 00 - Postage and Courier Services (771)</v>
      </c>
      <c r="M1205" s="361">
        <v>1</v>
      </c>
      <c r="N1205" s="355" t="s">
        <v>1359</v>
      </c>
      <c r="O1205" s="355" t="s">
        <v>1423</v>
      </c>
      <c r="P1205" s="355"/>
      <c r="Q1205" s="363">
        <v>7873</v>
      </c>
      <c r="R1205" s="319">
        <f t="shared" si="46"/>
        <v>-7873</v>
      </c>
      <c r="S1205" s="239" t="str">
        <f>VLOOKUP(H1205,'Fund Utilization Report'!$A$4:$U$1800,13,FALSE)</f>
        <v>MOOE</v>
      </c>
      <c r="T1205" s="239" t="str">
        <f>VLOOKUP(H1205,'Fund Utilization Report'!$A$4:$U$1800,2,FALSE)</f>
        <v>GAA</v>
      </c>
      <c r="U1205" s="239" t="str">
        <f>VLOOKUP(H1205,'Fund Utilization Report'!$A$4:$U$1800,3,FALSE)</f>
        <v>FY2021, RA11518</v>
      </c>
      <c r="V1205" s="239" t="str">
        <f>VLOOKUP(H1205,'Fund Utilization Report'!$A$4:$U$1800,4,FALSE)</f>
        <v>OO1</v>
      </c>
      <c r="W1205" s="239" t="str">
        <f>VLOOKUP(H1205,'Fund Utilization Report'!$A$4:$U$1800,5,FALSE)</f>
        <v>01101101</v>
      </c>
      <c r="X1205" s="239" t="str">
        <f>VLOOKUP(H1205,'Fund Utilization Report'!$A$4:$U$1800,6,FALSE)</f>
        <v>GOP</v>
      </c>
      <c r="Y1205" s="440" t="str">
        <f>VLOOKUP(H1205,'Fund Utilization Report'!$A$4:$U$1800,7,FALSE)</f>
        <v>MOOE</v>
      </c>
      <c r="Z1205" s="441">
        <f>VLOOKUP(H1205,'Fund Utilization Report'!$A$4:$U$1800,8,FALSE)</f>
        <v>5020000000</v>
      </c>
      <c r="AA1205" s="239" t="str">
        <f>VLOOKUP(H1205,'Fund Utilization Report'!$A$4:$U$1800,14,FALSE)</f>
        <v>310100100002000</v>
      </c>
      <c r="AB1205" s="242" t="str">
        <f>VLOOKUP(H1205,'Fund Utilization Report'!$A$4:$U$1800,15,FALSE)</f>
        <v>Development,Facilitation, and promotion of exports and investment, domestic and foreign</v>
      </c>
      <c r="AC1205" s="51"/>
      <c r="AD1205" s="435"/>
      <c r="AE1205" s="51"/>
      <c r="AF1205" s="51"/>
      <c r="AG1205" s="442"/>
      <c r="AH1205" s="442"/>
      <c r="AI1205" s="443"/>
    </row>
    <row r="1206" spans="1:35" s="32" customFormat="1" ht="27.6">
      <c r="A1206" s="434" t="s">
        <v>942</v>
      </c>
      <c r="B1206" s="457" t="s">
        <v>946</v>
      </c>
      <c r="C1206" s="233">
        <v>44271</v>
      </c>
      <c r="D1206" s="435" t="s">
        <v>1267</v>
      </c>
      <c r="E1206" s="436" t="s">
        <v>1424</v>
      </c>
      <c r="F1206" s="338">
        <v>0.4236111111111111</v>
      </c>
      <c r="G1206" s="338">
        <v>0.4284722222222222</v>
      </c>
      <c r="H1206" s="434" t="s">
        <v>985</v>
      </c>
      <c r="I1206" s="437">
        <v>751</v>
      </c>
      <c r="J1206" s="434" t="str">
        <f>IFERROR(VLOOKUP(I1206,'Chart of accounts'!A:H,2,FALSE),"")</f>
        <v>50201010 00</v>
      </c>
      <c r="K1206" s="434" t="str">
        <f>IFERROR(VLOOKUP(I1206,'Chart of accounts'!A:H,3,FALSE),"")</f>
        <v>Traveling Expenses - Local</v>
      </c>
      <c r="L1206" s="434" t="str">
        <f>IFERROR(VLOOKUP(I1206,'Chart of accounts'!A:H,4,FALSE),"")</f>
        <v>50201010 00 - Traveling Expenses - Local (751)</v>
      </c>
      <c r="M1206" s="438">
        <v>85</v>
      </c>
      <c r="N1206" s="439" t="s">
        <v>823</v>
      </c>
      <c r="O1206" s="439" t="s">
        <v>1139</v>
      </c>
      <c r="P1206" s="439"/>
      <c r="Q1206" s="50">
        <f>57498</f>
        <v>57498</v>
      </c>
      <c r="R1206" s="319">
        <f t="shared" si="46"/>
        <v>-57498</v>
      </c>
      <c r="S1206" s="239" t="str">
        <f>VLOOKUP(H1206,'Fund Utilization Report'!$A$4:$U$1800,13,FALSE)</f>
        <v>MOOE</v>
      </c>
      <c r="T1206" s="239" t="str">
        <f>VLOOKUP(H1206,'Fund Utilization Report'!$A$4:$U$1800,2,FALSE)</f>
        <v>GAA</v>
      </c>
      <c r="U1206" s="239" t="str">
        <f>VLOOKUP(H1206,'Fund Utilization Report'!$A$4:$U$1800,3,FALSE)</f>
        <v>FY2021, RA11518</v>
      </c>
      <c r="V1206" s="239" t="str">
        <f>VLOOKUP(H1206,'Fund Utilization Report'!$A$4:$U$1800,4,FALSE)</f>
        <v>LSP-PBG</v>
      </c>
      <c r="W1206" s="239" t="str">
        <f>VLOOKUP(H1206,'Fund Utilization Report'!$A$4:$U$1800,5,FALSE)</f>
        <v>01101101</v>
      </c>
      <c r="X1206" s="239" t="str">
        <f>VLOOKUP(H1206,'Fund Utilization Report'!$A$4:$U$1800,6,FALSE)</f>
        <v>GOP</v>
      </c>
      <c r="Y1206" s="440" t="str">
        <f>VLOOKUP(H1206,'Fund Utilization Report'!$A$4:$U$1800,7,FALSE)</f>
        <v>MOOE</v>
      </c>
      <c r="Z1206" s="441">
        <f>VLOOKUP(H1206,'Fund Utilization Report'!$A$4:$U$1800,8,FALSE)</f>
        <v>5020000000</v>
      </c>
      <c r="AA1206" s="239" t="str">
        <f>VLOOKUP(H1206,'Fund Utilization Report'!$A$4:$U$1800,14,FALSE)</f>
        <v>330100200004000</v>
      </c>
      <c r="AB1206" s="242" t="str">
        <f>VLOOKUP(H1206,'Fund Utilization Report'!$A$4:$U$1800,15,FALSE)</f>
        <v>MSME Development Program : Livelihood Seeding Program and Pangkabuhayan sa Pagbangon at Ginhawa</v>
      </c>
      <c r="AC1206" s="51"/>
      <c r="AD1206" s="435"/>
      <c r="AE1206" s="51"/>
      <c r="AF1206" s="51"/>
      <c r="AG1206" s="442"/>
      <c r="AH1206" s="442"/>
      <c r="AI1206" s="443"/>
    </row>
    <row r="1207" spans="1:35" s="32" customFormat="1" ht="27.6">
      <c r="A1207" s="434" t="s">
        <v>942</v>
      </c>
      <c r="B1207" s="457" t="s">
        <v>946</v>
      </c>
      <c r="C1207" s="233">
        <v>44271</v>
      </c>
      <c r="D1207" s="435" t="s">
        <v>1267</v>
      </c>
      <c r="E1207" s="436" t="s">
        <v>1424</v>
      </c>
      <c r="F1207" s="338">
        <v>0.4236111111111111</v>
      </c>
      <c r="G1207" s="338">
        <v>0.4284722222222222</v>
      </c>
      <c r="H1207" s="434" t="s">
        <v>985</v>
      </c>
      <c r="I1207" s="437">
        <v>753</v>
      </c>
      <c r="J1207" s="434" t="str">
        <f>IFERROR(VLOOKUP(I1207,'Chart of accounts'!A:H,2,FALSE),"")</f>
        <v>50202010 00</v>
      </c>
      <c r="K1207" s="434" t="str">
        <f>IFERROR(VLOOKUP(I1207,'Chart of accounts'!A:H,3,FALSE),"")</f>
        <v>Training Expenses</v>
      </c>
      <c r="L1207" s="434" t="str">
        <f>IFERROR(VLOOKUP(I1207,'Chart of accounts'!A:H,4,FALSE),"")</f>
        <v>50202010 00 - Training Expenses (753)</v>
      </c>
      <c r="M1207" s="438">
        <v>85</v>
      </c>
      <c r="N1207" s="439" t="s">
        <v>823</v>
      </c>
      <c r="O1207" s="439" t="s">
        <v>1139</v>
      </c>
      <c r="P1207" s="439"/>
      <c r="Q1207" s="50">
        <f>525004</f>
        <v>525004</v>
      </c>
      <c r="R1207" s="319">
        <f t="shared" si="46"/>
        <v>-525004</v>
      </c>
      <c r="S1207" s="239" t="str">
        <f>VLOOKUP(H1207,'Fund Utilization Report'!$A$4:$U$1800,13,FALSE)</f>
        <v>MOOE</v>
      </c>
      <c r="T1207" s="239" t="str">
        <f>VLOOKUP(H1207,'Fund Utilization Report'!$A$4:$U$1800,2,FALSE)</f>
        <v>GAA</v>
      </c>
      <c r="U1207" s="239" t="str">
        <f>VLOOKUP(H1207,'Fund Utilization Report'!$A$4:$U$1800,3,FALSE)</f>
        <v>FY2021, RA11518</v>
      </c>
      <c r="V1207" s="239" t="str">
        <f>VLOOKUP(H1207,'Fund Utilization Report'!$A$4:$U$1800,4,FALSE)</f>
        <v>LSP-PBG</v>
      </c>
      <c r="W1207" s="239" t="str">
        <f>VLOOKUP(H1207,'Fund Utilization Report'!$A$4:$U$1800,5,FALSE)</f>
        <v>01101101</v>
      </c>
      <c r="X1207" s="239" t="str">
        <f>VLOOKUP(H1207,'Fund Utilization Report'!$A$4:$U$1800,6,FALSE)</f>
        <v>GOP</v>
      </c>
      <c r="Y1207" s="440" t="str">
        <f>VLOOKUP(H1207,'Fund Utilization Report'!$A$4:$U$1800,7,FALSE)</f>
        <v>MOOE</v>
      </c>
      <c r="Z1207" s="441">
        <f>VLOOKUP(H1207,'Fund Utilization Report'!$A$4:$U$1800,8,FALSE)</f>
        <v>5020000000</v>
      </c>
      <c r="AA1207" s="239" t="str">
        <f>VLOOKUP(H1207,'Fund Utilization Report'!$A$4:$U$1800,14,FALSE)</f>
        <v>330100200004000</v>
      </c>
      <c r="AB1207" s="242" t="str">
        <f>VLOOKUP(H1207,'Fund Utilization Report'!$A$4:$U$1800,15,FALSE)</f>
        <v>MSME Development Program : Livelihood Seeding Program and Pangkabuhayan sa Pagbangon at Ginhawa</v>
      </c>
      <c r="AC1207" s="51"/>
      <c r="AD1207" s="435"/>
      <c r="AE1207" s="51"/>
      <c r="AF1207" s="51"/>
      <c r="AG1207" s="442"/>
      <c r="AH1207" s="442"/>
      <c r="AI1207" s="443"/>
    </row>
    <row r="1208" spans="1:35" s="32" customFormat="1" ht="27.6">
      <c r="A1208" s="434" t="s">
        <v>942</v>
      </c>
      <c r="B1208" s="457" t="s">
        <v>946</v>
      </c>
      <c r="C1208" s="233">
        <v>44271</v>
      </c>
      <c r="D1208" s="435" t="s">
        <v>1267</v>
      </c>
      <c r="E1208" s="436" t="s">
        <v>1424</v>
      </c>
      <c r="F1208" s="338">
        <v>0.4236111111111111</v>
      </c>
      <c r="G1208" s="338">
        <v>0.4284722222222222</v>
      </c>
      <c r="H1208" s="434" t="s">
        <v>985</v>
      </c>
      <c r="I1208" s="437">
        <v>773</v>
      </c>
      <c r="J1208" s="434" t="str">
        <f>IFERROR(VLOOKUP(I1208,'Chart of accounts'!A:H,2,FALSE),"")</f>
        <v>50205020 01</v>
      </c>
      <c r="K1208" s="434" t="str">
        <f>IFERROR(VLOOKUP(I1208,'Chart of accounts'!A:H,3,FALSE),"")</f>
        <v xml:space="preserve">Telephone Expenses - Mobile </v>
      </c>
      <c r="L1208" s="434" t="str">
        <f>IFERROR(VLOOKUP(I1208,'Chart of accounts'!A:H,4,FALSE),"")</f>
        <v>50205020 01 - Telephone Expenses - Mobile  (773)</v>
      </c>
      <c r="M1208" s="438">
        <v>85</v>
      </c>
      <c r="N1208" s="439" t="s">
        <v>823</v>
      </c>
      <c r="O1208" s="439" t="s">
        <v>1139</v>
      </c>
      <c r="P1208" s="439"/>
      <c r="Q1208" s="50">
        <f>19166</f>
        <v>19166</v>
      </c>
      <c r="R1208" s="319">
        <f t="shared" si="46"/>
        <v>-19166</v>
      </c>
      <c r="S1208" s="239" t="str">
        <f>VLOOKUP(H1208,'Fund Utilization Report'!$A$4:$U$1800,13,FALSE)</f>
        <v>MOOE</v>
      </c>
      <c r="T1208" s="239" t="str">
        <f>VLOOKUP(H1208,'Fund Utilization Report'!$A$4:$U$1800,2,FALSE)</f>
        <v>GAA</v>
      </c>
      <c r="U1208" s="239" t="str">
        <f>VLOOKUP(H1208,'Fund Utilization Report'!$A$4:$U$1800,3,FALSE)</f>
        <v>FY2021, RA11518</v>
      </c>
      <c r="V1208" s="239" t="str">
        <f>VLOOKUP(H1208,'Fund Utilization Report'!$A$4:$U$1800,4,FALSE)</f>
        <v>LSP-PBG</v>
      </c>
      <c r="W1208" s="239" t="str">
        <f>VLOOKUP(H1208,'Fund Utilization Report'!$A$4:$U$1800,5,FALSE)</f>
        <v>01101101</v>
      </c>
      <c r="X1208" s="239" t="str">
        <f>VLOOKUP(H1208,'Fund Utilization Report'!$A$4:$U$1800,6,FALSE)</f>
        <v>GOP</v>
      </c>
      <c r="Y1208" s="440" t="str">
        <f>VLOOKUP(H1208,'Fund Utilization Report'!$A$4:$U$1800,7,FALSE)</f>
        <v>MOOE</v>
      </c>
      <c r="Z1208" s="441">
        <f>VLOOKUP(H1208,'Fund Utilization Report'!$A$4:$U$1800,8,FALSE)</f>
        <v>5020000000</v>
      </c>
      <c r="AA1208" s="239" t="str">
        <f>VLOOKUP(H1208,'Fund Utilization Report'!$A$4:$U$1800,14,FALSE)</f>
        <v>330100200004000</v>
      </c>
      <c r="AB1208" s="242" t="str">
        <f>VLOOKUP(H1208,'Fund Utilization Report'!$A$4:$U$1800,15,FALSE)</f>
        <v>MSME Development Program : Livelihood Seeding Program and Pangkabuhayan sa Pagbangon at Ginhawa</v>
      </c>
      <c r="AC1208" s="51"/>
      <c r="AD1208" s="435"/>
      <c r="AE1208" s="51"/>
      <c r="AF1208" s="51"/>
      <c r="AG1208" s="442"/>
      <c r="AH1208" s="442"/>
      <c r="AI1208" s="443"/>
    </row>
    <row r="1209" spans="1:35" s="32" customFormat="1" ht="27.6">
      <c r="A1209" s="434" t="s">
        <v>942</v>
      </c>
      <c r="B1209" s="457" t="s">
        <v>946</v>
      </c>
      <c r="C1209" s="233">
        <v>44271</v>
      </c>
      <c r="D1209" s="435" t="s">
        <v>1267</v>
      </c>
      <c r="E1209" s="436" t="s">
        <v>1424</v>
      </c>
      <c r="F1209" s="338">
        <v>0.4236111111111111</v>
      </c>
      <c r="G1209" s="338">
        <v>0.4284722222222222</v>
      </c>
      <c r="H1209" s="434" t="s">
        <v>985</v>
      </c>
      <c r="I1209" s="437">
        <v>799</v>
      </c>
      <c r="J1209" s="434" t="str">
        <f>IFERROR(VLOOKUP(I1209,'Chart of accounts'!A:H,2,FALSE),"")</f>
        <v>50211990 00</v>
      </c>
      <c r="K1209" s="434" t="str">
        <f>IFERROR(VLOOKUP(I1209,'Chart of accounts'!A:H,3,FALSE),"")</f>
        <v>Other Professional Services</v>
      </c>
      <c r="L1209" s="434" t="str">
        <f>IFERROR(VLOOKUP(I1209,'Chart of accounts'!A:H,4,FALSE),"")</f>
        <v>50211990 00 - Other Professional Services (799)</v>
      </c>
      <c r="M1209" s="438">
        <v>85</v>
      </c>
      <c r="N1209" s="439" t="s">
        <v>823</v>
      </c>
      <c r="O1209" s="439" t="s">
        <v>1139</v>
      </c>
      <c r="P1209" s="439"/>
      <c r="Q1209" s="50">
        <f>38332</f>
        <v>38332</v>
      </c>
      <c r="R1209" s="319">
        <f t="shared" si="46"/>
        <v>-38332</v>
      </c>
      <c r="S1209" s="239" t="str">
        <f>VLOOKUP(H1209,'Fund Utilization Report'!$A$4:$U$1800,13,FALSE)</f>
        <v>MOOE</v>
      </c>
      <c r="T1209" s="239" t="str">
        <f>VLOOKUP(H1209,'Fund Utilization Report'!$A$4:$U$1800,2,FALSE)</f>
        <v>GAA</v>
      </c>
      <c r="U1209" s="239" t="str">
        <f>VLOOKUP(H1209,'Fund Utilization Report'!$A$4:$U$1800,3,FALSE)</f>
        <v>FY2021, RA11518</v>
      </c>
      <c r="V1209" s="239" t="str">
        <f>VLOOKUP(H1209,'Fund Utilization Report'!$A$4:$U$1800,4,FALSE)</f>
        <v>LSP-PBG</v>
      </c>
      <c r="W1209" s="239" t="str">
        <f>VLOOKUP(H1209,'Fund Utilization Report'!$A$4:$U$1800,5,FALSE)</f>
        <v>01101101</v>
      </c>
      <c r="X1209" s="239" t="str">
        <f>VLOOKUP(H1209,'Fund Utilization Report'!$A$4:$U$1800,6,FALSE)</f>
        <v>GOP</v>
      </c>
      <c r="Y1209" s="440" t="str">
        <f>VLOOKUP(H1209,'Fund Utilization Report'!$A$4:$U$1800,7,FALSE)</f>
        <v>MOOE</v>
      </c>
      <c r="Z1209" s="441">
        <f>VLOOKUP(H1209,'Fund Utilization Report'!$A$4:$U$1800,8,FALSE)</f>
        <v>5020000000</v>
      </c>
      <c r="AA1209" s="239" t="str">
        <f>VLOOKUP(H1209,'Fund Utilization Report'!$A$4:$U$1800,14,FALSE)</f>
        <v>330100200004000</v>
      </c>
      <c r="AB1209" s="242" t="str">
        <f>VLOOKUP(H1209,'Fund Utilization Report'!$A$4:$U$1800,15,FALSE)</f>
        <v>MSME Development Program : Livelihood Seeding Program and Pangkabuhayan sa Pagbangon at Ginhawa</v>
      </c>
      <c r="AC1209" s="51"/>
      <c r="AD1209" s="435"/>
      <c r="AE1209" s="51"/>
      <c r="AF1209" s="51"/>
      <c r="AG1209" s="442"/>
      <c r="AH1209" s="442"/>
      <c r="AI1209" s="443"/>
    </row>
    <row r="1210" spans="1:35" s="32" customFormat="1" ht="27.6">
      <c r="A1210" s="434" t="s">
        <v>942</v>
      </c>
      <c r="B1210" s="457" t="s">
        <v>946</v>
      </c>
      <c r="C1210" s="233">
        <v>44271</v>
      </c>
      <c r="D1210" s="435" t="s">
        <v>1267</v>
      </c>
      <c r="E1210" s="436" t="s">
        <v>1425</v>
      </c>
      <c r="F1210" s="338">
        <v>0.4284722222222222</v>
      </c>
      <c r="G1210" s="338">
        <v>0.42986111111111108</v>
      </c>
      <c r="H1210" s="434" t="s">
        <v>974</v>
      </c>
      <c r="I1210" s="437">
        <v>751</v>
      </c>
      <c r="J1210" s="434" t="str">
        <f>IFERROR(VLOOKUP(I1210,'Chart of accounts'!A:H,2,FALSE),"")</f>
        <v>50201010 00</v>
      </c>
      <c r="K1210" s="434" t="str">
        <f>IFERROR(VLOOKUP(I1210,'Chart of accounts'!A:H,3,FALSE),"")</f>
        <v>Traveling Expenses - Local</v>
      </c>
      <c r="L1210" s="434" t="str">
        <f>IFERROR(VLOOKUP(I1210,'Chart of accounts'!A:H,4,FALSE),"")</f>
        <v>50201010 00 - Traveling Expenses - Local (751)</v>
      </c>
      <c r="M1210" s="438">
        <v>2</v>
      </c>
      <c r="N1210" s="439" t="s">
        <v>818</v>
      </c>
      <c r="O1210" s="439" t="s">
        <v>1206</v>
      </c>
      <c r="P1210" s="439"/>
      <c r="Q1210" s="50">
        <f>20000</f>
        <v>20000</v>
      </c>
      <c r="R1210" s="319">
        <f t="shared" si="46"/>
        <v>-20000</v>
      </c>
      <c r="S1210" s="239" t="str">
        <f>VLOOKUP(H1210,'Fund Utilization Report'!$A$4:$U$1800,13,FALSE)</f>
        <v>MOOE</v>
      </c>
      <c r="T1210" s="239" t="str">
        <f>VLOOKUP(H1210,'Fund Utilization Report'!$A$4:$U$1800,2,FALSE)</f>
        <v>GAA</v>
      </c>
      <c r="U1210" s="239" t="str">
        <f>VLOOKUP(H1210,'Fund Utilization Report'!$A$4:$U$1800,3,FALSE)</f>
        <v>FY2021, RA11518</v>
      </c>
      <c r="V1210" s="239" t="str">
        <f>VLOOKUP(H1210,'Fund Utilization Report'!$A$4:$U$1800,4,FALSE)</f>
        <v>OO4.1(FTL)</v>
      </c>
      <c r="W1210" s="239" t="str">
        <f>VLOOKUP(H1210,'Fund Utilization Report'!$A$4:$U$1800,5,FALSE)</f>
        <v>01101101</v>
      </c>
      <c r="X1210" s="239" t="str">
        <f>VLOOKUP(H1210,'Fund Utilization Report'!$A$4:$U$1800,6,FALSE)</f>
        <v>GOP</v>
      </c>
      <c r="Y1210" s="440" t="str">
        <f>VLOOKUP(H1210,'Fund Utilization Report'!$A$4:$U$1800,7,FALSE)</f>
        <v>MOOE</v>
      </c>
      <c r="Z1210" s="441">
        <f>VLOOKUP(H1210,'Fund Utilization Report'!$A$4:$U$1800,8,FALSE)</f>
        <v>5020000000</v>
      </c>
      <c r="AA1210" s="239" t="str">
        <f>VLOOKUP(H1210,'Fund Utilization Report'!$A$4:$U$1800,14,FALSE)</f>
        <v>340100100002000</v>
      </c>
      <c r="AB1210" s="242" t="str">
        <f>VLOOKUP(H1210,'Fund Utilization Report'!$A$4:$U$1800,15,FALSE)</f>
        <v>Monitoring and Enforcement of FTL including consumer complaints handling</v>
      </c>
      <c r="AC1210" s="51"/>
      <c r="AD1210" s="435"/>
      <c r="AE1210" s="51"/>
      <c r="AF1210" s="51"/>
      <c r="AG1210" s="442"/>
      <c r="AH1210" s="442"/>
      <c r="AI1210" s="443"/>
    </row>
    <row r="1211" spans="1:35" s="32" customFormat="1" ht="27.6">
      <c r="A1211" s="434" t="s">
        <v>942</v>
      </c>
      <c r="B1211" s="457" t="s">
        <v>946</v>
      </c>
      <c r="C1211" s="233">
        <v>44271</v>
      </c>
      <c r="D1211" s="435" t="s">
        <v>1267</v>
      </c>
      <c r="E1211" s="436" t="s">
        <v>1425</v>
      </c>
      <c r="F1211" s="338">
        <v>0.4284722222222222</v>
      </c>
      <c r="G1211" s="338">
        <v>0.42986111111111108</v>
      </c>
      <c r="H1211" s="434" t="s">
        <v>974</v>
      </c>
      <c r="I1211" s="437">
        <v>783</v>
      </c>
      <c r="J1211" s="434" t="str">
        <f>IFERROR(VLOOKUP(I1211,'Chart of accounts'!A:H,2,FALSE),"")</f>
        <v>50299030 00</v>
      </c>
      <c r="K1211" s="434" t="str">
        <f>IFERROR(VLOOKUP(I1211,'Chart of accounts'!A:H,3,FALSE),"")</f>
        <v>Representation Expenses</v>
      </c>
      <c r="L1211" s="434" t="str">
        <f>IFERROR(VLOOKUP(I1211,'Chart of accounts'!A:H,4,FALSE),"")</f>
        <v>50299030 00 - Representation Expenses (783)</v>
      </c>
      <c r="M1211" s="438">
        <v>2</v>
      </c>
      <c r="N1211" s="439" t="s">
        <v>818</v>
      </c>
      <c r="O1211" s="439" t="s">
        <v>1206</v>
      </c>
      <c r="P1211" s="439"/>
      <c r="Q1211" s="50">
        <f>40000</f>
        <v>40000</v>
      </c>
      <c r="R1211" s="319">
        <f t="shared" si="46"/>
        <v>-40000</v>
      </c>
      <c r="S1211" s="239" t="str">
        <f>VLOOKUP(H1211,'Fund Utilization Report'!$A$4:$U$1800,13,FALSE)</f>
        <v>MOOE</v>
      </c>
      <c r="T1211" s="239" t="str">
        <f>VLOOKUP(H1211,'Fund Utilization Report'!$A$4:$U$1800,2,FALSE)</f>
        <v>GAA</v>
      </c>
      <c r="U1211" s="239" t="str">
        <f>VLOOKUP(H1211,'Fund Utilization Report'!$A$4:$U$1800,3,FALSE)</f>
        <v>FY2021, RA11518</v>
      </c>
      <c r="V1211" s="239" t="str">
        <f>VLOOKUP(H1211,'Fund Utilization Report'!$A$4:$U$1800,4,FALSE)</f>
        <v>OO4.1(FTL)</v>
      </c>
      <c r="W1211" s="239" t="str">
        <f>VLOOKUP(H1211,'Fund Utilization Report'!$A$4:$U$1800,5,FALSE)</f>
        <v>01101101</v>
      </c>
      <c r="X1211" s="239" t="str">
        <f>VLOOKUP(H1211,'Fund Utilization Report'!$A$4:$U$1800,6,FALSE)</f>
        <v>GOP</v>
      </c>
      <c r="Y1211" s="440" t="str">
        <f>VLOOKUP(H1211,'Fund Utilization Report'!$A$4:$U$1800,7,FALSE)</f>
        <v>MOOE</v>
      </c>
      <c r="Z1211" s="441">
        <f>VLOOKUP(H1211,'Fund Utilization Report'!$A$4:$U$1800,8,FALSE)</f>
        <v>5020000000</v>
      </c>
      <c r="AA1211" s="239" t="str">
        <f>VLOOKUP(H1211,'Fund Utilization Report'!$A$4:$U$1800,14,FALSE)</f>
        <v>340100100002000</v>
      </c>
      <c r="AB1211" s="242" t="str">
        <f>VLOOKUP(H1211,'Fund Utilization Report'!$A$4:$U$1800,15,FALSE)</f>
        <v>Monitoring and Enforcement of FTL including consumer complaints handling</v>
      </c>
      <c r="AC1211" s="51"/>
      <c r="AD1211" s="435"/>
      <c r="AE1211" s="51"/>
      <c r="AF1211" s="51"/>
      <c r="AG1211" s="442"/>
      <c r="AH1211" s="442"/>
      <c r="AI1211" s="443"/>
    </row>
    <row r="1212" spans="1:35" s="32" customFormat="1" ht="27.6">
      <c r="A1212" s="434" t="s">
        <v>942</v>
      </c>
      <c r="B1212" s="457" t="s">
        <v>946</v>
      </c>
      <c r="C1212" s="233">
        <v>44271</v>
      </c>
      <c r="D1212" s="435" t="s">
        <v>1267</v>
      </c>
      <c r="E1212" s="436" t="s">
        <v>1425</v>
      </c>
      <c r="F1212" s="338">
        <v>0.4284722222222222</v>
      </c>
      <c r="G1212" s="338">
        <v>0.42986111111111108</v>
      </c>
      <c r="H1212" s="434" t="s">
        <v>977</v>
      </c>
      <c r="I1212" s="437">
        <v>751</v>
      </c>
      <c r="J1212" s="434" t="str">
        <f>IFERROR(VLOOKUP(I1212,'Chart of accounts'!A:H,2,FALSE),"")</f>
        <v>50201010 00</v>
      </c>
      <c r="K1212" s="434" t="str">
        <f>IFERROR(VLOOKUP(I1212,'Chart of accounts'!A:H,3,FALSE),"")</f>
        <v>Traveling Expenses - Local</v>
      </c>
      <c r="L1212" s="434" t="str">
        <f>IFERROR(VLOOKUP(I1212,'Chart of accounts'!A:H,4,FALSE),"")</f>
        <v>50201010 00 - Traveling Expenses - Local (751)</v>
      </c>
      <c r="M1212" s="438">
        <v>2</v>
      </c>
      <c r="N1212" s="439" t="s">
        <v>818</v>
      </c>
      <c r="O1212" s="439" t="s">
        <v>1206</v>
      </c>
      <c r="P1212" s="439"/>
      <c r="Q1212" s="50">
        <f>20000</f>
        <v>20000</v>
      </c>
      <c r="R1212" s="319">
        <f t="shared" si="46"/>
        <v>-20000</v>
      </c>
      <c r="S1212" s="239" t="str">
        <f>VLOOKUP(H1212,'Fund Utilization Report'!$A$4:$U$1800,13,FALSE)</f>
        <v>MOOE</v>
      </c>
      <c r="T1212" s="239" t="str">
        <f>VLOOKUP(H1212,'Fund Utilization Report'!$A$4:$U$1800,2,FALSE)</f>
        <v>GAA</v>
      </c>
      <c r="U1212" s="239" t="str">
        <f>VLOOKUP(H1212,'Fund Utilization Report'!$A$4:$U$1800,3,FALSE)</f>
        <v>FY2021, RA11518</v>
      </c>
      <c r="V1212" s="239" t="str">
        <f>VLOOKUP(H1212,'Fund Utilization Report'!$A$4:$U$1800,4,FALSE)</f>
        <v>OO4.1(Acc)</v>
      </c>
      <c r="W1212" s="239" t="str">
        <f>VLOOKUP(H1212,'Fund Utilization Report'!$A$4:$U$1800,5,FALSE)</f>
        <v>01101101</v>
      </c>
      <c r="X1212" s="239" t="str">
        <f>VLOOKUP(H1212,'Fund Utilization Report'!$A$4:$U$1800,6,FALSE)</f>
        <v>GOP</v>
      </c>
      <c r="Y1212" s="440" t="str">
        <f>VLOOKUP(H1212,'Fund Utilization Report'!$A$4:$U$1800,7,FALSE)</f>
        <v>MOOE</v>
      </c>
      <c r="Z1212" s="441">
        <f>VLOOKUP(H1212,'Fund Utilization Report'!$A$4:$U$1800,8,FALSE)</f>
        <v>5020000000</v>
      </c>
      <c r="AA1212" s="239" t="str">
        <f>VLOOKUP(H1212,'Fund Utilization Report'!$A$4:$U$1800,14,FALSE)</f>
        <v>340100100003000</v>
      </c>
      <c r="AB1212" s="242" t="str">
        <f>VLOOKUP(H1212,'Fund Utilization Report'!$A$4:$U$1800,15,FALSE)</f>
        <v>Accreditation and Issuance of Business Licenses, Permits, registration and authorities</v>
      </c>
      <c r="AC1212" s="51"/>
      <c r="AD1212" s="435"/>
      <c r="AE1212" s="51"/>
      <c r="AF1212" s="51"/>
      <c r="AG1212" s="442"/>
      <c r="AH1212" s="442"/>
      <c r="AI1212" s="443"/>
    </row>
    <row r="1213" spans="1:35" s="32" customFormat="1" ht="27.6">
      <c r="A1213" s="434" t="s">
        <v>942</v>
      </c>
      <c r="B1213" s="457" t="s">
        <v>946</v>
      </c>
      <c r="C1213" s="233">
        <v>44271</v>
      </c>
      <c r="D1213" s="435" t="s">
        <v>1267</v>
      </c>
      <c r="E1213" s="436" t="s">
        <v>1425</v>
      </c>
      <c r="F1213" s="338">
        <v>0.4284722222222222</v>
      </c>
      <c r="G1213" s="338">
        <v>0.42986111111111108</v>
      </c>
      <c r="H1213" s="434" t="s">
        <v>977</v>
      </c>
      <c r="I1213" s="437">
        <v>783</v>
      </c>
      <c r="J1213" s="434" t="str">
        <f>IFERROR(VLOOKUP(I1213,'Chart of accounts'!A:H,2,FALSE),"")</f>
        <v>50299030 00</v>
      </c>
      <c r="K1213" s="434" t="str">
        <f>IFERROR(VLOOKUP(I1213,'Chart of accounts'!A:H,3,FALSE),"")</f>
        <v>Representation Expenses</v>
      </c>
      <c r="L1213" s="434" t="str">
        <f>IFERROR(VLOOKUP(I1213,'Chart of accounts'!A:H,4,FALSE),"")</f>
        <v>50299030 00 - Representation Expenses (783)</v>
      </c>
      <c r="M1213" s="438">
        <v>2</v>
      </c>
      <c r="N1213" s="439" t="s">
        <v>818</v>
      </c>
      <c r="O1213" s="439" t="s">
        <v>1206</v>
      </c>
      <c r="P1213" s="439"/>
      <c r="Q1213" s="50">
        <f>60000</f>
        <v>60000</v>
      </c>
      <c r="R1213" s="319">
        <f t="shared" si="46"/>
        <v>-60000</v>
      </c>
      <c r="S1213" s="239" t="str">
        <f>VLOOKUP(H1213,'Fund Utilization Report'!$A$4:$U$1800,13,FALSE)</f>
        <v>MOOE</v>
      </c>
      <c r="T1213" s="239" t="str">
        <f>VLOOKUP(H1213,'Fund Utilization Report'!$A$4:$U$1800,2,FALSE)</f>
        <v>GAA</v>
      </c>
      <c r="U1213" s="239" t="str">
        <f>VLOOKUP(H1213,'Fund Utilization Report'!$A$4:$U$1800,3,FALSE)</f>
        <v>FY2021, RA11518</v>
      </c>
      <c r="V1213" s="239" t="str">
        <f>VLOOKUP(H1213,'Fund Utilization Report'!$A$4:$U$1800,4,FALSE)</f>
        <v>OO4.1(Acc)</v>
      </c>
      <c r="W1213" s="239" t="str">
        <f>VLOOKUP(H1213,'Fund Utilization Report'!$A$4:$U$1800,5,FALSE)</f>
        <v>01101101</v>
      </c>
      <c r="X1213" s="239" t="str">
        <f>VLOOKUP(H1213,'Fund Utilization Report'!$A$4:$U$1800,6,FALSE)</f>
        <v>GOP</v>
      </c>
      <c r="Y1213" s="440" t="str">
        <f>VLOOKUP(H1213,'Fund Utilization Report'!$A$4:$U$1800,7,FALSE)</f>
        <v>MOOE</v>
      </c>
      <c r="Z1213" s="441">
        <f>VLOOKUP(H1213,'Fund Utilization Report'!$A$4:$U$1800,8,FALSE)</f>
        <v>5020000000</v>
      </c>
      <c r="AA1213" s="239" t="str">
        <f>VLOOKUP(H1213,'Fund Utilization Report'!$A$4:$U$1800,14,FALSE)</f>
        <v>340100100003000</v>
      </c>
      <c r="AB1213" s="242" t="str">
        <f>VLOOKUP(H1213,'Fund Utilization Report'!$A$4:$U$1800,15,FALSE)</f>
        <v>Accreditation and Issuance of Business Licenses, Permits, registration and authorities</v>
      </c>
      <c r="AC1213" s="51"/>
      <c r="AD1213" s="435"/>
      <c r="AE1213" s="51"/>
      <c r="AF1213" s="51"/>
      <c r="AG1213" s="442"/>
      <c r="AH1213" s="442"/>
      <c r="AI1213" s="443"/>
    </row>
    <row r="1214" spans="1:35" s="32" customFormat="1" ht="27.6">
      <c r="A1214" s="434" t="s">
        <v>942</v>
      </c>
      <c r="B1214" s="457" t="s">
        <v>946</v>
      </c>
      <c r="C1214" s="233">
        <v>44271</v>
      </c>
      <c r="D1214" s="435" t="s">
        <v>1267</v>
      </c>
      <c r="E1214" s="436" t="s">
        <v>1425</v>
      </c>
      <c r="F1214" s="338">
        <v>0.4284722222222222</v>
      </c>
      <c r="G1214" s="338">
        <v>0.42986111111111108</v>
      </c>
      <c r="H1214" s="434" t="s">
        <v>979</v>
      </c>
      <c r="I1214" s="437">
        <v>755</v>
      </c>
      <c r="J1214" s="434" t="str">
        <f>IFERROR(VLOOKUP(I1214,'Chart of accounts'!A:H,2,FALSE),"")</f>
        <v>50203010 00</v>
      </c>
      <c r="K1214" s="434" t="str">
        <f>IFERROR(VLOOKUP(I1214,'Chart of accounts'!A:H,3,FALSE),"")</f>
        <v>Office Supplies Expenses</v>
      </c>
      <c r="L1214" s="434" t="str">
        <f>IFERROR(VLOOKUP(I1214,'Chart of accounts'!A:H,4,FALSE),"")</f>
        <v>50203010 00 - Office Supplies Expenses (755)</v>
      </c>
      <c r="M1214" s="438">
        <v>2</v>
      </c>
      <c r="N1214" s="439" t="s">
        <v>818</v>
      </c>
      <c r="O1214" s="439" t="s">
        <v>1206</v>
      </c>
      <c r="P1214" s="439"/>
      <c r="Q1214" s="50">
        <f>20000</f>
        <v>20000</v>
      </c>
      <c r="R1214" s="319">
        <f t="shared" si="46"/>
        <v>-20000</v>
      </c>
      <c r="S1214" s="239" t="str">
        <f>VLOOKUP(H1214,'Fund Utilization Report'!$A$4:$U$1800,13,FALSE)</f>
        <v>MOOE</v>
      </c>
      <c r="T1214" s="239" t="str">
        <f>VLOOKUP(H1214,'Fund Utilization Report'!$A$4:$U$1800,2,FALSE)</f>
        <v>GAA</v>
      </c>
      <c r="U1214" s="239" t="str">
        <f>VLOOKUP(H1214,'Fund Utilization Report'!$A$4:$U$1800,3,FALSE)</f>
        <v>FY2021, RA11518</v>
      </c>
      <c r="V1214" s="239" t="str">
        <f>VLOOKUP(H1214,'Fund Utilization Report'!$A$4:$U$1800,4,FALSE)</f>
        <v>OO 4.2</v>
      </c>
      <c r="W1214" s="239" t="str">
        <f>VLOOKUP(H1214,'Fund Utilization Report'!$A$4:$U$1800,5,FALSE)</f>
        <v>01101101</v>
      </c>
      <c r="X1214" s="239" t="str">
        <f>VLOOKUP(H1214,'Fund Utilization Report'!$A$4:$U$1800,6,FALSE)</f>
        <v>GOP</v>
      </c>
      <c r="Y1214" s="440" t="str">
        <f>VLOOKUP(H1214,'Fund Utilization Report'!$A$4:$U$1800,7,FALSE)</f>
        <v>MOOE</v>
      </c>
      <c r="Z1214" s="441">
        <f>VLOOKUP(H1214,'Fund Utilization Report'!$A$4:$U$1800,8,FALSE)</f>
        <v>5020000000</v>
      </c>
      <c r="AA1214" s="239" t="str">
        <f>VLOOKUP(H1214,'Fund Utilization Report'!$A$4:$U$1800,14,FALSE)</f>
        <v>340200100002000</v>
      </c>
      <c r="AB1214" s="242" t="str">
        <f>VLOOKUP(H1214,'Fund Utilization Report'!$A$4:$U$1800,15,FALSE)</f>
        <v>Implementation of Plans, projects and activities on consumer awareness, education, and advocacy</v>
      </c>
      <c r="AC1214" s="51"/>
      <c r="AD1214" s="435"/>
      <c r="AE1214" s="51"/>
      <c r="AF1214" s="51"/>
      <c r="AG1214" s="442"/>
      <c r="AH1214" s="442"/>
      <c r="AI1214" s="443"/>
    </row>
    <row r="1215" spans="1:35" s="32" customFormat="1" ht="27.6">
      <c r="A1215" s="434" t="s">
        <v>942</v>
      </c>
      <c r="B1215" s="457" t="s">
        <v>946</v>
      </c>
      <c r="C1215" s="233">
        <v>44271</v>
      </c>
      <c r="D1215" s="435" t="s">
        <v>1267</v>
      </c>
      <c r="E1215" s="436" t="s">
        <v>1426</v>
      </c>
      <c r="F1215" s="338">
        <v>0.42986111111111108</v>
      </c>
      <c r="G1215" s="338">
        <v>0.43194444444444446</v>
      </c>
      <c r="H1215" s="434" t="s">
        <v>986</v>
      </c>
      <c r="I1215" s="437">
        <v>751</v>
      </c>
      <c r="J1215" s="434" t="str">
        <f>IFERROR(VLOOKUP(I1215,'Chart of accounts'!A:H,2,FALSE),"")</f>
        <v>50201010 00</v>
      </c>
      <c r="K1215" s="434" t="str">
        <f>IFERROR(VLOOKUP(I1215,'Chart of accounts'!A:H,3,FALSE),"")</f>
        <v>Traveling Expenses - Local</v>
      </c>
      <c r="L1215" s="434" t="str">
        <f>IFERROR(VLOOKUP(I1215,'Chart of accounts'!A:H,4,FALSE),"")</f>
        <v>50201010 00 - Traveling Expenses - Local (751)</v>
      </c>
      <c r="M1215" s="438">
        <v>2</v>
      </c>
      <c r="N1215" s="439" t="s">
        <v>818</v>
      </c>
      <c r="O1215" s="439" t="s">
        <v>1150</v>
      </c>
      <c r="P1215" s="439"/>
      <c r="Q1215" s="50">
        <f>16700</f>
        <v>16700</v>
      </c>
      <c r="R1215" s="319">
        <f t="shared" si="46"/>
        <v>-16700</v>
      </c>
      <c r="S1215" s="239" t="str">
        <f>VLOOKUP(H1215,'Fund Utilization Report'!$A$4:$U$1800,13,FALSE)</f>
        <v>MOOE</v>
      </c>
      <c r="T1215" s="239" t="str">
        <f>VLOOKUP(H1215,'Fund Utilization Report'!$A$4:$U$1800,2,FALSE)</f>
        <v>SAA37</v>
      </c>
      <c r="U1215" s="239" t="str">
        <f>VLOOKUP(H1215,'Fund Utilization Report'!$A$4:$U$1800,3,FALSE)</f>
        <v>2021-01-0037</v>
      </c>
      <c r="V1215" s="239" t="str">
        <f>VLOOKUP(H1215,'Fund Utilization Report'!$A$4:$U$1800,4,FALSE)</f>
        <v>CARP</v>
      </c>
      <c r="W1215" s="239" t="str">
        <f>VLOOKUP(H1215,'Fund Utilization Report'!$A$4:$U$1800,5,FALSE)</f>
        <v>01101101</v>
      </c>
      <c r="X1215" s="239" t="str">
        <f>VLOOKUP(H1215,'Fund Utilization Report'!$A$4:$U$1800,6,FALSE)</f>
        <v>GOP</v>
      </c>
      <c r="Y1215" s="440">
        <f>VLOOKUP(H1215,'Fund Utilization Report'!$A$4:$U$1800,7,FALSE)</f>
        <v>751</v>
      </c>
      <c r="Z1215" s="441" t="str">
        <f>VLOOKUP(H1215,'Fund Utilization Report'!$A$4:$U$1800,8,FALSE)</f>
        <v>50201010 00</v>
      </c>
      <c r="AA1215" s="239" t="str">
        <f>VLOOKUP(H1215,'Fund Utilization Report'!$A$4:$U$1800,14,FALSE)</f>
        <v>330100100003000</v>
      </c>
      <c r="AB1215" s="242" t="str">
        <f>VLOOKUP(H1215,'Fund Utilization Report'!$A$4:$U$1800,15,FALSE)</f>
        <v>MSME Development Program : Program Beneficiaries Development Component of the Comprehensive Agrarian Reform Program</v>
      </c>
      <c r="AC1215" s="51"/>
      <c r="AD1215" s="435"/>
      <c r="AE1215" s="51"/>
      <c r="AF1215" s="51"/>
      <c r="AG1215" s="442"/>
      <c r="AH1215" s="442"/>
      <c r="AI1215" s="443"/>
    </row>
    <row r="1216" spans="1:35" s="32" customFormat="1" ht="27.6">
      <c r="A1216" s="434" t="s">
        <v>942</v>
      </c>
      <c r="B1216" s="457" t="s">
        <v>946</v>
      </c>
      <c r="C1216" s="233">
        <v>44271</v>
      </c>
      <c r="D1216" s="435" t="s">
        <v>1267</v>
      </c>
      <c r="E1216" s="436" t="s">
        <v>1426</v>
      </c>
      <c r="F1216" s="338">
        <v>0.42986111111111108</v>
      </c>
      <c r="G1216" s="338">
        <v>0.43194444444444446</v>
      </c>
      <c r="H1216" s="434" t="s">
        <v>987</v>
      </c>
      <c r="I1216" s="437">
        <v>753</v>
      </c>
      <c r="J1216" s="434" t="str">
        <f>IFERROR(VLOOKUP(I1216,'Chart of accounts'!A:H,2,FALSE),"")</f>
        <v>50202010 00</v>
      </c>
      <c r="K1216" s="434" t="str">
        <f>IFERROR(VLOOKUP(I1216,'Chart of accounts'!A:H,3,FALSE),"")</f>
        <v>Training Expenses</v>
      </c>
      <c r="L1216" s="434" t="str">
        <f>IFERROR(VLOOKUP(I1216,'Chart of accounts'!A:H,4,FALSE),"")</f>
        <v>50202010 00 - Training Expenses (753)</v>
      </c>
      <c r="M1216" s="438">
        <v>2</v>
      </c>
      <c r="N1216" s="439" t="s">
        <v>818</v>
      </c>
      <c r="O1216" s="439" t="s">
        <v>1150</v>
      </c>
      <c r="P1216" s="439"/>
      <c r="Q1216" s="50">
        <f>73434</f>
        <v>73434</v>
      </c>
      <c r="R1216" s="319">
        <f t="shared" si="46"/>
        <v>-73434</v>
      </c>
      <c r="S1216" s="239" t="str">
        <f>VLOOKUP(H1216,'Fund Utilization Report'!$A$4:$U$1800,13,FALSE)</f>
        <v>MOOE</v>
      </c>
      <c r="T1216" s="239" t="str">
        <f>VLOOKUP(H1216,'Fund Utilization Report'!$A$4:$U$1800,2,FALSE)</f>
        <v>SAA37</v>
      </c>
      <c r="U1216" s="239" t="str">
        <f>VLOOKUP(H1216,'Fund Utilization Report'!$A$4:$U$1800,3,FALSE)</f>
        <v>2021-01-0037</v>
      </c>
      <c r="V1216" s="239" t="str">
        <f>VLOOKUP(H1216,'Fund Utilization Report'!$A$4:$U$1800,4,FALSE)</f>
        <v>CARP</v>
      </c>
      <c r="W1216" s="239" t="str">
        <f>VLOOKUP(H1216,'Fund Utilization Report'!$A$4:$U$1800,5,FALSE)</f>
        <v>01101101</v>
      </c>
      <c r="X1216" s="239" t="str">
        <f>VLOOKUP(H1216,'Fund Utilization Report'!$A$4:$U$1800,6,FALSE)</f>
        <v>GOP</v>
      </c>
      <c r="Y1216" s="440">
        <f>VLOOKUP(H1216,'Fund Utilization Report'!$A$4:$U$1800,7,FALSE)</f>
        <v>753</v>
      </c>
      <c r="Z1216" s="441" t="str">
        <f>VLOOKUP(H1216,'Fund Utilization Report'!$A$4:$U$1800,8,FALSE)</f>
        <v>50202010 00</v>
      </c>
      <c r="AA1216" s="239" t="str">
        <f>VLOOKUP(H1216,'Fund Utilization Report'!$A$4:$U$1800,14,FALSE)</f>
        <v>330100100003000</v>
      </c>
      <c r="AB1216" s="242" t="str">
        <f>VLOOKUP(H1216,'Fund Utilization Report'!$A$4:$U$1800,15,FALSE)</f>
        <v>MSME Development Program : Program Beneficiaries Development Component of the Comprehensive Agrarian Reform Program</v>
      </c>
      <c r="AC1216" s="51"/>
      <c r="AD1216" s="435"/>
      <c r="AE1216" s="51"/>
      <c r="AF1216" s="51"/>
      <c r="AG1216" s="442"/>
      <c r="AH1216" s="442"/>
      <c r="AI1216" s="443"/>
    </row>
    <row r="1217" spans="1:35" s="32" customFormat="1" ht="27.6">
      <c r="A1217" s="434" t="s">
        <v>942</v>
      </c>
      <c r="B1217" s="457" t="s">
        <v>946</v>
      </c>
      <c r="C1217" s="233">
        <v>44271</v>
      </c>
      <c r="D1217" s="435" t="s">
        <v>1267</v>
      </c>
      <c r="E1217" s="436" t="s">
        <v>1426</v>
      </c>
      <c r="F1217" s="338">
        <v>0.42986111111111108</v>
      </c>
      <c r="G1217" s="338">
        <v>0.43194444444444446</v>
      </c>
      <c r="H1217" s="434" t="s">
        <v>988</v>
      </c>
      <c r="I1217" s="437">
        <v>755</v>
      </c>
      <c r="J1217" s="434" t="str">
        <f>IFERROR(VLOOKUP(I1217,'Chart of accounts'!A:H,2,FALSE),"")</f>
        <v>50203010 00</v>
      </c>
      <c r="K1217" s="434" t="str">
        <f>IFERROR(VLOOKUP(I1217,'Chart of accounts'!A:H,3,FALSE),"")</f>
        <v>Office Supplies Expenses</v>
      </c>
      <c r="L1217" s="434" t="str">
        <f>IFERROR(VLOOKUP(I1217,'Chart of accounts'!A:H,4,FALSE),"")</f>
        <v>50203010 00 - Office Supplies Expenses (755)</v>
      </c>
      <c r="M1217" s="438">
        <v>2</v>
      </c>
      <c r="N1217" s="439" t="s">
        <v>818</v>
      </c>
      <c r="O1217" s="439" t="s">
        <v>1150</v>
      </c>
      <c r="P1217" s="439"/>
      <c r="Q1217" s="50">
        <f>2500</f>
        <v>2500</v>
      </c>
      <c r="R1217" s="319">
        <f t="shared" si="46"/>
        <v>-2500</v>
      </c>
      <c r="S1217" s="239" t="str">
        <f>VLOOKUP(H1217,'Fund Utilization Report'!$A$4:$U$1800,13,FALSE)</f>
        <v>MOOE</v>
      </c>
      <c r="T1217" s="239" t="str">
        <f>VLOOKUP(H1217,'Fund Utilization Report'!$A$4:$U$1800,2,FALSE)</f>
        <v>SAA37</v>
      </c>
      <c r="U1217" s="239" t="str">
        <f>VLOOKUP(H1217,'Fund Utilization Report'!$A$4:$U$1800,3,FALSE)</f>
        <v>2021-01-0037</v>
      </c>
      <c r="V1217" s="239" t="str">
        <f>VLOOKUP(H1217,'Fund Utilization Report'!$A$4:$U$1800,4,FALSE)</f>
        <v>CARP</v>
      </c>
      <c r="W1217" s="239" t="str">
        <f>VLOOKUP(H1217,'Fund Utilization Report'!$A$4:$U$1800,5,FALSE)</f>
        <v>01101101</v>
      </c>
      <c r="X1217" s="239" t="str">
        <f>VLOOKUP(H1217,'Fund Utilization Report'!$A$4:$U$1800,6,FALSE)</f>
        <v>GOP</v>
      </c>
      <c r="Y1217" s="440">
        <f>VLOOKUP(H1217,'Fund Utilization Report'!$A$4:$U$1800,7,FALSE)</f>
        <v>755</v>
      </c>
      <c r="Z1217" s="441" t="str">
        <f>VLOOKUP(H1217,'Fund Utilization Report'!$A$4:$U$1800,8,FALSE)</f>
        <v>50203010 00</v>
      </c>
      <c r="AA1217" s="239" t="str">
        <f>VLOOKUP(H1217,'Fund Utilization Report'!$A$4:$U$1800,14,FALSE)</f>
        <v>330100100003000</v>
      </c>
      <c r="AB1217" s="242" t="str">
        <f>VLOOKUP(H1217,'Fund Utilization Report'!$A$4:$U$1800,15,FALSE)</f>
        <v>MSME Development Program : Program Beneficiaries Development Component of the Comprehensive Agrarian Reform Program</v>
      </c>
      <c r="AC1217" s="51"/>
      <c r="AD1217" s="435"/>
      <c r="AE1217" s="51"/>
      <c r="AF1217" s="51"/>
      <c r="AG1217" s="442"/>
      <c r="AH1217" s="442"/>
      <c r="AI1217" s="443"/>
    </row>
    <row r="1218" spans="1:35" s="32" customFormat="1" ht="27.6">
      <c r="A1218" s="434" t="s">
        <v>942</v>
      </c>
      <c r="B1218" s="457" t="s">
        <v>946</v>
      </c>
      <c r="C1218" s="233">
        <v>44271</v>
      </c>
      <c r="D1218" s="435" t="s">
        <v>1267</v>
      </c>
      <c r="E1218" s="436" t="s">
        <v>1426</v>
      </c>
      <c r="F1218" s="338">
        <v>0.42986111111111108</v>
      </c>
      <c r="G1218" s="338">
        <v>0.43194444444444446</v>
      </c>
      <c r="H1218" s="434" t="s">
        <v>991</v>
      </c>
      <c r="I1218" s="437">
        <v>773</v>
      </c>
      <c r="J1218" s="434" t="str">
        <f>IFERROR(VLOOKUP(I1218,'Chart of accounts'!A:H,2,FALSE),"")</f>
        <v>50205020 01</v>
      </c>
      <c r="K1218" s="434" t="str">
        <f>IFERROR(VLOOKUP(I1218,'Chart of accounts'!A:H,3,FALSE),"")</f>
        <v xml:space="preserve">Telephone Expenses - Mobile </v>
      </c>
      <c r="L1218" s="434" t="str">
        <f>IFERROR(VLOOKUP(I1218,'Chart of accounts'!A:H,4,FALSE),"")</f>
        <v>50205020 01 - Telephone Expenses - Mobile  (773)</v>
      </c>
      <c r="M1218" s="438">
        <v>2</v>
      </c>
      <c r="N1218" s="439" t="s">
        <v>818</v>
      </c>
      <c r="O1218" s="439" t="s">
        <v>1150</v>
      </c>
      <c r="P1218" s="439"/>
      <c r="Q1218" s="50">
        <f>1500</f>
        <v>1500</v>
      </c>
      <c r="R1218" s="319">
        <f t="shared" si="46"/>
        <v>-1500</v>
      </c>
      <c r="S1218" s="239" t="str">
        <f>VLOOKUP(H1218,'Fund Utilization Report'!$A$4:$U$1800,13,FALSE)</f>
        <v>MOOE</v>
      </c>
      <c r="T1218" s="239" t="str">
        <f>VLOOKUP(H1218,'Fund Utilization Report'!$A$4:$U$1800,2,FALSE)</f>
        <v>SAA37</v>
      </c>
      <c r="U1218" s="239" t="str">
        <f>VLOOKUP(H1218,'Fund Utilization Report'!$A$4:$U$1800,3,FALSE)</f>
        <v>2021-01-0037</v>
      </c>
      <c r="V1218" s="239" t="str">
        <f>VLOOKUP(H1218,'Fund Utilization Report'!$A$4:$U$1800,4,FALSE)</f>
        <v>CARP</v>
      </c>
      <c r="W1218" s="239" t="str">
        <f>VLOOKUP(H1218,'Fund Utilization Report'!$A$4:$U$1800,5,FALSE)</f>
        <v>01101101</v>
      </c>
      <c r="X1218" s="239" t="str">
        <f>VLOOKUP(H1218,'Fund Utilization Report'!$A$4:$U$1800,6,FALSE)</f>
        <v>GOP</v>
      </c>
      <c r="Y1218" s="440">
        <f>VLOOKUP(H1218,'Fund Utilization Report'!$A$4:$U$1800,7,FALSE)</f>
        <v>773</v>
      </c>
      <c r="Z1218" s="441" t="str">
        <f>VLOOKUP(H1218,'Fund Utilization Report'!$A$4:$U$1800,8,FALSE)</f>
        <v>50205020 01</v>
      </c>
      <c r="AA1218" s="239" t="str">
        <f>VLOOKUP(H1218,'Fund Utilization Report'!$A$4:$U$1800,14,FALSE)</f>
        <v>330100100003000</v>
      </c>
      <c r="AB1218" s="242" t="str">
        <f>VLOOKUP(H1218,'Fund Utilization Report'!$A$4:$U$1800,15,FALSE)</f>
        <v>MSME Development Program : Program Beneficiaries Development Component of the Comprehensive Agrarian Reform Program</v>
      </c>
      <c r="AC1218" s="51"/>
      <c r="AD1218" s="435"/>
      <c r="AE1218" s="51"/>
      <c r="AF1218" s="51"/>
      <c r="AG1218" s="442"/>
      <c r="AH1218" s="442"/>
      <c r="AI1218" s="443"/>
    </row>
    <row r="1219" spans="1:35" s="32" customFormat="1" ht="27.6">
      <c r="A1219" s="434" t="s">
        <v>942</v>
      </c>
      <c r="B1219" s="457" t="s">
        <v>946</v>
      </c>
      <c r="C1219" s="233">
        <v>44271</v>
      </c>
      <c r="D1219" s="435" t="s">
        <v>1267</v>
      </c>
      <c r="E1219" s="436" t="s">
        <v>1426</v>
      </c>
      <c r="F1219" s="338">
        <v>0.42986111111111108</v>
      </c>
      <c r="G1219" s="338">
        <v>0.43194444444444446</v>
      </c>
      <c r="H1219" s="434" t="s">
        <v>993</v>
      </c>
      <c r="I1219" s="437">
        <v>799</v>
      </c>
      <c r="J1219" s="434" t="str">
        <f>IFERROR(VLOOKUP(I1219,'Chart of accounts'!A:H,2,FALSE),"")</f>
        <v>50211990 00</v>
      </c>
      <c r="K1219" s="434" t="str">
        <f>IFERROR(VLOOKUP(I1219,'Chart of accounts'!A:H,3,FALSE),"")</f>
        <v>Other Professional Services</v>
      </c>
      <c r="L1219" s="434" t="str">
        <f>IFERROR(VLOOKUP(I1219,'Chart of accounts'!A:H,4,FALSE),"")</f>
        <v>50211990 00 - Other Professional Services (799)</v>
      </c>
      <c r="M1219" s="438">
        <v>2</v>
      </c>
      <c r="N1219" s="439" t="s">
        <v>818</v>
      </c>
      <c r="O1219" s="439" t="s">
        <v>1150</v>
      </c>
      <c r="P1219" s="439"/>
      <c r="Q1219" s="50">
        <f>24500</f>
        <v>24500</v>
      </c>
      <c r="R1219" s="319">
        <f t="shared" si="46"/>
        <v>-24500</v>
      </c>
      <c r="S1219" s="239" t="str">
        <f>VLOOKUP(H1219,'Fund Utilization Report'!$A$4:$U$1800,13,FALSE)</f>
        <v>MOOE</v>
      </c>
      <c r="T1219" s="239" t="str">
        <f>VLOOKUP(H1219,'Fund Utilization Report'!$A$4:$U$1800,2,FALSE)</f>
        <v>SAA37</v>
      </c>
      <c r="U1219" s="239" t="str">
        <f>VLOOKUP(H1219,'Fund Utilization Report'!$A$4:$U$1800,3,FALSE)</f>
        <v>2021-01-0037</v>
      </c>
      <c r="V1219" s="239" t="str">
        <f>VLOOKUP(H1219,'Fund Utilization Report'!$A$4:$U$1800,4,FALSE)</f>
        <v>CARP</v>
      </c>
      <c r="W1219" s="239" t="str">
        <f>VLOOKUP(H1219,'Fund Utilization Report'!$A$4:$U$1800,5,FALSE)</f>
        <v>01101101</v>
      </c>
      <c r="X1219" s="239" t="str">
        <f>VLOOKUP(H1219,'Fund Utilization Report'!$A$4:$U$1800,6,FALSE)</f>
        <v>GOP</v>
      </c>
      <c r="Y1219" s="440">
        <f>VLOOKUP(H1219,'Fund Utilization Report'!$A$4:$U$1800,7,FALSE)</f>
        <v>799</v>
      </c>
      <c r="Z1219" s="441" t="str">
        <f>VLOOKUP(H1219,'Fund Utilization Report'!$A$4:$U$1800,8,FALSE)</f>
        <v>50211990 00</v>
      </c>
      <c r="AA1219" s="239" t="str">
        <f>VLOOKUP(H1219,'Fund Utilization Report'!$A$4:$U$1800,14,FALSE)</f>
        <v>330100100003000</v>
      </c>
      <c r="AB1219" s="242" t="str">
        <f>VLOOKUP(H1219,'Fund Utilization Report'!$A$4:$U$1800,15,FALSE)</f>
        <v>MSME Development Program : Program Beneficiaries Development Component of the Comprehensive Agrarian Reform Program</v>
      </c>
      <c r="AC1219" s="51"/>
      <c r="AD1219" s="435"/>
      <c r="AE1219" s="51"/>
      <c r="AF1219" s="51"/>
      <c r="AG1219" s="442"/>
      <c r="AH1219" s="442"/>
      <c r="AI1219" s="443"/>
    </row>
    <row r="1220" spans="1:35" s="32" customFormat="1" ht="27.6">
      <c r="A1220" s="434" t="s">
        <v>942</v>
      </c>
      <c r="B1220" s="457" t="s">
        <v>946</v>
      </c>
      <c r="C1220" s="233">
        <v>44271</v>
      </c>
      <c r="D1220" s="435" t="s">
        <v>1267</v>
      </c>
      <c r="E1220" s="436" t="s">
        <v>1426</v>
      </c>
      <c r="F1220" s="338">
        <v>0.42986111111111108</v>
      </c>
      <c r="G1220" s="338">
        <v>0.43194444444444446</v>
      </c>
      <c r="H1220" s="434" t="s">
        <v>994</v>
      </c>
      <c r="I1220" s="437">
        <v>795</v>
      </c>
      <c r="J1220" s="434" t="str">
        <f>IFERROR(VLOOKUP(I1220,'Chart of accounts'!A:H,2,FALSE),"")</f>
        <v>50212990 00</v>
      </c>
      <c r="K1220" s="434" t="str">
        <f>IFERROR(VLOOKUP(I1220,'Chart of accounts'!A:H,3,FALSE),"")</f>
        <v>Other General Services</v>
      </c>
      <c r="L1220" s="434" t="str">
        <f>IFERROR(VLOOKUP(I1220,'Chart of accounts'!A:H,4,FALSE),"")</f>
        <v>50212990 00 - Other General Services (795)</v>
      </c>
      <c r="M1220" s="438">
        <v>2</v>
      </c>
      <c r="N1220" s="439" t="s">
        <v>818</v>
      </c>
      <c r="O1220" s="439" t="s">
        <v>1150</v>
      </c>
      <c r="P1220" s="439"/>
      <c r="Q1220" s="50">
        <f>1000</f>
        <v>1000</v>
      </c>
      <c r="R1220" s="319">
        <f t="shared" si="46"/>
        <v>-1000</v>
      </c>
      <c r="S1220" s="239" t="str">
        <f>VLOOKUP(H1220,'Fund Utilization Report'!$A$4:$U$1800,13,FALSE)</f>
        <v>MOOE</v>
      </c>
      <c r="T1220" s="239" t="str">
        <f>VLOOKUP(H1220,'Fund Utilization Report'!$A$4:$U$1800,2,FALSE)</f>
        <v>SAA37</v>
      </c>
      <c r="U1220" s="239" t="str">
        <f>VLOOKUP(H1220,'Fund Utilization Report'!$A$4:$U$1800,3,FALSE)</f>
        <v>2021-01-0037</v>
      </c>
      <c r="V1220" s="239" t="str">
        <f>VLOOKUP(H1220,'Fund Utilization Report'!$A$4:$U$1800,4,FALSE)</f>
        <v>CARP</v>
      </c>
      <c r="W1220" s="239" t="str">
        <f>VLOOKUP(H1220,'Fund Utilization Report'!$A$4:$U$1800,5,FALSE)</f>
        <v>01101101</v>
      </c>
      <c r="X1220" s="239" t="str">
        <f>VLOOKUP(H1220,'Fund Utilization Report'!$A$4:$U$1800,6,FALSE)</f>
        <v>GOP</v>
      </c>
      <c r="Y1220" s="440">
        <f>VLOOKUP(H1220,'Fund Utilization Report'!$A$4:$U$1800,7,FALSE)</f>
        <v>795</v>
      </c>
      <c r="Z1220" s="441" t="str">
        <f>VLOOKUP(H1220,'Fund Utilization Report'!$A$4:$U$1800,8,FALSE)</f>
        <v>50212990 00</v>
      </c>
      <c r="AA1220" s="239" t="str">
        <f>VLOOKUP(H1220,'Fund Utilization Report'!$A$4:$U$1800,14,FALSE)</f>
        <v>330100100003000</v>
      </c>
      <c r="AB1220" s="242" t="str">
        <f>VLOOKUP(H1220,'Fund Utilization Report'!$A$4:$U$1800,15,FALSE)</f>
        <v>MSME Development Program : Program Beneficiaries Development Component of the Comprehensive Agrarian Reform Program</v>
      </c>
      <c r="AC1220" s="51"/>
      <c r="AD1220" s="435"/>
      <c r="AE1220" s="51"/>
      <c r="AF1220" s="51"/>
      <c r="AG1220" s="442"/>
      <c r="AH1220" s="442"/>
      <c r="AI1220" s="443"/>
    </row>
    <row r="1221" spans="1:35" s="32" customFormat="1">
      <c r="A1221" s="434" t="s">
        <v>942</v>
      </c>
      <c r="B1221" s="457" t="s">
        <v>946</v>
      </c>
      <c r="C1221" s="233">
        <v>44271</v>
      </c>
      <c r="D1221" s="435" t="s">
        <v>1267</v>
      </c>
      <c r="E1221" s="436" t="s">
        <v>1427</v>
      </c>
      <c r="F1221" s="338">
        <v>0.43194444444444446</v>
      </c>
      <c r="G1221" s="338">
        <v>0.43958333333333338</v>
      </c>
      <c r="H1221" s="434" t="s">
        <v>983</v>
      </c>
      <c r="I1221" s="437">
        <v>751</v>
      </c>
      <c r="J1221" s="434" t="str">
        <f>IFERROR(VLOOKUP(I1221,'Chart of accounts'!A:H,2,FALSE),"")</f>
        <v>50201010 00</v>
      </c>
      <c r="K1221" s="434" t="str">
        <f>IFERROR(VLOOKUP(I1221,'Chart of accounts'!A:H,3,FALSE),"")</f>
        <v>Traveling Expenses - Local</v>
      </c>
      <c r="L1221" s="434" t="str">
        <f>IFERROR(VLOOKUP(I1221,'Chart of accounts'!A:H,4,FALSE),"")</f>
        <v>50201010 00 - Traveling Expenses - Local (751)</v>
      </c>
      <c r="M1221" s="467" t="s">
        <v>5</v>
      </c>
      <c r="N1221" s="439" t="s">
        <v>820</v>
      </c>
      <c r="O1221" s="439" t="s">
        <v>1145</v>
      </c>
      <c r="P1221" s="439"/>
      <c r="Q1221" s="50">
        <v>5000</v>
      </c>
      <c r="R1221" s="319">
        <f t="shared" si="46"/>
        <v>-5000</v>
      </c>
      <c r="S1221" s="239" t="str">
        <f>VLOOKUP(H1221,'Fund Utilization Report'!$A$4:$U$1800,13,FALSE)</f>
        <v>MOOE</v>
      </c>
      <c r="T1221" s="239" t="str">
        <f>VLOOKUP(H1221,'Fund Utilization Report'!$A$4:$U$1800,2,FALSE)</f>
        <v>GAA</v>
      </c>
      <c r="U1221" s="239" t="str">
        <f>VLOOKUP(H1221,'Fund Utilization Report'!$A$4:$U$1800,3,FALSE)</f>
        <v>FY2021, RA11518</v>
      </c>
      <c r="V1221" s="239" t="str">
        <f>VLOOKUP(H1221,'Fund Utilization Report'!$A$4:$U$1800,4,FALSE)</f>
        <v>SSF</v>
      </c>
      <c r="W1221" s="239" t="str">
        <f>VLOOKUP(H1221,'Fund Utilization Report'!$A$4:$U$1800,5,FALSE)</f>
        <v>01101101</v>
      </c>
      <c r="X1221" s="239" t="str">
        <f>VLOOKUP(H1221,'Fund Utilization Report'!$A$4:$U$1800,6,FALSE)</f>
        <v>GOP</v>
      </c>
      <c r="Y1221" s="440" t="str">
        <f>VLOOKUP(H1221,'Fund Utilization Report'!$A$4:$U$1800,7,FALSE)</f>
        <v>MOOE</v>
      </c>
      <c r="Z1221" s="441">
        <f>VLOOKUP(H1221,'Fund Utilization Report'!$A$4:$U$1800,8,FALSE)</f>
        <v>5020000000</v>
      </c>
      <c r="AA1221" s="239" t="str">
        <f>VLOOKUP(H1221,'Fund Utilization Report'!$A$4:$U$1800,14,FALSE)</f>
        <v>330100200003000</v>
      </c>
      <c r="AB1221" s="242" t="str">
        <f>VLOOKUP(H1221,'Fund Utilization Report'!$A$4:$U$1800,15,FALSE)</f>
        <v>Shared Service Facilities Project</v>
      </c>
      <c r="AC1221" s="51"/>
      <c r="AD1221" s="435"/>
      <c r="AE1221" s="51"/>
      <c r="AF1221" s="51"/>
      <c r="AG1221" s="442"/>
      <c r="AH1221" s="442"/>
      <c r="AI1221" s="443"/>
    </row>
    <row r="1222" spans="1:35" s="32" customFormat="1">
      <c r="A1222" s="434" t="s">
        <v>942</v>
      </c>
      <c r="B1222" s="457" t="s">
        <v>946</v>
      </c>
      <c r="C1222" s="233">
        <v>44271</v>
      </c>
      <c r="D1222" s="435" t="s">
        <v>1267</v>
      </c>
      <c r="E1222" s="436" t="s">
        <v>1427</v>
      </c>
      <c r="F1222" s="338">
        <v>0.43194444444444446</v>
      </c>
      <c r="G1222" s="338">
        <v>0.43958333333333338</v>
      </c>
      <c r="H1222" s="434" t="s">
        <v>983</v>
      </c>
      <c r="I1222" s="437">
        <v>753</v>
      </c>
      <c r="J1222" s="434" t="str">
        <f>IFERROR(VLOOKUP(I1222,'Chart of accounts'!A:H,2,FALSE),"")</f>
        <v>50202010 00</v>
      </c>
      <c r="K1222" s="434" t="str">
        <f>IFERROR(VLOOKUP(I1222,'Chart of accounts'!A:H,3,FALSE),"")</f>
        <v>Training Expenses</v>
      </c>
      <c r="L1222" s="434" t="str">
        <f>IFERROR(VLOOKUP(I1222,'Chart of accounts'!A:H,4,FALSE),"")</f>
        <v>50202010 00 - Training Expenses (753)</v>
      </c>
      <c r="M1222" s="438" t="s">
        <v>5</v>
      </c>
      <c r="N1222" s="439" t="s">
        <v>820</v>
      </c>
      <c r="O1222" s="439" t="s">
        <v>1145</v>
      </c>
      <c r="P1222" s="439"/>
      <c r="Q1222" s="50">
        <v>45000</v>
      </c>
      <c r="R1222" s="319">
        <f t="shared" si="46"/>
        <v>-45000</v>
      </c>
      <c r="S1222" s="239" t="str">
        <f>VLOOKUP(H1222,'Fund Utilization Report'!$A$4:$U$1800,13,FALSE)</f>
        <v>MOOE</v>
      </c>
      <c r="T1222" s="239" t="str">
        <f>VLOOKUP(H1222,'Fund Utilization Report'!$A$4:$U$1800,2,FALSE)</f>
        <v>GAA</v>
      </c>
      <c r="U1222" s="239" t="str">
        <f>VLOOKUP(H1222,'Fund Utilization Report'!$A$4:$U$1800,3,FALSE)</f>
        <v>FY2021, RA11518</v>
      </c>
      <c r="V1222" s="239" t="str">
        <f>VLOOKUP(H1222,'Fund Utilization Report'!$A$4:$U$1800,4,FALSE)</f>
        <v>SSF</v>
      </c>
      <c r="W1222" s="239" t="str">
        <f>VLOOKUP(H1222,'Fund Utilization Report'!$A$4:$U$1800,5,FALSE)</f>
        <v>01101101</v>
      </c>
      <c r="X1222" s="239" t="str">
        <f>VLOOKUP(H1222,'Fund Utilization Report'!$A$4:$U$1800,6,FALSE)</f>
        <v>GOP</v>
      </c>
      <c r="Y1222" s="440" t="str">
        <f>VLOOKUP(H1222,'Fund Utilization Report'!$A$4:$U$1800,7,FALSE)</f>
        <v>MOOE</v>
      </c>
      <c r="Z1222" s="441">
        <f>VLOOKUP(H1222,'Fund Utilization Report'!$A$4:$U$1800,8,FALSE)</f>
        <v>5020000000</v>
      </c>
      <c r="AA1222" s="239" t="str">
        <f>VLOOKUP(H1222,'Fund Utilization Report'!$A$4:$U$1800,14,FALSE)</f>
        <v>330100200003000</v>
      </c>
      <c r="AB1222" s="242" t="str">
        <f>VLOOKUP(H1222,'Fund Utilization Report'!$A$4:$U$1800,15,FALSE)</f>
        <v>Shared Service Facilities Project</v>
      </c>
      <c r="AC1222" s="51"/>
      <c r="AD1222" s="435"/>
      <c r="AE1222" s="51"/>
      <c r="AF1222" s="51"/>
      <c r="AG1222" s="442"/>
      <c r="AH1222" s="442"/>
      <c r="AI1222" s="443"/>
    </row>
    <row r="1223" spans="1:35" s="32" customFormat="1">
      <c r="A1223" s="434" t="s">
        <v>942</v>
      </c>
      <c r="B1223" s="457" t="s">
        <v>946</v>
      </c>
      <c r="C1223" s="233">
        <v>44271</v>
      </c>
      <c r="D1223" s="435" t="s">
        <v>1267</v>
      </c>
      <c r="E1223" s="436" t="s">
        <v>1427</v>
      </c>
      <c r="F1223" s="338">
        <v>0.43194444444444446</v>
      </c>
      <c r="G1223" s="338">
        <v>0.43958333333333338</v>
      </c>
      <c r="H1223" s="434" t="s">
        <v>983</v>
      </c>
      <c r="I1223" s="437">
        <v>773</v>
      </c>
      <c r="J1223" s="434" t="str">
        <f>IFERROR(VLOOKUP(I1223,'Chart of accounts'!A:H,2,FALSE),"")</f>
        <v>50205020 01</v>
      </c>
      <c r="K1223" s="434" t="str">
        <f>IFERROR(VLOOKUP(I1223,'Chart of accounts'!A:H,3,FALSE),"")</f>
        <v xml:space="preserve">Telephone Expenses - Mobile </v>
      </c>
      <c r="L1223" s="434" t="str">
        <f>IFERROR(VLOOKUP(I1223,'Chart of accounts'!A:H,4,FALSE),"")</f>
        <v>50205020 01 - Telephone Expenses - Mobile  (773)</v>
      </c>
      <c r="M1223" s="438" t="s">
        <v>5</v>
      </c>
      <c r="N1223" s="439" t="s">
        <v>820</v>
      </c>
      <c r="O1223" s="439" t="s">
        <v>1145</v>
      </c>
      <c r="P1223" s="439"/>
      <c r="Q1223" s="50">
        <f>5000</f>
        <v>5000</v>
      </c>
      <c r="R1223" s="319">
        <f t="shared" si="46"/>
        <v>-5000</v>
      </c>
      <c r="S1223" s="239" t="str">
        <f>VLOOKUP(H1223,'Fund Utilization Report'!$A$4:$U$1800,13,FALSE)</f>
        <v>MOOE</v>
      </c>
      <c r="T1223" s="239" t="str">
        <f>VLOOKUP(H1223,'Fund Utilization Report'!$A$4:$U$1800,2,FALSE)</f>
        <v>GAA</v>
      </c>
      <c r="U1223" s="239" t="str">
        <f>VLOOKUP(H1223,'Fund Utilization Report'!$A$4:$U$1800,3,FALSE)</f>
        <v>FY2021, RA11518</v>
      </c>
      <c r="V1223" s="239" t="str">
        <f>VLOOKUP(H1223,'Fund Utilization Report'!$A$4:$U$1800,4,FALSE)</f>
        <v>SSF</v>
      </c>
      <c r="W1223" s="239" t="str">
        <f>VLOOKUP(H1223,'Fund Utilization Report'!$A$4:$U$1800,5,FALSE)</f>
        <v>01101101</v>
      </c>
      <c r="X1223" s="239" t="str">
        <f>VLOOKUP(H1223,'Fund Utilization Report'!$A$4:$U$1800,6,FALSE)</f>
        <v>GOP</v>
      </c>
      <c r="Y1223" s="440" t="str">
        <f>VLOOKUP(H1223,'Fund Utilization Report'!$A$4:$U$1800,7,FALSE)</f>
        <v>MOOE</v>
      </c>
      <c r="Z1223" s="441">
        <f>VLOOKUP(H1223,'Fund Utilization Report'!$A$4:$U$1800,8,FALSE)</f>
        <v>5020000000</v>
      </c>
      <c r="AA1223" s="239" t="str">
        <f>VLOOKUP(H1223,'Fund Utilization Report'!$A$4:$U$1800,14,FALSE)</f>
        <v>330100200003000</v>
      </c>
      <c r="AB1223" s="242" t="str">
        <f>VLOOKUP(H1223,'Fund Utilization Report'!$A$4:$U$1800,15,FALSE)</f>
        <v>Shared Service Facilities Project</v>
      </c>
      <c r="AC1223" s="51"/>
      <c r="AD1223" s="435"/>
      <c r="AE1223" s="51"/>
      <c r="AF1223" s="51"/>
      <c r="AG1223" s="442"/>
      <c r="AH1223" s="442"/>
      <c r="AI1223" s="443"/>
    </row>
    <row r="1224" spans="1:35" s="32" customFormat="1">
      <c r="A1224" s="434" t="s">
        <v>942</v>
      </c>
      <c r="B1224" s="457" t="s">
        <v>946</v>
      </c>
      <c r="C1224" s="233">
        <v>44271</v>
      </c>
      <c r="D1224" s="435" t="s">
        <v>1267</v>
      </c>
      <c r="E1224" s="436" t="s">
        <v>1427</v>
      </c>
      <c r="F1224" s="458">
        <v>0.43194444444444446</v>
      </c>
      <c r="G1224" s="458">
        <v>0.43958333333333338</v>
      </c>
      <c r="H1224" s="434" t="s">
        <v>983</v>
      </c>
      <c r="I1224" s="459">
        <v>783</v>
      </c>
      <c r="J1224" s="458" t="str">
        <f>IFERROR(VLOOKUP(I1224,'Chart of accounts'!A:H,2,FALSE),"")</f>
        <v>50299030 00</v>
      </c>
      <c r="K1224" s="458" t="str">
        <f>IFERROR(VLOOKUP(I1224,'Chart of accounts'!A:H,3,FALSE),"")</f>
        <v>Representation Expenses</v>
      </c>
      <c r="L1224" s="458" t="str">
        <f>IFERROR(VLOOKUP(I1224,'Chart of accounts'!A:H,4,FALSE),"")</f>
        <v>50299030 00 - Representation Expenses (783)</v>
      </c>
      <c r="M1224" s="467" t="s">
        <v>5</v>
      </c>
      <c r="N1224" s="439" t="s">
        <v>820</v>
      </c>
      <c r="O1224" s="439" t="s">
        <v>1145</v>
      </c>
      <c r="P1224" s="463"/>
      <c r="Q1224" s="468">
        <v>15000</v>
      </c>
      <c r="R1224" s="462">
        <f>P1224-Q1224</f>
        <v>-15000</v>
      </c>
      <c r="S1224" s="239" t="str">
        <f>VLOOKUP(H1224,'Fund Utilization Report'!$A$4:$U$1800,13,FALSE)</f>
        <v>MOOE</v>
      </c>
      <c r="T1224" s="239" t="str">
        <f>VLOOKUP(H1224,'Fund Utilization Report'!$A$4:$U$1800,2,FALSE)</f>
        <v>GAA</v>
      </c>
      <c r="U1224" s="239" t="str">
        <f>VLOOKUP(H1224,'Fund Utilization Report'!$A$4:$U$1800,3,FALSE)</f>
        <v>FY2021, RA11518</v>
      </c>
      <c r="V1224" s="239" t="str">
        <f>VLOOKUP(H1224,'Fund Utilization Report'!$A$4:$U$1800,4,FALSE)</f>
        <v>SSF</v>
      </c>
      <c r="W1224" s="239" t="str">
        <f>VLOOKUP(H1224,'Fund Utilization Report'!$A$4:$U$1800,5,FALSE)</f>
        <v>01101101</v>
      </c>
      <c r="X1224" s="239" t="str">
        <f>VLOOKUP(H1224,'Fund Utilization Report'!$A$4:$U$1800,6,FALSE)</f>
        <v>GOP</v>
      </c>
      <c r="Y1224" s="440" t="str">
        <f>VLOOKUP(H1224,'Fund Utilization Report'!$A$4:$U$1800,7,FALSE)</f>
        <v>MOOE</v>
      </c>
      <c r="Z1224" s="441">
        <f>VLOOKUP(H1224,'Fund Utilization Report'!$A$4:$U$1800,8,FALSE)</f>
        <v>5020000000</v>
      </c>
      <c r="AA1224" s="239" t="str">
        <f>VLOOKUP(H1224,'Fund Utilization Report'!$A$4:$U$1800,14,FALSE)</f>
        <v>330100200003000</v>
      </c>
      <c r="AB1224" s="242" t="str">
        <f>VLOOKUP(H1224,'Fund Utilization Report'!$A$4:$U$1800,15,FALSE)</f>
        <v>Shared Service Facilities Project</v>
      </c>
      <c r="AC1224" s="51"/>
      <c r="AD1224" s="435"/>
      <c r="AE1224" s="51"/>
      <c r="AF1224" s="51"/>
      <c r="AG1224" s="442"/>
      <c r="AH1224" s="442"/>
      <c r="AI1224" s="443"/>
    </row>
    <row r="1225" spans="1:35" s="32" customFormat="1">
      <c r="A1225" s="434" t="s">
        <v>942</v>
      </c>
      <c r="B1225" s="457" t="s">
        <v>946</v>
      </c>
      <c r="C1225" s="233">
        <v>44271</v>
      </c>
      <c r="D1225" s="435" t="s">
        <v>1267</v>
      </c>
      <c r="E1225" s="436" t="s">
        <v>1427</v>
      </c>
      <c r="F1225" s="338">
        <v>0.43194444444444446</v>
      </c>
      <c r="G1225" s="338">
        <v>0.43958333333333338</v>
      </c>
      <c r="H1225" s="434" t="s">
        <v>983</v>
      </c>
      <c r="I1225" s="437">
        <v>793</v>
      </c>
      <c r="J1225" s="434" t="str">
        <f>IFERROR(VLOOKUP(I1225,'Chart of accounts'!A:H,2,FALSE),"")</f>
        <v>50211030 00</v>
      </c>
      <c r="K1225" s="434" t="str">
        <f>IFERROR(VLOOKUP(I1225,'Chart of accounts'!A:H,3,FALSE),"")</f>
        <v>Consultancy Services</v>
      </c>
      <c r="L1225" s="434" t="str">
        <f>IFERROR(VLOOKUP(I1225,'Chart of accounts'!A:H,4,FALSE),"")</f>
        <v>50211030 00 - Consultancy Services (793)</v>
      </c>
      <c r="M1225" s="438" t="s">
        <v>5</v>
      </c>
      <c r="N1225" s="439" t="s">
        <v>820</v>
      </c>
      <c r="O1225" s="439" t="s">
        <v>1145</v>
      </c>
      <c r="P1225" s="439"/>
      <c r="Q1225" s="50">
        <f>24707.14</f>
        <v>24707.14</v>
      </c>
      <c r="R1225" s="319">
        <f t="shared" si="46"/>
        <v>-24707.14</v>
      </c>
      <c r="S1225" s="239" t="str">
        <f>VLOOKUP(H1225,'Fund Utilization Report'!$A$4:$U$1800,13,FALSE)</f>
        <v>MOOE</v>
      </c>
      <c r="T1225" s="239" t="str">
        <f>VLOOKUP(H1225,'Fund Utilization Report'!$A$4:$U$1800,2,FALSE)</f>
        <v>GAA</v>
      </c>
      <c r="U1225" s="239" t="str">
        <f>VLOOKUP(H1225,'Fund Utilization Report'!$A$4:$U$1800,3,FALSE)</f>
        <v>FY2021, RA11518</v>
      </c>
      <c r="V1225" s="239" t="str">
        <f>VLOOKUP(H1225,'Fund Utilization Report'!$A$4:$U$1800,4,FALSE)</f>
        <v>SSF</v>
      </c>
      <c r="W1225" s="239" t="str">
        <f>VLOOKUP(H1225,'Fund Utilization Report'!$A$4:$U$1800,5,FALSE)</f>
        <v>01101101</v>
      </c>
      <c r="X1225" s="239" t="str">
        <f>VLOOKUP(H1225,'Fund Utilization Report'!$A$4:$U$1800,6,FALSE)</f>
        <v>GOP</v>
      </c>
      <c r="Y1225" s="440" t="str">
        <f>VLOOKUP(H1225,'Fund Utilization Report'!$A$4:$U$1800,7,FALSE)</f>
        <v>MOOE</v>
      </c>
      <c r="Z1225" s="441">
        <f>VLOOKUP(H1225,'Fund Utilization Report'!$A$4:$U$1800,8,FALSE)</f>
        <v>5020000000</v>
      </c>
      <c r="AA1225" s="239" t="str">
        <f>VLOOKUP(H1225,'Fund Utilization Report'!$A$4:$U$1800,14,FALSE)</f>
        <v>330100200003000</v>
      </c>
      <c r="AB1225" s="242" t="str">
        <f>VLOOKUP(H1225,'Fund Utilization Report'!$A$4:$U$1800,15,FALSE)</f>
        <v>Shared Service Facilities Project</v>
      </c>
      <c r="AC1225" s="51"/>
      <c r="AD1225" s="435"/>
      <c r="AE1225" s="51"/>
      <c r="AF1225" s="51"/>
      <c r="AG1225" s="442"/>
      <c r="AH1225" s="442"/>
      <c r="AI1225" s="443"/>
    </row>
    <row r="1226" spans="1:35" s="32" customFormat="1">
      <c r="A1226" s="434" t="s">
        <v>942</v>
      </c>
      <c r="B1226" s="457" t="s">
        <v>946</v>
      </c>
      <c r="C1226" s="233">
        <v>44271</v>
      </c>
      <c r="D1226" s="435" t="s">
        <v>1267</v>
      </c>
      <c r="E1226" s="436" t="s">
        <v>1428</v>
      </c>
      <c r="F1226" s="338">
        <v>0.43958333333333338</v>
      </c>
      <c r="G1226" s="338">
        <v>0.44305555555555554</v>
      </c>
      <c r="H1226" s="434" t="s">
        <v>961</v>
      </c>
      <c r="I1226" s="437">
        <v>783</v>
      </c>
      <c r="J1226" s="434" t="str">
        <f>IFERROR(VLOOKUP(I1226,'Chart of accounts'!A:H,2,FALSE),"")</f>
        <v>50299030 00</v>
      </c>
      <c r="K1226" s="434" t="str">
        <f>IFERROR(VLOOKUP(I1226,'Chart of accounts'!A:H,3,FALSE),"")</f>
        <v>Representation Expenses</v>
      </c>
      <c r="L1226" s="434" t="str">
        <f>IFERROR(VLOOKUP(I1226,'Chart of accounts'!A:H,4,FALSE),"")</f>
        <v>50299030 00 - Representation Expenses (783)</v>
      </c>
      <c r="M1226" s="438" t="s">
        <v>816</v>
      </c>
      <c r="N1226" s="439" t="s">
        <v>1189</v>
      </c>
      <c r="O1226" s="439" t="s">
        <v>1429</v>
      </c>
      <c r="P1226" s="439"/>
      <c r="Q1226" s="50">
        <v>11000</v>
      </c>
      <c r="R1226" s="319">
        <f t="shared" si="46"/>
        <v>-11000</v>
      </c>
      <c r="S1226" s="239" t="str">
        <f>VLOOKUP(H1226,'Fund Utilization Report'!$A$4:$U$1800,13,FALSE)</f>
        <v>MOOE</v>
      </c>
      <c r="T1226" s="239" t="str">
        <f>VLOOKUP(H1226,'Fund Utilization Report'!$A$4:$U$1800,2,FALSE)</f>
        <v>GAA</v>
      </c>
      <c r="U1226" s="239" t="str">
        <f>VLOOKUP(H1226,'Fund Utilization Report'!$A$4:$U$1800,3,FALSE)</f>
        <v>FY2021, RA11518</v>
      </c>
      <c r="V1226" s="239" t="str">
        <f>VLOOKUP(H1226,'Fund Utilization Report'!$A$4:$U$1800,4,FALSE)</f>
        <v>GAS(GMS)</v>
      </c>
      <c r="W1226" s="239" t="str">
        <f>VLOOKUP(H1226,'Fund Utilization Report'!$A$4:$U$1800,5,FALSE)</f>
        <v>01101101</v>
      </c>
      <c r="X1226" s="239" t="str">
        <f>VLOOKUP(H1226,'Fund Utilization Report'!$A$4:$U$1800,6,FALSE)</f>
        <v>GOP</v>
      </c>
      <c r="Y1226" s="440" t="str">
        <f>VLOOKUP(H1226,'Fund Utilization Report'!$A$4:$U$1800,7,FALSE)</f>
        <v>MOOE</v>
      </c>
      <c r="Z1226" s="441">
        <f>VLOOKUP(H1226,'Fund Utilization Report'!$A$4:$U$1800,8,FALSE)</f>
        <v>5020000000</v>
      </c>
      <c r="AA1226" s="239" t="str">
        <f>VLOOKUP(H1226,'Fund Utilization Report'!$A$4:$U$1800,14,FALSE)</f>
        <v>100000100001000</v>
      </c>
      <c r="AB1226" s="242" t="str">
        <f>VLOOKUP(H1226,'Fund Utilization Report'!$A$4:$U$1800,15,FALSE)</f>
        <v>General Administration and Supervision - General Management and Supervision</v>
      </c>
      <c r="AC1226" s="51"/>
      <c r="AD1226" s="435"/>
      <c r="AE1226" s="51"/>
      <c r="AF1226" s="51"/>
      <c r="AG1226" s="442"/>
      <c r="AH1226" s="442"/>
      <c r="AI1226" s="443"/>
    </row>
    <row r="1227" spans="1:35" s="32" customFormat="1" ht="27.6">
      <c r="A1227" s="434" t="s">
        <v>942</v>
      </c>
      <c r="B1227" s="457" t="s">
        <v>946</v>
      </c>
      <c r="C1227" s="233">
        <v>44271</v>
      </c>
      <c r="D1227" s="435" t="s">
        <v>1267</v>
      </c>
      <c r="E1227" s="436" t="s">
        <v>1430</v>
      </c>
      <c r="F1227" s="338">
        <v>0.44305555555555554</v>
      </c>
      <c r="G1227" s="338">
        <v>0.44444444444444442</v>
      </c>
      <c r="H1227" s="434" t="s">
        <v>961</v>
      </c>
      <c r="I1227" s="437">
        <v>755</v>
      </c>
      <c r="J1227" s="434" t="str">
        <f>IFERROR(VLOOKUP(I1227,'Chart of accounts'!A:H,2,FALSE),"")</f>
        <v>50203010 00</v>
      </c>
      <c r="K1227" s="434" t="str">
        <f>IFERROR(VLOOKUP(I1227,'Chart of accounts'!A:H,3,FALSE),"")</f>
        <v>Office Supplies Expenses</v>
      </c>
      <c r="L1227" s="434" t="str">
        <f>IFERROR(VLOOKUP(I1227,'Chart of accounts'!A:H,4,FALSE),"")</f>
        <v>50203010 00 - Office Supplies Expenses (755)</v>
      </c>
      <c r="M1227" s="438" t="s">
        <v>812</v>
      </c>
      <c r="N1227" s="439" t="s">
        <v>1325</v>
      </c>
      <c r="O1227" s="439" t="s">
        <v>1431</v>
      </c>
      <c r="P1227" s="439"/>
      <c r="Q1227" s="50">
        <v>3760</v>
      </c>
      <c r="R1227" s="319">
        <f t="shared" si="46"/>
        <v>-3760</v>
      </c>
      <c r="S1227" s="239" t="str">
        <f>VLOOKUP(H1227,'Fund Utilization Report'!$A$4:$U$1800,13,FALSE)</f>
        <v>MOOE</v>
      </c>
      <c r="T1227" s="239" t="str">
        <f>VLOOKUP(H1227,'Fund Utilization Report'!$A$4:$U$1800,2,FALSE)</f>
        <v>GAA</v>
      </c>
      <c r="U1227" s="239" t="str">
        <f>VLOOKUP(H1227,'Fund Utilization Report'!$A$4:$U$1800,3,FALSE)</f>
        <v>FY2021, RA11518</v>
      </c>
      <c r="V1227" s="239" t="str">
        <f>VLOOKUP(H1227,'Fund Utilization Report'!$A$4:$U$1800,4,FALSE)</f>
        <v>GAS(GMS)</v>
      </c>
      <c r="W1227" s="239" t="str">
        <f>VLOOKUP(H1227,'Fund Utilization Report'!$A$4:$U$1800,5,FALSE)</f>
        <v>01101101</v>
      </c>
      <c r="X1227" s="239" t="str">
        <f>VLOOKUP(H1227,'Fund Utilization Report'!$A$4:$U$1800,6,FALSE)</f>
        <v>GOP</v>
      </c>
      <c r="Y1227" s="440" t="str">
        <f>VLOOKUP(H1227,'Fund Utilization Report'!$A$4:$U$1800,7,FALSE)</f>
        <v>MOOE</v>
      </c>
      <c r="Z1227" s="441">
        <f>VLOOKUP(H1227,'Fund Utilization Report'!$A$4:$U$1800,8,FALSE)</f>
        <v>5020000000</v>
      </c>
      <c r="AA1227" s="239" t="str">
        <f>VLOOKUP(H1227,'Fund Utilization Report'!$A$4:$U$1800,14,FALSE)</f>
        <v>100000100001000</v>
      </c>
      <c r="AB1227" s="242" t="str">
        <f>VLOOKUP(H1227,'Fund Utilization Report'!$A$4:$U$1800,15,FALSE)</f>
        <v>General Administration and Supervision - General Management and Supervision</v>
      </c>
      <c r="AC1227" s="51"/>
      <c r="AD1227" s="435"/>
      <c r="AE1227" s="51"/>
      <c r="AF1227" s="51"/>
      <c r="AG1227" s="442"/>
      <c r="AH1227" s="442"/>
      <c r="AI1227" s="443"/>
    </row>
    <row r="1228" spans="1:35" s="32" customFormat="1" ht="27.6">
      <c r="A1228" s="434" t="s">
        <v>942</v>
      </c>
      <c r="B1228" s="457" t="s">
        <v>946</v>
      </c>
      <c r="C1228" s="233">
        <v>44271</v>
      </c>
      <c r="D1228" s="435" t="s">
        <v>1267</v>
      </c>
      <c r="E1228" s="436" t="s">
        <v>1432</v>
      </c>
      <c r="F1228" s="338">
        <v>0.44444444444444442</v>
      </c>
      <c r="G1228" s="338">
        <v>0.4465277777777778</v>
      </c>
      <c r="H1228" s="434" t="s">
        <v>961</v>
      </c>
      <c r="I1228" s="437">
        <v>781</v>
      </c>
      <c r="J1228" s="434" t="str">
        <f>IFERROR(VLOOKUP(I1228,'Chart of accounts'!A:H,2,FALSE),"")</f>
        <v>50299020 00</v>
      </c>
      <c r="K1228" s="434" t="str">
        <f>IFERROR(VLOOKUP(I1228,'Chart of accounts'!A:H,3,FALSE),"")</f>
        <v>Printing and Binding Expenses</v>
      </c>
      <c r="L1228" s="434" t="str">
        <f>IFERROR(VLOOKUP(I1228,'Chart of accounts'!A:H,4,FALSE),"")</f>
        <v>50299020 00 - Printing and Binding Expenses (781)</v>
      </c>
      <c r="M1228" s="438" t="s">
        <v>812</v>
      </c>
      <c r="N1228" s="439" t="s">
        <v>1433</v>
      </c>
      <c r="O1228" s="439" t="s">
        <v>1434</v>
      </c>
      <c r="P1228" s="439"/>
      <c r="Q1228" s="50">
        <v>800</v>
      </c>
      <c r="R1228" s="319">
        <f t="shared" si="46"/>
        <v>-800</v>
      </c>
      <c r="S1228" s="239" t="str">
        <f>VLOOKUP(H1228,'Fund Utilization Report'!$A$4:$U$1800,13,FALSE)</f>
        <v>MOOE</v>
      </c>
      <c r="T1228" s="239" t="str">
        <f>VLOOKUP(H1228,'Fund Utilization Report'!$A$4:$U$1800,2,FALSE)</f>
        <v>GAA</v>
      </c>
      <c r="U1228" s="239" t="str">
        <f>VLOOKUP(H1228,'Fund Utilization Report'!$A$4:$U$1800,3,FALSE)</f>
        <v>FY2021, RA11518</v>
      </c>
      <c r="V1228" s="239" t="str">
        <f>VLOOKUP(H1228,'Fund Utilization Report'!$A$4:$U$1800,4,FALSE)</f>
        <v>GAS(GMS)</v>
      </c>
      <c r="W1228" s="239" t="str">
        <f>VLOOKUP(H1228,'Fund Utilization Report'!$A$4:$U$1800,5,FALSE)</f>
        <v>01101101</v>
      </c>
      <c r="X1228" s="239" t="str">
        <f>VLOOKUP(H1228,'Fund Utilization Report'!$A$4:$U$1800,6,FALSE)</f>
        <v>GOP</v>
      </c>
      <c r="Y1228" s="440" t="str">
        <f>VLOOKUP(H1228,'Fund Utilization Report'!$A$4:$U$1800,7,FALSE)</f>
        <v>MOOE</v>
      </c>
      <c r="Z1228" s="441">
        <f>VLOOKUP(H1228,'Fund Utilization Report'!$A$4:$U$1800,8,FALSE)</f>
        <v>5020000000</v>
      </c>
      <c r="AA1228" s="239" t="str">
        <f>VLOOKUP(H1228,'Fund Utilization Report'!$A$4:$U$1800,14,FALSE)</f>
        <v>100000100001000</v>
      </c>
      <c r="AB1228" s="242" t="str">
        <f>VLOOKUP(H1228,'Fund Utilization Report'!$A$4:$U$1800,15,FALSE)</f>
        <v>General Administration and Supervision - General Management and Supervision</v>
      </c>
      <c r="AC1228" s="51"/>
      <c r="AD1228" s="435"/>
      <c r="AE1228" s="51"/>
      <c r="AF1228" s="51"/>
      <c r="AG1228" s="442"/>
      <c r="AH1228" s="442"/>
      <c r="AI1228" s="443"/>
    </row>
    <row r="1229" spans="1:35" s="32" customFormat="1" ht="27.6">
      <c r="A1229" s="434" t="s">
        <v>942</v>
      </c>
      <c r="B1229" s="457" t="s">
        <v>946</v>
      </c>
      <c r="C1229" s="233">
        <v>44271</v>
      </c>
      <c r="D1229" s="435" t="s">
        <v>1267</v>
      </c>
      <c r="E1229" s="436" t="s">
        <v>1435</v>
      </c>
      <c r="F1229" s="338">
        <v>0.4465277777777778</v>
      </c>
      <c r="G1229" s="338">
        <v>0.44930555555555557</v>
      </c>
      <c r="H1229" s="434" t="s">
        <v>961</v>
      </c>
      <c r="I1229" s="353">
        <v>783</v>
      </c>
      <c r="J1229" s="338" t="str">
        <f>IFERROR(VLOOKUP(I1229,'Chart of accounts'!A:H,2,FALSE),"")</f>
        <v>50299030 00</v>
      </c>
      <c r="K1229" s="338" t="str">
        <f>IFERROR(VLOOKUP(I1229,'Chart of accounts'!A:H,3,FALSE),"")</f>
        <v>Representation Expenses</v>
      </c>
      <c r="L1229" s="338" t="str">
        <f>IFERROR(VLOOKUP(I1229,'Chart of accounts'!A:H,4,FALSE),"")</f>
        <v>50299030 00 - Representation Expenses (783)</v>
      </c>
      <c r="M1229" s="438" t="s">
        <v>812</v>
      </c>
      <c r="N1229" s="355" t="s">
        <v>1436</v>
      </c>
      <c r="O1229" s="439" t="s">
        <v>1437</v>
      </c>
      <c r="P1229" s="355"/>
      <c r="Q1229" s="363">
        <v>30000</v>
      </c>
      <c r="R1229" s="319">
        <f t="shared" si="46"/>
        <v>-30000</v>
      </c>
      <c r="S1229" s="239" t="str">
        <f>VLOOKUP(H1229,'Fund Utilization Report'!$A$4:$U$1800,13,FALSE)</f>
        <v>MOOE</v>
      </c>
      <c r="T1229" s="239" t="str">
        <f>VLOOKUP(H1229,'Fund Utilization Report'!$A$4:$U$1800,2,FALSE)</f>
        <v>GAA</v>
      </c>
      <c r="U1229" s="239" t="str">
        <f>VLOOKUP(H1229,'Fund Utilization Report'!$A$4:$U$1800,3,FALSE)</f>
        <v>FY2021, RA11518</v>
      </c>
      <c r="V1229" s="239" t="str">
        <f>VLOOKUP(H1229,'Fund Utilization Report'!$A$4:$U$1800,4,FALSE)</f>
        <v>GAS(GMS)</v>
      </c>
      <c r="W1229" s="239" t="str">
        <f>VLOOKUP(H1229,'Fund Utilization Report'!$A$4:$U$1800,5,FALSE)</f>
        <v>01101101</v>
      </c>
      <c r="X1229" s="239" t="str">
        <f>VLOOKUP(H1229,'Fund Utilization Report'!$A$4:$U$1800,6,FALSE)</f>
        <v>GOP</v>
      </c>
      <c r="Y1229" s="440" t="str">
        <f>VLOOKUP(H1229,'Fund Utilization Report'!$A$4:$U$1800,7,FALSE)</f>
        <v>MOOE</v>
      </c>
      <c r="Z1229" s="441">
        <f>VLOOKUP(H1229,'Fund Utilization Report'!$A$4:$U$1800,8,FALSE)</f>
        <v>5020000000</v>
      </c>
      <c r="AA1229" s="239" t="str">
        <f>VLOOKUP(H1229,'Fund Utilization Report'!$A$4:$U$1800,14,FALSE)</f>
        <v>100000100001000</v>
      </c>
      <c r="AB1229" s="242" t="str">
        <f>VLOOKUP(H1229,'Fund Utilization Report'!$A$4:$U$1800,15,FALSE)</f>
        <v>General Administration and Supervision - General Management and Supervision</v>
      </c>
      <c r="AC1229" s="51"/>
      <c r="AD1229" s="435"/>
      <c r="AE1229" s="51"/>
      <c r="AF1229" s="51"/>
      <c r="AG1229" s="442"/>
      <c r="AH1229" s="442"/>
      <c r="AI1229" s="443"/>
    </row>
    <row r="1230" spans="1:35" s="32" customFormat="1">
      <c r="A1230" s="434" t="s">
        <v>942</v>
      </c>
      <c r="B1230" s="457" t="s">
        <v>946</v>
      </c>
      <c r="C1230" s="233">
        <v>44271</v>
      </c>
      <c r="D1230" s="435" t="s">
        <v>1267</v>
      </c>
      <c r="E1230" s="436" t="s">
        <v>1438</v>
      </c>
      <c r="F1230" s="338">
        <v>0.46111111111111108</v>
      </c>
      <c r="G1230" s="338">
        <v>0.46458333333333335</v>
      </c>
      <c r="H1230" s="338" t="s">
        <v>960</v>
      </c>
      <c r="I1230" s="353">
        <v>715</v>
      </c>
      <c r="J1230" s="338" t="str">
        <f>IFERROR(VLOOKUP(I1230,'Chart of accounts'!A:H,2,FALSE),"")</f>
        <v>50102040 01</v>
      </c>
      <c r="K1230" s="338" t="str">
        <f>IFERROR(VLOOKUP(I1230,'Chart of accounts'!A:H,3,FALSE),"")</f>
        <v>Clothing/Uniform Allowance - Civilian</v>
      </c>
      <c r="L1230" s="338" t="str">
        <f>IFERROR(VLOOKUP(I1230,'Chart of accounts'!A:H,4,FALSE),"")</f>
        <v>50102040 01 - Clothing/Uniform Allowance - Civilian (715)</v>
      </c>
      <c r="M1230" s="361">
        <v>1</v>
      </c>
      <c r="N1230" s="355" t="s">
        <v>10</v>
      </c>
      <c r="O1230" s="355" t="s">
        <v>1439</v>
      </c>
      <c r="P1230" s="355"/>
      <c r="Q1230" s="363">
        <v>114000</v>
      </c>
      <c r="R1230" s="319">
        <f t="shared" si="46"/>
        <v>-114000</v>
      </c>
      <c r="S1230" s="239" t="str">
        <f>VLOOKUP(H1230,'Fund Utilization Report'!$A$4:$U$1800,13,FALSE)</f>
        <v>PS</v>
      </c>
      <c r="T1230" s="239" t="str">
        <f>VLOOKUP(H1230,'Fund Utilization Report'!$A$4:$U$1800,2,FALSE)</f>
        <v>GAA</v>
      </c>
      <c r="U1230" s="239" t="str">
        <f>VLOOKUP(H1230,'Fund Utilization Report'!$A$4:$U$1800,3,FALSE)</f>
        <v>FY2021, RA11518</v>
      </c>
      <c r="V1230" s="239" t="str">
        <f>VLOOKUP(H1230,'Fund Utilization Report'!$A$4:$U$1800,4,FALSE)</f>
        <v>GAS(GMS)</v>
      </c>
      <c r="W1230" s="239" t="str">
        <f>VLOOKUP(H1230,'Fund Utilization Report'!$A$4:$U$1800,5,FALSE)</f>
        <v>01101101</v>
      </c>
      <c r="X1230" s="239" t="str">
        <f>VLOOKUP(H1230,'Fund Utilization Report'!$A$4:$U$1800,6,FALSE)</f>
        <v>GOP</v>
      </c>
      <c r="Y1230" s="440" t="str">
        <f>VLOOKUP(H1230,'Fund Utilization Report'!$A$4:$U$1800,7,FALSE)</f>
        <v>PS</v>
      </c>
      <c r="Z1230" s="441">
        <f>VLOOKUP(H1230,'Fund Utilization Report'!$A$4:$U$1800,8,FALSE)</f>
        <v>5010000000</v>
      </c>
      <c r="AA1230" s="239" t="str">
        <f>VLOOKUP(H1230,'Fund Utilization Report'!$A$4:$U$1800,14,FALSE)</f>
        <v>100000100001000</v>
      </c>
      <c r="AB1230" s="242" t="str">
        <f>VLOOKUP(H1230,'Fund Utilization Report'!$A$4:$U$1800,15,FALSE)</f>
        <v>General Administration and Supervision - General Management and Supervision</v>
      </c>
      <c r="AC1230" s="51"/>
      <c r="AD1230" s="435"/>
      <c r="AE1230" s="51"/>
      <c r="AF1230" s="51"/>
      <c r="AG1230" s="442"/>
      <c r="AH1230" s="442"/>
      <c r="AI1230" s="443"/>
    </row>
    <row r="1231" spans="1:35" s="32" customFormat="1">
      <c r="A1231" s="434" t="s">
        <v>942</v>
      </c>
      <c r="B1231" s="457" t="s">
        <v>946</v>
      </c>
      <c r="C1231" s="233">
        <v>44271</v>
      </c>
      <c r="D1231" s="435" t="s">
        <v>1267</v>
      </c>
      <c r="E1231" s="436" t="s">
        <v>1438</v>
      </c>
      <c r="F1231" s="338">
        <v>0.46111111111111108</v>
      </c>
      <c r="G1231" s="338">
        <v>0.46458333333333335</v>
      </c>
      <c r="H1231" s="338" t="s">
        <v>964</v>
      </c>
      <c r="I1231" s="353">
        <v>715</v>
      </c>
      <c r="J1231" s="338" t="str">
        <f>IFERROR(VLOOKUP(I1231,'Chart of accounts'!A:H,2,FALSE),"")</f>
        <v>50102040 01</v>
      </c>
      <c r="K1231" s="338" t="str">
        <f>IFERROR(VLOOKUP(I1231,'Chart of accounts'!A:H,3,FALSE),"")</f>
        <v>Clothing/Uniform Allowance - Civilian</v>
      </c>
      <c r="L1231" s="338" t="str">
        <f>IFERROR(VLOOKUP(I1231,'Chart of accounts'!A:H,4,FALSE),"")</f>
        <v>50102040 01 - Clothing/Uniform Allowance - Civilian (715)</v>
      </c>
      <c r="M1231" s="361">
        <v>1</v>
      </c>
      <c r="N1231" s="355" t="s">
        <v>10</v>
      </c>
      <c r="O1231" s="355" t="s">
        <v>1439</v>
      </c>
      <c r="P1231" s="355"/>
      <c r="Q1231" s="363">
        <f>2*6000</f>
        <v>12000</v>
      </c>
      <c r="R1231" s="319">
        <f t="shared" si="46"/>
        <v>-12000</v>
      </c>
      <c r="S1231" s="239" t="str">
        <f>VLOOKUP(H1231,'Fund Utilization Report'!$A$4:$U$1800,13,FALSE)</f>
        <v>PS</v>
      </c>
      <c r="T1231" s="239" t="str">
        <f>VLOOKUP(H1231,'Fund Utilization Report'!$A$4:$U$1800,2,FALSE)</f>
        <v>GAA</v>
      </c>
      <c r="U1231" s="239" t="str">
        <f>VLOOKUP(H1231,'Fund Utilization Report'!$A$4:$U$1800,3,FALSE)</f>
        <v>FY2021, RA11518</v>
      </c>
      <c r="V1231" s="239" t="str">
        <f>VLOOKUP(H1231,'Fund Utilization Report'!$A$4:$U$1800,4,FALSE)</f>
        <v>OO1</v>
      </c>
      <c r="W1231" s="239" t="str">
        <f>VLOOKUP(H1231,'Fund Utilization Report'!$A$4:$U$1800,5,FALSE)</f>
        <v>01101101</v>
      </c>
      <c r="X1231" s="239" t="str">
        <f>VLOOKUP(H1231,'Fund Utilization Report'!$A$4:$U$1800,6,FALSE)</f>
        <v>GOP</v>
      </c>
      <c r="Y1231" s="440" t="str">
        <f>VLOOKUP(H1231,'Fund Utilization Report'!$A$4:$U$1800,7,FALSE)</f>
        <v>PS</v>
      </c>
      <c r="Z1231" s="441">
        <f>VLOOKUP(H1231,'Fund Utilization Report'!$A$4:$U$1800,8,FALSE)</f>
        <v>5010000000</v>
      </c>
      <c r="AA1231" s="239" t="str">
        <f>VLOOKUP(H1231,'Fund Utilization Report'!$A$4:$U$1800,14,FALSE)</f>
        <v>310100100002000</v>
      </c>
      <c r="AB1231" s="242" t="str">
        <f>VLOOKUP(H1231,'Fund Utilization Report'!$A$4:$U$1800,15,FALSE)</f>
        <v>Development,Facilitation, and promotion of exports and investment, domestic and foreign</v>
      </c>
      <c r="AC1231" s="51"/>
      <c r="AD1231" s="435"/>
      <c r="AE1231" s="51"/>
      <c r="AF1231" s="51"/>
      <c r="AG1231" s="442"/>
      <c r="AH1231" s="442"/>
      <c r="AI1231" s="443"/>
    </row>
    <row r="1232" spans="1:35" s="32" customFormat="1">
      <c r="A1232" s="434" t="s">
        <v>942</v>
      </c>
      <c r="B1232" s="457" t="s">
        <v>946</v>
      </c>
      <c r="C1232" s="233">
        <v>44271</v>
      </c>
      <c r="D1232" s="435" t="s">
        <v>1267</v>
      </c>
      <c r="E1232" s="436" t="s">
        <v>1438</v>
      </c>
      <c r="F1232" s="338">
        <v>0.46111111111111108</v>
      </c>
      <c r="G1232" s="338">
        <v>0.46458333333333335</v>
      </c>
      <c r="H1232" s="338" t="s">
        <v>967</v>
      </c>
      <c r="I1232" s="353">
        <v>715</v>
      </c>
      <c r="J1232" s="338" t="str">
        <f>IFERROR(VLOOKUP(I1232,'Chart of accounts'!A:H,2,FALSE),"")</f>
        <v>50102040 01</v>
      </c>
      <c r="K1232" s="338" t="str">
        <f>IFERROR(VLOOKUP(I1232,'Chart of accounts'!A:H,3,FALSE),"")</f>
        <v>Clothing/Uniform Allowance - Civilian</v>
      </c>
      <c r="L1232" s="338" t="str">
        <f>IFERROR(VLOOKUP(I1232,'Chart of accounts'!A:H,4,FALSE),"")</f>
        <v>50102040 01 - Clothing/Uniform Allowance - Civilian (715)</v>
      </c>
      <c r="M1232" s="361">
        <v>1</v>
      </c>
      <c r="N1232" s="355" t="s">
        <v>10</v>
      </c>
      <c r="O1232" s="355" t="s">
        <v>1439</v>
      </c>
      <c r="P1232" s="355"/>
      <c r="Q1232" s="363">
        <f>5*6000</f>
        <v>30000</v>
      </c>
      <c r="R1232" s="319">
        <f t="shared" si="46"/>
        <v>-30000</v>
      </c>
      <c r="S1232" s="239" t="str">
        <f>VLOOKUP(H1232,'Fund Utilization Report'!$A$4:$U$1800,13,FALSE)</f>
        <v>PS</v>
      </c>
      <c r="T1232" s="239" t="str">
        <f>VLOOKUP(H1232,'Fund Utilization Report'!$A$4:$U$1800,2,FALSE)</f>
        <v>GAA</v>
      </c>
      <c r="U1232" s="239" t="str">
        <f>VLOOKUP(H1232,'Fund Utilization Report'!$A$4:$U$1800,3,FALSE)</f>
        <v>FY2021, RA11518</v>
      </c>
      <c r="V1232" s="239" t="str">
        <f>VLOOKUP(H1232,'Fund Utilization Report'!$A$4:$U$1800,4,FALSE)</f>
        <v>OO2</v>
      </c>
      <c r="W1232" s="239" t="str">
        <f>VLOOKUP(H1232,'Fund Utilization Report'!$A$4:$U$1800,5,FALSE)</f>
        <v>01101101</v>
      </c>
      <c r="X1232" s="239" t="str">
        <f>VLOOKUP(H1232,'Fund Utilization Report'!$A$4:$U$1800,6,FALSE)</f>
        <v>GOP</v>
      </c>
      <c r="Y1232" s="440" t="str">
        <f>VLOOKUP(H1232,'Fund Utilization Report'!$A$4:$U$1800,7,FALSE)</f>
        <v>PS</v>
      </c>
      <c r="Z1232" s="441">
        <f>VLOOKUP(H1232,'Fund Utilization Report'!$A$4:$U$1800,8,FALSE)</f>
        <v>5010000000</v>
      </c>
      <c r="AA1232" s="239" t="str">
        <f>VLOOKUP(H1232,'Fund Utilization Report'!$A$4:$U$1800,14,FALSE)</f>
        <v>320100100001000</v>
      </c>
      <c r="AB1232" s="242" t="str">
        <f>VLOOKUP(H1232,'Fund Utilization Report'!$A$4:$U$1800,15,FALSE)</f>
        <v>Formulation of Strategic plans,programs, and policies to develop competitve industries</v>
      </c>
      <c r="AC1232" s="51"/>
      <c r="AD1232" s="435"/>
      <c r="AE1232" s="51"/>
      <c r="AF1232" s="51"/>
      <c r="AG1232" s="442"/>
      <c r="AH1232" s="442"/>
      <c r="AI1232" s="443"/>
    </row>
    <row r="1233" spans="1:35" s="32" customFormat="1">
      <c r="A1233" s="434" t="s">
        <v>942</v>
      </c>
      <c r="B1233" s="457" t="s">
        <v>946</v>
      </c>
      <c r="C1233" s="233">
        <v>44271</v>
      </c>
      <c r="D1233" s="435" t="s">
        <v>1267</v>
      </c>
      <c r="E1233" s="436" t="s">
        <v>1438</v>
      </c>
      <c r="F1233" s="338">
        <v>0.46111111111111108</v>
      </c>
      <c r="G1233" s="338">
        <v>0.46458333333333335</v>
      </c>
      <c r="H1233" s="338" t="s">
        <v>970</v>
      </c>
      <c r="I1233" s="353">
        <v>715</v>
      </c>
      <c r="J1233" s="338" t="str">
        <f>IFERROR(VLOOKUP(I1233,'Chart of accounts'!A:H,2,FALSE),"")</f>
        <v>50102040 01</v>
      </c>
      <c r="K1233" s="338" t="str">
        <f>IFERROR(VLOOKUP(I1233,'Chart of accounts'!A:H,3,FALSE),"")</f>
        <v>Clothing/Uniform Allowance - Civilian</v>
      </c>
      <c r="L1233" s="338" t="str">
        <f>IFERROR(VLOOKUP(I1233,'Chart of accounts'!A:H,4,FALSE),"")</f>
        <v>50102040 01 - Clothing/Uniform Allowance - Civilian (715)</v>
      </c>
      <c r="M1233" s="361">
        <v>1</v>
      </c>
      <c r="N1233" s="355" t="s">
        <v>10</v>
      </c>
      <c r="O1233" s="355" t="s">
        <v>1439</v>
      </c>
      <c r="P1233" s="355"/>
      <c r="Q1233" s="363">
        <f>5*6000</f>
        <v>30000</v>
      </c>
      <c r="R1233" s="319">
        <f>P1233-Q1233</f>
        <v>-30000</v>
      </c>
      <c r="S1233" s="239" t="str">
        <f>VLOOKUP(H1233,'Fund Utilization Report'!$A$4:$U$1800,13,FALSE)</f>
        <v>PS</v>
      </c>
      <c r="T1233" s="239" t="str">
        <f>VLOOKUP(H1233,'Fund Utilization Report'!$A$4:$U$1800,2,FALSE)</f>
        <v>GAA</v>
      </c>
      <c r="U1233" s="239" t="str">
        <f>VLOOKUP(H1233,'Fund Utilization Report'!$A$4:$U$1800,3,FALSE)</f>
        <v>FY2021, RA11518</v>
      </c>
      <c r="V1233" s="239" t="str">
        <f>VLOOKUP(H1233,'Fund Utilization Report'!$A$4:$U$1800,4,FALSE)</f>
        <v>OO3</v>
      </c>
      <c r="W1233" s="239" t="str">
        <f>VLOOKUP(H1233,'Fund Utilization Report'!$A$4:$U$1800,5,FALSE)</f>
        <v>01101101</v>
      </c>
      <c r="X1233" s="239" t="str">
        <f>VLOOKUP(H1233,'Fund Utilization Report'!$A$4:$U$1800,6,FALSE)</f>
        <v>GOP</v>
      </c>
      <c r="Y1233" s="440" t="str">
        <f>VLOOKUP(H1233,'Fund Utilization Report'!$A$4:$U$1800,7,FALSE)</f>
        <v>PS</v>
      </c>
      <c r="Z1233" s="441">
        <f>VLOOKUP(H1233,'Fund Utilization Report'!$A$4:$U$1800,8,FALSE)</f>
        <v>5010000000</v>
      </c>
      <c r="AA1233" s="239" t="str">
        <f>VLOOKUP(H1233,'Fund Utilization Report'!$A$4:$U$1800,14,FALSE)</f>
        <v>330100100002000</v>
      </c>
      <c r="AB1233" s="242" t="str">
        <f>VLOOKUP(H1233,'Fund Utilization Report'!$A$4:$U$1800,15,FALSE)</f>
        <v>Implementation of the MSME Development Plan and other initiatives to promote the growth of Micro, Small and Medium Enterprises</v>
      </c>
      <c r="AC1233" s="51"/>
      <c r="AD1233" s="435"/>
      <c r="AE1233" s="51"/>
      <c r="AF1233" s="51"/>
      <c r="AG1233" s="442"/>
      <c r="AH1233" s="442"/>
      <c r="AI1233" s="443"/>
    </row>
    <row r="1234" spans="1:35" s="32" customFormat="1">
      <c r="A1234" s="434" t="s">
        <v>942</v>
      </c>
      <c r="B1234" s="457" t="s">
        <v>946</v>
      </c>
      <c r="C1234" s="233">
        <v>44271</v>
      </c>
      <c r="D1234" s="435" t="s">
        <v>1267</v>
      </c>
      <c r="E1234" s="436" t="s">
        <v>1438</v>
      </c>
      <c r="F1234" s="338">
        <v>0.46111111111111108</v>
      </c>
      <c r="G1234" s="338">
        <v>0.46458333333333335</v>
      </c>
      <c r="H1234" s="338" t="s">
        <v>973</v>
      </c>
      <c r="I1234" s="353">
        <v>715</v>
      </c>
      <c r="J1234" s="338" t="str">
        <f>IFERROR(VLOOKUP(I1234,'Chart of accounts'!A:H,2,FALSE),"")</f>
        <v>50102040 01</v>
      </c>
      <c r="K1234" s="338" t="str">
        <f>IFERROR(VLOOKUP(I1234,'Chart of accounts'!A:H,3,FALSE),"")</f>
        <v>Clothing/Uniform Allowance - Civilian</v>
      </c>
      <c r="L1234" s="338" t="str">
        <f>IFERROR(VLOOKUP(I1234,'Chart of accounts'!A:H,4,FALSE),"")</f>
        <v>50102040 01 - Clothing/Uniform Allowance - Civilian (715)</v>
      </c>
      <c r="M1234" s="361">
        <v>1</v>
      </c>
      <c r="N1234" s="355" t="s">
        <v>10</v>
      </c>
      <c r="O1234" s="355" t="s">
        <v>1439</v>
      </c>
      <c r="P1234" s="355"/>
      <c r="Q1234" s="363">
        <f>5*6000</f>
        <v>30000</v>
      </c>
      <c r="R1234" s="319">
        <f>P1234-Q1234</f>
        <v>-30000</v>
      </c>
      <c r="S1234" s="239" t="str">
        <f>VLOOKUP(H1234,'Fund Utilization Report'!$A$4:$U$1800,13,FALSE)</f>
        <v>PS</v>
      </c>
      <c r="T1234" s="239" t="str">
        <f>VLOOKUP(H1234,'Fund Utilization Report'!$A$4:$U$1800,2,FALSE)</f>
        <v>GAA</v>
      </c>
      <c r="U1234" s="239" t="str">
        <f>VLOOKUP(H1234,'Fund Utilization Report'!$A$4:$U$1800,3,FALSE)</f>
        <v>FY2021, RA11518</v>
      </c>
      <c r="V1234" s="239" t="str">
        <f>VLOOKUP(H1234,'Fund Utilization Report'!$A$4:$U$1800,4,FALSE)</f>
        <v>OO4.1(FTL)</v>
      </c>
      <c r="W1234" s="239" t="str">
        <f>VLOOKUP(H1234,'Fund Utilization Report'!$A$4:$U$1800,5,FALSE)</f>
        <v>01101101</v>
      </c>
      <c r="X1234" s="239" t="str">
        <f>VLOOKUP(H1234,'Fund Utilization Report'!$A$4:$U$1800,6,FALSE)</f>
        <v>GOP</v>
      </c>
      <c r="Y1234" s="440" t="str">
        <f>VLOOKUP(H1234,'Fund Utilization Report'!$A$4:$U$1800,7,FALSE)</f>
        <v>PS</v>
      </c>
      <c r="Z1234" s="441">
        <f>VLOOKUP(H1234,'Fund Utilization Report'!$A$4:$U$1800,8,FALSE)</f>
        <v>5010000000</v>
      </c>
      <c r="AA1234" s="239" t="str">
        <f>VLOOKUP(H1234,'Fund Utilization Report'!$A$4:$U$1800,14,FALSE)</f>
        <v>340100100002000</v>
      </c>
      <c r="AB1234" s="242" t="str">
        <f>VLOOKUP(H1234,'Fund Utilization Report'!$A$4:$U$1800,15,FALSE)</f>
        <v>Monitoring and Enforcement of FTL including consumer complaints handling</v>
      </c>
      <c r="AC1234" s="51"/>
      <c r="AD1234" s="435"/>
      <c r="AE1234" s="51"/>
      <c r="AF1234" s="51"/>
      <c r="AG1234" s="442"/>
      <c r="AH1234" s="442"/>
      <c r="AI1234" s="443"/>
    </row>
    <row r="1235" spans="1:35" s="32" customFormat="1">
      <c r="A1235" s="434" t="s">
        <v>942</v>
      </c>
      <c r="B1235" s="457" t="s">
        <v>946</v>
      </c>
      <c r="C1235" s="233">
        <v>44271</v>
      </c>
      <c r="D1235" s="435" t="s">
        <v>1267</v>
      </c>
      <c r="E1235" s="436" t="s">
        <v>1440</v>
      </c>
      <c r="F1235" s="338">
        <v>0.46458333333333335</v>
      </c>
      <c r="G1235" s="338">
        <v>0.46597222222222223</v>
      </c>
      <c r="H1235" s="338" t="s">
        <v>960</v>
      </c>
      <c r="I1235" s="353">
        <v>715</v>
      </c>
      <c r="J1235" s="338" t="str">
        <f>IFERROR(VLOOKUP(I1235,'Chart of accounts'!A:H,2,FALSE),"")</f>
        <v>50102040 01</v>
      </c>
      <c r="K1235" s="338" t="str">
        <f>IFERROR(VLOOKUP(I1235,'Chart of accounts'!A:H,3,FALSE),"")</f>
        <v>Clothing/Uniform Allowance - Civilian</v>
      </c>
      <c r="L1235" s="338" t="str">
        <f>IFERROR(VLOOKUP(I1235,'Chart of accounts'!A:H,4,FALSE),"")</f>
        <v>50102040 01 - Clothing/Uniform Allowance - Civilian (715)</v>
      </c>
      <c r="M1235" s="361">
        <v>2</v>
      </c>
      <c r="N1235" s="355" t="s">
        <v>789</v>
      </c>
      <c r="O1235" s="355" t="s">
        <v>1439</v>
      </c>
      <c r="P1235" s="355"/>
      <c r="Q1235" s="363">
        <v>12000</v>
      </c>
      <c r="R1235" s="319" t="e">
        <f>#REF!-#REF!</f>
        <v>#REF!</v>
      </c>
      <c r="S1235" s="239" t="str">
        <f>VLOOKUP(H1235,'Fund Utilization Report'!$A$4:$U$1800,13,FALSE)</f>
        <v>PS</v>
      </c>
      <c r="T1235" s="239" t="str">
        <f>VLOOKUP(H1235,'Fund Utilization Report'!$A$4:$U$1800,2,FALSE)</f>
        <v>GAA</v>
      </c>
      <c r="U1235" s="239" t="str">
        <f>VLOOKUP(H1235,'Fund Utilization Report'!$A$4:$U$1800,3,FALSE)</f>
        <v>FY2021, RA11518</v>
      </c>
      <c r="V1235" s="239" t="str">
        <f>VLOOKUP(H1235,'Fund Utilization Report'!$A$4:$U$1800,4,FALSE)</f>
        <v>GAS(GMS)</v>
      </c>
      <c r="W1235" s="239" t="str">
        <f>VLOOKUP(H1235,'Fund Utilization Report'!$A$4:$U$1800,5,FALSE)</f>
        <v>01101101</v>
      </c>
      <c r="X1235" s="239" t="str">
        <f>VLOOKUP(H1235,'Fund Utilization Report'!$A$4:$U$1800,6,FALSE)</f>
        <v>GOP</v>
      </c>
      <c r="Y1235" s="440" t="str">
        <f>VLOOKUP(H1235,'Fund Utilization Report'!$A$4:$U$1800,7,FALSE)</f>
        <v>PS</v>
      </c>
      <c r="Z1235" s="441">
        <f>VLOOKUP(H1235,'Fund Utilization Report'!$A$4:$U$1800,8,FALSE)</f>
        <v>5010000000</v>
      </c>
      <c r="AA1235" s="239" t="str">
        <f>VLOOKUP(H1235,'Fund Utilization Report'!$A$4:$U$1800,14,FALSE)</f>
        <v>100000100001000</v>
      </c>
      <c r="AB1235" s="242" t="str">
        <f>VLOOKUP(H1235,'Fund Utilization Report'!$A$4:$U$1800,15,FALSE)</f>
        <v>General Administration and Supervision - General Management and Supervision</v>
      </c>
      <c r="AC1235" s="51"/>
      <c r="AD1235" s="435"/>
      <c r="AE1235" s="51"/>
      <c r="AF1235" s="51"/>
      <c r="AG1235" s="442"/>
      <c r="AH1235" s="442"/>
      <c r="AI1235" s="443"/>
    </row>
    <row r="1236" spans="1:35" s="32" customFormat="1">
      <c r="A1236" s="434" t="s">
        <v>942</v>
      </c>
      <c r="B1236" s="457" t="s">
        <v>946</v>
      </c>
      <c r="C1236" s="233">
        <v>44271</v>
      </c>
      <c r="D1236" s="435" t="s">
        <v>1267</v>
      </c>
      <c r="E1236" s="436" t="s">
        <v>1440</v>
      </c>
      <c r="F1236" s="338">
        <v>0.46458333333333335</v>
      </c>
      <c r="G1236" s="338">
        <v>0.46597222222222223</v>
      </c>
      <c r="H1236" s="338" t="s">
        <v>964</v>
      </c>
      <c r="I1236" s="353">
        <v>715</v>
      </c>
      <c r="J1236" s="338" t="str">
        <f>IFERROR(VLOOKUP(I1236,'Chart of accounts'!A:H,2,FALSE),"")</f>
        <v>50102040 01</v>
      </c>
      <c r="K1236" s="338" t="str">
        <f>IFERROR(VLOOKUP(I1236,'Chart of accounts'!A:H,3,FALSE),"")</f>
        <v>Clothing/Uniform Allowance - Civilian</v>
      </c>
      <c r="L1236" s="338" t="str">
        <f>IFERROR(VLOOKUP(I1236,'Chart of accounts'!A:H,4,FALSE),"")</f>
        <v>50102040 01 - Clothing/Uniform Allowance - Civilian (715)</v>
      </c>
      <c r="M1236" s="361">
        <v>2</v>
      </c>
      <c r="N1236" s="355" t="s">
        <v>789</v>
      </c>
      <c r="O1236" s="355" t="s">
        <v>1439</v>
      </c>
      <c r="P1236" s="355"/>
      <c r="Q1236" s="363">
        <v>12000</v>
      </c>
      <c r="R1236" s="319" t="e">
        <f>#REF!-#REF!</f>
        <v>#REF!</v>
      </c>
      <c r="S1236" s="239" t="str">
        <f>VLOOKUP(H1236,'Fund Utilization Report'!$A$4:$U$1800,13,FALSE)</f>
        <v>PS</v>
      </c>
      <c r="T1236" s="239" t="str">
        <f>VLOOKUP(H1236,'Fund Utilization Report'!$A$4:$U$1800,2,FALSE)</f>
        <v>GAA</v>
      </c>
      <c r="U1236" s="239" t="str">
        <f>VLOOKUP(H1236,'Fund Utilization Report'!$A$4:$U$1800,3,FALSE)</f>
        <v>FY2021, RA11518</v>
      </c>
      <c r="V1236" s="239" t="str">
        <f>VLOOKUP(H1236,'Fund Utilization Report'!$A$4:$U$1800,4,FALSE)</f>
        <v>OO1</v>
      </c>
      <c r="W1236" s="239" t="str">
        <f>VLOOKUP(H1236,'Fund Utilization Report'!$A$4:$U$1800,5,FALSE)</f>
        <v>01101101</v>
      </c>
      <c r="X1236" s="239" t="str">
        <f>VLOOKUP(H1236,'Fund Utilization Report'!$A$4:$U$1800,6,FALSE)</f>
        <v>GOP</v>
      </c>
      <c r="Y1236" s="440" t="str">
        <f>VLOOKUP(H1236,'Fund Utilization Report'!$A$4:$U$1800,7,FALSE)</f>
        <v>PS</v>
      </c>
      <c r="Z1236" s="441">
        <f>VLOOKUP(H1236,'Fund Utilization Report'!$A$4:$U$1800,8,FALSE)</f>
        <v>5010000000</v>
      </c>
      <c r="AA1236" s="239" t="str">
        <f>VLOOKUP(H1236,'Fund Utilization Report'!$A$4:$U$1800,14,FALSE)</f>
        <v>310100100002000</v>
      </c>
      <c r="AB1236" s="242" t="str">
        <f>VLOOKUP(H1236,'Fund Utilization Report'!$A$4:$U$1800,15,FALSE)</f>
        <v>Development,Facilitation, and promotion of exports and investment, domestic and foreign</v>
      </c>
      <c r="AC1236" s="51"/>
      <c r="AD1236" s="435"/>
      <c r="AE1236" s="51"/>
      <c r="AF1236" s="51"/>
      <c r="AG1236" s="442"/>
      <c r="AH1236" s="442"/>
      <c r="AI1236" s="443"/>
    </row>
    <row r="1237" spans="1:35" s="32" customFormat="1">
      <c r="A1237" s="434" t="s">
        <v>942</v>
      </c>
      <c r="B1237" s="457" t="s">
        <v>946</v>
      </c>
      <c r="C1237" s="233">
        <v>44271</v>
      </c>
      <c r="D1237" s="435" t="s">
        <v>1267</v>
      </c>
      <c r="E1237" s="436" t="s">
        <v>1440</v>
      </c>
      <c r="F1237" s="338">
        <v>0.46458333333333335</v>
      </c>
      <c r="G1237" s="338">
        <v>0.46597222222222223</v>
      </c>
      <c r="H1237" s="338" t="s">
        <v>967</v>
      </c>
      <c r="I1237" s="353">
        <v>715</v>
      </c>
      <c r="J1237" s="338" t="str">
        <f>IFERROR(VLOOKUP(I1237,'Chart of accounts'!A:H,2,FALSE),"")</f>
        <v>50102040 01</v>
      </c>
      <c r="K1237" s="338" t="str">
        <f>IFERROR(VLOOKUP(I1237,'Chart of accounts'!A:H,3,FALSE),"")</f>
        <v>Clothing/Uniform Allowance - Civilian</v>
      </c>
      <c r="L1237" s="338" t="str">
        <f>IFERROR(VLOOKUP(I1237,'Chart of accounts'!A:H,4,FALSE),"")</f>
        <v>50102040 01 - Clothing/Uniform Allowance - Civilian (715)</v>
      </c>
      <c r="M1237" s="361">
        <v>2</v>
      </c>
      <c r="N1237" s="355" t="s">
        <v>789</v>
      </c>
      <c r="O1237" s="355" t="s">
        <v>1439</v>
      </c>
      <c r="P1237" s="355"/>
      <c r="Q1237" s="363">
        <v>6000</v>
      </c>
      <c r="R1237" s="319" t="e">
        <f>#REF!-#REF!</f>
        <v>#REF!</v>
      </c>
      <c r="S1237" s="239" t="str">
        <f>VLOOKUP(H1237,'Fund Utilization Report'!$A$4:$U$1800,13,FALSE)</f>
        <v>PS</v>
      </c>
      <c r="T1237" s="239" t="str">
        <f>VLOOKUP(H1237,'Fund Utilization Report'!$A$4:$U$1800,2,FALSE)</f>
        <v>GAA</v>
      </c>
      <c r="U1237" s="239" t="str">
        <f>VLOOKUP(H1237,'Fund Utilization Report'!$A$4:$U$1800,3,FALSE)</f>
        <v>FY2021, RA11518</v>
      </c>
      <c r="V1237" s="239" t="str">
        <f>VLOOKUP(H1237,'Fund Utilization Report'!$A$4:$U$1800,4,FALSE)</f>
        <v>OO2</v>
      </c>
      <c r="W1237" s="239" t="str">
        <f>VLOOKUP(H1237,'Fund Utilization Report'!$A$4:$U$1800,5,FALSE)</f>
        <v>01101101</v>
      </c>
      <c r="X1237" s="239" t="str">
        <f>VLOOKUP(H1237,'Fund Utilization Report'!$A$4:$U$1800,6,FALSE)</f>
        <v>GOP</v>
      </c>
      <c r="Y1237" s="440" t="str">
        <f>VLOOKUP(H1237,'Fund Utilization Report'!$A$4:$U$1800,7,FALSE)</f>
        <v>PS</v>
      </c>
      <c r="Z1237" s="441">
        <f>VLOOKUP(H1237,'Fund Utilization Report'!$A$4:$U$1800,8,FALSE)</f>
        <v>5010000000</v>
      </c>
      <c r="AA1237" s="239" t="str">
        <f>VLOOKUP(H1237,'Fund Utilization Report'!$A$4:$U$1800,14,FALSE)</f>
        <v>320100100001000</v>
      </c>
      <c r="AB1237" s="242" t="str">
        <f>VLOOKUP(H1237,'Fund Utilization Report'!$A$4:$U$1800,15,FALSE)</f>
        <v>Formulation of Strategic plans,programs, and policies to develop competitve industries</v>
      </c>
      <c r="AC1237" s="51"/>
      <c r="AD1237" s="435"/>
      <c r="AE1237" s="51"/>
      <c r="AF1237" s="51"/>
      <c r="AG1237" s="442"/>
      <c r="AH1237" s="442"/>
      <c r="AI1237" s="443"/>
    </row>
    <row r="1238" spans="1:35" s="32" customFormat="1">
      <c r="A1238" s="434" t="s">
        <v>942</v>
      </c>
      <c r="B1238" s="457" t="s">
        <v>946</v>
      </c>
      <c r="C1238" s="233">
        <v>44271</v>
      </c>
      <c r="D1238" s="435" t="s">
        <v>1267</v>
      </c>
      <c r="E1238" s="436" t="s">
        <v>1440</v>
      </c>
      <c r="F1238" s="338">
        <v>0.46458333333333335</v>
      </c>
      <c r="G1238" s="338">
        <v>0.46597222222222223</v>
      </c>
      <c r="H1238" s="338" t="s">
        <v>970</v>
      </c>
      <c r="I1238" s="353">
        <v>715</v>
      </c>
      <c r="J1238" s="338" t="str">
        <f>IFERROR(VLOOKUP(I1238,'Chart of accounts'!A:H,2,FALSE),"")</f>
        <v>50102040 01</v>
      </c>
      <c r="K1238" s="338" t="str">
        <f>IFERROR(VLOOKUP(I1238,'Chart of accounts'!A:H,3,FALSE),"")</f>
        <v>Clothing/Uniform Allowance - Civilian</v>
      </c>
      <c r="L1238" s="338" t="str">
        <f>IFERROR(VLOOKUP(I1238,'Chart of accounts'!A:H,4,FALSE),"")</f>
        <v>50102040 01 - Clothing/Uniform Allowance - Civilian (715)</v>
      </c>
      <c r="M1238" s="361">
        <v>2</v>
      </c>
      <c r="N1238" s="355" t="s">
        <v>789</v>
      </c>
      <c r="O1238" s="355" t="s">
        <v>1439</v>
      </c>
      <c r="P1238" s="355"/>
      <c r="Q1238" s="363">
        <v>12000</v>
      </c>
      <c r="R1238" s="319" t="e">
        <f>#REF!-#REF!</f>
        <v>#REF!</v>
      </c>
      <c r="S1238" s="239" t="str">
        <f>VLOOKUP(H1238,'Fund Utilization Report'!$A$4:$U$1800,13,FALSE)</f>
        <v>PS</v>
      </c>
      <c r="T1238" s="239" t="str">
        <f>VLOOKUP(H1238,'Fund Utilization Report'!$A$4:$U$1800,2,FALSE)</f>
        <v>GAA</v>
      </c>
      <c r="U1238" s="239" t="str">
        <f>VLOOKUP(H1238,'Fund Utilization Report'!$A$4:$U$1800,3,FALSE)</f>
        <v>FY2021, RA11518</v>
      </c>
      <c r="V1238" s="239" t="str">
        <f>VLOOKUP(H1238,'Fund Utilization Report'!$A$4:$U$1800,4,FALSE)</f>
        <v>OO3</v>
      </c>
      <c r="W1238" s="239" t="str">
        <f>VLOOKUP(H1238,'Fund Utilization Report'!$A$4:$U$1800,5,FALSE)</f>
        <v>01101101</v>
      </c>
      <c r="X1238" s="239" t="str">
        <f>VLOOKUP(H1238,'Fund Utilization Report'!$A$4:$U$1800,6,FALSE)</f>
        <v>GOP</v>
      </c>
      <c r="Y1238" s="440" t="str">
        <f>VLOOKUP(H1238,'Fund Utilization Report'!$A$4:$U$1800,7,FALSE)</f>
        <v>PS</v>
      </c>
      <c r="Z1238" s="441">
        <f>VLOOKUP(H1238,'Fund Utilization Report'!$A$4:$U$1800,8,FALSE)</f>
        <v>5010000000</v>
      </c>
      <c r="AA1238" s="239" t="str">
        <f>VLOOKUP(H1238,'Fund Utilization Report'!$A$4:$U$1800,14,FALSE)</f>
        <v>330100100002000</v>
      </c>
      <c r="AB1238" s="242" t="str">
        <f>VLOOKUP(H1238,'Fund Utilization Report'!$A$4:$U$1800,15,FALSE)</f>
        <v>Implementation of the MSME Development Plan and other initiatives to promote the growth of Micro, Small and Medium Enterprises</v>
      </c>
      <c r="AC1238" s="51"/>
      <c r="AD1238" s="435"/>
      <c r="AE1238" s="51"/>
      <c r="AF1238" s="51"/>
      <c r="AG1238" s="442"/>
      <c r="AH1238" s="442"/>
      <c r="AI1238" s="443"/>
    </row>
    <row r="1239" spans="1:35" s="32" customFormat="1">
      <c r="A1239" s="434" t="s">
        <v>942</v>
      </c>
      <c r="B1239" s="457" t="s">
        <v>946</v>
      </c>
      <c r="C1239" s="233">
        <v>44271</v>
      </c>
      <c r="D1239" s="435" t="s">
        <v>1267</v>
      </c>
      <c r="E1239" s="436" t="s">
        <v>1440</v>
      </c>
      <c r="F1239" s="338">
        <v>0.46458333333333335</v>
      </c>
      <c r="G1239" s="338">
        <v>0.46597222222222223</v>
      </c>
      <c r="H1239" s="338" t="s">
        <v>973</v>
      </c>
      <c r="I1239" s="353">
        <v>715</v>
      </c>
      <c r="J1239" s="338" t="str">
        <f>IFERROR(VLOOKUP(I1239,'Chart of accounts'!A:H,2,FALSE),"")</f>
        <v>50102040 01</v>
      </c>
      <c r="K1239" s="338" t="str">
        <f>IFERROR(VLOOKUP(I1239,'Chart of accounts'!A:H,3,FALSE),"")</f>
        <v>Clothing/Uniform Allowance - Civilian</v>
      </c>
      <c r="L1239" s="338" t="str">
        <f>IFERROR(VLOOKUP(I1239,'Chart of accounts'!A:H,4,FALSE),"")</f>
        <v>50102040 01 - Clothing/Uniform Allowance - Civilian (715)</v>
      </c>
      <c r="M1239" s="361">
        <v>2</v>
      </c>
      <c r="N1239" s="355" t="s">
        <v>789</v>
      </c>
      <c r="O1239" s="355" t="s">
        <v>1439</v>
      </c>
      <c r="P1239" s="355"/>
      <c r="Q1239" s="363">
        <v>12000</v>
      </c>
      <c r="R1239" s="319" t="e">
        <f>#REF!-#REF!</f>
        <v>#REF!</v>
      </c>
      <c r="S1239" s="239" t="str">
        <f>VLOOKUP(H1239,'Fund Utilization Report'!$A$4:$U$1800,13,FALSE)</f>
        <v>PS</v>
      </c>
      <c r="T1239" s="239" t="str">
        <f>VLOOKUP(H1239,'Fund Utilization Report'!$A$4:$U$1800,2,FALSE)</f>
        <v>GAA</v>
      </c>
      <c r="U1239" s="239" t="str">
        <f>VLOOKUP(H1239,'Fund Utilization Report'!$A$4:$U$1800,3,FALSE)</f>
        <v>FY2021, RA11518</v>
      </c>
      <c r="V1239" s="239" t="str">
        <f>VLOOKUP(H1239,'Fund Utilization Report'!$A$4:$U$1800,4,FALSE)</f>
        <v>OO4.1(FTL)</v>
      </c>
      <c r="W1239" s="239" t="str">
        <f>VLOOKUP(H1239,'Fund Utilization Report'!$A$4:$U$1800,5,FALSE)</f>
        <v>01101101</v>
      </c>
      <c r="X1239" s="239" t="str">
        <f>VLOOKUP(H1239,'Fund Utilization Report'!$A$4:$U$1800,6,FALSE)</f>
        <v>GOP</v>
      </c>
      <c r="Y1239" s="440" t="str">
        <f>VLOOKUP(H1239,'Fund Utilization Report'!$A$4:$U$1800,7,FALSE)</f>
        <v>PS</v>
      </c>
      <c r="Z1239" s="441">
        <f>VLOOKUP(H1239,'Fund Utilization Report'!$A$4:$U$1800,8,FALSE)</f>
        <v>5010000000</v>
      </c>
      <c r="AA1239" s="239" t="str">
        <f>VLOOKUP(H1239,'Fund Utilization Report'!$A$4:$U$1800,14,FALSE)</f>
        <v>340100100002000</v>
      </c>
      <c r="AB1239" s="242" t="str">
        <f>VLOOKUP(H1239,'Fund Utilization Report'!$A$4:$U$1800,15,FALSE)</f>
        <v>Monitoring and Enforcement of FTL including consumer complaints handling</v>
      </c>
      <c r="AC1239" s="51"/>
      <c r="AD1239" s="435"/>
      <c r="AE1239" s="51"/>
      <c r="AF1239" s="51"/>
      <c r="AG1239" s="442"/>
      <c r="AH1239" s="442"/>
      <c r="AI1239" s="443"/>
    </row>
    <row r="1240" spans="1:35" s="32" customFormat="1">
      <c r="A1240" s="434" t="s">
        <v>942</v>
      </c>
      <c r="B1240" s="457" t="s">
        <v>946</v>
      </c>
      <c r="C1240" s="233">
        <v>44271</v>
      </c>
      <c r="D1240" s="435" t="s">
        <v>1267</v>
      </c>
      <c r="E1240" s="436" t="s">
        <v>1440</v>
      </c>
      <c r="F1240" s="338">
        <v>0.46458333333333335</v>
      </c>
      <c r="G1240" s="338">
        <v>0.46597222222222223</v>
      </c>
      <c r="H1240" s="338" t="s">
        <v>976</v>
      </c>
      <c r="I1240" s="353">
        <v>715</v>
      </c>
      <c r="J1240" s="338" t="str">
        <f>IFERROR(VLOOKUP(I1240,'Chart of accounts'!A:H,2,FALSE),"")</f>
        <v>50102040 01</v>
      </c>
      <c r="K1240" s="338" t="str">
        <f>IFERROR(VLOOKUP(I1240,'Chart of accounts'!A:H,3,FALSE),"")</f>
        <v>Clothing/Uniform Allowance - Civilian</v>
      </c>
      <c r="L1240" s="338" t="str">
        <f>IFERROR(VLOOKUP(I1240,'Chart of accounts'!A:H,4,FALSE),"")</f>
        <v>50102040 01 - Clothing/Uniform Allowance - Civilian (715)</v>
      </c>
      <c r="M1240" s="361">
        <v>2</v>
      </c>
      <c r="N1240" s="355" t="s">
        <v>789</v>
      </c>
      <c r="O1240" s="355" t="s">
        <v>1439</v>
      </c>
      <c r="P1240" s="355"/>
      <c r="Q1240" s="363">
        <v>6000</v>
      </c>
      <c r="R1240" s="319" t="e">
        <f>#REF!-#REF!</f>
        <v>#REF!</v>
      </c>
      <c r="S1240" s="239" t="str">
        <f>VLOOKUP(H1240,'Fund Utilization Report'!$A$4:$U$1800,13,FALSE)</f>
        <v>PS</v>
      </c>
      <c r="T1240" s="239" t="str">
        <f>VLOOKUP(H1240,'Fund Utilization Report'!$A$4:$U$1800,2,FALSE)</f>
        <v>GAA</v>
      </c>
      <c r="U1240" s="239" t="str">
        <f>VLOOKUP(H1240,'Fund Utilization Report'!$A$4:$U$1800,3,FALSE)</f>
        <v>FY2021, RA11518</v>
      </c>
      <c r="V1240" s="239" t="str">
        <f>VLOOKUP(H1240,'Fund Utilization Report'!$A$4:$U$1800,4,FALSE)</f>
        <v>OO4.1(Acc)</v>
      </c>
      <c r="W1240" s="239" t="str">
        <f>VLOOKUP(H1240,'Fund Utilization Report'!$A$4:$U$1800,5,FALSE)</f>
        <v>01101101</v>
      </c>
      <c r="X1240" s="239" t="str">
        <f>VLOOKUP(H1240,'Fund Utilization Report'!$A$4:$U$1800,6,FALSE)</f>
        <v>GOP</v>
      </c>
      <c r="Y1240" s="440" t="str">
        <f>VLOOKUP(H1240,'Fund Utilization Report'!$A$4:$U$1800,7,FALSE)</f>
        <v>PS</v>
      </c>
      <c r="Z1240" s="441">
        <f>VLOOKUP(H1240,'Fund Utilization Report'!$A$4:$U$1800,8,FALSE)</f>
        <v>5010000000</v>
      </c>
      <c r="AA1240" s="239" t="str">
        <f>VLOOKUP(H1240,'Fund Utilization Report'!$A$4:$U$1800,14,FALSE)</f>
        <v>340100100003000</v>
      </c>
      <c r="AB1240" s="242" t="str">
        <f>VLOOKUP(H1240,'Fund Utilization Report'!$A$4:$U$1800,15,FALSE)</f>
        <v>Accreditation and Issuance of Business Licenses, Permits, registration and authorities</v>
      </c>
      <c r="AC1240" s="51"/>
      <c r="AD1240" s="435"/>
      <c r="AE1240" s="51"/>
      <c r="AF1240" s="51"/>
      <c r="AG1240" s="442"/>
      <c r="AH1240" s="442"/>
      <c r="AI1240" s="443"/>
    </row>
    <row r="1241" spans="1:35" s="32" customFormat="1">
      <c r="A1241" s="434" t="s">
        <v>942</v>
      </c>
      <c r="B1241" s="457" t="s">
        <v>946</v>
      </c>
      <c r="C1241" s="233">
        <v>44271</v>
      </c>
      <c r="D1241" s="435" t="s">
        <v>1267</v>
      </c>
      <c r="E1241" s="436" t="s">
        <v>1441</v>
      </c>
      <c r="F1241" s="338">
        <v>0.46597222222222223</v>
      </c>
      <c r="G1241" s="338">
        <v>0.46736111111111112</v>
      </c>
      <c r="H1241" s="338" t="s">
        <v>960</v>
      </c>
      <c r="I1241" s="353">
        <v>715</v>
      </c>
      <c r="J1241" s="338" t="str">
        <f>IFERROR(VLOOKUP(I1241,'Chart of accounts'!A:H,2,FALSE),"")</f>
        <v>50102040 01</v>
      </c>
      <c r="K1241" s="338" t="str">
        <f>IFERROR(VLOOKUP(I1241,'Chart of accounts'!A:H,3,FALSE),"")</f>
        <v>Clothing/Uniform Allowance - Civilian</v>
      </c>
      <c r="L1241" s="338" t="str">
        <f>IFERROR(VLOOKUP(I1241,'Chart of accounts'!A:H,4,FALSE),"")</f>
        <v>50102040 01 - Clothing/Uniform Allowance - Civilian (715)</v>
      </c>
      <c r="M1241" s="361">
        <v>3</v>
      </c>
      <c r="N1241" s="355" t="s">
        <v>777</v>
      </c>
      <c r="O1241" s="355" t="s">
        <v>1439</v>
      </c>
      <c r="P1241" s="355"/>
      <c r="Q1241" s="363">
        <f>6000*4</f>
        <v>24000</v>
      </c>
      <c r="R1241" s="319" t="e">
        <f>#REF!-#REF!</f>
        <v>#REF!</v>
      </c>
      <c r="S1241" s="239" t="str">
        <f>VLOOKUP(H1241,'Fund Utilization Report'!$A$4:$U$1800,13,FALSE)</f>
        <v>PS</v>
      </c>
      <c r="T1241" s="239" t="str">
        <f>VLOOKUP(H1241,'Fund Utilization Report'!$A$4:$U$1800,2,FALSE)</f>
        <v>GAA</v>
      </c>
      <c r="U1241" s="239" t="str">
        <f>VLOOKUP(H1241,'Fund Utilization Report'!$A$4:$U$1800,3,FALSE)</f>
        <v>FY2021, RA11518</v>
      </c>
      <c r="V1241" s="239" t="str">
        <f>VLOOKUP(H1241,'Fund Utilization Report'!$A$4:$U$1800,4,FALSE)</f>
        <v>GAS(GMS)</v>
      </c>
      <c r="W1241" s="239" t="str">
        <f>VLOOKUP(H1241,'Fund Utilization Report'!$A$4:$U$1800,5,FALSE)</f>
        <v>01101101</v>
      </c>
      <c r="X1241" s="239" t="str">
        <f>VLOOKUP(H1241,'Fund Utilization Report'!$A$4:$U$1800,6,FALSE)</f>
        <v>GOP</v>
      </c>
      <c r="Y1241" s="440" t="str">
        <f>VLOOKUP(H1241,'Fund Utilization Report'!$A$4:$U$1800,7,FALSE)</f>
        <v>PS</v>
      </c>
      <c r="Z1241" s="441">
        <f>VLOOKUP(H1241,'Fund Utilization Report'!$A$4:$U$1800,8,FALSE)</f>
        <v>5010000000</v>
      </c>
      <c r="AA1241" s="239" t="str">
        <f>VLOOKUP(H1241,'Fund Utilization Report'!$A$4:$U$1800,14,FALSE)</f>
        <v>100000100001000</v>
      </c>
      <c r="AB1241" s="242" t="str">
        <f>VLOOKUP(H1241,'Fund Utilization Report'!$A$4:$U$1800,15,FALSE)</f>
        <v>General Administration and Supervision - General Management and Supervision</v>
      </c>
      <c r="AC1241" s="51"/>
      <c r="AD1241" s="435"/>
      <c r="AE1241" s="51"/>
      <c r="AF1241" s="51"/>
      <c r="AG1241" s="442"/>
      <c r="AH1241" s="442"/>
      <c r="AI1241" s="443"/>
    </row>
    <row r="1242" spans="1:35" s="32" customFormat="1">
      <c r="A1242" s="434" t="s">
        <v>942</v>
      </c>
      <c r="B1242" s="457" t="s">
        <v>946</v>
      </c>
      <c r="C1242" s="233">
        <v>44271</v>
      </c>
      <c r="D1242" s="435" t="s">
        <v>1267</v>
      </c>
      <c r="E1242" s="436" t="s">
        <v>1441</v>
      </c>
      <c r="F1242" s="338">
        <v>0.46597222222222223</v>
      </c>
      <c r="G1242" s="338">
        <v>0.46736111111111112</v>
      </c>
      <c r="H1242" s="338" t="s">
        <v>964</v>
      </c>
      <c r="I1242" s="353">
        <v>715</v>
      </c>
      <c r="J1242" s="338" t="str">
        <f>IFERROR(VLOOKUP(I1242,'Chart of accounts'!A:H,2,FALSE),"")</f>
        <v>50102040 01</v>
      </c>
      <c r="K1242" s="338" t="str">
        <f>IFERROR(VLOOKUP(I1242,'Chart of accounts'!A:H,3,FALSE),"")</f>
        <v>Clothing/Uniform Allowance - Civilian</v>
      </c>
      <c r="L1242" s="338" t="str">
        <f>IFERROR(VLOOKUP(I1242,'Chart of accounts'!A:H,4,FALSE),"")</f>
        <v>50102040 01 - Clothing/Uniform Allowance - Civilian (715)</v>
      </c>
      <c r="M1242" s="361">
        <v>3</v>
      </c>
      <c r="N1242" s="355" t="s">
        <v>777</v>
      </c>
      <c r="O1242" s="355" t="s">
        <v>1439</v>
      </c>
      <c r="P1242" s="355"/>
      <c r="Q1242" s="363">
        <v>6000</v>
      </c>
      <c r="R1242" s="319" t="e">
        <f>#REF!-#REF!</f>
        <v>#REF!</v>
      </c>
      <c r="S1242" s="239" t="str">
        <f>VLOOKUP(H1242,'Fund Utilization Report'!$A$4:$U$1800,13,FALSE)</f>
        <v>PS</v>
      </c>
      <c r="T1242" s="239" t="str">
        <f>VLOOKUP(H1242,'Fund Utilization Report'!$A$4:$U$1800,2,FALSE)</f>
        <v>GAA</v>
      </c>
      <c r="U1242" s="239" t="str">
        <f>VLOOKUP(H1242,'Fund Utilization Report'!$A$4:$U$1800,3,FALSE)</f>
        <v>FY2021, RA11518</v>
      </c>
      <c r="V1242" s="239" t="str">
        <f>VLOOKUP(H1242,'Fund Utilization Report'!$A$4:$U$1800,4,FALSE)</f>
        <v>OO1</v>
      </c>
      <c r="W1242" s="239" t="str">
        <f>VLOOKUP(H1242,'Fund Utilization Report'!$A$4:$U$1800,5,FALSE)</f>
        <v>01101101</v>
      </c>
      <c r="X1242" s="239" t="str">
        <f>VLOOKUP(H1242,'Fund Utilization Report'!$A$4:$U$1800,6,FALSE)</f>
        <v>GOP</v>
      </c>
      <c r="Y1242" s="440" t="str">
        <f>VLOOKUP(H1242,'Fund Utilization Report'!$A$4:$U$1800,7,FALSE)</f>
        <v>PS</v>
      </c>
      <c r="Z1242" s="441">
        <f>VLOOKUP(H1242,'Fund Utilization Report'!$A$4:$U$1800,8,FALSE)</f>
        <v>5010000000</v>
      </c>
      <c r="AA1242" s="239" t="str">
        <f>VLOOKUP(H1242,'Fund Utilization Report'!$A$4:$U$1800,14,FALSE)</f>
        <v>310100100002000</v>
      </c>
      <c r="AB1242" s="242" t="str">
        <f>VLOOKUP(H1242,'Fund Utilization Report'!$A$4:$U$1800,15,FALSE)</f>
        <v>Development,Facilitation, and promotion of exports and investment, domestic and foreign</v>
      </c>
      <c r="AC1242" s="51"/>
      <c r="AD1242" s="435"/>
      <c r="AE1242" s="51"/>
      <c r="AF1242" s="51"/>
      <c r="AG1242" s="442"/>
      <c r="AH1242" s="442"/>
      <c r="AI1242" s="443"/>
    </row>
    <row r="1243" spans="1:35" s="32" customFormat="1">
      <c r="A1243" s="434" t="s">
        <v>942</v>
      </c>
      <c r="B1243" s="457" t="s">
        <v>946</v>
      </c>
      <c r="C1243" s="233">
        <v>44271</v>
      </c>
      <c r="D1243" s="435" t="s">
        <v>1267</v>
      </c>
      <c r="E1243" s="436" t="s">
        <v>1441</v>
      </c>
      <c r="F1243" s="338">
        <v>0.46597222222222223</v>
      </c>
      <c r="G1243" s="338">
        <v>0.46736111111111112</v>
      </c>
      <c r="H1243" s="338" t="s">
        <v>970</v>
      </c>
      <c r="I1243" s="353">
        <v>715</v>
      </c>
      <c r="J1243" s="338" t="str">
        <f>IFERROR(VLOOKUP(I1243,'Chart of accounts'!A:H,2,FALSE),"")</f>
        <v>50102040 01</v>
      </c>
      <c r="K1243" s="338" t="str">
        <f>IFERROR(VLOOKUP(I1243,'Chart of accounts'!A:H,3,FALSE),"")</f>
        <v>Clothing/Uniform Allowance - Civilian</v>
      </c>
      <c r="L1243" s="338" t="str">
        <f>IFERROR(VLOOKUP(I1243,'Chart of accounts'!A:H,4,FALSE),"")</f>
        <v>50102040 01 - Clothing/Uniform Allowance - Civilian (715)</v>
      </c>
      <c r="M1243" s="361">
        <v>3</v>
      </c>
      <c r="N1243" s="355" t="s">
        <v>777</v>
      </c>
      <c r="O1243" s="355" t="s">
        <v>1439</v>
      </c>
      <c r="P1243" s="355"/>
      <c r="Q1243" s="363">
        <v>12000</v>
      </c>
      <c r="R1243" s="319" t="e">
        <f>#REF!-#REF!</f>
        <v>#REF!</v>
      </c>
      <c r="S1243" s="239" t="str">
        <f>VLOOKUP(H1243,'Fund Utilization Report'!$A$4:$U$1800,13,FALSE)</f>
        <v>PS</v>
      </c>
      <c r="T1243" s="239" t="str">
        <f>VLOOKUP(H1243,'Fund Utilization Report'!$A$4:$U$1800,2,FALSE)</f>
        <v>GAA</v>
      </c>
      <c r="U1243" s="239" t="str">
        <f>VLOOKUP(H1243,'Fund Utilization Report'!$A$4:$U$1800,3,FALSE)</f>
        <v>FY2021, RA11518</v>
      </c>
      <c r="V1243" s="239" t="str">
        <f>VLOOKUP(H1243,'Fund Utilization Report'!$A$4:$U$1800,4,FALSE)</f>
        <v>OO3</v>
      </c>
      <c r="W1243" s="239" t="str">
        <f>VLOOKUP(H1243,'Fund Utilization Report'!$A$4:$U$1800,5,FALSE)</f>
        <v>01101101</v>
      </c>
      <c r="X1243" s="239" t="str">
        <f>VLOOKUP(H1243,'Fund Utilization Report'!$A$4:$U$1800,6,FALSE)</f>
        <v>GOP</v>
      </c>
      <c r="Y1243" s="440" t="str">
        <f>VLOOKUP(H1243,'Fund Utilization Report'!$A$4:$U$1800,7,FALSE)</f>
        <v>PS</v>
      </c>
      <c r="Z1243" s="441">
        <f>VLOOKUP(H1243,'Fund Utilization Report'!$A$4:$U$1800,8,FALSE)</f>
        <v>5010000000</v>
      </c>
      <c r="AA1243" s="239" t="str">
        <f>VLOOKUP(H1243,'Fund Utilization Report'!$A$4:$U$1800,14,FALSE)</f>
        <v>330100100002000</v>
      </c>
      <c r="AB1243" s="242" t="str">
        <f>VLOOKUP(H1243,'Fund Utilization Report'!$A$4:$U$1800,15,FALSE)</f>
        <v>Implementation of the MSME Development Plan and other initiatives to promote the growth of Micro, Small and Medium Enterprises</v>
      </c>
      <c r="AC1243" s="51"/>
      <c r="AD1243" s="435"/>
      <c r="AE1243" s="51"/>
      <c r="AF1243" s="51"/>
      <c r="AG1243" s="442"/>
      <c r="AH1243" s="442"/>
      <c r="AI1243" s="443"/>
    </row>
    <row r="1244" spans="1:35" s="32" customFormat="1">
      <c r="A1244" s="434" t="s">
        <v>942</v>
      </c>
      <c r="B1244" s="457" t="s">
        <v>946</v>
      </c>
      <c r="C1244" s="233">
        <v>44271</v>
      </c>
      <c r="D1244" s="435" t="s">
        <v>1267</v>
      </c>
      <c r="E1244" s="436" t="s">
        <v>1441</v>
      </c>
      <c r="F1244" s="338">
        <v>0.46597222222222223</v>
      </c>
      <c r="G1244" s="338">
        <v>0.46736111111111112</v>
      </c>
      <c r="H1244" s="338" t="s">
        <v>973</v>
      </c>
      <c r="I1244" s="353">
        <v>715</v>
      </c>
      <c r="J1244" s="338" t="str">
        <f>IFERROR(VLOOKUP(I1244,'Chart of accounts'!A:H,2,FALSE),"")</f>
        <v>50102040 01</v>
      </c>
      <c r="K1244" s="338" t="str">
        <f>IFERROR(VLOOKUP(I1244,'Chart of accounts'!A:H,3,FALSE),"")</f>
        <v>Clothing/Uniform Allowance - Civilian</v>
      </c>
      <c r="L1244" s="338" t="str">
        <f>IFERROR(VLOOKUP(I1244,'Chart of accounts'!A:H,4,FALSE),"")</f>
        <v>50102040 01 - Clothing/Uniform Allowance - Civilian (715)</v>
      </c>
      <c r="M1244" s="361">
        <v>3</v>
      </c>
      <c r="N1244" s="355" t="s">
        <v>777</v>
      </c>
      <c r="O1244" s="355" t="s">
        <v>1439</v>
      </c>
      <c r="P1244" s="355"/>
      <c r="Q1244" s="363">
        <v>18000</v>
      </c>
      <c r="R1244" s="319" t="e">
        <f>#REF!-#REF!</f>
        <v>#REF!</v>
      </c>
      <c r="S1244" s="239" t="str">
        <f>VLOOKUP(H1244,'Fund Utilization Report'!$A$4:$U$1800,13,FALSE)</f>
        <v>PS</v>
      </c>
      <c r="T1244" s="239" t="str">
        <f>VLOOKUP(H1244,'Fund Utilization Report'!$A$4:$U$1800,2,FALSE)</f>
        <v>GAA</v>
      </c>
      <c r="U1244" s="239" t="str">
        <f>VLOOKUP(H1244,'Fund Utilization Report'!$A$4:$U$1800,3,FALSE)</f>
        <v>FY2021, RA11518</v>
      </c>
      <c r="V1244" s="239" t="str">
        <f>VLOOKUP(H1244,'Fund Utilization Report'!$A$4:$U$1800,4,FALSE)</f>
        <v>OO4.1(FTL)</v>
      </c>
      <c r="W1244" s="239" t="str">
        <f>VLOOKUP(H1244,'Fund Utilization Report'!$A$4:$U$1800,5,FALSE)</f>
        <v>01101101</v>
      </c>
      <c r="X1244" s="239" t="str">
        <f>VLOOKUP(H1244,'Fund Utilization Report'!$A$4:$U$1800,6,FALSE)</f>
        <v>GOP</v>
      </c>
      <c r="Y1244" s="440" t="str">
        <f>VLOOKUP(H1244,'Fund Utilization Report'!$A$4:$U$1800,7,FALSE)</f>
        <v>PS</v>
      </c>
      <c r="Z1244" s="441">
        <f>VLOOKUP(H1244,'Fund Utilization Report'!$A$4:$U$1800,8,FALSE)</f>
        <v>5010000000</v>
      </c>
      <c r="AA1244" s="239" t="str">
        <f>VLOOKUP(H1244,'Fund Utilization Report'!$A$4:$U$1800,14,FALSE)</f>
        <v>340100100002000</v>
      </c>
      <c r="AB1244" s="242" t="str">
        <f>VLOOKUP(H1244,'Fund Utilization Report'!$A$4:$U$1800,15,FALSE)</f>
        <v>Monitoring and Enforcement of FTL including consumer complaints handling</v>
      </c>
      <c r="AC1244" s="51"/>
      <c r="AD1244" s="435"/>
      <c r="AE1244" s="51"/>
      <c r="AF1244" s="51"/>
      <c r="AG1244" s="442"/>
      <c r="AH1244" s="442"/>
      <c r="AI1244" s="443"/>
    </row>
    <row r="1245" spans="1:35" s="32" customFormat="1">
      <c r="A1245" s="434" t="s">
        <v>942</v>
      </c>
      <c r="B1245" s="457" t="s">
        <v>946</v>
      </c>
      <c r="C1245" s="233">
        <v>44271</v>
      </c>
      <c r="D1245" s="435" t="s">
        <v>1267</v>
      </c>
      <c r="E1245" s="436" t="s">
        <v>1442</v>
      </c>
      <c r="F1245" s="338">
        <v>0.46736111111111112</v>
      </c>
      <c r="G1245" s="338">
        <v>0.47083333333333338</v>
      </c>
      <c r="H1245" s="338" t="s">
        <v>960</v>
      </c>
      <c r="I1245" s="353">
        <v>715</v>
      </c>
      <c r="J1245" s="338" t="str">
        <f>IFERROR(VLOOKUP(I1245,'Chart of accounts'!A:H,2,FALSE),"")</f>
        <v>50102040 01</v>
      </c>
      <c r="K1245" s="338" t="str">
        <f>IFERROR(VLOOKUP(I1245,'Chart of accounts'!A:H,3,FALSE),"")</f>
        <v>Clothing/Uniform Allowance - Civilian</v>
      </c>
      <c r="L1245" s="338" t="str">
        <f>IFERROR(VLOOKUP(I1245,'Chart of accounts'!A:H,4,FALSE),"")</f>
        <v>50102040 01 - Clothing/Uniform Allowance - Civilian (715)</v>
      </c>
      <c r="M1245" s="361">
        <v>68</v>
      </c>
      <c r="N1245" s="355" t="s">
        <v>764</v>
      </c>
      <c r="O1245" s="355" t="s">
        <v>1439</v>
      </c>
      <c r="P1245" s="355"/>
      <c r="Q1245" s="363">
        <f>4*6000</f>
        <v>24000</v>
      </c>
      <c r="R1245" s="428" t="e">
        <f>#REF!-#REF!</f>
        <v>#REF!</v>
      </c>
      <c r="S1245" s="239" t="str">
        <f>VLOOKUP(H1245,'Fund Utilization Report'!$A$4:$U$1800,13,FALSE)</f>
        <v>PS</v>
      </c>
      <c r="T1245" s="239" t="str">
        <f>VLOOKUP(H1245,'Fund Utilization Report'!$A$4:$U$1800,2,FALSE)</f>
        <v>GAA</v>
      </c>
      <c r="U1245" s="239" t="str">
        <f>VLOOKUP(H1245,'Fund Utilization Report'!$A$4:$U$1800,3,FALSE)</f>
        <v>FY2021, RA11518</v>
      </c>
      <c r="V1245" s="239" t="str">
        <f>VLOOKUP(H1245,'Fund Utilization Report'!$A$4:$U$1800,4,FALSE)</f>
        <v>GAS(GMS)</v>
      </c>
      <c r="W1245" s="239" t="str">
        <f>VLOOKUP(H1245,'Fund Utilization Report'!$A$4:$U$1800,5,FALSE)</f>
        <v>01101101</v>
      </c>
      <c r="X1245" s="239" t="str">
        <f>VLOOKUP(H1245,'Fund Utilization Report'!$A$4:$U$1800,6,FALSE)</f>
        <v>GOP</v>
      </c>
      <c r="Y1245" s="440" t="str">
        <f>VLOOKUP(H1245,'Fund Utilization Report'!$A$4:$U$1800,7,FALSE)</f>
        <v>PS</v>
      </c>
      <c r="Z1245" s="441">
        <f>VLOOKUP(H1245,'Fund Utilization Report'!$A$4:$U$1800,8,FALSE)</f>
        <v>5010000000</v>
      </c>
      <c r="AA1245" s="239" t="str">
        <f>VLOOKUP(H1245,'Fund Utilization Report'!$A$4:$U$1800,14,FALSE)</f>
        <v>100000100001000</v>
      </c>
      <c r="AB1245" s="242" t="str">
        <f>VLOOKUP(H1245,'Fund Utilization Report'!$A$4:$U$1800,15,FALSE)</f>
        <v>General Administration and Supervision - General Management and Supervision</v>
      </c>
      <c r="AC1245" s="51"/>
      <c r="AD1245" s="435"/>
      <c r="AE1245" s="51"/>
      <c r="AF1245" s="51"/>
      <c r="AG1245" s="442"/>
      <c r="AH1245" s="442"/>
      <c r="AI1245" s="443"/>
    </row>
    <row r="1246" spans="1:35" s="32" customFormat="1">
      <c r="A1246" s="434" t="s">
        <v>942</v>
      </c>
      <c r="B1246" s="457" t="s">
        <v>946</v>
      </c>
      <c r="C1246" s="233">
        <v>44271</v>
      </c>
      <c r="D1246" s="435" t="s">
        <v>1267</v>
      </c>
      <c r="E1246" s="436" t="s">
        <v>1442</v>
      </c>
      <c r="F1246" s="338">
        <v>0.46736111111111112</v>
      </c>
      <c r="G1246" s="338">
        <v>0.47083333333333338</v>
      </c>
      <c r="H1246" s="338" t="s">
        <v>964</v>
      </c>
      <c r="I1246" s="353">
        <v>715</v>
      </c>
      <c r="J1246" s="338" t="str">
        <f>IFERROR(VLOOKUP(I1246,'Chart of accounts'!A:H,2,FALSE),"")</f>
        <v>50102040 01</v>
      </c>
      <c r="K1246" s="338" t="str">
        <f>IFERROR(VLOOKUP(I1246,'Chart of accounts'!A:H,3,FALSE),"")</f>
        <v>Clothing/Uniform Allowance - Civilian</v>
      </c>
      <c r="L1246" s="338" t="str">
        <f>IFERROR(VLOOKUP(I1246,'Chart of accounts'!A:H,4,FALSE),"")</f>
        <v>50102040 01 - Clothing/Uniform Allowance - Civilian (715)</v>
      </c>
      <c r="M1246" s="361">
        <v>68</v>
      </c>
      <c r="N1246" s="355" t="s">
        <v>764</v>
      </c>
      <c r="O1246" s="355" t="s">
        <v>1439</v>
      </c>
      <c r="P1246" s="355"/>
      <c r="Q1246" s="363">
        <v>6000</v>
      </c>
      <c r="R1246" s="428" t="e">
        <f>#REF!-#REF!</f>
        <v>#REF!</v>
      </c>
      <c r="S1246" s="239" t="str">
        <f>VLOOKUP(H1246,'Fund Utilization Report'!$A$4:$U$1800,13,FALSE)</f>
        <v>PS</v>
      </c>
      <c r="T1246" s="239" t="str">
        <f>VLOOKUP(H1246,'Fund Utilization Report'!$A$4:$U$1800,2,FALSE)</f>
        <v>GAA</v>
      </c>
      <c r="U1246" s="239" t="str">
        <f>VLOOKUP(H1246,'Fund Utilization Report'!$A$4:$U$1800,3,FALSE)</f>
        <v>FY2021, RA11518</v>
      </c>
      <c r="V1246" s="239" t="str">
        <f>VLOOKUP(H1246,'Fund Utilization Report'!$A$4:$U$1800,4,FALSE)</f>
        <v>OO1</v>
      </c>
      <c r="W1246" s="239" t="str">
        <f>VLOOKUP(H1246,'Fund Utilization Report'!$A$4:$U$1800,5,FALSE)</f>
        <v>01101101</v>
      </c>
      <c r="X1246" s="239" t="str">
        <f>VLOOKUP(H1246,'Fund Utilization Report'!$A$4:$U$1800,6,FALSE)</f>
        <v>GOP</v>
      </c>
      <c r="Y1246" s="440" t="str">
        <f>VLOOKUP(H1246,'Fund Utilization Report'!$A$4:$U$1800,7,FALSE)</f>
        <v>PS</v>
      </c>
      <c r="Z1246" s="441">
        <f>VLOOKUP(H1246,'Fund Utilization Report'!$A$4:$U$1800,8,FALSE)</f>
        <v>5010000000</v>
      </c>
      <c r="AA1246" s="239" t="str">
        <f>VLOOKUP(H1246,'Fund Utilization Report'!$A$4:$U$1800,14,FALSE)</f>
        <v>310100100002000</v>
      </c>
      <c r="AB1246" s="242" t="str">
        <f>VLOOKUP(H1246,'Fund Utilization Report'!$A$4:$U$1800,15,FALSE)</f>
        <v>Development,Facilitation, and promotion of exports and investment, domestic and foreign</v>
      </c>
      <c r="AC1246" s="51"/>
      <c r="AD1246" s="435"/>
      <c r="AE1246" s="51"/>
      <c r="AF1246" s="51"/>
      <c r="AG1246" s="442"/>
      <c r="AH1246" s="442"/>
      <c r="AI1246" s="443"/>
    </row>
    <row r="1247" spans="1:35" s="32" customFormat="1">
      <c r="A1247" s="434" t="s">
        <v>942</v>
      </c>
      <c r="B1247" s="457" t="s">
        <v>946</v>
      </c>
      <c r="C1247" s="233">
        <v>44271</v>
      </c>
      <c r="D1247" s="435" t="s">
        <v>1267</v>
      </c>
      <c r="E1247" s="436" t="s">
        <v>1442</v>
      </c>
      <c r="F1247" s="338">
        <v>0.46736111111111112</v>
      </c>
      <c r="G1247" s="338">
        <v>0.47083333333333338</v>
      </c>
      <c r="H1247" s="338" t="s">
        <v>970</v>
      </c>
      <c r="I1247" s="353">
        <v>715</v>
      </c>
      <c r="J1247" s="338" t="str">
        <f>IFERROR(VLOOKUP(I1247,'Chart of accounts'!A:H,2,FALSE),"")</f>
        <v>50102040 01</v>
      </c>
      <c r="K1247" s="338" t="str">
        <f>IFERROR(VLOOKUP(I1247,'Chart of accounts'!A:H,3,FALSE),"")</f>
        <v>Clothing/Uniform Allowance - Civilian</v>
      </c>
      <c r="L1247" s="338" t="str">
        <f>IFERROR(VLOOKUP(I1247,'Chart of accounts'!A:H,4,FALSE),"")</f>
        <v>50102040 01 - Clothing/Uniform Allowance - Civilian (715)</v>
      </c>
      <c r="M1247" s="361">
        <v>68</v>
      </c>
      <c r="N1247" s="355" t="s">
        <v>764</v>
      </c>
      <c r="O1247" s="355" t="s">
        <v>1439</v>
      </c>
      <c r="P1247" s="355"/>
      <c r="Q1247" s="363">
        <f>3*6000</f>
        <v>18000</v>
      </c>
      <c r="R1247" s="428" t="e">
        <f>#REF!-#REF!</f>
        <v>#REF!</v>
      </c>
      <c r="S1247" s="239" t="str">
        <f>VLOOKUP(H1247,'Fund Utilization Report'!$A$4:$U$1800,13,FALSE)</f>
        <v>PS</v>
      </c>
      <c r="T1247" s="239" t="str">
        <f>VLOOKUP(H1247,'Fund Utilization Report'!$A$4:$U$1800,2,FALSE)</f>
        <v>GAA</v>
      </c>
      <c r="U1247" s="239" t="str">
        <f>VLOOKUP(H1247,'Fund Utilization Report'!$A$4:$U$1800,3,FALSE)</f>
        <v>FY2021, RA11518</v>
      </c>
      <c r="V1247" s="239" t="str">
        <f>VLOOKUP(H1247,'Fund Utilization Report'!$A$4:$U$1800,4,FALSE)</f>
        <v>OO3</v>
      </c>
      <c r="W1247" s="239" t="str">
        <f>VLOOKUP(H1247,'Fund Utilization Report'!$A$4:$U$1800,5,FALSE)</f>
        <v>01101101</v>
      </c>
      <c r="X1247" s="239" t="str">
        <f>VLOOKUP(H1247,'Fund Utilization Report'!$A$4:$U$1800,6,FALSE)</f>
        <v>GOP</v>
      </c>
      <c r="Y1247" s="440" t="str">
        <f>VLOOKUP(H1247,'Fund Utilization Report'!$A$4:$U$1800,7,FALSE)</f>
        <v>PS</v>
      </c>
      <c r="Z1247" s="441">
        <f>VLOOKUP(H1247,'Fund Utilization Report'!$A$4:$U$1800,8,FALSE)</f>
        <v>5010000000</v>
      </c>
      <c r="AA1247" s="239" t="str">
        <f>VLOOKUP(H1247,'Fund Utilization Report'!$A$4:$U$1800,14,FALSE)</f>
        <v>330100100002000</v>
      </c>
      <c r="AB1247" s="242" t="str">
        <f>VLOOKUP(H1247,'Fund Utilization Report'!$A$4:$U$1800,15,FALSE)</f>
        <v>Implementation of the MSME Development Plan and other initiatives to promote the growth of Micro, Small and Medium Enterprises</v>
      </c>
      <c r="AC1247" s="51"/>
      <c r="AD1247" s="435"/>
      <c r="AE1247" s="51"/>
      <c r="AF1247" s="51"/>
      <c r="AG1247" s="442"/>
      <c r="AH1247" s="442"/>
      <c r="AI1247" s="443"/>
    </row>
    <row r="1248" spans="1:35" s="32" customFormat="1">
      <c r="A1248" s="434" t="s">
        <v>942</v>
      </c>
      <c r="B1248" s="457" t="s">
        <v>946</v>
      </c>
      <c r="C1248" s="233">
        <v>44271</v>
      </c>
      <c r="D1248" s="435" t="s">
        <v>1267</v>
      </c>
      <c r="E1248" s="436" t="s">
        <v>1442</v>
      </c>
      <c r="F1248" s="338">
        <v>0.46736111111111112</v>
      </c>
      <c r="G1248" s="338">
        <v>0.47083333333333338</v>
      </c>
      <c r="H1248" s="338" t="s">
        <v>973</v>
      </c>
      <c r="I1248" s="353">
        <v>715</v>
      </c>
      <c r="J1248" s="338" t="str">
        <f>IFERROR(VLOOKUP(I1248,'Chart of accounts'!A:H,2,FALSE),"")</f>
        <v>50102040 01</v>
      </c>
      <c r="K1248" s="338" t="str">
        <f>IFERROR(VLOOKUP(I1248,'Chart of accounts'!A:H,3,FALSE),"")</f>
        <v>Clothing/Uniform Allowance - Civilian</v>
      </c>
      <c r="L1248" s="338" t="str">
        <f>IFERROR(VLOOKUP(I1248,'Chart of accounts'!A:H,4,FALSE),"")</f>
        <v>50102040 01 - Clothing/Uniform Allowance - Civilian (715)</v>
      </c>
      <c r="M1248" s="361">
        <v>68</v>
      </c>
      <c r="N1248" s="355" t="s">
        <v>764</v>
      </c>
      <c r="O1248" s="355" t="s">
        <v>1439</v>
      </c>
      <c r="P1248" s="355"/>
      <c r="Q1248" s="363">
        <f>3*6000</f>
        <v>18000</v>
      </c>
      <c r="R1248" s="428" t="e">
        <f>#REF!-#REF!</f>
        <v>#REF!</v>
      </c>
      <c r="S1248" s="239" t="str">
        <f>VLOOKUP(H1248,'Fund Utilization Report'!$A$4:$U$1800,13,FALSE)</f>
        <v>PS</v>
      </c>
      <c r="T1248" s="239" t="str">
        <f>VLOOKUP(H1248,'Fund Utilization Report'!$A$4:$U$1800,2,FALSE)</f>
        <v>GAA</v>
      </c>
      <c r="U1248" s="239" t="str">
        <f>VLOOKUP(H1248,'Fund Utilization Report'!$A$4:$U$1800,3,FALSE)</f>
        <v>FY2021, RA11518</v>
      </c>
      <c r="V1248" s="239" t="str">
        <f>VLOOKUP(H1248,'Fund Utilization Report'!$A$4:$U$1800,4,FALSE)</f>
        <v>OO4.1(FTL)</v>
      </c>
      <c r="W1248" s="239" t="str">
        <f>VLOOKUP(H1248,'Fund Utilization Report'!$A$4:$U$1800,5,FALSE)</f>
        <v>01101101</v>
      </c>
      <c r="X1248" s="239" t="str">
        <f>VLOOKUP(H1248,'Fund Utilization Report'!$A$4:$U$1800,6,FALSE)</f>
        <v>GOP</v>
      </c>
      <c r="Y1248" s="440" t="str">
        <f>VLOOKUP(H1248,'Fund Utilization Report'!$A$4:$U$1800,7,FALSE)</f>
        <v>PS</v>
      </c>
      <c r="Z1248" s="441">
        <f>VLOOKUP(H1248,'Fund Utilization Report'!$A$4:$U$1800,8,FALSE)</f>
        <v>5010000000</v>
      </c>
      <c r="AA1248" s="239" t="str">
        <f>VLOOKUP(H1248,'Fund Utilization Report'!$A$4:$U$1800,14,FALSE)</f>
        <v>340100100002000</v>
      </c>
      <c r="AB1248" s="242" t="str">
        <f>VLOOKUP(H1248,'Fund Utilization Report'!$A$4:$U$1800,15,FALSE)</f>
        <v>Monitoring and Enforcement of FTL including consumer complaints handling</v>
      </c>
      <c r="AC1248" s="51"/>
      <c r="AD1248" s="435"/>
      <c r="AE1248" s="51"/>
      <c r="AF1248" s="51"/>
      <c r="AG1248" s="442"/>
      <c r="AH1248" s="442"/>
      <c r="AI1248" s="443"/>
    </row>
    <row r="1249" spans="1:35" s="32" customFormat="1">
      <c r="A1249" s="434" t="s">
        <v>942</v>
      </c>
      <c r="B1249" s="457" t="s">
        <v>946</v>
      </c>
      <c r="C1249" s="233">
        <v>44271</v>
      </c>
      <c r="D1249" s="435" t="s">
        <v>1267</v>
      </c>
      <c r="E1249" s="436" t="s">
        <v>1443</v>
      </c>
      <c r="F1249" s="338">
        <v>0.47083333333333338</v>
      </c>
      <c r="G1249" s="338">
        <v>0.47152777777777777</v>
      </c>
      <c r="H1249" s="338" t="s">
        <v>960</v>
      </c>
      <c r="I1249" s="353">
        <v>715</v>
      </c>
      <c r="J1249" s="338" t="str">
        <f>IFERROR(VLOOKUP(I1249,'Chart of accounts'!A:H,2,FALSE),"")</f>
        <v>50102040 01</v>
      </c>
      <c r="K1249" s="338" t="str">
        <f>IFERROR(VLOOKUP(I1249,'Chart of accounts'!A:H,3,FALSE),"")</f>
        <v>Clothing/Uniform Allowance - Civilian</v>
      </c>
      <c r="L1249" s="338" t="str">
        <f>IFERROR(VLOOKUP(I1249,'Chart of accounts'!A:H,4,FALSE),"")</f>
        <v>50102040 01 - Clothing/Uniform Allowance - Civilian (715)</v>
      </c>
      <c r="M1249" s="361">
        <v>67</v>
      </c>
      <c r="N1249" s="355" t="s">
        <v>768</v>
      </c>
      <c r="O1249" s="355" t="s">
        <v>1439</v>
      </c>
      <c r="P1249" s="355"/>
      <c r="Q1249" s="363">
        <v>18000</v>
      </c>
      <c r="R1249" s="428" t="e">
        <f>#REF!-#REF!</f>
        <v>#REF!</v>
      </c>
      <c r="S1249" s="239" t="str">
        <f>VLOOKUP(H1249,'Fund Utilization Report'!$A$4:$U$1800,13,FALSE)</f>
        <v>PS</v>
      </c>
      <c r="T1249" s="239" t="str">
        <f>VLOOKUP(H1249,'Fund Utilization Report'!$A$4:$U$1800,2,FALSE)</f>
        <v>GAA</v>
      </c>
      <c r="U1249" s="239" t="str">
        <f>VLOOKUP(H1249,'Fund Utilization Report'!$A$4:$U$1800,3,FALSE)</f>
        <v>FY2021, RA11518</v>
      </c>
      <c r="V1249" s="239" t="str">
        <f>VLOOKUP(H1249,'Fund Utilization Report'!$A$4:$U$1800,4,FALSE)</f>
        <v>GAS(GMS)</v>
      </c>
      <c r="W1249" s="239" t="str">
        <f>VLOOKUP(H1249,'Fund Utilization Report'!$A$4:$U$1800,5,FALSE)</f>
        <v>01101101</v>
      </c>
      <c r="X1249" s="239" t="str">
        <f>VLOOKUP(H1249,'Fund Utilization Report'!$A$4:$U$1800,6,FALSE)</f>
        <v>GOP</v>
      </c>
      <c r="Y1249" s="440" t="str">
        <f>VLOOKUP(H1249,'Fund Utilization Report'!$A$4:$U$1800,7,FALSE)</f>
        <v>PS</v>
      </c>
      <c r="Z1249" s="441">
        <f>VLOOKUP(H1249,'Fund Utilization Report'!$A$4:$U$1800,8,FALSE)</f>
        <v>5010000000</v>
      </c>
      <c r="AA1249" s="239" t="str">
        <f>VLOOKUP(H1249,'Fund Utilization Report'!$A$4:$U$1800,14,FALSE)</f>
        <v>100000100001000</v>
      </c>
      <c r="AB1249" s="242" t="str">
        <f>VLOOKUP(H1249,'Fund Utilization Report'!$A$4:$U$1800,15,FALSE)</f>
        <v>General Administration and Supervision - General Management and Supervision</v>
      </c>
      <c r="AC1249" s="51"/>
      <c r="AD1249" s="435"/>
      <c r="AE1249" s="51"/>
      <c r="AF1249" s="51"/>
      <c r="AG1249" s="442"/>
      <c r="AH1249" s="442"/>
      <c r="AI1249" s="443"/>
    </row>
    <row r="1250" spans="1:35" s="32" customFormat="1">
      <c r="A1250" s="434" t="s">
        <v>942</v>
      </c>
      <c r="B1250" s="457" t="s">
        <v>946</v>
      </c>
      <c r="C1250" s="233">
        <v>44271</v>
      </c>
      <c r="D1250" s="435" t="s">
        <v>1267</v>
      </c>
      <c r="E1250" s="436" t="s">
        <v>1443</v>
      </c>
      <c r="F1250" s="338">
        <v>0.47083333333333338</v>
      </c>
      <c r="G1250" s="338">
        <v>0.47152777777777777</v>
      </c>
      <c r="H1250" s="338" t="s">
        <v>964</v>
      </c>
      <c r="I1250" s="353">
        <v>715</v>
      </c>
      <c r="J1250" s="338" t="str">
        <f>IFERROR(VLOOKUP(I1250,'Chart of accounts'!A:H,2,FALSE),"")</f>
        <v>50102040 01</v>
      </c>
      <c r="K1250" s="338" t="str">
        <f>IFERROR(VLOOKUP(I1250,'Chart of accounts'!A:H,3,FALSE),"")</f>
        <v>Clothing/Uniform Allowance - Civilian</v>
      </c>
      <c r="L1250" s="338" t="str">
        <f>IFERROR(VLOOKUP(I1250,'Chart of accounts'!A:H,4,FALSE),"")</f>
        <v>50102040 01 - Clothing/Uniform Allowance - Civilian (715)</v>
      </c>
      <c r="M1250" s="361">
        <v>67</v>
      </c>
      <c r="N1250" s="355" t="s">
        <v>768</v>
      </c>
      <c r="O1250" s="355" t="s">
        <v>1439</v>
      </c>
      <c r="P1250" s="355"/>
      <c r="Q1250" s="363">
        <v>6000</v>
      </c>
      <c r="R1250" s="428" t="e">
        <f>#REF!-#REF!</f>
        <v>#REF!</v>
      </c>
      <c r="S1250" s="239" t="str">
        <f>VLOOKUP(H1250,'Fund Utilization Report'!$A$4:$U$1800,13,FALSE)</f>
        <v>PS</v>
      </c>
      <c r="T1250" s="239" t="str">
        <f>VLOOKUP(H1250,'Fund Utilization Report'!$A$4:$U$1800,2,FALSE)</f>
        <v>GAA</v>
      </c>
      <c r="U1250" s="239" t="str">
        <f>VLOOKUP(H1250,'Fund Utilization Report'!$A$4:$U$1800,3,FALSE)</f>
        <v>FY2021, RA11518</v>
      </c>
      <c r="V1250" s="239" t="str">
        <f>VLOOKUP(H1250,'Fund Utilization Report'!$A$4:$U$1800,4,FALSE)</f>
        <v>OO1</v>
      </c>
      <c r="W1250" s="239" t="str">
        <f>VLOOKUP(H1250,'Fund Utilization Report'!$A$4:$U$1800,5,FALSE)</f>
        <v>01101101</v>
      </c>
      <c r="X1250" s="239" t="str">
        <f>VLOOKUP(H1250,'Fund Utilization Report'!$A$4:$U$1800,6,FALSE)</f>
        <v>GOP</v>
      </c>
      <c r="Y1250" s="440" t="str">
        <f>VLOOKUP(H1250,'Fund Utilization Report'!$A$4:$U$1800,7,FALSE)</f>
        <v>PS</v>
      </c>
      <c r="Z1250" s="441">
        <f>VLOOKUP(H1250,'Fund Utilization Report'!$A$4:$U$1800,8,FALSE)</f>
        <v>5010000000</v>
      </c>
      <c r="AA1250" s="239" t="str">
        <f>VLOOKUP(H1250,'Fund Utilization Report'!$A$4:$U$1800,14,FALSE)</f>
        <v>310100100002000</v>
      </c>
      <c r="AB1250" s="242" t="str">
        <f>VLOOKUP(H1250,'Fund Utilization Report'!$A$4:$U$1800,15,FALSE)</f>
        <v>Development,Facilitation, and promotion of exports and investment, domestic and foreign</v>
      </c>
      <c r="AC1250" s="51"/>
      <c r="AD1250" s="435"/>
      <c r="AE1250" s="51"/>
      <c r="AF1250" s="51"/>
      <c r="AG1250" s="442"/>
      <c r="AH1250" s="442"/>
      <c r="AI1250" s="443"/>
    </row>
    <row r="1251" spans="1:35" s="32" customFormat="1">
      <c r="A1251" s="434" t="s">
        <v>942</v>
      </c>
      <c r="B1251" s="457" t="s">
        <v>946</v>
      </c>
      <c r="C1251" s="233">
        <v>44271</v>
      </c>
      <c r="D1251" s="435" t="s">
        <v>1267</v>
      </c>
      <c r="E1251" s="436" t="s">
        <v>1443</v>
      </c>
      <c r="F1251" s="338">
        <v>0.47083333333333338</v>
      </c>
      <c r="G1251" s="338">
        <v>0.47152777777777777</v>
      </c>
      <c r="H1251" s="338" t="s">
        <v>967</v>
      </c>
      <c r="I1251" s="353">
        <v>715</v>
      </c>
      <c r="J1251" s="338" t="str">
        <f>IFERROR(VLOOKUP(I1251,'Chart of accounts'!A:H,2,FALSE),"")</f>
        <v>50102040 01</v>
      </c>
      <c r="K1251" s="338" t="str">
        <f>IFERROR(VLOOKUP(I1251,'Chart of accounts'!A:H,3,FALSE),"")</f>
        <v>Clothing/Uniform Allowance - Civilian</v>
      </c>
      <c r="L1251" s="338" t="str">
        <f>IFERROR(VLOOKUP(I1251,'Chart of accounts'!A:H,4,FALSE),"")</f>
        <v>50102040 01 - Clothing/Uniform Allowance - Civilian (715)</v>
      </c>
      <c r="M1251" s="361">
        <v>67</v>
      </c>
      <c r="N1251" s="355" t="s">
        <v>768</v>
      </c>
      <c r="O1251" s="355" t="s">
        <v>1439</v>
      </c>
      <c r="P1251" s="355"/>
      <c r="Q1251" s="363">
        <v>6000</v>
      </c>
      <c r="R1251" s="428" t="e">
        <f>#REF!-#REF!</f>
        <v>#REF!</v>
      </c>
      <c r="S1251" s="239" t="str">
        <f>VLOOKUP(H1251,'Fund Utilization Report'!$A$4:$U$1800,13,FALSE)</f>
        <v>PS</v>
      </c>
      <c r="T1251" s="239" t="str">
        <f>VLOOKUP(H1251,'Fund Utilization Report'!$A$4:$U$1800,2,FALSE)</f>
        <v>GAA</v>
      </c>
      <c r="U1251" s="239" t="str">
        <f>VLOOKUP(H1251,'Fund Utilization Report'!$A$4:$U$1800,3,FALSE)</f>
        <v>FY2021, RA11518</v>
      </c>
      <c r="V1251" s="239" t="str">
        <f>VLOOKUP(H1251,'Fund Utilization Report'!$A$4:$U$1800,4,FALSE)</f>
        <v>OO2</v>
      </c>
      <c r="W1251" s="239" t="str">
        <f>VLOOKUP(H1251,'Fund Utilization Report'!$A$4:$U$1800,5,FALSE)</f>
        <v>01101101</v>
      </c>
      <c r="X1251" s="239" t="str">
        <f>VLOOKUP(H1251,'Fund Utilization Report'!$A$4:$U$1800,6,FALSE)</f>
        <v>GOP</v>
      </c>
      <c r="Y1251" s="440" t="str">
        <f>VLOOKUP(H1251,'Fund Utilization Report'!$A$4:$U$1800,7,FALSE)</f>
        <v>PS</v>
      </c>
      <c r="Z1251" s="441">
        <f>VLOOKUP(H1251,'Fund Utilization Report'!$A$4:$U$1800,8,FALSE)</f>
        <v>5010000000</v>
      </c>
      <c r="AA1251" s="239" t="str">
        <f>VLOOKUP(H1251,'Fund Utilization Report'!$A$4:$U$1800,14,FALSE)</f>
        <v>320100100001000</v>
      </c>
      <c r="AB1251" s="242" t="str">
        <f>VLOOKUP(H1251,'Fund Utilization Report'!$A$4:$U$1800,15,FALSE)</f>
        <v>Formulation of Strategic plans,programs, and policies to develop competitve industries</v>
      </c>
      <c r="AC1251" s="51"/>
      <c r="AD1251" s="435"/>
      <c r="AE1251" s="51"/>
      <c r="AF1251" s="51"/>
      <c r="AG1251" s="442"/>
      <c r="AH1251" s="442"/>
      <c r="AI1251" s="443"/>
    </row>
    <row r="1252" spans="1:35" s="32" customFormat="1">
      <c r="A1252" s="434" t="s">
        <v>942</v>
      </c>
      <c r="B1252" s="457" t="s">
        <v>946</v>
      </c>
      <c r="C1252" s="233">
        <v>44271</v>
      </c>
      <c r="D1252" s="435" t="s">
        <v>1267</v>
      </c>
      <c r="E1252" s="436" t="s">
        <v>1443</v>
      </c>
      <c r="F1252" s="338">
        <v>0.47083333333333338</v>
      </c>
      <c r="G1252" s="338">
        <v>0.47152777777777777</v>
      </c>
      <c r="H1252" s="338" t="s">
        <v>970</v>
      </c>
      <c r="I1252" s="353">
        <v>715</v>
      </c>
      <c r="J1252" s="338" t="str">
        <f>IFERROR(VLOOKUP(I1252,'Chart of accounts'!A:H,2,FALSE),"")</f>
        <v>50102040 01</v>
      </c>
      <c r="K1252" s="338" t="str">
        <f>IFERROR(VLOOKUP(I1252,'Chart of accounts'!A:H,3,FALSE),"")</f>
        <v>Clothing/Uniform Allowance - Civilian</v>
      </c>
      <c r="L1252" s="338" t="str">
        <f>IFERROR(VLOOKUP(I1252,'Chart of accounts'!A:H,4,FALSE),"")</f>
        <v>50102040 01 - Clothing/Uniform Allowance - Civilian (715)</v>
      </c>
      <c r="M1252" s="361">
        <v>67</v>
      </c>
      <c r="N1252" s="355" t="s">
        <v>768</v>
      </c>
      <c r="O1252" s="355" t="s">
        <v>1439</v>
      </c>
      <c r="P1252" s="355"/>
      <c r="Q1252" s="363">
        <f>6*6000</f>
        <v>36000</v>
      </c>
      <c r="R1252" s="428" t="e">
        <f>#REF!-#REF!</f>
        <v>#REF!</v>
      </c>
      <c r="S1252" s="239" t="str">
        <f>VLOOKUP(H1252,'Fund Utilization Report'!$A$4:$U$1800,13,FALSE)</f>
        <v>PS</v>
      </c>
      <c r="T1252" s="239" t="str">
        <f>VLOOKUP(H1252,'Fund Utilization Report'!$A$4:$U$1800,2,FALSE)</f>
        <v>GAA</v>
      </c>
      <c r="U1252" s="239" t="str">
        <f>VLOOKUP(H1252,'Fund Utilization Report'!$A$4:$U$1800,3,FALSE)</f>
        <v>FY2021, RA11518</v>
      </c>
      <c r="V1252" s="239" t="str">
        <f>VLOOKUP(H1252,'Fund Utilization Report'!$A$4:$U$1800,4,FALSE)</f>
        <v>OO3</v>
      </c>
      <c r="W1252" s="239" t="str">
        <f>VLOOKUP(H1252,'Fund Utilization Report'!$A$4:$U$1800,5,FALSE)</f>
        <v>01101101</v>
      </c>
      <c r="X1252" s="239" t="str">
        <f>VLOOKUP(H1252,'Fund Utilization Report'!$A$4:$U$1800,6,FALSE)</f>
        <v>GOP</v>
      </c>
      <c r="Y1252" s="440" t="str">
        <f>VLOOKUP(H1252,'Fund Utilization Report'!$A$4:$U$1800,7,FALSE)</f>
        <v>PS</v>
      </c>
      <c r="Z1252" s="441">
        <f>VLOOKUP(H1252,'Fund Utilization Report'!$A$4:$U$1800,8,FALSE)</f>
        <v>5010000000</v>
      </c>
      <c r="AA1252" s="239" t="str">
        <f>VLOOKUP(H1252,'Fund Utilization Report'!$A$4:$U$1800,14,FALSE)</f>
        <v>330100100002000</v>
      </c>
      <c r="AB1252" s="242" t="str">
        <f>VLOOKUP(H1252,'Fund Utilization Report'!$A$4:$U$1800,15,FALSE)</f>
        <v>Implementation of the MSME Development Plan and other initiatives to promote the growth of Micro, Small and Medium Enterprises</v>
      </c>
      <c r="AC1252" s="51"/>
      <c r="AD1252" s="435"/>
      <c r="AE1252" s="51"/>
      <c r="AF1252" s="51"/>
      <c r="AG1252" s="442"/>
      <c r="AH1252" s="442"/>
      <c r="AI1252" s="443"/>
    </row>
    <row r="1253" spans="1:35" s="32" customFormat="1">
      <c r="A1253" s="434" t="s">
        <v>942</v>
      </c>
      <c r="B1253" s="457" t="s">
        <v>946</v>
      </c>
      <c r="C1253" s="233">
        <v>44271</v>
      </c>
      <c r="D1253" s="435" t="s">
        <v>1267</v>
      </c>
      <c r="E1253" s="436" t="s">
        <v>1443</v>
      </c>
      <c r="F1253" s="338">
        <v>0.47083333333333338</v>
      </c>
      <c r="G1253" s="338">
        <v>0.47152777777777777</v>
      </c>
      <c r="H1253" s="338" t="s">
        <v>973</v>
      </c>
      <c r="I1253" s="353">
        <v>715</v>
      </c>
      <c r="J1253" s="338" t="str">
        <f>IFERROR(VLOOKUP(I1253,'Chart of accounts'!A:H,2,FALSE),"")</f>
        <v>50102040 01</v>
      </c>
      <c r="K1253" s="338" t="str">
        <f>IFERROR(VLOOKUP(I1253,'Chart of accounts'!A:H,3,FALSE),"")</f>
        <v>Clothing/Uniform Allowance - Civilian</v>
      </c>
      <c r="L1253" s="338" t="str">
        <f>IFERROR(VLOOKUP(I1253,'Chart of accounts'!A:H,4,FALSE),"")</f>
        <v>50102040 01 - Clothing/Uniform Allowance - Civilian (715)</v>
      </c>
      <c r="M1253" s="361">
        <v>67</v>
      </c>
      <c r="N1253" s="355" t="s">
        <v>768</v>
      </c>
      <c r="O1253" s="355" t="s">
        <v>1439</v>
      </c>
      <c r="P1253" s="355"/>
      <c r="Q1253" s="363">
        <v>6000</v>
      </c>
      <c r="R1253" s="428" t="e">
        <f>#REF!-#REF!</f>
        <v>#REF!</v>
      </c>
      <c r="S1253" s="239" t="str">
        <f>VLOOKUP(H1253,'Fund Utilization Report'!$A$4:$U$1800,13,FALSE)</f>
        <v>PS</v>
      </c>
      <c r="T1253" s="239" t="str">
        <f>VLOOKUP(H1253,'Fund Utilization Report'!$A$4:$U$1800,2,FALSE)</f>
        <v>GAA</v>
      </c>
      <c r="U1253" s="239" t="str">
        <f>VLOOKUP(H1253,'Fund Utilization Report'!$A$4:$U$1800,3,FALSE)</f>
        <v>FY2021, RA11518</v>
      </c>
      <c r="V1253" s="239" t="str">
        <f>VLOOKUP(H1253,'Fund Utilization Report'!$A$4:$U$1800,4,FALSE)</f>
        <v>OO4.1(FTL)</v>
      </c>
      <c r="W1253" s="239" t="str">
        <f>VLOOKUP(H1253,'Fund Utilization Report'!$A$4:$U$1800,5,FALSE)</f>
        <v>01101101</v>
      </c>
      <c r="X1253" s="239" t="str">
        <f>VLOOKUP(H1253,'Fund Utilization Report'!$A$4:$U$1800,6,FALSE)</f>
        <v>GOP</v>
      </c>
      <c r="Y1253" s="440" t="str">
        <f>VLOOKUP(H1253,'Fund Utilization Report'!$A$4:$U$1800,7,FALSE)</f>
        <v>PS</v>
      </c>
      <c r="Z1253" s="441">
        <f>VLOOKUP(H1253,'Fund Utilization Report'!$A$4:$U$1800,8,FALSE)</f>
        <v>5010000000</v>
      </c>
      <c r="AA1253" s="239" t="str">
        <f>VLOOKUP(H1253,'Fund Utilization Report'!$A$4:$U$1800,14,FALSE)</f>
        <v>340100100002000</v>
      </c>
      <c r="AB1253" s="242" t="str">
        <f>VLOOKUP(H1253,'Fund Utilization Report'!$A$4:$U$1800,15,FALSE)</f>
        <v>Monitoring and Enforcement of FTL including consumer complaints handling</v>
      </c>
      <c r="AC1253" s="51"/>
      <c r="AD1253" s="435"/>
      <c r="AE1253" s="51"/>
      <c r="AF1253" s="51"/>
      <c r="AG1253" s="442"/>
      <c r="AH1253" s="442"/>
      <c r="AI1253" s="443"/>
    </row>
    <row r="1254" spans="1:35" s="32" customFormat="1">
      <c r="A1254" s="434" t="s">
        <v>942</v>
      </c>
      <c r="B1254" s="457" t="s">
        <v>946</v>
      </c>
      <c r="C1254" s="233">
        <v>44271</v>
      </c>
      <c r="D1254" s="435" t="s">
        <v>1267</v>
      </c>
      <c r="E1254" s="436" t="s">
        <v>1444</v>
      </c>
      <c r="F1254" s="338">
        <v>0.47152777777777777</v>
      </c>
      <c r="G1254" s="338">
        <v>0.47222222222222227</v>
      </c>
      <c r="H1254" s="338" t="s">
        <v>960</v>
      </c>
      <c r="I1254" s="353">
        <v>715</v>
      </c>
      <c r="J1254" s="338" t="str">
        <f>IFERROR(VLOOKUP(I1254,'Chart of accounts'!A:H,2,FALSE),"")</f>
        <v>50102040 01</v>
      </c>
      <c r="K1254" s="338" t="str">
        <f>IFERROR(VLOOKUP(I1254,'Chart of accounts'!A:H,3,FALSE),"")</f>
        <v>Clothing/Uniform Allowance - Civilian</v>
      </c>
      <c r="L1254" s="338" t="str">
        <f>IFERROR(VLOOKUP(I1254,'Chart of accounts'!A:H,4,FALSE),"")</f>
        <v>50102040 01 - Clothing/Uniform Allowance - Civilian (715)</v>
      </c>
      <c r="M1254" s="361">
        <v>85</v>
      </c>
      <c r="N1254" s="355" t="s">
        <v>765</v>
      </c>
      <c r="O1254" s="355" t="s">
        <v>1439</v>
      </c>
      <c r="P1254" s="355"/>
      <c r="Q1254" s="363">
        <v>12000</v>
      </c>
      <c r="R1254" s="428" t="e">
        <f>#REF!-#REF!</f>
        <v>#REF!</v>
      </c>
      <c r="S1254" s="239" t="str">
        <f>VLOOKUP(H1254,'Fund Utilization Report'!$A$4:$U$1800,13,FALSE)</f>
        <v>PS</v>
      </c>
      <c r="T1254" s="239" t="str">
        <f>VLOOKUP(H1254,'Fund Utilization Report'!$A$4:$U$1800,2,FALSE)</f>
        <v>GAA</v>
      </c>
      <c r="U1254" s="239" t="str">
        <f>VLOOKUP(H1254,'Fund Utilization Report'!$A$4:$U$1800,3,FALSE)</f>
        <v>FY2021, RA11518</v>
      </c>
      <c r="V1254" s="239" t="str">
        <f>VLOOKUP(H1254,'Fund Utilization Report'!$A$4:$U$1800,4,FALSE)</f>
        <v>GAS(GMS)</v>
      </c>
      <c r="W1254" s="239" t="str">
        <f>VLOOKUP(H1254,'Fund Utilization Report'!$A$4:$U$1800,5,FALSE)</f>
        <v>01101101</v>
      </c>
      <c r="X1254" s="239" t="str">
        <f>VLOOKUP(H1254,'Fund Utilization Report'!$A$4:$U$1800,6,FALSE)</f>
        <v>GOP</v>
      </c>
      <c r="Y1254" s="440" t="str">
        <f>VLOOKUP(H1254,'Fund Utilization Report'!$A$4:$U$1800,7,FALSE)</f>
        <v>PS</v>
      </c>
      <c r="Z1254" s="441">
        <f>VLOOKUP(H1254,'Fund Utilization Report'!$A$4:$U$1800,8,FALSE)</f>
        <v>5010000000</v>
      </c>
      <c r="AA1254" s="239" t="str">
        <f>VLOOKUP(H1254,'Fund Utilization Report'!$A$4:$U$1800,14,FALSE)</f>
        <v>100000100001000</v>
      </c>
      <c r="AB1254" s="242" t="str">
        <f>VLOOKUP(H1254,'Fund Utilization Report'!$A$4:$U$1800,15,FALSE)</f>
        <v>General Administration and Supervision - General Management and Supervision</v>
      </c>
      <c r="AC1254" s="51"/>
      <c r="AD1254" s="435"/>
      <c r="AE1254" s="51"/>
      <c r="AF1254" s="51"/>
      <c r="AG1254" s="442"/>
      <c r="AH1254" s="442"/>
      <c r="AI1254" s="443"/>
    </row>
    <row r="1255" spans="1:35" s="32" customFormat="1">
      <c r="A1255" s="434" t="s">
        <v>942</v>
      </c>
      <c r="B1255" s="457" t="s">
        <v>946</v>
      </c>
      <c r="C1255" s="233">
        <v>44271</v>
      </c>
      <c r="D1255" s="435" t="s">
        <v>1267</v>
      </c>
      <c r="E1255" s="436" t="s">
        <v>1444</v>
      </c>
      <c r="F1255" s="338">
        <v>0.47152777777777777</v>
      </c>
      <c r="G1255" s="338">
        <v>0.47222222222222227</v>
      </c>
      <c r="H1255" s="338" t="s">
        <v>964</v>
      </c>
      <c r="I1255" s="353">
        <v>715</v>
      </c>
      <c r="J1255" s="338" t="str">
        <f>IFERROR(VLOOKUP(I1255,'Chart of accounts'!A:H,2,FALSE),"")</f>
        <v>50102040 01</v>
      </c>
      <c r="K1255" s="338" t="str">
        <f>IFERROR(VLOOKUP(I1255,'Chart of accounts'!A:H,3,FALSE),"")</f>
        <v>Clothing/Uniform Allowance - Civilian</v>
      </c>
      <c r="L1255" s="338" t="str">
        <f>IFERROR(VLOOKUP(I1255,'Chart of accounts'!A:H,4,FALSE),"")</f>
        <v>50102040 01 - Clothing/Uniform Allowance - Civilian (715)</v>
      </c>
      <c r="M1255" s="361">
        <v>85</v>
      </c>
      <c r="N1255" s="355" t="s">
        <v>765</v>
      </c>
      <c r="O1255" s="355" t="s">
        <v>1439</v>
      </c>
      <c r="P1255" s="355"/>
      <c r="Q1255" s="363">
        <v>6000</v>
      </c>
      <c r="R1255" s="428" t="e">
        <f>#REF!-#REF!</f>
        <v>#REF!</v>
      </c>
      <c r="S1255" s="239" t="str">
        <f>VLOOKUP(H1255,'Fund Utilization Report'!$A$4:$U$1800,13,FALSE)</f>
        <v>PS</v>
      </c>
      <c r="T1255" s="239" t="str">
        <f>VLOOKUP(H1255,'Fund Utilization Report'!$A$4:$U$1800,2,FALSE)</f>
        <v>GAA</v>
      </c>
      <c r="U1255" s="239" t="str">
        <f>VLOOKUP(H1255,'Fund Utilization Report'!$A$4:$U$1800,3,FALSE)</f>
        <v>FY2021, RA11518</v>
      </c>
      <c r="V1255" s="239" t="str">
        <f>VLOOKUP(H1255,'Fund Utilization Report'!$A$4:$U$1800,4,FALSE)</f>
        <v>OO1</v>
      </c>
      <c r="W1255" s="239" t="str">
        <f>VLOOKUP(H1255,'Fund Utilization Report'!$A$4:$U$1800,5,FALSE)</f>
        <v>01101101</v>
      </c>
      <c r="X1255" s="239" t="str">
        <f>VLOOKUP(H1255,'Fund Utilization Report'!$A$4:$U$1800,6,FALSE)</f>
        <v>GOP</v>
      </c>
      <c r="Y1255" s="440" t="str">
        <f>VLOOKUP(H1255,'Fund Utilization Report'!$A$4:$U$1800,7,FALSE)</f>
        <v>PS</v>
      </c>
      <c r="Z1255" s="441">
        <f>VLOOKUP(H1255,'Fund Utilization Report'!$A$4:$U$1800,8,FALSE)</f>
        <v>5010000000</v>
      </c>
      <c r="AA1255" s="239" t="str">
        <f>VLOOKUP(H1255,'Fund Utilization Report'!$A$4:$U$1800,14,FALSE)</f>
        <v>310100100002000</v>
      </c>
      <c r="AB1255" s="242" t="str">
        <f>VLOOKUP(H1255,'Fund Utilization Report'!$A$4:$U$1800,15,FALSE)</f>
        <v>Development,Facilitation, and promotion of exports and investment, domestic and foreign</v>
      </c>
      <c r="AC1255" s="51"/>
      <c r="AD1255" s="435"/>
      <c r="AE1255" s="51"/>
      <c r="AF1255" s="51"/>
      <c r="AG1255" s="442"/>
      <c r="AH1255" s="442"/>
      <c r="AI1255" s="443"/>
    </row>
    <row r="1256" spans="1:35" s="32" customFormat="1">
      <c r="A1256" s="434" t="s">
        <v>942</v>
      </c>
      <c r="B1256" s="457" t="s">
        <v>946</v>
      </c>
      <c r="C1256" s="233">
        <v>44271</v>
      </c>
      <c r="D1256" s="435" t="s">
        <v>1267</v>
      </c>
      <c r="E1256" s="436" t="s">
        <v>1444</v>
      </c>
      <c r="F1256" s="338">
        <v>0.47152777777777777</v>
      </c>
      <c r="G1256" s="338">
        <v>0.47222222222222227</v>
      </c>
      <c r="H1256" s="338" t="s">
        <v>967</v>
      </c>
      <c r="I1256" s="353">
        <v>715</v>
      </c>
      <c r="J1256" s="338" t="str">
        <f>IFERROR(VLOOKUP(I1256,'Chart of accounts'!A:H,2,FALSE),"")</f>
        <v>50102040 01</v>
      </c>
      <c r="K1256" s="338" t="str">
        <f>IFERROR(VLOOKUP(I1256,'Chart of accounts'!A:H,3,FALSE),"")</f>
        <v>Clothing/Uniform Allowance - Civilian</v>
      </c>
      <c r="L1256" s="338" t="str">
        <f>IFERROR(VLOOKUP(I1256,'Chart of accounts'!A:H,4,FALSE),"")</f>
        <v>50102040 01 - Clothing/Uniform Allowance - Civilian (715)</v>
      </c>
      <c r="M1256" s="361">
        <v>85</v>
      </c>
      <c r="N1256" s="355" t="s">
        <v>765</v>
      </c>
      <c r="O1256" s="355" t="s">
        <v>1439</v>
      </c>
      <c r="P1256" s="355"/>
      <c r="Q1256" s="363">
        <v>18000</v>
      </c>
      <c r="R1256" s="428" t="e">
        <f>#REF!-#REF!</f>
        <v>#REF!</v>
      </c>
      <c r="S1256" s="239" t="str">
        <f>VLOOKUP(H1256,'Fund Utilization Report'!$A$4:$U$1800,13,FALSE)</f>
        <v>PS</v>
      </c>
      <c r="T1256" s="239" t="str">
        <f>VLOOKUP(H1256,'Fund Utilization Report'!$A$4:$U$1800,2,FALSE)</f>
        <v>GAA</v>
      </c>
      <c r="U1256" s="239" t="str">
        <f>VLOOKUP(H1256,'Fund Utilization Report'!$A$4:$U$1800,3,FALSE)</f>
        <v>FY2021, RA11518</v>
      </c>
      <c r="V1256" s="239" t="str">
        <f>VLOOKUP(H1256,'Fund Utilization Report'!$A$4:$U$1800,4,FALSE)</f>
        <v>OO2</v>
      </c>
      <c r="W1256" s="239" t="str">
        <f>VLOOKUP(H1256,'Fund Utilization Report'!$A$4:$U$1800,5,FALSE)</f>
        <v>01101101</v>
      </c>
      <c r="X1256" s="239" t="str">
        <f>VLOOKUP(H1256,'Fund Utilization Report'!$A$4:$U$1800,6,FALSE)</f>
        <v>GOP</v>
      </c>
      <c r="Y1256" s="440" t="str">
        <f>VLOOKUP(H1256,'Fund Utilization Report'!$A$4:$U$1800,7,FALSE)</f>
        <v>PS</v>
      </c>
      <c r="Z1256" s="441">
        <f>VLOOKUP(H1256,'Fund Utilization Report'!$A$4:$U$1800,8,FALSE)</f>
        <v>5010000000</v>
      </c>
      <c r="AA1256" s="239" t="str">
        <f>VLOOKUP(H1256,'Fund Utilization Report'!$A$4:$U$1800,14,FALSE)</f>
        <v>320100100001000</v>
      </c>
      <c r="AB1256" s="242" t="str">
        <f>VLOOKUP(H1256,'Fund Utilization Report'!$A$4:$U$1800,15,FALSE)</f>
        <v>Formulation of Strategic plans,programs, and policies to develop competitve industries</v>
      </c>
      <c r="AC1256" s="51"/>
      <c r="AD1256" s="435"/>
      <c r="AE1256" s="51"/>
      <c r="AF1256" s="51"/>
      <c r="AG1256" s="442"/>
      <c r="AH1256" s="442"/>
      <c r="AI1256" s="443"/>
    </row>
    <row r="1257" spans="1:35" s="32" customFormat="1">
      <c r="A1257" s="434" t="s">
        <v>942</v>
      </c>
      <c r="B1257" s="457" t="s">
        <v>946</v>
      </c>
      <c r="C1257" s="233">
        <v>44271</v>
      </c>
      <c r="D1257" s="435" t="s">
        <v>1267</v>
      </c>
      <c r="E1257" s="436" t="s">
        <v>1444</v>
      </c>
      <c r="F1257" s="338">
        <v>0.47152777777777777</v>
      </c>
      <c r="G1257" s="338">
        <v>0.47222222222222227</v>
      </c>
      <c r="H1257" s="338" t="s">
        <v>970</v>
      </c>
      <c r="I1257" s="353">
        <v>715</v>
      </c>
      <c r="J1257" s="338" t="str">
        <f>IFERROR(VLOOKUP(I1257,'Chart of accounts'!A:H,2,FALSE),"")</f>
        <v>50102040 01</v>
      </c>
      <c r="K1257" s="338" t="str">
        <f>IFERROR(VLOOKUP(I1257,'Chart of accounts'!A:H,3,FALSE),"")</f>
        <v>Clothing/Uniform Allowance - Civilian</v>
      </c>
      <c r="L1257" s="338" t="str">
        <f>IFERROR(VLOOKUP(I1257,'Chart of accounts'!A:H,4,FALSE),"")</f>
        <v>50102040 01 - Clothing/Uniform Allowance - Civilian (715)</v>
      </c>
      <c r="M1257" s="361">
        <v>85</v>
      </c>
      <c r="N1257" s="355" t="s">
        <v>765</v>
      </c>
      <c r="O1257" s="355" t="s">
        <v>1439</v>
      </c>
      <c r="P1257" s="355"/>
      <c r="Q1257" s="363">
        <v>12000</v>
      </c>
      <c r="R1257" s="428" t="e">
        <f>#REF!-#REF!</f>
        <v>#REF!</v>
      </c>
      <c r="S1257" s="239" t="str">
        <f>VLOOKUP(H1257,'Fund Utilization Report'!$A$4:$U$1800,13,FALSE)</f>
        <v>PS</v>
      </c>
      <c r="T1257" s="239" t="str">
        <f>VLOOKUP(H1257,'Fund Utilization Report'!$A$4:$U$1800,2,FALSE)</f>
        <v>GAA</v>
      </c>
      <c r="U1257" s="239" t="str">
        <f>VLOOKUP(H1257,'Fund Utilization Report'!$A$4:$U$1800,3,FALSE)</f>
        <v>FY2021, RA11518</v>
      </c>
      <c r="V1257" s="239" t="str">
        <f>VLOOKUP(H1257,'Fund Utilization Report'!$A$4:$U$1800,4,FALSE)</f>
        <v>OO3</v>
      </c>
      <c r="W1257" s="239" t="str">
        <f>VLOOKUP(H1257,'Fund Utilization Report'!$A$4:$U$1800,5,FALSE)</f>
        <v>01101101</v>
      </c>
      <c r="X1257" s="239" t="str">
        <f>VLOOKUP(H1257,'Fund Utilization Report'!$A$4:$U$1800,6,FALSE)</f>
        <v>GOP</v>
      </c>
      <c r="Y1257" s="440" t="str">
        <f>VLOOKUP(H1257,'Fund Utilization Report'!$A$4:$U$1800,7,FALSE)</f>
        <v>PS</v>
      </c>
      <c r="Z1257" s="441">
        <f>VLOOKUP(H1257,'Fund Utilization Report'!$A$4:$U$1800,8,FALSE)</f>
        <v>5010000000</v>
      </c>
      <c r="AA1257" s="239" t="str">
        <f>VLOOKUP(H1257,'Fund Utilization Report'!$A$4:$U$1800,14,FALSE)</f>
        <v>330100100002000</v>
      </c>
      <c r="AB1257" s="242" t="str">
        <f>VLOOKUP(H1257,'Fund Utilization Report'!$A$4:$U$1800,15,FALSE)</f>
        <v>Implementation of the MSME Development Plan and other initiatives to promote the growth of Micro, Small and Medium Enterprises</v>
      </c>
      <c r="AC1257" s="51"/>
      <c r="AD1257" s="435"/>
      <c r="AE1257" s="51"/>
      <c r="AF1257" s="51"/>
      <c r="AG1257" s="442"/>
      <c r="AH1257" s="442"/>
      <c r="AI1257" s="443"/>
    </row>
    <row r="1258" spans="1:35" s="32" customFormat="1" ht="27.6">
      <c r="A1258" s="434" t="s">
        <v>942</v>
      </c>
      <c r="B1258" s="457" t="s">
        <v>946</v>
      </c>
      <c r="C1258" s="233">
        <v>44271</v>
      </c>
      <c r="D1258" s="435" t="s">
        <v>1267</v>
      </c>
      <c r="E1258" s="436" t="s">
        <v>1445</v>
      </c>
      <c r="F1258" s="338">
        <v>0.68263888888888891</v>
      </c>
      <c r="G1258" s="338">
        <v>0.68541666666666667</v>
      </c>
      <c r="H1258" s="338" t="s">
        <v>961</v>
      </c>
      <c r="I1258" s="353">
        <v>773</v>
      </c>
      <c r="J1258" s="338" t="str">
        <f>IFERROR(VLOOKUP(I1258,'Chart of accounts'!A:H,2,FALSE),"")</f>
        <v>50205020 01</v>
      </c>
      <c r="K1258" s="338" t="str">
        <f>IFERROR(VLOOKUP(I1258,'Chart of accounts'!A:H,3,FALSE),"")</f>
        <v xml:space="preserve">Telephone Expenses - Mobile </v>
      </c>
      <c r="L1258" s="338" t="str">
        <f>IFERROR(VLOOKUP(I1258,'Chart of accounts'!A:H,4,FALSE),"")</f>
        <v>50205020 01 - Telephone Expenses - Mobile  (773)</v>
      </c>
      <c r="M1258" s="361">
        <v>1</v>
      </c>
      <c r="N1258" s="355" t="s">
        <v>1102</v>
      </c>
      <c r="O1258" s="355" t="s">
        <v>1446</v>
      </c>
      <c r="P1258" s="355"/>
      <c r="Q1258" s="363">
        <v>3500</v>
      </c>
      <c r="R1258" s="428">
        <f>P1258-Q1258</f>
        <v>-3500</v>
      </c>
      <c r="S1258" s="239" t="str">
        <f>VLOOKUP(H1258,'Fund Utilization Report'!$A$4:$U$1800,13,FALSE)</f>
        <v>MOOE</v>
      </c>
      <c r="T1258" s="239" t="str">
        <f>VLOOKUP(H1258,'Fund Utilization Report'!$A$4:$U$1800,2,FALSE)</f>
        <v>GAA</v>
      </c>
      <c r="U1258" s="239" t="str">
        <f>VLOOKUP(H1258,'Fund Utilization Report'!$A$4:$U$1800,3,FALSE)</f>
        <v>FY2021, RA11518</v>
      </c>
      <c r="V1258" s="239" t="str">
        <f>VLOOKUP(H1258,'Fund Utilization Report'!$A$4:$U$1800,4,FALSE)</f>
        <v>GAS(GMS)</v>
      </c>
      <c r="W1258" s="239" t="str">
        <f>VLOOKUP(H1258,'Fund Utilization Report'!$A$4:$U$1800,5,FALSE)</f>
        <v>01101101</v>
      </c>
      <c r="X1258" s="239" t="str">
        <f>VLOOKUP(H1258,'Fund Utilization Report'!$A$4:$U$1800,6,FALSE)</f>
        <v>GOP</v>
      </c>
      <c r="Y1258" s="440" t="str">
        <f>VLOOKUP(H1258,'Fund Utilization Report'!$A$4:$U$1800,7,FALSE)</f>
        <v>MOOE</v>
      </c>
      <c r="Z1258" s="441">
        <f>VLOOKUP(H1258,'Fund Utilization Report'!$A$4:$U$1800,8,FALSE)</f>
        <v>5020000000</v>
      </c>
      <c r="AA1258" s="239" t="str">
        <f>VLOOKUP(H1258,'Fund Utilization Report'!$A$4:$U$1800,14,FALSE)</f>
        <v>100000100001000</v>
      </c>
      <c r="AB1258" s="242" t="str">
        <f>VLOOKUP(H1258,'Fund Utilization Report'!$A$4:$U$1800,15,FALSE)</f>
        <v>General Administration and Supervision - General Management and Supervision</v>
      </c>
      <c r="AC1258" s="51"/>
      <c r="AD1258" s="435"/>
      <c r="AE1258" s="51"/>
      <c r="AF1258" s="51"/>
      <c r="AG1258" s="442"/>
      <c r="AH1258" s="442"/>
      <c r="AI1258" s="443"/>
    </row>
    <row r="1259" spans="1:35" s="32" customFormat="1" ht="27.6">
      <c r="A1259" s="434" t="s">
        <v>942</v>
      </c>
      <c r="B1259" s="457" t="s">
        <v>946</v>
      </c>
      <c r="C1259" s="233">
        <v>44271</v>
      </c>
      <c r="D1259" s="435" t="s">
        <v>1267</v>
      </c>
      <c r="E1259" s="436" t="s">
        <v>1448</v>
      </c>
      <c r="F1259" s="338">
        <v>0.37083333333333335</v>
      </c>
      <c r="G1259" s="338">
        <v>0.37291666666666662</v>
      </c>
      <c r="H1259" s="338" t="s">
        <v>985</v>
      </c>
      <c r="I1259" s="353">
        <v>783</v>
      </c>
      <c r="J1259" s="338" t="str">
        <f>IFERROR(VLOOKUP(I1259,'Chart of accounts'!A:H,2,FALSE),"")</f>
        <v>50299030 00</v>
      </c>
      <c r="K1259" s="338" t="str">
        <f>IFERROR(VLOOKUP(I1259,'Chart of accounts'!A:H,3,FALSE),"")</f>
        <v>Representation Expenses</v>
      </c>
      <c r="L1259" s="338" t="str">
        <f>IFERROR(VLOOKUP(I1259,'Chart of accounts'!A:H,4,FALSE),"")</f>
        <v>50299030 00 - Representation Expenses (783)</v>
      </c>
      <c r="M1259" s="361" t="s">
        <v>7</v>
      </c>
      <c r="N1259" s="355" t="s">
        <v>1449</v>
      </c>
      <c r="O1259" s="355" t="s">
        <v>1450</v>
      </c>
      <c r="P1259" s="355"/>
      <c r="Q1259" s="363">
        <v>976560</v>
      </c>
      <c r="R1259" s="428">
        <f>P1259-Q1259</f>
        <v>-976560</v>
      </c>
      <c r="S1259" s="239" t="str">
        <f>VLOOKUP(H1259,'Fund Utilization Report'!$A$4:$U$1800,13,FALSE)</f>
        <v>MOOE</v>
      </c>
      <c r="T1259" s="239" t="str">
        <f>VLOOKUP(H1259,'Fund Utilization Report'!$A$4:$U$1800,2,FALSE)</f>
        <v>GAA</v>
      </c>
      <c r="U1259" s="239" t="str">
        <f>VLOOKUP(H1259,'Fund Utilization Report'!$A$4:$U$1800,3,FALSE)</f>
        <v>FY2021, RA11518</v>
      </c>
      <c r="V1259" s="239" t="str">
        <f>VLOOKUP(H1259,'Fund Utilization Report'!$A$4:$U$1800,4,FALSE)</f>
        <v>LSP-PBG</v>
      </c>
      <c r="W1259" s="239" t="str">
        <f>VLOOKUP(H1259,'Fund Utilization Report'!$A$4:$U$1800,5,FALSE)</f>
        <v>01101101</v>
      </c>
      <c r="X1259" s="239" t="str">
        <f>VLOOKUP(H1259,'Fund Utilization Report'!$A$4:$U$1800,6,FALSE)</f>
        <v>GOP</v>
      </c>
      <c r="Y1259" s="440" t="str">
        <f>VLOOKUP(H1259,'Fund Utilization Report'!$A$4:$U$1800,7,FALSE)</f>
        <v>MOOE</v>
      </c>
      <c r="Z1259" s="441">
        <f>VLOOKUP(H1259,'Fund Utilization Report'!$A$4:$U$1800,8,FALSE)</f>
        <v>5020000000</v>
      </c>
      <c r="AA1259" s="239" t="str">
        <f>VLOOKUP(H1259,'Fund Utilization Report'!$A$4:$U$1800,14,FALSE)</f>
        <v>330100200004000</v>
      </c>
      <c r="AB1259" s="242" t="str">
        <f>VLOOKUP(H1259,'Fund Utilization Report'!$A$4:$U$1800,15,FALSE)</f>
        <v>MSME Development Program : Livelihood Seeding Program and Pangkabuhayan sa Pagbangon at Ginhawa</v>
      </c>
      <c r="AC1259" s="51"/>
      <c r="AD1259" s="435"/>
      <c r="AE1259" s="51"/>
      <c r="AF1259" s="51"/>
      <c r="AG1259" s="442"/>
      <c r="AH1259" s="442"/>
      <c r="AI1259" s="443"/>
    </row>
    <row r="1260" spans="1:35" s="32" customFormat="1" ht="27.6">
      <c r="A1260" s="434" t="s">
        <v>942</v>
      </c>
      <c r="B1260" s="457" t="s">
        <v>946</v>
      </c>
      <c r="C1260" s="233">
        <v>44271</v>
      </c>
      <c r="D1260" s="435" t="s">
        <v>1267</v>
      </c>
      <c r="E1260" s="436" t="s">
        <v>1451</v>
      </c>
      <c r="F1260" s="338">
        <v>0.37291666666666662</v>
      </c>
      <c r="G1260" s="338">
        <v>0.375</v>
      </c>
      <c r="H1260" s="338" t="s">
        <v>968</v>
      </c>
      <c r="I1260" s="353">
        <v>761</v>
      </c>
      <c r="J1260" s="338" t="str">
        <f>IFERROR(VLOOKUP(I1260,'Chart of accounts'!A:H,2,FALSE),"")</f>
        <v>50203090 00</v>
      </c>
      <c r="K1260" s="338" t="str">
        <f>IFERROR(VLOOKUP(I1260,'Chart of accounts'!A:H,3,FALSE),"")</f>
        <v>Fuel, Oil and Lubricants Expenses</v>
      </c>
      <c r="L1260" s="338" t="str">
        <f>IFERROR(VLOOKUP(I1260,'Chart of accounts'!A:H,4,FALSE),"")</f>
        <v>50203090 00 - Fuel, Oil and Lubricants Expenses (761)</v>
      </c>
      <c r="M1260" s="361" t="s">
        <v>1011</v>
      </c>
      <c r="N1260" s="355" t="s">
        <v>859</v>
      </c>
      <c r="O1260" s="355" t="s">
        <v>1452</v>
      </c>
      <c r="P1260" s="355"/>
      <c r="Q1260" s="363">
        <v>2000</v>
      </c>
      <c r="R1260" s="428">
        <f>P1260-Q1260</f>
        <v>-2000</v>
      </c>
      <c r="S1260" s="239" t="str">
        <f>VLOOKUP(H1260,'Fund Utilization Report'!$A$4:$U$1800,13,FALSE)</f>
        <v>MOOE</v>
      </c>
      <c r="T1260" s="239" t="str">
        <f>VLOOKUP(H1260,'Fund Utilization Report'!$A$4:$U$1800,2,FALSE)</f>
        <v>GAA</v>
      </c>
      <c r="U1260" s="239" t="str">
        <f>VLOOKUP(H1260,'Fund Utilization Report'!$A$4:$U$1800,3,FALSE)</f>
        <v>FY2021, RA11518</v>
      </c>
      <c r="V1260" s="239" t="str">
        <f>VLOOKUP(H1260,'Fund Utilization Report'!$A$4:$U$1800,4,FALSE)</f>
        <v>OO2</v>
      </c>
      <c r="W1260" s="239" t="str">
        <f>VLOOKUP(H1260,'Fund Utilization Report'!$A$4:$U$1800,5,FALSE)</f>
        <v>01101101</v>
      </c>
      <c r="X1260" s="239" t="str">
        <f>VLOOKUP(H1260,'Fund Utilization Report'!$A$4:$U$1800,6,FALSE)</f>
        <v>GOP</v>
      </c>
      <c r="Y1260" s="440" t="str">
        <f>VLOOKUP(H1260,'Fund Utilization Report'!$A$4:$U$1800,7,FALSE)</f>
        <v>MOOE</v>
      </c>
      <c r="Z1260" s="441">
        <f>VLOOKUP(H1260,'Fund Utilization Report'!$A$4:$U$1800,8,FALSE)</f>
        <v>5020000000</v>
      </c>
      <c r="AA1260" s="239" t="str">
        <f>VLOOKUP(H1260,'Fund Utilization Report'!$A$4:$U$1800,14,FALSE)</f>
        <v>320100100001000</v>
      </c>
      <c r="AB1260" s="242" t="str">
        <f>VLOOKUP(H1260,'Fund Utilization Report'!$A$4:$U$1800,15,FALSE)</f>
        <v>Formulation of Strategic plans,programs, and policies to develop competitve industries</v>
      </c>
      <c r="AC1260" s="51"/>
      <c r="AD1260" s="435"/>
      <c r="AE1260" s="51"/>
      <c r="AF1260" s="51"/>
      <c r="AG1260" s="442"/>
      <c r="AH1260" s="442"/>
      <c r="AI1260" s="443"/>
    </row>
    <row r="1261" spans="1:35" s="32" customFormat="1" ht="27.6">
      <c r="A1261" s="434" t="s">
        <v>942</v>
      </c>
      <c r="B1261" s="457" t="s">
        <v>946</v>
      </c>
      <c r="C1261" s="233">
        <v>44271</v>
      </c>
      <c r="D1261" s="435" t="s">
        <v>1267</v>
      </c>
      <c r="E1261" s="436" t="s">
        <v>1453</v>
      </c>
      <c r="F1261" s="338">
        <v>0.375</v>
      </c>
      <c r="G1261" s="338">
        <v>0.3756944444444445</v>
      </c>
      <c r="H1261" s="338" t="s">
        <v>1221</v>
      </c>
      <c r="I1261" s="353">
        <v>799</v>
      </c>
      <c r="J1261" s="338" t="str">
        <f>IFERROR(VLOOKUP(I1261,'Chart of accounts'!A:H,2,FALSE),"")</f>
        <v>50211990 00</v>
      </c>
      <c r="K1261" s="338" t="str">
        <f>IFERROR(VLOOKUP(I1261,'Chart of accounts'!A:H,3,FALSE),"")</f>
        <v>Other Professional Services</v>
      </c>
      <c r="L1261" s="338" t="str">
        <f>IFERROR(VLOOKUP(I1261,'Chart of accounts'!A:H,4,FALSE),"")</f>
        <v>50211990 00 - Other Professional Services (799)</v>
      </c>
      <c r="M1261" s="361" t="s">
        <v>1011</v>
      </c>
      <c r="N1261" s="355" t="s">
        <v>1030</v>
      </c>
      <c r="O1261" s="355" t="s">
        <v>1454</v>
      </c>
      <c r="P1261" s="355"/>
      <c r="Q1261" s="363">
        <v>70905.22</v>
      </c>
      <c r="R1261" s="428">
        <f>P1261-Q1261</f>
        <v>-70905.22</v>
      </c>
      <c r="S1261" s="239" t="str">
        <f>VLOOKUP(H1261,'Fund Utilization Report'!$A$4:$U$1800,13,FALSE)</f>
        <v>MOOE</v>
      </c>
      <c r="T1261" s="239" t="str">
        <f>VLOOKUP(H1261,'Fund Utilization Report'!$A$4:$U$1800,2,FALSE)</f>
        <v>SAA040</v>
      </c>
      <c r="U1261" s="239" t="str">
        <f>VLOOKUP(H1261,'Fund Utilization Report'!$A$4:$U$1800,3,FALSE)</f>
        <v>21-02-0040</v>
      </c>
      <c r="V1261" s="239" t="str">
        <f>VLOOKUP(H1261,'Fund Utilization Report'!$A$4:$U$1800,4,FALSE)</f>
        <v>RAPID GOP</v>
      </c>
      <c r="W1261" s="239" t="str">
        <f>VLOOKUP(H1261,'Fund Utilization Report'!$A$4:$U$1800,5,FALSE)</f>
        <v>01101101</v>
      </c>
      <c r="X1261" s="239" t="str">
        <f>VLOOKUP(H1261,'Fund Utilization Report'!$A$4:$U$1800,6,FALSE)</f>
        <v>GOP</v>
      </c>
      <c r="Y1261" s="440">
        <f>VLOOKUP(H1261,'Fund Utilization Report'!$A$4:$U$1800,7,FALSE)</f>
        <v>799</v>
      </c>
      <c r="Z1261" s="441">
        <f>VLOOKUP(H1261,'Fund Utilization Report'!$A$4:$U$1800,8,FALSE)</f>
        <v>5021199000</v>
      </c>
      <c r="AA1261" s="239" t="str">
        <f>VLOOKUP(H1261,'Fund Utilization Report'!$A$4:$U$1800,14,FALSE)</f>
        <v>330100300001000</v>
      </c>
      <c r="AB1261" s="242" t="str">
        <f>VLOOKUP(H1261,'Fund Utilization Report'!$A$4:$U$1800,15,FALSE)</f>
        <v>Rural Agro Enterprise Partnership for Inclusive Development (RAPID) Growth GOP Continuing</v>
      </c>
      <c r="AC1261" s="51"/>
      <c r="AD1261" s="435"/>
      <c r="AE1261" s="51"/>
      <c r="AF1261" s="51"/>
      <c r="AG1261" s="442"/>
      <c r="AH1261" s="442"/>
      <c r="AI1261" s="443"/>
    </row>
    <row r="1262" spans="1:35" s="32" customFormat="1" ht="27.6">
      <c r="A1262" s="434" t="s">
        <v>942</v>
      </c>
      <c r="B1262" s="457" t="s">
        <v>946</v>
      </c>
      <c r="C1262" s="233">
        <v>44271</v>
      </c>
      <c r="D1262" s="435" t="s">
        <v>1267</v>
      </c>
      <c r="E1262" s="436" t="s">
        <v>1455</v>
      </c>
      <c r="F1262" s="338">
        <v>0.3756944444444445</v>
      </c>
      <c r="G1262" s="338">
        <v>0.37777777777777777</v>
      </c>
      <c r="H1262" s="338" t="s">
        <v>1221</v>
      </c>
      <c r="I1262" s="353">
        <v>799</v>
      </c>
      <c r="J1262" s="338" t="str">
        <f>IFERROR(VLOOKUP(I1262,'Chart of accounts'!A:H,2,FALSE),"")</f>
        <v>50211990 00</v>
      </c>
      <c r="K1262" s="338" t="str">
        <f>IFERROR(VLOOKUP(I1262,'Chart of accounts'!A:H,3,FALSE),"")</f>
        <v>Other Professional Services</v>
      </c>
      <c r="L1262" s="338" t="str">
        <f>IFERROR(VLOOKUP(I1262,'Chart of accounts'!A:H,4,FALSE),"")</f>
        <v>50211990 00 - Other Professional Services (799)</v>
      </c>
      <c r="M1262" s="361" t="s">
        <v>1011</v>
      </c>
      <c r="N1262" s="355" t="s">
        <v>1030</v>
      </c>
      <c r="O1262" s="355" t="s">
        <v>1456</v>
      </c>
      <c r="P1262" s="463"/>
      <c r="Q1262" s="468">
        <v>82098.38</v>
      </c>
      <c r="R1262" s="428">
        <f>P1245-Q1245</f>
        <v>-24000</v>
      </c>
      <c r="S1262" s="239" t="str">
        <f>VLOOKUP(H1262,'Fund Utilization Report'!$A$4:$U$1800,13,FALSE)</f>
        <v>MOOE</v>
      </c>
      <c r="T1262" s="239" t="str">
        <f>VLOOKUP(H1262,'Fund Utilization Report'!$A$4:$U$1800,2,FALSE)</f>
        <v>SAA040</v>
      </c>
      <c r="U1262" s="239" t="str">
        <f>VLOOKUP(H1262,'Fund Utilization Report'!$A$4:$U$1800,3,FALSE)</f>
        <v>21-02-0040</v>
      </c>
      <c r="V1262" s="239" t="str">
        <f>VLOOKUP(H1262,'Fund Utilization Report'!$A$4:$U$1800,4,FALSE)</f>
        <v>RAPID GOP</v>
      </c>
      <c r="W1262" s="239" t="str">
        <f>VLOOKUP(H1262,'Fund Utilization Report'!$A$4:$U$1800,5,FALSE)</f>
        <v>01101101</v>
      </c>
      <c r="X1262" s="239" t="str">
        <f>VLOOKUP(H1262,'Fund Utilization Report'!$A$4:$U$1800,6,FALSE)</f>
        <v>GOP</v>
      </c>
      <c r="Y1262" s="440">
        <f>VLOOKUP(H1262,'Fund Utilization Report'!$A$4:$U$1800,7,FALSE)</f>
        <v>799</v>
      </c>
      <c r="Z1262" s="441">
        <f>VLOOKUP(H1262,'Fund Utilization Report'!$A$4:$U$1800,8,FALSE)</f>
        <v>5021199000</v>
      </c>
      <c r="AA1262" s="239" t="str">
        <f>VLOOKUP(H1262,'Fund Utilization Report'!$A$4:$U$1800,14,FALSE)</f>
        <v>330100300001000</v>
      </c>
      <c r="AB1262" s="242" t="str">
        <f>VLOOKUP(H1262,'Fund Utilization Report'!$A$4:$U$1800,15,FALSE)</f>
        <v>Rural Agro Enterprise Partnership for Inclusive Development (RAPID) Growth GOP Continuing</v>
      </c>
      <c r="AC1262" s="51"/>
      <c r="AD1262" s="435"/>
      <c r="AE1262" s="51"/>
      <c r="AF1262" s="51"/>
      <c r="AG1262" s="442"/>
      <c r="AH1262" s="442"/>
      <c r="AI1262" s="443"/>
    </row>
    <row r="1263" spans="1:35" s="32" customFormat="1" ht="27.6">
      <c r="A1263" s="434" t="s">
        <v>942</v>
      </c>
      <c r="B1263" s="457" t="s">
        <v>946</v>
      </c>
      <c r="C1263" s="233">
        <v>44271</v>
      </c>
      <c r="D1263" s="435" t="s">
        <v>1267</v>
      </c>
      <c r="E1263" s="436" t="s">
        <v>1457</v>
      </c>
      <c r="F1263" s="338">
        <v>0.37777777777777777</v>
      </c>
      <c r="G1263" s="338">
        <v>0.37777777777777777</v>
      </c>
      <c r="H1263" s="458" t="s">
        <v>961</v>
      </c>
      <c r="I1263" s="459">
        <v>753</v>
      </c>
      <c r="J1263" s="338" t="str">
        <f>IFERROR(VLOOKUP(I1263,'Chart of accounts'!A:H,2,FALSE),"")</f>
        <v>50202010 00</v>
      </c>
      <c r="K1263" s="338" t="str">
        <f>IFERROR(VLOOKUP(I1263,'Chart of accounts'!A:H,3,FALSE),"")</f>
        <v>Training Expenses</v>
      </c>
      <c r="L1263" s="338" t="str">
        <f>IFERROR(VLOOKUP(I1263,'Chart of accounts'!A:H,4,FALSE),"")</f>
        <v>50202010 00 - Training Expenses (753)</v>
      </c>
      <c r="M1263" s="467" t="s">
        <v>1256</v>
      </c>
      <c r="N1263" s="463" t="s">
        <v>1344</v>
      </c>
      <c r="O1263" s="463" t="s">
        <v>1458</v>
      </c>
      <c r="P1263" s="463"/>
      <c r="Q1263" s="468">
        <v>9600</v>
      </c>
      <c r="R1263" s="428">
        <f>P1246-Q1246</f>
        <v>-6000</v>
      </c>
      <c r="S1263" s="239" t="str">
        <f>VLOOKUP(H1263,'Fund Utilization Report'!$A$4:$U$1800,13,FALSE)</f>
        <v>MOOE</v>
      </c>
      <c r="T1263" s="239" t="str">
        <f>VLOOKUP(H1263,'Fund Utilization Report'!$A$4:$U$1800,2,FALSE)</f>
        <v>GAA</v>
      </c>
      <c r="U1263" s="239" t="str">
        <f>VLOOKUP(H1263,'Fund Utilization Report'!$A$4:$U$1800,3,FALSE)</f>
        <v>FY2021, RA11518</v>
      </c>
      <c r="V1263" s="239" t="str">
        <f>VLOOKUP(H1263,'Fund Utilization Report'!$A$4:$U$1800,4,FALSE)</f>
        <v>GAS(GMS)</v>
      </c>
      <c r="W1263" s="239" t="str">
        <f>VLOOKUP(H1263,'Fund Utilization Report'!$A$4:$U$1800,5,FALSE)</f>
        <v>01101101</v>
      </c>
      <c r="X1263" s="239" t="str">
        <f>VLOOKUP(H1263,'Fund Utilization Report'!$A$4:$U$1800,6,FALSE)</f>
        <v>GOP</v>
      </c>
      <c r="Y1263" s="440" t="str">
        <f>VLOOKUP(H1263,'Fund Utilization Report'!$A$4:$U$1800,7,FALSE)</f>
        <v>MOOE</v>
      </c>
      <c r="Z1263" s="441">
        <f>VLOOKUP(H1263,'Fund Utilization Report'!$A$4:$U$1800,8,FALSE)</f>
        <v>5020000000</v>
      </c>
      <c r="AA1263" s="239" t="str">
        <f>VLOOKUP(H1263,'Fund Utilization Report'!$A$4:$U$1800,14,FALSE)</f>
        <v>100000100001000</v>
      </c>
      <c r="AB1263" s="242" t="str">
        <f>VLOOKUP(H1263,'Fund Utilization Report'!$A$4:$U$1800,15,FALSE)</f>
        <v>General Administration and Supervision - General Management and Supervision</v>
      </c>
      <c r="AC1263" s="51"/>
      <c r="AD1263" s="435"/>
      <c r="AE1263" s="51"/>
      <c r="AF1263" s="51"/>
      <c r="AG1263" s="442"/>
      <c r="AH1263" s="442"/>
      <c r="AI1263" s="443"/>
    </row>
    <row r="1264" spans="1:35" s="32" customFormat="1">
      <c r="A1264" s="434" t="s">
        <v>942</v>
      </c>
      <c r="B1264" s="457" t="s">
        <v>946</v>
      </c>
      <c r="C1264" s="233">
        <v>44271</v>
      </c>
      <c r="D1264" s="435" t="s">
        <v>1267</v>
      </c>
      <c r="E1264" s="436" t="s">
        <v>1459</v>
      </c>
      <c r="F1264" s="338">
        <v>0.37777777777777777</v>
      </c>
      <c r="G1264" s="338">
        <v>0.37916666666666665</v>
      </c>
      <c r="H1264" s="458" t="s">
        <v>961</v>
      </c>
      <c r="I1264" s="459">
        <v>883</v>
      </c>
      <c r="J1264" s="338" t="str">
        <f>IFERROR(VLOOKUP(I1264,'Chart of accounts'!A:H,2,FALSE),"")</f>
        <v>50210030 00</v>
      </c>
      <c r="K1264" s="338" t="str">
        <f>IFERROR(VLOOKUP(I1264,'Chart of accounts'!A:H,3,FALSE),"")</f>
        <v>Extraordinary and Miscellaneous Expense</v>
      </c>
      <c r="L1264" s="338" t="str">
        <f>IFERROR(VLOOKUP(I1264,'Chart of accounts'!A:H,4,FALSE),"")</f>
        <v>50210030 00 - Extraordinary and Miscellaneous Expense (883)</v>
      </c>
      <c r="M1264" s="467">
        <v>1</v>
      </c>
      <c r="N1264" s="463" t="s">
        <v>6</v>
      </c>
      <c r="O1264" s="463" t="s">
        <v>1460</v>
      </c>
      <c r="P1264" s="463"/>
      <c r="Q1264" s="468">
        <v>10000</v>
      </c>
      <c r="R1264" s="428">
        <f>P1247-Q1247</f>
        <v>-18000</v>
      </c>
      <c r="S1264" s="239" t="str">
        <f>VLOOKUP(H1264,'Fund Utilization Report'!$A$4:$U$1800,13,FALSE)</f>
        <v>MOOE</v>
      </c>
      <c r="T1264" s="239" t="str">
        <f>VLOOKUP(H1264,'Fund Utilization Report'!$A$4:$U$1800,2,FALSE)</f>
        <v>GAA</v>
      </c>
      <c r="U1264" s="239" t="str">
        <f>VLOOKUP(H1264,'Fund Utilization Report'!$A$4:$U$1800,3,FALSE)</f>
        <v>FY2021, RA11518</v>
      </c>
      <c r="V1264" s="239" t="str">
        <f>VLOOKUP(H1264,'Fund Utilization Report'!$A$4:$U$1800,4,FALSE)</f>
        <v>GAS(GMS)</v>
      </c>
      <c r="W1264" s="239" t="str">
        <f>VLOOKUP(H1264,'Fund Utilization Report'!$A$4:$U$1800,5,FALSE)</f>
        <v>01101101</v>
      </c>
      <c r="X1264" s="239" t="str">
        <f>VLOOKUP(H1264,'Fund Utilization Report'!$A$4:$U$1800,6,FALSE)</f>
        <v>GOP</v>
      </c>
      <c r="Y1264" s="440" t="str">
        <f>VLOOKUP(H1264,'Fund Utilization Report'!$A$4:$U$1800,7,FALSE)</f>
        <v>MOOE</v>
      </c>
      <c r="Z1264" s="441">
        <f>VLOOKUP(H1264,'Fund Utilization Report'!$A$4:$U$1800,8,FALSE)</f>
        <v>5020000000</v>
      </c>
      <c r="AA1264" s="239" t="str">
        <f>VLOOKUP(H1264,'Fund Utilization Report'!$A$4:$U$1800,14,FALSE)</f>
        <v>100000100001000</v>
      </c>
      <c r="AB1264" s="242" t="str">
        <f>VLOOKUP(H1264,'Fund Utilization Report'!$A$4:$U$1800,15,FALSE)</f>
        <v>General Administration and Supervision - General Management and Supervision</v>
      </c>
      <c r="AC1264" s="51"/>
      <c r="AD1264" s="435"/>
      <c r="AE1264" s="51"/>
      <c r="AF1264" s="51"/>
      <c r="AG1264" s="442"/>
      <c r="AH1264" s="442"/>
      <c r="AI1264" s="443"/>
    </row>
    <row r="1265" spans="1:35" s="32" customFormat="1">
      <c r="A1265" s="434" t="s">
        <v>942</v>
      </c>
      <c r="B1265" s="457" t="s">
        <v>946</v>
      </c>
      <c r="C1265" s="233">
        <v>44271</v>
      </c>
      <c r="D1265" s="435" t="s">
        <v>1267</v>
      </c>
      <c r="E1265" s="436" t="s">
        <v>1461</v>
      </c>
      <c r="F1265" s="338">
        <v>0.37916666666666665</v>
      </c>
      <c r="G1265" s="338">
        <v>0.37986111111111115</v>
      </c>
      <c r="H1265" s="458" t="s">
        <v>983</v>
      </c>
      <c r="I1265" s="459">
        <v>799</v>
      </c>
      <c r="J1265" s="338" t="str">
        <f>IFERROR(VLOOKUP(I1265,'Chart of accounts'!A:H,2,FALSE),"")</f>
        <v>50211990 00</v>
      </c>
      <c r="K1265" s="338" t="str">
        <f>IFERROR(VLOOKUP(I1265,'Chart of accounts'!A:H,3,FALSE),"")</f>
        <v>Other Professional Services</v>
      </c>
      <c r="L1265" s="338" t="str">
        <f>IFERROR(VLOOKUP(I1265,'Chart of accounts'!A:H,4,FALSE),"")</f>
        <v>50211990 00 - Other Professional Services (799)</v>
      </c>
      <c r="M1265" s="467" t="s">
        <v>5</v>
      </c>
      <c r="N1265" s="463" t="s">
        <v>1462</v>
      </c>
      <c r="O1265" s="472" t="s">
        <v>1463</v>
      </c>
      <c r="P1265" s="463"/>
      <c r="Q1265" s="468">
        <v>10000</v>
      </c>
      <c r="R1265" s="428">
        <f>P1248-Q1248</f>
        <v>-18000</v>
      </c>
      <c r="S1265" s="239" t="str">
        <f>VLOOKUP(H1265,'Fund Utilization Report'!$A$4:$U$1800,13,FALSE)</f>
        <v>MOOE</v>
      </c>
      <c r="T1265" s="239" t="str">
        <f>VLOOKUP(H1265,'Fund Utilization Report'!$A$4:$U$1800,2,FALSE)</f>
        <v>GAA</v>
      </c>
      <c r="U1265" s="239" t="str">
        <f>VLOOKUP(H1265,'Fund Utilization Report'!$A$4:$U$1800,3,FALSE)</f>
        <v>FY2021, RA11518</v>
      </c>
      <c r="V1265" s="239" t="str">
        <f>VLOOKUP(H1265,'Fund Utilization Report'!$A$4:$U$1800,4,FALSE)</f>
        <v>SSF</v>
      </c>
      <c r="W1265" s="239" t="str">
        <f>VLOOKUP(H1265,'Fund Utilization Report'!$A$4:$U$1800,5,FALSE)</f>
        <v>01101101</v>
      </c>
      <c r="X1265" s="239" t="str">
        <f>VLOOKUP(H1265,'Fund Utilization Report'!$A$4:$U$1800,6,FALSE)</f>
        <v>GOP</v>
      </c>
      <c r="Y1265" s="440" t="str">
        <f>VLOOKUP(H1265,'Fund Utilization Report'!$A$4:$U$1800,7,FALSE)</f>
        <v>MOOE</v>
      </c>
      <c r="Z1265" s="441">
        <f>VLOOKUP(H1265,'Fund Utilization Report'!$A$4:$U$1800,8,FALSE)</f>
        <v>5020000000</v>
      </c>
      <c r="AA1265" s="239" t="str">
        <f>VLOOKUP(H1265,'Fund Utilization Report'!$A$4:$U$1800,14,FALSE)</f>
        <v>330100200003000</v>
      </c>
      <c r="AB1265" s="242" t="str">
        <f>VLOOKUP(H1265,'Fund Utilization Report'!$A$4:$U$1800,15,FALSE)</f>
        <v>Shared Service Facilities Project</v>
      </c>
      <c r="AC1265" s="51"/>
      <c r="AD1265" s="435"/>
      <c r="AE1265" s="51"/>
      <c r="AF1265" s="51"/>
      <c r="AG1265" s="442"/>
      <c r="AH1265" s="442"/>
      <c r="AI1265" s="443"/>
    </row>
    <row r="1266" spans="1:35" s="32" customFormat="1" ht="27.6">
      <c r="A1266" s="434" t="s">
        <v>942</v>
      </c>
      <c r="B1266" s="457" t="s">
        <v>946</v>
      </c>
      <c r="C1266" s="233">
        <v>44271</v>
      </c>
      <c r="D1266" s="435" t="s">
        <v>1267</v>
      </c>
      <c r="E1266" s="436" t="s">
        <v>1464</v>
      </c>
      <c r="F1266" s="338">
        <v>0.3888888888888889</v>
      </c>
      <c r="G1266" s="338">
        <v>0.38958333333333334</v>
      </c>
      <c r="H1266" s="458" t="s">
        <v>968</v>
      </c>
      <c r="I1266" s="459">
        <v>755</v>
      </c>
      <c r="J1266" s="338" t="str">
        <f>IFERROR(VLOOKUP(I1266,'Chart of accounts'!A:H,2,FALSE),"")</f>
        <v>50203010 00</v>
      </c>
      <c r="K1266" s="338" t="str">
        <f>IFERROR(VLOOKUP(I1266,'Chart of accounts'!A:H,3,FALSE),"")</f>
        <v>Office Supplies Expenses</v>
      </c>
      <c r="L1266" s="338" t="str">
        <f>IFERROR(VLOOKUP(I1266,'Chart of accounts'!A:H,4,FALSE),"")</f>
        <v>50203010 00 - Office Supplies Expenses (755)</v>
      </c>
      <c r="M1266" s="467" t="s">
        <v>814</v>
      </c>
      <c r="N1266" s="463" t="s">
        <v>1245</v>
      </c>
      <c r="O1266" s="463" t="s">
        <v>1465</v>
      </c>
      <c r="P1266" s="463"/>
      <c r="Q1266" s="468">
        <v>6320</v>
      </c>
      <c r="R1266" s="428">
        <f t="shared" ref="R1266:R1275" si="47">P1235-Q1235</f>
        <v>-12000</v>
      </c>
      <c r="S1266" s="239" t="str">
        <f>VLOOKUP(H1266,'Fund Utilization Report'!$A$4:$U$1800,13,FALSE)</f>
        <v>MOOE</v>
      </c>
      <c r="T1266" s="239" t="str">
        <f>VLOOKUP(H1266,'Fund Utilization Report'!$A$4:$U$1800,2,FALSE)</f>
        <v>GAA</v>
      </c>
      <c r="U1266" s="239" t="str">
        <f>VLOOKUP(H1266,'Fund Utilization Report'!$A$4:$U$1800,3,FALSE)</f>
        <v>FY2021, RA11518</v>
      </c>
      <c r="V1266" s="239" t="str">
        <f>VLOOKUP(H1266,'Fund Utilization Report'!$A$4:$U$1800,4,FALSE)</f>
        <v>OO2</v>
      </c>
      <c r="W1266" s="239" t="str">
        <f>VLOOKUP(H1266,'Fund Utilization Report'!$A$4:$U$1800,5,FALSE)</f>
        <v>01101101</v>
      </c>
      <c r="X1266" s="239" t="str">
        <f>VLOOKUP(H1266,'Fund Utilization Report'!$A$4:$U$1800,6,FALSE)</f>
        <v>GOP</v>
      </c>
      <c r="Y1266" s="440" t="str">
        <f>VLOOKUP(H1266,'Fund Utilization Report'!$A$4:$U$1800,7,FALSE)</f>
        <v>MOOE</v>
      </c>
      <c r="Z1266" s="441">
        <f>VLOOKUP(H1266,'Fund Utilization Report'!$A$4:$U$1800,8,FALSE)</f>
        <v>5020000000</v>
      </c>
      <c r="AA1266" s="239" t="str">
        <f>VLOOKUP(H1266,'Fund Utilization Report'!$A$4:$U$1800,14,FALSE)</f>
        <v>320100100001000</v>
      </c>
      <c r="AB1266" s="242" t="str">
        <f>VLOOKUP(H1266,'Fund Utilization Report'!$A$4:$U$1800,15,FALSE)</f>
        <v>Formulation of Strategic plans,programs, and policies to develop competitve industries</v>
      </c>
      <c r="AC1266" s="51"/>
      <c r="AD1266" s="435"/>
      <c r="AE1266" s="51"/>
      <c r="AF1266" s="51"/>
      <c r="AG1266" s="442"/>
      <c r="AH1266" s="442"/>
      <c r="AI1266" s="443"/>
    </row>
    <row r="1267" spans="1:35" s="32" customFormat="1" ht="27.6">
      <c r="A1267" s="434" t="s">
        <v>942</v>
      </c>
      <c r="B1267" s="457" t="s">
        <v>946</v>
      </c>
      <c r="C1267" s="233">
        <v>44271</v>
      </c>
      <c r="D1267" s="435" t="s">
        <v>1267</v>
      </c>
      <c r="E1267" s="436" t="s">
        <v>1466</v>
      </c>
      <c r="F1267" s="338">
        <v>0.38958333333333334</v>
      </c>
      <c r="G1267" s="338">
        <v>0.39097222222222222</v>
      </c>
      <c r="H1267" s="458" t="s">
        <v>968</v>
      </c>
      <c r="I1267" s="459">
        <v>755</v>
      </c>
      <c r="J1267" s="338" t="str">
        <f>IFERROR(VLOOKUP(I1267,'Chart of accounts'!A:H,2,FALSE),"")</f>
        <v>50203010 00</v>
      </c>
      <c r="K1267" s="338" t="str">
        <f>IFERROR(VLOOKUP(I1267,'Chart of accounts'!A:H,3,FALSE),"")</f>
        <v>Office Supplies Expenses</v>
      </c>
      <c r="L1267" s="338" t="str">
        <f>IFERROR(VLOOKUP(I1267,'Chart of accounts'!A:H,4,FALSE),"")</f>
        <v>50203010 00 - Office Supplies Expenses (755)</v>
      </c>
      <c r="M1267" s="467" t="s">
        <v>814</v>
      </c>
      <c r="N1267" s="463" t="s">
        <v>1467</v>
      </c>
      <c r="O1267" s="463" t="s">
        <v>1465</v>
      </c>
      <c r="P1267" s="463"/>
      <c r="Q1267" s="468">
        <v>2800</v>
      </c>
      <c r="R1267" s="428">
        <f t="shared" si="47"/>
        <v>-12000</v>
      </c>
      <c r="S1267" s="239" t="str">
        <f>VLOOKUP(H1267,'Fund Utilization Report'!$A$4:$U$1800,13,FALSE)</f>
        <v>MOOE</v>
      </c>
      <c r="T1267" s="239" t="str">
        <f>VLOOKUP(H1267,'Fund Utilization Report'!$A$4:$U$1800,2,FALSE)</f>
        <v>GAA</v>
      </c>
      <c r="U1267" s="239" t="str">
        <f>VLOOKUP(H1267,'Fund Utilization Report'!$A$4:$U$1800,3,FALSE)</f>
        <v>FY2021, RA11518</v>
      </c>
      <c r="V1267" s="239" t="str">
        <f>VLOOKUP(H1267,'Fund Utilization Report'!$A$4:$U$1800,4,FALSE)</f>
        <v>OO2</v>
      </c>
      <c r="W1267" s="239" t="str">
        <f>VLOOKUP(H1267,'Fund Utilization Report'!$A$4:$U$1800,5,FALSE)</f>
        <v>01101101</v>
      </c>
      <c r="X1267" s="239" t="str">
        <f>VLOOKUP(H1267,'Fund Utilization Report'!$A$4:$U$1800,6,FALSE)</f>
        <v>GOP</v>
      </c>
      <c r="Y1267" s="440" t="str">
        <f>VLOOKUP(H1267,'Fund Utilization Report'!$A$4:$U$1800,7,FALSE)</f>
        <v>MOOE</v>
      </c>
      <c r="Z1267" s="441">
        <f>VLOOKUP(H1267,'Fund Utilization Report'!$A$4:$U$1800,8,FALSE)</f>
        <v>5020000000</v>
      </c>
      <c r="AA1267" s="239" t="str">
        <f>VLOOKUP(H1267,'Fund Utilization Report'!$A$4:$U$1800,14,FALSE)</f>
        <v>320100100001000</v>
      </c>
      <c r="AB1267" s="242" t="str">
        <f>VLOOKUP(H1267,'Fund Utilization Report'!$A$4:$U$1800,15,FALSE)</f>
        <v>Formulation of Strategic plans,programs, and policies to develop competitve industries</v>
      </c>
      <c r="AC1267" s="51"/>
      <c r="AD1267" s="435"/>
      <c r="AE1267" s="51"/>
      <c r="AF1267" s="51"/>
      <c r="AG1267" s="442"/>
      <c r="AH1267" s="442"/>
      <c r="AI1267" s="443"/>
    </row>
    <row r="1268" spans="1:35" s="32" customFormat="1" ht="27.6">
      <c r="A1268" s="434" t="s">
        <v>942</v>
      </c>
      <c r="B1268" s="457" t="s">
        <v>946</v>
      </c>
      <c r="C1268" s="233">
        <v>44271</v>
      </c>
      <c r="D1268" s="435" t="s">
        <v>1267</v>
      </c>
      <c r="E1268" s="436" t="s">
        <v>1468</v>
      </c>
      <c r="F1268" s="338">
        <v>0.52986111111111112</v>
      </c>
      <c r="G1268" s="338">
        <v>0.53194444444444444</v>
      </c>
      <c r="H1268" s="458" t="s">
        <v>961</v>
      </c>
      <c r="I1268" s="459">
        <v>773</v>
      </c>
      <c r="J1268" s="338" t="str">
        <f>IFERROR(VLOOKUP(I1268,'Chart of accounts'!A:H,2,FALSE),"")</f>
        <v>50205020 01</v>
      </c>
      <c r="K1268" s="338" t="str">
        <f>IFERROR(VLOOKUP(I1268,'Chart of accounts'!A:H,3,FALSE),"")</f>
        <v xml:space="preserve">Telephone Expenses - Mobile </v>
      </c>
      <c r="L1268" s="338" t="str">
        <f>IFERROR(VLOOKUP(I1268,'Chart of accounts'!A:H,4,FALSE),"")</f>
        <v>50205020 01 - Telephone Expenses - Mobile  (773)</v>
      </c>
      <c r="M1268" s="467">
        <v>1</v>
      </c>
      <c r="N1268" s="463" t="s">
        <v>1102</v>
      </c>
      <c r="O1268" s="463" t="s">
        <v>1474</v>
      </c>
      <c r="P1268" s="463"/>
      <c r="Q1268" s="468">
        <v>5390.81</v>
      </c>
      <c r="R1268" s="428">
        <f t="shared" si="47"/>
        <v>-6000</v>
      </c>
      <c r="S1268" s="239" t="str">
        <f>VLOOKUP(H1268,'Fund Utilization Report'!$A$4:$U$1800,13,FALSE)</f>
        <v>MOOE</v>
      </c>
      <c r="T1268" s="239" t="str">
        <f>VLOOKUP(H1268,'Fund Utilization Report'!$A$4:$U$1800,2,FALSE)</f>
        <v>GAA</v>
      </c>
      <c r="U1268" s="239" t="str">
        <f>VLOOKUP(H1268,'Fund Utilization Report'!$A$4:$U$1800,3,FALSE)</f>
        <v>FY2021, RA11518</v>
      </c>
      <c r="V1268" s="239" t="str">
        <f>VLOOKUP(H1268,'Fund Utilization Report'!$A$4:$U$1800,4,FALSE)</f>
        <v>GAS(GMS)</v>
      </c>
      <c r="W1268" s="239" t="str">
        <f>VLOOKUP(H1268,'Fund Utilization Report'!$A$4:$U$1800,5,FALSE)</f>
        <v>01101101</v>
      </c>
      <c r="X1268" s="239" t="str">
        <f>VLOOKUP(H1268,'Fund Utilization Report'!$A$4:$U$1800,6,FALSE)</f>
        <v>GOP</v>
      </c>
      <c r="Y1268" s="440" t="str">
        <f>VLOOKUP(H1268,'Fund Utilization Report'!$A$4:$U$1800,7,FALSE)</f>
        <v>MOOE</v>
      </c>
      <c r="Z1268" s="441">
        <f>VLOOKUP(H1268,'Fund Utilization Report'!$A$4:$U$1800,8,FALSE)</f>
        <v>5020000000</v>
      </c>
      <c r="AA1268" s="239" t="str">
        <f>VLOOKUP(H1268,'Fund Utilization Report'!$A$4:$U$1800,14,FALSE)</f>
        <v>100000100001000</v>
      </c>
      <c r="AB1268" s="242" t="str">
        <f>VLOOKUP(H1268,'Fund Utilization Report'!$A$4:$U$1800,15,FALSE)</f>
        <v>General Administration and Supervision - General Management and Supervision</v>
      </c>
      <c r="AC1268" s="51"/>
      <c r="AD1268" s="435"/>
      <c r="AE1268" s="51"/>
      <c r="AF1268" s="51"/>
      <c r="AG1268" s="442"/>
      <c r="AH1268" s="442"/>
      <c r="AI1268" s="443"/>
    </row>
    <row r="1269" spans="1:35" s="32" customFormat="1">
      <c r="A1269" s="434" t="s">
        <v>942</v>
      </c>
      <c r="B1269" s="457" t="s">
        <v>946</v>
      </c>
      <c r="C1269" s="233">
        <v>44271</v>
      </c>
      <c r="D1269" s="435" t="s">
        <v>1267</v>
      </c>
      <c r="E1269" s="436" t="s">
        <v>1469</v>
      </c>
      <c r="F1269" s="338">
        <v>0.53194444444444444</v>
      </c>
      <c r="G1269" s="338">
        <v>0.53333333333333333</v>
      </c>
      <c r="H1269" s="458" t="s">
        <v>968</v>
      </c>
      <c r="I1269" s="459">
        <v>755</v>
      </c>
      <c r="J1269" s="338" t="str">
        <f>IFERROR(VLOOKUP(I1269,'Chart of accounts'!A:H,2,FALSE),"")</f>
        <v>50203010 00</v>
      </c>
      <c r="K1269" s="338" t="str">
        <f>IFERROR(VLOOKUP(I1269,'Chart of accounts'!A:H,3,FALSE),"")</f>
        <v>Office Supplies Expenses</v>
      </c>
      <c r="L1269" s="338" t="str">
        <f>IFERROR(VLOOKUP(I1269,'Chart of accounts'!A:H,4,FALSE),"")</f>
        <v>50203010 00 - Office Supplies Expenses (755)</v>
      </c>
      <c r="M1269" s="467" t="s">
        <v>814</v>
      </c>
      <c r="N1269" s="463" t="s">
        <v>1325</v>
      </c>
      <c r="O1269" s="463" t="s">
        <v>1475</v>
      </c>
      <c r="P1269" s="463"/>
      <c r="Q1269" s="468">
        <v>13600</v>
      </c>
      <c r="R1269" s="428">
        <f t="shared" si="47"/>
        <v>-12000</v>
      </c>
      <c r="S1269" s="239" t="str">
        <f>VLOOKUP(H1269,'Fund Utilization Report'!$A$4:$U$1800,13,FALSE)</f>
        <v>MOOE</v>
      </c>
      <c r="T1269" s="239" t="str">
        <f>VLOOKUP(H1269,'Fund Utilization Report'!$A$4:$U$1800,2,FALSE)</f>
        <v>GAA</v>
      </c>
      <c r="U1269" s="239" t="str">
        <f>VLOOKUP(H1269,'Fund Utilization Report'!$A$4:$U$1800,3,FALSE)</f>
        <v>FY2021, RA11518</v>
      </c>
      <c r="V1269" s="239" t="str">
        <f>VLOOKUP(H1269,'Fund Utilization Report'!$A$4:$U$1800,4,FALSE)</f>
        <v>OO2</v>
      </c>
      <c r="W1269" s="239" t="str">
        <f>VLOOKUP(H1269,'Fund Utilization Report'!$A$4:$U$1800,5,FALSE)</f>
        <v>01101101</v>
      </c>
      <c r="X1269" s="239" t="str">
        <f>VLOOKUP(H1269,'Fund Utilization Report'!$A$4:$U$1800,6,FALSE)</f>
        <v>GOP</v>
      </c>
      <c r="Y1269" s="440" t="str">
        <f>VLOOKUP(H1269,'Fund Utilization Report'!$A$4:$U$1800,7,FALSE)</f>
        <v>MOOE</v>
      </c>
      <c r="Z1269" s="441">
        <f>VLOOKUP(H1269,'Fund Utilization Report'!$A$4:$U$1800,8,FALSE)</f>
        <v>5020000000</v>
      </c>
      <c r="AA1269" s="239" t="str">
        <f>VLOOKUP(H1269,'Fund Utilization Report'!$A$4:$U$1800,14,FALSE)</f>
        <v>320100100001000</v>
      </c>
      <c r="AB1269" s="242" t="str">
        <f>VLOOKUP(H1269,'Fund Utilization Report'!$A$4:$U$1800,15,FALSE)</f>
        <v>Formulation of Strategic plans,programs, and policies to develop competitve industries</v>
      </c>
      <c r="AC1269" s="51"/>
      <c r="AD1269" s="435"/>
      <c r="AE1269" s="51"/>
      <c r="AF1269" s="51"/>
      <c r="AG1269" s="442"/>
      <c r="AH1269" s="442"/>
      <c r="AI1269" s="443"/>
    </row>
    <row r="1270" spans="1:35" s="32" customFormat="1">
      <c r="A1270" s="434" t="s">
        <v>942</v>
      </c>
      <c r="B1270" s="457" t="s">
        <v>946</v>
      </c>
      <c r="C1270" s="233">
        <v>44271</v>
      </c>
      <c r="D1270" s="435" t="s">
        <v>1267</v>
      </c>
      <c r="E1270" s="436" t="s">
        <v>1470</v>
      </c>
      <c r="F1270" s="338">
        <v>0.53333333333333333</v>
      </c>
      <c r="G1270" s="338">
        <v>0.53472222222222221</v>
      </c>
      <c r="H1270" s="458" t="s">
        <v>983</v>
      </c>
      <c r="I1270" s="459">
        <v>799</v>
      </c>
      <c r="J1270" s="338" t="str">
        <f>IFERROR(VLOOKUP(I1270,'Chart of accounts'!A:H,2,FALSE),"")</f>
        <v>50211990 00</v>
      </c>
      <c r="K1270" s="338" t="str">
        <f>IFERROR(VLOOKUP(I1270,'Chart of accounts'!A:H,3,FALSE),"")</f>
        <v>Other Professional Services</v>
      </c>
      <c r="L1270" s="338" t="str">
        <f>IFERROR(VLOOKUP(I1270,'Chart of accounts'!A:H,4,FALSE),"")</f>
        <v>50211990 00 - Other Professional Services (799)</v>
      </c>
      <c r="M1270" s="467" t="s">
        <v>5</v>
      </c>
      <c r="N1270" s="463" t="s">
        <v>1075</v>
      </c>
      <c r="O1270" s="463" t="s">
        <v>1476</v>
      </c>
      <c r="P1270" s="463"/>
      <c r="Q1270" s="468">
        <v>5534</v>
      </c>
      <c r="R1270" s="428">
        <f t="shared" si="47"/>
        <v>-12000</v>
      </c>
      <c r="S1270" s="239" t="str">
        <f>VLOOKUP(H1270,'Fund Utilization Report'!$A$4:$U$1800,13,FALSE)</f>
        <v>MOOE</v>
      </c>
      <c r="T1270" s="239" t="str">
        <f>VLOOKUP(H1270,'Fund Utilization Report'!$A$4:$U$1800,2,FALSE)</f>
        <v>GAA</v>
      </c>
      <c r="U1270" s="239" t="str">
        <f>VLOOKUP(H1270,'Fund Utilization Report'!$A$4:$U$1800,3,FALSE)</f>
        <v>FY2021, RA11518</v>
      </c>
      <c r="V1270" s="239" t="str">
        <f>VLOOKUP(H1270,'Fund Utilization Report'!$A$4:$U$1800,4,FALSE)</f>
        <v>SSF</v>
      </c>
      <c r="W1270" s="239" t="str">
        <f>VLOOKUP(H1270,'Fund Utilization Report'!$A$4:$U$1800,5,FALSE)</f>
        <v>01101101</v>
      </c>
      <c r="X1270" s="239" t="str">
        <f>VLOOKUP(H1270,'Fund Utilization Report'!$A$4:$U$1800,6,FALSE)</f>
        <v>GOP</v>
      </c>
      <c r="Y1270" s="440" t="str">
        <f>VLOOKUP(H1270,'Fund Utilization Report'!$A$4:$U$1800,7,FALSE)</f>
        <v>MOOE</v>
      </c>
      <c r="Z1270" s="441">
        <f>VLOOKUP(H1270,'Fund Utilization Report'!$A$4:$U$1800,8,FALSE)</f>
        <v>5020000000</v>
      </c>
      <c r="AA1270" s="239" t="str">
        <f>VLOOKUP(H1270,'Fund Utilization Report'!$A$4:$U$1800,14,FALSE)</f>
        <v>330100200003000</v>
      </c>
      <c r="AB1270" s="242" t="str">
        <f>VLOOKUP(H1270,'Fund Utilization Report'!$A$4:$U$1800,15,FALSE)</f>
        <v>Shared Service Facilities Project</v>
      </c>
      <c r="AC1270" s="51"/>
      <c r="AD1270" s="435"/>
      <c r="AE1270" s="51"/>
      <c r="AF1270" s="51"/>
      <c r="AG1270" s="442"/>
      <c r="AH1270" s="442"/>
      <c r="AI1270" s="443"/>
    </row>
    <row r="1271" spans="1:35" s="32" customFormat="1">
      <c r="A1271" s="434" t="s">
        <v>942</v>
      </c>
      <c r="B1271" s="457" t="s">
        <v>946</v>
      </c>
      <c r="C1271" s="233">
        <v>44271</v>
      </c>
      <c r="D1271" s="435" t="s">
        <v>1267</v>
      </c>
      <c r="E1271" s="436" t="s">
        <v>1470</v>
      </c>
      <c r="F1271" s="338">
        <v>0.53333333333333333</v>
      </c>
      <c r="G1271" s="338">
        <v>0.53472222222222221</v>
      </c>
      <c r="H1271" s="458" t="s">
        <v>961</v>
      </c>
      <c r="I1271" s="459">
        <v>792</v>
      </c>
      <c r="J1271" s="338" t="str">
        <f>IFERROR(VLOOKUP(I1271,'Chart of accounts'!A:H,2,FALSE),"")</f>
        <v>50211020 00</v>
      </c>
      <c r="K1271" s="338" t="str">
        <f>IFERROR(VLOOKUP(I1271,'Chart of accounts'!A:H,3,FALSE),"")</f>
        <v>Auditing Services</v>
      </c>
      <c r="L1271" s="338" t="str">
        <f>IFERROR(VLOOKUP(I1271,'Chart of accounts'!A:H,4,FALSE),"")</f>
        <v>50211020 00 - Auditing Services (792)</v>
      </c>
      <c r="M1271" s="467" t="s">
        <v>1404</v>
      </c>
      <c r="N1271" s="463" t="s">
        <v>1075</v>
      </c>
      <c r="O1271" s="463" t="s">
        <v>1476</v>
      </c>
      <c r="P1271" s="463"/>
      <c r="Q1271" s="468">
        <v>5534</v>
      </c>
      <c r="R1271" s="428">
        <f t="shared" si="47"/>
        <v>-6000</v>
      </c>
      <c r="S1271" s="239" t="str">
        <f>VLOOKUP(H1271,'Fund Utilization Report'!$A$4:$U$1800,13,FALSE)</f>
        <v>MOOE</v>
      </c>
      <c r="T1271" s="239" t="str">
        <f>VLOOKUP(H1271,'Fund Utilization Report'!$A$4:$U$1800,2,FALSE)</f>
        <v>GAA</v>
      </c>
      <c r="U1271" s="239" t="str">
        <f>VLOOKUP(H1271,'Fund Utilization Report'!$A$4:$U$1800,3,FALSE)</f>
        <v>FY2021, RA11518</v>
      </c>
      <c r="V1271" s="239" t="str">
        <f>VLOOKUP(H1271,'Fund Utilization Report'!$A$4:$U$1800,4,FALSE)</f>
        <v>GAS(GMS)</v>
      </c>
      <c r="W1271" s="239" t="str">
        <f>VLOOKUP(H1271,'Fund Utilization Report'!$A$4:$U$1800,5,FALSE)</f>
        <v>01101101</v>
      </c>
      <c r="X1271" s="239" t="str">
        <f>VLOOKUP(H1271,'Fund Utilization Report'!$A$4:$U$1800,6,FALSE)</f>
        <v>GOP</v>
      </c>
      <c r="Y1271" s="440" t="str">
        <f>VLOOKUP(H1271,'Fund Utilization Report'!$A$4:$U$1800,7,FALSE)</f>
        <v>MOOE</v>
      </c>
      <c r="Z1271" s="441">
        <f>VLOOKUP(H1271,'Fund Utilization Report'!$A$4:$U$1800,8,FALSE)</f>
        <v>5020000000</v>
      </c>
      <c r="AA1271" s="239" t="str">
        <f>VLOOKUP(H1271,'Fund Utilization Report'!$A$4:$U$1800,14,FALSE)</f>
        <v>100000100001000</v>
      </c>
      <c r="AB1271" s="242" t="str">
        <f>VLOOKUP(H1271,'Fund Utilization Report'!$A$4:$U$1800,15,FALSE)</f>
        <v>General Administration and Supervision - General Management and Supervision</v>
      </c>
      <c r="AC1271" s="51"/>
      <c r="AD1271" s="435"/>
      <c r="AE1271" s="51"/>
      <c r="AF1271" s="51"/>
      <c r="AG1271" s="442"/>
      <c r="AH1271" s="442"/>
      <c r="AI1271" s="443"/>
    </row>
    <row r="1272" spans="1:35" s="32" customFormat="1">
      <c r="A1272" s="434" t="s">
        <v>942</v>
      </c>
      <c r="B1272" s="457" t="s">
        <v>946</v>
      </c>
      <c r="C1272" s="233">
        <v>44271</v>
      </c>
      <c r="D1272" s="435" t="s">
        <v>1267</v>
      </c>
      <c r="E1272" s="436" t="s">
        <v>1470</v>
      </c>
      <c r="F1272" s="338">
        <v>0.53333333333333333</v>
      </c>
      <c r="G1272" s="338">
        <v>0.53472222222222221</v>
      </c>
      <c r="H1272" s="458" t="s">
        <v>961</v>
      </c>
      <c r="I1272" s="459">
        <v>799</v>
      </c>
      <c r="J1272" s="338" t="str">
        <f>IFERROR(VLOOKUP(I1272,'Chart of accounts'!A:H,2,FALSE),"")</f>
        <v>50211990 00</v>
      </c>
      <c r="K1272" s="338" t="str">
        <f>IFERROR(VLOOKUP(I1272,'Chart of accounts'!A:H,3,FALSE),"")</f>
        <v>Other Professional Services</v>
      </c>
      <c r="L1272" s="338" t="str">
        <f>IFERROR(VLOOKUP(I1272,'Chart of accounts'!A:H,4,FALSE),"")</f>
        <v>50211990 00 - Other Professional Services (799)</v>
      </c>
      <c r="M1272" s="467" t="s">
        <v>816</v>
      </c>
      <c r="N1272" s="463" t="s">
        <v>1075</v>
      </c>
      <c r="O1272" s="463" t="s">
        <v>1476</v>
      </c>
      <c r="P1272" s="463"/>
      <c r="Q1272" s="468">
        <f>11158+5030.91</f>
        <v>16188.91</v>
      </c>
      <c r="R1272" s="428">
        <f t="shared" si="47"/>
        <v>-24000</v>
      </c>
      <c r="S1272" s="239" t="str">
        <f>VLOOKUP(H1272,'Fund Utilization Report'!$A$4:$U$1800,13,FALSE)</f>
        <v>MOOE</v>
      </c>
      <c r="T1272" s="239" t="str">
        <f>VLOOKUP(H1272,'Fund Utilization Report'!$A$4:$U$1800,2,FALSE)</f>
        <v>GAA</v>
      </c>
      <c r="U1272" s="239" t="str">
        <f>VLOOKUP(H1272,'Fund Utilization Report'!$A$4:$U$1800,3,FALSE)</f>
        <v>FY2021, RA11518</v>
      </c>
      <c r="V1272" s="239" t="str">
        <f>VLOOKUP(H1272,'Fund Utilization Report'!$A$4:$U$1800,4,FALSE)</f>
        <v>GAS(GMS)</v>
      </c>
      <c r="W1272" s="239" t="str">
        <f>VLOOKUP(H1272,'Fund Utilization Report'!$A$4:$U$1800,5,FALSE)</f>
        <v>01101101</v>
      </c>
      <c r="X1272" s="239" t="str">
        <f>VLOOKUP(H1272,'Fund Utilization Report'!$A$4:$U$1800,6,FALSE)</f>
        <v>GOP</v>
      </c>
      <c r="Y1272" s="440" t="str">
        <f>VLOOKUP(H1272,'Fund Utilization Report'!$A$4:$U$1800,7,FALSE)</f>
        <v>MOOE</v>
      </c>
      <c r="Z1272" s="441">
        <f>VLOOKUP(H1272,'Fund Utilization Report'!$A$4:$U$1800,8,FALSE)</f>
        <v>5020000000</v>
      </c>
      <c r="AA1272" s="239" t="str">
        <f>VLOOKUP(H1272,'Fund Utilization Report'!$A$4:$U$1800,14,FALSE)</f>
        <v>100000100001000</v>
      </c>
      <c r="AB1272" s="242" t="str">
        <f>VLOOKUP(H1272,'Fund Utilization Report'!$A$4:$U$1800,15,FALSE)</f>
        <v>General Administration and Supervision - General Management and Supervision</v>
      </c>
      <c r="AC1272" s="51"/>
      <c r="AD1272" s="435"/>
      <c r="AE1272" s="51"/>
      <c r="AF1272" s="51"/>
      <c r="AG1272" s="442"/>
      <c r="AH1272" s="442"/>
      <c r="AI1272" s="443"/>
    </row>
    <row r="1273" spans="1:35" s="32" customFormat="1">
      <c r="A1273" s="434" t="s">
        <v>942</v>
      </c>
      <c r="B1273" s="457" t="s">
        <v>946</v>
      </c>
      <c r="C1273" s="233">
        <v>44271</v>
      </c>
      <c r="D1273" s="435" t="s">
        <v>1267</v>
      </c>
      <c r="E1273" s="436" t="s">
        <v>1470</v>
      </c>
      <c r="F1273" s="338">
        <v>0.53333333333333333</v>
      </c>
      <c r="G1273" s="338">
        <v>0.53472222222222221</v>
      </c>
      <c r="H1273" s="458" t="s">
        <v>971</v>
      </c>
      <c r="I1273" s="459">
        <v>799</v>
      </c>
      <c r="J1273" s="338" t="str">
        <f>IFERROR(VLOOKUP(I1273,'Chart of accounts'!A:H,2,FALSE),"")</f>
        <v>50211990 00</v>
      </c>
      <c r="K1273" s="338" t="str">
        <f>IFERROR(VLOOKUP(I1273,'Chart of accounts'!A:H,3,FALSE),"")</f>
        <v>Other Professional Services</v>
      </c>
      <c r="L1273" s="338" t="str">
        <f>IFERROR(VLOOKUP(I1273,'Chart of accounts'!A:H,4,FALSE),"")</f>
        <v>50211990 00 - Other Professional Services (799)</v>
      </c>
      <c r="M1273" s="467" t="s">
        <v>816</v>
      </c>
      <c r="N1273" s="463" t="s">
        <v>1075</v>
      </c>
      <c r="O1273" s="463" t="s">
        <v>1476</v>
      </c>
      <c r="P1273" s="463"/>
      <c r="Q1273" s="468">
        <v>13112.59</v>
      </c>
      <c r="R1273" s="428">
        <f t="shared" si="47"/>
        <v>-6000</v>
      </c>
      <c r="S1273" s="239" t="str">
        <f>VLOOKUP(H1273,'Fund Utilization Report'!$A$4:$U$1800,13,FALSE)</f>
        <v>MOOE</v>
      </c>
      <c r="T1273" s="239" t="str">
        <f>VLOOKUP(H1273,'Fund Utilization Report'!$A$4:$U$1800,2,FALSE)</f>
        <v>GAA</v>
      </c>
      <c r="U1273" s="239" t="str">
        <f>VLOOKUP(H1273,'Fund Utilization Report'!$A$4:$U$1800,3,FALSE)</f>
        <v>FY2021, RA11518</v>
      </c>
      <c r="V1273" s="239" t="str">
        <f>VLOOKUP(H1273,'Fund Utilization Report'!$A$4:$U$1800,4,FALSE)</f>
        <v>OO3</v>
      </c>
      <c r="W1273" s="239" t="str">
        <f>VLOOKUP(H1273,'Fund Utilization Report'!$A$4:$U$1800,5,FALSE)</f>
        <v>01101101</v>
      </c>
      <c r="X1273" s="239" t="str">
        <f>VLOOKUP(H1273,'Fund Utilization Report'!$A$4:$U$1800,6,FALSE)</f>
        <v>GOP</v>
      </c>
      <c r="Y1273" s="440" t="str">
        <f>VLOOKUP(H1273,'Fund Utilization Report'!$A$4:$U$1800,7,FALSE)</f>
        <v>MOOE</v>
      </c>
      <c r="Z1273" s="441">
        <f>VLOOKUP(H1273,'Fund Utilization Report'!$A$4:$U$1800,8,FALSE)</f>
        <v>5020000000</v>
      </c>
      <c r="AA1273" s="239" t="str">
        <f>VLOOKUP(H1273,'Fund Utilization Report'!$A$4:$U$1800,14,FALSE)</f>
        <v>330100100002000</v>
      </c>
      <c r="AB1273" s="242" t="str">
        <f>VLOOKUP(H1273,'Fund Utilization Report'!$A$4:$U$1800,15,FALSE)</f>
        <v>Implementation of the MSME Development Plan and other initiatives to promote the growth of Micro, Small and Medium Enterprises</v>
      </c>
      <c r="AC1273" s="51"/>
      <c r="AD1273" s="435"/>
      <c r="AE1273" s="51"/>
      <c r="AF1273" s="51"/>
      <c r="AG1273" s="442"/>
      <c r="AH1273" s="442"/>
      <c r="AI1273" s="443"/>
    </row>
    <row r="1274" spans="1:35" s="32" customFormat="1">
      <c r="A1274" s="434" t="s">
        <v>942</v>
      </c>
      <c r="B1274" s="457" t="s">
        <v>946</v>
      </c>
      <c r="C1274" s="233">
        <v>44271</v>
      </c>
      <c r="D1274" s="435" t="s">
        <v>1267</v>
      </c>
      <c r="E1274" s="436" t="s">
        <v>1471</v>
      </c>
      <c r="F1274" s="338">
        <v>0.54999999999999993</v>
      </c>
      <c r="G1274" s="338">
        <v>0.55138888888888882</v>
      </c>
      <c r="H1274" s="458" t="s">
        <v>961</v>
      </c>
      <c r="I1274" s="459">
        <v>796</v>
      </c>
      <c r="J1274" s="338" t="str">
        <f>IFERROR(VLOOKUP(I1274,'Chart of accounts'!A:H,2,FALSE),"")</f>
        <v>50212020 00</v>
      </c>
      <c r="K1274" s="338" t="str">
        <f>IFERROR(VLOOKUP(I1274,'Chart of accounts'!A:H,3,FALSE),"")</f>
        <v>Janitorial Services</v>
      </c>
      <c r="L1274" s="338" t="str">
        <f>IFERROR(VLOOKUP(I1274,'Chart of accounts'!A:H,4,FALSE),"")</f>
        <v>50212020 00 - Janitorial Services (796)</v>
      </c>
      <c r="M1274" s="361" t="s">
        <v>816</v>
      </c>
      <c r="N1274" s="463" t="s">
        <v>1075</v>
      </c>
      <c r="O1274" s="463" t="s">
        <v>1476</v>
      </c>
      <c r="P1274" s="463"/>
      <c r="Q1274" s="468">
        <f>4400+4800</f>
        <v>9200</v>
      </c>
      <c r="R1274" s="428">
        <f t="shared" si="47"/>
        <v>-12000</v>
      </c>
      <c r="S1274" s="239" t="str">
        <f>VLOOKUP(H1274,'Fund Utilization Report'!$A$4:$U$1800,13,FALSE)</f>
        <v>MOOE</v>
      </c>
      <c r="T1274" s="239" t="str">
        <f>VLOOKUP(H1274,'Fund Utilization Report'!$A$4:$U$1800,2,FALSE)</f>
        <v>GAA</v>
      </c>
      <c r="U1274" s="239" t="str">
        <f>VLOOKUP(H1274,'Fund Utilization Report'!$A$4:$U$1800,3,FALSE)</f>
        <v>FY2021, RA11518</v>
      </c>
      <c r="V1274" s="239" t="str">
        <f>VLOOKUP(H1274,'Fund Utilization Report'!$A$4:$U$1800,4,FALSE)</f>
        <v>GAS(GMS)</v>
      </c>
      <c r="W1274" s="239" t="str">
        <f>VLOOKUP(H1274,'Fund Utilization Report'!$A$4:$U$1800,5,FALSE)</f>
        <v>01101101</v>
      </c>
      <c r="X1274" s="239" t="str">
        <f>VLOOKUP(H1274,'Fund Utilization Report'!$A$4:$U$1800,6,FALSE)</f>
        <v>GOP</v>
      </c>
      <c r="Y1274" s="440" t="str">
        <f>VLOOKUP(H1274,'Fund Utilization Report'!$A$4:$U$1800,7,FALSE)</f>
        <v>MOOE</v>
      </c>
      <c r="Z1274" s="441">
        <f>VLOOKUP(H1274,'Fund Utilization Report'!$A$4:$U$1800,8,FALSE)</f>
        <v>5020000000</v>
      </c>
      <c r="AA1274" s="239" t="str">
        <f>VLOOKUP(H1274,'Fund Utilization Report'!$A$4:$U$1800,14,FALSE)</f>
        <v>100000100001000</v>
      </c>
      <c r="AB1274" s="242" t="str">
        <f>VLOOKUP(H1274,'Fund Utilization Report'!$A$4:$U$1800,15,FALSE)</f>
        <v>General Administration and Supervision - General Management and Supervision</v>
      </c>
      <c r="AC1274" s="51"/>
      <c r="AD1274" s="435"/>
      <c r="AE1274" s="51"/>
      <c r="AF1274" s="51"/>
      <c r="AG1274" s="442"/>
      <c r="AH1274" s="442"/>
      <c r="AI1274" s="443"/>
    </row>
    <row r="1275" spans="1:35" s="32" customFormat="1">
      <c r="A1275" s="434" t="s">
        <v>942</v>
      </c>
      <c r="B1275" s="457" t="s">
        <v>946</v>
      </c>
      <c r="C1275" s="233">
        <v>44271</v>
      </c>
      <c r="D1275" s="435" t="s">
        <v>1267</v>
      </c>
      <c r="E1275" s="436" t="s">
        <v>1471</v>
      </c>
      <c r="F1275" s="338">
        <v>0.54999999999999993</v>
      </c>
      <c r="G1275" s="338">
        <v>0.55138888888888882</v>
      </c>
      <c r="H1275" s="458" t="s">
        <v>961</v>
      </c>
      <c r="I1275" s="459">
        <v>795</v>
      </c>
      <c r="J1275" s="338" t="str">
        <f>IFERROR(VLOOKUP(I1275,'Chart of accounts'!A:H,2,FALSE),"")</f>
        <v>50212990 00</v>
      </c>
      <c r="K1275" s="338" t="str">
        <f>IFERROR(VLOOKUP(I1275,'Chart of accounts'!A:H,3,FALSE),"")</f>
        <v>Other General Services</v>
      </c>
      <c r="L1275" s="338" t="str">
        <f>IFERROR(VLOOKUP(I1275,'Chart of accounts'!A:H,4,FALSE),"")</f>
        <v>50212990 00 - Other General Services (795)</v>
      </c>
      <c r="M1275" s="361" t="s">
        <v>816</v>
      </c>
      <c r="N1275" s="463" t="s">
        <v>1075</v>
      </c>
      <c r="O1275" s="463" t="s">
        <v>1476</v>
      </c>
      <c r="P1275" s="463"/>
      <c r="Q1275" s="468">
        <v>3100</v>
      </c>
      <c r="R1275" s="428">
        <f t="shared" si="47"/>
        <v>-18000</v>
      </c>
      <c r="S1275" s="239" t="str">
        <f>VLOOKUP(H1275,'Fund Utilization Report'!$A$4:$U$1800,13,FALSE)</f>
        <v>MOOE</v>
      </c>
      <c r="T1275" s="239" t="str">
        <f>VLOOKUP(H1275,'Fund Utilization Report'!$A$4:$U$1800,2,FALSE)</f>
        <v>GAA</v>
      </c>
      <c r="U1275" s="239" t="str">
        <f>VLOOKUP(H1275,'Fund Utilization Report'!$A$4:$U$1800,3,FALSE)</f>
        <v>FY2021, RA11518</v>
      </c>
      <c r="V1275" s="239" t="str">
        <f>VLOOKUP(H1275,'Fund Utilization Report'!$A$4:$U$1800,4,FALSE)</f>
        <v>GAS(GMS)</v>
      </c>
      <c r="W1275" s="239" t="str">
        <f>VLOOKUP(H1275,'Fund Utilization Report'!$A$4:$U$1800,5,FALSE)</f>
        <v>01101101</v>
      </c>
      <c r="X1275" s="239" t="str">
        <f>VLOOKUP(H1275,'Fund Utilization Report'!$A$4:$U$1800,6,FALSE)</f>
        <v>GOP</v>
      </c>
      <c r="Y1275" s="440" t="str">
        <f>VLOOKUP(H1275,'Fund Utilization Report'!$A$4:$U$1800,7,FALSE)</f>
        <v>MOOE</v>
      </c>
      <c r="Z1275" s="441">
        <f>VLOOKUP(H1275,'Fund Utilization Report'!$A$4:$U$1800,8,FALSE)</f>
        <v>5020000000</v>
      </c>
      <c r="AA1275" s="239" t="str">
        <f>VLOOKUP(H1275,'Fund Utilization Report'!$A$4:$U$1800,14,FALSE)</f>
        <v>100000100001000</v>
      </c>
      <c r="AB1275" s="242" t="str">
        <f>VLOOKUP(H1275,'Fund Utilization Report'!$A$4:$U$1800,15,FALSE)</f>
        <v>General Administration and Supervision - General Management and Supervision</v>
      </c>
      <c r="AC1275" s="51"/>
      <c r="AD1275" s="435"/>
      <c r="AE1275" s="51"/>
      <c r="AF1275" s="51"/>
      <c r="AG1275" s="442"/>
      <c r="AH1275" s="442"/>
      <c r="AI1275" s="443"/>
    </row>
    <row r="1276" spans="1:35" s="32" customFormat="1">
      <c r="A1276" s="434" t="s">
        <v>942</v>
      </c>
      <c r="B1276" s="457" t="s">
        <v>946</v>
      </c>
      <c r="C1276" s="233">
        <v>44271</v>
      </c>
      <c r="D1276" s="435" t="s">
        <v>1267</v>
      </c>
      <c r="E1276" s="436" t="s">
        <v>1472</v>
      </c>
      <c r="F1276" s="338">
        <v>0.55138888888888882</v>
      </c>
      <c r="G1276" s="338">
        <v>0.55208333333333337</v>
      </c>
      <c r="H1276" s="458" t="s">
        <v>961</v>
      </c>
      <c r="I1276" s="459">
        <v>761</v>
      </c>
      <c r="J1276" s="338" t="str">
        <f>IFERROR(VLOOKUP(I1276,'Chart of accounts'!A:H,2,FALSE),"")</f>
        <v>50203090 00</v>
      </c>
      <c r="K1276" s="338" t="str">
        <f>IFERROR(VLOOKUP(I1276,'Chart of accounts'!A:H,3,FALSE),"")</f>
        <v>Fuel, Oil and Lubricants Expenses</v>
      </c>
      <c r="L1276" s="338" t="str">
        <f>IFERROR(VLOOKUP(I1276,'Chart of accounts'!A:H,4,FALSE),"")</f>
        <v>50203090 00 - Fuel, Oil and Lubricants Expenses (761)</v>
      </c>
      <c r="M1276" s="467" t="s">
        <v>812</v>
      </c>
      <c r="N1276" s="463" t="s">
        <v>810</v>
      </c>
      <c r="O1276" s="463" t="s">
        <v>1477</v>
      </c>
      <c r="P1276" s="463"/>
      <c r="Q1276" s="468">
        <v>5585.05</v>
      </c>
      <c r="R1276" s="428">
        <f t="shared" ref="R1276:R1284" si="48">P1249-Q1249</f>
        <v>-18000</v>
      </c>
      <c r="S1276" s="239" t="str">
        <f>VLOOKUP(H1276,'Fund Utilization Report'!$A$4:$U$1800,13,FALSE)</f>
        <v>MOOE</v>
      </c>
      <c r="T1276" s="239" t="str">
        <f>VLOOKUP(H1276,'Fund Utilization Report'!$A$4:$U$1800,2,FALSE)</f>
        <v>GAA</v>
      </c>
      <c r="U1276" s="239" t="str">
        <f>VLOOKUP(H1276,'Fund Utilization Report'!$A$4:$U$1800,3,FALSE)</f>
        <v>FY2021, RA11518</v>
      </c>
      <c r="V1276" s="239" t="str">
        <f>VLOOKUP(H1276,'Fund Utilization Report'!$A$4:$U$1800,4,FALSE)</f>
        <v>GAS(GMS)</v>
      </c>
      <c r="W1276" s="239" t="str">
        <f>VLOOKUP(H1276,'Fund Utilization Report'!$A$4:$U$1800,5,FALSE)</f>
        <v>01101101</v>
      </c>
      <c r="X1276" s="239" t="str">
        <f>VLOOKUP(H1276,'Fund Utilization Report'!$A$4:$U$1800,6,FALSE)</f>
        <v>GOP</v>
      </c>
      <c r="Y1276" s="440" t="str">
        <f>VLOOKUP(H1276,'Fund Utilization Report'!$A$4:$U$1800,7,FALSE)</f>
        <v>MOOE</v>
      </c>
      <c r="Z1276" s="441">
        <f>VLOOKUP(H1276,'Fund Utilization Report'!$A$4:$U$1800,8,FALSE)</f>
        <v>5020000000</v>
      </c>
      <c r="AA1276" s="239" t="str">
        <f>VLOOKUP(H1276,'Fund Utilization Report'!$A$4:$U$1800,14,FALSE)</f>
        <v>100000100001000</v>
      </c>
      <c r="AB1276" s="242" t="str">
        <f>VLOOKUP(H1276,'Fund Utilization Report'!$A$4:$U$1800,15,FALSE)</f>
        <v>General Administration and Supervision - General Management and Supervision</v>
      </c>
      <c r="AC1276" s="51"/>
      <c r="AD1276" s="435"/>
      <c r="AE1276" s="51"/>
      <c r="AF1276" s="51"/>
      <c r="AG1276" s="442"/>
      <c r="AH1276" s="442"/>
      <c r="AI1276" s="443"/>
    </row>
    <row r="1277" spans="1:35" s="32" customFormat="1">
      <c r="A1277" s="434" t="s">
        <v>942</v>
      </c>
      <c r="B1277" s="457" t="s">
        <v>946</v>
      </c>
      <c r="C1277" s="233">
        <v>44271</v>
      </c>
      <c r="D1277" s="435" t="s">
        <v>1267</v>
      </c>
      <c r="E1277" s="436" t="s">
        <v>1472</v>
      </c>
      <c r="F1277" s="338">
        <v>0.55138888888888882</v>
      </c>
      <c r="G1277" s="338">
        <v>0.55208333333333337</v>
      </c>
      <c r="H1277" s="458" t="s">
        <v>980</v>
      </c>
      <c r="I1277" s="459">
        <v>761</v>
      </c>
      <c r="J1277" s="338" t="str">
        <f>IFERROR(VLOOKUP(I1277,'Chart of accounts'!A:H,2,FALSE),"")</f>
        <v>50203090 00</v>
      </c>
      <c r="K1277" s="338" t="str">
        <f>IFERROR(VLOOKUP(I1277,'Chart of accounts'!A:H,3,FALSE),"")</f>
        <v>Fuel, Oil and Lubricants Expenses</v>
      </c>
      <c r="L1277" s="338" t="str">
        <f>IFERROR(VLOOKUP(I1277,'Chart of accounts'!A:H,4,FALSE),"")</f>
        <v>50203090 00 - Fuel, Oil and Lubricants Expenses (761)</v>
      </c>
      <c r="M1277" s="467" t="s">
        <v>845</v>
      </c>
      <c r="N1277" s="463" t="s">
        <v>810</v>
      </c>
      <c r="O1277" s="463" t="s">
        <v>1477</v>
      </c>
      <c r="P1277" s="463"/>
      <c r="Q1277" s="468">
        <v>5448.23</v>
      </c>
      <c r="R1277" s="428">
        <f t="shared" si="48"/>
        <v>-6000</v>
      </c>
      <c r="S1277" s="239" t="str">
        <f>VLOOKUP(H1277,'Fund Utilization Report'!$A$4:$U$1800,13,FALSE)</f>
        <v>MOOE</v>
      </c>
      <c r="T1277" s="239" t="str">
        <f>VLOOKUP(H1277,'Fund Utilization Report'!$A$4:$U$1800,2,FALSE)</f>
        <v>GAA</v>
      </c>
      <c r="U1277" s="239" t="str">
        <f>VLOOKUP(H1277,'Fund Utilization Report'!$A$4:$U$1800,3,FALSE)</f>
        <v>FY2021, RA11518</v>
      </c>
      <c r="V1277" s="239" t="str">
        <f>VLOOKUP(H1277,'Fund Utilization Report'!$A$4:$U$1800,4,FALSE)</f>
        <v>NC</v>
      </c>
      <c r="W1277" s="239" t="str">
        <f>VLOOKUP(H1277,'Fund Utilization Report'!$A$4:$U$1800,5,FALSE)</f>
        <v>01101101</v>
      </c>
      <c r="X1277" s="239" t="str">
        <f>VLOOKUP(H1277,'Fund Utilization Report'!$A$4:$U$1800,6,FALSE)</f>
        <v>GOP</v>
      </c>
      <c r="Y1277" s="440" t="str">
        <f>VLOOKUP(H1277,'Fund Utilization Report'!$A$4:$U$1800,7,FALSE)</f>
        <v>MOOE</v>
      </c>
      <c r="Z1277" s="441">
        <f>VLOOKUP(H1277,'Fund Utilization Report'!$A$4:$U$1800,8,FALSE)</f>
        <v>5020000000</v>
      </c>
      <c r="AA1277" s="239" t="str">
        <f>VLOOKUP(H1277,'Fund Utilization Report'!$A$4:$U$1800,14,FALSE)</f>
        <v>330100200001000</v>
      </c>
      <c r="AB1277" s="242" t="str">
        <f>VLOOKUP(H1277,'Fund Utilization Report'!$A$4:$U$1800,15,FALSE)</f>
        <v>Establishment of Negosyo Centers</v>
      </c>
      <c r="AC1277" s="51"/>
      <c r="AD1277" s="435"/>
      <c r="AE1277" s="51"/>
      <c r="AF1277" s="51"/>
      <c r="AG1277" s="442"/>
      <c r="AH1277" s="442"/>
      <c r="AI1277" s="443"/>
    </row>
    <row r="1278" spans="1:35" s="32" customFormat="1">
      <c r="A1278" s="434" t="s">
        <v>942</v>
      </c>
      <c r="B1278" s="457" t="s">
        <v>946</v>
      </c>
      <c r="C1278" s="233">
        <v>44271</v>
      </c>
      <c r="D1278" s="435" t="s">
        <v>1267</v>
      </c>
      <c r="E1278" s="436" t="s">
        <v>1472</v>
      </c>
      <c r="F1278" s="338">
        <v>0.55138888888888882</v>
      </c>
      <c r="G1278" s="338">
        <v>0.55208333333333337</v>
      </c>
      <c r="H1278" s="458" t="s">
        <v>968</v>
      </c>
      <c r="I1278" s="459">
        <v>761</v>
      </c>
      <c r="J1278" s="338" t="str">
        <f>IFERROR(VLOOKUP(I1278,'Chart of accounts'!A:H,2,FALSE),"")</f>
        <v>50203090 00</v>
      </c>
      <c r="K1278" s="338" t="str">
        <f>IFERROR(VLOOKUP(I1278,'Chart of accounts'!A:H,3,FALSE),"")</f>
        <v>Fuel, Oil and Lubricants Expenses</v>
      </c>
      <c r="L1278" s="338" t="str">
        <f>IFERROR(VLOOKUP(I1278,'Chart of accounts'!A:H,4,FALSE),"")</f>
        <v>50203090 00 - Fuel, Oil and Lubricants Expenses (761)</v>
      </c>
      <c r="M1278" s="467" t="s">
        <v>814</v>
      </c>
      <c r="N1278" s="463" t="s">
        <v>810</v>
      </c>
      <c r="O1278" s="463" t="s">
        <v>1477</v>
      </c>
      <c r="P1278" s="463"/>
      <c r="Q1278" s="468">
        <v>1373.55</v>
      </c>
      <c r="R1278" s="428">
        <f t="shared" si="48"/>
        <v>-6000</v>
      </c>
      <c r="S1278" s="239" t="str">
        <f>VLOOKUP(H1278,'Fund Utilization Report'!$A$4:$U$1800,13,FALSE)</f>
        <v>MOOE</v>
      </c>
      <c r="T1278" s="239" t="str">
        <f>VLOOKUP(H1278,'Fund Utilization Report'!$A$4:$U$1800,2,FALSE)</f>
        <v>GAA</v>
      </c>
      <c r="U1278" s="239" t="str">
        <f>VLOOKUP(H1278,'Fund Utilization Report'!$A$4:$U$1800,3,FALSE)</f>
        <v>FY2021, RA11518</v>
      </c>
      <c r="V1278" s="239" t="str">
        <f>VLOOKUP(H1278,'Fund Utilization Report'!$A$4:$U$1800,4,FALSE)</f>
        <v>OO2</v>
      </c>
      <c r="W1278" s="239" t="str">
        <f>VLOOKUP(H1278,'Fund Utilization Report'!$A$4:$U$1800,5,FALSE)</f>
        <v>01101101</v>
      </c>
      <c r="X1278" s="239" t="str">
        <f>VLOOKUP(H1278,'Fund Utilization Report'!$A$4:$U$1800,6,FALSE)</f>
        <v>GOP</v>
      </c>
      <c r="Y1278" s="440" t="str">
        <f>VLOOKUP(H1278,'Fund Utilization Report'!$A$4:$U$1800,7,FALSE)</f>
        <v>MOOE</v>
      </c>
      <c r="Z1278" s="441">
        <f>VLOOKUP(H1278,'Fund Utilization Report'!$A$4:$U$1800,8,FALSE)</f>
        <v>5020000000</v>
      </c>
      <c r="AA1278" s="239" t="str">
        <f>VLOOKUP(H1278,'Fund Utilization Report'!$A$4:$U$1800,14,FALSE)</f>
        <v>320100100001000</v>
      </c>
      <c r="AB1278" s="242" t="str">
        <f>VLOOKUP(H1278,'Fund Utilization Report'!$A$4:$U$1800,15,FALSE)</f>
        <v>Formulation of Strategic plans,programs, and policies to develop competitve industries</v>
      </c>
      <c r="AC1278" s="51"/>
      <c r="AD1278" s="435"/>
      <c r="AE1278" s="51"/>
      <c r="AF1278" s="51"/>
      <c r="AG1278" s="442"/>
      <c r="AH1278" s="442"/>
      <c r="AI1278" s="443"/>
    </row>
    <row r="1279" spans="1:35" s="32" customFormat="1">
      <c r="A1279" s="434" t="s">
        <v>942</v>
      </c>
      <c r="B1279" s="457" t="s">
        <v>946</v>
      </c>
      <c r="C1279" s="233">
        <v>44271</v>
      </c>
      <c r="D1279" s="435" t="s">
        <v>1267</v>
      </c>
      <c r="E1279" s="436" t="s">
        <v>1472</v>
      </c>
      <c r="F1279" s="338">
        <v>0.55138888888888882</v>
      </c>
      <c r="G1279" s="338">
        <v>0.55208333333333337</v>
      </c>
      <c r="H1279" s="458" t="s">
        <v>974</v>
      </c>
      <c r="I1279" s="459">
        <v>761</v>
      </c>
      <c r="J1279" s="338" t="str">
        <f>IFERROR(VLOOKUP(I1279,'Chart of accounts'!A:H,2,FALSE),"")</f>
        <v>50203090 00</v>
      </c>
      <c r="K1279" s="338" t="str">
        <f>IFERROR(VLOOKUP(I1279,'Chart of accounts'!A:H,3,FALSE),"")</f>
        <v>Fuel, Oil and Lubricants Expenses</v>
      </c>
      <c r="L1279" s="338" t="str">
        <f>IFERROR(VLOOKUP(I1279,'Chart of accounts'!A:H,4,FALSE),"")</f>
        <v>50203090 00 - Fuel, Oil and Lubricants Expenses (761)</v>
      </c>
      <c r="M1279" s="467" t="s">
        <v>815</v>
      </c>
      <c r="N1279" s="463" t="s">
        <v>810</v>
      </c>
      <c r="O1279" s="463" t="s">
        <v>1477</v>
      </c>
      <c r="P1279" s="463"/>
      <c r="Q1279" s="468">
        <v>511.22</v>
      </c>
      <c r="R1279" s="428">
        <f t="shared" si="48"/>
        <v>-36000</v>
      </c>
      <c r="S1279" s="239" t="str">
        <f>VLOOKUP(H1279,'Fund Utilization Report'!$A$4:$U$1800,13,FALSE)</f>
        <v>MOOE</v>
      </c>
      <c r="T1279" s="239" t="str">
        <f>VLOOKUP(H1279,'Fund Utilization Report'!$A$4:$U$1800,2,FALSE)</f>
        <v>GAA</v>
      </c>
      <c r="U1279" s="239" t="str">
        <f>VLOOKUP(H1279,'Fund Utilization Report'!$A$4:$U$1800,3,FALSE)</f>
        <v>FY2021, RA11518</v>
      </c>
      <c r="V1279" s="239" t="str">
        <f>VLOOKUP(H1279,'Fund Utilization Report'!$A$4:$U$1800,4,FALSE)</f>
        <v>OO4.1(FTL)</v>
      </c>
      <c r="W1279" s="239" t="str">
        <f>VLOOKUP(H1279,'Fund Utilization Report'!$A$4:$U$1800,5,FALSE)</f>
        <v>01101101</v>
      </c>
      <c r="X1279" s="239" t="str">
        <f>VLOOKUP(H1279,'Fund Utilization Report'!$A$4:$U$1800,6,FALSE)</f>
        <v>GOP</v>
      </c>
      <c r="Y1279" s="440" t="str">
        <f>VLOOKUP(H1279,'Fund Utilization Report'!$A$4:$U$1800,7,FALSE)</f>
        <v>MOOE</v>
      </c>
      <c r="Z1279" s="441">
        <f>VLOOKUP(H1279,'Fund Utilization Report'!$A$4:$U$1800,8,FALSE)</f>
        <v>5020000000</v>
      </c>
      <c r="AA1279" s="239" t="str">
        <f>VLOOKUP(H1279,'Fund Utilization Report'!$A$4:$U$1800,14,FALSE)</f>
        <v>340100100002000</v>
      </c>
      <c r="AB1279" s="242" t="str">
        <f>VLOOKUP(H1279,'Fund Utilization Report'!$A$4:$U$1800,15,FALSE)</f>
        <v>Monitoring and Enforcement of FTL including consumer complaints handling</v>
      </c>
      <c r="AC1279" s="51"/>
      <c r="AD1279" s="435"/>
      <c r="AE1279" s="51"/>
      <c r="AF1279" s="51"/>
      <c r="AG1279" s="442"/>
      <c r="AH1279" s="442"/>
      <c r="AI1279" s="443"/>
    </row>
    <row r="1280" spans="1:35" s="32" customFormat="1">
      <c r="A1280" s="434" t="s">
        <v>942</v>
      </c>
      <c r="B1280" s="457" t="s">
        <v>946</v>
      </c>
      <c r="C1280" s="233">
        <v>44271</v>
      </c>
      <c r="D1280" s="435" t="s">
        <v>1267</v>
      </c>
      <c r="E1280" s="436" t="s">
        <v>1472</v>
      </c>
      <c r="F1280" s="338">
        <v>0.55138888888888882</v>
      </c>
      <c r="G1280" s="338">
        <v>0.55208333333333337</v>
      </c>
      <c r="H1280" s="458" t="s">
        <v>961</v>
      </c>
      <c r="I1280" s="459">
        <v>761</v>
      </c>
      <c r="J1280" s="338" t="str">
        <f>IFERROR(VLOOKUP(I1280,'Chart of accounts'!A:H,2,FALSE),"")</f>
        <v>50203090 00</v>
      </c>
      <c r="K1280" s="338" t="str">
        <f>IFERROR(VLOOKUP(I1280,'Chart of accounts'!A:H,3,FALSE),"")</f>
        <v>Fuel, Oil and Lubricants Expenses</v>
      </c>
      <c r="L1280" s="338" t="str">
        <f>IFERROR(VLOOKUP(I1280,'Chart of accounts'!A:H,4,FALSE),"")</f>
        <v>50203090 00 - Fuel, Oil and Lubricants Expenses (761)</v>
      </c>
      <c r="M1280" s="467" t="s">
        <v>816</v>
      </c>
      <c r="N1280" s="463" t="s">
        <v>810</v>
      </c>
      <c r="O1280" s="463" t="s">
        <v>1477</v>
      </c>
      <c r="P1280" s="463"/>
      <c r="Q1280" s="468">
        <v>5503.08</v>
      </c>
      <c r="R1280" s="428">
        <f t="shared" si="48"/>
        <v>-6000</v>
      </c>
      <c r="S1280" s="239" t="str">
        <f>VLOOKUP(H1280,'Fund Utilization Report'!$A$4:$U$1800,13,FALSE)</f>
        <v>MOOE</v>
      </c>
      <c r="T1280" s="239" t="str">
        <f>VLOOKUP(H1280,'Fund Utilization Report'!$A$4:$U$1800,2,FALSE)</f>
        <v>GAA</v>
      </c>
      <c r="U1280" s="239" t="str">
        <f>VLOOKUP(H1280,'Fund Utilization Report'!$A$4:$U$1800,3,FALSE)</f>
        <v>FY2021, RA11518</v>
      </c>
      <c r="V1280" s="239" t="str">
        <f>VLOOKUP(H1280,'Fund Utilization Report'!$A$4:$U$1800,4,FALSE)</f>
        <v>GAS(GMS)</v>
      </c>
      <c r="W1280" s="239" t="str">
        <f>VLOOKUP(H1280,'Fund Utilization Report'!$A$4:$U$1800,5,FALSE)</f>
        <v>01101101</v>
      </c>
      <c r="X1280" s="239" t="str">
        <f>VLOOKUP(H1280,'Fund Utilization Report'!$A$4:$U$1800,6,FALSE)</f>
        <v>GOP</v>
      </c>
      <c r="Y1280" s="440" t="str">
        <f>VLOOKUP(H1280,'Fund Utilization Report'!$A$4:$U$1800,7,FALSE)</f>
        <v>MOOE</v>
      </c>
      <c r="Z1280" s="441">
        <f>VLOOKUP(H1280,'Fund Utilization Report'!$A$4:$U$1800,8,FALSE)</f>
        <v>5020000000</v>
      </c>
      <c r="AA1280" s="239" t="str">
        <f>VLOOKUP(H1280,'Fund Utilization Report'!$A$4:$U$1800,14,FALSE)</f>
        <v>100000100001000</v>
      </c>
      <c r="AB1280" s="242" t="str">
        <f>VLOOKUP(H1280,'Fund Utilization Report'!$A$4:$U$1800,15,FALSE)</f>
        <v>General Administration and Supervision - General Management and Supervision</v>
      </c>
      <c r="AC1280" s="51"/>
      <c r="AD1280" s="435"/>
      <c r="AE1280" s="51"/>
      <c r="AF1280" s="51"/>
      <c r="AG1280" s="442"/>
      <c r="AH1280" s="442"/>
      <c r="AI1280" s="443"/>
    </row>
    <row r="1281" spans="1:35" s="32" customFormat="1" ht="27.6">
      <c r="A1281" s="434" t="s">
        <v>942</v>
      </c>
      <c r="B1281" s="457" t="s">
        <v>946</v>
      </c>
      <c r="C1281" s="233">
        <v>44271</v>
      </c>
      <c r="D1281" s="435" t="s">
        <v>1267</v>
      </c>
      <c r="E1281" s="436" t="s">
        <v>1473</v>
      </c>
      <c r="F1281" s="338">
        <v>0.56736111111111109</v>
      </c>
      <c r="G1281" s="338">
        <v>0.56874999999999998</v>
      </c>
      <c r="H1281" s="458" t="s">
        <v>961</v>
      </c>
      <c r="I1281" s="459">
        <v>781</v>
      </c>
      <c r="J1281" s="338" t="str">
        <f>IFERROR(VLOOKUP(I1281,'Chart of accounts'!A:H,2,FALSE),"")</f>
        <v>50299020 00</v>
      </c>
      <c r="K1281" s="338" t="str">
        <f>IFERROR(VLOOKUP(I1281,'Chart of accounts'!A:H,3,FALSE),"")</f>
        <v>Printing and Binding Expenses</v>
      </c>
      <c r="L1281" s="338" t="str">
        <f>IFERROR(VLOOKUP(I1281,'Chart of accounts'!A:H,4,FALSE),"")</f>
        <v>50299020 00 - Printing and Binding Expenses (781)</v>
      </c>
      <c r="M1281" s="467" t="s">
        <v>816</v>
      </c>
      <c r="N1281" s="463" t="s">
        <v>1433</v>
      </c>
      <c r="O1281" s="463" t="s">
        <v>1478</v>
      </c>
      <c r="P1281" s="463"/>
      <c r="Q1281" s="468">
        <v>920</v>
      </c>
      <c r="R1281" s="428">
        <f t="shared" si="48"/>
        <v>-12000</v>
      </c>
      <c r="S1281" s="239" t="str">
        <f>VLOOKUP(H1281,'Fund Utilization Report'!$A$4:$U$1800,13,FALSE)</f>
        <v>MOOE</v>
      </c>
      <c r="T1281" s="239" t="str">
        <f>VLOOKUP(H1281,'Fund Utilization Report'!$A$4:$U$1800,2,FALSE)</f>
        <v>GAA</v>
      </c>
      <c r="U1281" s="239" t="str">
        <f>VLOOKUP(H1281,'Fund Utilization Report'!$A$4:$U$1800,3,FALSE)</f>
        <v>FY2021, RA11518</v>
      </c>
      <c r="V1281" s="239" t="str">
        <f>VLOOKUP(H1281,'Fund Utilization Report'!$A$4:$U$1800,4,FALSE)</f>
        <v>GAS(GMS)</v>
      </c>
      <c r="W1281" s="239" t="str">
        <f>VLOOKUP(H1281,'Fund Utilization Report'!$A$4:$U$1800,5,FALSE)</f>
        <v>01101101</v>
      </c>
      <c r="X1281" s="239" t="str">
        <f>VLOOKUP(H1281,'Fund Utilization Report'!$A$4:$U$1800,6,FALSE)</f>
        <v>GOP</v>
      </c>
      <c r="Y1281" s="440" t="str">
        <f>VLOOKUP(H1281,'Fund Utilization Report'!$A$4:$U$1800,7,FALSE)</f>
        <v>MOOE</v>
      </c>
      <c r="Z1281" s="441">
        <f>VLOOKUP(H1281,'Fund Utilization Report'!$A$4:$U$1800,8,FALSE)</f>
        <v>5020000000</v>
      </c>
      <c r="AA1281" s="239" t="str">
        <f>VLOOKUP(H1281,'Fund Utilization Report'!$A$4:$U$1800,14,FALSE)</f>
        <v>100000100001000</v>
      </c>
      <c r="AB1281" s="242" t="str">
        <f>VLOOKUP(H1281,'Fund Utilization Report'!$A$4:$U$1800,15,FALSE)</f>
        <v>General Administration and Supervision - General Management and Supervision</v>
      </c>
      <c r="AC1281" s="51"/>
      <c r="AD1281" s="435"/>
      <c r="AE1281" s="51"/>
      <c r="AF1281" s="51"/>
      <c r="AG1281" s="442"/>
      <c r="AH1281" s="442"/>
      <c r="AI1281" s="443"/>
    </row>
    <row r="1282" spans="1:35" s="32" customFormat="1">
      <c r="A1282" s="434" t="s">
        <v>942</v>
      </c>
      <c r="B1282" s="457" t="s">
        <v>946</v>
      </c>
      <c r="C1282" s="233">
        <v>44271</v>
      </c>
      <c r="D1282" s="435" t="s">
        <v>1267</v>
      </c>
      <c r="E1282" s="436" t="s">
        <v>1479</v>
      </c>
      <c r="F1282" s="338">
        <v>0.7104166666666667</v>
      </c>
      <c r="G1282" s="338">
        <v>0.71111111111111114</v>
      </c>
      <c r="H1282" s="458" t="s">
        <v>961</v>
      </c>
      <c r="I1282" s="459">
        <v>783</v>
      </c>
      <c r="J1282" s="338" t="str">
        <f>IFERROR(VLOOKUP(I1282,'Chart of accounts'!A:H,2,FALSE),"")</f>
        <v>50299030 00</v>
      </c>
      <c r="K1282" s="338" t="str">
        <f>IFERROR(VLOOKUP(I1282,'Chart of accounts'!A:H,3,FALSE),"")</f>
        <v>Representation Expenses</v>
      </c>
      <c r="L1282" s="338" t="str">
        <f>IFERROR(VLOOKUP(I1282,'Chart of accounts'!A:H,4,FALSE),"")</f>
        <v>50299030 00 - Representation Expenses (783)</v>
      </c>
      <c r="M1282" s="467" t="s">
        <v>1366</v>
      </c>
      <c r="N1282" s="463" t="s">
        <v>1480</v>
      </c>
      <c r="O1282" s="463" t="s">
        <v>1481</v>
      </c>
      <c r="P1282" s="463"/>
      <c r="Q1282" s="468">
        <v>2486</v>
      </c>
      <c r="R1282" s="428">
        <f t="shared" si="48"/>
        <v>-6000</v>
      </c>
      <c r="S1282" s="239" t="str">
        <f>VLOOKUP(H1282,'Fund Utilization Report'!$A$4:$U$1800,13,FALSE)</f>
        <v>MOOE</v>
      </c>
      <c r="T1282" s="239" t="str">
        <f>VLOOKUP(H1282,'Fund Utilization Report'!$A$4:$U$1800,2,FALSE)</f>
        <v>GAA</v>
      </c>
      <c r="U1282" s="239" t="str">
        <f>VLOOKUP(H1282,'Fund Utilization Report'!$A$4:$U$1800,3,FALSE)</f>
        <v>FY2021, RA11518</v>
      </c>
      <c r="V1282" s="239" t="str">
        <f>VLOOKUP(H1282,'Fund Utilization Report'!$A$4:$U$1800,4,FALSE)</f>
        <v>GAS(GMS)</v>
      </c>
      <c r="W1282" s="239" t="str">
        <f>VLOOKUP(H1282,'Fund Utilization Report'!$A$4:$U$1800,5,FALSE)</f>
        <v>01101101</v>
      </c>
      <c r="X1282" s="239" t="str">
        <f>VLOOKUP(H1282,'Fund Utilization Report'!$A$4:$U$1800,6,FALSE)</f>
        <v>GOP</v>
      </c>
      <c r="Y1282" s="440" t="str">
        <f>VLOOKUP(H1282,'Fund Utilization Report'!$A$4:$U$1800,7,FALSE)</f>
        <v>MOOE</v>
      </c>
      <c r="Z1282" s="441">
        <f>VLOOKUP(H1282,'Fund Utilization Report'!$A$4:$U$1800,8,FALSE)</f>
        <v>5020000000</v>
      </c>
      <c r="AA1282" s="239" t="str">
        <f>VLOOKUP(H1282,'Fund Utilization Report'!$A$4:$U$1800,14,FALSE)</f>
        <v>100000100001000</v>
      </c>
      <c r="AB1282" s="242" t="str">
        <f>VLOOKUP(H1282,'Fund Utilization Report'!$A$4:$U$1800,15,FALSE)</f>
        <v>General Administration and Supervision - General Management and Supervision</v>
      </c>
      <c r="AC1282" s="51"/>
      <c r="AD1282" s="435"/>
      <c r="AE1282" s="51"/>
      <c r="AF1282" s="51"/>
      <c r="AG1282" s="442"/>
      <c r="AH1282" s="442"/>
      <c r="AI1282" s="443"/>
    </row>
    <row r="1283" spans="1:35" s="32" customFormat="1" ht="27.6">
      <c r="A1283" s="434" t="s">
        <v>942</v>
      </c>
      <c r="B1283" s="457" t="s">
        <v>946</v>
      </c>
      <c r="C1283" s="233">
        <v>44271</v>
      </c>
      <c r="D1283" s="435" t="s">
        <v>1267</v>
      </c>
      <c r="E1283" s="436" t="s">
        <v>1482</v>
      </c>
      <c r="F1283" s="338">
        <v>0.71111111111111114</v>
      </c>
      <c r="G1283" s="338">
        <v>0.71180555555555547</v>
      </c>
      <c r="H1283" s="458" t="s">
        <v>971</v>
      </c>
      <c r="I1283" s="459">
        <v>773</v>
      </c>
      <c r="J1283" s="338" t="str">
        <f>IFERROR(VLOOKUP(I1283,'Chart of accounts'!A:H,2,FALSE),"")</f>
        <v>50205020 01</v>
      </c>
      <c r="K1283" s="338" t="str">
        <f>IFERROR(VLOOKUP(I1283,'Chart of accounts'!A:H,3,FALSE),"")</f>
        <v xml:space="preserve">Telephone Expenses - Mobile </v>
      </c>
      <c r="L1283" s="338" t="str">
        <f>IFERROR(VLOOKUP(I1283,'Chart of accounts'!A:H,4,FALSE),"")</f>
        <v>50205020 01 - Telephone Expenses - Mobile  (773)</v>
      </c>
      <c r="M1283" s="467" t="s">
        <v>813</v>
      </c>
      <c r="N1283" s="463" t="s">
        <v>1102</v>
      </c>
      <c r="O1283" s="463" t="s">
        <v>1483</v>
      </c>
      <c r="P1283" s="463"/>
      <c r="Q1283" s="468">
        <v>1200</v>
      </c>
      <c r="R1283" s="428">
        <f t="shared" si="48"/>
        <v>-18000</v>
      </c>
      <c r="S1283" s="239" t="str">
        <f>VLOOKUP(H1283,'Fund Utilization Report'!$A$4:$U$1800,13,FALSE)</f>
        <v>MOOE</v>
      </c>
      <c r="T1283" s="239" t="str">
        <f>VLOOKUP(H1283,'Fund Utilization Report'!$A$4:$U$1800,2,FALSE)</f>
        <v>GAA</v>
      </c>
      <c r="U1283" s="239" t="str">
        <f>VLOOKUP(H1283,'Fund Utilization Report'!$A$4:$U$1800,3,FALSE)</f>
        <v>FY2021, RA11518</v>
      </c>
      <c r="V1283" s="239" t="str">
        <f>VLOOKUP(H1283,'Fund Utilization Report'!$A$4:$U$1800,4,FALSE)</f>
        <v>OO3</v>
      </c>
      <c r="W1283" s="239" t="str">
        <f>VLOOKUP(H1283,'Fund Utilization Report'!$A$4:$U$1800,5,FALSE)</f>
        <v>01101101</v>
      </c>
      <c r="X1283" s="239" t="str">
        <f>VLOOKUP(H1283,'Fund Utilization Report'!$A$4:$U$1800,6,FALSE)</f>
        <v>GOP</v>
      </c>
      <c r="Y1283" s="440" t="str">
        <f>VLOOKUP(H1283,'Fund Utilization Report'!$A$4:$U$1800,7,FALSE)</f>
        <v>MOOE</v>
      </c>
      <c r="Z1283" s="441">
        <f>VLOOKUP(H1283,'Fund Utilization Report'!$A$4:$U$1800,8,FALSE)</f>
        <v>5020000000</v>
      </c>
      <c r="AA1283" s="239" t="str">
        <f>VLOOKUP(H1283,'Fund Utilization Report'!$A$4:$U$1800,14,FALSE)</f>
        <v>330100100002000</v>
      </c>
      <c r="AB1283" s="242" t="str">
        <f>VLOOKUP(H1283,'Fund Utilization Report'!$A$4:$U$1800,15,FALSE)</f>
        <v>Implementation of the MSME Development Plan and other initiatives to promote the growth of Micro, Small and Medium Enterprises</v>
      </c>
      <c r="AC1283" s="51"/>
      <c r="AD1283" s="435"/>
      <c r="AE1283" s="51"/>
      <c r="AF1283" s="51"/>
      <c r="AG1283" s="442"/>
      <c r="AH1283" s="442"/>
      <c r="AI1283" s="443"/>
    </row>
    <row r="1284" spans="1:35" s="32" customFormat="1">
      <c r="A1284" s="434" t="s">
        <v>942</v>
      </c>
      <c r="B1284" s="457" t="s">
        <v>946</v>
      </c>
      <c r="C1284" s="233">
        <v>44271</v>
      </c>
      <c r="D1284" s="435" t="s">
        <v>1267</v>
      </c>
      <c r="E1284" s="436" t="s">
        <v>1484</v>
      </c>
      <c r="F1284" s="338">
        <v>0.71180555555555547</v>
      </c>
      <c r="G1284" s="338">
        <v>0.71250000000000002</v>
      </c>
      <c r="H1284" s="458" t="s">
        <v>961</v>
      </c>
      <c r="I1284" s="459">
        <v>795</v>
      </c>
      <c r="J1284" s="338" t="str">
        <f>IFERROR(VLOOKUP(I1284,'Chart of accounts'!A:H,2,FALSE),"")</f>
        <v>50212990 00</v>
      </c>
      <c r="K1284" s="338" t="str">
        <f>IFERROR(VLOOKUP(I1284,'Chart of accounts'!A:H,3,FALSE),"")</f>
        <v>Other General Services</v>
      </c>
      <c r="L1284" s="338" t="str">
        <f>IFERROR(VLOOKUP(I1284,'Chart of accounts'!A:H,4,FALSE),"")</f>
        <v>50212990 00 - Other General Services (795)</v>
      </c>
      <c r="M1284" s="467" t="s">
        <v>812</v>
      </c>
      <c r="N1284" s="463" t="s">
        <v>1075</v>
      </c>
      <c r="O1284" s="463" t="s">
        <v>1476</v>
      </c>
      <c r="P1284" s="463"/>
      <c r="Q1284" s="468">
        <v>5534</v>
      </c>
      <c r="R1284" s="428">
        <f t="shared" si="48"/>
        <v>-12000</v>
      </c>
      <c r="S1284" s="239" t="str">
        <f>VLOOKUP(H1284,'Fund Utilization Report'!$A$4:$U$1800,13,FALSE)</f>
        <v>MOOE</v>
      </c>
      <c r="T1284" s="239" t="str">
        <f>VLOOKUP(H1284,'Fund Utilization Report'!$A$4:$U$1800,2,FALSE)</f>
        <v>GAA</v>
      </c>
      <c r="U1284" s="239" t="str">
        <f>VLOOKUP(H1284,'Fund Utilization Report'!$A$4:$U$1800,3,FALSE)</f>
        <v>FY2021, RA11518</v>
      </c>
      <c r="V1284" s="239" t="str">
        <f>VLOOKUP(H1284,'Fund Utilization Report'!$A$4:$U$1800,4,FALSE)</f>
        <v>GAS(GMS)</v>
      </c>
      <c r="W1284" s="239" t="str">
        <f>VLOOKUP(H1284,'Fund Utilization Report'!$A$4:$U$1800,5,FALSE)</f>
        <v>01101101</v>
      </c>
      <c r="X1284" s="239" t="str">
        <f>VLOOKUP(H1284,'Fund Utilization Report'!$A$4:$U$1800,6,FALSE)</f>
        <v>GOP</v>
      </c>
      <c r="Y1284" s="440" t="str">
        <f>VLOOKUP(H1284,'Fund Utilization Report'!$A$4:$U$1800,7,FALSE)</f>
        <v>MOOE</v>
      </c>
      <c r="Z1284" s="441">
        <f>VLOOKUP(H1284,'Fund Utilization Report'!$A$4:$U$1800,8,FALSE)</f>
        <v>5020000000</v>
      </c>
      <c r="AA1284" s="239" t="str">
        <f>VLOOKUP(H1284,'Fund Utilization Report'!$A$4:$U$1800,14,FALSE)</f>
        <v>100000100001000</v>
      </c>
      <c r="AB1284" s="242" t="str">
        <f>VLOOKUP(H1284,'Fund Utilization Report'!$A$4:$U$1800,15,FALSE)</f>
        <v>General Administration and Supervision - General Management and Supervision</v>
      </c>
      <c r="AC1284" s="51"/>
      <c r="AD1284" s="435"/>
      <c r="AE1284" s="51"/>
      <c r="AF1284" s="51"/>
      <c r="AG1284" s="442"/>
      <c r="AH1284" s="442"/>
      <c r="AI1284" s="443"/>
    </row>
    <row r="1285" spans="1:35" s="32" customFormat="1">
      <c r="A1285" s="434" t="s">
        <v>942</v>
      </c>
      <c r="B1285" s="457" t="s">
        <v>946</v>
      </c>
      <c r="C1285" s="233">
        <v>44271</v>
      </c>
      <c r="D1285" s="435" t="s">
        <v>1267</v>
      </c>
      <c r="E1285" s="436" t="s">
        <v>1484</v>
      </c>
      <c r="F1285" s="338">
        <v>0.71180555555555547</v>
      </c>
      <c r="G1285" s="338">
        <v>0.71250000000000002</v>
      </c>
      <c r="H1285" s="458" t="s">
        <v>961</v>
      </c>
      <c r="I1285" s="459">
        <v>795</v>
      </c>
      <c r="J1285" s="338" t="str">
        <f>IFERROR(VLOOKUP(I1285,'Chart of accounts'!A:H,2,FALSE),"")</f>
        <v>50212990 00</v>
      </c>
      <c r="K1285" s="338" t="str">
        <f>IFERROR(VLOOKUP(I1285,'Chart of accounts'!A:H,3,FALSE),"")</f>
        <v>Other General Services</v>
      </c>
      <c r="L1285" s="338" t="str">
        <f>IFERROR(VLOOKUP(I1285,'Chart of accounts'!A:H,4,FALSE),"")</f>
        <v>50212990 00 - Other General Services (795)</v>
      </c>
      <c r="M1285" s="361" t="s">
        <v>812</v>
      </c>
      <c r="N1285" s="463" t="s">
        <v>1075</v>
      </c>
      <c r="O1285" s="463" t="s">
        <v>1476</v>
      </c>
      <c r="P1285" s="355"/>
      <c r="Q1285" s="363">
        <v>7500</v>
      </c>
      <c r="R1285" s="428">
        <f t="shared" ref="R1285:R1296" si="49">P1285-Q1285</f>
        <v>-7500</v>
      </c>
      <c r="S1285" s="239" t="str">
        <f>VLOOKUP(H1285,'Fund Utilization Report'!$A$4:$U$1800,13,FALSE)</f>
        <v>MOOE</v>
      </c>
      <c r="T1285" s="239" t="str">
        <f>VLOOKUP(H1285,'Fund Utilization Report'!$A$4:$U$1800,2,FALSE)</f>
        <v>GAA</v>
      </c>
      <c r="U1285" s="239" t="str">
        <f>VLOOKUP(H1285,'Fund Utilization Report'!$A$4:$U$1800,3,FALSE)</f>
        <v>FY2021, RA11518</v>
      </c>
      <c r="V1285" s="239" t="str">
        <f>VLOOKUP(H1285,'Fund Utilization Report'!$A$4:$U$1800,4,FALSE)</f>
        <v>GAS(GMS)</v>
      </c>
      <c r="W1285" s="239" t="str">
        <f>VLOOKUP(H1285,'Fund Utilization Report'!$A$4:$U$1800,5,FALSE)</f>
        <v>01101101</v>
      </c>
      <c r="X1285" s="239" t="str">
        <f>VLOOKUP(H1285,'Fund Utilization Report'!$A$4:$U$1800,6,FALSE)</f>
        <v>GOP</v>
      </c>
      <c r="Y1285" s="440" t="str">
        <f>VLOOKUP(H1285,'Fund Utilization Report'!$A$4:$U$1800,7,FALSE)</f>
        <v>MOOE</v>
      </c>
      <c r="Z1285" s="441">
        <f>VLOOKUP(H1285,'Fund Utilization Report'!$A$4:$U$1800,8,FALSE)</f>
        <v>5020000000</v>
      </c>
      <c r="AA1285" s="239" t="str">
        <f>VLOOKUP(H1285,'Fund Utilization Report'!$A$4:$U$1800,14,FALSE)</f>
        <v>100000100001000</v>
      </c>
      <c r="AB1285" s="242" t="str">
        <f>VLOOKUP(H1285,'Fund Utilization Report'!$A$4:$U$1800,15,FALSE)</f>
        <v>General Administration and Supervision - General Management and Supervision</v>
      </c>
      <c r="AC1285" s="51"/>
      <c r="AD1285" s="435"/>
      <c r="AE1285" s="51"/>
      <c r="AF1285" s="51"/>
      <c r="AG1285" s="442"/>
      <c r="AH1285" s="442"/>
      <c r="AI1285" s="443"/>
    </row>
    <row r="1286" spans="1:35" s="32" customFormat="1">
      <c r="A1286" s="434" t="s">
        <v>942</v>
      </c>
      <c r="B1286" s="457" t="s">
        <v>946</v>
      </c>
      <c r="C1286" s="233">
        <v>44271</v>
      </c>
      <c r="D1286" s="435" t="s">
        <v>1267</v>
      </c>
      <c r="E1286" s="436" t="s">
        <v>1485</v>
      </c>
      <c r="F1286" s="338">
        <v>0.71250000000000002</v>
      </c>
      <c r="G1286" s="338">
        <v>0.71458333333333324</v>
      </c>
      <c r="H1286" s="338" t="s">
        <v>982</v>
      </c>
      <c r="I1286" s="353">
        <v>799</v>
      </c>
      <c r="J1286" s="338" t="str">
        <f>IFERROR(VLOOKUP(I1286,'Chart of accounts'!A:H,2,FALSE),"")</f>
        <v>50211990 00</v>
      </c>
      <c r="K1286" s="338" t="str">
        <f>IFERROR(VLOOKUP(I1286,'Chart of accounts'!A:H,3,FALSE),"")</f>
        <v>Other Professional Services</v>
      </c>
      <c r="L1286" s="338" t="str">
        <f>IFERROR(VLOOKUP(I1286,'Chart of accounts'!A:H,4,FALSE),"")</f>
        <v>50211990 00 - Other Professional Services (799)</v>
      </c>
      <c r="M1286" s="361" t="s">
        <v>905</v>
      </c>
      <c r="N1286" s="463" t="s">
        <v>1075</v>
      </c>
      <c r="O1286" s="463" t="s">
        <v>1476</v>
      </c>
      <c r="P1286" s="355"/>
      <c r="Q1286" s="363">
        <v>11158</v>
      </c>
      <c r="R1286" s="428">
        <f t="shared" si="49"/>
        <v>-11158</v>
      </c>
      <c r="S1286" s="239" t="str">
        <f>VLOOKUP(H1286,'Fund Utilization Report'!$A$4:$U$1800,13,FALSE)</f>
        <v>MOOE</v>
      </c>
      <c r="T1286" s="239" t="str">
        <f>VLOOKUP(H1286,'Fund Utilization Report'!$A$4:$U$1800,2,FALSE)</f>
        <v>GAA</v>
      </c>
      <c r="U1286" s="239" t="str">
        <f>VLOOKUP(H1286,'Fund Utilization Report'!$A$4:$U$1800,3,FALSE)</f>
        <v>FY2021, RA11518</v>
      </c>
      <c r="V1286" s="239" t="str">
        <f>VLOOKUP(H1286,'Fund Utilization Report'!$A$4:$U$1800,4,FALSE)</f>
        <v>OTOP</v>
      </c>
      <c r="W1286" s="239" t="str">
        <f>VLOOKUP(H1286,'Fund Utilization Report'!$A$4:$U$1800,5,FALSE)</f>
        <v>01101101</v>
      </c>
      <c r="X1286" s="239" t="str">
        <f>VLOOKUP(H1286,'Fund Utilization Report'!$A$4:$U$1800,6,FALSE)</f>
        <v>GOP</v>
      </c>
      <c r="Y1286" s="440" t="str">
        <f>VLOOKUP(H1286,'Fund Utilization Report'!$A$4:$U$1800,7,FALSE)</f>
        <v>MOOE</v>
      </c>
      <c r="Z1286" s="441">
        <f>VLOOKUP(H1286,'Fund Utilization Report'!$A$4:$U$1800,8,FALSE)</f>
        <v>5020000000</v>
      </c>
      <c r="AA1286" s="239" t="str">
        <f>VLOOKUP(H1286,'Fund Utilization Report'!$A$4:$U$1800,14,FALSE)</f>
        <v>330100200002000</v>
      </c>
      <c r="AB1286" s="242" t="str">
        <f>VLOOKUP(H1286,'Fund Utilization Report'!$A$4:$U$1800,15,FALSE)</f>
        <v>OTOP - Next Generation</v>
      </c>
      <c r="AC1286" s="51"/>
      <c r="AD1286" s="435"/>
      <c r="AE1286" s="51"/>
      <c r="AF1286" s="51"/>
      <c r="AG1286" s="442"/>
      <c r="AH1286" s="442"/>
      <c r="AI1286" s="443"/>
    </row>
    <row r="1287" spans="1:35" s="32" customFormat="1">
      <c r="A1287" s="434" t="s">
        <v>942</v>
      </c>
      <c r="B1287" s="457" t="s">
        <v>946</v>
      </c>
      <c r="C1287" s="233">
        <v>44271</v>
      </c>
      <c r="D1287" s="435" t="s">
        <v>1267</v>
      </c>
      <c r="E1287" s="436" t="s">
        <v>1485</v>
      </c>
      <c r="F1287" s="338">
        <v>0.71250000000000002</v>
      </c>
      <c r="G1287" s="338">
        <v>0.71458333333333324</v>
      </c>
      <c r="H1287" s="338" t="s">
        <v>985</v>
      </c>
      <c r="I1287" s="353">
        <v>799</v>
      </c>
      <c r="J1287" s="338" t="str">
        <f>IFERROR(VLOOKUP(I1287,'Chart of accounts'!A:H,2,FALSE),"")</f>
        <v>50211990 00</v>
      </c>
      <c r="K1287" s="338" t="str">
        <f>IFERROR(VLOOKUP(I1287,'Chart of accounts'!A:H,3,FALSE),"")</f>
        <v>Other Professional Services</v>
      </c>
      <c r="L1287" s="338" t="str">
        <f>IFERROR(VLOOKUP(I1287,'Chart of accounts'!A:H,4,FALSE),"")</f>
        <v>50211990 00 - Other Professional Services (799)</v>
      </c>
      <c r="M1287" s="361" t="s">
        <v>7</v>
      </c>
      <c r="N1287" s="463" t="s">
        <v>1075</v>
      </c>
      <c r="O1287" s="463" t="s">
        <v>1476</v>
      </c>
      <c r="P1287" s="355"/>
      <c r="Q1287" s="363">
        <v>10143.64</v>
      </c>
      <c r="R1287" s="428">
        <f t="shared" si="49"/>
        <v>-10143.64</v>
      </c>
      <c r="S1287" s="239" t="str">
        <f>VLOOKUP(H1287,'Fund Utilization Report'!$A$4:$U$1800,13,FALSE)</f>
        <v>MOOE</v>
      </c>
      <c r="T1287" s="239" t="str">
        <f>VLOOKUP(H1287,'Fund Utilization Report'!$A$4:$U$1800,2,FALSE)</f>
        <v>GAA</v>
      </c>
      <c r="U1287" s="239" t="str">
        <f>VLOOKUP(H1287,'Fund Utilization Report'!$A$4:$U$1800,3,FALSE)</f>
        <v>FY2021, RA11518</v>
      </c>
      <c r="V1287" s="239" t="str">
        <f>VLOOKUP(H1287,'Fund Utilization Report'!$A$4:$U$1800,4,FALSE)</f>
        <v>LSP-PBG</v>
      </c>
      <c r="W1287" s="239" t="str">
        <f>VLOOKUP(H1287,'Fund Utilization Report'!$A$4:$U$1800,5,FALSE)</f>
        <v>01101101</v>
      </c>
      <c r="X1287" s="239" t="str">
        <f>VLOOKUP(H1287,'Fund Utilization Report'!$A$4:$U$1800,6,FALSE)</f>
        <v>GOP</v>
      </c>
      <c r="Y1287" s="440" t="str">
        <f>VLOOKUP(H1287,'Fund Utilization Report'!$A$4:$U$1800,7,FALSE)</f>
        <v>MOOE</v>
      </c>
      <c r="Z1287" s="441">
        <f>VLOOKUP(H1287,'Fund Utilization Report'!$A$4:$U$1800,8,FALSE)</f>
        <v>5020000000</v>
      </c>
      <c r="AA1287" s="239" t="str">
        <f>VLOOKUP(H1287,'Fund Utilization Report'!$A$4:$U$1800,14,FALSE)</f>
        <v>330100200004000</v>
      </c>
      <c r="AB1287" s="242" t="str">
        <f>VLOOKUP(H1287,'Fund Utilization Report'!$A$4:$U$1800,15,FALSE)</f>
        <v>MSME Development Program : Livelihood Seeding Program and Pangkabuhayan sa Pagbangon at Ginhawa</v>
      </c>
      <c r="AC1287" s="51"/>
      <c r="AD1287" s="435"/>
      <c r="AE1287" s="51"/>
      <c r="AF1287" s="51"/>
      <c r="AG1287" s="442"/>
      <c r="AH1287" s="442"/>
      <c r="AI1287" s="443"/>
    </row>
    <row r="1288" spans="1:35" s="32" customFormat="1" ht="27.6">
      <c r="A1288" s="434" t="s">
        <v>942</v>
      </c>
      <c r="B1288" s="457" t="s">
        <v>946</v>
      </c>
      <c r="C1288" s="233">
        <v>44271</v>
      </c>
      <c r="D1288" s="435" t="s">
        <v>1267</v>
      </c>
      <c r="E1288" s="436" t="s">
        <v>1486</v>
      </c>
      <c r="F1288" s="338">
        <v>0.71458333333333324</v>
      </c>
      <c r="G1288" s="338">
        <v>0.71666666666666667</v>
      </c>
      <c r="H1288" s="338" t="s">
        <v>977</v>
      </c>
      <c r="I1288" s="353">
        <v>773</v>
      </c>
      <c r="J1288" s="338" t="str">
        <f>IFERROR(VLOOKUP(I1288,'Chart of accounts'!A:H,2,FALSE),"")</f>
        <v>50205020 01</v>
      </c>
      <c r="K1288" s="338" t="str">
        <f>IFERROR(VLOOKUP(I1288,'Chart of accounts'!A:H,3,FALSE),"")</f>
        <v xml:space="preserve">Telephone Expenses - Mobile </v>
      </c>
      <c r="L1288" s="338" t="str">
        <f>IFERROR(VLOOKUP(I1288,'Chart of accounts'!A:H,4,FALSE),"")</f>
        <v>50205020 01 - Telephone Expenses - Mobile  (773)</v>
      </c>
      <c r="M1288" s="361" t="s">
        <v>815</v>
      </c>
      <c r="N1288" s="355" t="s">
        <v>1102</v>
      </c>
      <c r="O1288" s="463" t="s">
        <v>1487</v>
      </c>
      <c r="P1288" s="355"/>
      <c r="Q1288" s="363">
        <v>1200</v>
      </c>
      <c r="R1288" s="428">
        <f t="shared" si="49"/>
        <v>-1200</v>
      </c>
      <c r="S1288" s="239" t="str">
        <f>VLOOKUP(H1288,'Fund Utilization Report'!$A$4:$U$1800,13,FALSE)</f>
        <v>MOOE</v>
      </c>
      <c r="T1288" s="239" t="str">
        <f>VLOOKUP(H1288,'Fund Utilization Report'!$A$4:$U$1800,2,FALSE)</f>
        <v>GAA</v>
      </c>
      <c r="U1288" s="239" t="str">
        <f>VLOOKUP(H1288,'Fund Utilization Report'!$A$4:$U$1800,3,FALSE)</f>
        <v>FY2021, RA11518</v>
      </c>
      <c r="V1288" s="239" t="str">
        <f>VLOOKUP(H1288,'Fund Utilization Report'!$A$4:$U$1800,4,FALSE)</f>
        <v>OO4.1(Acc)</v>
      </c>
      <c r="W1288" s="239" t="str">
        <f>VLOOKUP(H1288,'Fund Utilization Report'!$A$4:$U$1800,5,FALSE)</f>
        <v>01101101</v>
      </c>
      <c r="X1288" s="239" t="str">
        <f>VLOOKUP(H1288,'Fund Utilization Report'!$A$4:$U$1800,6,FALSE)</f>
        <v>GOP</v>
      </c>
      <c r="Y1288" s="440" t="str">
        <f>VLOOKUP(H1288,'Fund Utilization Report'!$A$4:$U$1800,7,FALSE)</f>
        <v>MOOE</v>
      </c>
      <c r="Z1288" s="441">
        <f>VLOOKUP(H1288,'Fund Utilization Report'!$A$4:$U$1800,8,FALSE)</f>
        <v>5020000000</v>
      </c>
      <c r="AA1288" s="239" t="str">
        <f>VLOOKUP(H1288,'Fund Utilization Report'!$A$4:$U$1800,14,FALSE)</f>
        <v>340100100003000</v>
      </c>
      <c r="AB1288" s="242" t="str">
        <f>VLOOKUP(H1288,'Fund Utilization Report'!$A$4:$U$1800,15,FALSE)</f>
        <v>Accreditation and Issuance of Business Licenses, Permits, registration and authorities</v>
      </c>
      <c r="AC1288" s="51"/>
      <c r="AD1288" s="435"/>
      <c r="AE1288" s="51"/>
      <c r="AF1288" s="51"/>
      <c r="AG1288" s="442"/>
      <c r="AH1288" s="442"/>
      <c r="AI1288" s="443"/>
    </row>
    <row r="1289" spans="1:35" s="32" customFormat="1" ht="27.6">
      <c r="A1289" s="434" t="s">
        <v>942</v>
      </c>
      <c r="B1289" s="457" t="s">
        <v>946</v>
      </c>
      <c r="C1289" s="233">
        <v>44271</v>
      </c>
      <c r="D1289" s="435" t="s">
        <v>1267</v>
      </c>
      <c r="E1289" s="436" t="s">
        <v>1488</v>
      </c>
      <c r="F1289" s="338">
        <v>0.3972222222222222</v>
      </c>
      <c r="G1289" s="338">
        <v>0.3979166666666667</v>
      </c>
      <c r="H1289" s="338" t="s">
        <v>968</v>
      </c>
      <c r="I1289" s="353">
        <v>783</v>
      </c>
      <c r="J1289" s="338" t="str">
        <f>IFERROR(VLOOKUP(I1289,'Chart of accounts'!A:H,2,FALSE),"")</f>
        <v>50299030 00</v>
      </c>
      <c r="K1289" s="338" t="str">
        <f>IFERROR(VLOOKUP(I1289,'Chart of accounts'!A:H,3,FALSE),"")</f>
        <v>Representation Expenses</v>
      </c>
      <c r="L1289" s="338" t="str">
        <f>IFERROR(VLOOKUP(I1289,'Chart of accounts'!A:H,4,FALSE),"")</f>
        <v>50299030 00 - Representation Expenses (783)</v>
      </c>
      <c r="M1289" s="361" t="s">
        <v>1011</v>
      </c>
      <c r="N1289" s="355" t="s">
        <v>800</v>
      </c>
      <c r="O1289" s="355" t="s">
        <v>1489</v>
      </c>
      <c r="P1289" s="355"/>
      <c r="Q1289" s="363">
        <v>1500</v>
      </c>
      <c r="R1289" s="428">
        <f t="shared" si="49"/>
        <v>-1500</v>
      </c>
      <c r="S1289" s="239" t="str">
        <f>VLOOKUP(H1289,'Fund Utilization Report'!$A$4:$U$1800,13,FALSE)</f>
        <v>MOOE</v>
      </c>
      <c r="T1289" s="239" t="str">
        <f>VLOOKUP(H1289,'Fund Utilization Report'!$A$4:$U$1800,2,FALSE)</f>
        <v>GAA</v>
      </c>
      <c r="U1289" s="239" t="str">
        <f>VLOOKUP(H1289,'Fund Utilization Report'!$A$4:$U$1800,3,FALSE)</f>
        <v>FY2021, RA11518</v>
      </c>
      <c r="V1289" s="239" t="str">
        <f>VLOOKUP(H1289,'Fund Utilization Report'!$A$4:$U$1800,4,FALSE)</f>
        <v>OO2</v>
      </c>
      <c r="W1289" s="239" t="str">
        <f>VLOOKUP(H1289,'Fund Utilization Report'!$A$4:$U$1800,5,FALSE)</f>
        <v>01101101</v>
      </c>
      <c r="X1289" s="239" t="str">
        <f>VLOOKUP(H1289,'Fund Utilization Report'!$A$4:$U$1800,6,FALSE)</f>
        <v>GOP</v>
      </c>
      <c r="Y1289" s="440" t="str">
        <f>VLOOKUP(H1289,'Fund Utilization Report'!$A$4:$U$1800,7,FALSE)</f>
        <v>MOOE</v>
      </c>
      <c r="Z1289" s="441">
        <f>VLOOKUP(H1289,'Fund Utilization Report'!$A$4:$U$1800,8,FALSE)</f>
        <v>5020000000</v>
      </c>
      <c r="AA1289" s="239" t="str">
        <f>VLOOKUP(H1289,'Fund Utilization Report'!$A$4:$U$1800,14,FALSE)</f>
        <v>320100100001000</v>
      </c>
      <c r="AB1289" s="242" t="str">
        <f>VLOOKUP(H1289,'Fund Utilization Report'!$A$4:$U$1800,15,FALSE)</f>
        <v>Formulation of Strategic plans,programs, and policies to develop competitve industries</v>
      </c>
      <c r="AC1289" s="51"/>
      <c r="AD1289" s="435"/>
      <c r="AE1289" s="51"/>
      <c r="AF1289" s="51"/>
      <c r="AG1289" s="442"/>
      <c r="AH1289" s="442"/>
      <c r="AI1289" s="443"/>
    </row>
    <row r="1290" spans="1:35" s="32" customFormat="1" ht="27.6">
      <c r="A1290" s="434" t="s">
        <v>942</v>
      </c>
      <c r="B1290" s="457" t="s">
        <v>946</v>
      </c>
      <c r="C1290" s="233">
        <v>44271</v>
      </c>
      <c r="D1290" s="435" t="s">
        <v>1267</v>
      </c>
      <c r="E1290" s="436" t="s">
        <v>1490</v>
      </c>
      <c r="F1290" s="338">
        <v>0.3979166666666667</v>
      </c>
      <c r="G1290" s="338">
        <v>0.39930555555555558</v>
      </c>
      <c r="H1290" s="338" t="s">
        <v>961</v>
      </c>
      <c r="I1290" s="353">
        <v>783</v>
      </c>
      <c r="J1290" s="338" t="str">
        <f>IFERROR(VLOOKUP(I1290,'Chart of accounts'!A:H,2,FALSE),"")</f>
        <v>50299030 00</v>
      </c>
      <c r="K1290" s="338" t="str">
        <f>IFERROR(VLOOKUP(I1290,'Chart of accounts'!A:H,3,FALSE),"")</f>
        <v>Representation Expenses</v>
      </c>
      <c r="L1290" s="338" t="str">
        <f>IFERROR(VLOOKUP(I1290,'Chart of accounts'!A:H,4,FALSE),"")</f>
        <v>50299030 00 - Representation Expenses (783)</v>
      </c>
      <c r="M1290" s="361" t="s">
        <v>1366</v>
      </c>
      <c r="N1290" s="355" t="s">
        <v>798</v>
      </c>
      <c r="O1290" s="355" t="s">
        <v>1491</v>
      </c>
      <c r="P1290" s="355"/>
      <c r="Q1290" s="363">
        <v>350</v>
      </c>
      <c r="R1290" s="428">
        <f t="shared" si="49"/>
        <v>-350</v>
      </c>
      <c r="S1290" s="239" t="str">
        <f>VLOOKUP(H1290,'Fund Utilization Report'!$A$4:$U$1800,13,FALSE)</f>
        <v>MOOE</v>
      </c>
      <c r="T1290" s="239" t="str">
        <f>VLOOKUP(H1290,'Fund Utilization Report'!$A$4:$U$1800,2,FALSE)</f>
        <v>GAA</v>
      </c>
      <c r="U1290" s="239" t="str">
        <f>VLOOKUP(H1290,'Fund Utilization Report'!$A$4:$U$1800,3,FALSE)</f>
        <v>FY2021, RA11518</v>
      </c>
      <c r="V1290" s="239" t="str">
        <f>VLOOKUP(H1290,'Fund Utilization Report'!$A$4:$U$1800,4,FALSE)</f>
        <v>GAS(GMS)</v>
      </c>
      <c r="W1290" s="239" t="str">
        <f>VLOOKUP(H1290,'Fund Utilization Report'!$A$4:$U$1800,5,FALSE)</f>
        <v>01101101</v>
      </c>
      <c r="X1290" s="239" t="str">
        <f>VLOOKUP(H1290,'Fund Utilization Report'!$A$4:$U$1800,6,FALSE)</f>
        <v>GOP</v>
      </c>
      <c r="Y1290" s="440" t="str">
        <f>VLOOKUP(H1290,'Fund Utilization Report'!$A$4:$U$1800,7,FALSE)</f>
        <v>MOOE</v>
      </c>
      <c r="Z1290" s="441">
        <f>VLOOKUP(H1290,'Fund Utilization Report'!$A$4:$U$1800,8,FALSE)</f>
        <v>5020000000</v>
      </c>
      <c r="AA1290" s="239" t="str">
        <f>VLOOKUP(H1290,'Fund Utilization Report'!$A$4:$U$1800,14,FALSE)</f>
        <v>100000100001000</v>
      </c>
      <c r="AB1290" s="242" t="str">
        <f>VLOOKUP(H1290,'Fund Utilization Report'!$A$4:$U$1800,15,FALSE)</f>
        <v>General Administration and Supervision - General Management and Supervision</v>
      </c>
      <c r="AC1290" s="51"/>
      <c r="AD1290" s="435"/>
      <c r="AE1290" s="51"/>
      <c r="AF1290" s="51"/>
      <c r="AG1290" s="442"/>
      <c r="AH1290" s="442"/>
      <c r="AI1290" s="443"/>
    </row>
    <row r="1291" spans="1:35" s="32" customFormat="1" ht="27.6">
      <c r="A1291" s="434" t="s">
        <v>942</v>
      </c>
      <c r="B1291" s="457" t="s">
        <v>946</v>
      </c>
      <c r="C1291" s="233">
        <v>44271</v>
      </c>
      <c r="D1291" s="435" t="s">
        <v>1267</v>
      </c>
      <c r="E1291" s="436" t="s">
        <v>1492</v>
      </c>
      <c r="F1291" s="338">
        <v>0.39930555555555558</v>
      </c>
      <c r="G1291" s="338">
        <v>0.40138888888888885</v>
      </c>
      <c r="H1291" s="338" t="s">
        <v>961</v>
      </c>
      <c r="I1291" s="353">
        <v>783</v>
      </c>
      <c r="J1291" s="338" t="str">
        <f>IFERROR(VLOOKUP(I1291,'Chart of accounts'!A:H,2,FALSE),"")</f>
        <v>50299030 00</v>
      </c>
      <c r="K1291" s="338" t="str">
        <f>IFERROR(VLOOKUP(I1291,'Chart of accounts'!A:H,3,FALSE),"")</f>
        <v>Representation Expenses</v>
      </c>
      <c r="L1291" s="338" t="str">
        <f>IFERROR(VLOOKUP(I1291,'Chart of accounts'!A:H,4,FALSE),"")</f>
        <v>50299030 00 - Representation Expenses (783)</v>
      </c>
      <c r="M1291" s="361" t="s">
        <v>1366</v>
      </c>
      <c r="N1291" s="355" t="s">
        <v>1433</v>
      </c>
      <c r="O1291" s="355" t="s">
        <v>1493</v>
      </c>
      <c r="P1291" s="355"/>
      <c r="Q1291" s="363">
        <v>3800</v>
      </c>
      <c r="R1291" s="428">
        <f t="shared" si="49"/>
        <v>-3800</v>
      </c>
      <c r="S1291" s="239" t="str">
        <f>VLOOKUP(H1291,'Fund Utilization Report'!$A$4:$U$1800,13,FALSE)</f>
        <v>MOOE</v>
      </c>
      <c r="T1291" s="239" t="str">
        <f>VLOOKUP(H1291,'Fund Utilization Report'!$A$4:$U$1800,2,FALSE)</f>
        <v>GAA</v>
      </c>
      <c r="U1291" s="239" t="str">
        <f>VLOOKUP(H1291,'Fund Utilization Report'!$A$4:$U$1800,3,FALSE)</f>
        <v>FY2021, RA11518</v>
      </c>
      <c r="V1291" s="239" t="str">
        <f>VLOOKUP(H1291,'Fund Utilization Report'!$A$4:$U$1800,4,FALSE)</f>
        <v>GAS(GMS)</v>
      </c>
      <c r="W1291" s="239" t="str">
        <f>VLOOKUP(H1291,'Fund Utilization Report'!$A$4:$U$1800,5,FALSE)</f>
        <v>01101101</v>
      </c>
      <c r="X1291" s="239" t="str">
        <f>VLOOKUP(H1291,'Fund Utilization Report'!$A$4:$U$1800,6,FALSE)</f>
        <v>GOP</v>
      </c>
      <c r="Y1291" s="440" t="str">
        <f>VLOOKUP(H1291,'Fund Utilization Report'!$A$4:$U$1800,7,FALSE)</f>
        <v>MOOE</v>
      </c>
      <c r="Z1291" s="441">
        <f>VLOOKUP(H1291,'Fund Utilization Report'!$A$4:$U$1800,8,FALSE)</f>
        <v>5020000000</v>
      </c>
      <c r="AA1291" s="239" t="str">
        <f>VLOOKUP(H1291,'Fund Utilization Report'!$A$4:$U$1800,14,FALSE)</f>
        <v>100000100001000</v>
      </c>
      <c r="AB1291" s="242" t="str">
        <f>VLOOKUP(H1291,'Fund Utilization Report'!$A$4:$U$1800,15,FALSE)</f>
        <v>General Administration and Supervision - General Management and Supervision</v>
      </c>
      <c r="AC1291" s="51"/>
      <c r="AD1291" s="435"/>
      <c r="AE1291" s="51"/>
      <c r="AF1291" s="51"/>
      <c r="AG1291" s="442"/>
      <c r="AH1291" s="442"/>
      <c r="AI1291" s="443"/>
    </row>
    <row r="1292" spans="1:35" s="32" customFormat="1" ht="27.6">
      <c r="A1292" s="434" t="s">
        <v>942</v>
      </c>
      <c r="B1292" s="457" t="s">
        <v>946</v>
      </c>
      <c r="C1292" s="233">
        <v>44271</v>
      </c>
      <c r="D1292" s="435" t="s">
        <v>1267</v>
      </c>
      <c r="E1292" s="436" t="s">
        <v>1494</v>
      </c>
      <c r="F1292" s="338">
        <v>0.40138888888888885</v>
      </c>
      <c r="G1292" s="338">
        <v>0.40416666666666662</v>
      </c>
      <c r="H1292" s="338" t="s">
        <v>961</v>
      </c>
      <c r="I1292" s="353">
        <v>783</v>
      </c>
      <c r="J1292" s="338" t="str">
        <f>IFERROR(VLOOKUP(I1292,'Chart of accounts'!A:H,2,FALSE),"")</f>
        <v>50299030 00</v>
      </c>
      <c r="K1292" s="338" t="str">
        <f>IFERROR(VLOOKUP(I1292,'Chart of accounts'!A:H,3,FALSE),"")</f>
        <v>Representation Expenses</v>
      </c>
      <c r="L1292" s="338" t="str">
        <f>IFERROR(VLOOKUP(I1292,'Chart of accounts'!A:H,4,FALSE),"")</f>
        <v>50299030 00 - Representation Expenses (783)</v>
      </c>
      <c r="M1292" s="361" t="s">
        <v>1366</v>
      </c>
      <c r="N1292" s="355" t="s">
        <v>1108</v>
      </c>
      <c r="O1292" s="355" t="s">
        <v>1495</v>
      </c>
      <c r="P1292" s="355"/>
      <c r="Q1292" s="363">
        <v>31800</v>
      </c>
      <c r="R1292" s="428">
        <f t="shared" si="49"/>
        <v>-31800</v>
      </c>
      <c r="S1292" s="239" t="str">
        <f>VLOOKUP(H1292,'Fund Utilization Report'!$A$4:$U$1800,13,FALSE)</f>
        <v>MOOE</v>
      </c>
      <c r="T1292" s="239" t="str">
        <f>VLOOKUP(H1292,'Fund Utilization Report'!$A$4:$U$1800,2,FALSE)</f>
        <v>GAA</v>
      </c>
      <c r="U1292" s="239" t="str">
        <f>VLOOKUP(H1292,'Fund Utilization Report'!$A$4:$U$1800,3,FALSE)</f>
        <v>FY2021, RA11518</v>
      </c>
      <c r="V1292" s="239" t="str">
        <f>VLOOKUP(H1292,'Fund Utilization Report'!$A$4:$U$1800,4,FALSE)</f>
        <v>GAS(GMS)</v>
      </c>
      <c r="W1292" s="239" t="str">
        <f>VLOOKUP(H1292,'Fund Utilization Report'!$A$4:$U$1800,5,FALSE)</f>
        <v>01101101</v>
      </c>
      <c r="X1292" s="239" t="str">
        <f>VLOOKUP(H1292,'Fund Utilization Report'!$A$4:$U$1800,6,FALSE)</f>
        <v>GOP</v>
      </c>
      <c r="Y1292" s="440" t="str">
        <f>VLOOKUP(H1292,'Fund Utilization Report'!$A$4:$U$1800,7,FALSE)</f>
        <v>MOOE</v>
      </c>
      <c r="Z1292" s="441">
        <f>VLOOKUP(H1292,'Fund Utilization Report'!$A$4:$U$1800,8,FALSE)</f>
        <v>5020000000</v>
      </c>
      <c r="AA1292" s="239" t="str">
        <f>VLOOKUP(H1292,'Fund Utilization Report'!$A$4:$U$1800,14,FALSE)</f>
        <v>100000100001000</v>
      </c>
      <c r="AB1292" s="242" t="str">
        <f>VLOOKUP(H1292,'Fund Utilization Report'!$A$4:$U$1800,15,FALSE)</f>
        <v>General Administration and Supervision - General Management and Supervision</v>
      </c>
      <c r="AC1292" s="51"/>
      <c r="AD1292" s="435"/>
      <c r="AE1292" s="51"/>
      <c r="AF1292" s="51"/>
      <c r="AG1292" s="442"/>
      <c r="AH1292" s="442"/>
      <c r="AI1292" s="443"/>
    </row>
    <row r="1293" spans="1:35" s="32" customFormat="1" ht="27.6">
      <c r="A1293" s="434" t="s">
        <v>942</v>
      </c>
      <c r="B1293" s="457" t="s">
        <v>946</v>
      </c>
      <c r="C1293" s="233">
        <v>44271</v>
      </c>
      <c r="D1293" s="435" t="s">
        <v>1267</v>
      </c>
      <c r="E1293" s="436" t="s">
        <v>1496</v>
      </c>
      <c r="F1293" s="338">
        <v>0.40416666666666662</v>
      </c>
      <c r="G1293" s="338">
        <v>0.40486111111111112</v>
      </c>
      <c r="H1293" s="338" t="s">
        <v>961</v>
      </c>
      <c r="I1293" s="353">
        <v>781</v>
      </c>
      <c r="J1293" s="338" t="str">
        <f>IFERROR(VLOOKUP(I1293,'Chart of accounts'!A:H,2,FALSE),"")</f>
        <v>50299020 00</v>
      </c>
      <c r="K1293" s="338" t="str">
        <f>IFERROR(VLOOKUP(I1293,'Chart of accounts'!A:H,3,FALSE),"")</f>
        <v>Printing and Binding Expenses</v>
      </c>
      <c r="L1293" s="338" t="str">
        <f>IFERROR(VLOOKUP(I1293,'Chart of accounts'!A:H,4,FALSE),"")</f>
        <v>50299020 00 - Printing and Binding Expenses (781)</v>
      </c>
      <c r="M1293" s="361" t="s">
        <v>1366</v>
      </c>
      <c r="N1293" s="355" t="s">
        <v>1433</v>
      </c>
      <c r="O1293" s="355" t="s">
        <v>1497</v>
      </c>
      <c r="P1293" s="355"/>
      <c r="Q1293" s="363">
        <v>480</v>
      </c>
      <c r="R1293" s="428">
        <f t="shared" si="49"/>
        <v>-480</v>
      </c>
      <c r="S1293" s="239" t="str">
        <f>VLOOKUP(H1293,'Fund Utilization Report'!$A$4:$U$1800,13,FALSE)</f>
        <v>MOOE</v>
      </c>
      <c r="T1293" s="239" t="str">
        <f>VLOOKUP(H1293,'Fund Utilization Report'!$A$4:$U$1800,2,FALSE)</f>
        <v>GAA</v>
      </c>
      <c r="U1293" s="239" t="str">
        <f>VLOOKUP(H1293,'Fund Utilization Report'!$A$4:$U$1800,3,FALSE)</f>
        <v>FY2021, RA11518</v>
      </c>
      <c r="V1293" s="239" t="str">
        <f>VLOOKUP(H1293,'Fund Utilization Report'!$A$4:$U$1800,4,FALSE)</f>
        <v>GAS(GMS)</v>
      </c>
      <c r="W1293" s="239" t="str">
        <f>VLOOKUP(H1293,'Fund Utilization Report'!$A$4:$U$1800,5,FALSE)</f>
        <v>01101101</v>
      </c>
      <c r="X1293" s="239" t="str">
        <f>VLOOKUP(H1293,'Fund Utilization Report'!$A$4:$U$1800,6,FALSE)</f>
        <v>GOP</v>
      </c>
      <c r="Y1293" s="440" t="str">
        <f>VLOOKUP(H1293,'Fund Utilization Report'!$A$4:$U$1800,7,FALSE)</f>
        <v>MOOE</v>
      </c>
      <c r="Z1293" s="441">
        <f>VLOOKUP(H1293,'Fund Utilization Report'!$A$4:$U$1800,8,FALSE)</f>
        <v>5020000000</v>
      </c>
      <c r="AA1293" s="239" t="str">
        <f>VLOOKUP(H1293,'Fund Utilization Report'!$A$4:$U$1800,14,FALSE)</f>
        <v>100000100001000</v>
      </c>
      <c r="AB1293" s="242" t="str">
        <f>VLOOKUP(H1293,'Fund Utilization Report'!$A$4:$U$1800,15,FALSE)</f>
        <v>General Administration and Supervision - General Management and Supervision</v>
      </c>
      <c r="AC1293" s="51"/>
      <c r="AD1293" s="435"/>
      <c r="AE1293" s="51"/>
      <c r="AF1293" s="51"/>
      <c r="AG1293" s="442"/>
      <c r="AH1293" s="442"/>
      <c r="AI1293" s="443"/>
    </row>
    <row r="1294" spans="1:35" s="32" customFormat="1">
      <c r="A1294" s="434" t="s">
        <v>942</v>
      </c>
      <c r="B1294" s="457" t="s">
        <v>946</v>
      </c>
      <c r="C1294" s="233">
        <v>44271</v>
      </c>
      <c r="D1294" s="435" t="s">
        <v>1267</v>
      </c>
      <c r="E1294" s="436" t="s">
        <v>1498</v>
      </c>
      <c r="F1294" s="338">
        <v>0.58333333333333337</v>
      </c>
      <c r="G1294" s="338">
        <v>0.58402777777777781</v>
      </c>
      <c r="H1294" s="338" t="s">
        <v>999</v>
      </c>
      <c r="I1294" s="353">
        <v>715</v>
      </c>
      <c r="J1294" s="338" t="str">
        <f>IFERROR(VLOOKUP(I1294,'Chart of accounts'!A:H,2,FALSE),"")</f>
        <v>50102040 01</v>
      </c>
      <c r="K1294" s="338" t="str">
        <f>IFERROR(VLOOKUP(I1294,'Chart of accounts'!A:H,3,FALSE),"")</f>
        <v>Clothing/Uniform Allowance - Civilian</v>
      </c>
      <c r="L1294" s="338" t="str">
        <f>IFERROR(VLOOKUP(I1294,'Chart of accounts'!A:H,4,FALSE),"")</f>
        <v>50102040 01 - Clothing/Uniform Allowance - Civilian (715)</v>
      </c>
      <c r="M1294" s="361" t="s">
        <v>923</v>
      </c>
      <c r="N1294" s="355" t="s">
        <v>1499</v>
      </c>
      <c r="O1294" s="355" t="s">
        <v>1500</v>
      </c>
      <c r="P1294" s="355"/>
      <c r="Q1294" s="363">
        <v>48000</v>
      </c>
      <c r="R1294" s="428">
        <f t="shared" si="49"/>
        <v>-48000</v>
      </c>
      <c r="S1294" s="239" t="str">
        <f>VLOOKUP(H1294,'Fund Utilization Report'!$A$4:$U$1800,13,FALSE)</f>
        <v>PS</v>
      </c>
      <c r="T1294" s="239" t="str">
        <f>VLOOKUP(H1294,'Fund Utilization Report'!$A$4:$U$1800,2,FALSE)</f>
        <v>SAA15</v>
      </c>
      <c r="U1294" s="239" t="str">
        <f>VLOOKUP(H1294,'Fund Utilization Report'!$A$4:$U$1800,3,FALSE)</f>
        <v>2021-01-0015</v>
      </c>
      <c r="V1294" s="239" t="str">
        <f>VLOOKUP(H1294,'Fund Utilization Report'!$A$4:$U$1800,4,FALSE)</f>
        <v>CARP</v>
      </c>
      <c r="W1294" s="239" t="str">
        <f>VLOOKUP(H1294,'Fund Utilization Report'!$A$4:$U$1800,5,FALSE)</f>
        <v>01101101</v>
      </c>
      <c r="X1294" s="239" t="str">
        <f>VLOOKUP(H1294,'Fund Utilization Report'!$A$4:$U$1800,6,FALSE)</f>
        <v>GOP</v>
      </c>
      <c r="Y1294" s="440">
        <f>VLOOKUP(H1294,'Fund Utilization Report'!$A$4:$U$1800,7,FALSE)</f>
        <v>706</v>
      </c>
      <c r="Z1294" s="441" t="str">
        <f>VLOOKUP(H1294,'Fund Utilization Report'!$A$4:$U$1800,8,FALSE)</f>
        <v>50101020 00</v>
      </c>
      <c r="AA1294" s="239" t="str">
        <f>VLOOKUP(H1294,'Fund Utilization Report'!$A$4:$U$1800,14,FALSE)</f>
        <v>330100100003000</v>
      </c>
      <c r="AB1294" s="242" t="str">
        <f>VLOOKUP(H1294,'Fund Utilization Report'!$A$4:$U$1800,15,FALSE)</f>
        <v>MSME Development Program : Program Beneficiaries Development Component of the Comprehensive Agrarian Reform Program</v>
      </c>
      <c r="AC1294" s="51"/>
      <c r="AD1294" s="435"/>
      <c r="AE1294" s="51"/>
      <c r="AF1294" s="51"/>
      <c r="AG1294" s="442"/>
      <c r="AH1294" s="442"/>
      <c r="AI1294" s="443"/>
    </row>
    <row r="1295" spans="1:35" s="32" customFormat="1" ht="27.6">
      <c r="A1295" s="434" t="s">
        <v>942</v>
      </c>
      <c r="B1295" s="457" t="s">
        <v>946</v>
      </c>
      <c r="C1295" s="233">
        <v>44271</v>
      </c>
      <c r="D1295" s="435" t="s">
        <v>1267</v>
      </c>
      <c r="E1295" s="436" t="s">
        <v>1501</v>
      </c>
      <c r="F1295" s="338">
        <v>0.59444444444444444</v>
      </c>
      <c r="G1295" s="338">
        <v>0.59513888888888888</v>
      </c>
      <c r="H1295" s="338" t="s">
        <v>1221</v>
      </c>
      <c r="I1295" s="353">
        <v>799</v>
      </c>
      <c r="J1295" s="338" t="str">
        <f>IFERROR(VLOOKUP(I1295,'Chart of accounts'!A:H,2,FALSE),"")</f>
        <v>50211990 00</v>
      </c>
      <c r="K1295" s="338" t="str">
        <f>IFERROR(VLOOKUP(I1295,'Chart of accounts'!A:H,3,FALSE),"")</f>
        <v>Other Professional Services</v>
      </c>
      <c r="L1295" s="338" t="str">
        <f>IFERROR(VLOOKUP(I1295,'Chart of accounts'!A:H,4,FALSE),"")</f>
        <v>50211990 00 - Other Professional Services (799)</v>
      </c>
      <c r="M1295" s="361" t="s">
        <v>1011</v>
      </c>
      <c r="N1295" s="355" t="s">
        <v>1030</v>
      </c>
      <c r="O1295" s="355" t="s">
        <v>1502</v>
      </c>
      <c r="P1295" s="355"/>
      <c r="Q1295" s="363">
        <v>45808.9</v>
      </c>
      <c r="R1295" s="428">
        <f t="shared" si="49"/>
        <v>-45808.9</v>
      </c>
      <c r="S1295" s="239" t="str">
        <f>VLOOKUP(H1295,'Fund Utilization Report'!$A$4:$U$1800,13,FALSE)</f>
        <v>MOOE</v>
      </c>
      <c r="T1295" s="239" t="str">
        <f>VLOOKUP(H1295,'Fund Utilization Report'!$A$4:$U$1800,2,FALSE)</f>
        <v>SAA040</v>
      </c>
      <c r="U1295" s="239" t="str">
        <f>VLOOKUP(H1295,'Fund Utilization Report'!$A$4:$U$1800,3,FALSE)</f>
        <v>21-02-0040</v>
      </c>
      <c r="V1295" s="239" t="str">
        <f>VLOOKUP(H1295,'Fund Utilization Report'!$A$4:$U$1800,4,FALSE)</f>
        <v>RAPID GOP</v>
      </c>
      <c r="W1295" s="239" t="str">
        <f>VLOOKUP(H1295,'Fund Utilization Report'!$A$4:$U$1800,5,FALSE)</f>
        <v>01101101</v>
      </c>
      <c r="X1295" s="239" t="str">
        <f>VLOOKUP(H1295,'Fund Utilization Report'!$A$4:$U$1800,6,FALSE)</f>
        <v>GOP</v>
      </c>
      <c r="Y1295" s="440">
        <f>VLOOKUP(H1295,'Fund Utilization Report'!$A$4:$U$1800,7,FALSE)</f>
        <v>799</v>
      </c>
      <c r="Z1295" s="441">
        <f>VLOOKUP(H1295,'Fund Utilization Report'!$A$4:$U$1800,8,FALSE)</f>
        <v>5021199000</v>
      </c>
      <c r="AA1295" s="239" t="str">
        <f>VLOOKUP(H1295,'Fund Utilization Report'!$A$4:$U$1800,14,FALSE)</f>
        <v>330100300001000</v>
      </c>
      <c r="AB1295" s="242" t="str">
        <f>VLOOKUP(H1295,'Fund Utilization Report'!$A$4:$U$1800,15,FALSE)</f>
        <v>Rural Agro Enterprise Partnership for Inclusive Development (RAPID) Growth GOP Continuing</v>
      </c>
      <c r="AC1295" s="51"/>
      <c r="AD1295" s="435"/>
      <c r="AE1295" s="51"/>
      <c r="AF1295" s="51"/>
      <c r="AG1295" s="442"/>
      <c r="AH1295" s="442"/>
      <c r="AI1295" s="443"/>
    </row>
    <row r="1296" spans="1:35" s="32" customFormat="1" ht="27.6">
      <c r="A1296" s="434" t="s">
        <v>942</v>
      </c>
      <c r="B1296" s="457" t="s">
        <v>946</v>
      </c>
      <c r="C1296" s="233">
        <v>44271</v>
      </c>
      <c r="D1296" s="435" t="s">
        <v>1267</v>
      </c>
      <c r="E1296" s="436" t="s">
        <v>1503</v>
      </c>
      <c r="F1296" s="338">
        <v>0.59513888888888888</v>
      </c>
      <c r="G1296" s="338">
        <v>0.59583333333333333</v>
      </c>
      <c r="H1296" s="338" t="s">
        <v>1221</v>
      </c>
      <c r="I1296" s="353">
        <v>799</v>
      </c>
      <c r="J1296" s="338" t="str">
        <f>IFERROR(VLOOKUP(I1296,'Chart of accounts'!A:H,2,FALSE),"")</f>
        <v>50211990 00</v>
      </c>
      <c r="K1296" s="338" t="str">
        <f>IFERROR(VLOOKUP(I1296,'Chart of accounts'!A:H,3,FALSE),"")</f>
        <v>Other Professional Services</v>
      </c>
      <c r="L1296" s="338" t="str">
        <f>IFERROR(VLOOKUP(I1296,'Chart of accounts'!A:H,4,FALSE),"")</f>
        <v>50211990 00 - Other Professional Services (799)</v>
      </c>
      <c r="M1296" s="361" t="s">
        <v>1011</v>
      </c>
      <c r="N1296" s="355" t="s">
        <v>1030</v>
      </c>
      <c r="O1296" s="355" t="s">
        <v>1504</v>
      </c>
      <c r="P1296" s="355"/>
      <c r="Q1296" s="363">
        <v>41497.269999999997</v>
      </c>
      <c r="R1296" s="428">
        <f t="shared" si="49"/>
        <v>-41497.269999999997</v>
      </c>
      <c r="S1296" s="239" t="str">
        <f>VLOOKUP(H1296,'Fund Utilization Report'!$A$4:$U$1800,13,FALSE)</f>
        <v>MOOE</v>
      </c>
      <c r="T1296" s="239" t="str">
        <f>VLOOKUP(H1296,'Fund Utilization Report'!$A$4:$U$1800,2,FALSE)</f>
        <v>SAA040</v>
      </c>
      <c r="U1296" s="239" t="str">
        <f>VLOOKUP(H1296,'Fund Utilization Report'!$A$4:$U$1800,3,FALSE)</f>
        <v>21-02-0040</v>
      </c>
      <c r="V1296" s="239" t="str">
        <f>VLOOKUP(H1296,'Fund Utilization Report'!$A$4:$U$1800,4,FALSE)</f>
        <v>RAPID GOP</v>
      </c>
      <c r="W1296" s="239" t="str">
        <f>VLOOKUP(H1296,'Fund Utilization Report'!$A$4:$U$1800,5,FALSE)</f>
        <v>01101101</v>
      </c>
      <c r="X1296" s="239" t="str">
        <f>VLOOKUP(H1296,'Fund Utilization Report'!$A$4:$U$1800,6,FALSE)</f>
        <v>GOP</v>
      </c>
      <c r="Y1296" s="440">
        <f>VLOOKUP(H1296,'Fund Utilization Report'!$A$4:$U$1800,7,FALSE)</f>
        <v>799</v>
      </c>
      <c r="Z1296" s="441">
        <f>VLOOKUP(H1296,'Fund Utilization Report'!$A$4:$U$1800,8,FALSE)</f>
        <v>5021199000</v>
      </c>
      <c r="AA1296" s="239" t="str">
        <f>VLOOKUP(H1296,'Fund Utilization Report'!$A$4:$U$1800,14,FALSE)</f>
        <v>330100300001000</v>
      </c>
      <c r="AB1296" s="242" t="str">
        <f>VLOOKUP(H1296,'Fund Utilization Report'!$A$4:$U$1800,15,FALSE)</f>
        <v>Rural Agro Enterprise Partnership for Inclusive Development (RAPID) Growth GOP Continuing</v>
      </c>
      <c r="AC1296" s="51"/>
      <c r="AD1296" s="435"/>
      <c r="AE1296" s="51"/>
      <c r="AF1296" s="51"/>
      <c r="AG1296" s="442"/>
      <c r="AH1296" s="442"/>
      <c r="AI1296" s="443"/>
    </row>
    <row r="1297" spans="1:35" s="32" customFormat="1" ht="27.6">
      <c r="A1297" s="434" t="s">
        <v>942</v>
      </c>
      <c r="B1297" s="457" t="s">
        <v>946</v>
      </c>
      <c r="C1297" s="233">
        <v>44279</v>
      </c>
      <c r="D1297" s="435" t="s">
        <v>1267</v>
      </c>
      <c r="E1297" s="436" t="s">
        <v>1505</v>
      </c>
      <c r="F1297" s="338">
        <v>0.41180555555555554</v>
      </c>
      <c r="G1297" s="338">
        <v>0.41319444444444442</v>
      </c>
      <c r="H1297" s="338" t="s">
        <v>981</v>
      </c>
      <c r="I1297" s="353" t="s">
        <v>828</v>
      </c>
      <c r="J1297" s="338" t="str">
        <f>IFERROR(VLOOKUP(I1297,'Chart of accounts'!A:H,2,FALSE),"")</f>
        <v>50604050 03</v>
      </c>
      <c r="K1297" s="338" t="str">
        <f>IFERROR(VLOOKUP(I1297,'Chart of accounts'!A:H,3,FALSE),"")</f>
        <v>ICT Equipment</v>
      </c>
      <c r="L1297" s="338" t="str">
        <f>IFERROR(VLOOKUP(I1297,'Chart of accounts'!A:H,4,FALSE),"")</f>
        <v>50604050 03 - ICT Equipment (223 CO)</v>
      </c>
      <c r="M1297" s="361" t="s">
        <v>845</v>
      </c>
      <c r="N1297" s="355" t="s">
        <v>1506</v>
      </c>
      <c r="O1297" s="355" t="s">
        <v>1507</v>
      </c>
      <c r="P1297" s="355"/>
      <c r="Q1297" s="363">
        <v>76000</v>
      </c>
      <c r="R1297" s="428">
        <f t="shared" ref="R1297:R1309" si="50">P1297-Q1297</f>
        <v>-76000</v>
      </c>
      <c r="S1297" s="239" t="str">
        <f>VLOOKUP(H1297,'Fund Utilization Report'!$A$4:$U$1800,13,FALSE)</f>
        <v>CO</v>
      </c>
      <c r="T1297" s="239" t="str">
        <f>VLOOKUP(H1297,'Fund Utilization Report'!$A$4:$U$1800,2,FALSE)</f>
        <v>GAA</v>
      </c>
      <c r="U1297" s="239" t="str">
        <f>VLOOKUP(H1297,'Fund Utilization Report'!$A$4:$U$1800,3,FALSE)</f>
        <v>FY2021, RA11518</v>
      </c>
      <c r="V1297" s="239" t="str">
        <f>VLOOKUP(H1297,'Fund Utilization Report'!$A$4:$U$1800,4,FALSE)</f>
        <v>NC</v>
      </c>
      <c r="W1297" s="239" t="str">
        <f>VLOOKUP(H1297,'Fund Utilization Report'!$A$4:$U$1800,5,FALSE)</f>
        <v>01101101</v>
      </c>
      <c r="X1297" s="239" t="str">
        <f>VLOOKUP(H1297,'Fund Utilization Report'!$A$4:$U$1800,6,FALSE)</f>
        <v>GOP</v>
      </c>
      <c r="Y1297" s="440" t="str">
        <f>VLOOKUP(H1297,'Fund Utilization Report'!$A$4:$U$1800,7,FALSE)</f>
        <v>CO</v>
      </c>
      <c r="Z1297" s="441">
        <f>VLOOKUP(H1297,'Fund Utilization Report'!$A$4:$U$1800,8,FALSE)</f>
        <v>5060000000</v>
      </c>
      <c r="AA1297" s="239" t="str">
        <f>VLOOKUP(H1297,'Fund Utilization Report'!$A$4:$U$1800,14,FALSE)</f>
        <v>330100200001000</v>
      </c>
      <c r="AB1297" s="242" t="str">
        <f>VLOOKUP(H1297,'Fund Utilization Report'!$A$4:$U$1800,15,FALSE)</f>
        <v>Establishment of Negosyo Centers</v>
      </c>
      <c r="AC1297" s="51"/>
      <c r="AD1297" s="435"/>
      <c r="AE1297" s="51"/>
      <c r="AF1297" s="51"/>
      <c r="AG1297" s="442"/>
      <c r="AH1297" s="442"/>
      <c r="AI1297" s="443"/>
    </row>
    <row r="1298" spans="1:35" s="32" customFormat="1">
      <c r="A1298" s="434" t="s">
        <v>942</v>
      </c>
      <c r="B1298" s="457" t="s">
        <v>946</v>
      </c>
      <c r="C1298" s="233">
        <v>44279</v>
      </c>
      <c r="D1298" s="435" t="s">
        <v>1267</v>
      </c>
      <c r="E1298" s="436" t="s">
        <v>1508</v>
      </c>
      <c r="F1298" s="338">
        <v>0.41319444444444442</v>
      </c>
      <c r="G1298" s="338">
        <v>0.4152777777777778</v>
      </c>
      <c r="H1298" s="338" t="s">
        <v>961</v>
      </c>
      <c r="I1298" s="353">
        <v>755</v>
      </c>
      <c r="J1298" s="338" t="str">
        <f>IFERROR(VLOOKUP(I1298,'Chart of accounts'!A:H,2,FALSE),"")</f>
        <v>50203010 00</v>
      </c>
      <c r="K1298" s="338" t="str">
        <f>IFERROR(VLOOKUP(I1298,'Chart of accounts'!A:H,3,FALSE),"")</f>
        <v>Office Supplies Expenses</v>
      </c>
      <c r="L1298" s="338" t="str">
        <f>IFERROR(VLOOKUP(I1298,'Chart of accounts'!A:H,4,FALSE),"")</f>
        <v>50203010 00 - Office Supplies Expenses (755)</v>
      </c>
      <c r="M1298" s="361">
        <v>1</v>
      </c>
      <c r="N1298" s="355" t="s">
        <v>859</v>
      </c>
      <c r="O1298" s="355" t="s">
        <v>1509</v>
      </c>
      <c r="P1298" s="355"/>
      <c r="Q1298" s="363">
        <v>2130</v>
      </c>
      <c r="R1298" s="428">
        <f t="shared" si="50"/>
        <v>-2130</v>
      </c>
      <c r="S1298" s="239" t="str">
        <f>VLOOKUP(H1298,'Fund Utilization Report'!$A$4:$U$1800,13,FALSE)</f>
        <v>MOOE</v>
      </c>
      <c r="T1298" s="239" t="str">
        <f>VLOOKUP(H1298,'Fund Utilization Report'!$A$4:$U$1800,2,FALSE)</f>
        <v>GAA</v>
      </c>
      <c r="U1298" s="239" t="str">
        <f>VLOOKUP(H1298,'Fund Utilization Report'!$A$4:$U$1800,3,FALSE)</f>
        <v>FY2021, RA11518</v>
      </c>
      <c r="V1298" s="239" t="str">
        <f>VLOOKUP(H1298,'Fund Utilization Report'!$A$4:$U$1800,4,FALSE)</f>
        <v>GAS(GMS)</v>
      </c>
      <c r="W1298" s="239" t="str">
        <f>VLOOKUP(H1298,'Fund Utilization Report'!$A$4:$U$1800,5,FALSE)</f>
        <v>01101101</v>
      </c>
      <c r="X1298" s="239" t="str">
        <f>VLOOKUP(H1298,'Fund Utilization Report'!$A$4:$U$1800,6,FALSE)</f>
        <v>GOP</v>
      </c>
      <c r="Y1298" s="440" t="str">
        <f>VLOOKUP(H1298,'Fund Utilization Report'!$A$4:$U$1800,7,FALSE)</f>
        <v>MOOE</v>
      </c>
      <c r="Z1298" s="441">
        <f>VLOOKUP(H1298,'Fund Utilization Report'!$A$4:$U$1800,8,FALSE)</f>
        <v>5020000000</v>
      </c>
      <c r="AA1298" s="239" t="str">
        <f>VLOOKUP(H1298,'Fund Utilization Report'!$A$4:$U$1800,14,FALSE)</f>
        <v>100000100001000</v>
      </c>
      <c r="AB1298" s="242" t="str">
        <f>VLOOKUP(H1298,'Fund Utilization Report'!$A$4:$U$1800,15,FALSE)</f>
        <v>General Administration and Supervision - General Management and Supervision</v>
      </c>
      <c r="AC1298" s="51"/>
      <c r="AD1298" s="435"/>
      <c r="AE1298" s="51"/>
      <c r="AF1298" s="51"/>
      <c r="AG1298" s="442"/>
      <c r="AH1298" s="442"/>
      <c r="AI1298" s="443"/>
    </row>
    <row r="1299" spans="1:35" s="32" customFormat="1" ht="27.6">
      <c r="A1299" s="434" t="s">
        <v>942</v>
      </c>
      <c r="B1299" s="457" t="s">
        <v>946</v>
      </c>
      <c r="C1299" s="233">
        <v>44279</v>
      </c>
      <c r="D1299" s="435" t="s">
        <v>1267</v>
      </c>
      <c r="E1299" s="436" t="s">
        <v>1510</v>
      </c>
      <c r="F1299" s="338">
        <v>0.4152777777777778</v>
      </c>
      <c r="G1299" s="338">
        <v>0.41597222222222219</v>
      </c>
      <c r="H1299" s="338" t="s">
        <v>961</v>
      </c>
      <c r="I1299" s="353">
        <v>892</v>
      </c>
      <c r="J1299" s="338" t="str">
        <f>IFERROR(VLOOKUP(I1299,'Chart of accounts'!A:H,2,FALSE),"")</f>
        <v>50215020 00</v>
      </c>
      <c r="K1299" s="338" t="str">
        <f>IFERROR(VLOOKUP(I1299,'Chart of accounts'!A:H,3,FALSE),"")</f>
        <v>Fidelity Bond Premiums</v>
      </c>
      <c r="L1299" s="338" t="str">
        <f>IFERROR(VLOOKUP(I1299,'Chart of accounts'!A:H,4,FALSE),"")</f>
        <v>50215020 00 - Fidelity Bond Premiums (892)</v>
      </c>
      <c r="M1299" s="361">
        <v>1</v>
      </c>
      <c r="N1299" s="355" t="s">
        <v>1511</v>
      </c>
      <c r="O1299" s="355" t="s">
        <v>1512</v>
      </c>
      <c r="P1299" s="355"/>
      <c r="Q1299" s="363">
        <v>5175</v>
      </c>
      <c r="R1299" s="428">
        <f t="shared" si="50"/>
        <v>-5175</v>
      </c>
      <c r="S1299" s="239" t="str">
        <f>VLOOKUP(H1299,'Fund Utilization Report'!$A$4:$U$1800,13,FALSE)</f>
        <v>MOOE</v>
      </c>
      <c r="T1299" s="239" t="str">
        <f>VLOOKUP(H1299,'Fund Utilization Report'!$A$4:$U$1800,2,FALSE)</f>
        <v>GAA</v>
      </c>
      <c r="U1299" s="239" t="str">
        <f>VLOOKUP(H1299,'Fund Utilization Report'!$A$4:$U$1800,3,FALSE)</f>
        <v>FY2021, RA11518</v>
      </c>
      <c r="V1299" s="239" t="str">
        <f>VLOOKUP(H1299,'Fund Utilization Report'!$A$4:$U$1800,4,FALSE)</f>
        <v>GAS(GMS)</v>
      </c>
      <c r="W1299" s="239" t="str">
        <f>VLOOKUP(H1299,'Fund Utilization Report'!$A$4:$U$1800,5,FALSE)</f>
        <v>01101101</v>
      </c>
      <c r="X1299" s="239" t="str">
        <f>VLOOKUP(H1299,'Fund Utilization Report'!$A$4:$U$1800,6,FALSE)</f>
        <v>GOP</v>
      </c>
      <c r="Y1299" s="440" t="str">
        <f>VLOOKUP(H1299,'Fund Utilization Report'!$A$4:$U$1800,7,FALSE)</f>
        <v>MOOE</v>
      </c>
      <c r="Z1299" s="441">
        <f>VLOOKUP(H1299,'Fund Utilization Report'!$A$4:$U$1800,8,FALSE)</f>
        <v>5020000000</v>
      </c>
      <c r="AA1299" s="239" t="str">
        <f>VLOOKUP(H1299,'Fund Utilization Report'!$A$4:$U$1800,14,FALSE)</f>
        <v>100000100001000</v>
      </c>
      <c r="AB1299" s="242" t="str">
        <f>VLOOKUP(H1299,'Fund Utilization Report'!$A$4:$U$1800,15,FALSE)</f>
        <v>General Administration and Supervision - General Management and Supervision</v>
      </c>
      <c r="AC1299" s="51"/>
      <c r="AD1299" s="435"/>
      <c r="AE1299" s="51"/>
      <c r="AF1299" s="51"/>
      <c r="AG1299" s="442"/>
      <c r="AH1299" s="442"/>
      <c r="AI1299" s="443"/>
    </row>
    <row r="1300" spans="1:35" s="32" customFormat="1" ht="27.6">
      <c r="A1300" s="434" t="s">
        <v>942</v>
      </c>
      <c r="B1300" s="457" t="s">
        <v>946</v>
      </c>
      <c r="C1300" s="233">
        <v>44279</v>
      </c>
      <c r="D1300" s="435" t="s">
        <v>1267</v>
      </c>
      <c r="E1300" s="436" t="s">
        <v>1513</v>
      </c>
      <c r="F1300" s="338">
        <v>0.41597222222222219</v>
      </c>
      <c r="G1300" s="338">
        <v>0.41736111111111113</v>
      </c>
      <c r="H1300" s="338" t="s">
        <v>974</v>
      </c>
      <c r="I1300" s="353">
        <v>755</v>
      </c>
      <c r="J1300" s="338" t="str">
        <f>IFERROR(VLOOKUP(I1300,'Chart of accounts'!A:H,2,FALSE),"")</f>
        <v>50203010 00</v>
      </c>
      <c r="K1300" s="338" t="str">
        <f>IFERROR(VLOOKUP(I1300,'Chart of accounts'!A:H,3,FALSE),"")</f>
        <v>Office Supplies Expenses</v>
      </c>
      <c r="L1300" s="338" t="str">
        <f>IFERROR(VLOOKUP(I1300,'Chart of accounts'!A:H,4,FALSE),"")</f>
        <v>50203010 00 - Office Supplies Expenses (755)</v>
      </c>
      <c r="M1300" s="361" t="s">
        <v>1514</v>
      </c>
      <c r="N1300" s="355" t="s">
        <v>799</v>
      </c>
      <c r="O1300" s="355" t="s">
        <v>1515</v>
      </c>
      <c r="P1300" s="355"/>
      <c r="Q1300" s="363">
        <v>1200</v>
      </c>
      <c r="R1300" s="428">
        <f t="shared" si="50"/>
        <v>-1200</v>
      </c>
      <c r="S1300" s="239" t="str">
        <f>VLOOKUP(H1300,'Fund Utilization Report'!$A$4:$U$1800,13,FALSE)</f>
        <v>MOOE</v>
      </c>
      <c r="T1300" s="239" t="str">
        <f>VLOOKUP(H1300,'Fund Utilization Report'!$A$4:$U$1800,2,FALSE)</f>
        <v>GAA</v>
      </c>
      <c r="U1300" s="239" t="str">
        <f>VLOOKUP(H1300,'Fund Utilization Report'!$A$4:$U$1800,3,FALSE)</f>
        <v>FY2021, RA11518</v>
      </c>
      <c r="V1300" s="239" t="str">
        <f>VLOOKUP(H1300,'Fund Utilization Report'!$A$4:$U$1800,4,FALSE)</f>
        <v>OO4.1(FTL)</v>
      </c>
      <c r="W1300" s="239" t="str">
        <f>VLOOKUP(H1300,'Fund Utilization Report'!$A$4:$U$1800,5,FALSE)</f>
        <v>01101101</v>
      </c>
      <c r="X1300" s="239" t="str">
        <f>VLOOKUP(H1300,'Fund Utilization Report'!$A$4:$U$1800,6,FALSE)</f>
        <v>GOP</v>
      </c>
      <c r="Y1300" s="440" t="str">
        <f>VLOOKUP(H1300,'Fund Utilization Report'!$A$4:$U$1800,7,FALSE)</f>
        <v>MOOE</v>
      </c>
      <c r="Z1300" s="441">
        <f>VLOOKUP(H1300,'Fund Utilization Report'!$A$4:$U$1800,8,FALSE)</f>
        <v>5020000000</v>
      </c>
      <c r="AA1300" s="239" t="str">
        <f>VLOOKUP(H1300,'Fund Utilization Report'!$A$4:$U$1800,14,FALSE)</f>
        <v>340100100002000</v>
      </c>
      <c r="AB1300" s="242" t="str">
        <f>VLOOKUP(H1300,'Fund Utilization Report'!$A$4:$U$1800,15,FALSE)</f>
        <v>Monitoring and Enforcement of FTL including consumer complaints handling</v>
      </c>
      <c r="AC1300" s="51"/>
      <c r="AD1300" s="435"/>
      <c r="AE1300" s="51"/>
      <c r="AF1300" s="51"/>
      <c r="AG1300" s="442"/>
      <c r="AH1300" s="442"/>
      <c r="AI1300" s="443"/>
    </row>
    <row r="1301" spans="1:35" s="32" customFormat="1" ht="27.6">
      <c r="A1301" s="434" t="s">
        <v>942</v>
      </c>
      <c r="B1301" s="457" t="s">
        <v>946</v>
      </c>
      <c r="C1301" s="233">
        <v>44279</v>
      </c>
      <c r="D1301" s="435" t="s">
        <v>1267</v>
      </c>
      <c r="E1301" s="436" t="s">
        <v>1513</v>
      </c>
      <c r="F1301" s="338">
        <v>0.41597222222222219</v>
      </c>
      <c r="G1301" s="338">
        <v>0.41736111111111113</v>
      </c>
      <c r="H1301" s="338" t="s">
        <v>974</v>
      </c>
      <c r="I1301" s="353">
        <v>783</v>
      </c>
      <c r="J1301" s="338" t="str">
        <f>IFERROR(VLOOKUP(I1301,'Chart of accounts'!A:H,2,FALSE),"")</f>
        <v>50299030 00</v>
      </c>
      <c r="K1301" s="338" t="str">
        <f>IFERROR(VLOOKUP(I1301,'Chart of accounts'!A:H,3,FALSE),"")</f>
        <v>Representation Expenses</v>
      </c>
      <c r="L1301" s="338" t="str">
        <f>IFERROR(VLOOKUP(I1301,'Chart of accounts'!A:H,4,FALSE),"")</f>
        <v>50299030 00 - Representation Expenses (783)</v>
      </c>
      <c r="M1301" s="361" t="s">
        <v>1514</v>
      </c>
      <c r="N1301" s="355" t="s">
        <v>799</v>
      </c>
      <c r="O1301" s="355" t="s">
        <v>1515</v>
      </c>
      <c r="P1301" s="355"/>
      <c r="Q1301" s="363">
        <v>3000</v>
      </c>
      <c r="R1301" s="428">
        <f t="shared" si="50"/>
        <v>-3000</v>
      </c>
      <c r="S1301" s="239" t="str">
        <f>VLOOKUP(H1301,'Fund Utilization Report'!$A$4:$U$1800,13,FALSE)</f>
        <v>MOOE</v>
      </c>
      <c r="T1301" s="239" t="str">
        <f>VLOOKUP(H1301,'Fund Utilization Report'!$A$4:$U$1800,2,FALSE)</f>
        <v>GAA</v>
      </c>
      <c r="U1301" s="239" t="str">
        <f>VLOOKUP(H1301,'Fund Utilization Report'!$A$4:$U$1800,3,FALSE)</f>
        <v>FY2021, RA11518</v>
      </c>
      <c r="V1301" s="239" t="str">
        <f>VLOOKUP(H1301,'Fund Utilization Report'!$A$4:$U$1800,4,FALSE)</f>
        <v>OO4.1(FTL)</v>
      </c>
      <c r="W1301" s="239" t="str">
        <f>VLOOKUP(H1301,'Fund Utilization Report'!$A$4:$U$1800,5,FALSE)</f>
        <v>01101101</v>
      </c>
      <c r="X1301" s="239" t="str">
        <f>VLOOKUP(H1301,'Fund Utilization Report'!$A$4:$U$1800,6,FALSE)</f>
        <v>GOP</v>
      </c>
      <c r="Y1301" s="440" t="str">
        <f>VLOOKUP(H1301,'Fund Utilization Report'!$A$4:$U$1800,7,FALSE)</f>
        <v>MOOE</v>
      </c>
      <c r="Z1301" s="441">
        <f>VLOOKUP(H1301,'Fund Utilization Report'!$A$4:$U$1800,8,FALSE)</f>
        <v>5020000000</v>
      </c>
      <c r="AA1301" s="239" t="str">
        <f>VLOOKUP(H1301,'Fund Utilization Report'!$A$4:$U$1800,14,FALSE)</f>
        <v>340100100002000</v>
      </c>
      <c r="AB1301" s="242" t="str">
        <f>VLOOKUP(H1301,'Fund Utilization Report'!$A$4:$U$1800,15,FALSE)</f>
        <v>Monitoring and Enforcement of FTL including consumer complaints handling</v>
      </c>
      <c r="AC1301" s="51"/>
      <c r="AD1301" s="435"/>
      <c r="AE1301" s="51"/>
      <c r="AF1301" s="51"/>
      <c r="AG1301" s="442"/>
      <c r="AH1301" s="442"/>
      <c r="AI1301" s="443"/>
    </row>
    <row r="1302" spans="1:35" s="32" customFormat="1" ht="27.6">
      <c r="A1302" s="434" t="s">
        <v>942</v>
      </c>
      <c r="B1302" s="457" t="s">
        <v>946</v>
      </c>
      <c r="C1302" s="233">
        <v>44279</v>
      </c>
      <c r="D1302" s="435" t="s">
        <v>1267</v>
      </c>
      <c r="E1302" s="436" t="s">
        <v>1516</v>
      </c>
      <c r="F1302" s="338">
        <v>0.41736111111111113</v>
      </c>
      <c r="G1302" s="338">
        <v>0.42083333333333334</v>
      </c>
      <c r="H1302" s="338" t="s">
        <v>971</v>
      </c>
      <c r="I1302" s="353">
        <v>773</v>
      </c>
      <c r="J1302" s="338" t="str">
        <f>IFERROR(VLOOKUP(I1302,'Chart of accounts'!A:H,2,FALSE),"")</f>
        <v>50205020 01</v>
      </c>
      <c r="K1302" s="338" t="str">
        <f>IFERROR(VLOOKUP(I1302,'Chart of accounts'!A:H,3,FALSE),"")</f>
        <v xml:space="preserve">Telephone Expenses - Mobile </v>
      </c>
      <c r="L1302" s="338" t="str">
        <f>IFERROR(VLOOKUP(I1302,'Chart of accounts'!A:H,4,FALSE),"")</f>
        <v>50205020 01 - Telephone Expenses - Mobile  (773)</v>
      </c>
      <c r="M1302" s="361" t="s">
        <v>813</v>
      </c>
      <c r="N1302" s="355" t="s">
        <v>1245</v>
      </c>
      <c r="O1302" s="355" t="s">
        <v>1517</v>
      </c>
      <c r="P1302" s="355"/>
      <c r="Q1302" s="363">
        <v>2688</v>
      </c>
      <c r="R1302" s="428">
        <f t="shared" si="50"/>
        <v>-2688</v>
      </c>
      <c r="S1302" s="239" t="str">
        <f>VLOOKUP(H1302,'Fund Utilization Report'!$A$4:$U$1800,13,FALSE)</f>
        <v>MOOE</v>
      </c>
      <c r="T1302" s="239" t="str">
        <f>VLOOKUP(H1302,'Fund Utilization Report'!$A$4:$U$1800,2,FALSE)</f>
        <v>GAA</v>
      </c>
      <c r="U1302" s="239" t="str">
        <f>VLOOKUP(H1302,'Fund Utilization Report'!$A$4:$U$1800,3,FALSE)</f>
        <v>FY2021, RA11518</v>
      </c>
      <c r="V1302" s="239" t="str">
        <f>VLOOKUP(H1302,'Fund Utilization Report'!$A$4:$U$1800,4,FALSE)</f>
        <v>OO3</v>
      </c>
      <c r="W1302" s="239" t="str">
        <f>VLOOKUP(H1302,'Fund Utilization Report'!$A$4:$U$1800,5,FALSE)</f>
        <v>01101101</v>
      </c>
      <c r="X1302" s="239" t="str">
        <f>VLOOKUP(H1302,'Fund Utilization Report'!$A$4:$U$1800,6,FALSE)</f>
        <v>GOP</v>
      </c>
      <c r="Y1302" s="440" t="str">
        <f>VLOOKUP(H1302,'Fund Utilization Report'!$A$4:$U$1800,7,FALSE)</f>
        <v>MOOE</v>
      </c>
      <c r="Z1302" s="441">
        <f>VLOOKUP(H1302,'Fund Utilization Report'!$A$4:$U$1800,8,FALSE)</f>
        <v>5020000000</v>
      </c>
      <c r="AA1302" s="239" t="str">
        <f>VLOOKUP(H1302,'Fund Utilization Report'!$A$4:$U$1800,14,FALSE)</f>
        <v>330100100002000</v>
      </c>
      <c r="AB1302" s="242" t="str">
        <f>VLOOKUP(H1302,'Fund Utilization Report'!$A$4:$U$1800,15,FALSE)</f>
        <v>Implementation of the MSME Development Plan and other initiatives to promote the growth of Micro, Small and Medium Enterprises</v>
      </c>
      <c r="AC1302" s="51"/>
      <c r="AD1302" s="435"/>
      <c r="AE1302" s="51"/>
      <c r="AF1302" s="51"/>
      <c r="AG1302" s="442"/>
      <c r="AH1302" s="442"/>
      <c r="AI1302" s="443"/>
    </row>
    <row r="1303" spans="1:35" s="32" customFormat="1" ht="27.6">
      <c r="A1303" s="434" t="s">
        <v>942</v>
      </c>
      <c r="B1303" s="457" t="s">
        <v>946</v>
      </c>
      <c r="C1303" s="233">
        <v>44279</v>
      </c>
      <c r="D1303" s="435" t="s">
        <v>1267</v>
      </c>
      <c r="E1303" s="436" t="s">
        <v>1518</v>
      </c>
      <c r="F1303" s="338">
        <v>0.42083333333333334</v>
      </c>
      <c r="G1303" s="338">
        <v>0.42152777777777778</v>
      </c>
      <c r="H1303" s="338" t="s">
        <v>968</v>
      </c>
      <c r="I1303" s="353">
        <v>755</v>
      </c>
      <c r="J1303" s="338" t="str">
        <f>IFERROR(VLOOKUP(I1303,'Chart of accounts'!A:H,2,FALSE),"")</f>
        <v>50203010 00</v>
      </c>
      <c r="K1303" s="338" t="str">
        <f>IFERROR(VLOOKUP(I1303,'Chart of accounts'!A:H,3,FALSE),"")</f>
        <v>Office Supplies Expenses</v>
      </c>
      <c r="L1303" s="338" t="str">
        <f>IFERROR(VLOOKUP(I1303,'Chart of accounts'!A:H,4,FALSE),"")</f>
        <v>50203010 00 - Office Supplies Expenses (755)</v>
      </c>
      <c r="M1303" s="361" t="s">
        <v>814</v>
      </c>
      <c r="N1303" s="355" t="s">
        <v>1354</v>
      </c>
      <c r="O1303" s="355" t="s">
        <v>1519</v>
      </c>
      <c r="P1303" s="355"/>
      <c r="Q1303" s="363">
        <v>2500</v>
      </c>
      <c r="R1303" s="428">
        <f t="shared" si="50"/>
        <v>-2500</v>
      </c>
      <c r="S1303" s="239" t="str">
        <f>VLOOKUP(H1303,'Fund Utilization Report'!$A$4:$U$1800,13,FALSE)</f>
        <v>MOOE</v>
      </c>
      <c r="T1303" s="239" t="str">
        <f>VLOOKUP(H1303,'Fund Utilization Report'!$A$4:$U$1800,2,FALSE)</f>
        <v>GAA</v>
      </c>
      <c r="U1303" s="239" t="str">
        <f>VLOOKUP(H1303,'Fund Utilization Report'!$A$4:$U$1800,3,FALSE)</f>
        <v>FY2021, RA11518</v>
      </c>
      <c r="V1303" s="239" t="str">
        <f>VLOOKUP(H1303,'Fund Utilization Report'!$A$4:$U$1800,4,FALSE)</f>
        <v>OO2</v>
      </c>
      <c r="W1303" s="239" t="str">
        <f>VLOOKUP(H1303,'Fund Utilization Report'!$A$4:$U$1800,5,FALSE)</f>
        <v>01101101</v>
      </c>
      <c r="X1303" s="239" t="str">
        <f>VLOOKUP(H1303,'Fund Utilization Report'!$A$4:$U$1800,6,FALSE)</f>
        <v>GOP</v>
      </c>
      <c r="Y1303" s="440" t="str">
        <f>VLOOKUP(H1303,'Fund Utilization Report'!$A$4:$U$1800,7,FALSE)</f>
        <v>MOOE</v>
      </c>
      <c r="Z1303" s="441">
        <f>VLOOKUP(H1303,'Fund Utilization Report'!$A$4:$U$1800,8,FALSE)</f>
        <v>5020000000</v>
      </c>
      <c r="AA1303" s="239" t="str">
        <f>VLOOKUP(H1303,'Fund Utilization Report'!$A$4:$U$1800,14,FALSE)</f>
        <v>320100100001000</v>
      </c>
      <c r="AB1303" s="242" t="str">
        <f>VLOOKUP(H1303,'Fund Utilization Report'!$A$4:$U$1800,15,FALSE)</f>
        <v>Formulation of Strategic plans,programs, and policies to develop competitve industries</v>
      </c>
      <c r="AC1303" s="51"/>
      <c r="AD1303" s="435"/>
      <c r="AE1303" s="51"/>
      <c r="AF1303" s="51"/>
      <c r="AG1303" s="442"/>
      <c r="AH1303" s="442"/>
      <c r="AI1303" s="443"/>
    </row>
    <row r="1304" spans="1:35" s="32" customFormat="1" ht="27.6">
      <c r="A1304" s="434" t="s">
        <v>942</v>
      </c>
      <c r="B1304" s="457" t="s">
        <v>946</v>
      </c>
      <c r="C1304" s="233">
        <v>44279</v>
      </c>
      <c r="D1304" s="435" t="s">
        <v>1267</v>
      </c>
      <c r="E1304" s="436" t="s">
        <v>1520</v>
      </c>
      <c r="F1304" s="338">
        <v>0.42152777777777778</v>
      </c>
      <c r="G1304" s="338">
        <v>0.42291666666666666</v>
      </c>
      <c r="H1304" s="338" t="s">
        <v>977</v>
      </c>
      <c r="I1304" s="353">
        <v>781</v>
      </c>
      <c r="J1304" s="338" t="str">
        <f>IFERROR(VLOOKUP(I1304,'Chart of accounts'!A:H,2,FALSE),"")</f>
        <v>50299020 00</v>
      </c>
      <c r="K1304" s="338" t="str">
        <f>IFERROR(VLOOKUP(I1304,'Chart of accounts'!A:H,3,FALSE),"")</f>
        <v>Printing and Binding Expenses</v>
      </c>
      <c r="L1304" s="338" t="str">
        <f>IFERROR(VLOOKUP(I1304,'Chart of accounts'!A:H,4,FALSE),"")</f>
        <v>50299020 00 - Printing and Binding Expenses (781)</v>
      </c>
      <c r="M1304" s="361" t="s">
        <v>815</v>
      </c>
      <c r="N1304" s="355" t="s">
        <v>1433</v>
      </c>
      <c r="O1304" s="355" t="s">
        <v>1521</v>
      </c>
      <c r="P1304" s="355"/>
      <c r="Q1304" s="363">
        <v>640</v>
      </c>
      <c r="R1304" s="428">
        <f t="shared" si="50"/>
        <v>-640</v>
      </c>
      <c r="S1304" s="239" t="str">
        <f>VLOOKUP(H1304,'Fund Utilization Report'!$A$4:$U$1800,13,FALSE)</f>
        <v>MOOE</v>
      </c>
      <c r="T1304" s="239" t="str">
        <f>VLOOKUP(H1304,'Fund Utilization Report'!$A$4:$U$1800,2,FALSE)</f>
        <v>GAA</v>
      </c>
      <c r="U1304" s="239" t="str">
        <f>VLOOKUP(H1304,'Fund Utilization Report'!$A$4:$U$1800,3,FALSE)</f>
        <v>FY2021, RA11518</v>
      </c>
      <c r="V1304" s="239" t="str">
        <f>VLOOKUP(H1304,'Fund Utilization Report'!$A$4:$U$1800,4,FALSE)</f>
        <v>OO4.1(Acc)</v>
      </c>
      <c r="W1304" s="239" t="str">
        <f>VLOOKUP(H1304,'Fund Utilization Report'!$A$4:$U$1800,5,FALSE)</f>
        <v>01101101</v>
      </c>
      <c r="X1304" s="239" t="str">
        <f>VLOOKUP(H1304,'Fund Utilization Report'!$A$4:$U$1800,6,FALSE)</f>
        <v>GOP</v>
      </c>
      <c r="Y1304" s="440" t="str">
        <f>VLOOKUP(H1304,'Fund Utilization Report'!$A$4:$U$1800,7,FALSE)</f>
        <v>MOOE</v>
      </c>
      <c r="Z1304" s="441">
        <f>VLOOKUP(H1304,'Fund Utilization Report'!$A$4:$U$1800,8,FALSE)</f>
        <v>5020000000</v>
      </c>
      <c r="AA1304" s="239" t="str">
        <f>VLOOKUP(H1304,'Fund Utilization Report'!$A$4:$U$1800,14,FALSE)</f>
        <v>340100100003000</v>
      </c>
      <c r="AB1304" s="242" t="str">
        <f>VLOOKUP(H1304,'Fund Utilization Report'!$A$4:$U$1800,15,FALSE)</f>
        <v>Accreditation and Issuance of Business Licenses, Permits, registration and authorities</v>
      </c>
      <c r="AC1304" s="51"/>
      <c r="AD1304" s="435"/>
      <c r="AE1304" s="51"/>
      <c r="AF1304" s="51"/>
      <c r="AG1304" s="442"/>
      <c r="AH1304" s="442"/>
      <c r="AI1304" s="443"/>
    </row>
    <row r="1305" spans="1:35" s="32" customFormat="1" ht="27.6">
      <c r="A1305" s="434" t="s">
        <v>942</v>
      </c>
      <c r="B1305" s="457" t="s">
        <v>946</v>
      </c>
      <c r="C1305" s="233">
        <v>44279</v>
      </c>
      <c r="D1305" s="435" t="s">
        <v>1267</v>
      </c>
      <c r="E1305" s="436" t="s">
        <v>1522</v>
      </c>
      <c r="F1305" s="338">
        <v>0.42291666666666666</v>
      </c>
      <c r="G1305" s="338">
        <v>0.42430555555555555</v>
      </c>
      <c r="H1305" s="338" t="s">
        <v>961</v>
      </c>
      <c r="I1305" s="353">
        <v>841</v>
      </c>
      <c r="J1305" s="338" t="str">
        <f>IFERROR(VLOOKUP(I1305,'Chart of accounts'!A:H,2,FALSE),"")</f>
        <v>50213060 01</v>
      </c>
      <c r="K1305" s="338" t="str">
        <f>IFERROR(VLOOKUP(I1305,'Chart of accounts'!A:H,3,FALSE),"")</f>
        <v>Motor Vehicles</v>
      </c>
      <c r="L1305" s="338" t="str">
        <f>IFERROR(VLOOKUP(I1305,'Chart of accounts'!A:H,4,FALSE),"")</f>
        <v>50213060 01 - Motor Vehicles (841)</v>
      </c>
      <c r="M1305" s="361">
        <v>1</v>
      </c>
      <c r="N1305" s="355" t="s">
        <v>1523</v>
      </c>
      <c r="O1305" s="355" t="s">
        <v>1524</v>
      </c>
      <c r="P1305" s="355"/>
      <c r="Q1305" s="363">
        <v>11180</v>
      </c>
      <c r="R1305" s="428">
        <f t="shared" si="50"/>
        <v>-11180</v>
      </c>
      <c r="S1305" s="239" t="str">
        <f>VLOOKUP(H1305,'Fund Utilization Report'!$A$4:$U$1800,13,FALSE)</f>
        <v>MOOE</v>
      </c>
      <c r="T1305" s="239" t="str">
        <f>VLOOKUP(H1305,'Fund Utilization Report'!$A$4:$U$1800,2,FALSE)</f>
        <v>GAA</v>
      </c>
      <c r="U1305" s="239" t="str">
        <f>VLOOKUP(H1305,'Fund Utilization Report'!$A$4:$U$1800,3,FALSE)</f>
        <v>FY2021, RA11518</v>
      </c>
      <c r="V1305" s="239" t="str">
        <f>VLOOKUP(H1305,'Fund Utilization Report'!$A$4:$U$1800,4,FALSE)</f>
        <v>GAS(GMS)</v>
      </c>
      <c r="W1305" s="239" t="str">
        <f>VLOOKUP(H1305,'Fund Utilization Report'!$A$4:$U$1800,5,FALSE)</f>
        <v>01101101</v>
      </c>
      <c r="X1305" s="239" t="str">
        <f>VLOOKUP(H1305,'Fund Utilization Report'!$A$4:$U$1800,6,FALSE)</f>
        <v>GOP</v>
      </c>
      <c r="Y1305" s="440" t="str">
        <f>VLOOKUP(H1305,'Fund Utilization Report'!$A$4:$U$1800,7,FALSE)</f>
        <v>MOOE</v>
      </c>
      <c r="Z1305" s="441">
        <f>VLOOKUP(H1305,'Fund Utilization Report'!$A$4:$U$1800,8,FALSE)</f>
        <v>5020000000</v>
      </c>
      <c r="AA1305" s="239" t="str">
        <f>VLOOKUP(H1305,'Fund Utilization Report'!$A$4:$U$1800,14,FALSE)</f>
        <v>100000100001000</v>
      </c>
      <c r="AB1305" s="242" t="str">
        <f>VLOOKUP(H1305,'Fund Utilization Report'!$A$4:$U$1800,15,FALSE)</f>
        <v>General Administration and Supervision - General Management and Supervision</v>
      </c>
      <c r="AC1305" s="51"/>
      <c r="AD1305" s="435"/>
      <c r="AE1305" s="51"/>
      <c r="AF1305" s="51"/>
      <c r="AG1305" s="442"/>
      <c r="AH1305" s="442"/>
      <c r="AI1305" s="443"/>
    </row>
    <row r="1306" spans="1:35" s="32" customFormat="1" ht="27.6">
      <c r="A1306" s="434" t="s">
        <v>942</v>
      </c>
      <c r="B1306" s="457" t="s">
        <v>946</v>
      </c>
      <c r="C1306" s="233">
        <v>44279</v>
      </c>
      <c r="D1306" s="435" t="s">
        <v>1267</v>
      </c>
      <c r="E1306" s="436" t="s">
        <v>1522</v>
      </c>
      <c r="F1306" s="338">
        <v>0.42291666666666666</v>
      </c>
      <c r="G1306" s="338">
        <v>0.42430555555555555</v>
      </c>
      <c r="H1306" s="338" t="s">
        <v>968</v>
      </c>
      <c r="I1306" s="353">
        <v>841</v>
      </c>
      <c r="J1306" s="338" t="str">
        <f>IFERROR(VLOOKUP(I1306,'Chart of accounts'!A:H,2,FALSE),"")</f>
        <v>50213060 01</v>
      </c>
      <c r="K1306" s="338" t="str">
        <f>IFERROR(VLOOKUP(I1306,'Chart of accounts'!A:H,3,FALSE),"")</f>
        <v>Motor Vehicles</v>
      </c>
      <c r="L1306" s="338" t="str">
        <f>IFERROR(VLOOKUP(I1306,'Chart of accounts'!A:H,4,FALSE),"")</f>
        <v>50213060 01 - Motor Vehicles (841)</v>
      </c>
      <c r="M1306" s="361">
        <v>1</v>
      </c>
      <c r="N1306" s="355" t="s">
        <v>1523</v>
      </c>
      <c r="O1306" s="355" t="s">
        <v>1524</v>
      </c>
      <c r="P1306" s="355"/>
      <c r="Q1306" s="363">
        <v>22000</v>
      </c>
      <c r="R1306" s="428">
        <f t="shared" si="50"/>
        <v>-22000</v>
      </c>
      <c r="S1306" s="239" t="str">
        <f>VLOOKUP(H1306,'Fund Utilization Report'!$A$4:$U$1800,13,FALSE)</f>
        <v>MOOE</v>
      </c>
      <c r="T1306" s="239" t="str">
        <f>VLOOKUP(H1306,'Fund Utilization Report'!$A$4:$U$1800,2,FALSE)</f>
        <v>GAA</v>
      </c>
      <c r="U1306" s="239" t="str">
        <f>VLOOKUP(H1306,'Fund Utilization Report'!$A$4:$U$1800,3,FALSE)</f>
        <v>FY2021, RA11518</v>
      </c>
      <c r="V1306" s="239" t="str">
        <f>VLOOKUP(H1306,'Fund Utilization Report'!$A$4:$U$1800,4,FALSE)</f>
        <v>OO2</v>
      </c>
      <c r="W1306" s="239" t="str">
        <f>VLOOKUP(H1306,'Fund Utilization Report'!$A$4:$U$1800,5,FALSE)</f>
        <v>01101101</v>
      </c>
      <c r="X1306" s="239" t="str">
        <f>VLOOKUP(H1306,'Fund Utilization Report'!$A$4:$U$1800,6,FALSE)</f>
        <v>GOP</v>
      </c>
      <c r="Y1306" s="440" t="str">
        <f>VLOOKUP(H1306,'Fund Utilization Report'!$A$4:$U$1800,7,FALSE)</f>
        <v>MOOE</v>
      </c>
      <c r="Z1306" s="441">
        <f>VLOOKUP(H1306,'Fund Utilization Report'!$A$4:$U$1800,8,FALSE)</f>
        <v>5020000000</v>
      </c>
      <c r="AA1306" s="239" t="str">
        <f>VLOOKUP(H1306,'Fund Utilization Report'!$A$4:$U$1800,14,FALSE)</f>
        <v>320100100001000</v>
      </c>
      <c r="AB1306" s="242" t="str">
        <f>VLOOKUP(H1306,'Fund Utilization Report'!$A$4:$U$1800,15,FALSE)</f>
        <v>Formulation of Strategic plans,programs, and policies to develop competitve industries</v>
      </c>
      <c r="AC1306" s="51"/>
      <c r="AD1306" s="435"/>
      <c r="AE1306" s="51"/>
      <c r="AF1306" s="51"/>
      <c r="AG1306" s="442"/>
      <c r="AH1306" s="442"/>
      <c r="AI1306" s="443"/>
    </row>
    <row r="1307" spans="1:35" s="32" customFormat="1" ht="27.6">
      <c r="A1307" s="434" t="s">
        <v>942</v>
      </c>
      <c r="B1307" s="457" t="s">
        <v>946</v>
      </c>
      <c r="C1307" s="233">
        <v>44279</v>
      </c>
      <c r="D1307" s="435" t="s">
        <v>1267</v>
      </c>
      <c r="E1307" s="436" t="s">
        <v>1525</v>
      </c>
      <c r="F1307" s="338">
        <v>0.42430555555555555</v>
      </c>
      <c r="G1307" s="338">
        <v>0.42708333333333331</v>
      </c>
      <c r="H1307" s="338" t="s">
        <v>961</v>
      </c>
      <c r="I1307" s="353">
        <v>755</v>
      </c>
      <c r="J1307" s="338" t="str">
        <f>IFERROR(VLOOKUP(I1307,'Chart of accounts'!A:H,2,FALSE),"")</f>
        <v>50203010 00</v>
      </c>
      <c r="K1307" s="338" t="str">
        <f>IFERROR(VLOOKUP(I1307,'Chart of accounts'!A:H,3,FALSE),"")</f>
        <v>Office Supplies Expenses</v>
      </c>
      <c r="L1307" s="338" t="str">
        <f>IFERROR(VLOOKUP(I1307,'Chart of accounts'!A:H,4,FALSE),"")</f>
        <v>50203010 00 - Office Supplies Expenses (755)</v>
      </c>
      <c r="M1307" s="361" t="s">
        <v>816</v>
      </c>
      <c r="N1307" s="355" t="s">
        <v>773</v>
      </c>
      <c r="O1307" s="355" t="s">
        <v>1526</v>
      </c>
      <c r="P1307" s="355"/>
      <c r="Q1307" s="363">
        <v>750.85</v>
      </c>
      <c r="R1307" s="428">
        <f t="shared" si="50"/>
        <v>-750.85</v>
      </c>
      <c r="S1307" s="239" t="str">
        <f>VLOOKUP(H1307,'Fund Utilization Report'!$A$4:$U$1800,13,FALSE)</f>
        <v>MOOE</v>
      </c>
      <c r="T1307" s="239" t="str">
        <f>VLOOKUP(H1307,'Fund Utilization Report'!$A$4:$U$1800,2,FALSE)</f>
        <v>GAA</v>
      </c>
      <c r="U1307" s="239" t="str">
        <f>VLOOKUP(H1307,'Fund Utilization Report'!$A$4:$U$1800,3,FALSE)</f>
        <v>FY2021, RA11518</v>
      </c>
      <c r="V1307" s="239" t="str">
        <f>VLOOKUP(H1307,'Fund Utilization Report'!$A$4:$U$1800,4,FALSE)</f>
        <v>GAS(GMS)</v>
      </c>
      <c r="W1307" s="239" t="str">
        <f>VLOOKUP(H1307,'Fund Utilization Report'!$A$4:$U$1800,5,FALSE)</f>
        <v>01101101</v>
      </c>
      <c r="X1307" s="239" t="str">
        <f>VLOOKUP(H1307,'Fund Utilization Report'!$A$4:$U$1800,6,FALSE)</f>
        <v>GOP</v>
      </c>
      <c r="Y1307" s="440" t="str">
        <f>VLOOKUP(H1307,'Fund Utilization Report'!$A$4:$U$1800,7,FALSE)</f>
        <v>MOOE</v>
      </c>
      <c r="Z1307" s="441">
        <f>VLOOKUP(H1307,'Fund Utilization Report'!$A$4:$U$1800,8,FALSE)</f>
        <v>5020000000</v>
      </c>
      <c r="AA1307" s="239" t="str">
        <f>VLOOKUP(H1307,'Fund Utilization Report'!$A$4:$U$1800,14,FALSE)</f>
        <v>100000100001000</v>
      </c>
      <c r="AB1307" s="242" t="str">
        <f>VLOOKUP(H1307,'Fund Utilization Report'!$A$4:$U$1800,15,FALSE)</f>
        <v>General Administration and Supervision - General Management and Supervision</v>
      </c>
      <c r="AC1307" s="51"/>
      <c r="AD1307" s="435"/>
      <c r="AE1307" s="51"/>
      <c r="AF1307" s="51"/>
      <c r="AG1307" s="442"/>
      <c r="AH1307" s="442"/>
      <c r="AI1307" s="443"/>
    </row>
    <row r="1308" spans="1:35" s="32" customFormat="1" ht="27.6">
      <c r="A1308" s="434" t="s">
        <v>942</v>
      </c>
      <c r="B1308" s="457" t="s">
        <v>946</v>
      </c>
      <c r="C1308" s="233">
        <v>44279</v>
      </c>
      <c r="D1308" s="435" t="s">
        <v>1267</v>
      </c>
      <c r="E1308" s="436" t="s">
        <v>1525</v>
      </c>
      <c r="F1308" s="338">
        <v>0.42430555555555555</v>
      </c>
      <c r="G1308" s="338">
        <v>0.42708333333333331</v>
      </c>
      <c r="H1308" s="338" t="s">
        <v>961</v>
      </c>
      <c r="I1308" s="353">
        <v>784</v>
      </c>
      <c r="J1308" s="338" t="str">
        <f>IFERROR(VLOOKUP(I1308,'Chart of accounts'!A:H,2,FALSE),"")</f>
        <v>50299040 00</v>
      </c>
      <c r="K1308" s="338" t="str">
        <f>IFERROR(VLOOKUP(I1308,'Chart of accounts'!A:H,3,FALSE),"")</f>
        <v>Transportation and Delivery Expenses</v>
      </c>
      <c r="L1308" s="338" t="str">
        <f>IFERROR(VLOOKUP(I1308,'Chart of accounts'!A:H,4,FALSE),"")</f>
        <v>50299040 00 - Transportation and Delivery Expenses (784)</v>
      </c>
      <c r="M1308" s="361" t="s">
        <v>816</v>
      </c>
      <c r="N1308" s="355" t="s">
        <v>773</v>
      </c>
      <c r="O1308" s="355" t="s">
        <v>1526</v>
      </c>
      <c r="P1308" s="355"/>
      <c r="Q1308" s="363">
        <v>450</v>
      </c>
      <c r="R1308" s="428">
        <f t="shared" si="50"/>
        <v>-450</v>
      </c>
      <c r="S1308" s="239" t="str">
        <f>VLOOKUP(H1308,'Fund Utilization Report'!$A$4:$U$1800,13,FALSE)</f>
        <v>MOOE</v>
      </c>
      <c r="T1308" s="239" t="str">
        <f>VLOOKUP(H1308,'Fund Utilization Report'!$A$4:$U$1800,2,FALSE)</f>
        <v>GAA</v>
      </c>
      <c r="U1308" s="239" t="str">
        <f>VLOOKUP(H1308,'Fund Utilization Report'!$A$4:$U$1800,3,FALSE)</f>
        <v>FY2021, RA11518</v>
      </c>
      <c r="V1308" s="239" t="str">
        <f>VLOOKUP(H1308,'Fund Utilization Report'!$A$4:$U$1800,4,FALSE)</f>
        <v>GAS(GMS)</v>
      </c>
      <c r="W1308" s="239" t="str">
        <f>VLOOKUP(H1308,'Fund Utilization Report'!$A$4:$U$1800,5,FALSE)</f>
        <v>01101101</v>
      </c>
      <c r="X1308" s="239" t="str">
        <f>VLOOKUP(H1308,'Fund Utilization Report'!$A$4:$U$1800,6,FALSE)</f>
        <v>GOP</v>
      </c>
      <c r="Y1308" s="440" t="str">
        <f>VLOOKUP(H1308,'Fund Utilization Report'!$A$4:$U$1800,7,FALSE)</f>
        <v>MOOE</v>
      </c>
      <c r="Z1308" s="441">
        <f>VLOOKUP(H1308,'Fund Utilization Report'!$A$4:$U$1800,8,FALSE)</f>
        <v>5020000000</v>
      </c>
      <c r="AA1308" s="239" t="str">
        <f>VLOOKUP(H1308,'Fund Utilization Report'!$A$4:$U$1800,14,FALSE)</f>
        <v>100000100001000</v>
      </c>
      <c r="AB1308" s="242" t="str">
        <f>VLOOKUP(H1308,'Fund Utilization Report'!$A$4:$U$1800,15,FALSE)</f>
        <v>General Administration and Supervision - General Management and Supervision</v>
      </c>
      <c r="AC1308" s="51"/>
      <c r="AD1308" s="435"/>
      <c r="AE1308" s="51"/>
      <c r="AF1308" s="51"/>
      <c r="AG1308" s="442"/>
      <c r="AH1308" s="442"/>
      <c r="AI1308" s="443"/>
    </row>
    <row r="1309" spans="1:35" s="32" customFormat="1" ht="27.6">
      <c r="A1309" s="434" t="s">
        <v>942</v>
      </c>
      <c r="B1309" s="457" t="s">
        <v>946</v>
      </c>
      <c r="C1309" s="233">
        <v>44279</v>
      </c>
      <c r="D1309" s="435" t="s">
        <v>1267</v>
      </c>
      <c r="E1309" s="436" t="s">
        <v>1525</v>
      </c>
      <c r="F1309" s="338">
        <v>0.42430555555555555</v>
      </c>
      <c r="G1309" s="338">
        <v>0.42708333333333331</v>
      </c>
      <c r="H1309" s="338" t="s">
        <v>961</v>
      </c>
      <c r="I1309" s="353">
        <v>781</v>
      </c>
      <c r="J1309" s="338" t="str">
        <f>IFERROR(VLOOKUP(I1309,'Chart of accounts'!A:H,2,FALSE),"")</f>
        <v>50299020 00</v>
      </c>
      <c r="K1309" s="338" t="str">
        <f>IFERROR(VLOOKUP(I1309,'Chart of accounts'!A:H,3,FALSE),"")</f>
        <v>Printing and Binding Expenses</v>
      </c>
      <c r="L1309" s="338" t="str">
        <f>IFERROR(VLOOKUP(I1309,'Chart of accounts'!A:H,4,FALSE),"")</f>
        <v>50299020 00 - Printing and Binding Expenses (781)</v>
      </c>
      <c r="M1309" s="361" t="s">
        <v>816</v>
      </c>
      <c r="N1309" s="355" t="s">
        <v>773</v>
      </c>
      <c r="O1309" s="355" t="s">
        <v>1526</v>
      </c>
      <c r="P1309" s="355"/>
      <c r="Q1309" s="363">
        <v>205</v>
      </c>
      <c r="R1309" s="428">
        <f t="shared" si="50"/>
        <v>-205</v>
      </c>
      <c r="S1309" s="239" t="str">
        <f>VLOOKUP(H1309,'Fund Utilization Report'!$A$4:$U$1800,13,FALSE)</f>
        <v>MOOE</v>
      </c>
      <c r="T1309" s="239" t="str">
        <f>VLOOKUP(H1309,'Fund Utilization Report'!$A$4:$U$1800,2,FALSE)</f>
        <v>GAA</v>
      </c>
      <c r="U1309" s="239" t="str">
        <f>VLOOKUP(H1309,'Fund Utilization Report'!$A$4:$U$1800,3,FALSE)</f>
        <v>FY2021, RA11518</v>
      </c>
      <c r="V1309" s="239" t="str">
        <f>VLOOKUP(H1309,'Fund Utilization Report'!$A$4:$U$1800,4,FALSE)</f>
        <v>GAS(GMS)</v>
      </c>
      <c r="W1309" s="239" t="str">
        <f>VLOOKUP(H1309,'Fund Utilization Report'!$A$4:$U$1800,5,FALSE)</f>
        <v>01101101</v>
      </c>
      <c r="X1309" s="239" t="str">
        <f>VLOOKUP(H1309,'Fund Utilization Report'!$A$4:$U$1800,6,FALSE)</f>
        <v>GOP</v>
      </c>
      <c r="Y1309" s="440" t="str">
        <f>VLOOKUP(H1309,'Fund Utilization Report'!$A$4:$U$1800,7,FALSE)</f>
        <v>MOOE</v>
      </c>
      <c r="Z1309" s="441">
        <f>VLOOKUP(H1309,'Fund Utilization Report'!$A$4:$U$1800,8,FALSE)</f>
        <v>5020000000</v>
      </c>
      <c r="AA1309" s="239" t="str">
        <f>VLOOKUP(H1309,'Fund Utilization Report'!$A$4:$U$1800,14,FALSE)</f>
        <v>100000100001000</v>
      </c>
      <c r="AB1309" s="242" t="str">
        <f>VLOOKUP(H1309,'Fund Utilization Report'!$A$4:$U$1800,15,FALSE)</f>
        <v>General Administration and Supervision - General Management and Supervision</v>
      </c>
      <c r="AC1309" s="51"/>
      <c r="AD1309" s="435"/>
      <c r="AE1309" s="51"/>
      <c r="AF1309" s="51"/>
      <c r="AG1309" s="442"/>
      <c r="AH1309" s="442"/>
      <c r="AI1309" s="443"/>
    </row>
    <row r="1310" spans="1:35" s="32" customFormat="1" ht="27.6">
      <c r="A1310" s="434" t="s">
        <v>942</v>
      </c>
      <c r="B1310" s="457" t="s">
        <v>946</v>
      </c>
      <c r="C1310" s="233">
        <v>44279</v>
      </c>
      <c r="D1310" s="435" t="s">
        <v>1267</v>
      </c>
      <c r="E1310" s="436" t="s">
        <v>1525</v>
      </c>
      <c r="F1310" s="338">
        <v>0.42430555555555555</v>
      </c>
      <c r="G1310" s="338">
        <v>0.42708333333333331</v>
      </c>
      <c r="H1310" s="338" t="s">
        <v>961</v>
      </c>
      <c r="I1310" s="353">
        <v>795</v>
      </c>
      <c r="J1310" s="338" t="str">
        <f>IFERROR(VLOOKUP(I1310,'Chart of accounts'!A:H,2,FALSE),"")</f>
        <v>50212990 00</v>
      </c>
      <c r="K1310" s="338" t="str">
        <f>IFERROR(VLOOKUP(I1310,'Chart of accounts'!A:H,3,FALSE),"")</f>
        <v>Other General Services</v>
      </c>
      <c r="L1310" s="338" t="str">
        <f>IFERROR(VLOOKUP(I1310,'Chart of accounts'!A:H,4,FALSE),"")</f>
        <v>50212990 00 - Other General Services (795)</v>
      </c>
      <c r="M1310" s="361" t="s">
        <v>816</v>
      </c>
      <c r="N1310" s="355" t="s">
        <v>773</v>
      </c>
      <c r="O1310" s="355" t="s">
        <v>1526</v>
      </c>
      <c r="P1310" s="355"/>
      <c r="Q1310" s="363">
        <v>2550</v>
      </c>
      <c r="R1310" s="428">
        <f t="shared" ref="R1310:R1373" si="51">P1310-Q1310</f>
        <v>-2550</v>
      </c>
      <c r="S1310" s="239" t="str">
        <f>VLOOKUP(H1310,'Fund Utilization Report'!$A$4:$U$1800,13,FALSE)</f>
        <v>MOOE</v>
      </c>
      <c r="T1310" s="239" t="str">
        <f>VLOOKUP(H1310,'Fund Utilization Report'!$A$4:$U$1800,2,FALSE)</f>
        <v>GAA</v>
      </c>
      <c r="U1310" s="239" t="str">
        <f>VLOOKUP(H1310,'Fund Utilization Report'!$A$4:$U$1800,3,FALSE)</f>
        <v>FY2021, RA11518</v>
      </c>
      <c r="V1310" s="239" t="str">
        <f>VLOOKUP(H1310,'Fund Utilization Report'!$A$4:$U$1800,4,FALSE)</f>
        <v>GAS(GMS)</v>
      </c>
      <c r="W1310" s="239" t="str">
        <f>VLOOKUP(H1310,'Fund Utilization Report'!$A$4:$U$1800,5,FALSE)</f>
        <v>01101101</v>
      </c>
      <c r="X1310" s="239" t="str">
        <f>VLOOKUP(H1310,'Fund Utilization Report'!$A$4:$U$1800,6,FALSE)</f>
        <v>GOP</v>
      </c>
      <c r="Y1310" s="440" t="str">
        <f>VLOOKUP(H1310,'Fund Utilization Report'!$A$4:$U$1800,7,FALSE)</f>
        <v>MOOE</v>
      </c>
      <c r="Z1310" s="441">
        <f>VLOOKUP(H1310,'Fund Utilization Report'!$A$4:$U$1800,8,FALSE)</f>
        <v>5020000000</v>
      </c>
      <c r="AA1310" s="239" t="str">
        <f>VLOOKUP(H1310,'Fund Utilization Report'!$A$4:$U$1800,14,FALSE)</f>
        <v>100000100001000</v>
      </c>
      <c r="AB1310" s="242" t="str">
        <f>VLOOKUP(H1310,'Fund Utilization Report'!$A$4:$U$1800,15,FALSE)</f>
        <v>General Administration and Supervision - General Management and Supervision</v>
      </c>
      <c r="AC1310" s="51"/>
      <c r="AD1310" s="435"/>
      <c r="AE1310" s="51"/>
      <c r="AF1310" s="51"/>
      <c r="AG1310" s="442"/>
      <c r="AH1310" s="442"/>
      <c r="AI1310" s="443"/>
    </row>
    <row r="1311" spans="1:35" s="32" customFormat="1" ht="27.6">
      <c r="A1311" s="434" t="s">
        <v>942</v>
      </c>
      <c r="B1311" s="457" t="s">
        <v>946</v>
      </c>
      <c r="C1311" s="233">
        <v>44279</v>
      </c>
      <c r="D1311" s="435" t="s">
        <v>1267</v>
      </c>
      <c r="E1311" s="436" t="s">
        <v>1525</v>
      </c>
      <c r="F1311" s="338">
        <v>0.42430555555555555</v>
      </c>
      <c r="G1311" s="338">
        <v>0.42708333333333331</v>
      </c>
      <c r="H1311" s="338" t="s">
        <v>961</v>
      </c>
      <c r="I1311" s="353">
        <v>799</v>
      </c>
      <c r="J1311" s="338" t="str">
        <f>IFERROR(VLOOKUP(I1311,'Chart of accounts'!A:H,2,FALSE),"")</f>
        <v>50211990 00</v>
      </c>
      <c r="K1311" s="338" t="str">
        <f>IFERROR(VLOOKUP(I1311,'Chart of accounts'!A:H,3,FALSE),"")</f>
        <v>Other Professional Services</v>
      </c>
      <c r="L1311" s="338" t="str">
        <f>IFERROR(VLOOKUP(I1311,'Chart of accounts'!A:H,4,FALSE),"")</f>
        <v>50211990 00 - Other Professional Services (799)</v>
      </c>
      <c r="M1311" s="361" t="s">
        <v>816</v>
      </c>
      <c r="N1311" s="355" t="s">
        <v>773</v>
      </c>
      <c r="O1311" s="355" t="s">
        <v>1526</v>
      </c>
      <c r="P1311" s="355"/>
      <c r="Q1311" s="363">
        <v>400</v>
      </c>
      <c r="R1311" s="428">
        <f t="shared" si="51"/>
        <v>-400</v>
      </c>
      <c r="S1311" s="239" t="str">
        <f>VLOOKUP(H1311,'Fund Utilization Report'!$A$4:$U$1800,13,FALSE)</f>
        <v>MOOE</v>
      </c>
      <c r="T1311" s="239" t="str">
        <f>VLOOKUP(H1311,'Fund Utilization Report'!$A$4:$U$1800,2,FALSE)</f>
        <v>GAA</v>
      </c>
      <c r="U1311" s="239" t="str">
        <f>VLOOKUP(H1311,'Fund Utilization Report'!$A$4:$U$1800,3,FALSE)</f>
        <v>FY2021, RA11518</v>
      </c>
      <c r="V1311" s="239" t="str">
        <f>VLOOKUP(H1311,'Fund Utilization Report'!$A$4:$U$1800,4,FALSE)</f>
        <v>GAS(GMS)</v>
      </c>
      <c r="W1311" s="239" t="str">
        <f>VLOOKUP(H1311,'Fund Utilization Report'!$A$4:$U$1800,5,FALSE)</f>
        <v>01101101</v>
      </c>
      <c r="X1311" s="239" t="str">
        <f>VLOOKUP(H1311,'Fund Utilization Report'!$A$4:$U$1800,6,FALSE)</f>
        <v>GOP</v>
      </c>
      <c r="Y1311" s="440" t="str">
        <f>VLOOKUP(H1311,'Fund Utilization Report'!$A$4:$U$1800,7,FALSE)</f>
        <v>MOOE</v>
      </c>
      <c r="Z1311" s="441">
        <f>VLOOKUP(H1311,'Fund Utilization Report'!$A$4:$U$1800,8,FALSE)</f>
        <v>5020000000</v>
      </c>
      <c r="AA1311" s="239" t="str">
        <f>VLOOKUP(H1311,'Fund Utilization Report'!$A$4:$U$1800,14,FALSE)</f>
        <v>100000100001000</v>
      </c>
      <c r="AB1311" s="242" t="str">
        <f>VLOOKUP(H1311,'Fund Utilization Report'!$A$4:$U$1800,15,FALSE)</f>
        <v>General Administration and Supervision - General Management and Supervision</v>
      </c>
      <c r="AC1311" s="51"/>
      <c r="AD1311" s="435"/>
      <c r="AE1311" s="51"/>
      <c r="AF1311" s="51"/>
      <c r="AG1311" s="442"/>
      <c r="AH1311" s="442"/>
      <c r="AI1311" s="443"/>
    </row>
    <row r="1312" spans="1:35" s="32" customFormat="1">
      <c r="A1312" s="434" t="s">
        <v>942</v>
      </c>
      <c r="B1312" s="457" t="s">
        <v>946</v>
      </c>
      <c r="C1312" s="233">
        <v>44279</v>
      </c>
      <c r="D1312" s="435" t="s">
        <v>1267</v>
      </c>
      <c r="E1312" s="436" t="s">
        <v>1527</v>
      </c>
      <c r="F1312" s="338">
        <v>0.46111111111111108</v>
      </c>
      <c r="G1312" s="338">
        <v>0.46527777777777773</v>
      </c>
      <c r="H1312" s="338" t="s">
        <v>961</v>
      </c>
      <c r="I1312" s="353">
        <v>756</v>
      </c>
      <c r="J1312" s="338" t="str">
        <f>IFERROR(VLOOKUP(I1312,'Chart of accounts'!A:H,2,FALSE),"")</f>
        <v>50203020 00</v>
      </c>
      <c r="K1312" s="338" t="str">
        <f>IFERROR(VLOOKUP(I1312,'Chart of accounts'!A:H,3,FALSE),"")</f>
        <v xml:space="preserve">Accountable Forms Expenses </v>
      </c>
      <c r="L1312" s="338" t="str">
        <f>IFERROR(VLOOKUP(I1312,'Chart of accounts'!A:H,4,FALSE),"")</f>
        <v>50203020 00 - Accountable Forms Expenses  (756)</v>
      </c>
      <c r="M1312" s="361">
        <v>2</v>
      </c>
      <c r="N1312" s="420" t="s">
        <v>818</v>
      </c>
      <c r="O1312" s="420" t="s">
        <v>1532</v>
      </c>
      <c r="P1312" s="420"/>
      <c r="Q1312" s="420">
        <v>2490</v>
      </c>
      <c r="R1312" s="428">
        <f t="shared" si="51"/>
        <v>-2490</v>
      </c>
      <c r="S1312" s="428" t="str">
        <f>VLOOKUP(H1312,'Fund Utilization Report'!$A$4:$U$1800,13,FALSE)</f>
        <v>MOOE</v>
      </c>
      <c r="T1312" s="428" t="str">
        <f>VLOOKUP(H1312,'Fund Utilization Report'!$A$4:$U$1800,2,FALSE)</f>
        <v>GAA</v>
      </c>
      <c r="U1312" s="428" t="str">
        <f>VLOOKUP(H1312,'Fund Utilization Report'!$A$4:$U$1800,3,FALSE)</f>
        <v>FY2021, RA11518</v>
      </c>
      <c r="V1312" s="428" t="str">
        <f>VLOOKUP(H1312,'Fund Utilization Report'!$A$4:$U$1800,4,FALSE)</f>
        <v>GAS(GMS)</v>
      </c>
      <c r="W1312" s="428" t="str">
        <f>VLOOKUP(H1312,'Fund Utilization Report'!$A$4:$U$1800,5,FALSE)</f>
        <v>01101101</v>
      </c>
      <c r="X1312" s="428" t="str">
        <f>VLOOKUP(H1312,'Fund Utilization Report'!$A$4:$U$1800,6,FALSE)</f>
        <v>GOP</v>
      </c>
      <c r="Y1312" s="320" t="str">
        <f>VLOOKUP(H1312,'Fund Utilization Report'!$A$4:$U$1800,7,FALSE)</f>
        <v>MOOE</v>
      </c>
      <c r="Z1312" s="425">
        <f>VLOOKUP(H1312,'Fund Utilization Report'!$A$4:$U$1800,8,FALSE)</f>
        <v>5020000000</v>
      </c>
      <c r="AA1312" s="428" t="str">
        <f>VLOOKUP(H1312,'Fund Utilization Report'!$A$4:$U$1800,14,FALSE)</f>
        <v>100000100001000</v>
      </c>
      <c r="AB1312" s="349" t="str">
        <f>VLOOKUP(H1312,'Fund Utilization Report'!$A$4:$U$1800,15,FALSE)</f>
        <v>General Administration and Supervision - General Management and Supervision</v>
      </c>
      <c r="AC1312" s="39"/>
      <c r="AD1312" s="34"/>
      <c r="AE1312" s="39"/>
      <c r="AF1312" s="51"/>
      <c r="AG1312" s="40"/>
      <c r="AH1312" s="40"/>
    </row>
    <row r="1313" spans="1:34" s="32" customFormat="1">
      <c r="A1313" s="434" t="s">
        <v>942</v>
      </c>
      <c r="B1313" s="457" t="s">
        <v>946</v>
      </c>
      <c r="C1313" s="233">
        <v>44279</v>
      </c>
      <c r="D1313" s="435" t="s">
        <v>1267</v>
      </c>
      <c r="E1313" s="436" t="s">
        <v>1527</v>
      </c>
      <c r="F1313" s="338">
        <v>0.46111111111111108</v>
      </c>
      <c r="G1313" s="338">
        <v>0.46527777777777773</v>
      </c>
      <c r="H1313" s="338" t="s">
        <v>961</v>
      </c>
      <c r="I1313" s="353">
        <v>753</v>
      </c>
      <c r="J1313" s="338" t="str">
        <f>IFERROR(VLOOKUP(I1313,'Chart of accounts'!A:H,2,FALSE),"")</f>
        <v>50202010 00</v>
      </c>
      <c r="K1313" s="338" t="str">
        <f>IFERROR(VLOOKUP(I1313,'Chart of accounts'!A:H,3,FALSE),"")</f>
        <v>Training Expenses</v>
      </c>
      <c r="L1313" s="338" t="str">
        <f>IFERROR(VLOOKUP(I1313,'Chart of accounts'!A:H,4,FALSE),"")</f>
        <v>50202010 00 - Training Expenses (753)</v>
      </c>
      <c r="M1313" s="361">
        <v>2</v>
      </c>
      <c r="N1313" s="420" t="s">
        <v>818</v>
      </c>
      <c r="O1313" s="420" t="s">
        <v>1532</v>
      </c>
      <c r="P1313" s="420"/>
      <c r="Q1313" s="420">
        <v>16185</v>
      </c>
      <c r="R1313" s="428">
        <f t="shared" si="51"/>
        <v>-16185</v>
      </c>
      <c r="S1313" s="428" t="str">
        <f>VLOOKUP(H1313,'Fund Utilization Report'!$A$4:$U$1800,13,FALSE)</f>
        <v>MOOE</v>
      </c>
      <c r="T1313" s="428" t="str">
        <f>VLOOKUP(H1313,'Fund Utilization Report'!$A$4:$U$1800,2,FALSE)</f>
        <v>GAA</v>
      </c>
      <c r="U1313" s="428" t="str">
        <f>VLOOKUP(H1313,'Fund Utilization Report'!$A$4:$U$1800,3,FALSE)</f>
        <v>FY2021, RA11518</v>
      </c>
      <c r="V1313" s="428" t="str">
        <f>VLOOKUP(H1313,'Fund Utilization Report'!$A$4:$U$1800,4,FALSE)</f>
        <v>GAS(GMS)</v>
      </c>
      <c r="W1313" s="428" t="str">
        <f>VLOOKUP(H1313,'Fund Utilization Report'!$A$4:$U$1800,5,FALSE)</f>
        <v>01101101</v>
      </c>
      <c r="X1313" s="428" t="str">
        <f>VLOOKUP(H1313,'Fund Utilization Report'!$A$4:$U$1800,6,FALSE)</f>
        <v>GOP</v>
      </c>
      <c r="Y1313" s="320" t="str">
        <f>VLOOKUP(H1313,'Fund Utilization Report'!$A$4:$U$1800,7,FALSE)</f>
        <v>MOOE</v>
      </c>
      <c r="Z1313" s="425">
        <f>VLOOKUP(H1313,'Fund Utilization Report'!$A$4:$U$1800,8,FALSE)</f>
        <v>5020000000</v>
      </c>
      <c r="AA1313" s="428" t="str">
        <f>VLOOKUP(H1313,'Fund Utilization Report'!$A$4:$U$1800,14,FALSE)</f>
        <v>100000100001000</v>
      </c>
      <c r="AB1313" s="349" t="str">
        <f>VLOOKUP(H1313,'Fund Utilization Report'!$A$4:$U$1800,15,FALSE)</f>
        <v>General Administration and Supervision - General Management and Supervision</v>
      </c>
      <c r="AC1313" s="39"/>
      <c r="AD1313" s="34"/>
      <c r="AE1313" s="39"/>
      <c r="AF1313" s="51"/>
      <c r="AG1313" s="40"/>
      <c r="AH1313" s="40"/>
    </row>
    <row r="1314" spans="1:34" s="32" customFormat="1">
      <c r="A1314" s="434" t="s">
        <v>942</v>
      </c>
      <c r="B1314" s="457" t="s">
        <v>946</v>
      </c>
      <c r="C1314" s="233">
        <v>44279</v>
      </c>
      <c r="D1314" s="435" t="s">
        <v>1267</v>
      </c>
      <c r="E1314" s="436" t="s">
        <v>1527</v>
      </c>
      <c r="F1314" s="338">
        <v>0.46111111111111108</v>
      </c>
      <c r="G1314" s="338">
        <v>0.46527777777777773</v>
      </c>
      <c r="H1314" s="338" t="s">
        <v>961</v>
      </c>
      <c r="I1314" s="353">
        <v>761</v>
      </c>
      <c r="J1314" s="338" t="str">
        <f>IFERROR(VLOOKUP(I1314,'Chart of accounts'!A:H,2,FALSE),"")</f>
        <v>50203090 00</v>
      </c>
      <c r="K1314" s="338" t="str">
        <f>IFERROR(VLOOKUP(I1314,'Chart of accounts'!A:H,3,FALSE),"")</f>
        <v>Fuel, Oil and Lubricants Expenses</v>
      </c>
      <c r="L1314" s="338" t="str">
        <f>IFERROR(VLOOKUP(I1314,'Chart of accounts'!A:H,4,FALSE),"")</f>
        <v>50203090 00 - Fuel, Oil and Lubricants Expenses (761)</v>
      </c>
      <c r="M1314" s="361">
        <v>2</v>
      </c>
      <c r="N1314" s="420" t="s">
        <v>818</v>
      </c>
      <c r="O1314" s="420" t="s">
        <v>1532</v>
      </c>
      <c r="P1314" s="420"/>
      <c r="Q1314" s="420">
        <v>12764.99</v>
      </c>
      <c r="R1314" s="428">
        <f t="shared" si="51"/>
        <v>-12764.99</v>
      </c>
      <c r="S1314" s="428" t="str">
        <f>VLOOKUP(H1314,'Fund Utilization Report'!$A$4:$U$1800,13,FALSE)</f>
        <v>MOOE</v>
      </c>
      <c r="T1314" s="428" t="str">
        <f>VLOOKUP(H1314,'Fund Utilization Report'!$A$4:$U$1800,2,FALSE)</f>
        <v>GAA</v>
      </c>
      <c r="U1314" s="428" t="str">
        <f>VLOOKUP(H1314,'Fund Utilization Report'!$A$4:$U$1800,3,FALSE)</f>
        <v>FY2021, RA11518</v>
      </c>
      <c r="V1314" s="428" t="str">
        <f>VLOOKUP(H1314,'Fund Utilization Report'!$A$4:$U$1800,4,FALSE)</f>
        <v>GAS(GMS)</v>
      </c>
      <c r="W1314" s="428" t="str">
        <f>VLOOKUP(H1314,'Fund Utilization Report'!$A$4:$U$1800,5,FALSE)</f>
        <v>01101101</v>
      </c>
      <c r="X1314" s="428" t="str">
        <f>VLOOKUP(H1314,'Fund Utilization Report'!$A$4:$U$1800,6,FALSE)</f>
        <v>GOP</v>
      </c>
      <c r="Y1314" s="320" t="str">
        <f>VLOOKUP(H1314,'Fund Utilization Report'!$A$4:$U$1800,7,FALSE)</f>
        <v>MOOE</v>
      </c>
      <c r="Z1314" s="425">
        <f>VLOOKUP(H1314,'Fund Utilization Report'!$A$4:$U$1800,8,FALSE)</f>
        <v>5020000000</v>
      </c>
      <c r="AA1314" s="428" t="str">
        <f>VLOOKUP(H1314,'Fund Utilization Report'!$A$4:$U$1800,14,FALSE)</f>
        <v>100000100001000</v>
      </c>
      <c r="AB1314" s="349" t="str">
        <f>VLOOKUP(H1314,'Fund Utilization Report'!$A$4:$U$1800,15,FALSE)</f>
        <v>General Administration and Supervision - General Management and Supervision</v>
      </c>
      <c r="AC1314" s="39"/>
      <c r="AD1314" s="34"/>
      <c r="AE1314" s="39"/>
      <c r="AF1314" s="51"/>
      <c r="AG1314" s="40"/>
      <c r="AH1314" s="40"/>
    </row>
    <row r="1315" spans="1:34" s="32" customFormat="1">
      <c r="A1315" s="434" t="s">
        <v>942</v>
      </c>
      <c r="B1315" s="457" t="s">
        <v>946</v>
      </c>
      <c r="C1315" s="233">
        <v>44279</v>
      </c>
      <c r="D1315" s="435" t="s">
        <v>1267</v>
      </c>
      <c r="E1315" s="436" t="s">
        <v>1527</v>
      </c>
      <c r="F1315" s="338">
        <v>0.46111111111111108</v>
      </c>
      <c r="G1315" s="338">
        <v>0.46527777777777773</v>
      </c>
      <c r="H1315" s="338" t="s">
        <v>961</v>
      </c>
      <c r="I1315" s="353">
        <v>766</v>
      </c>
      <c r="J1315" s="338" t="str">
        <f>IFERROR(VLOOKUP(I1315,'Chart of accounts'!A:H,2,FALSE),"")</f>
        <v>50204010 00</v>
      </c>
      <c r="K1315" s="338" t="str">
        <f>IFERROR(VLOOKUP(I1315,'Chart of accounts'!A:H,3,FALSE),"")</f>
        <v>Water Expenses</v>
      </c>
      <c r="L1315" s="338" t="str">
        <f>IFERROR(VLOOKUP(I1315,'Chart of accounts'!A:H,4,FALSE),"")</f>
        <v>50204010 00 - Water Expenses (766)</v>
      </c>
      <c r="M1315" s="361">
        <v>2</v>
      </c>
      <c r="N1315" s="420" t="s">
        <v>818</v>
      </c>
      <c r="O1315" s="420" t="s">
        <v>1532</v>
      </c>
      <c r="P1315" s="420"/>
      <c r="Q1315" s="420">
        <v>7096.5</v>
      </c>
      <c r="R1315" s="428">
        <f t="shared" si="51"/>
        <v>-7096.5</v>
      </c>
      <c r="S1315" s="428" t="str">
        <f>VLOOKUP(H1315,'Fund Utilization Report'!$A$4:$U$1800,13,FALSE)</f>
        <v>MOOE</v>
      </c>
      <c r="T1315" s="428" t="str">
        <f>VLOOKUP(H1315,'Fund Utilization Report'!$A$4:$U$1800,2,FALSE)</f>
        <v>GAA</v>
      </c>
      <c r="U1315" s="428" t="str">
        <f>VLOOKUP(H1315,'Fund Utilization Report'!$A$4:$U$1800,3,FALSE)</f>
        <v>FY2021, RA11518</v>
      </c>
      <c r="V1315" s="428" t="str">
        <f>VLOOKUP(H1315,'Fund Utilization Report'!$A$4:$U$1800,4,FALSE)</f>
        <v>GAS(GMS)</v>
      </c>
      <c r="W1315" s="428" t="str">
        <f>VLOOKUP(H1315,'Fund Utilization Report'!$A$4:$U$1800,5,FALSE)</f>
        <v>01101101</v>
      </c>
      <c r="X1315" s="428" t="str">
        <f>VLOOKUP(H1315,'Fund Utilization Report'!$A$4:$U$1800,6,FALSE)</f>
        <v>GOP</v>
      </c>
      <c r="Y1315" s="320" t="str">
        <f>VLOOKUP(H1315,'Fund Utilization Report'!$A$4:$U$1800,7,FALSE)</f>
        <v>MOOE</v>
      </c>
      <c r="Z1315" s="425">
        <f>VLOOKUP(H1315,'Fund Utilization Report'!$A$4:$U$1800,8,FALSE)</f>
        <v>5020000000</v>
      </c>
      <c r="AA1315" s="428" t="str">
        <f>VLOOKUP(H1315,'Fund Utilization Report'!$A$4:$U$1800,14,FALSE)</f>
        <v>100000100001000</v>
      </c>
      <c r="AB1315" s="349" t="str">
        <f>VLOOKUP(H1315,'Fund Utilization Report'!$A$4:$U$1800,15,FALSE)</f>
        <v>General Administration and Supervision - General Management and Supervision</v>
      </c>
      <c r="AC1315" s="39"/>
      <c r="AD1315" s="34"/>
      <c r="AE1315" s="39"/>
      <c r="AF1315" s="51"/>
      <c r="AG1315" s="40"/>
      <c r="AH1315" s="40"/>
    </row>
    <row r="1316" spans="1:34" s="32" customFormat="1">
      <c r="A1316" s="434" t="s">
        <v>942</v>
      </c>
      <c r="B1316" s="457" t="s">
        <v>946</v>
      </c>
      <c r="C1316" s="233">
        <v>44279</v>
      </c>
      <c r="D1316" s="435" t="s">
        <v>1267</v>
      </c>
      <c r="E1316" s="436" t="s">
        <v>1527</v>
      </c>
      <c r="F1316" s="338">
        <v>0.46111111111111108</v>
      </c>
      <c r="G1316" s="338">
        <v>0.46527777777777773</v>
      </c>
      <c r="H1316" s="338" t="s">
        <v>961</v>
      </c>
      <c r="I1316" s="353">
        <v>767</v>
      </c>
      <c r="J1316" s="338" t="str">
        <f>IFERROR(VLOOKUP(I1316,'Chart of accounts'!A:H,2,FALSE),"")</f>
        <v>50204020 00</v>
      </c>
      <c r="K1316" s="338" t="str">
        <f>IFERROR(VLOOKUP(I1316,'Chart of accounts'!A:H,3,FALSE),"")</f>
        <v>Electricity Expense</v>
      </c>
      <c r="L1316" s="338" t="str">
        <f>IFERROR(VLOOKUP(I1316,'Chart of accounts'!A:H,4,FALSE),"")</f>
        <v>50204020 00 - Electricity Expense (767)</v>
      </c>
      <c r="M1316" s="361">
        <v>2</v>
      </c>
      <c r="N1316" s="420" t="s">
        <v>818</v>
      </c>
      <c r="O1316" s="420" t="s">
        <v>1532</v>
      </c>
      <c r="P1316" s="420"/>
      <c r="Q1316" s="420">
        <v>64117.5</v>
      </c>
      <c r="R1316" s="428">
        <f t="shared" si="51"/>
        <v>-64117.5</v>
      </c>
      <c r="S1316" s="428" t="str">
        <f>VLOOKUP(H1316,'Fund Utilization Report'!$A$4:$U$1800,13,FALSE)</f>
        <v>MOOE</v>
      </c>
      <c r="T1316" s="428" t="str">
        <f>VLOOKUP(H1316,'Fund Utilization Report'!$A$4:$U$1800,2,FALSE)</f>
        <v>GAA</v>
      </c>
      <c r="U1316" s="428" t="str">
        <f>VLOOKUP(H1316,'Fund Utilization Report'!$A$4:$U$1800,3,FALSE)</f>
        <v>FY2021, RA11518</v>
      </c>
      <c r="V1316" s="428" t="str">
        <f>VLOOKUP(H1316,'Fund Utilization Report'!$A$4:$U$1800,4,FALSE)</f>
        <v>GAS(GMS)</v>
      </c>
      <c r="W1316" s="428" t="str">
        <f>VLOOKUP(H1316,'Fund Utilization Report'!$A$4:$U$1800,5,FALSE)</f>
        <v>01101101</v>
      </c>
      <c r="X1316" s="428" t="str">
        <f>VLOOKUP(H1316,'Fund Utilization Report'!$A$4:$U$1800,6,FALSE)</f>
        <v>GOP</v>
      </c>
      <c r="Y1316" s="320" t="str">
        <f>VLOOKUP(H1316,'Fund Utilization Report'!$A$4:$U$1800,7,FALSE)</f>
        <v>MOOE</v>
      </c>
      <c r="Z1316" s="425">
        <f>VLOOKUP(H1316,'Fund Utilization Report'!$A$4:$U$1800,8,FALSE)</f>
        <v>5020000000</v>
      </c>
      <c r="AA1316" s="428" t="str">
        <f>VLOOKUP(H1316,'Fund Utilization Report'!$A$4:$U$1800,14,FALSE)</f>
        <v>100000100001000</v>
      </c>
      <c r="AB1316" s="349" t="str">
        <f>VLOOKUP(H1316,'Fund Utilization Report'!$A$4:$U$1800,15,FALSE)</f>
        <v>General Administration and Supervision - General Management and Supervision</v>
      </c>
      <c r="AC1316" s="39"/>
      <c r="AD1316" s="34"/>
      <c r="AE1316" s="39"/>
      <c r="AF1316" s="51"/>
      <c r="AG1316" s="40"/>
      <c r="AH1316" s="40"/>
    </row>
    <row r="1317" spans="1:34" s="32" customFormat="1">
      <c r="A1317" s="434" t="s">
        <v>942</v>
      </c>
      <c r="B1317" s="457" t="s">
        <v>946</v>
      </c>
      <c r="C1317" s="233">
        <v>44279</v>
      </c>
      <c r="D1317" s="435" t="s">
        <v>1267</v>
      </c>
      <c r="E1317" s="436" t="s">
        <v>1527</v>
      </c>
      <c r="F1317" s="338">
        <v>0.46111111111111108</v>
      </c>
      <c r="G1317" s="338">
        <v>0.46527777777777773</v>
      </c>
      <c r="H1317" s="338" t="s">
        <v>961</v>
      </c>
      <c r="I1317" s="353">
        <v>771</v>
      </c>
      <c r="J1317" s="338" t="str">
        <f>IFERROR(VLOOKUP(I1317,'Chart of accounts'!A:H,2,FALSE),"")</f>
        <v>50205010 00</v>
      </c>
      <c r="K1317" s="338" t="str">
        <f>IFERROR(VLOOKUP(I1317,'Chart of accounts'!A:H,3,FALSE),"")</f>
        <v>Postage and Courier Services</v>
      </c>
      <c r="L1317" s="338" t="str">
        <f>IFERROR(VLOOKUP(I1317,'Chart of accounts'!A:H,4,FALSE),"")</f>
        <v>50205010 00 - Postage and Courier Services (771)</v>
      </c>
      <c r="M1317" s="361">
        <v>2</v>
      </c>
      <c r="N1317" s="420" t="s">
        <v>818</v>
      </c>
      <c r="O1317" s="420" t="s">
        <v>1532</v>
      </c>
      <c r="P1317" s="420"/>
      <c r="Q1317" s="420">
        <v>3112.5</v>
      </c>
      <c r="R1317" s="428">
        <f t="shared" si="51"/>
        <v>-3112.5</v>
      </c>
      <c r="S1317" s="428" t="str">
        <f>VLOOKUP(H1317,'Fund Utilization Report'!$A$4:$U$1800,13,FALSE)</f>
        <v>MOOE</v>
      </c>
      <c r="T1317" s="428" t="str">
        <f>VLOOKUP(H1317,'Fund Utilization Report'!$A$4:$U$1800,2,FALSE)</f>
        <v>GAA</v>
      </c>
      <c r="U1317" s="428" t="str">
        <f>VLOOKUP(H1317,'Fund Utilization Report'!$A$4:$U$1800,3,FALSE)</f>
        <v>FY2021, RA11518</v>
      </c>
      <c r="V1317" s="428" t="str">
        <f>VLOOKUP(H1317,'Fund Utilization Report'!$A$4:$U$1800,4,FALSE)</f>
        <v>GAS(GMS)</v>
      </c>
      <c r="W1317" s="428" t="str">
        <f>VLOOKUP(H1317,'Fund Utilization Report'!$A$4:$U$1800,5,FALSE)</f>
        <v>01101101</v>
      </c>
      <c r="X1317" s="428" t="str">
        <f>VLOOKUP(H1317,'Fund Utilization Report'!$A$4:$U$1800,6,FALSE)</f>
        <v>GOP</v>
      </c>
      <c r="Y1317" s="320" t="str">
        <f>VLOOKUP(H1317,'Fund Utilization Report'!$A$4:$U$1800,7,FALSE)</f>
        <v>MOOE</v>
      </c>
      <c r="Z1317" s="425">
        <f>VLOOKUP(H1317,'Fund Utilization Report'!$A$4:$U$1800,8,FALSE)</f>
        <v>5020000000</v>
      </c>
      <c r="AA1317" s="428" t="str">
        <f>VLOOKUP(H1317,'Fund Utilization Report'!$A$4:$U$1800,14,FALSE)</f>
        <v>100000100001000</v>
      </c>
      <c r="AB1317" s="349" t="str">
        <f>VLOOKUP(H1317,'Fund Utilization Report'!$A$4:$U$1800,15,FALSE)</f>
        <v>General Administration and Supervision - General Management and Supervision</v>
      </c>
      <c r="AC1317" s="39"/>
      <c r="AD1317" s="34"/>
      <c r="AE1317" s="39"/>
      <c r="AF1317" s="51"/>
      <c r="AG1317" s="40"/>
      <c r="AH1317" s="40"/>
    </row>
    <row r="1318" spans="1:34" s="32" customFormat="1">
      <c r="A1318" s="434" t="s">
        <v>942</v>
      </c>
      <c r="B1318" s="457" t="s">
        <v>946</v>
      </c>
      <c r="C1318" s="233">
        <v>44279</v>
      </c>
      <c r="D1318" s="435" t="s">
        <v>1267</v>
      </c>
      <c r="E1318" s="436" t="s">
        <v>1527</v>
      </c>
      <c r="F1318" s="338">
        <v>0.46111111111111108</v>
      </c>
      <c r="G1318" s="338">
        <v>0.46527777777777773</v>
      </c>
      <c r="H1318" s="338" t="s">
        <v>961</v>
      </c>
      <c r="I1318" s="353">
        <v>772</v>
      </c>
      <c r="J1318" s="338" t="str">
        <f>IFERROR(VLOOKUP(I1318,'Chart of accounts'!A:H,2,FALSE),"")</f>
        <v>50205020 02</v>
      </c>
      <c r="K1318" s="338" t="str">
        <f>IFERROR(VLOOKUP(I1318,'Chart of accounts'!A:H,3,FALSE),"")</f>
        <v xml:space="preserve">Telephone Expenses - Landline </v>
      </c>
      <c r="L1318" s="338" t="str">
        <f>IFERROR(VLOOKUP(I1318,'Chart of accounts'!A:H,4,FALSE),"")</f>
        <v>50205020 02 - Telephone Expenses - Landline  (772)</v>
      </c>
      <c r="M1318" s="361">
        <v>2</v>
      </c>
      <c r="N1318" s="420" t="s">
        <v>818</v>
      </c>
      <c r="O1318" s="420" t="s">
        <v>1532</v>
      </c>
      <c r="P1318" s="420"/>
      <c r="Q1318" s="420">
        <v>1143.4100000000001</v>
      </c>
      <c r="R1318" s="428">
        <f t="shared" si="51"/>
        <v>-1143.4100000000001</v>
      </c>
      <c r="S1318" s="428" t="str">
        <f>VLOOKUP(H1318,'Fund Utilization Report'!$A$4:$U$1800,13,FALSE)</f>
        <v>MOOE</v>
      </c>
      <c r="T1318" s="428" t="str">
        <f>VLOOKUP(H1318,'Fund Utilization Report'!$A$4:$U$1800,2,FALSE)</f>
        <v>GAA</v>
      </c>
      <c r="U1318" s="428" t="str">
        <f>VLOOKUP(H1318,'Fund Utilization Report'!$A$4:$U$1800,3,FALSE)</f>
        <v>FY2021, RA11518</v>
      </c>
      <c r="V1318" s="428" t="str">
        <f>VLOOKUP(H1318,'Fund Utilization Report'!$A$4:$U$1800,4,FALSE)</f>
        <v>GAS(GMS)</v>
      </c>
      <c r="W1318" s="428" t="str">
        <f>VLOOKUP(H1318,'Fund Utilization Report'!$A$4:$U$1800,5,FALSE)</f>
        <v>01101101</v>
      </c>
      <c r="X1318" s="428" t="str">
        <f>VLOOKUP(H1318,'Fund Utilization Report'!$A$4:$U$1800,6,FALSE)</f>
        <v>GOP</v>
      </c>
      <c r="Y1318" s="320" t="str">
        <f>VLOOKUP(H1318,'Fund Utilization Report'!$A$4:$U$1800,7,FALSE)</f>
        <v>MOOE</v>
      </c>
      <c r="Z1318" s="425">
        <f>VLOOKUP(H1318,'Fund Utilization Report'!$A$4:$U$1800,8,FALSE)</f>
        <v>5020000000</v>
      </c>
      <c r="AA1318" s="428" t="str">
        <f>VLOOKUP(H1318,'Fund Utilization Report'!$A$4:$U$1800,14,FALSE)</f>
        <v>100000100001000</v>
      </c>
      <c r="AB1318" s="349" t="str">
        <f>VLOOKUP(H1318,'Fund Utilization Report'!$A$4:$U$1800,15,FALSE)</f>
        <v>General Administration and Supervision - General Management and Supervision</v>
      </c>
      <c r="AC1318" s="39"/>
      <c r="AD1318" s="34"/>
      <c r="AE1318" s="39"/>
      <c r="AF1318" s="51"/>
      <c r="AG1318" s="40"/>
      <c r="AH1318" s="40"/>
    </row>
    <row r="1319" spans="1:34" s="32" customFormat="1">
      <c r="A1319" s="434" t="s">
        <v>942</v>
      </c>
      <c r="B1319" s="457" t="s">
        <v>946</v>
      </c>
      <c r="C1319" s="233">
        <v>44279</v>
      </c>
      <c r="D1319" s="435" t="s">
        <v>1267</v>
      </c>
      <c r="E1319" s="436" t="s">
        <v>1527</v>
      </c>
      <c r="F1319" s="338">
        <v>0.46111111111111108</v>
      </c>
      <c r="G1319" s="338">
        <v>0.46527777777777773</v>
      </c>
      <c r="H1319" s="338" t="s">
        <v>961</v>
      </c>
      <c r="I1319" s="353">
        <v>773</v>
      </c>
      <c r="J1319" s="338" t="str">
        <f>IFERROR(VLOOKUP(I1319,'Chart of accounts'!A:H,2,FALSE),"")</f>
        <v>50205020 01</v>
      </c>
      <c r="K1319" s="338" t="str">
        <f>IFERROR(VLOOKUP(I1319,'Chart of accounts'!A:H,3,FALSE),"")</f>
        <v xml:space="preserve">Telephone Expenses - Mobile </v>
      </c>
      <c r="L1319" s="338" t="str">
        <f>IFERROR(VLOOKUP(I1319,'Chart of accounts'!A:H,4,FALSE),"")</f>
        <v>50205020 01 - Telephone Expenses - Mobile  (773)</v>
      </c>
      <c r="M1319" s="361">
        <v>2</v>
      </c>
      <c r="N1319" s="420" t="s">
        <v>818</v>
      </c>
      <c r="O1319" s="420" t="s">
        <v>1532</v>
      </c>
      <c r="P1319" s="420"/>
      <c r="Q1319" s="420">
        <v>10458</v>
      </c>
      <c r="R1319" s="428">
        <f t="shared" si="51"/>
        <v>-10458</v>
      </c>
      <c r="S1319" s="428" t="str">
        <f>VLOOKUP(H1319,'Fund Utilization Report'!$A$4:$U$1800,13,FALSE)</f>
        <v>MOOE</v>
      </c>
      <c r="T1319" s="428" t="str">
        <f>VLOOKUP(H1319,'Fund Utilization Report'!$A$4:$U$1800,2,FALSE)</f>
        <v>GAA</v>
      </c>
      <c r="U1319" s="428" t="str">
        <f>VLOOKUP(H1319,'Fund Utilization Report'!$A$4:$U$1800,3,FALSE)</f>
        <v>FY2021, RA11518</v>
      </c>
      <c r="V1319" s="428" t="str">
        <f>VLOOKUP(H1319,'Fund Utilization Report'!$A$4:$U$1800,4,FALSE)</f>
        <v>GAS(GMS)</v>
      </c>
      <c r="W1319" s="428" t="str">
        <f>VLOOKUP(H1319,'Fund Utilization Report'!$A$4:$U$1800,5,FALSE)</f>
        <v>01101101</v>
      </c>
      <c r="X1319" s="428" t="str">
        <f>VLOOKUP(H1319,'Fund Utilization Report'!$A$4:$U$1800,6,FALSE)</f>
        <v>GOP</v>
      </c>
      <c r="Y1319" s="320" t="str">
        <f>VLOOKUP(H1319,'Fund Utilization Report'!$A$4:$U$1800,7,FALSE)</f>
        <v>MOOE</v>
      </c>
      <c r="Z1319" s="425">
        <f>VLOOKUP(H1319,'Fund Utilization Report'!$A$4:$U$1800,8,FALSE)</f>
        <v>5020000000</v>
      </c>
      <c r="AA1319" s="428" t="str">
        <f>VLOOKUP(H1319,'Fund Utilization Report'!$A$4:$U$1800,14,FALSE)</f>
        <v>100000100001000</v>
      </c>
      <c r="AB1319" s="349" t="str">
        <f>VLOOKUP(H1319,'Fund Utilization Report'!$A$4:$U$1800,15,FALSE)</f>
        <v>General Administration and Supervision - General Management and Supervision</v>
      </c>
      <c r="AC1319" s="39"/>
      <c r="AD1319" s="34"/>
      <c r="AE1319" s="39"/>
      <c r="AF1319" s="51"/>
      <c r="AG1319" s="40"/>
      <c r="AH1319" s="40"/>
    </row>
    <row r="1320" spans="1:34" s="32" customFormat="1">
      <c r="A1320" s="434" t="s">
        <v>942</v>
      </c>
      <c r="B1320" s="457" t="s">
        <v>946</v>
      </c>
      <c r="C1320" s="233">
        <v>44279</v>
      </c>
      <c r="D1320" s="435" t="s">
        <v>1267</v>
      </c>
      <c r="E1320" s="436" t="s">
        <v>1527</v>
      </c>
      <c r="F1320" s="338">
        <v>0.46111111111111108</v>
      </c>
      <c r="G1320" s="338">
        <v>0.46527777777777773</v>
      </c>
      <c r="H1320" s="338" t="s">
        <v>961</v>
      </c>
      <c r="I1320" s="353">
        <v>775</v>
      </c>
      <c r="J1320" s="338" t="str">
        <f>IFERROR(VLOOKUP(I1320,'Chart of accounts'!A:H,2,FALSE),"")</f>
        <v>50205040 00</v>
      </c>
      <c r="K1320" s="338" t="str">
        <f>IFERROR(VLOOKUP(I1320,'Chart of accounts'!A:H,3,FALSE),"")</f>
        <v>Cable, Satellite, Telegraph, and Radio Expenses</v>
      </c>
      <c r="L1320" s="338" t="str">
        <f>IFERROR(VLOOKUP(I1320,'Chart of accounts'!A:H,4,FALSE),"")</f>
        <v>50205040 00 - Cable, Satellite, Telegraph, and Radio Expenses (775)</v>
      </c>
      <c r="M1320" s="361">
        <v>2</v>
      </c>
      <c r="N1320" s="420" t="s">
        <v>818</v>
      </c>
      <c r="O1320" s="420" t="s">
        <v>1532</v>
      </c>
      <c r="P1320" s="420"/>
      <c r="Q1320" s="420">
        <v>809.25</v>
      </c>
      <c r="R1320" s="428">
        <f t="shared" si="51"/>
        <v>-809.25</v>
      </c>
      <c r="S1320" s="428" t="str">
        <f>VLOOKUP(H1320,'Fund Utilization Report'!$A$4:$U$1800,13,FALSE)</f>
        <v>MOOE</v>
      </c>
      <c r="T1320" s="428" t="str">
        <f>VLOOKUP(H1320,'Fund Utilization Report'!$A$4:$U$1800,2,FALSE)</f>
        <v>GAA</v>
      </c>
      <c r="U1320" s="428" t="str">
        <f>VLOOKUP(H1320,'Fund Utilization Report'!$A$4:$U$1800,3,FALSE)</f>
        <v>FY2021, RA11518</v>
      </c>
      <c r="V1320" s="428" t="str">
        <f>VLOOKUP(H1320,'Fund Utilization Report'!$A$4:$U$1800,4,FALSE)</f>
        <v>GAS(GMS)</v>
      </c>
      <c r="W1320" s="428" t="str">
        <f>VLOOKUP(H1320,'Fund Utilization Report'!$A$4:$U$1800,5,FALSE)</f>
        <v>01101101</v>
      </c>
      <c r="X1320" s="428" t="str">
        <f>VLOOKUP(H1320,'Fund Utilization Report'!$A$4:$U$1800,6,FALSE)</f>
        <v>GOP</v>
      </c>
      <c r="Y1320" s="320" t="str">
        <f>VLOOKUP(H1320,'Fund Utilization Report'!$A$4:$U$1800,7,FALSE)</f>
        <v>MOOE</v>
      </c>
      <c r="Z1320" s="425">
        <f>VLOOKUP(H1320,'Fund Utilization Report'!$A$4:$U$1800,8,FALSE)</f>
        <v>5020000000</v>
      </c>
      <c r="AA1320" s="428" t="str">
        <f>VLOOKUP(H1320,'Fund Utilization Report'!$A$4:$U$1800,14,FALSE)</f>
        <v>100000100001000</v>
      </c>
      <c r="AB1320" s="349" t="str">
        <f>VLOOKUP(H1320,'Fund Utilization Report'!$A$4:$U$1800,15,FALSE)</f>
        <v>General Administration and Supervision - General Management and Supervision</v>
      </c>
      <c r="AC1320" s="39"/>
      <c r="AD1320" s="34"/>
      <c r="AE1320" s="39"/>
      <c r="AF1320" s="51"/>
      <c r="AG1320" s="40"/>
      <c r="AH1320" s="40"/>
    </row>
    <row r="1321" spans="1:34" s="32" customFormat="1">
      <c r="A1321" s="434" t="s">
        <v>942</v>
      </c>
      <c r="B1321" s="457" t="s">
        <v>946</v>
      </c>
      <c r="C1321" s="233">
        <v>44279</v>
      </c>
      <c r="D1321" s="435" t="s">
        <v>1267</v>
      </c>
      <c r="E1321" s="436" t="s">
        <v>1527</v>
      </c>
      <c r="F1321" s="338">
        <v>0.46111111111111108</v>
      </c>
      <c r="G1321" s="338">
        <v>0.46527777777777773</v>
      </c>
      <c r="H1321" s="338" t="s">
        <v>961</v>
      </c>
      <c r="I1321" s="353">
        <v>791</v>
      </c>
      <c r="J1321" s="338" t="str">
        <f>IFERROR(VLOOKUP(I1321,'Chart of accounts'!A:H,2,FALSE),"")</f>
        <v>50211010 00</v>
      </c>
      <c r="K1321" s="338" t="str">
        <f>IFERROR(VLOOKUP(I1321,'Chart of accounts'!A:H,3,FALSE),"")</f>
        <v>Legal Services</v>
      </c>
      <c r="L1321" s="338" t="str">
        <f>IFERROR(VLOOKUP(I1321,'Chart of accounts'!A:H,4,FALSE),"")</f>
        <v>50211010 00 - Legal Services (791)</v>
      </c>
      <c r="M1321" s="361">
        <v>2</v>
      </c>
      <c r="N1321" s="420" t="s">
        <v>818</v>
      </c>
      <c r="O1321" s="420" t="s">
        <v>1532</v>
      </c>
      <c r="P1321" s="420"/>
      <c r="Q1321" s="420">
        <v>747</v>
      </c>
      <c r="R1321" s="428">
        <f t="shared" si="51"/>
        <v>-747</v>
      </c>
      <c r="S1321" s="428" t="str">
        <f>VLOOKUP(H1321,'Fund Utilization Report'!$A$4:$U$1800,13,FALSE)</f>
        <v>MOOE</v>
      </c>
      <c r="T1321" s="428" t="str">
        <f>VLOOKUP(H1321,'Fund Utilization Report'!$A$4:$U$1800,2,FALSE)</f>
        <v>GAA</v>
      </c>
      <c r="U1321" s="428" t="str">
        <f>VLOOKUP(H1321,'Fund Utilization Report'!$A$4:$U$1800,3,FALSE)</f>
        <v>FY2021, RA11518</v>
      </c>
      <c r="V1321" s="428" t="str">
        <f>VLOOKUP(H1321,'Fund Utilization Report'!$A$4:$U$1800,4,FALSE)</f>
        <v>GAS(GMS)</v>
      </c>
      <c r="W1321" s="428" t="str">
        <f>VLOOKUP(H1321,'Fund Utilization Report'!$A$4:$U$1800,5,FALSE)</f>
        <v>01101101</v>
      </c>
      <c r="X1321" s="428" t="str">
        <f>VLOOKUP(H1321,'Fund Utilization Report'!$A$4:$U$1800,6,FALSE)</f>
        <v>GOP</v>
      </c>
      <c r="Y1321" s="320" t="str">
        <f>VLOOKUP(H1321,'Fund Utilization Report'!$A$4:$U$1800,7,FALSE)</f>
        <v>MOOE</v>
      </c>
      <c r="Z1321" s="425">
        <f>VLOOKUP(H1321,'Fund Utilization Report'!$A$4:$U$1800,8,FALSE)</f>
        <v>5020000000</v>
      </c>
      <c r="AA1321" s="428" t="str">
        <f>VLOOKUP(H1321,'Fund Utilization Report'!$A$4:$U$1800,14,FALSE)</f>
        <v>100000100001000</v>
      </c>
      <c r="AB1321" s="349" t="str">
        <f>VLOOKUP(H1321,'Fund Utilization Report'!$A$4:$U$1800,15,FALSE)</f>
        <v>General Administration and Supervision - General Management and Supervision</v>
      </c>
      <c r="AC1321" s="39"/>
      <c r="AD1321" s="34"/>
      <c r="AE1321" s="39"/>
      <c r="AF1321" s="51"/>
      <c r="AG1321" s="40"/>
      <c r="AH1321" s="40"/>
    </row>
    <row r="1322" spans="1:34" s="32" customFormat="1">
      <c r="A1322" s="434" t="s">
        <v>942</v>
      </c>
      <c r="B1322" s="457" t="s">
        <v>946</v>
      </c>
      <c r="C1322" s="233">
        <v>44279</v>
      </c>
      <c r="D1322" s="435" t="s">
        <v>1267</v>
      </c>
      <c r="E1322" s="436" t="s">
        <v>1527</v>
      </c>
      <c r="F1322" s="338">
        <v>0.46111111111111108</v>
      </c>
      <c r="G1322" s="338">
        <v>0.46527777777777773</v>
      </c>
      <c r="H1322" s="338" t="s">
        <v>961</v>
      </c>
      <c r="I1322" s="353">
        <v>795</v>
      </c>
      <c r="J1322" s="338" t="str">
        <f>IFERROR(VLOOKUP(I1322,'Chart of accounts'!A:H,2,FALSE),"")</f>
        <v>50212990 00</v>
      </c>
      <c r="K1322" s="338" t="str">
        <f>IFERROR(VLOOKUP(I1322,'Chart of accounts'!A:H,3,FALSE),"")</f>
        <v>Other General Services</v>
      </c>
      <c r="L1322" s="338" t="str">
        <f>IFERROR(VLOOKUP(I1322,'Chart of accounts'!A:H,4,FALSE),"")</f>
        <v>50212990 00 - Other General Services (795)</v>
      </c>
      <c r="M1322" s="361">
        <v>2</v>
      </c>
      <c r="N1322" s="420" t="s">
        <v>818</v>
      </c>
      <c r="O1322" s="420" t="s">
        <v>1532</v>
      </c>
      <c r="P1322" s="420"/>
      <c r="Q1322" s="420">
        <f>36279.3+217968.79</f>
        <v>254248.09000000003</v>
      </c>
      <c r="R1322" s="428">
        <f t="shared" si="51"/>
        <v>-254248.09000000003</v>
      </c>
      <c r="S1322" s="428" t="str">
        <f>VLOOKUP(H1322,'Fund Utilization Report'!$A$4:$U$1800,13,FALSE)</f>
        <v>MOOE</v>
      </c>
      <c r="T1322" s="428" t="str">
        <f>VLOOKUP(H1322,'Fund Utilization Report'!$A$4:$U$1800,2,FALSE)</f>
        <v>GAA</v>
      </c>
      <c r="U1322" s="428" t="str">
        <f>VLOOKUP(H1322,'Fund Utilization Report'!$A$4:$U$1800,3,FALSE)</f>
        <v>FY2021, RA11518</v>
      </c>
      <c r="V1322" s="428" t="str">
        <f>VLOOKUP(H1322,'Fund Utilization Report'!$A$4:$U$1800,4,FALSE)</f>
        <v>GAS(GMS)</v>
      </c>
      <c r="W1322" s="428" t="str">
        <f>VLOOKUP(H1322,'Fund Utilization Report'!$A$4:$U$1800,5,FALSE)</f>
        <v>01101101</v>
      </c>
      <c r="X1322" s="428" t="str">
        <f>VLOOKUP(H1322,'Fund Utilization Report'!$A$4:$U$1800,6,FALSE)</f>
        <v>GOP</v>
      </c>
      <c r="Y1322" s="320" t="str">
        <f>VLOOKUP(H1322,'Fund Utilization Report'!$A$4:$U$1800,7,FALSE)</f>
        <v>MOOE</v>
      </c>
      <c r="Z1322" s="425">
        <f>VLOOKUP(H1322,'Fund Utilization Report'!$A$4:$U$1800,8,FALSE)</f>
        <v>5020000000</v>
      </c>
      <c r="AA1322" s="428" t="str">
        <f>VLOOKUP(H1322,'Fund Utilization Report'!$A$4:$U$1800,14,FALSE)</f>
        <v>100000100001000</v>
      </c>
      <c r="AB1322" s="349" t="str">
        <f>VLOOKUP(H1322,'Fund Utilization Report'!$A$4:$U$1800,15,FALSE)</f>
        <v>General Administration and Supervision - General Management and Supervision</v>
      </c>
      <c r="AC1322" s="39"/>
      <c r="AD1322" s="34"/>
      <c r="AE1322" s="39"/>
      <c r="AF1322" s="51"/>
      <c r="AG1322" s="40"/>
      <c r="AH1322" s="40"/>
    </row>
    <row r="1323" spans="1:34" s="32" customFormat="1">
      <c r="A1323" s="434" t="s">
        <v>942</v>
      </c>
      <c r="B1323" s="457" t="s">
        <v>946</v>
      </c>
      <c r="C1323" s="233">
        <v>44279</v>
      </c>
      <c r="D1323" s="435" t="s">
        <v>1267</v>
      </c>
      <c r="E1323" s="436" t="s">
        <v>1527</v>
      </c>
      <c r="F1323" s="338">
        <v>0.46111111111111108</v>
      </c>
      <c r="G1323" s="338">
        <v>0.46527777777777773</v>
      </c>
      <c r="H1323" s="338" t="s">
        <v>971</v>
      </c>
      <c r="I1323" s="353">
        <v>821</v>
      </c>
      <c r="J1323" s="338" t="str">
        <f>IFERROR(VLOOKUP(I1323,'Chart of accounts'!A:H,2,FALSE),"")</f>
        <v>50213050 02</v>
      </c>
      <c r="K1323" s="338" t="str">
        <f>IFERROR(VLOOKUP(I1323,'Chart of accounts'!A:H,3,FALSE),"")</f>
        <v>Office Equipment</v>
      </c>
      <c r="L1323" s="338" t="str">
        <f>IFERROR(VLOOKUP(I1323,'Chart of accounts'!A:H,4,FALSE),"")</f>
        <v>50213050 02 - Office Equipment (821)</v>
      </c>
      <c r="M1323" s="361">
        <v>2</v>
      </c>
      <c r="N1323" s="420" t="s">
        <v>818</v>
      </c>
      <c r="O1323" s="420" t="s">
        <v>1532</v>
      </c>
      <c r="P1323" s="420"/>
      <c r="Q1323" s="420">
        <v>4150</v>
      </c>
      <c r="R1323" s="428">
        <f t="shared" si="51"/>
        <v>-4150</v>
      </c>
      <c r="S1323" s="428" t="str">
        <f>VLOOKUP(H1323,'Fund Utilization Report'!$A$4:$U$1800,13,FALSE)</f>
        <v>MOOE</v>
      </c>
      <c r="T1323" s="428" t="str">
        <f>VLOOKUP(H1323,'Fund Utilization Report'!$A$4:$U$1800,2,FALSE)</f>
        <v>GAA</v>
      </c>
      <c r="U1323" s="428" t="str">
        <f>VLOOKUP(H1323,'Fund Utilization Report'!$A$4:$U$1800,3,FALSE)</f>
        <v>FY2021, RA11518</v>
      </c>
      <c r="V1323" s="428" t="str">
        <f>VLOOKUP(H1323,'Fund Utilization Report'!$A$4:$U$1800,4,FALSE)</f>
        <v>OO3</v>
      </c>
      <c r="W1323" s="428" t="str">
        <f>VLOOKUP(H1323,'Fund Utilization Report'!$A$4:$U$1800,5,FALSE)</f>
        <v>01101101</v>
      </c>
      <c r="X1323" s="428" t="str">
        <f>VLOOKUP(H1323,'Fund Utilization Report'!$A$4:$U$1800,6,FALSE)</f>
        <v>GOP</v>
      </c>
      <c r="Y1323" s="320" t="str">
        <f>VLOOKUP(H1323,'Fund Utilization Report'!$A$4:$U$1800,7,FALSE)</f>
        <v>MOOE</v>
      </c>
      <c r="Z1323" s="425">
        <f>VLOOKUP(H1323,'Fund Utilization Report'!$A$4:$U$1800,8,FALSE)</f>
        <v>5020000000</v>
      </c>
      <c r="AA1323" s="428" t="str">
        <f>VLOOKUP(H1323,'Fund Utilization Report'!$A$4:$U$1800,14,FALSE)</f>
        <v>330100100002000</v>
      </c>
      <c r="AB1323" s="349" t="str">
        <f>VLOOKUP(H1323,'Fund Utilization Report'!$A$4:$U$1800,15,FALSE)</f>
        <v>Implementation of the MSME Development Plan and other initiatives to promote the growth of Micro, Small and Medium Enterprises</v>
      </c>
      <c r="AC1323" s="39"/>
      <c r="AD1323" s="34"/>
      <c r="AE1323" s="39"/>
      <c r="AF1323" s="51"/>
      <c r="AG1323" s="40"/>
      <c r="AH1323" s="40"/>
    </row>
    <row r="1324" spans="1:34" s="32" customFormat="1">
      <c r="A1324" s="434" t="s">
        <v>942</v>
      </c>
      <c r="B1324" s="457" t="s">
        <v>946</v>
      </c>
      <c r="C1324" s="233">
        <v>44279</v>
      </c>
      <c r="D1324" s="435" t="s">
        <v>1267</v>
      </c>
      <c r="E1324" s="436" t="s">
        <v>1527</v>
      </c>
      <c r="F1324" s="338">
        <v>0.46111111111111108</v>
      </c>
      <c r="G1324" s="338">
        <v>0.46527777777777773</v>
      </c>
      <c r="H1324" s="338" t="s">
        <v>968</v>
      </c>
      <c r="I1324" s="353">
        <v>823</v>
      </c>
      <c r="J1324" s="338" t="str">
        <f>IFERROR(VLOOKUP(I1324,'Chart of accounts'!A:H,2,FALSE),"")</f>
        <v>50213050 03</v>
      </c>
      <c r="K1324" s="338" t="str">
        <f>IFERROR(VLOOKUP(I1324,'Chart of accounts'!A:H,3,FALSE),"")</f>
        <v>ICT Equipment</v>
      </c>
      <c r="L1324" s="338" t="str">
        <f>IFERROR(VLOOKUP(I1324,'Chart of accounts'!A:H,4,FALSE),"")</f>
        <v>50213050 03 - ICT Equipment (823)</v>
      </c>
      <c r="M1324" s="361">
        <v>2</v>
      </c>
      <c r="N1324" s="420" t="s">
        <v>818</v>
      </c>
      <c r="O1324" s="420" t="s">
        <v>1532</v>
      </c>
      <c r="P1324" s="420"/>
      <c r="Q1324" s="420">
        <v>4150</v>
      </c>
      <c r="R1324" s="428">
        <f t="shared" si="51"/>
        <v>-4150</v>
      </c>
      <c r="S1324" s="428" t="str">
        <f>VLOOKUP(H1324,'Fund Utilization Report'!$A$4:$U$1800,13,FALSE)</f>
        <v>MOOE</v>
      </c>
      <c r="T1324" s="428" t="str">
        <f>VLOOKUP(H1324,'Fund Utilization Report'!$A$4:$U$1800,2,FALSE)</f>
        <v>GAA</v>
      </c>
      <c r="U1324" s="428" t="str">
        <f>VLOOKUP(H1324,'Fund Utilization Report'!$A$4:$U$1800,3,FALSE)</f>
        <v>FY2021, RA11518</v>
      </c>
      <c r="V1324" s="428" t="str">
        <f>VLOOKUP(H1324,'Fund Utilization Report'!$A$4:$U$1800,4,FALSE)</f>
        <v>OO2</v>
      </c>
      <c r="W1324" s="428" t="str">
        <f>VLOOKUP(H1324,'Fund Utilization Report'!$A$4:$U$1800,5,FALSE)</f>
        <v>01101101</v>
      </c>
      <c r="X1324" s="428" t="str">
        <f>VLOOKUP(H1324,'Fund Utilization Report'!$A$4:$U$1800,6,FALSE)</f>
        <v>GOP</v>
      </c>
      <c r="Y1324" s="320" t="str">
        <f>VLOOKUP(H1324,'Fund Utilization Report'!$A$4:$U$1800,7,FALSE)</f>
        <v>MOOE</v>
      </c>
      <c r="Z1324" s="425">
        <f>VLOOKUP(H1324,'Fund Utilization Report'!$A$4:$U$1800,8,FALSE)</f>
        <v>5020000000</v>
      </c>
      <c r="AA1324" s="428" t="str">
        <f>VLOOKUP(H1324,'Fund Utilization Report'!$A$4:$U$1800,14,FALSE)</f>
        <v>320100100001000</v>
      </c>
      <c r="AB1324" s="349" t="str">
        <f>VLOOKUP(H1324,'Fund Utilization Report'!$A$4:$U$1800,15,FALSE)</f>
        <v>Formulation of Strategic plans,programs, and policies to develop competitve industries</v>
      </c>
      <c r="AC1324" s="39"/>
      <c r="AD1324" s="34"/>
      <c r="AE1324" s="39"/>
      <c r="AF1324" s="51"/>
      <c r="AG1324" s="40"/>
      <c r="AH1324" s="40"/>
    </row>
    <row r="1325" spans="1:34" s="32" customFormat="1">
      <c r="A1325" s="434" t="s">
        <v>942</v>
      </c>
      <c r="B1325" s="457" t="s">
        <v>946</v>
      </c>
      <c r="C1325" s="233">
        <v>44279</v>
      </c>
      <c r="D1325" s="435" t="s">
        <v>1267</v>
      </c>
      <c r="E1325" s="436" t="s">
        <v>1527</v>
      </c>
      <c r="F1325" s="338">
        <v>0.46111111111111108</v>
      </c>
      <c r="G1325" s="338">
        <v>0.46527777777777773</v>
      </c>
      <c r="H1325" s="338" t="s">
        <v>968</v>
      </c>
      <c r="I1325" s="353">
        <v>822</v>
      </c>
      <c r="J1325" s="338" t="str">
        <f>IFERROR(VLOOKUP(I1325,'Chart of accounts'!A:H,2,FALSE),"")</f>
        <v>50213070 00</v>
      </c>
      <c r="K1325" s="338" t="str">
        <f>IFERROR(VLOOKUP(I1325,'Chart of accounts'!A:H,3,FALSE),"")</f>
        <v>Furniture and Fixture</v>
      </c>
      <c r="L1325" s="338" t="str">
        <f>IFERROR(VLOOKUP(I1325,'Chart of accounts'!A:H,4,FALSE),"")</f>
        <v>50213070 00 - Furniture and Fixture (822)</v>
      </c>
      <c r="M1325" s="361">
        <v>2</v>
      </c>
      <c r="N1325" s="420" t="s">
        <v>818</v>
      </c>
      <c r="O1325" s="420" t="s">
        <v>1532</v>
      </c>
      <c r="P1325" s="420"/>
      <c r="Q1325" s="420">
        <v>2075</v>
      </c>
      <c r="R1325" s="428">
        <f t="shared" si="51"/>
        <v>-2075</v>
      </c>
      <c r="S1325" s="428" t="str">
        <f>VLOOKUP(H1325,'Fund Utilization Report'!$A$4:$U$1800,13,FALSE)</f>
        <v>MOOE</v>
      </c>
      <c r="T1325" s="428" t="str">
        <f>VLOOKUP(H1325,'Fund Utilization Report'!$A$4:$U$1800,2,FALSE)</f>
        <v>GAA</v>
      </c>
      <c r="U1325" s="428" t="str">
        <f>VLOOKUP(H1325,'Fund Utilization Report'!$A$4:$U$1800,3,FALSE)</f>
        <v>FY2021, RA11518</v>
      </c>
      <c r="V1325" s="428" t="str">
        <f>VLOOKUP(H1325,'Fund Utilization Report'!$A$4:$U$1800,4,FALSE)</f>
        <v>OO2</v>
      </c>
      <c r="W1325" s="428" t="str">
        <f>VLOOKUP(H1325,'Fund Utilization Report'!$A$4:$U$1800,5,FALSE)</f>
        <v>01101101</v>
      </c>
      <c r="X1325" s="428" t="str">
        <f>VLOOKUP(H1325,'Fund Utilization Report'!$A$4:$U$1800,6,FALSE)</f>
        <v>GOP</v>
      </c>
      <c r="Y1325" s="320" t="str">
        <f>VLOOKUP(H1325,'Fund Utilization Report'!$A$4:$U$1800,7,FALSE)</f>
        <v>MOOE</v>
      </c>
      <c r="Z1325" s="425">
        <f>VLOOKUP(H1325,'Fund Utilization Report'!$A$4:$U$1800,8,FALSE)</f>
        <v>5020000000</v>
      </c>
      <c r="AA1325" s="428" t="str">
        <f>VLOOKUP(H1325,'Fund Utilization Report'!$A$4:$U$1800,14,FALSE)</f>
        <v>320100100001000</v>
      </c>
      <c r="AB1325" s="349" t="str">
        <f>VLOOKUP(H1325,'Fund Utilization Report'!$A$4:$U$1800,15,FALSE)</f>
        <v>Formulation of Strategic plans,programs, and policies to develop competitve industries</v>
      </c>
      <c r="AC1325" s="39"/>
      <c r="AD1325" s="34"/>
      <c r="AE1325" s="39"/>
      <c r="AF1325" s="51"/>
      <c r="AG1325" s="40"/>
      <c r="AH1325" s="40"/>
    </row>
    <row r="1326" spans="1:34" s="32" customFormat="1">
      <c r="A1326" s="434" t="s">
        <v>942</v>
      </c>
      <c r="B1326" s="457" t="s">
        <v>946</v>
      </c>
      <c r="C1326" s="233">
        <v>44279</v>
      </c>
      <c r="D1326" s="435" t="s">
        <v>1267</v>
      </c>
      <c r="E1326" s="436" t="s">
        <v>1527</v>
      </c>
      <c r="F1326" s="338">
        <v>0.46111111111111108</v>
      </c>
      <c r="G1326" s="338">
        <v>0.46527777777777773</v>
      </c>
      <c r="H1326" s="338" t="s">
        <v>961</v>
      </c>
      <c r="I1326" s="353">
        <v>841</v>
      </c>
      <c r="J1326" s="338" t="str">
        <f>IFERROR(VLOOKUP(I1326,'Chart of accounts'!A:H,2,FALSE),"")</f>
        <v>50213060 01</v>
      </c>
      <c r="K1326" s="338" t="str">
        <f>IFERROR(VLOOKUP(I1326,'Chart of accounts'!A:H,3,FALSE),"")</f>
        <v>Motor Vehicles</v>
      </c>
      <c r="L1326" s="338" t="str">
        <f>IFERROR(VLOOKUP(I1326,'Chart of accounts'!A:H,4,FALSE),"")</f>
        <v>50213060 01 - Motor Vehicles (841)</v>
      </c>
      <c r="M1326" s="361">
        <v>2</v>
      </c>
      <c r="N1326" s="420" t="s">
        <v>818</v>
      </c>
      <c r="O1326" s="420" t="s">
        <v>1532</v>
      </c>
      <c r="P1326" s="420"/>
      <c r="Q1326" s="420">
        <v>20750</v>
      </c>
      <c r="R1326" s="428">
        <f t="shared" si="51"/>
        <v>-20750</v>
      </c>
      <c r="S1326" s="428" t="str">
        <f>VLOOKUP(H1326,'Fund Utilization Report'!$A$4:$U$1800,13,FALSE)</f>
        <v>MOOE</v>
      </c>
      <c r="T1326" s="428" t="str">
        <f>VLOOKUP(H1326,'Fund Utilization Report'!$A$4:$U$1800,2,FALSE)</f>
        <v>GAA</v>
      </c>
      <c r="U1326" s="428" t="str">
        <f>VLOOKUP(H1326,'Fund Utilization Report'!$A$4:$U$1800,3,FALSE)</f>
        <v>FY2021, RA11518</v>
      </c>
      <c r="V1326" s="428" t="str">
        <f>VLOOKUP(H1326,'Fund Utilization Report'!$A$4:$U$1800,4,FALSE)</f>
        <v>GAS(GMS)</v>
      </c>
      <c r="W1326" s="428" t="str">
        <f>VLOOKUP(H1326,'Fund Utilization Report'!$A$4:$U$1800,5,FALSE)</f>
        <v>01101101</v>
      </c>
      <c r="X1326" s="428" t="str">
        <f>VLOOKUP(H1326,'Fund Utilization Report'!$A$4:$U$1800,6,FALSE)</f>
        <v>GOP</v>
      </c>
      <c r="Y1326" s="320" t="str">
        <f>VLOOKUP(H1326,'Fund Utilization Report'!$A$4:$U$1800,7,FALSE)</f>
        <v>MOOE</v>
      </c>
      <c r="Z1326" s="425">
        <f>VLOOKUP(H1326,'Fund Utilization Report'!$A$4:$U$1800,8,FALSE)</f>
        <v>5020000000</v>
      </c>
      <c r="AA1326" s="428" t="str">
        <f>VLOOKUP(H1326,'Fund Utilization Report'!$A$4:$U$1800,14,FALSE)</f>
        <v>100000100001000</v>
      </c>
      <c r="AB1326" s="349" t="str">
        <f>VLOOKUP(H1326,'Fund Utilization Report'!$A$4:$U$1800,15,FALSE)</f>
        <v>General Administration and Supervision - General Management and Supervision</v>
      </c>
      <c r="AC1326" s="39"/>
      <c r="AD1326" s="34"/>
      <c r="AE1326" s="39"/>
      <c r="AF1326" s="51"/>
      <c r="AG1326" s="40"/>
      <c r="AH1326" s="40"/>
    </row>
    <row r="1327" spans="1:34" s="32" customFormat="1">
      <c r="A1327" s="434" t="s">
        <v>942</v>
      </c>
      <c r="B1327" s="457" t="s">
        <v>946</v>
      </c>
      <c r="C1327" s="233">
        <v>44279</v>
      </c>
      <c r="D1327" s="435" t="s">
        <v>1267</v>
      </c>
      <c r="E1327" s="436" t="s">
        <v>1527</v>
      </c>
      <c r="F1327" s="338">
        <v>0.46111111111111108</v>
      </c>
      <c r="G1327" s="338">
        <v>0.46527777777777773</v>
      </c>
      <c r="H1327" s="338" t="s">
        <v>961</v>
      </c>
      <c r="I1327" s="353">
        <v>891</v>
      </c>
      <c r="J1327" s="338" t="str">
        <f>IFERROR(VLOOKUP(I1327,'Chart of accounts'!A:H,2,FALSE),"")</f>
        <v>50215010 01</v>
      </c>
      <c r="K1327" s="338" t="str">
        <f>IFERROR(VLOOKUP(I1327,'Chart of accounts'!A:H,3,FALSE),"")</f>
        <v>Taxes, Duties and Licenses</v>
      </c>
      <c r="L1327" s="338" t="str">
        <f>IFERROR(VLOOKUP(I1327,'Chart of accounts'!A:H,4,FALSE),"")</f>
        <v>50215010 01 - Taxes, Duties and Licenses (891)</v>
      </c>
      <c r="M1327" s="361">
        <v>2</v>
      </c>
      <c r="N1327" s="420" t="s">
        <v>818</v>
      </c>
      <c r="O1327" s="420" t="s">
        <v>1532</v>
      </c>
      <c r="P1327" s="420"/>
      <c r="Q1327" s="420">
        <v>1037.5</v>
      </c>
      <c r="R1327" s="428">
        <f t="shared" si="51"/>
        <v>-1037.5</v>
      </c>
      <c r="S1327" s="428" t="str">
        <f>VLOOKUP(H1327,'Fund Utilization Report'!$A$4:$U$1800,13,FALSE)</f>
        <v>MOOE</v>
      </c>
      <c r="T1327" s="428" t="str">
        <f>VLOOKUP(H1327,'Fund Utilization Report'!$A$4:$U$1800,2,FALSE)</f>
        <v>GAA</v>
      </c>
      <c r="U1327" s="428" t="str">
        <f>VLOOKUP(H1327,'Fund Utilization Report'!$A$4:$U$1800,3,FALSE)</f>
        <v>FY2021, RA11518</v>
      </c>
      <c r="V1327" s="428" t="str">
        <f>VLOOKUP(H1327,'Fund Utilization Report'!$A$4:$U$1800,4,FALSE)</f>
        <v>GAS(GMS)</v>
      </c>
      <c r="W1327" s="428" t="str">
        <f>VLOOKUP(H1327,'Fund Utilization Report'!$A$4:$U$1800,5,FALSE)</f>
        <v>01101101</v>
      </c>
      <c r="X1327" s="428" t="str">
        <f>VLOOKUP(H1327,'Fund Utilization Report'!$A$4:$U$1800,6,FALSE)</f>
        <v>GOP</v>
      </c>
      <c r="Y1327" s="320" t="str">
        <f>VLOOKUP(H1327,'Fund Utilization Report'!$A$4:$U$1800,7,FALSE)</f>
        <v>MOOE</v>
      </c>
      <c r="Z1327" s="425">
        <f>VLOOKUP(H1327,'Fund Utilization Report'!$A$4:$U$1800,8,FALSE)</f>
        <v>5020000000</v>
      </c>
      <c r="AA1327" s="428" t="str">
        <f>VLOOKUP(H1327,'Fund Utilization Report'!$A$4:$U$1800,14,FALSE)</f>
        <v>100000100001000</v>
      </c>
      <c r="AB1327" s="349" t="str">
        <f>VLOOKUP(H1327,'Fund Utilization Report'!$A$4:$U$1800,15,FALSE)</f>
        <v>General Administration and Supervision - General Management and Supervision</v>
      </c>
      <c r="AC1327" s="39"/>
      <c r="AD1327" s="34"/>
      <c r="AE1327" s="39"/>
      <c r="AF1327" s="51"/>
      <c r="AG1327" s="40"/>
      <c r="AH1327" s="40"/>
    </row>
    <row r="1328" spans="1:34" s="32" customFormat="1">
      <c r="A1328" s="434" t="s">
        <v>942</v>
      </c>
      <c r="B1328" s="457" t="s">
        <v>946</v>
      </c>
      <c r="C1328" s="233">
        <v>44279</v>
      </c>
      <c r="D1328" s="435" t="s">
        <v>1267</v>
      </c>
      <c r="E1328" s="436" t="s">
        <v>1527</v>
      </c>
      <c r="F1328" s="338">
        <v>0.46111111111111108</v>
      </c>
      <c r="G1328" s="338">
        <v>0.46527777777777773</v>
      </c>
      <c r="H1328" s="338" t="s">
        <v>961</v>
      </c>
      <c r="I1328" s="353">
        <v>892</v>
      </c>
      <c r="J1328" s="338" t="str">
        <f>IFERROR(VLOOKUP(I1328,'Chart of accounts'!A:H,2,FALSE),"")</f>
        <v>50215020 00</v>
      </c>
      <c r="K1328" s="338" t="str">
        <f>IFERROR(VLOOKUP(I1328,'Chart of accounts'!A:H,3,FALSE),"")</f>
        <v>Fidelity Bond Premiums</v>
      </c>
      <c r="L1328" s="338" t="str">
        <f>IFERROR(VLOOKUP(I1328,'Chart of accounts'!A:H,4,FALSE),"")</f>
        <v>50215020 00 - Fidelity Bond Premiums (892)</v>
      </c>
      <c r="M1328" s="361">
        <v>2</v>
      </c>
      <c r="N1328" s="420" t="s">
        <v>818</v>
      </c>
      <c r="O1328" s="420" t="s">
        <v>1532</v>
      </c>
      <c r="P1328" s="420"/>
      <c r="Q1328" s="420">
        <v>2864.28</v>
      </c>
      <c r="R1328" s="428">
        <f t="shared" si="51"/>
        <v>-2864.28</v>
      </c>
      <c r="S1328" s="428" t="str">
        <f>VLOOKUP(H1328,'Fund Utilization Report'!$A$4:$U$1800,13,FALSE)</f>
        <v>MOOE</v>
      </c>
      <c r="T1328" s="428" t="str">
        <f>VLOOKUP(H1328,'Fund Utilization Report'!$A$4:$U$1800,2,FALSE)</f>
        <v>GAA</v>
      </c>
      <c r="U1328" s="428" t="str">
        <f>VLOOKUP(H1328,'Fund Utilization Report'!$A$4:$U$1800,3,FALSE)</f>
        <v>FY2021, RA11518</v>
      </c>
      <c r="V1328" s="428" t="str">
        <f>VLOOKUP(H1328,'Fund Utilization Report'!$A$4:$U$1800,4,FALSE)</f>
        <v>GAS(GMS)</v>
      </c>
      <c r="W1328" s="428" t="str">
        <f>VLOOKUP(H1328,'Fund Utilization Report'!$A$4:$U$1800,5,FALSE)</f>
        <v>01101101</v>
      </c>
      <c r="X1328" s="428" t="str">
        <f>VLOOKUP(H1328,'Fund Utilization Report'!$A$4:$U$1800,6,FALSE)</f>
        <v>GOP</v>
      </c>
      <c r="Y1328" s="320" t="str">
        <f>VLOOKUP(H1328,'Fund Utilization Report'!$A$4:$U$1800,7,FALSE)</f>
        <v>MOOE</v>
      </c>
      <c r="Z1328" s="425">
        <f>VLOOKUP(H1328,'Fund Utilization Report'!$A$4:$U$1800,8,FALSE)</f>
        <v>5020000000</v>
      </c>
      <c r="AA1328" s="428" t="str">
        <f>VLOOKUP(H1328,'Fund Utilization Report'!$A$4:$U$1800,14,FALSE)</f>
        <v>100000100001000</v>
      </c>
      <c r="AB1328" s="349" t="str">
        <f>VLOOKUP(H1328,'Fund Utilization Report'!$A$4:$U$1800,15,FALSE)</f>
        <v>General Administration and Supervision - General Management and Supervision</v>
      </c>
      <c r="AC1328" s="39"/>
      <c r="AD1328" s="34"/>
      <c r="AE1328" s="39"/>
      <c r="AF1328" s="51"/>
      <c r="AG1328" s="40"/>
      <c r="AH1328" s="40"/>
    </row>
    <row r="1329" spans="1:34" s="32" customFormat="1">
      <c r="A1329" s="434" t="s">
        <v>942</v>
      </c>
      <c r="B1329" s="457" t="s">
        <v>946</v>
      </c>
      <c r="C1329" s="233">
        <v>44279</v>
      </c>
      <c r="D1329" s="435" t="s">
        <v>1267</v>
      </c>
      <c r="E1329" s="436" t="s">
        <v>1527</v>
      </c>
      <c r="F1329" s="338">
        <v>0.46111111111111108</v>
      </c>
      <c r="G1329" s="338">
        <v>0.46527777777777773</v>
      </c>
      <c r="H1329" s="338" t="s">
        <v>961</v>
      </c>
      <c r="I1329" s="353">
        <v>893</v>
      </c>
      <c r="J1329" s="338" t="str">
        <f>IFERROR(VLOOKUP(I1329,'Chart of accounts'!A:H,2,FALSE),"")</f>
        <v>50215030 00</v>
      </c>
      <c r="K1329" s="338" t="str">
        <f>IFERROR(VLOOKUP(I1329,'Chart of accounts'!A:H,3,FALSE),"")</f>
        <v>Insurance Expense</v>
      </c>
      <c r="L1329" s="338" t="str">
        <f>IFERROR(VLOOKUP(I1329,'Chart of accounts'!A:H,4,FALSE),"")</f>
        <v>50215030 00 - Insurance Expense (893)</v>
      </c>
      <c r="M1329" s="361">
        <v>2</v>
      </c>
      <c r="N1329" s="420" t="s">
        <v>818</v>
      </c>
      <c r="O1329" s="420" t="s">
        <v>1532</v>
      </c>
      <c r="P1329" s="420"/>
      <c r="Q1329" s="420">
        <v>7215.47</v>
      </c>
      <c r="R1329" s="428">
        <f t="shared" si="51"/>
        <v>-7215.47</v>
      </c>
      <c r="S1329" s="428" t="str">
        <f>VLOOKUP(H1329,'Fund Utilization Report'!$A$4:$U$1800,13,FALSE)</f>
        <v>MOOE</v>
      </c>
      <c r="T1329" s="428" t="str">
        <f>VLOOKUP(H1329,'Fund Utilization Report'!$A$4:$U$1800,2,FALSE)</f>
        <v>GAA</v>
      </c>
      <c r="U1329" s="428" t="str">
        <f>VLOOKUP(H1329,'Fund Utilization Report'!$A$4:$U$1800,3,FALSE)</f>
        <v>FY2021, RA11518</v>
      </c>
      <c r="V1329" s="428" t="str">
        <f>VLOOKUP(H1329,'Fund Utilization Report'!$A$4:$U$1800,4,FALSE)</f>
        <v>GAS(GMS)</v>
      </c>
      <c r="W1329" s="428" t="str">
        <f>VLOOKUP(H1329,'Fund Utilization Report'!$A$4:$U$1800,5,FALSE)</f>
        <v>01101101</v>
      </c>
      <c r="X1329" s="428" t="str">
        <f>VLOOKUP(H1329,'Fund Utilization Report'!$A$4:$U$1800,6,FALSE)</f>
        <v>GOP</v>
      </c>
      <c r="Y1329" s="320" t="str">
        <f>VLOOKUP(H1329,'Fund Utilization Report'!$A$4:$U$1800,7,FALSE)</f>
        <v>MOOE</v>
      </c>
      <c r="Z1329" s="425">
        <f>VLOOKUP(H1329,'Fund Utilization Report'!$A$4:$U$1800,8,FALSE)</f>
        <v>5020000000</v>
      </c>
      <c r="AA1329" s="428" t="str">
        <f>VLOOKUP(H1329,'Fund Utilization Report'!$A$4:$U$1800,14,FALSE)</f>
        <v>100000100001000</v>
      </c>
      <c r="AB1329" s="349" t="str">
        <f>VLOOKUP(H1329,'Fund Utilization Report'!$A$4:$U$1800,15,FALSE)</f>
        <v>General Administration and Supervision - General Management and Supervision</v>
      </c>
      <c r="AC1329" s="39"/>
      <c r="AD1329" s="34"/>
      <c r="AE1329" s="39"/>
      <c r="AF1329" s="51"/>
      <c r="AG1329" s="40"/>
      <c r="AH1329" s="40"/>
    </row>
    <row r="1330" spans="1:34" s="32" customFormat="1">
      <c r="A1330" s="434" t="s">
        <v>942</v>
      </c>
      <c r="B1330" s="457" t="s">
        <v>946</v>
      </c>
      <c r="C1330" s="233">
        <v>44279</v>
      </c>
      <c r="D1330" s="435" t="s">
        <v>1267</v>
      </c>
      <c r="E1330" s="436" t="s">
        <v>1527</v>
      </c>
      <c r="F1330" s="338">
        <v>0.46111111111111108</v>
      </c>
      <c r="G1330" s="338">
        <v>0.46527777777777773</v>
      </c>
      <c r="H1330" s="338" t="s">
        <v>961</v>
      </c>
      <c r="I1330" s="353">
        <v>782</v>
      </c>
      <c r="J1330" s="338" t="str">
        <f>IFERROR(VLOOKUP(I1330,'Chart of accounts'!A:H,2,FALSE),"")</f>
        <v>50299050 01</v>
      </c>
      <c r="K1330" s="338" t="str">
        <f>IFERROR(VLOOKUP(I1330,'Chart of accounts'!A:H,3,FALSE),"")</f>
        <v>Rent - Buildings and Structures</v>
      </c>
      <c r="L1330" s="338" t="str">
        <f>IFERROR(VLOOKUP(I1330,'Chart of accounts'!A:H,4,FALSE),"")</f>
        <v>50299050 01 - Rent - Buildings and Structures (782)</v>
      </c>
      <c r="M1330" s="361">
        <v>2</v>
      </c>
      <c r="N1330" s="420" t="s">
        <v>818</v>
      </c>
      <c r="O1330" s="420" t="s">
        <v>1532</v>
      </c>
      <c r="P1330" s="420"/>
      <c r="Q1330" s="420">
        <v>331287.87</v>
      </c>
      <c r="R1330" s="428">
        <f t="shared" si="51"/>
        <v>-331287.87</v>
      </c>
      <c r="S1330" s="428" t="str">
        <f>VLOOKUP(H1330,'Fund Utilization Report'!$A$4:$U$1800,13,FALSE)</f>
        <v>MOOE</v>
      </c>
      <c r="T1330" s="428" t="str">
        <f>VLOOKUP(H1330,'Fund Utilization Report'!$A$4:$U$1800,2,FALSE)</f>
        <v>GAA</v>
      </c>
      <c r="U1330" s="428" t="str">
        <f>VLOOKUP(H1330,'Fund Utilization Report'!$A$4:$U$1800,3,FALSE)</f>
        <v>FY2021, RA11518</v>
      </c>
      <c r="V1330" s="428" t="str">
        <f>VLOOKUP(H1330,'Fund Utilization Report'!$A$4:$U$1800,4,FALSE)</f>
        <v>GAS(GMS)</v>
      </c>
      <c r="W1330" s="428" t="str">
        <f>VLOOKUP(H1330,'Fund Utilization Report'!$A$4:$U$1800,5,FALSE)</f>
        <v>01101101</v>
      </c>
      <c r="X1330" s="428" t="str">
        <f>VLOOKUP(H1330,'Fund Utilization Report'!$A$4:$U$1800,6,FALSE)</f>
        <v>GOP</v>
      </c>
      <c r="Y1330" s="320" t="str">
        <f>VLOOKUP(H1330,'Fund Utilization Report'!$A$4:$U$1800,7,FALSE)</f>
        <v>MOOE</v>
      </c>
      <c r="Z1330" s="425">
        <f>VLOOKUP(H1330,'Fund Utilization Report'!$A$4:$U$1800,8,FALSE)</f>
        <v>5020000000</v>
      </c>
      <c r="AA1330" s="428" t="str">
        <f>VLOOKUP(H1330,'Fund Utilization Report'!$A$4:$U$1800,14,FALSE)</f>
        <v>100000100001000</v>
      </c>
      <c r="AB1330" s="349" t="str">
        <f>VLOOKUP(H1330,'Fund Utilization Report'!$A$4:$U$1800,15,FALSE)</f>
        <v>General Administration and Supervision - General Management and Supervision</v>
      </c>
      <c r="AC1330" s="39"/>
      <c r="AD1330" s="34"/>
      <c r="AE1330" s="39"/>
      <c r="AF1330" s="51"/>
      <c r="AG1330" s="40"/>
      <c r="AH1330" s="40"/>
    </row>
    <row r="1331" spans="1:34" s="32" customFormat="1">
      <c r="A1331" s="434" t="s">
        <v>942</v>
      </c>
      <c r="B1331" s="457" t="s">
        <v>946</v>
      </c>
      <c r="C1331" s="233">
        <v>44279</v>
      </c>
      <c r="D1331" s="435" t="s">
        <v>1267</v>
      </c>
      <c r="E1331" s="436" t="s">
        <v>1527</v>
      </c>
      <c r="F1331" s="338">
        <v>0.46111111111111108</v>
      </c>
      <c r="G1331" s="338">
        <v>0.46527777777777773</v>
      </c>
      <c r="H1331" s="338" t="s">
        <v>961</v>
      </c>
      <c r="I1331" s="353">
        <v>786</v>
      </c>
      <c r="J1331" s="338" t="str">
        <f>IFERROR(VLOOKUP(I1331,'Chart of accounts'!A:H,2,FALSE),"")</f>
        <v>50299070 00</v>
      </c>
      <c r="K1331" s="338" t="str">
        <f>IFERROR(VLOOKUP(I1331,'Chart of accounts'!A:H,3,FALSE),"")</f>
        <v>Subscriptions Expenses</v>
      </c>
      <c r="L1331" s="338" t="str">
        <f>IFERROR(VLOOKUP(I1331,'Chart of accounts'!A:H,4,FALSE),"")</f>
        <v>50299070 00 - Subscriptions Expenses (786)</v>
      </c>
      <c r="M1331" s="361">
        <v>2</v>
      </c>
      <c r="N1331" s="420" t="s">
        <v>818</v>
      </c>
      <c r="O1331" s="420" t="s">
        <v>1532</v>
      </c>
      <c r="P1331" s="420"/>
      <c r="Q1331" s="420">
        <v>2282.5</v>
      </c>
      <c r="R1331" s="428">
        <f t="shared" si="51"/>
        <v>-2282.5</v>
      </c>
      <c r="S1331" s="428" t="str">
        <f>VLOOKUP(H1331,'Fund Utilization Report'!$A$4:$U$1800,13,FALSE)</f>
        <v>MOOE</v>
      </c>
      <c r="T1331" s="428" t="str">
        <f>VLOOKUP(H1331,'Fund Utilization Report'!$A$4:$U$1800,2,FALSE)</f>
        <v>GAA</v>
      </c>
      <c r="U1331" s="428" t="str">
        <f>VLOOKUP(H1331,'Fund Utilization Report'!$A$4:$U$1800,3,FALSE)</f>
        <v>FY2021, RA11518</v>
      </c>
      <c r="V1331" s="428" t="str">
        <f>VLOOKUP(H1331,'Fund Utilization Report'!$A$4:$U$1800,4,FALSE)</f>
        <v>GAS(GMS)</v>
      </c>
      <c r="W1331" s="428" t="str">
        <f>VLOOKUP(H1331,'Fund Utilization Report'!$A$4:$U$1800,5,FALSE)</f>
        <v>01101101</v>
      </c>
      <c r="X1331" s="428" t="str">
        <f>VLOOKUP(H1331,'Fund Utilization Report'!$A$4:$U$1800,6,FALSE)</f>
        <v>GOP</v>
      </c>
      <c r="Y1331" s="320" t="str">
        <f>VLOOKUP(H1331,'Fund Utilization Report'!$A$4:$U$1800,7,FALSE)</f>
        <v>MOOE</v>
      </c>
      <c r="Z1331" s="425">
        <f>VLOOKUP(H1331,'Fund Utilization Report'!$A$4:$U$1800,8,FALSE)</f>
        <v>5020000000</v>
      </c>
      <c r="AA1331" s="428" t="str">
        <f>VLOOKUP(H1331,'Fund Utilization Report'!$A$4:$U$1800,14,FALSE)</f>
        <v>100000100001000</v>
      </c>
      <c r="AB1331" s="349" t="str">
        <f>VLOOKUP(H1331,'Fund Utilization Report'!$A$4:$U$1800,15,FALSE)</f>
        <v>General Administration and Supervision - General Management and Supervision</v>
      </c>
      <c r="AC1331" s="39"/>
      <c r="AD1331" s="34"/>
      <c r="AE1331" s="39"/>
      <c r="AF1331" s="51"/>
      <c r="AG1331" s="40"/>
      <c r="AH1331" s="40"/>
    </row>
    <row r="1332" spans="1:34" s="32" customFormat="1">
      <c r="A1332" s="434" t="s">
        <v>942</v>
      </c>
      <c r="B1332" s="457" t="s">
        <v>946</v>
      </c>
      <c r="C1332" s="233">
        <v>44279</v>
      </c>
      <c r="D1332" s="435" t="s">
        <v>1267</v>
      </c>
      <c r="E1332" s="436" t="s">
        <v>1527</v>
      </c>
      <c r="F1332" s="338">
        <v>0.46111111111111108</v>
      </c>
      <c r="G1332" s="338">
        <v>0.46527777777777773</v>
      </c>
      <c r="H1332" s="338" t="s">
        <v>961</v>
      </c>
      <c r="I1332" s="353">
        <v>751</v>
      </c>
      <c r="J1332" s="338" t="str">
        <f>IFERROR(VLOOKUP(I1332,'Chart of accounts'!A:H,2,FALSE),"")</f>
        <v>50201010 00</v>
      </c>
      <c r="K1332" s="338" t="str">
        <f>IFERROR(VLOOKUP(I1332,'Chart of accounts'!A:H,3,FALSE),"")</f>
        <v>Traveling Expenses - Local</v>
      </c>
      <c r="L1332" s="338" t="str">
        <f>IFERROR(VLOOKUP(I1332,'Chart of accounts'!A:H,4,FALSE),"")</f>
        <v>50201010 00 - Traveling Expenses - Local (751)</v>
      </c>
      <c r="M1332" s="361">
        <v>2</v>
      </c>
      <c r="N1332" s="420" t="s">
        <v>818</v>
      </c>
      <c r="O1332" s="420" t="s">
        <v>1532</v>
      </c>
      <c r="P1332" s="420"/>
      <c r="Q1332" s="420">
        <v>2075</v>
      </c>
      <c r="R1332" s="428">
        <f t="shared" si="51"/>
        <v>-2075</v>
      </c>
      <c r="S1332" s="428" t="str">
        <f>VLOOKUP(H1332,'Fund Utilization Report'!$A$4:$U$1800,13,FALSE)</f>
        <v>MOOE</v>
      </c>
      <c r="T1332" s="428" t="str">
        <f>VLOOKUP(H1332,'Fund Utilization Report'!$A$4:$U$1800,2,FALSE)</f>
        <v>GAA</v>
      </c>
      <c r="U1332" s="428" t="str">
        <f>VLOOKUP(H1332,'Fund Utilization Report'!$A$4:$U$1800,3,FALSE)</f>
        <v>FY2021, RA11518</v>
      </c>
      <c r="V1332" s="428" t="str">
        <f>VLOOKUP(H1332,'Fund Utilization Report'!$A$4:$U$1800,4,FALSE)</f>
        <v>GAS(GMS)</v>
      </c>
      <c r="W1332" s="428" t="str">
        <f>VLOOKUP(H1332,'Fund Utilization Report'!$A$4:$U$1800,5,FALSE)</f>
        <v>01101101</v>
      </c>
      <c r="X1332" s="428" t="str">
        <f>VLOOKUP(H1332,'Fund Utilization Report'!$A$4:$U$1800,6,FALSE)</f>
        <v>GOP</v>
      </c>
      <c r="Y1332" s="320" t="str">
        <f>VLOOKUP(H1332,'Fund Utilization Report'!$A$4:$U$1800,7,FALSE)</f>
        <v>MOOE</v>
      </c>
      <c r="Z1332" s="425">
        <f>VLOOKUP(H1332,'Fund Utilization Report'!$A$4:$U$1800,8,FALSE)</f>
        <v>5020000000</v>
      </c>
      <c r="AA1332" s="428" t="str">
        <f>VLOOKUP(H1332,'Fund Utilization Report'!$A$4:$U$1800,14,FALSE)</f>
        <v>100000100001000</v>
      </c>
      <c r="AB1332" s="349" t="str">
        <f>VLOOKUP(H1332,'Fund Utilization Report'!$A$4:$U$1800,15,FALSE)</f>
        <v>General Administration and Supervision - General Management and Supervision</v>
      </c>
      <c r="AC1332" s="39"/>
      <c r="AD1332" s="34"/>
      <c r="AE1332" s="39"/>
      <c r="AF1332" s="51"/>
      <c r="AG1332" s="40"/>
      <c r="AH1332" s="40"/>
    </row>
    <row r="1333" spans="1:34" s="32" customFormat="1">
      <c r="A1333" s="434" t="s">
        <v>942</v>
      </c>
      <c r="B1333" s="457" t="s">
        <v>946</v>
      </c>
      <c r="C1333" s="233">
        <v>44279</v>
      </c>
      <c r="D1333" s="435" t="s">
        <v>1267</v>
      </c>
      <c r="E1333" s="436" t="s">
        <v>1527</v>
      </c>
      <c r="F1333" s="338">
        <v>0.46111111111111108</v>
      </c>
      <c r="G1333" s="338">
        <v>0.46527777777777773</v>
      </c>
      <c r="H1333" s="338" t="s">
        <v>961</v>
      </c>
      <c r="I1333" s="353">
        <v>755</v>
      </c>
      <c r="J1333" s="338" t="str">
        <f>IFERROR(VLOOKUP(I1333,'Chart of accounts'!A:H,2,FALSE),"")</f>
        <v>50203010 00</v>
      </c>
      <c r="K1333" s="338" t="str">
        <f>IFERROR(VLOOKUP(I1333,'Chart of accounts'!A:H,3,FALSE),"")</f>
        <v>Office Supplies Expenses</v>
      </c>
      <c r="L1333" s="338" t="str">
        <f>IFERROR(VLOOKUP(I1333,'Chart of accounts'!A:H,4,FALSE),"")</f>
        <v>50203010 00 - Office Supplies Expenses (755)</v>
      </c>
      <c r="M1333" s="361">
        <v>2</v>
      </c>
      <c r="N1333" s="420" t="s">
        <v>818</v>
      </c>
      <c r="O1333" s="420" t="s">
        <v>1532</v>
      </c>
      <c r="P1333" s="420"/>
      <c r="Q1333" s="420">
        <v>10375</v>
      </c>
      <c r="R1333" s="428">
        <f t="shared" si="51"/>
        <v>-10375</v>
      </c>
      <c r="S1333" s="428" t="str">
        <f>VLOOKUP(H1333,'Fund Utilization Report'!$A$4:$U$1800,13,FALSE)</f>
        <v>MOOE</v>
      </c>
      <c r="T1333" s="428" t="str">
        <f>VLOOKUP(H1333,'Fund Utilization Report'!$A$4:$U$1800,2,FALSE)</f>
        <v>GAA</v>
      </c>
      <c r="U1333" s="428" t="str">
        <f>VLOOKUP(H1333,'Fund Utilization Report'!$A$4:$U$1800,3,FALSE)</f>
        <v>FY2021, RA11518</v>
      </c>
      <c r="V1333" s="428" t="str">
        <f>VLOOKUP(H1333,'Fund Utilization Report'!$A$4:$U$1800,4,FALSE)</f>
        <v>GAS(GMS)</v>
      </c>
      <c r="W1333" s="428" t="str">
        <f>VLOOKUP(H1333,'Fund Utilization Report'!$A$4:$U$1800,5,FALSE)</f>
        <v>01101101</v>
      </c>
      <c r="X1333" s="428" t="str">
        <f>VLOOKUP(H1333,'Fund Utilization Report'!$A$4:$U$1800,6,FALSE)</f>
        <v>GOP</v>
      </c>
      <c r="Y1333" s="320" t="str">
        <f>VLOOKUP(H1333,'Fund Utilization Report'!$A$4:$U$1800,7,FALSE)</f>
        <v>MOOE</v>
      </c>
      <c r="Z1333" s="425">
        <f>VLOOKUP(H1333,'Fund Utilization Report'!$A$4:$U$1800,8,FALSE)</f>
        <v>5020000000</v>
      </c>
      <c r="AA1333" s="428" t="str">
        <f>VLOOKUP(H1333,'Fund Utilization Report'!$A$4:$U$1800,14,FALSE)</f>
        <v>100000100001000</v>
      </c>
      <c r="AB1333" s="349" t="str">
        <f>VLOOKUP(H1333,'Fund Utilization Report'!$A$4:$U$1800,15,FALSE)</f>
        <v>General Administration and Supervision - General Management and Supervision</v>
      </c>
      <c r="AC1333" s="39"/>
      <c r="AD1333" s="34"/>
      <c r="AE1333" s="39"/>
      <c r="AF1333" s="51"/>
      <c r="AG1333" s="40"/>
      <c r="AH1333" s="40"/>
    </row>
    <row r="1334" spans="1:34" s="32" customFormat="1">
      <c r="A1334" s="434" t="s">
        <v>942</v>
      </c>
      <c r="B1334" s="457" t="s">
        <v>946</v>
      </c>
      <c r="C1334" s="233">
        <v>44279</v>
      </c>
      <c r="D1334" s="435" t="s">
        <v>1267</v>
      </c>
      <c r="E1334" s="436" t="s">
        <v>1527</v>
      </c>
      <c r="F1334" s="338">
        <v>0.46111111111111108</v>
      </c>
      <c r="G1334" s="338">
        <v>0.46527777777777773</v>
      </c>
      <c r="H1334" s="338" t="s">
        <v>961</v>
      </c>
      <c r="I1334" s="353">
        <v>781</v>
      </c>
      <c r="J1334" s="338" t="str">
        <f>IFERROR(VLOOKUP(I1334,'Chart of accounts'!A:H,2,FALSE),"")</f>
        <v>50299020 00</v>
      </c>
      <c r="K1334" s="338" t="str">
        <f>IFERROR(VLOOKUP(I1334,'Chart of accounts'!A:H,3,FALSE),"")</f>
        <v>Printing and Binding Expenses</v>
      </c>
      <c r="L1334" s="338" t="str">
        <f>IFERROR(VLOOKUP(I1334,'Chart of accounts'!A:H,4,FALSE),"")</f>
        <v>50299020 00 - Printing and Binding Expenses (781)</v>
      </c>
      <c r="M1334" s="361">
        <v>2</v>
      </c>
      <c r="N1334" s="420" t="s">
        <v>818</v>
      </c>
      <c r="O1334" s="420" t="s">
        <v>1532</v>
      </c>
      <c r="P1334" s="420"/>
      <c r="Q1334" s="420">
        <v>7470</v>
      </c>
      <c r="R1334" s="428">
        <f t="shared" si="51"/>
        <v>-7470</v>
      </c>
      <c r="S1334" s="428" t="str">
        <f>VLOOKUP(H1334,'Fund Utilization Report'!$A$4:$U$1800,13,FALSE)</f>
        <v>MOOE</v>
      </c>
      <c r="T1334" s="428" t="str">
        <f>VLOOKUP(H1334,'Fund Utilization Report'!$A$4:$U$1800,2,FALSE)</f>
        <v>GAA</v>
      </c>
      <c r="U1334" s="428" t="str">
        <f>VLOOKUP(H1334,'Fund Utilization Report'!$A$4:$U$1800,3,FALSE)</f>
        <v>FY2021, RA11518</v>
      </c>
      <c r="V1334" s="428" t="str">
        <f>VLOOKUP(H1334,'Fund Utilization Report'!$A$4:$U$1800,4,FALSE)</f>
        <v>GAS(GMS)</v>
      </c>
      <c r="W1334" s="428" t="str">
        <f>VLOOKUP(H1334,'Fund Utilization Report'!$A$4:$U$1800,5,FALSE)</f>
        <v>01101101</v>
      </c>
      <c r="X1334" s="428" t="str">
        <f>VLOOKUP(H1334,'Fund Utilization Report'!$A$4:$U$1800,6,FALSE)</f>
        <v>GOP</v>
      </c>
      <c r="Y1334" s="320" t="str">
        <f>VLOOKUP(H1334,'Fund Utilization Report'!$A$4:$U$1800,7,FALSE)</f>
        <v>MOOE</v>
      </c>
      <c r="Z1334" s="425">
        <f>VLOOKUP(H1334,'Fund Utilization Report'!$A$4:$U$1800,8,FALSE)</f>
        <v>5020000000</v>
      </c>
      <c r="AA1334" s="428" t="str">
        <f>VLOOKUP(H1334,'Fund Utilization Report'!$A$4:$U$1800,14,FALSE)</f>
        <v>100000100001000</v>
      </c>
      <c r="AB1334" s="349" t="str">
        <f>VLOOKUP(H1334,'Fund Utilization Report'!$A$4:$U$1800,15,FALSE)</f>
        <v>General Administration and Supervision - General Management and Supervision</v>
      </c>
      <c r="AC1334" s="39"/>
      <c r="AD1334" s="34"/>
      <c r="AE1334" s="39"/>
      <c r="AF1334" s="51"/>
      <c r="AG1334" s="40"/>
      <c r="AH1334" s="40"/>
    </row>
    <row r="1335" spans="1:34" s="32" customFormat="1">
      <c r="A1335" s="434" t="s">
        <v>942</v>
      </c>
      <c r="B1335" s="457" t="s">
        <v>946</v>
      </c>
      <c r="C1335" s="233">
        <v>44279</v>
      </c>
      <c r="D1335" s="435" t="s">
        <v>1267</v>
      </c>
      <c r="E1335" s="436" t="s">
        <v>1527</v>
      </c>
      <c r="F1335" s="338">
        <v>0.46111111111111108</v>
      </c>
      <c r="G1335" s="338">
        <v>0.46527777777777773</v>
      </c>
      <c r="H1335" s="338" t="s">
        <v>961</v>
      </c>
      <c r="I1335" s="353">
        <v>783</v>
      </c>
      <c r="J1335" s="338" t="str">
        <f>IFERROR(VLOOKUP(I1335,'Chart of accounts'!A:H,2,FALSE),"")</f>
        <v>50299030 00</v>
      </c>
      <c r="K1335" s="338" t="str">
        <f>IFERROR(VLOOKUP(I1335,'Chart of accounts'!A:H,3,FALSE),"")</f>
        <v>Representation Expenses</v>
      </c>
      <c r="L1335" s="338" t="str">
        <f>IFERROR(VLOOKUP(I1335,'Chart of accounts'!A:H,4,FALSE),"")</f>
        <v>50299030 00 - Representation Expenses (783)</v>
      </c>
      <c r="M1335" s="361">
        <v>2</v>
      </c>
      <c r="N1335" s="420" t="s">
        <v>818</v>
      </c>
      <c r="O1335" s="420" t="s">
        <v>1532</v>
      </c>
      <c r="P1335" s="420"/>
      <c r="Q1335" s="420">
        <v>5312</v>
      </c>
      <c r="R1335" s="428">
        <f t="shared" si="51"/>
        <v>-5312</v>
      </c>
      <c r="S1335" s="428" t="str">
        <f>VLOOKUP(H1335,'Fund Utilization Report'!$A$4:$U$1800,13,FALSE)</f>
        <v>MOOE</v>
      </c>
      <c r="T1335" s="428" t="str">
        <f>VLOOKUP(H1335,'Fund Utilization Report'!$A$4:$U$1800,2,FALSE)</f>
        <v>GAA</v>
      </c>
      <c r="U1335" s="428" t="str">
        <f>VLOOKUP(H1335,'Fund Utilization Report'!$A$4:$U$1800,3,FALSE)</f>
        <v>FY2021, RA11518</v>
      </c>
      <c r="V1335" s="428" t="str">
        <f>VLOOKUP(H1335,'Fund Utilization Report'!$A$4:$U$1800,4,FALSE)</f>
        <v>GAS(GMS)</v>
      </c>
      <c r="W1335" s="428" t="str">
        <f>VLOOKUP(H1335,'Fund Utilization Report'!$A$4:$U$1800,5,FALSE)</f>
        <v>01101101</v>
      </c>
      <c r="X1335" s="428" t="str">
        <f>VLOOKUP(H1335,'Fund Utilization Report'!$A$4:$U$1800,6,FALSE)</f>
        <v>GOP</v>
      </c>
      <c r="Y1335" s="320" t="str">
        <f>VLOOKUP(H1335,'Fund Utilization Report'!$A$4:$U$1800,7,FALSE)</f>
        <v>MOOE</v>
      </c>
      <c r="Z1335" s="425">
        <f>VLOOKUP(H1335,'Fund Utilization Report'!$A$4:$U$1800,8,FALSE)</f>
        <v>5020000000</v>
      </c>
      <c r="AA1335" s="428" t="str">
        <f>VLOOKUP(H1335,'Fund Utilization Report'!$A$4:$U$1800,14,FALSE)</f>
        <v>100000100001000</v>
      </c>
      <c r="AB1335" s="349" t="str">
        <f>VLOOKUP(H1335,'Fund Utilization Report'!$A$4:$U$1800,15,FALSE)</f>
        <v>General Administration and Supervision - General Management and Supervision</v>
      </c>
      <c r="AC1335" s="39"/>
      <c r="AD1335" s="34"/>
      <c r="AE1335" s="39"/>
      <c r="AF1335" s="51"/>
      <c r="AG1335" s="40"/>
      <c r="AH1335" s="40"/>
    </row>
    <row r="1336" spans="1:34" s="32" customFormat="1">
      <c r="A1336" s="434" t="s">
        <v>942</v>
      </c>
      <c r="B1336" s="457" t="s">
        <v>946</v>
      </c>
      <c r="C1336" s="233">
        <v>44279</v>
      </c>
      <c r="D1336" s="435" t="s">
        <v>1267</v>
      </c>
      <c r="E1336" s="436" t="s">
        <v>1527</v>
      </c>
      <c r="F1336" s="338">
        <v>0.46111111111111108</v>
      </c>
      <c r="G1336" s="338">
        <v>0.46527777777777773</v>
      </c>
      <c r="H1336" s="338" t="s">
        <v>968</v>
      </c>
      <c r="I1336" s="353">
        <v>784</v>
      </c>
      <c r="J1336" s="338" t="str">
        <f>IFERROR(VLOOKUP(I1336,'Chart of accounts'!A:H,2,FALSE),"")</f>
        <v>50299040 00</v>
      </c>
      <c r="K1336" s="338" t="str">
        <f>IFERROR(VLOOKUP(I1336,'Chart of accounts'!A:H,3,FALSE),"")</f>
        <v>Transportation and Delivery Expenses</v>
      </c>
      <c r="L1336" s="338" t="str">
        <f>IFERROR(VLOOKUP(I1336,'Chart of accounts'!A:H,4,FALSE),"")</f>
        <v>50299040 00 - Transportation and Delivery Expenses (784)</v>
      </c>
      <c r="M1336" s="361">
        <v>2</v>
      </c>
      <c r="N1336" s="420" t="s">
        <v>818</v>
      </c>
      <c r="O1336" s="420" t="s">
        <v>1532</v>
      </c>
      <c r="P1336" s="420"/>
      <c r="Q1336" s="420">
        <v>4980</v>
      </c>
      <c r="R1336" s="428">
        <f t="shared" si="51"/>
        <v>-4980</v>
      </c>
      <c r="S1336" s="428" t="str">
        <f>VLOOKUP(H1336,'Fund Utilization Report'!$A$4:$U$1800,13,FALSE)</f>
        <v>MOOE</v>
      </c>
      <c r="T1336" s="428" t="str">
        <f>VLOOKUP(H1336,'Fund Utilization Report'!$A$4:$U$1800,2,FALSE)</f>
        <v>GAA</v>
      </c>
      <c r="U1336" s="428" t="str">
        <f>VLOOKUP(H1336,'Fund Utilization Report'!$A$4:$U$1800,3,FALSE)</f>
        <v>FY2021, RA11518</v>
      </c>
      <c r="V1336" s="428" t="str">
        <f>VLOOKUP(H1336,'Fund Utilization Report'!$A$4:$U$1800,4,FALSE)</f>
        <v>OO2</v>
      </c>
      <c r="W1336" s="428" t="str">
        <f>VLOOKUP(H1336,'Fund Utilization Report'!$A$4:$U$1800,5,FALSE)</f>
        <v>01101101</v>
      </c>
      <c r="X1336" s="428" t="str">
        <f>VLOOKUP(H1336,'Fund Utilization Report'!$A$4:$U$1800,6,FALSE)</f>
        <v>GOP</v>
      </c>
      <c r="Y1336" s="320" t="str">
        <f>VLOOKUP(H1336,'Fund Utilization Report'!$A$4:$U$1800,7,FALSE)</f>
        <v>MOOE</v>
      </c>
      <c r="Z1336" s="425">
        <f>VLOOKUP(H1336,'Fund Utilization Report'!$A$4:$U$1800,8,FALSE)</f>
        <v>5020000000</v>
      </c>
      <c r="AA1336" s="428" t="str">
        <f>VLOOKUP(H1336,'Fund Utilization Report'!$A$4:$U$1800,14,FALSE)</f>
        <v>320100100001000</v>
      </c>
      <c r="AB1336" s="349" t="str">
        <f>VLOOKUP(H1336,'Fund Utilization Report'!$A$4:$U$1800,15,FALSE)</f>
        <v>Formulation of Strategic plans,programs, and policies to develop competitve industries</v>
      </c>
      <c r="AC1336" s="39"/>
      <c r="AD1336" s="34"/>
      <c r="AE1336" s="39"/>
      <c r="AF1336" s="51"/>
      <c r="AG1336" s="40"/>
      <c r="AH1336" s="40"/>
    </row>
    <row r="1337" spans="1:34" s="32" customFormat="1">
      <c r="A1337" s="434" t="s">
        <v>942</v>
      </c>
      <c r="B1337" s="457" t="s">
        <v>946</v>
      </c>
      <c r="C1337" s="233">
        <v>44279</v>
      </c>
      <c r="D1337" s="435" t="s">
        <v>1267</v>
      </c>
      <c r="E1337" s="436" t="s">
        <v>1527</v>
      </c>
      <c r="F1337" s="338">
        <v>0.46111111111111108</v>
      </c>
      <c r="G1337" s="338">
        <v>0.46527777777777773</v>
      </c>
      <c r="H1337" s="338" t="s">
        <v>961</v>
      </c>
      <c r="I1337" s="353">
        <v>969</v>
      </c>
      <c r="J1337" s="338" t="str">
        <f>IFERROR(VLOOKUP(I1337,'Chart of accounts'!A:H,2,FALSE),"")</f>
        <v>50299990 99</v>
      </c>
      <c r="K1337" s="338" t="str">
        <f>IFERROR(VLOOKUP(I1337,'Chart of accounts'!A:H,3,FALSE),"")</f>
        <v>Other Maintenance and Operating Expenses</v>
      </c>
      <c r="L1337" s="338" t="str">
        <f>IFERROR(VLOOKUP(I1337,'Chart of accounts'!A:H,4,FALSE),"")</f>
        <v>50299990 99 - Other Maintenance and Operating Expenses (969)</v>
      </c>
      <c r="M1337" s="361">
        <v>2</v>
      </c>
      <c r="N1337" s="420" t="s">
        <v>818</v>
      </c>
      <c r="O1337" s="420" t="s">
        <v>1532</v>
      </c>
      <c r="P1337" s="420"/>
      <c r="Q1337" s="420">
        <v>12948</v>
      </c>
      <c r="R1337" s="428">
        <f t="shared" si="51"/>
        <v>-12948</v>
      </c>
      <c r="S1337" s="428" t="str">
        <f>VLOOKUP(H1337,'Fund Utilization Report'!$A$4:$U$1800,13,FALSE)</f>
        <v>MOOE</v>
      </c>
      <c r="T1337" s="428" t="str">
        <f>VLOOKUP(H1337,'Fund Utilization Report'!$A$4:$U$1800,2,FALSE)</f>
        <v>GAA</v>
      </c>
      <c r="U1337" s="428" t="str">
        <f>VLOOKUP(H1337,'Fund Utilization Report'!$A$4:$U$1800,3,FALSE)</f>
        <v>FY2021, RA11518</v>
      </c>
      <c r="V1337" s="428" t="str">
        <f>VLOOKUP(H1337,'Fund Utilization Report'!$A$4:$U$1800,4,FALSE)</f>
        <v>GAS(GMS)</v>
      </c>
      <c r="W1337" s="428" t="str">
        <f>VLOOKUP(H1337,'Fund Utilization Report'!$A$4:$U$1800,5,FALSE)</f>
        <v>01101101</v>
      </c>
      <c r="X1337" s="428" t="str">
        <f>VLOOKUP(H1337,'Fund Utilization Report'!$A$4:$U$1800,6,FALSE)</f>
        <v>GOP</v>
      </c>
      <c r="Y1337" s="320" t="str">
        <f>VLOOKUP(H1337,'Fund Utilization Report'!$A$4:$U$1800,7,FALSE)</f>
        <v>MOOE</v>
      </c>
      <c r="Z1337" s="425">
        <f>VLOOKUP(H1337,'Fund Utilization Report'!$A$4:$U$1800,8,FALSE)</f>
        <v>5020000000</v>
      </c>
      <c r="AA1337" s="428" t="str">
        <f>VLOOKUP(H1337,'Fund Utilization Report'!$A$4:$U$1800,14,FALSE)</f>
        <v>100000100001000</v>
      </c>
      <c r="AB1337" s="349" t="str">
        <f>VLOOKUP(H1337,'Fund Utilization Report'!$A$4:$U$1800,15,FALSE)</f>
        <v>General Administration and Supervision - General Management and Supervision</v>
      </c>
      <c r="AC1337" s="39"/>
      <c r="AD1337" s="34"/>
      <c r="AE1337" s="39"/>
      <c r="AF1337" s="51"/>
      <c r="AG1337" s="40"/>
      <c r="AH1337" s="40"/>
    </row>
    <row r="1338" spans="1:34" s="32" customFormat="1">
      <c r="A1338" s="434" t="s">
        <v>942</v>
      </c>
      <c r="B1338" s="457" t="s">
        <v>946</v>
      </c>
      <c r="C1338" s="233">
        <v>44279</v>
      </c>
      <c r="D1338" s="435" t="s">
        <v>1267</v>
      </c>
      <c r="E1338" s="436" t="s">
        <v>1528</v>
      </c>
      <c r="F1338" s="338">
        <v>0.46527777777777773</v>
      </c>
      <c r="G1338" s="338">
        <v>0.46875</v>
      </c>
      <c r="H1338" s="338" t="s">
        <v>961</v>
      </c>
      <c r="I1338" s="353">
        <v>756</v>
      </c>
      <c r="J1338" s="338" t="str">
        <f>IFERROR(VLOOKUP(I1338,'Chart of accounts'!A:H,2,FALSE),"")</f>
        <v>50203020 00</v>
      </c>
      <c r="K1338" s="338" t="str">
        <f>IFERROR(VLOOKUP(I1338,'Chart of accounts'!A:H,3,FALSE),"")</f>
        <v xml:space="preserve">Accountable Forms Expenses </v>
      </c>
      <c r="L1338" s="338" t="str">
        <f>IFERROR(VLOOKUP(I1338,'Chart of accounts'!A:H,4,FALSE),"")</f>
        <v>50203020 00 - Accountable Forms Expenses  (756)</v>
      </c>
      <c r="M1338" s="361">
        <v>3</v>
      </c>
      <c r="N1338" s="420" t="s">
        <v>820</v>
      </c>
      <c r="O1338" s="420" t="s">
        <v>1532</v>
      </c>
      <c r="P1338" s="420"/>
      <c r="Q1338" s="420">
        <v>2490</v>
      </c>
      <c r="R1338" s="428">
        <f t="shared" si="51"/>
        <v>-2490</v>
      </c>
      <c r="S1338" s="428" t="str">
        <f>VLOOKUP(H1338,'Fund Utilization Report'!$A$4:$U$1800,13,FALSE)</f>
        <v>MOOE</v>
      </c>
      <c r="T1338" s="428" t="str">
        <f>VLOOKUP(H1338,'Fund Utilization Report'!$A$4:$U$1800,2,FALSE)</f>
        <v>GAA</v>
      </c>
      <c r="U1338" s="428" t="str">
        <f>VLOOKUP(H1338,'Fund Utilization Report'!$A$4:$U$1800,3,FALSE)</f>
        <v>FY2021, RA11518</v>
      </c>
      <c r="V1338" s="428" t="str">
        <f>VLOOKUP(H1338,'Fund Utilization Report'!$A$4:$U$1800,4,FALSE)</f>
        <v>GAS(GMS)</v>
      </c>
      <c r="W1338" s="428" t="str">
        <f>VLOOKUP(H1338,'Fund Utilization Report'!$A$4:$U$1800,5,FALSE)</f>
        <v>01101101</v>
      </c>
      <c r="X1338" s="428" t="str">
        <f>VLOOKUP(H1338,'Fund Utilization Report'!$A$4:$U$1800,6,FALSE)</f>
        <v>GOP</v>
      </c>
      <c r="Y1338" s="320" t="str">
        <f>VLOOKUP(H1338,'Fund Utilization Report'!$A$4:$U$1800,7,FALSE)</f>
        <v>MOOE</v>
      </c>
      <c r="Z1338" s="425">
        <f>VLOOKUP(H1338,'Fund Utilization Report'!$A$4:$U$1800,8,FALSE)</f>
        <v>5020000000</v>
      </c>
      <c r="AA1338" s="428" t="str">
        <f>VLOOKUP(H1338,'Fund Utilization Report'!$A$4:$U$1800,14,FALSE)</f>
        <v>100000100001000</v>
      </c>
      <c r="AB1338" s="349" t="str">
        <f>VLOOKUP(H1338,'Fund Utilization Report'!$A$4:$U$1800,15,FALSE)</f>
        <v>General Administration and Supervision - General Management and Supervision</v>
      </c>
      <c r="AC1338" s="39"/>
      <c r="AD1338" s="34"/>
      <c r="AE1338" s="39"/>
      <c r="AF1338" s="51"/>
      <c r="AG1338" s="40"/>
      <c r="AH1338" s="40"/>
    </row>
    <row r="1339" spans="1:34" s="32" customFormat="1">
      <c r="A1339" s="434" t="s">
        <v>942</v>
      </c>
      <c r="B1339" s="457" t="s">
        <v>946</v>
      </c>
      <c r="C1339" s="233">
        <v>44279</v>
      </c>
      <c r="D1339" s="435" t="s">
        <v>1267</v>
      </c>
      <c r="E1339" s="436" t="s">
        <v>1528</v>
      </c>
      <c r="F1339" s="338">
        <v>0.46527777777777773</v>
      </c>
      <c r="G1339" s="338">
        <v>0.46875</v>
      </c>
      <c r="H1339" s="338" t="s">
        <v>961</v>
      </c>
      <c r="I1339" s="353">
        <v>753</v>
      </c>
      <c r="J1339" s="338" t="str">
        <f>IFERROR(VLOOKUP(I1339,'Chart of accounts'!A:H,2,FALSE),"")</f>
        <v>50202010 00</v>
      </c>
      <c r="K1339" s="338" t="str">
        <f>IFERROR(VLOOKUP(I1339,'Chart of accounts'!A:H,3,FALSE),"")</f>
        <v>Training Expenses</v>
      </c>
      <c r="L1339" s="338" t="str">
        <f>IFERROR(VLOOKUP(I1339,'Chart of accounts'!A:H,4,FALSE),"")</f>
        <v>50202010 00 - Training Expenses (753)</v>
      </c>
      <c r="M1339" s="361">
        <v>3</v>
      </c>
      <c r="N1339" s="420" t="s">
        <v>820</v>
      </c>
      <c r="O1339" s="420" t="s">
        <v>1532</v>
      </c>
      <c r="P1339" s="420"/>
      <c r="Q1339" s="420">
        <v>14940</v>
      </c>
      <c r="R1339" s="428">
        <f t="shared" si="51"/>
        <v>-14940</v>
      </c>
      <c r="S1339" s="428" t="str">
        <f>VLOOKUP(H1339,'Fund Utilization Report'!$A$4:$U$1800,13,FALSE)</f>
        <v>MOOE</v>
      </c>
      <c r="T1339" s="428" t="str">
        <f>VLOOKUP(H1339,'Fund Utilization Report'!$A$4:$U$1800,2,FALSE)</f>
        <v>GAA</v>
      </c>
      <c r="U1339" s="428" t="str">
        <f>VLOOKUP(H1339,'Fund Utilization Report'!$A$4:$U$1800,3,FALSE)</f>
        <v>FY2021, RA11518</v>
      </c>
      <c r="V1339" s="428" t="str">
        <f>VLOOKUP(H1339,'Fund Utilization Report'!$A$4:$U$1800,4,FALSE)</f>
        <v>GAS(GMS)</v>
      </c>
      <c r="W1339" s="428" t="str">
        <f>VLOOKUP(H1339,'Fund Utilization Report'!$A$4:$U$1800,5,FALSE)</f>
        <v>01101101</v>
      </c>
      <c r="X1339" s="428" t="str">
        <f>VLOOKUP(H1339,'Fund Utilization Report'!$A$4:$U$1800,6,FALSE)</f>
        <v>GOP</v>
      </c>
      <c r="Y1339" s="320" t="str">
        <f>VLOOKUP(H1339,'Fund Utilization Report'!$A$4:$U$1800,7,FALSE)</f>
        <v>MOOE</v>
      </c>
      <c r="Z1339" s="425">
        <f>VLOOKUP(H1339,'Fund Utilization Report'!$A$4:$U$1800,8,FALSE)</f>
        <v>5020000000</v>
      </c>
      <c r="AA1339" s="428" t="str">
        <f>VLOOKUP(H1339,'Fund Utilization Report'!$A$4:$U$1800,14,FALSE)</f>
        <v>100000100001000</v>
      </c>
      <c r="AB1339" s="349" t="str">
        <f>VLOOKUP(H1339,'Fund Utilization Report'!$A$4:$U$1800,15,FALSE)</f>
        <v>General Administration and Supervision - General Management and Supervision</v>
      </c>
      <c r="AC1339" s="39"/>
      <c r="AD1339" s="34"/>
      <c r="AE1339" s="39"/>
      <c r="AF1339" s="51"/>
      <c r="AG1339" s="40"/>
      <c r="AH1339" s="40"/>
    </row>
    <row r="1340" spans="1:34" s="32" customFormat="1">
      <c r="A1340" s="434" t="s">
        <v>942</v>
      </c>
      <c r="B1340" s="457" t="s">
        <v>946</v>
      </c>
      <c r="C1340" s="233">
        <v>44279</v>
      </c>
      <c r="D1340" s="435" t="s">
        <v>1267</v>
      </c>
      <c r="E1340" s="436" t="s">
        <v>1528</v>
      </c>
      <c r="F1340" s="338">
        <v>0.46527777777777773</v>
      </c>
      <c r="G1340" s="338">
        <v>0.46875</v>
      </c>
      <c r="H1340" s="338" t="s">
        <v>961</v>
      </c>
      <c r="I1340" s="353">
        <v>761</v>
      </c>
      <c r="J1340" s="338" t="str">
        <f>IFERROR(VLOOKUP(I1340,'Chart of accounts'!A:H,2,FALSE),"")</f>
        <v>50203090 00</v>
      </c>
      <c r="K1340" s="338" t="str">
        <f>IFERROR(VLOOKUP(I1340,'Chart of accounts'!A:H,3,FALSE),"")</f>
        <v>Fuel, Oil and Lubricants Expenses</v>
      </c>
      <c r="L1340" s="338" t="str">
        <f>IFERROR(VLOOKUP(I1340,'Chart of accounts'!A:H,4,FALSE),"")</f>
        <v>50203090 00 - Fuel, Oil and Lubricants Expenses (761)</v>
      </c>
      <c r="M1340" s="361">
        <v>3</v>
      </c>
      <c r="N1340" s="420" t="s">
        <v>820</v>
      </c>
      <c r="O1340" s="420" t="s">
        <v>1532</v>
      </c>
      <c r="P1340" s="420"/>
      <c r="Q1340" s="420">
        <v>16600</v>
      </c>
      <c r="R1340" s="428">
        <f t="shared" si="51"/>
        <v>-16600</v>
      </c>
      <c r="S1340" s="428" t="str">
        <f>VLOOKUP(H1340,'Fund Utilization Report'!$A$4:$U$1800,13,FALSE)</f>
        <v>MOOE</v>
      </c>
      <c r="T1340" s="428" t="str">
        <f>VLOOKUP(H1340,'Fund Utilization Report'!$A$4:$U$1800,2,FALSE)</f>
        <v>GAA</v>
      </c>
      <c r="U1340" s="428" t="str">
        <f>VLOOKUP(H1340,'Fund Utilization Report'!$A$4:$U$1800,3,FALSE)</f>
        <v>FY2021, RA11518</v>
      </c>
      <c r="V1340" s="428" t="str">
        <f>VLOOKUP(H1340,'Fund Utilization Report'!$A$4:$U$1800,4,FALSE)</f>
        <v>GAS(GMS)</v>
      </c>
      <c r="W1340" s="428" t="str">
        <f>VLOOKUP(H1340,'Fund Utilization Report'!$A$4:$U$1800,5,FALSE)</f>
        <v>01101101</v>
      </c>
      <c r="X1340" s="428" t="str">
        <f>VLOOKUP(H1340,'Fund Utilization Report'!$A$4:$U$1800,6,FALSE)</f>
        <v>GOP</v>
      </c>
      <c r="Y1340" s="320" t="str">
        <f>VLOOKUP(H1340,'Fund Utilization Report'!$A$4:$U$1800,7,FALSE)</f>
        <v>MOOE</v>
      </c>
      <c r="Z1340" s="425">
        <f>VLOOKUP(H1340,'Fund Utilization Report'!$A$4:$U$1800,8,FALSE)</f>
        <v>5020000000</v>
      </c>
      <c r="AA1340" s="428" t="str">
        <f>VLOOKUP(H1340,'Fund Utilization Report'!$A$4:$U$1800,14,FALSE)</f>
        <v>100000100001000</v>
      </c>
      <c r="AB1340" s="349" t="str">
        <f>VLOOKUP(H1340,'Fund Utilization Report'!$A$4:$U$1800,15,FALSE)</f>
        <v>General Administration and Supervision - General Management and Supervision</v>
      </c>
      <c r="AC1340" s="39"/>
      <c r="AD1340" s="34"/>
      <c r="AE1340" s="39"/>
      <c r="AF1340" s="51"/>
      <c r="AG1340" s="40"/>
      <c r="AH1340" s="40"/>
    </row>
    <row r="1341" spans="1:34" s="32" customFormat="1">
      <c r="A1341" s="434" t="s">
        <v>942</v>
      </c>
      <c r="B1341" s="457" t="s">
        <v>946</v>
      </c>
      <c r="C1341" s="233">
        <v>44279</v>
      </c>
      <c r="D1341" s="435" t="s">
        <v>1267</v>
      </c>
      <c r="E1341" s="436" t="s">
        <v>1528</v>
      </c>
      <c r="F1341" s="338">
        <v>0.46527777777777773</v>
      </c>
      <c r="G1341" s="338">
        <v>0.46875</v>
      </c>
      <c r="H1341" s="338" t="s">
        <v>961</v>
      </c>
      <c r="I1341" s="353">
        <v>766</v>
      </c>
      <c r="J1341" s="338" t="str">
        <f>IFERROR(VLOOKUP(I1341,'Chart of accounts'!A:H,2,FALSE),"")</f>
        <v>50204010 00</v>
      </c>
      <c r="K1341" s="338" t="str">
        <f>IFERROR(VLOOKUP(I1341,'Chart of accounts'!A:H,3,FALSE),"")</f>
        <v>Water Expenses</v>
      </c>
      <c r="L1341" s="338" t="str">
        <f>IFERROR(VLOOKUP(I1341,'Chart of accounts'!A:H,4,FALSE),"")</f>
        <v>50204010 00 - Water Expenses (766)</v>
      </c>
      <c r="M1341" s="361">
        <v>3</v>
      </c>
      <c r="N1341" s="420" t="s">
        <v>820</v>
      </c>
      <c r="O1341" s="420" t="s">
        <v>1532</v>
      </c>
      <c r="P1341" s="420"/>
      <c r="Q1341" s="420">
        <v>3237</v>
      </c>
      <c r="R1341" s="428">
        <f t="shared" si="51"/>
        <v>-3237</v>
      </c>
      <c r="S1341" s="428" t="str">
        <f>VLOOKUP(H1341,'Fund Utilization Report'!$A$4:$U$1800,13,FALSE)</f>
        <v>MOOE</v>
      </c>
      <c r="T1341" s="428" t="str">
        <f>VLOOKUP(H1341,'Fund Utilization Report'!$A$4:$U$1800,2,FALSE)</f>
        <v>GAA</v>
      </c>
      <c r="U1341" s="428" t="str">
        <f>VLOOKUP(H1341,'Fund Utilization Report'!$A$4:$U$1800,3,FALSE)</f>
        <v>FY2021, RA11518</v>
      </c>
      <c r="V1341" s="428" t="str">
        <f>VLOOKUP(H1341,'Fund Utilization Report'!$A$4:$U$1800,4,FALSE)</f>
        <v>GAS(GMS)</v>
      </c>
      <c r="W1341" s="428" t="str">
        <f>VLOOKUP(H1341,'Fund Utilization Report'!$A$4:$U$1800,5,FALSE)</f>
        <v>01101101</v>
      </c>
      <c r="X1341" s="428" t="str">
        <f>VLOOKUP(H1341,'Fund Utilization Report'!$A$4:$U$1800,6,FALSE)</f>
        <v>GOP</v>
      </c>
      <c r="Y1341" s="320" t="str">
        <f>VLOOKUP(H1341,'Fund Utilization Report'!$A$4:$U$1800,7,FALSE)</f>
        <v>MOOE</v>
      </c>
      <c r="Z1341" s="425">
        <f>VLOOKUP(H1341,'Fund Utilization Report'!$A$4:$U$1800,8,FALSE)</f>
        <v>5020000000</v>
      </c>
      <c r="AA1341" s="428" t="str">
        <f>VLOOKUP(H1341,'Fund Utilization Report'!$A$4:$U$1800,14,FALSE)</f>
        <v>100000100001000</v>
      </c>
      <c r="AB1341" s="349" t="str">
        <f>VLOOKUP(H1341,'Fund Utilization Report'!$A$4:$U$1800,15,FALSE)</f>
        <v>General Administration and Supervision - General Management and Supervision</v>
      </c>
      <c r="AC1341" s="39"/>
      <c r="AD1341" s="34"/>
      <c r="AE1341" s="39"/>
      <c r="AF1341" s="51"/>
      <c r="AG1341" s="40"/>
      <c r="AH1341" s="40"/>
    </row>
    <row r="1342" spans="1:34" s="32" customFormat="1">
      <c r="A1342" s="434" t="s">
        <v>942</v>
      </c>
      <c r="B1342" s="457" t="s">
        <v>946</v>
      </c>
      <c r="C1342" s="233">
        <v>44279</v>
      </c>
      <c r="D1342" s="435" t="s">
        <v>1267</v>
      </c>
      <c r="E1342" s="436" t="s">
        <v>1528</v>
      </c>
      <c r="F1342" s="338">
        <v>0.46527777777777773</v>
      </c>
      <c r="G1342" s="338">
        <v>0.46875</v>
      </c>
      <c r="H1342" s="338" t="s">
        <v>961</v>
      </c>
      <c r="I1342" s="353">
        <v>767</v>
      </c>
      <c r="J1342" s="338" t="str">
        <f>IFERROR(VLOOKUP(I1342,'Chart of accounts'!A:H,2,FALSE),"")</f>
        <v>50204020 00</v>
      </c>
      <c r="K1342" s="338" t="str">
        <f>IFERROR(VLOOKUP(I1342,'Chart of accounts'!A:H,3,FALSE),"")</f>
        <v>Electricity Expense</v>
      </c>
      <c r="L1342" s="338" t="str">
        <f>IFERROR(VLOOKUP(I1342,'Chart of accounts'!A:H,4,FALSE),"")</f>
        <v>50204020 00 - Electricity Expense (767)</v>
      </c>
      <c r="M1342" s="361">
        <v>3</v>
      </c>
      <c r="N1342" s="420" t="s">
        <v>820</v>
      </c>
      <c r="O1342" s="420" t="s">
        <v>1532</v>
      </c>
      <c r="P1342" s="420"/>
      <c r="Q1342" s="420">
        <v>57270</v>
      </c>
      <c r="R1342" s="428">
        <f t="shared" si="51"/>
        <v>-57270</v>
      </c>
      <c r="S1342" s="428" t="str">
        <f>VLOOKUP(H1342,'Fund Utilization Report'!$A$4:$U$1800,13,FALSE)</f>
        <v>MOOE</v>
      </c>
      <c r="T1342" s="428" t="str">
        <f>VLOOKUP(H1342,'Fund Utilization Report'!$A$4:$U$1800,2,FALSE)</f>
        <v>GAA</v>
      </c>
      <c r="U1342" s="428" t="str">
        <f>VLOOKUP(H1342,'Fund Utilization Report'!$A$4:$U$1800,3,FALSE)</f>
        <v>FY2021, RA11518</v>
      </c>
      <c r="V1342" s="428" t="str">
        <f>VLOOKUP(H1342,'Fund Utilization Report'!$A$4:$U$1800,4,FALSE)</f>
        <v>GAS(GMS)</v>
      </c>
      <c r="W1342" s="428" t="str">
        <f>VLOOKUP(H1342,'Fund Utilization Report'!$A$4:$U$1800,5,FALSE)</f>
        <v>01101101</v>
      </c>
      <c r="X1342" s="428" t="str">
        <f>VLOOKUP(H1342,'Fund Utilization Report'!$A$4:$U$1800,6,FALSE)</f>
        <v>GOP</v>
      </c>
      <c r="Y1342" s="320" t="str">
        <f>VLOOKUP(H1342,'Fund Utilization Report'!$A$4:$U$1800,7,FALSE)</f>
        <v>MOOE</v>
      </c>
      <c r="Z1342" s="425">
        <f>VLOOKUP(H1342,'Fund Utilization Report'!$A$4:$U$1800,8,FALSE)</f>
        <v>5020000000</v>
      </c>
      <c r="AA1342" s="428" t="str">
        <f>VLOOKUP(H1342,'Fund Utilization Report'!$A$4:$U$1800,14,FALSE)</f>
        <v>100000100001000</v>
      </c>
      <c r="AB1342" s="349" t="str">
        <f>VLOOKUP(H1342,'Fund Utilization Report'!$A$4:$U$1800,15,FALSE)</f>
        <v>General Administration and Supervision - General Management and Supervision</v>
      </c>
      <c r="AC1342" s="39"/>
      <c r="AD1342" s="34"/>
      <c r="AE1342" s="39"/>
      <c r="AF1342" s="51"/>
      <c r="AG1342" s="40"/>
      <c r="AH1342" s="40"/>
    </row>
    <row r="1343" spans="1:34" s="32" customFormat="1">
      <c r="A1343" s="434" t="s">
        <v>942</v>
      </c>
      <c r="B1343" s="457" t="s">
        <v>946</v>
      </c>
      <c r="C1343" s="233">
        <v>44279</v>
      </c>
      <c r="D1343" s="435" t="s">
        <v>1267</v>
      </c>
      <c r="E1343" s="436" t="s">
        <v>1528</v>
      </c>
      <c r="F1343" s="338">
        <v>0.46527777777777773</v>
      </c>
      <c r="G1343" s="338">
        <v>0.46875</v>
      </c>
      <c r="H1343" s="338" t="s">
        <v>961</v>
      </c>
      <c r="I1343" s="353">
        <v>771</v>
      </c>
      <c r="J1343" s="338" t="str">
        <f>IFERROR(VLOOKUP(I1343,'Chart of accounts'!A:H,2,FALSE),"")</f>
        <v>50205010 00</v>
      </c>
      <c r="K1343" s="338" t="str">
        <f>IFERROR(VLOOKUP(I1343,'Chart of accounts'!A:H,3,FALSE),"")</f>
        <v>Postage and Courier Services</v>
      </c>
      <c r="L1343" s="338" t="str">
        <f>IFERROR(VLOOKUP(I1343,'Chart of accounts'!A:H,4,FALSE),"")</f>
        <v>50205010 00 - Postage and Courier Services (771)</v>
      </c>
      <c r="M1343" s="361">
        <v>3</v>
      </c>
      <c r="N1343" s="420" t="s">
        <v>820</v>
      </c>
      <c r="O1343" s="420" t="s">
        <v>1532</v>
      </c>
      <c r="P1343" s="420"/>
      <c r="Q1343" s="420">
        <v>6225</v>
      </c>
      <c r="R1343" s="428">
        <f t="shared" si="51"/>
        <v>-6225</v>
      </c>
      <c r="S1343" s="428" t="str">
        <f>VLOOKUP(H1343,'Fund Utilization Report'!$A$4:$U$1800,13,FALSE)</f>
        <v>MOOE</v>
      </c>
      <c r="T1343" s="428" t="str">
        <f>VLOOKUP(H1343,'Fund Utilization Report'!$A$4:$U$1800,2,FALSE)</f>
        <v>GAA</v>
      </c>
      <c r="U1343" s="428" t="str">
        <f>VLOOKUP(H1343,'Fund Utilization Report'!$A$4:$U$1800,3,FALSE)</f>
        <v>FY2021, RA11518</v>
      </c>
      <c r="V1343" s="428" t="str">
        <f>VLOOKUP(H1343,'Fund Utilization Report'!$A$4:$U$1800,4,FALSE)</f>
        <v>GAS(GMS)</v>
      </c>
      <c r="W1343" s="428" t="str">
        <f>VLOOKUP(H1343,'Fund Utilization Report'!$A$4:$U$1800,5,FALSE)</f>
        <v>01101101</v>
      </c>
      <c r="X1343" s="428" t="str">
        <f>VLOOKUP(H1343,'Fund Utilization Report'!$A$4:$U$1800,6,FALSE)</f>
        <v>GOP</v>
      </c>
      <c r="Y1343" s="320" t="str">
        <f>VLOOKUP(H1343,'Fund Utilization Report'!$A$4:$U$1800,7,FALSE)</f>
        <v>MOOE</v>
      </c>
      <c r="Z1343" s="425">
        <f>VLOOKUP(H1343,'Fund Utilization Report'!$A$4:$U$1800,8,FALSE)</f>
        <v>5020000000</v>
      </c>
      <c r="AA1343" s="428" t="str">
        <f>VLOOKUP(H1343,'Fund Utilization Report'!$A$4:$U$1800,14,FALSE)</f>
        <v>100000100001000</v>
      </c>
      <c r="AB1343" s="349" t="str">
        <f>VLOOKUP(H1343,'Fund Utilization Report'!$A$4:$U$1800,15,FALSE)</f>
        <v>General Administration and Supervision - General Management and Supervision</v>
      </c>
      <c r="AC1343" s="39"/>
      <c r="AD1343" s="34"/>
      <c r="AE1343" s="39"/>
      <c r="AF1343" s="51"/>
      <c r="AG1343" s="40"/>
      <c r="AH1343" s="40"/>
    </row>
    <row r="1344" spans="1:34" s="32" customFormat="1">
      <c r="A1344" s="434" t="s">
        <v>942</v>
      </c>
      <c r="B1344" s="457" t="s">
        <v>946</v>
      </c>
      <c r="C1344" s="233">
        <v>44279</v>
      </c>
      <c r="D1344" s="435" t="s">
        <v>1267</v>
      </c>
      <c r="E1344" s="436" t="s">
        <v>1528</v>
      </c>
      <c r="F1344" s="338">
        <v>0.46527777777777773</v>
      </c>
      <c r="G1344" s="338">
        <v>0.46875</v>
      </c>
      <c r="H1344" s="338" t="s">
        <v>961</v>
      </c>
      <c r="I1344" s="353">
        <v>773</v>
      </c>
      <c r="J1344" s="338" t="str">
        <f>IFERROR(VLOOKUP(I1344,'Chart of accounts'!A:H,2,FALSE),"")</f>
        <v>50205020 01</v>
      </c>
      <c r="K1344" s="338" t="str">
        <f>IFERROR(VLOOKUP(I1344,'Chart of accounts'!A:H,3,FALSE),"")</f>
        <v xml:space="preserve">Telephone Expenses - Mobile </v>
      </c>
      <c r="L1344" s="338" t="str">
        <f>IFERROR(VLOOKUP(I1344,'Chart of accounts'!A:H,4,FALSE),"")</f>
        <v>50205020 01 - Telephone Expenses - Mobile  (773)</v>
      </c>
      <c r="M1344" s="361">
        <v>3</v>
      </c>
      <c r="N1344" s="420" t="s">
        <v>820</v>
      </c>
      <c r="O1344" s="420" t="s">
        <v>1532</v>
      </c>
      <c r="P1344" s="420"/>
      <c r="Q1344" s="420">
        <v>4482</v>
      </c>
      <c r="R1344" s="428">
        <f t="shared" si="51"/>
        <v>-4482</v>
      </c>
      <c r="S1344" s="428" t="str">
        <f>VLOOKUP(H1344,'Fund Utilization Report'!$A$4:$U$1800,13,FALSE)</f>
        <v>MOOE</v>
      </c>
      <c r="T1344" s="428" t="str">
        <f>VLOOKUP(H1344,'Fund Utilization Report'!$A$4:$U$1800,2,FALSE)</f>
        <v>GAA</v>
      </c>
      <c r="U1344" s="428" t="str">
        <f>VLOOKUP(H1344,'Fund Utilization Report'!$A$4:$U$1800,3,FALSE)</f>
        <v>FY2021, RA11518</v>
      </c>
      <c r="V1344" s="428" t="str">
        <f>VLOOKUP(H1344,'Fund Utilization Report'!$A$4:$U$1800,4,FALSE)</f>
        <v>GAS(GMS)</v>
      </c>
      <c r="W1344" s="428" t="str">
        <f>VLOOKUP(H1344,'Fund Utilization Report'!$A$4:$U$1800,5,FALSE)</f>
        <v>01101101</v>
      </c>
      <c r="X1344" s="428" t="str">
        <f>VLOOKUP(H1344,'Fund Utilization Report'!$A$4:$U$1800,6,FALSE)</f>
        <v>GOP</v>
      </c>
      <c r="Y1344" s="320" t="str">
        <f>VLOOKUP(H1344,'Fund Utilization Report'!$A$4:$U$1800,7,FALSE)</f>
        <v>MOOE</v>
      </c>
      <c r="Z1344" s="425">
        <f>VLOOKUP(H1344,'Fund Utilization Report'!$A$4:$U$1800,8,FALSE)</f>
        <v>5020000000</v>
      </c>
      <c r="AA1344" s="428" t="str">
        <f>VLOOKUP(H1344,'Fund Utilization Report'!$A$4:$U$1800,14,FALSE)</f>
        <v>100000100001000</v>
      </c>
      <c r="AB1344" s="349" t="str">
        <f>VLOOKUP(H1344,'Fund Utilization Report'!$A$4:$U$1800,15,FALSE)</f>
        <v>General Administration and Supervision - General Management and Supervision</v>
      </c>
      <c r="AC1344" s="39"/>
      <c r="AD1344" s="34"/>
      <c r="AE1344" s="39"/>
      <c r="AF1344" s="51"/>
      <c r="AG1344" s="40"/>
      <c r="AH1344" s="40"/>
    </row>
    <row r="1345" spans="1:34" s="32" customFormat="1">
      <c r="A1345" s="434" t="s">
        <v>942</v>
      </c>
      <c r="B1345" s="457" t="s">
        <v>946</v>
      </c>
      <c r="C1345" s="233">
        <v>44279</v>
      </c>
      <c r="D1345" s="435" t="s">
        <v>1267</v>
      </c>
      <c r="E1345" s="436" t="s">
        <v>1528</v>
      </c>
      <c r="F1345" s="338">
        <v>0.46527777777777773</v>
      </c>
      <c r="G1345" s="338">
        <v>0.46875</v>
      </c>
      <c r="H1345" s="338" t="s">
        <v>961</v>
      </c>
      <c r="I1345" s="353">
        <v>775</v>
      </c>
      <c r="J1345" s="338" t="str">
        <f>IFERROR(VLOOKUP(I1345,'Chart of accounts'!A:H,2,FALSE),"")</f>
        <v>50205040 00</v>
      </c>
      <c r="K1345" s="338" t="str">
        <f>IFERROR(VLOOKUP(I1345,'Chart of accounts'!A:H,3,FALSE),"")</f>
        <v>Cable, Satellite, Telegraph, and Radio Expenses</v>
      </c>
      <c r="L1345" s="338" t="str">
        <f>IFERROR(VLOOKUP(I1345,'Chart of accounts'!A:H,4,FALSE),"")</f>
        <v>50205040 00 - Cable, Satellite, Telegraph, and Radio Expenses (775)</v>
      </c>
      <c r="M1345" s="361">
        <v>3</v>
      </c>
      <c r="N1345" s="420" t="s">
        <v>820</v>
      </c>
      <c r="O1345" s="420" t="s">
        <v>1532</v>
      </c>
      <c r="P1345" s="420"/>
      <c r="Q1345" s="420">
        <v>1245</v>
      </c>
      <c r="R1345" s="428">
        <f t="shared" si="51"/>
        <v>-1245</v>
      </c>
      <c r="S1345" s="428" t="str">
        <f>VLOOKUP(H1345,'Fund Utilization Report'!$A$4:$U$1800,13,FALSE)</f>
        <v>MOOE</v>
      </c>
      <c r="T1345" s="428" t="str">
        <f>VLOOKUP(H1345,'Fund Utilization Report'!$A$4:$U$1800,2,FALSE)</f>
        <v>GAA</v>
      </c>
      <c r="U1345" s="428" t="str">
        <f>VLOOKUP(H1345,'Fund Utilization Report'!$A$4:$U$1800,3,FALSE)</f>
        <v>FY2021, RA11518</v>
      </c>
      <c r="V1345" s="428" t="str">
        <f>VLOOKUP(H1345,'Fund Utilization Report'!$A$4:$U$1800,4,FALSE)</f>
        <v>GAS(GMS)</v>
      </c>
      <c r="W1345" s="428" t="str">
        <f>VLOOKUP(H1345,'Fund Utilization Report'!$A$4:$U$1800,5,FALSE)</f>
        <v>01101101</v>
      </c>
      <c r="X1345" s="428" t="str">
        <f>VLOOKUP(H1345,'Fund Utilization Report'!$A$4:$U$1800,6,FALSE)</f>
        <v>GOP</v>
      </c>
      <c r="Y1345" s="320" t="str">
        <f>VLOOKUP(H1345,'Fund Utilization Report'!$A$4:$U$1800,7,FALSE)</f>
        <v>MOOE</v>
      </c>
      <c r="Z1345" s="425">
        <f>VLOOKUP(H1345,'Fund Utilization Report'!$A$4:$U$1800,8,FALSE)</f>
        <v>5020000000</v>
      </c>
      <c r="AA1345" s="428" t="str">
        <f>VLOOKUP(H1345,'Fund Utilization Report'!$A$4:$U$1800,14,FALSE)</f>
        <v>100000100001000</v>
      </c>
      <c r="AB1345" s="349" t="str">
        <f>VLOOKUP(H1345,'Fund Utilization Report'!$A$4:$U$1800,15,FALSE)</f>
        <v>General Administration and Supervision - General Management and Supervision</v>
      </c>
      <c r="AC1345" s="39"/>
      <c r="AD1345" s="34"/>
      <c r="AE1345" s="39"/>
      <c r="AF1345" s="51"/>
      <c r="AG1345" s="40"/>
      <c r="AH1345" s="40"/>
    </row>
    <row r="1346" spans="1:34" s="32" customFormat="1">
      <c r="A1346" s="434" t="s">
        <v>942</v>
      </c>
      <c r="B1346" s="457" t="s">
        <v>946</v>
      </c>
      <c r="C1346" s="233">
        <v>44279</v>
      </c>
      <c r="D1346" s="435" t="s">
        <v>1267</v>
      </c>
      <c r="E1346" s="436" t="s">
        <v>1528</v>
      </c>
      <c r="F1346" s="338">
        <v>0.46527777777777773</v>
      </c>
      <c r="G1346" s="338">
        <v>0.46875</v>
      </c>
      <c r="H1346" s="338" t="s">
        <v>961</v>
      </c>
      <c r="I1346" s="353">
        <v>791</v>
      </c>
      <c r="J1346" s="338" t="str">
        <f>IFERROR(VLOOKUP(I1346,'Chart of accounts'!A:H,2,FALSE),"")</f>
        <v>50211010 00</v>
      </c>
      <c r="K1346" s="338" t="str">
        <f>IFERROR(VLOOKUP(I1346,'Chart of accounts'!A:H,3,FALSE),"")</f>
        <v>Legal Services</v>
      </c>
      <c r="L1346" s="338" t="str">
        <f>IFERROR(VLOOKUP(I1346,'Chart of accounts'!A:H,4,FALSE),"")</f>
        <v>50211010 00 - Legal Services (791)</v>
      </c>
      <c r="M1346" s="361">
        <v>3</v>
      </c>
      <c r="N1346" s="420" t="s">
        <v>820</v>
      </c>
      <c r="O1346" s="420" t="s">
        <v>1532</v>
      </c>
      <c r="P1346" s="420"/>
      <c r="Q1346" s="420">
        <v>747</v>
      </c>
      <c r="R1346" s="428">
        <f t="shared" si="51"/>
        <v>-747</v>
      </c>
      <c r="S1346" s="428" t="str">
        <f>VLOOKUP(H1346,'Fund Utilization Report'!$A$4:$U$1800,13,FALSE)</f>
        <v>MOOE</v>
      </c>
      <c r="T1346" s="428" t="str">
        <f>VLOOKUP(H1346,'Fund Utilization Report'!$A$4:$U$1800,2,FALSE)</f>
        <v>GAA</v>
      </c>
      <c r="U1346" s="428" t="str">
        <f>VLOOKUP(H1346,'Fund Utilization Report'!$A$4:$U$1800,3,FALSE)</f>
        <v>FY2021, RA11518</v>
      </c>
      <c r="V1346" s="428" t="str">
        <f>VLOOKUP(H1346,'Fund Utilization Report'!$A$4:$U$1800,4,FALSE)</f>
        <v>GAS(GMS)</v>
      </c>
      <c r="W1346" s="428" t="str">
        <f>VLOOKUP(H1346,'Fund Utilization Report'!$A$4:$U$1800,5,FALSE)</f>
        <v>01101101</v>
      </c>
      <c r="X1346" s="428" t="str">
        <f>VLOOKUP(H1346,'Fund Utilization Report'!$A$4:$U$1800,6,FALSE)</f>
        <v>GOP</v>
      </c>
      <c r="Y1346" s="320" t="str">
        <f>VLOOKUP(H1346,'Fund Utilization Report'!$A$4:$U$1800,7,FALSE)</f>
        <v>MOOE</v>
      </c>
      <c r="Z1346" s="425">
        <f>VLOOKUP(H1346,'Fund Utilization Report'!$A$4:$U$1800,8,FALSE)</f>
        <v>5020000000</v>
      </c>
      <c r="AA1346" s="428" t="str">
        <f>VLOOKUP(H1346,'Fund Utilization Report'!$A$4:$U$1800,14,FALSE)</f>
        <v>100000100001000</v>
      </c>
      <c r="AB1346" s="349" t="str">
        <f>VLOOKUP(H1346,'Fund Utilization Report'!$A$4:$U$1800,15,FALSE)</f>
        <v>General Administration and Supervision - General Management and Supervision</v>
      </c>
      <c r="AC1346" s="39"/>
      <c r="AD1346" s="34"/>
      <c r="AE1346" s="39"/>
      <c r="AF1346" s="51"/>
      <c r="AG1346" s="40"/>
      <c r="AH1346" s="40"/>
    </row>
    <row r="1347" spans="1:34" s="32" customFormat="1">
      <c r="A1347" s="434" t="s">
        <v>942</v>
      </c>
      <c r="B1347" s="457" t="s">
        <v>946</v>
      </c>
      <c r="C1347" s="233">
        <v>44279</v>
      </c>
      <c r="D1347" s="435" t="s">
        <v>1267</v>
      </c>
      <c r="E1347" s="436" t="s">
        <v>1528</v>
      </c>
      <c r="F1347" s="338">
        <v>0.46527777777777773</v>
      </c>
      <c r="G1347" s="338">
        <v>0.46875</v>
      </c>
      <c r="H1347" s="338" t="s">
        <v>961</v>
      </c>
      <c r="I1347" s="353">
        <v>796</v>
      </c>
      <c r="J1347" s="338" t="str">
        <f>IFERROR(VLOOKUP(I1347,'Chart of accounts'!A:H,2,FALSE),"")</f>
        <v>50212020 00</v>
      </c>
      <c r="K1347" s="338" t="str">
        <f>IFERROR(VLOOKUP(I1347,'Chart of accounts'!A:H,3,FALSE),"")</f>
        <v>Janitorial Services</v>
      </c>
      <c r="L1347" s="338" t="str">
        <f>IFERROR(VLOOKUP(I1347,'Chart of accounts'!A:H,4,FALSE),"")</f>
        <v>50212020 00 - Janitorial Services (796)</v>
      </c>
      <c r="M1347" s="361">
        <v>3</v>
      </c>
      <c r="N1347" s="420" t="s">
        <v>820</v>
      </c>
      <c r="O1347" s="420" t="s">
        <v>1532</v>
      </c>
      <c r="P1347" s="420"/>
      <c r="Q1347" s="420">
        <v>20770.75</v>
      </c>
      <c r="R1347" s="428">
        <f t="shared" si="51"/>
        <v>-20770.75</v>
      </c>
      <c r="S1347" s="428" t="str">
        <f>VLOOKUP(H1347,'Fund Utilization Report'!$A$4:$U$1800,13,FALSE)</f>
        <v>MOOE</v>
      </c>
      <c r="T1347" s="428" t="str">
        <f>VLOOKUP(H1347,'Fund Utilization Report'!$A$4:$U$1800,2,FALSE)</f>
        <v>GAA</v>
      </c>
      <c r="U1347" s="428" t="str">
        <f>VLOOKUP(H1347,'Fund Utilization Report'!$A$4:$U$1800,3,FALSE)</f>
        <v>FY2021, RA11518</v>
      </c>
      <c r="V1347" s="428" t="str">
        <f>VLOOKUP(H1347,'Fund Utilization Report'!$A$4:$U$1800,4,FALSE)</f>
        <v>GAS(GMS)</v>
      </c>
      <c r="W1347" s="428" t="str">
        <f>VLOOKUP(H1347,'Fund Utilization Report'!$A$4:$U$1800,5,FALSE)</f>
        <v>01101101</v>
      </c>
      <c r="X1347" s="428" t="str">
        <f>VLOOKUP(H1347,'Fund Utilization Report'!$A$4:$U$1800,6,FALSE)</f>
        <v>GOP</v>
      </c>
      <c r="Y1347" s="320" t="str">
        <f>VLOOKUP(H1347,'Fund Utilization Report'!$A$4:$U$1800,7,FALSE)</f>
        <v>MOOE</v>
      </c>
      <c r="Z1347" s="425">
        <f>VLOOKUP(H1347,'Fund Utilization Report'!$A$4:$U$1800,8,FALSE)</f>
        <v>5020000000</v>
      </c>
      <c r="AA1347" s="428" t="str">
        <f>VLOOKUP(H1347,'Fund Utilization Report'!$A$4:$U$1800,14,FALSE)</f>
        <v>100000100001000</v>
      </c>
      <c r="AB1347" s="349" t="str">
        <f>VLOOKUP(H1347,'Fund Utilization Report'!$A$4:$U$1800,15,FALSE)</f>
        <v>General Administration and Supervision - General Management and Supervision</v>
      </c>
      <c r="AC1347" s="39"/>
      <c r="AD1347" s="34"/>
      <c r="AE1347" s="39"/>
      <c r="AF1347" s="51"/>
      <c r="AG1347" s="40"/>
      <c r="AH1347" s="40"/>
    </row>
    <row r="1348" spans="1:34" s="32" customFormat="1">
      <c r="A1348" s="434" t="s">
        <v>942</v>
      </c>
      <c r="B1348" s="457" t="s">
        <v>946</v>
      </c>
      <c r="C1348" s="233">
        <v>44279</v>
      </c>
      <c r="D1348" s="435" t="s">
        <v>1267</v>
      </c>
      <c r="E1348" s="436" t="s">
        <v>1528</v>
      </c>
      <c r="F1348" s="338">
        <v>0.46527777777777773</v>
      </c>
      <c r="G1348" s="338">
        <v>0.46875</v>
      </c>
      <c r="H1348" s="338" t="s">
        <v>961</v>
      </c>
      <c r="I1348" s="353">
        <v>795</v>
      </c>
      <c r="J1348" s="338" t="str">
        <f>IFERROR(VLOOKUP(I1348,'Chart of accounts'!A:H,2,FALSE),"")</f>
        <v>50212990 00</v>
      </c>
      <c r="K1348" s="338" t="str">
        <f>IFERROR(VLOOKUP(I1348,'Chart of accounts'!A:H,3,FALSE),"")</f>
        <v>Other General Services</v>
      </c>
      <c r="L1348" s="338" t="str">
        <f>IFERROR(VLOOKUP(I1348,'Chart of accounts'!A:H,4,FALSE),"")</f>
        <v>50212990 00 - Other General Services (795)</v>
      </c>
      <c r="M1348" s="361">
        <v>3</v>
      </c>
      <c r="N1348" s="420" t="s">
        <v>820</v>
      </c>
      <c r="O1348" s="420" t="s">
        <v>1532</v>
      </c>
      <c r="P1348" s="420"/>
      <c r="Q1348" s="420">
        <v>100174.36</v>
      </c>
      <c r="R1348" s="428">
        <f t="shared" si="51"/>
        <v>-100174.36</v>
      </c>
      <c r="S1348" s="428" t="str">
        <f>VLOOKUP(H1348,'Fund Utilization Report'!$A$4:$U$1800,13,FALSE)</f>
        <v>MOOE</v>
      </c>
      <c r="T1348" s="428" t="str">
        <f>VLOOKUP(H1348,'Fund Utilization Report'!$A$4:$U$1800,2,FALSE)</f>
        <v>GAA</v>
      </c>
      <c r="U1348" s="428" t="str">
        <f>VLOOKUP(H1348,'Fund Utilization Report'!$A$4:$U$1800,3,FALSE)</f>
        <v>FY2021, RA11518</v>
      </c>
      <c r="V1348" s="428" t="str">
        <f>VLOOKUP(H1348,'Fund Utilization Report'!$A$4:$U$1800,4,FALSE)</f>
        <v>GAS(GMS)</v>
      </c>
      <c r="W1348" s="428" t="str">
        <f>VLOOKUP(H1348,'Fund Utilization Report'!$A$4:$U$1800,5,FALSE)</f>
        <v>01101101</v>
      </c>
      <c r="X1348" s="428" t="str">
        <f>VLOOKUP(H1348,'Fund Utilization Report'!$A$4:$U$1800,6,FALSE)</f>
        <v>GOP</v>
      </c>
      <c r="Y1348" s="320" t="str">
        <f>VLOOKUP(H1348,'Fund Utilization Report'!$A$4:$U$1800,7,FALSE)</f>
        <v>MOOE</v>
      </c>
      <c r="Z1348" s="425">
        <f>VLOOKUP(H1348,'Fund Utilization Report'!$A$4:$U$1800,8,FALSE)</f>
        <v>5020000000</v>
      </c>
      <c r="AA1348" s="428" t="str">
        <f>VLOOKUP(H1348,'Fund Utilization Report'!$A$4:$U$1800,14,FALSE)</f>
        <v>100000100001000</v>
      </c>
      <c r="AB1348" s="349" t="str">
        <f>VLOOKUP(H1348,'Fund Utilization Report'!$A$4:$U$1800,15,FALSE)</f>
        <v>General Administration and Supervision - General Management and Supervision</v>
      </c>
      <c r="AC1348" s="39"/>
      <c r="AD1348" s="34"/>
      <c r="AE1348" s="39"/>
      <c r="AF1348" s="51"/>
      <c r="AG1348" s="40"/>
      <c r="AH1348" s="40"/>
    </row>
    <row r="1349" spans="1:34" s="32" customFormat="1">
      <c r="A1349" s="434" t="s">
        <v>942</v>
      </c>
      <c r="B1349" s="457" t="s">
        <v>946</v>
      </c>
      <c r="C1349" s="233">
        <v>44279</v>
      </c>
      <c r="D1349" s="435" t="s">
        <v>1267</v>
      </c>
      <c r="E1349" s="436" t="s">
        <v>1528</v>
      </c>
      <c r="F1349" s="338">
        <v>0.46527777777777773</v>
      </c>
      <c r="G1349" s="338">
        <v>0.46875</v>
      </c>
      <c r="H1349" s="338" t="s">
        <v>968</v>
      </c>
      <c r="I1349" s="353">
        <v>820</v>
      </c>
      <c r="J1349" s="338" t="str">
        <f>IFERROR(VLOOKUP(I1349,'Chart of accounts'!A:H,2,FALSE),"")</f>
        <v>50213040 01</v>
      </c>
      <c r="K1349" s="338" t="str">
        <f>IFERROR(VLOOKUP(I1349,'Chart of accounts'!A:H,3,FALSE),"")</f>
        <v>Buildings</v>
      </c>
      <c r="L1349" s="338" t="str">
        <f>IFERROR(VLOOKUP(I1349,'Chart of accounts'!A:H,4,FALSE),"")</f>
        <v>50213040 01 - Buildings (820)</v>
      </c>
      <c r="M1349" s="361">
        <v>3</v>
      </c>
      <c r="N1349" s="420" t="s">
        <v>820</v>
      </c>
      <c r="O1349" s="420" t="s">
        <v>1532</v>
      </c>
      <c r="P1349" s="420"/>
      <c r="Q1349" s="420">
        <v>59711.86</v>
      </c>
      <c r="R1349" s="428">
        <f t="shared" si="51"/>
        <v>-59711.86</v>
      </c>
      <c r="S1349" s="428" t="str">
        <f>VLOOKUP(H1349,'Fund Utilization Report'!$A$4:$U$1800,13,FALSE)</f>
        <v>MOOE</v>
      </c>
      <c r="T1349" s="428" t="str">
        <f>VLOOKUP(H1349,'Fund Utilization Report'!$A$4:$U$1800,2,FALSE)</f>
        <v>GAA</v>
      </c>
      <c r="U1349" s="428" t="str">
        <f>VLOOKUP(H1349,'Fund Utilization Report'!$A$4:$U$1800,3,FALSE)</f>
        <v>FY2021, RA11518</v>
      </c>
      <c r="V1349" s="428" t="str">
        <f>VLOOKUP(H1349,'Fund Utilization Report'!$A$4:$U$1800,4,FALSE)</f>
        <v>OO2</v>
      </c>
      <c r="W1349" s="428" t="str">
        <f>VLOOKUP(H1349,'Fund Utilization Report'!$A$4:$U$1800,5,FALSE)</f>
        <v>01101101</v>
      </c>
      <c r="X1349" s="428" t="str">
        <f>VLOOKUP(H1349,'Fund Utilization Report'!$A$4:$U$1800,6,FALSE)</f>
        <v>GOP</v>
      </c>
      <c r="Y1349" s="320" t="str">
        <f>VLOOKUP(H1349,'Fund Utilization Report'!$A$4:$U$1800,7,FALSE)</f>
        <v>MOOE</v>
      </c>
      <c r="Z1349" s="425">
        <f>VLOOKUP(H1349,'Fund Utilization Report'!$A$4:$U$1800,8,FALSE)</f>
        <v>5020000000</v>
      </c>
      <c r="AA1349" s="428" t="str">
        <f>VLOOKUP(H1349,'Fund Utilization Report'!$A$4:$U$1800,14,FALSE)</f>
        <v>320100100001000</v>
      </c>
      <c r="AB1349" s="349" t="str">
        <f>VLOOKUP(H1349,'Fund Utilization Report'!$A$4:$U$1800,15,FALSE)</f>
        <v>Formulation of Strategic plans,programs, and policies to develop competitve industries</v>
      </c>
      <c r="AC1349" s="39"/>
      <c r="AD1349" s="34"/>
      <c r="AE1349" s="39"/>
      <c r="AF1349" s="51"/>
      <c r="AG1349" s="40"/>
      <c r="AH1349" s="40"/>
    </row>
    <row r="1350" spans="1:34" s="32" customFormat="1">
      <c r="A1350" s="434" t="s">
        <v>942</v>
      </c>
      <c r="B1350" s="457" t="s">
        <v>946</v>
      </c>
      <c r="C1350" s="233">
        <v>44279</v>
      </c>
      <c r="D1350" s="435" t="s">
        <v>1267</v>
      </c>
      <c r="E1350" s="436" t="s">
        <v>1528</v>
      </c>
      <c r="F1350" s="338">
        <v>0.46527777777777773</v>
      </c>
      <c r="G1350" s="338">
        <v>0.46875</v>
      </c>
      <c r="H1350" s="338" t="s">
        <v>971</v>
      </c>
      <c r="I1350" s="353">
        <v>821</v>
      </c>
      <c r="J1350" s="338" t="str">
        <f>IFERROR(VLOOKUP(I1350,'Chart of accounts'!A:H,2,FALSE),"")</f>
        <v>50213050 02</v>
      </c>
      <c r="K1350" s="338" t="str">
        <f>IFERROR(VLOOKUP(I1350,'Chart of accounts'!A:H,3,FALSE),"")</f>
        <v>Office Equipment</v>
      </c>
      <c r="L1350" s="338" t="str">
        <f>IFERROR(VLOOKUP(I1350,'Chart of accounts'!A:H,4,FALSE),"")</f>
        <v>50213050 02 - Office Equipment (821)</v>
      </c>
      <c r="M1350" s="361">
        <v>3</v>
      </c>
      <c r="N1350" s="420" t="s">
        <v>820</v>
      </c>
      <c r="O1350" s="420" t="s">
        <v>1532</v>
      </c>
      <c r="P1350" s="420"/>
      <c r="Q1350" s="420">
        <v>4150</v>
      </c>
      <c r="R1350" s="428">
        <f t="shared" si="51"/>
        <v>-4150</v>
      </c>
      <c r="S1350" s="428" t="str">
        <f>VLOOKUP(H1350,'Fund Utilization Report'!$A$4:$U$1800,13,FALSE)</f>
        <v>MOOE</v>
      </c>
      <c r="T1350" s="428" t="str">
        <f>VLOOKUP(H1350,'Fund Utilization Report'!$A$4:$U$1800,2,FALSE)</f>
        <v>GAA</v>
      </c>
      <c r="U1350" s="428" t="str">
        <f>VLOOKUP(H1350,'Fund Utilization Report'!$A$4:$U$1800,3,FALSE)</f>
        <v>FY2021, RA11518</v>
      </c>
      <c r="V1350" s="428" t="str">
        <f>VLOOKUP(H1350,'Fund Utilization Report'!$A$4:$U$1800,4,FALSE)</f>
        <v>OO3</v>
      </c>
      <c r="W1350" s="428" t="str">
        <f>VLOOKUP(H1350,'Fund Utilization Report'!$A$4:$U$1800,5,FALSE)</f>
        <v>01101101</v>
      </c>
      <c r="X1350" s="428" t="str">
        <f>VLOOKUP(H1350,'Fund Utilization Report'!$A$4:$U$1800,6,FALSE)</f>
        <v>GOP</v>
      </c>
      <c r="Y1350" s="320" t="str">
        <f>VLOOKUP(H1350,'Fund Utilization Report'!$A$4:$U$1800,7,FALSE)</f>
        <v>MOOE</v>
      </c>
      <c r="Z1350" s="425">
        <f>VLOOKUP(H1350,'Fund Utilization Report'!$A$4:$U$1800,8,FALSE)</f>
        <v>5020000000</v>
      </c>
      <c r="AA1350" s="428" t="str">
        <f>VLOOKUP(H1350,'Fund Utilization Report'!$A$4:$U$1800,14,FALSE)</f>
        <v>330100100002000</v>
      </c>
      <c r="AB1350" s="349" t="str">
        <f>VLOOKUP(H1350,'Fund Utilization Report'!$A$4:$U$1800,15,FALSE)</f>
        <v>Implementation of the MSME Development Plan and other initiatives to promote the growth of Micro, Small and Medium Enterprises</v>
      </c>
      <c r="AC1350" s="39"/>
      <c r="AD1350" s="34"/>
      <c r="AE1350" s="39"/>
      <c r="AF1350" s="51"/>
      <c r="AG1350" s="40"/>
      <c r="AH1350" s="40"/>
    </row>
    <row r="1351" spans="1:34" s="32" customFormat="1">
      <c r="A1351" s="434" t="s">
        <v>942</v>
      </c>
      <c r="B1351" s="457" t="s">
        <v>946</v>
      </c>
      <c r="C1351" s="233">
        <v>44279</v>
      </c>
      <c r="D1351" s="435" t="s">
        <v>1267</v>
      </c>
      <c r="E1351" s="436" t="s">
        <v>1528</v>
      </c>
      <c r="F1351" s="338">
        <v>0.46527777777777773</v>
      </c>
      <c r="G1351" s="338">
        <v>0.46875</v>
      </c>
      <c r="H1351" s="338" t="s">
        <v>968</v>
      </c>
      <c r="I1351" s="353">
        <v>823</v>
      </c>
      <c r="J1351" s="338" t="str">
        <f>IFERROR(VLOOKUP(I1351,'Chart of accounts'!A:H,2,FALSE),"")</f>
        <v>50213050 03</v>
      </c>
      <c r="K1351" s="338" t="str">
        <f>IFERROR(VLOOKUP(I1351,'Chart of accounts'!A:H,3,FALSE),"")</f>
        <v>ICT Equipment</v>
      </c>
      <c r="L1351" s="338" t="str">
        <f>IFERROR(VLOOKUP(I1351,'Chart of accounts'!A:H,4,FALSE),"")</f>
        <v>50213050 03 - ICT Equipment (823)</v>
      </c>
      <c r="M1351" s="361">
        <v>3</v>
      </c>
      <c r="N1351" s="420" t="s">
        <v>820</v>
      </c>
      <c r="O1351" s="420" t="s">
        <v>1532</v>
      </c>
      <c r="P1351" s="420"/>
      <c r="Q1351" s="420">
        <v>4150</v>
      </c>
      <c r="R1351" s="428">
        <f t="shared" si="51"/>
        <v>-4150</v>
      </c>
      <c r="S1351" s="428" t="str">
        <f>VLOOKUP(H1351,'Fund Utilization Report'!$A$4:$U$1800,13,FALSE)</f>
        <v>MOOE</v>
      </c>
      <c r="T1351" s="428" t="str">
        <f>VLOOKUP(H1351,'Fund Utilization Report'!$A$4:$U$1800,2,FALSE)</f>
        <v>GAA</v>
      </c>
      <c r="U1351" s="428" t="str">
        <f>VLOOKUP(H1351,'Fund Utilization Report'!$A$4:$U$1800,3,FALSE)</f>
        <v>FY2021, RA11518</v>
      </c>
      <c r="V1351" s="428" t="str">
        <f>VLOOKUP(H1351,'Fund Utilization Report'!$A$4:$U$1800,4,FALSE)</f>
        <v>OO2</v>
      </c>
      <c r="W1351" s="428" t="str">
        <f>VLOOKUP(H1351,'Fund Utilization Report'!$A$4:$U$1800,5,FALSE)</f>
        <v>01101101</v>
      </c>
      <c r="X1351" s="428" t="str">
        <f>VLOOKUP(H1351,'Fund Utilization Report'!$A$4:$U$1800,6,FALSE)</f>
        <v>GOP</v>
      </c>
      <c r="Y1351" s="320" t="str">
        <f>VLOOKUP(H1351,'Fund Utilization Report'!$A$4:$U$1800,7,FALSE)</f>
        <v>MOOE</v>
      </c>
      <c r="Z1351" s="425">
        <f>VLOOKUP(H1351,'Fund Utilization Report'!$A$4:$U$1800,8,FALSE)</f>
        <v>5020000000</v>
      </c>
      <c r="AA1351" s="428" t="str">
        <f>VLOOKUP(H1351,'Fund Utilization Report'!$A$4:$U$1800,14,FALSE)</f>
        <v>320100100001000</v>
      </c>
      <c r="AB1351" s="349" t="str">
        <f>VLOOKUP(H1351,'Fund Utilization Report'!$A$4:$U$1800,15,FALSE)</f>
        <v>Formulation of Strategic plans,programs, and policies to develop competitve industries</v>
      </c>
      <c r="AC1351" s="39"/>
      <c r="AD1351" s="34"/>
      <c r="AE1351" s="39"/>
      <c r="AF1351" s="51"/>
      <c r="AG1351" s="40"/>
      <c r="AH1351" s="40"/>
    </row>
    <row r="1352" spans="1:34" s="32" customFormat="1">
      <c r="A1352" s="434" t="s">
        <v>942</v>
      </c>
      <c r="B1352" s="457" t="s">
        <v>946</v>
      </c>
      <c r="C1352" s="233">
        <v>44279</v>
      </c>
      <c r="D1352" s="435" t="s">
        <v>1267</v>
      </c>
      <c r="E1352" s="436" t="s">
        <v>1528</v>
      </c>
      <c r="F1352" s="338">
        <v>0.46527777777777773</v>
      </c>
      <c r="G1352" s="338">
        <v>0.46875</v>
      </c>
      <c r="H1352" s="338" t="s">
        <v>968</v>
      </c>
      <c r="I1352" s="353">
        <v>822</v>
      </c>
      <c r="J1352" s="338" t="str">
        <f>IFERROR(VLOOKUP(I1352,'Chart of accounts'!A:H,2,FALSE),"")</f>
        <v>50213070 00</v>
      </c>
      <c r="K1352" s="338" t="str">
        <f>IFERROR(VLOOKUP(I1352,'Chart of accounts'!A:H,3,FALSE),"")</f>
        <v>Furniture and Fixture</v>
      </c>
      <c r="L1352" s="338" t="str">
        <f>IFERROR(VLOOKUP(I1352,'Chart of accounts'!A:H,4,FALSE),"")</f>
        <v>50213070 00 - Furniture and Fixture (822)</v>
      </c>
      <c r="M1352" s="361">
        <v>3</v>
      </c>
      <c r="N1352" s="420" t="s">
        <v>820</v>
      </c>
      <c r="O1352" s="420" t="s">
        <v>1532</v>
      </c>
      <c r="P1352" s="420"/>
      <c r="Q1352" s="420">
        <v>2075</v>
      </c>
      <c r="R1352" s="428">
        <f t="shared" si="51"/>
        <v>-2075</v>
      </c>
      <c r="S1352" s="428" t="str">
        <f>VLOOKUP(H1352,'Fund Utilization Report'!$A$4:$U$1800,13,FALSE)</f>
        <v>MOOE</v>
      </c>
      <c r="T1352" s="428" t="str">
        <f>VLOOKUP(H1352,'Fund Utilization Report'!$A$4:$U$1800,2,FALSE)</f>
        <v>GAA</v>
      </c>
      <c r="U1352" s="428" t="str">
        <f>VLOOKUP(H1352,'Fund Utilization Report'!$A$4:$U$1800,3,FALSE)</f>
        <v>FY2021, RA11518</v>
      </c>
      <c r="V1352" s="428" t="str">
        <f>VLOOKUP(H1352,'Fund Utilization Report'!$A$4:$U$1800,4,FALSE)</f>
        <v>OO2</v>
      </c>
      <c r="W1352" s="428" t="str">
        <f>VLOOKUP(H1352,'Fund Utilization Report'!$A$4:$U$1800,5,FALSE)</f>
        <v>01101101</v>
      </c>
      <c r="X1352" s="428" t="str">
        <f>VLOOKUP(H1352,'Fund Utilization Report'!$A$4:$U$1800,6,FALSE)</f>
        <v>GOP</v>
      </c>
      <c r="Y1352" s="320" t="str">
        <f>VLOOKUP(H1352,'Fund Utilization Report'!$A$4:$U$1800,7,FALSE)</f>
        <v>MOOE</v>
      </c>
      <c r="Z1352" s="425">
        <f>VLOOKUP(H1352,'Fund Utilization Report'!$A$4:$U$1800,8,FALSE)</f>
        <v>5020000000</v>
      </c>
      <c r="AA1352" s="428" t="str">
        <f>VLOOKUP(H1352,'Fund Utilization Report'!$A$4:$U$1800,14,FALSE)</f>
        <v>320100100001000</v>
      </c>
      <c r="AB1352" s="349" t="str">
        <f>VLOOKUP(H1352,'Fund Utilization Report'!$A$4:$U$1800,15,FALSE)</f>
        <v>Formulation of Strategic plans,programs, and policies to develop competitve industries</v>
      </c>
      <c r="AC1352" s="39"/>
      <c r="AD1352" s="34"/>
      <c r="AE1352" s="39"/>
      <c r="AF1352" s="51"/>
      <c r="AG1352" s="40"/>
      <c r="AH1352" s="40"/>
    </row>
    <row r="1353" spans="1:34" s="32" customFormat="1">
      <c r="A1353" s="434" t="s">
        <v>942</v>
      </c>
      <c r="B1353" s="457" t="s">
        <v>946</v>
      </c>
      <c r="C1353" s="233">
        <v>44279</v>
      </c>
      <c r="D1353" s="435" t="s">
        <v>1267</v>
      </c>
      <c r="E1353" s="436" t="s">
        <v>1528</v>
      </c>
      <c r="F1353" s="338">
        <v>0.46527777777777773</v>
      </c>
      <c r="G1353" s="338">
        <v>0.46875</v>
      </c>
      <c r="H1353" s="338" t="s">
        <v>961</v>
      </c>
      <c r="I1353" s="353">
        <v>841</v>
      </c>
      <c r="J1353" s="338" t="str">
        <f>IFERROR(VLOOKUP(I1353,'Chart of accounts'!A:H,2,FALSE),"")</f>
        <v>50213060 01</v>
      </c>
      <c r="K1353" s="338" t="str">
        <f>IFERROR(VLOOKUP(I1353,'Chart of accounts'!A:H,3,FALSE),"")</f>
        <v>Motor Vehicles</v>
      </c>
      <c r="L1353" s="338" t="str">
        <f>IFERROR(VLOOKUP(I1353,'Chart of accounts'!A:H,4,FALSE),"")</f>
        <v>50213060 01 - Motor Vehicles (841)</v>
      </c>
      <c r="M1353" s="361">
        <v>3</v>
      </c>
      <c r="N1353" s="420" t="s">
        <v>820</v>
      </c>
      <c r="O1353" s="420" t="s">
        <v>1532</v>
      </c>
      <c r="P1353" s="420"/>
      <c r="Q1353" s="420">
        <v>20750</v>
      </c>
      <c r="R1353" s="428">
        <f t="shared" si="51"/>
        <v>-20750</v>
      </c>
      <c r="S1353" s="428" t="str">
        <f>VLOOKUP(H1353,'Fund Utilization Report'!$A$4:$U$1800,13,FALSE)</f>
        <v>MOOE</v>
      </c>
      <c r="T1353" s="428" t="str">
        <f>VLOOKUP(H1353,'Fund Utilization Report'!$A$4:$U$1800,2,FALSE)</f>
        <v>GAA</v>
      </c>
      <c r="U1353" s="428" t="str">
        <f>VLOOKUP(H1353,'Fund Utilization Report'!$A$4:$U$1800,3,FALSE)</f>
        <v>FY2021, RA11518</v>
      </c>
      <c r="V1353" s="428" t="str">
        <f>VLOOKUP(H1353,'Fund Utilization Report'!$A$4:$U$1800,4,FALSE)</f>
        <v>GAS(GMS)</v>
      </c>
      <c r="W1353" s="428" t="str">
        <f>VLOOKUP(H1353,'Fund Utilization Report'!$A$4:$U$1800,5,FALSE)</f>
        <v>01101101</v>
      </c>
      <c r="X1353" s="428" t="str">
        <f>VLOOKUP(H1353,'Fund Utilization Report'!$A$4:$U$1800,6,FALSE)</f>
        <v>GOP</v>
      </c>
      <c r="Y1353" s="320" t="str">
        <f>VLOOKUP(H1353,'Fund Utilization Report'!$A$4:$U$1800,7,FALSE)</f>
        <v>MOOE</v>
      </c>
      <c r="Z1353" s="425">
        <f>VLOOKUP(H1353,'Fund Utilization Report'!$A$4:$U$1800,8,FALSE)</f>
        <v>5020000000</v>
      </c>
      <c r="AA1353" s="428" t="str">
        <f>VLOOKUP(H1353,'Fund Utilization Report'!$A$4:$U$1800,14,FALSE)</f>
        <v>100000100001000</v>
      </c>
      <c r="AB1353" s="349" t="str">
        <f>VLOOKUP(H1353,'Fund Utilization Report'!$A$4:$U$1800,15,FALSE)</f>
        <v>General Administration and Supervision - General Management and Supervision</v>
      </c>
      <c r="AC1353" s="39"/>
      <c r="AD1353" s="34"/>
      <c r="AE1353" s="39"/>
      <c r="AF1353" s="51"/>
      <c r="AG1353" s="40"/>
      <c r="AH1353" s="40"/>
    </row>
    <row r="1354" spans="1:34" s="32" customFormat="1">
      <c r="A1354" s="434" t="s">
        <v>942</v>
      </c>
      <c r="B1354" s="457" t="s">
        <v>946</v>
      </c>
      <c r="C1354" s="233">
        <v>44279</v>
      </c>
      <c r="D1354" s="435" t="s">
        <v>1267</v>
      </c>
      <c r="E1354" s="436" t="s">
        <v>1528</v>
      </c>
      <c r="F1354" s="338">
        <v>0.46527777777777773</v>
      </c>
      <c r="G1354" s="338">
        <v>0.46875</v>
      </c>
      <c r="H1354" s="338" t="s">
        <v>961</v>
      </c>
      <c r="I1354" s="353">
        <v>891</v>
      </c>
      <c r="J1354" s="338" t="str">
        <f>IFERROR(VLOOKUP(I1354,'Chart of accounts'!A:H,2,FALSE),"")</f>
        <v>50215010 01</v>
      </c>
      <c r="K1354" s="338" t="str">
        <f>IFERROR(VLOOKUP(I1354,'Chart of accounts'!A:H,3,FALSE),"")</f>
        <v>Taxes, Duties and Licenses</v>
      </c>
      <c r="L1354" s="338" t="str">
        <f>IFERROR(VLOOKUP(I1354,'Chart of accounts'!A:H,4,FALSE),"")</f>
        <v>50215010 01 - Taxes, Duties and Licenses (891)</v>
      </c>
      <c r="M1354" s="361">
        <v>3</v>
      </c>
      <c r="N1354" s="420" t="s">
        <v>820</v>
      </c>
      <c r="O1354" s="420" t="s">
        <v>1532</v>
      </c>
      <c r="P1354" s="420"/>
      <c r="Q1354" s="420">
        <v>1037.5</v>
      </c>
      <c r="R1354" s="428">
        <f t="shared" si="51"/>
        <v>-1037.5</v>
      </c>
      <c r="S1354" s="428" t="str">
        <f>VLOOKUP(H1354,'Fund Utilization Report'!$A$4:$U$1800,13,FALSE)</f>
        <v>MOOE</v>
      </c>
      <c r="T1354" s="428" t="str">
        <f>VLOOKUP(H1354,'Fund Utilization Report'!$A$4:$U$1800,2,FALSE)</f>
        <v>GAA</v>
      </c>
      <c r="U1354" s="428" t="str">
        <f>VLOOKUP(H1354,'Fund Utilization Report'!$A$4:$U$1800,3,FALSE)</f>
        <v>FY2021, RA11518</v>
      </c>
      <c r="V1354" s="428" t="str">
        <f>VLOOKUP(H1354,'Fund Utilization Report'!$A$4:$U$1800,4,FALSE)</f>
        <v>GAS(GMS)</v>
      </c>
      <c r="W1354" s="428" t="str">
        <f>VLOOKUP(H1354,'Fund Utilization Report'!$A$4:$U$1800,5,FALSE)</f>
        <v>01101101</v>
      </c>
      <c r="X1354" s="428" t="str">
        <f>VLOOKUP(H1354,'Fund Utilization Report'!$A$4:$U$1800,6,FALSE)</f>
        <v>GOP</v>
      </c>
      <c r="Y1354" s="320" t="str">
        <f>VLOOKUP(H1354,'Fund Utilization Report'!$A$4:$U$1800,7,FALSE)</f>
        <v>MOOE</v>
      </c>
      <c r="Z1354" s="425">
        <f>VLOOKUP(H1354,'Fund Utilization Report'!$A$4:$U$1800,8,FALSE)</f>
        <v>5020000000</v>
      </c>
      <c r="AA1354" s="428" t="str">
        <f>VLOOKUP(H1354,'Fund Utilization Report'!$A$4:$U$1800,14,FALSE)</f>
        <v>100000100001000</v>
      </c>
      <c r="AB1354" s="349" t="str">
        <f>VLOOKUP(H1354,'Fund Utilization Report'!$A$4:$U$1800,15,FALSE)</f>
        <v>General Administration and Supervision - General Management and Supervision</v>
      </c>
      <c r="AC1354" s="39"/>
      <c r="AD1354" s="34"/>
      <c r="AE1354" s="39"/>
      <c r="AF1354" s="51"/>
      <c r="AG1354" s="40"/>
      <c r="AH1354" s="40"/>
    </row>
    <row r="1355" spans="1:34" s="32" customFormat="1">
      <c r="A1355" s="434" t="s">
        <v>942</v>
      </c>
      <c r="B1355" s="457" t="s">
        <v>946</v>
      </c>
      <c r="C1355" s="233">
        <v>44279</v>
      </c>
      <c r="D1355" s="435" t="s">
        <v>1267</v>
      </c>
      <c r="E1355" s="436" t="s">
        <v>1528</v>
      </c>
      <c r="F1355" s="338">
        <v>0.46527777777777773</v>
      </c>
      <c r="G1355" s="338">
        <v>0.46875</v>
      </c>
      <c r="H1355" s="338" t="s">
        <v>961</v>
      </c>
      <c r="I1355" s="353">
        <v>892</v>
      </c>
      <c r="J1355" s="338" t="str">
        <f>IFERROR(VLOOKUP(I1355,'Chart of accounts'!A:H,2,FALSE),"")</f>
        <v>50215020 00</v>
      </c>
      <c r="K1355" s="338" t="str">
        <f>IFERROR(VLOOKUP(I1355,'Chart of accounts'!A:H,3,FALSE),"")</f>
        <v>Fidelity Bond Premiums</v>
      </c>
      <c r="L1355" s="338" t="str">
        <f>IFERROR(VLOOKUP(I1355,'Chart of accounts'!A:H,4,FALSE),"")</f>
        <v>50215020 00 - Fidelity Bond Premiums (892)</v>
      </c>
      <c r="M1355" s="361">
        <v>3</v>
      </c>
      <c r="N1355" s="420" t="s">
        <v>820</v>
      </c>
      <c r="O1355" s="420" t="s">
        <v>1532</v>
      </c>
      <c r="P1355" s="420"/>
      <c r="Q1355" s="420">
        <v>2697.5</v>
      </c>
      <c r="R1355" s="428">
        <f t="shared" si="51"/>
        <v>-2697.5</v>
      </c>
      <c r="S1355" s="428" t="str">
        <f>VLOOKUP(H1355,'Fund Utilization Report'!$A$4:$U$1800,13,FALSE)</f>
        <v>MOOE</v>
      </c>
      <c r="T1355" s="428" t="str">
        <f>VLOOKUP(H1355,'Fund Utilization Report'!$A$4:$U$1800,2,FALSE)</f>
        <v>GAA</v>
      </c>
      <c r="U1355" s="428" t="str">
        <f>VLOOKUP(H1355,'Fund Utilization Report'!$A$4:$U$1800,3,FALSE)</f>
        <v>FY2021, RA11518</v>
      </c>
      <c r="V1355" s="428" t="str">
        <f>VLOOKUP(H1355,'Fund Utilization Report'!$A$4:$U$1800,4,FALSE)</f>
        <v>GAS(GMS)</v>
      </c>
      <c r="W1355" s="428" t="str">
        <f>VLOOKUP(H1355,'Fund Utilization Report'!$A$4:$U$1800,5,FALSE)</f>
        <v>01101101</v>
      </c>
      <c r="X1355" s="428" t="str">
        <f>VLOOKUP(H1355,'Fund Utilization Report'!$A$4:$U$1800,6,FALSE)</f>
        <v>GOP</v>
      </c>
      <c r="Y1355" s="320" t="str">
        <f>VLOOKUP(H1355,'Fund Utilization Report'!$A$4:$U$1800,7,FALSE)</f>
        <v>MOOE</v>
      </c>
      <c r="Z1355" s="425">
        <f>VLOOKUP(H1355,'Fund Utilization Report'!$A$4:$U$1800,8,FALSE)</f>
        <v>5020000000</v>
      </c>
      <c r="AA1355" s="428" t="str">
        <f>VLOOKUP(H1355,'Fund Utilization Report'!$A$4:$U$1800,14,FALSE)</f>
        <v>100000100001000</v>
      </c>
      <c r="AB1355" s="349" t="str">
        <f>VLOOKUP(H1355,'Fund Utilization Report'!$A$4:$U$1800,15,FALSE)</f>
        <v>General Administration and Supervision - General Management and Supervision</v>
      </c>
      <c r="AC1355" s="39"/>
      <c r="AD1355" s="34"/>
      <c r="AE1355" s="39"/>
      <c r="AF1355" s="51"/>
      <c r="AG1355" s="40"/>
      <c r="AH1355" s="40"/>
    </row>
    <row r="1356" spans="1:34" s="32" customFormat="1">
      <c r="A1356" s="434" t="s">
        <v>942</v>
      </c>
      <c r="B1356" s="457" t="s">
        <v>946</v>
      </c>
      <c r="C1356" s="233">
        <v>44279</v>
      </c>
      <c r="D1356" s="435" t="s">
        <v>1267</v>
      </c>
      <c r="E1356" s="436" t="s">
        <v>1528</v>
      </c>
      <c r="F1356" s="338">
        <v>0.46527777777777773</v>
      </c>
      <c r="G1356" s="338">
        <v>0.46875</v>
      </c>
      <c r="H1356" s="338" t="s">
        <v>961</v>
      </c>
      <c r="I1356" s="353">
        <v>893</v>
      </c>
      <c r="J1356" s="338" t="str">
        <f>IFERROR(VLOOKUP(I1356,'Chart of accounts'!A:H,2,FALSE),"")</f>
        <v>50215030 00</v>
      </c>
      <c r="K1356" s="338" t="str">
        <f>IFERROR(VLOOKUP(I1356,'Chart of accounts'!A:H,3,FALSE),"")</f>
        <v>Insurance Expense</v>
      </c>
      <c r="L1356" s="338" t="str">
        <f>IFERROR(VLOOKUP(I1356,'Chart of accounts'!A:H,4,FALSE),"")</f>
        <v>50215030 00 - Insurance Expense (893)</v>
      </c>
      <c r="M1356" s="361">
        <v>3</v>
      </c>
      <c r="N1356" s="420" t="s">
        <v>820</v>
      </c>
      <c r="O1356" s="420" t="s">
        <v>1532</v>
      </c>
      <c r="P1356" s="420"/>
      <c r="Q1356" s="420">
        <v>5414.73</v>
      </c>
      <c r="R1356" s="428">
        <f t="shared" si="51"/>
        <v>-5414.73</v>
      </c>
      <c r="S1356" s="428" t="str">
        <f>VLOOKUP(H1356,'Fund Utilization Report'!$A$4:$U$1800,13,FALSE)</f>
        <v>MOOE</v>
      </c>
      <c r="T1356" s="428" t="str">
        <f>VLOOKUP(H1356,'Fund Utilization Report'!$A$4:$U$1800,2,FALSE)</f>
        <v>GAA</v>
      </c>
      <c r="U1356" s="428" t="str">
        <f>VLOOKUP(H1356,'Fund Utilization Report'!$A$4:$U$1800,3,FALSE)</f>
        <v>FY2021, RA11518</v>
      </c>
      <c r="V1356" s="428" t="str">
        <f>VLOOKUP(H1356,'Fund Utilization Report'!$A$4:$U$1800,4,FALSE)</f>
        <v>GAS(GMS)</v>
      </c>
      <c r="W1356" s="428" t="str">
        <f>VLOOKUP(H1356,'Fund Utilization Report'!$A$4:$U$1800,5,FALSE)</f>
        <v>01101101</v>
      </c>
      <c r="X1356" s="428" t="str">
        <f>VLOOKUP(H1356,'Fund Utilization Report'!$A$4:$U$1800,6,FALSE)</f>
        <v>GOP</v>
      </c>
      <c r="Y1356" s="320" t="str">
        <f>VLOOKUP(H1356,'Fund Utilization Report'!$A$4:$U$1800,7,FALSE)</f>
        <v>MOOE</v>
      </c>
      <c r="Z1356" s="425">
        <f>VLOOKUP(H1356,'Fund Utilization Report'!$A$4:$U$1800,8,FALSE)</f>
        <v>5020000000</v>
      </c>
      <c r="AA1356" s="428" t="str">
        <f>VLOOKUP(H1356,'Fund Utilization Report'!$A$4:$U$1800,14,FALSE)</f>
        <v>100000100001000</v>
      </c>
      <c r="AB1356" s="349" t="str">
        <f>VLOOKUP(H1356,'Fund Utilization Report'!$A$4:$U$1800,15,FALSE)</f>
        <v>General Administration and Supervision - General Management and Supervision</v>
      </c>
      <c r="AC1356" s="39"/>
      <c r="AD1356" s="34"/>
      <c r="AE1356" s="39"/>
      <c r="AF1356" s="51"/>
      <c r="AG1356" s="40"/>
      <c r="AH1356" s="40"/>
    </row>
    <row r="1357" spans="1:34" s="32" customFormat="1">
      <c r="A1357" s="434" t="s">
        <v>942</v>
      </c>
      <c r="B1357" s="457" t="s">
        <v>946</v>
      </c>
      <c r="C1357" s="233">
        <v>44279</v>
      </c>
      <c r="D1357" s="435" t="s">
        <v>1267</v>
      </c>
      <c r="E1357" s="436" t="s">
        <v>1528</v>
      </c>
      <c r="F1357" s="338">
        <v>0.46527777777777773</v>
      </c>
      <c r="G1357" s="338">
        <v>0.46875</v>
      </c>
      <c r="H1357" s="338" t="s">
        <v>961</v>
      </c>
      <c r="I1357" s="353">
        <v>751</v>
      </c>
      <c r="J1357" s="338" t="str">
        <f>IFERROR(VLOOKUP(I1357,'Chart of accounts'!A:H,2,FALSE),"")</f>
        <v>50201010 00</v>
      </c>
      <c r="K1357" s="338" t="str">
        <f>IFERROR(VLOOKUP(I1357,'Chart of accounts'!A:H,3,FALSE),"")</f>
        <v>Traveling Expenses - Local</v>
      </c>
      <c r="L1357" s="338" t="str">
        <f>IFERROR(VLOOKUP(I1357,'Chart of accounts'!A:H,4,FALSE),"")</f>
        <v>50201010 00 - Traveling Expenses - Local (751)</v>
      </c>
      <c r="M1357" s="361">
        <v>3</v>
      </c>
      <c r="N1357" s="420" t="s">
        <v>820</v>
      </c>
      <c r="O1357" s="420" t="s">
        <v>1532</v>
      </c>
      <c r="P1357" s="420"/>
      <c r="Q1357" s="420">
        <v>2075</v>
      </c>
      <c r="R1357" s="428">
        <f t="shared" si="51"/>
        <v>-2075</v>
      </c>
      <c r="S1357" s="428" t="str">
        <f>VLOOKUP(H1357,'Fund Utilization Report'!$A$4:$U$1800,13,FALSE)</f>
        <v>MOOE</v>
      </c>
      <c r="T1357" s="428" t="str">
        <f>VLOOKUP(H1357,'Fund Utilization Report'!$A$4:$U$1800,2,FALSE)</f>
        <v>GAA</v>
      </c>
      <c r="U1357" s="428" t="str">
        <f>VLOOKUP(H1357,'Fund Utilization Report'!$A$4:$U$1800,3,FALSE)</f>
        <v>FY2021, RA11518</v>
      </c>
      <c r="V1357" s="428" t="str">
        <f>VLOOKUP(H1357,'Fund Utilization Report'!$A$4:$U$1800,4,FALSE)</f>
        <v>GAS(GMS)</v>
      </c>
      <c r="W1357" s="428" t="str">
        <f>VLOOKUP(H1357,'Fund Utilization Report'!$A$4:$U$1800,5,FALSE)</f>
        <v>01101101</v>
      </c>
      <c r="X1357" s="428" t="str">
        <f>VLOOKUP(H1357,'Fund Utilization Report'!$A$4:$U$1800,6,FALSE)</f>
        <v>GOP</v>
      </c>
      <c r="Y1357" s="320" t="str">
        <f>VLOOKUP(H1357,'Fund Utilization Report'!$A$4:$U$1800,7,FALSE)</f>
        <v>MOOE</v>
      </c>
      <c r="Z1357" s="425">
        <f>VLOOKUP(H1357,'Fund Utilization Report'!$A$4:$U$1800,8,FALSE)</f>
        <v>5020000000</v>
      </c>
      <c r="AA1357" s="428" t="str">
        <f>VLOOKUP(H1357,'Fund Utilization Report'!$A$4:$U$1800,14,FALSE)</f>
        <v>100000100001000</v>
      </c>
      <c r="AB1357" s="349" t="str">
        <f>VLOOKUP(H1357,'Fund Utilization Report'!$A$4:$U$1800,15,FALSE)</f>
        <v>General Administration and Supervision - General Management and Supervision</v>
      </c>
      <c r="AC1357" s="39"/>
      <c r="AD1357" s="34"/>
      <c r="AE1357" s="39"/>
      <c r="AF1357" s="51"/>
      <c r="AG1357" s="40"/>
      <c r="AH1357" s="40"/>
    </row>
    <row r="1358" spans="1:34" s="32" customFormat="1">
      <c r="A1358" s="434" t="s">
        <v>942</v>
      </c>
      <c r="B1358" s="457" t="s">
        <v>946</v>
      </c>
      <c r="C1358" s="233">
        <v>44279</v>
      </c>
      <c r="D1358" s="435" t="s">
        <v>1267</v>
      </c>
      <c r="E1358" s="436" t="s">
        <v>1528</v>
      </c>
      <c r="F1358" s="338">
        <v>0.46527777777777773</v>
      </c>
      <c r="G1358" s="338">
        <v>0.46875</v>
      </c>
      <c r="H1358" s="338" t="s">
        <v>961</v>
      </c>
      <c r="I1358" s="353">
        <v>755</v>
      </c>
      <c r="J1358" s="338" t="str">
        <f>IFERROR(VLOOKUP(I1358,'Chart of accounts'!A:H,2,FALSE),"")</f>
        <v>50203010 00</v>
      </c>
      <c r="K1358" s="338" t="str">
        <f>IFERROR(VLOOKUP(I1358,'Chart of accounts'!A:H,3,FALSE),"")</f>
        <v>Office Supplies Expenses</v>
      </c>
      <c r="L1358" s="338" t="str">
        <f>IFERROR(VLOOKUP(I1358,'Chart of accounts'!A:H,4,FALSE),"")</f>
        <v>50203010 00 - Office Supplies Expenses (755)</v>
      </c>
      <c r="M1358" s="361">
        <v>3</v>
      </c>
      <c r="N1358" s="420" t="s">
        <v>820</v>
      </c>
      <c r="O1358" s="420" t="s">
        <v>1532</v>
      </c>
      <c r="P1358" s="420"/>
      <c r="Q1358" s="420">
        <v>10375</v>
      </c>
      <c r="R1358" s="428">
        <f t="shared" si="51"/>
        <v>-10375</v>
      </c>
      <c r="S1358" s="428" t="str">
        <f>VLOOKUP(H1358,'Fund Utilization Report'!$A$4:$U$1800,13,FALSE)</f>
        <v>MOOE</v>
      </c>
      <c r="T1358" s="428" t="str">
        <f>VLOOKUP(H1358,'Fund Utilization Report'!$A$4:$U$1800,2,FALSE)</f>
        <v>GAA</v>
      </c>
      <c r="U1358" s="428" t="str">
        <f>VLOOKUP(H1358,'Fund Utilization Report'!$A$4:$U$1800,3,FALSE)</f>
        <v>FY2021, RA11518</v>
      </c>
      <c r="V1358" s="428" t="str">
        <f>VLOOKUP(H1358,'Fund Utilization Report'!$A$4:$U$1800,4,FALSE)</f>
        <v>GAS(GMS)</v>
      </c>
      <c r="W1358" s="428" t="str">
        <f>VLOOKUP(H1358,'Fund Utilization Report'!$A$4:$U$1800,5,FALSE)</f>
        <v>01101101</v>
      </c>
      <c r="X1358" s="428" t="str">
        <f>VLOOKUP(H1358,'Fund Utilization Report'!$A$4:$U$1800,6,FALSE)</f>
        <v>GOP</v>
      </c>
      <c r="Y1358" s="320" t="str">
        <f>VLOOKUP(H1358,'Fund Utilization Report'!$A$4:$U$1800,7,FALSE)</f>
        <v>MOOE</v>
      </c>
      <c r="Z1358" s="425">
        <f>VLOOKUP(H1358,'Fund Utilization Report'!$A$4:$U$1800,8,FALSE)</f>
        <v>5020000000</v>
      </c>
      <c r="AA1358" s="428" t="str">
        <f>VLOOKUP(H1358,'Fund Utilization Report'!$A$4:$U$1800,14,FALSE)</f>
        <v>100000100001000</v>
      </c>
      <c r="AB1358" s="349" t="str">
        <f>VLOOKUP(H1358,'Fund Utilization Report'!$A$4:$U$1800,15,FALSE)</f>
        <v>General Administration and Supervision - General Management and Supervision</v>
      </c>
      <c r="AC1358" s="39"/>
      <c r="AD1358" s="34"/>
      <c r="AE1358" s="39"/>
      <c r="AF1358" s="51"/>
      <c r="AG1358" s="40"/>
      <c r="AH1358" s="40"/>
    </row>
    <row r="1359" spans="1:34" s="32" customFormat="1">
      <c r="A1359" s="434" t="s">
        <v>942</v>
      </c>
      <c r="B1359" s="457" t="s">
        <v>946</v>
      </c>
      <c r="C1359" s="233">
        <v>44279</v>
      </c>
      <c r="D1359" s="435" t="s">
        <v>1267</v>
      </c>
      <c r="E1359" s="436" t="s">
        <v>1528</v>
      </c>
      <c r="F1359" s="338">
        <v>0.46527777777777773</v>
      </c>
      <c r="G1359" s="338">
        <v>0.46875</v>
      </c>
      <c r="H1359" s="338" t="s">
        <v>961</v>
      </c>
      <c r="I1359" s="353">
        <v>781</v>
      </c>
      <c r="J1359" s="338" t="str">
        <f>IFERROR(VLOOKUP(I1359,'Chart of accounts'!A:H,2,FALSE),"")</f>
        <v>50299020 00</v>
      </c>
      <c r="K1359" s="338" t="str">
        <f>IFERROR(VLOOKUP(I1359,'Chart of accounts'!A:H,3,FALSE),"")</f>
        <v>Printing and Binding Expenses</v>
      </c>
      <c r="L1359" s="338" t="str">
        <f>IFERROR(VLOOKUP(I1359,'Chart of accounts'!A:H,4,FALSE),"")</f>
        <v>50299020 00 - Printing and Binding Expenses (781)</v>
      </c>
      <c r="M1359" s="361">
        <v>3</v>
      </c>
      <c r="N1359" s="420" t="s">
        <v>820</v>
      </c>
      <c r="O1359" s="420" t="s">
        <v>1532</v>
      </c>
      <c r="P1359" s="420"/>
      <c r="Q1359" s="420">
        <v>3112.5</v>
      </c>
      <c r="R1359" s="428">
        <f t="shared" si="51"/>
        <v>-3112.5</v>
      </c>
      <c r="S1359" s="428" t="str">
        <f>VLOOKUP(H1359,'Fund Utilization Report'!$A$4:$U$1800,13,FALSE)</f>
        <v>MOOE</v>
      </c>
      <c r="T1359" s="428" t="str">
        <f>VLOOKUP(H1359,'Fund Utilization Report'!$A$4:$U$1800,2,FALSE)</f>
        <v>GAA</v>
      </c>
      <c r="U1359" s="428" t="str">
        <f>VLOOKUP(H1359,'Fund Utilization Report'!$A$4:$U$1800,3,FALSE)</f>
        <v>FY2021, RA11518</v>
      </c>
      <c r="V1359" s="428" t="str">
        <f>VLOOKUP(H1359,'Fund Utilization Report'!$A$4:$U$1800,4,FALSE)</f>
        <v>GAS(GMS)</v>
      </c>
      <c r="W1359" s="428" t="str">
        <f>VLOOKUP(H1359,'Fund Utilization Report'!$A$4:$U$1800,5,FALSE)</f>
        <v>01101101</v>
      </c>
      <c r="X1359" s="428" t="str">
        <f>VLOOKUP(H1359,'Fund Utilization Report'!$A$4:$U$1800,6,FALSE)</f>
        <v>GOP</v>
      </c>
      <c r="Y1359" s="320" t="str">
        <f>VLOOKUP(H1359,'Fund Utilization Report'!$A$4:$U$1800,7,FALSE)</f>
        <v>MOOE</v>
      </c>
      <c r="Z1359" s="425">
        <f>VLOOKUP(H1359,'Fund Utilization Report'!$A$4:$U$1800,8,FALSE)</f>
        <v>5020000000</v>
      </c>
      <c r="AA1359" s="428" t="str">
        <f>VLOOKUP(H1359,'Fund Utilization Report'!$A$4:$U$1800,14,FALSE)</f>
        <v>100000100001000</v>
      </c>
      <c r="AB1359" s="349" t="str">
        <f>VLOOKUP(H1359,'Fund Utilization Report'!$A$4:$U$1800,15,FALSE)</f>
        <v>General Administration and Supervision - General Management and Supervision</v>
      </c>
      <c r="AC1359" s="39"/>
      <c r="AD1359" s="34"/>
      <c r="AE1359" s="39"/>
      <c r="AF1359" s="51"/>
      <c r="AG1359" s="40"/>
      <c r="AH1359" s="40"/>
    </row>
    <row r="1360" spans="1:34" s="32" customFormat="1">
      <c r="A1360" s="434" t="s">
        <v>942</v>
      </c>
      <c r="B1360" s="457" t="s">
        <v>946</v>
      </c>
      <c r="C1360" s="233">
        <v>44279</v>
      </c>
      <c r="D1360" s="435" t="s">
        <v>1267</v>
      </c>
      <c r="E1360" s="436" t="s">
        <v>1528</v>
      </c>
      <c r="F1360" s="338">
        <v>0.46527777777777773</v>
      </c>
      <c r="G1360" s="338">
        <v>0.46875</v>
      </c>
      <c r="H1360" s="338" t="s">
        <v>961</v>
      </c>
      <c r="I1360" s="353">
        <v>783</v>
      </c>
      <c r="J1360" s="338" t="str">
        <f>IFERROR(VLOOKUP(I1360,'Chart of accounts'!A:H,2,FALSE),"")</f>
        <v>50299030 00</v>
      </c>
      <c r="K1360" s="338" t="str">
        <f>IFERROR(VLOOKUP(I1360,'Chart of accounts'!A:H,3,FALSE),"")</f>
        <v>Representation Expenses</v>
      </c>
      <c r="L1360" s="338" t="str">
        <f>IFERROR(VLOOKUP(I1360,'Chart of accounts'!A:H,4,FALSE),"")</f>
        <v>50299030 00 - Representation Expenses (783)</v>
      </c>
      <c r="M1360" s="361">
        <v>3</v>
      </c>
      <c r="N1360" s="420" t="s">
        <v>820</v>
      </c>
      <c r="O1360" s="420" t="s">
        <v>1532</v>
      </c>
      <c r="P1360" s="420"/>
      <c r="Q1360" s="420">
        <v>5063</v>
      </c>
      <c r="R1360" s="428">
        <f t="shared" si="51"/>
        <v>-5063</v>
      </c>
      <c r="S1360" s="428" t="str">
        <f>VLOOKUP(H1360,'Fund Utilization Report'!$A$4:$U$1800,13,FALSE)</f>
        <v>MOOE</v>
      </c>
      <c r="T1360" s="428" t="str">
        <f>VLOOKUP(H1360,'Fund Utilization Report'!$A$4:$U$1800,2,FALSE)</f>
        <v>GAA</v>
      </c>
      <c r="U1360" s="428" t="str">
        <f>VLOOKUP(H1360,'Fund Utilization Report'!$A$4:$U$1800,3,FALSE)</f>
        <v>FY2021, RA11518</v>
      </c>
      <c r="V1360" s="428" t="str">
        <f>VLOOKUP(H1360,'Fund Utilization Report'!$A$4:$U$1800,4,FALSE)</f>
        <v>GAS(GMS)</v>
      </c>
      <c r="W1360" s="428" t="str">
        <f>VLOOKUP(H1360,'Fund Utilization Report'!$A$4:$U$1800,5,FALSE)</f>
        <v>01101101</v>
      </c>
      <c r="X1360" s="428" t="str">
        <f>VLOOKUP(H1360,'Fund Utilization Report'!$A$4:$U$1800,6,FALSE)</f>
        <v>GOP</v>
      </c>
      <c r="Y1360" s="320" t="str">
        <f>VLOOKUP(H1360,'Fund Utilization Report'!$A$4:$U$1800,7,FALSE)</f>
        <v>MOOE</v>
      </c>
      <c r="Z1360" s="425">
        <f>VLOOKUP(H1360,'Fund Utilization Report'!$A$4:$U$1800,8,FALSE)</f>
        <v>5020000000</v>
      </c>
      <c r="AA1360" s="428" t="str">
        <f>VLOOKUP(H1360,'Fund Utilization Report'!$A$4:$U$1800,14,FALSE)</f>
        <v>100000100001000</v>
      </c>
      <c r="AB1360" s="349" t="str">
        <f>VLOOKUP(H1360,'Fund Utilization Report'!$A$4:$U$1800,15,FALSE)</f>
        <v>General Administration and Supervision - General Management and Supervision</v>
      </c>
      <c r="AC1360" s="39"/>
      <c r="AD1360" s="34"/>
      <c r="AE1360" s="39"/>
      <c r="AF1360" s="51"/>
      <c r="AG1360" s="40"/>
      <c r="AH1360" s="40"/>
    </row>
    <row r="1361" spans="1:34" s="32" customFormat="1">
      <c r="A1361" s="434" t="s">
        <v>942</v>
      </c>
      <c r="B1361" s="457" t="s">
        <v>946</v>
      </c>
      <c r="C1361" s="233">
        <v>44279</v>
      </c>
      <c r="D1361" s="435" t="s">
        <v>1267</v>
      </c>
      <c r="E1361" s="436" t="s">
        <v>1528</v>
      </c>
      <c r="F1361" s="338">
        <v>0.46527777777777773</v>
      </c>
      <c r="G1361" s="338">
        <v>0.46875</v>
      </c>
      <c r="H1361" s="338" t="s">
        <v>968</v>
      </c>
      <c r="I1361" s="353">
        <v>784</v>
      </c>
      <c r="J1361" s="338" t="str">
        <f>IFERROR(VLOOKUP(I1361,'Chart of accounts'!A:H,2,FALSE),"")</f>
        <v>50299040 00</v>
      </c>
      <c r="K1361" s="338" t="str">
        <f>IFERROR(VLOOKUP(I1361,'Chart of accounts'!A:H,3,FALSE),"")</f>
        <v>Transportation and Delivery Expenses</v>
      </c>
      <c r="L1361" s="338" t="str">
        <f>IFERROR(VLOOKUP(I1361,'Chart of accounts'!A:H,4,FALSE),"")</f>
        <v>50299040 00 - Transportation and Delivery Expenses (784)</v>
      </c>
      <c r="M1361" s="361">
        <v>3</v>
      </c>
      <c r="N1361" s="420" t="s">
        <v>820</v>
      </c>
      <c r="O1361" s="420" t="s">
        <v>1532</v>
      </c>
      <c r="P1361" s="420"/>
      <c r="Q1361" s="420">
        <v>1037.5</v>
      </c>
      <c r="R1361" s="428">
        <f t="shared" si="51"/>
        <v>-1037.5</v>
      </c>
      <c r="S1361" s="428" t="str">
        <f>VLOOKUP(H1361,'Fund Utilization Report'!$A$4:$U$1800,13,FALSE)</f>
        <v>MOOE</v>
      </c>
      <c r="T1361" s="428" t="str">
        <f>VLOOKUP(H1361,'Fund Utilization Report'!$A$4:$U$1800,2,FALSE)</f>
        <v>GAA</v>
      </c>
      <c r="U1361" s="428" t="str">
        <f>VLOOKUP(H1361,'Fund Utilization Report'!$A$4:$U$1800,3,FALSE)</f>
        <v>FY2021, RA11518</v>
      </c>
      <c r="V1361" s="428" t="str">
        <f>VLOOKUP(H1361,'Fund Utilization Report'!$A$4:$U$1800,4,FALSE)</f>
        <v>OO2</v>
      </c>
      <c r="W1361" s="428" t="str">
        <f>VLOOKUP(H1361,'Fund Utilization Report'!$A$4:$U$1800,5,FALSE)</f>
        <v>01101101</v>
      </c>
      <c r="X1361" s="428" t="str">
        <f>VLOOKUP(H1361,'Fund Utilization Report'!$A$4:$U$1800,6,FALSE)</f>
        <v>GOP</v>
      </c>
      <c r="Y1361" s="320" t="str">
        <f>VLOOKUP(H1361,'Fund Utilization Report'!$A$4:$U$1800,7,FALSE)</f>
        <v>MOOE</v>
      </c>
      <c r="Z1361" s="425">
        <f>VLOOKUP(H1361,'Fund Utilization Report'!$A$4:$U$1800,8,FALSE)</f>
        <v>5020000000</v>
      </c>
      <c r="AA1361" s="428" t="str">
        <f>VLOOKUP(H1361,'Fund Utilization Report'!$A$4:$U$1800,14,FALSE)</f>
        <v>320100100001000</v>
      </c>
      <c r="AB1361" s="349" t="str">
        <f>VLOOKUP(H1361,'Fund Utilization Report'!$A$4:$U$1800,15,FALSE)</f>
        <v>Formulation of Strategic plans,programs, and policies to develop competitve industries</v>
      </c>
      <c r="AC1361" s="39"/>
      <c r="AD1361" s="34"/>
      <c r="AE1361" s="39"/>
      <c r="AF1361" s="51"/>
      <c r="AG1361" s="40"/>
      <c r="AH1361" s="40"/>
    </row>
    <row r="1362" spans="1:34" s="32" customFormat="1">
      <c r="A1362" s="434" t="s">
        <v>942</v>
      </c>
      <c r="B1362" s="457" t="s">
        <v>946</v>
      </c>
      <c r="C1362" s="233">
        <v>44279</v>
      </c>
      <c r="D1362" s="435" t="s">
        <v>1267</v>
      </c>
      <c r="E1362" s="436" t="s">
        <v>1528</v>
      </c>
      <c r="F1362" s="338">
        <v>0.46527777777777773</v>
      </c>
      <c r="G1362" s="338">
        <v>0.46875</v>
      </c>
      <c r="H1362" s="338" t="s">
        <v>961</v>
      </c>
      <c r="I1362" s="353">
        <v>969</v>
      </c>
      <c r="J1362" s="338" t="str">
        <f>IFERROR(VLOOKUP(I1362,'Chart of accounts'!A:H,2,FALSE),"")</f>
        <v>50299990 99</v>
      </c>
      <c r="K1362" s="338" t="str">
        <f>IFERROR(VLOOKUP(I1362,'Chart of accounts'!A:H,3,FALSE),"")</f>
        <v>Other Maintenance and Operating Expenses</v>
      </c>
      <c r="L1362" s="338" t="str">
        <f>IFERROR(VLOOKUP(I1362,'Chart of accounts'!A:H,4,FALSE),"")</f>
        <v>50299990 99 - Other Maintenance and Operating Expenses (969)</v>
      </c>
      <c r="M1362" s="361">
        <v>3</v>
      </c>
      <c r="N1362" s="420" t="s">
        <v>820</v>
      </c>
      <c r="O1362" s="420" t="s">
        <v>1532</v>
      </c>
      <c r="P1362" s="420"/>
      <c r="Q1362" s="420">
        <v>11952</v>
      </c>
      <c r="R1362" s="428">
        <f t="shared" si="51"/>
        <v>-11952</v>
      </c>
      <c r="S1362" s="428" t="str">
        <f>VLOOKUP(H1362,'Fund Utilization Report'!$A$4:$U$1800,13,FALSE)</f>
        <v>MOOE</v>
      </c>
      <c r="T1362" s="428" t="str">
        <f>VLOOKUP(H1362,'Fund Utilization Report'!$A$4:$U$1800,2,FALSE)</f>
        <v>GAA</v>
      </c>
      <c r="U1362" s="428" t="str">
        <f>VLOOKUP(H1362,'Fund Utilization Report'!$A$4:$U$1800,3,FALSE)</f>
        <v>FY2021, RA11518</v>
      </c>
      <c r="V1362" s="428" t="str">
        <f>VLOOKUP(H1362,'Fund Utilization Report'!$A$4:$U$1800,4,FALSE)</f>
        <v>GAS(GMS)</v>
      </c>
      <c r="W1362" s="428" t="str">
        <f>VLOOKUP(H1362,'Fund Utilization Report'!$A$4:$U$1800,5,FALSE)</f>
        <v>01101101</v>
      </c>
      <c r="X1362" s="428" t="str">
        <f>VLOOKUP(H1362,'Fund Utilization Report'!$A$4:$U$1800,6,FALSE)</f>
        <v>GOP</v>
      </c>
      <c r="Y1362" s="320" t="str">
        <f>VLOOKUP(H1362,'Fund Utilization Report'!$A$4:$U$1800,7,FALSE)</f>
        <v>MOOE</v>
      </c>
      <c r="Z1362" s="425">
        <f>VLOOKUP(H1362,'Fund Utilization Report'!$A$4:$U$1800,8,FALSE)</f>
        <v>5020000000</v>
      </c>
      <c r="AA1362" s="428" t="str">
        <f>VLOOKUP(H1362,'Fund Utilization Report'!$A$4:$U$1800,14,FALSE)</f>
        <v>100000100001000</v>
      </c>
      <c r="AB1362" s="349" t="str">
        <f>VLOOKUP(H1362,'Fund Utilization Report'!$A$4:$U$1800,15,FALSE)</f>
        <v>General Administration and Supervision - General Management and Supervision</v>
      </c>
      <c r="AC1362" s="39"/>
      <c r="AD1362" s="34"/>
      <c r="AE1362" s="39"/>
      <c r="AF1362" s="51"/>
      <c r="AG1362" s="40"/>
      <c r="AH1362" s="40"/>
    </row>
    <row r="1363" spans="1:34" s="32" customFormat="1">
      <c r="A1363" s="434" t="s">
        <v>942</v>
      </c>
      <c r="B1363" s="457" t="s">
        <v>946</v>
      </c>
      <c r="C1363" s="233">
        <v>44279</v>
      </c>
      <c r="D1363" s="435" t="s">
        <v>1267</v>
      </c>
      <c r="E1363" s="436" t="s">
        <v>1529</v>
      </c>
      <c r="F1363" s="338">
        <v>0.46875</v>
      </c>
      <c r="G1363" s="338">
        <v>0.47222222222222227</v>
      </c>
      <c r="H1363" s="338" t="s">
        <v>961</v>
      </c>
      <c r="I1363" s="353">
        <v>756</v>
      </c>
      <c r="J1363" s="338" t="str">
        <f>IFERROR(VLOOKUP(I1363,'Chart of accounts'!A:H,2,FALSE),"")</f>
        <v>50203020 00</v>
      </c>
      <c r="K1363" s="338" t="str">
        <f>IFERROR(VLOOKUP(I1363,'Chart of accounts'!A:H,3,FALSE),"")</f>
        <v xml:space="preserve">Accountable Forms Expenses </v>
      </c>
      <c r="L1363" s="338" t="str">
        <f>IFERROR(VLOOKUP(I1363,'Chart of accounts'!A:H,4,FALSE),"")</f>
        <v>50203020 00 - Accountable Forms Expenses  (756)</v>
      </c>
      <c r="M1363" s="361">
        <v>68</v>
      </c>
      <c r="N1363" s="420" t="s">
        <v>821</v>
      </c>
      <c r="O1363" s="420" t="s">
        <v>1532</v>
      </c>
      <c r="P1363" s="420"/>
      <c r="Q1363" s="420">
        <v>1867.5</v>
      </c>
      <c r="R1363" s="428">
        <f t="shared" si="51"/>
        <v>-1867.5</v>
      </c>
      <c r="S1363" s="428" t="str">
        <f>VLOOKUP(H1363,'Fund Utilization Report'!$A$4:$U$1800,13,FALSE)</f>
        <v>MOOE</v>
      </c>
      <c r="T1363" s="428" t="str">
        <f>VLOOKUP(H1363,'Fund Utilization Report'!$A$4:$U$1800,2,FALSE)</f>
        <v>GAA</v>
      </c>
      <c r="U1363" s="428" t="str">
        <f>VLOOKUP(H1363,'Fund Utilization Report'!$A$4:$U$1800,3,FALSE)</f>
        <v>FY2021, RA11518</v>
      </c>
      <c r="V1363" s="428" t="str">
        <f>VLOOKUP(H1363,'Fund Utilization Report'!$A$4:$U$1800,4,FALSE)</f>
        <v>GAS(GMS)</v>
      </c>
      <c r="W1363" s="428" t="str">
        <f>VLOOKUP(H1363,'Fund Utilization Report'!$A$4:$U$1800,5,FALSE)</f>
        <v>01101101</v>
      </c>
      <c r="X1363" s="428" t="str">
        <f>VLOOKUP(H1363,'Fund Utilization Report'!$A$4:$U$1800,6,FALSE)</f>
        <v>GOP</v>
      </c>
      <c r="Y1363" s="320" t="str">
        <f>VLOOKUP(H1363,'Fund Utilization Report'!$A$4:$U$1800,7,FALSE)</f>
        <v>MOOE</v>
      </c>
      <c r="Z1363" s="425">
        <f>VLOOKUP(H1363,'Fund Utilization Report'!$A$4:$U$1800,8,FALSE)</f>
        <v>5020000000</v>
      </c>
      <c r="AA1363" s="428" t="str">
        <f>VLOOKUP(H1363,'Fund Utilization Report'!$A$4:$U$1800,14,FALSE)</f>
        <v>100000100001000</v>
      </c>
      <c r="AB1363" s="349" t="str">
        <f>VLOOKUP(H1363,'Fund Utilization Report'!$A$4:$U$1800,15,FALSE)</f>
        <v>General Administration and Supervision - General Management and Supervision</v>
      </c>
      <c r="AC1363" s="39"/>
      <c r="AD1363" s="34"/>
      <c r="AE1363" s="39"/>
      <c r="AF1363" s="51"/>
      <c r="AG1363" s="40"/>
      <c r="AH1363" s="40"/>
    </row>
    <row r="1364" spans="1:34" s="32" customFormat="1">
      <c r="A1364" s="434" t="s">
        <v>942</v>
      </c>
      <c r="B1364" s="457" t="s">
        <v>946</v>
      </c>
      <c r="C1364" s="233">
        <v>44279</v>
      </c>
      <c r="D1364" s="435" t="s">
        <v>1267</v>
      </c>
      <c r="E1364" s="436" t="s">
        <v>1529</v>
      </c>
      <c r="F1364" s="338">
        <v>0.46875</v>
      </c>
      <c r="G1364" s="338">
        <v>0.47222222222222227</v>
      </c>
      <c r="H1364" s="338" t="s">
        <v>961</v>
      </c>
      <c r="I1364" s="353">
        <v>753</v>
      </c>
      <c r="J1364" s="338" t="str">
        <f>IFERROR(VLOOKUP(I1364,'Chart of accounts'!A:H,2,FALSE),"")</f>
        <v>50202010 00</v>
      </c>
      <c r="K1364" s="338" t="str">
        <f>IFERROR(VLOOKUP(I1364,'Chart of accounts'!A:H,3,FALSE),"")</f>
        <v>Training Expenses</v>
      </c>
      <c r="L1364" s="338" t="str">
        <f>IFERROR(VLOOKUP(I1364,'Chart of accounts'!A:H,4,FALSE),"")</f>
        <v>50202010 00 - Training Expenses (753)</v>
      </c>
      <c r="M1364" s="361">
        <v>68</v>
      </c>
      <c r="N1364" s="420" t="s">
        <v>821</v>
      </c>
      <c r="O1364" s="420" t="s">
        <v>1532</v>
      </c>
      <c r="P1364" s="420"/>
      <c r="Q1364" s="420">
        <v>14940</v>
      </c>
      <c r="R1364" s="428">
        <f t="shared" si="51"/>
        <v>-14940</v>
      </c>
      <c r="S1364" s="428" t="str">
        <f>VLOOKUP(H1364,'Fund Utilization Report'!$A$4:$U$1800,13,FALSE)</f>
        <v>MOOE</v>
      </c>
      <c r="T1364" s="428" t="str">
        <f>VLOOKUP(H1364,'Fund Utilization Report'!$A$4:$U$1800,2,FALSE)</f>
        <v>GAA</v>
      </c>
      <c r="U1364" s="428" t="str">
        <f>VLOOKUP(H1364,'Fund Utilization Report'!$A$4:$U$1800,3,FALSE)</f>
        <v>FY2021, RA11518</v>
      </c>
      <c r="V1364" s="428" t="str">
        <f>VLOOKUP(H1364,'Fund Utilization Report'!$A$4:$U$1800,4,FALSE)</f>
        <v>GAS(GMS)</v>
      </c>
      <c r="W1364" s="428" t="str">
        <f>VLOOKUP(H1364,'Fund Utilization Report'!$A$4:$U$1800,5,FALSE)</f>
        <v>01101101</v>
      </c>
      <c r="X1364" s="428" t="str">
        <f>VLOOKUP(H1364,'Fund Utilization Report'!$A$4:$U$1800,6,FALSE)</f>
        <v>GOP</v>
      </c>
      <c r="Y1364" s="320" t="str">
        <f>VLOOKUP(H1364,'Fund Utilization Report'!$A$4:$U$1800,7,FALSE)</f>
        <v>MOOE</v>
      </c>
      <c r="Z1364" s="425">
        <f>VLOOKUP(H1364,'Fund Utilization Report'!$A$4:$U$1800,8,FALSE)</f>
        <v>5020000000</v>
      </c>
      <c r="AA1364" s="428" t="str">
        <f>VLOOKUP(H1364,'Fund Utilization Report'!$A$4:$U$1800,14,FALSE)</f>
        <v>100000100001000</v>
      </c>
      <c r="AB1364" s="349" t="str">
        <f>VLOOKUP(H1364,'Fund Utilization Report'!$A$4:$U$1800,15,FALSE)</f>
        <v>General Administration and Supervision - General Management and Supervision</v>
      </c>
      <c r="AC1364" s="39"/>
      <c r="AD1364" s="34"/>
      <c r="AE1364" s="39"/>
      <c r="AF1364" s="51"/>
      <c r="AG1364" s="40"/>
      <c r="AH1364" s="40"/>
    </row>
    <row r="1365" spans="1:34" s="32" customFormat="1">
      <c r="A1365" s="434" t="s">
        <v>942</v>
      </c>
      <c r="B1365" s="457" t="s">
        <v>946</v>
      </c>
      <c r="C1365" s="233">
        <v>44279</v>
      </c>
      <c r="D1365" s="435" t="s">
        <v>1267</v>
      </c>
      <c r="E1365" s="436" t="s">
        <v>1529</v>
      </c>
      <c r="F1365" s="338">
        <v>0.46875</v>
      </c>
      <c r="G1365" s="338">
        <v>0.47222222222222227</v>
      </c>
      <c r="H1365" s="338" t="s">
        <v>961</v>
      </c>
      <c r="I1365" s="353">
        <v>761</v>
      </c>
      <c r="J1365" s="338" t="str">
        <f>IFERROR(VLOOKUP(I1365,'Chart of accounts'!A:H,2,FALSE),"")</f>
        <v>50203090 00</v>
      </c>
      <c r="K1365" s="338" t="str">
        <f>IFERROR(VLOOKUP(I1365,'Chart of accounts'!A:H,3,FALSE),"")</f>
        <v>Fuel, Oil and Lubricants Expenses</v>
      </c>
      <c r="L1365" s="338" t="str">
        <f>IFERROR(VLOOKUP(I1365,'Chart of accounts'!A:H,4,FALSE),"")</f>
        <v>50203090 00 - Fuel, Oil and Lubricants Expenses (761)</v>
      </c>
      <c r="M1365" s="361">
        <v>68</v>
      </c>
      <c r="N1365" s="420" t="s">
        <v>821</v>
      </c>
      <c r="O1365" s="420" t="s">
        <v>1532</v>
      </c>
      <c r="P1365" s="420"/>
      <c r="Q1365" s="420">
        <v>10816.66</v>
      </c>
      <c r="R1365" s="428">
        <f t="shared" si="51"/>
        <v>-10816.66</v>
      </c>
      <c r="S1365" s="428" t="str">
        <f>VLOOKUP(H1365,'Fund Utilization Report'!$A$4:$U$1800,13,FALSE)</f>
        <v>MOOE</v>
      </c>
      <c r="T1365" s="428" t="str">
        <f>VLOOKUP(H1365,'Fund Utilization Report'!$A$4:$U$1800,2,FALSE)</f>
        <v>GAA</v>
      </c>
      <c r="U1365" s="428" t="str">
        <f>VLOOKUP(H1365,'Fund Utilization Report'!$A$4:$U$1800,3,FALSE)</f>
        <v>FY2021, RA11518</v>
      </c>
      <c r="V1365" s="428" t="str">
        <f>VLOOKUP(H1365,'Fund Utilization Report'!$A$4:$U$1800,4,FALSE)</f>
        <v>GAS(GMS)</v>
      </c>
      <c r="W1365" s="428" t="str">
        <f>VLOOKUP(H1365,'Fund Utilization Report'!$A$4:$U$1800,5,FALSE)</f>
        <v>01101101</v>
      </c>
      <c r="X1365" s="428" t="str">
        <f>VLOOKUP(H1365,'Fund Utilization Report'!$A$4:$U$1800,6,FALSE)</f>
        <v>GOP</v>
      </c>
      <c r="Y1365" s="320" t="str">
        <f>VLOOKUP(H1365,'Fund Utilization Report'!$A$4:$U$1800,7,FALSE)</f>
        <v>MOOE</v>
      </c>
      <c r="Z1365" s="425">
        <f>VLOOKUP(H1365,'Fund Utilization Report'!$A$4:$U$1800,8,FALSE)</f>
        <v>5020000000</v>
      </c>
      <c r="AA1365" s="428" t="str">
        <f>VLOOKUP(H1365,'Fund Utilization Report'!$A$4:$U$1800,14,FALSE)</f>
        <v>100000100001000</v>
      </c>
      <c r="AB1365" s="349" t="str">
        <f>VLOOKUP(H1365,'Fund Utilization Report'!$A$4:$U$1800,15,FALSE)</f>
        <v>General Administration and Supervision - General Management and Supervision</v>
      </c>
      <c r="AC1365" s="39"/>
      <c r="AD1365" s="34"/>
      <c r="AE1365" s="39"/>
      <c r="AF1365" s="51"/>
      <c r="AG1365" s="40"/>
      <c r="AH1365" s="40"/>
    </row>
    <row r="1366" spans="1:34" s="32" customFormat="1">
      <c r="A1366" s="434" t="s">
        <v>942</v>
      </c>
      <c r="B1366" s="457" t="s">
        <v>946</v>
      </c>
      <c r="C1366" s="233">
        <v>44279</v>
      </c>
      <c r="D1366" s="435" t="s">
        <v>1267</v>
      </c>
      <c r="E1366" s="436" t="s">
        <v>1529</v>
      </c>
      <c r="F1366" s="338">
        <v>0.46875</v>
      </c>
      <c r="G1366" s="338">
        <v>0.47222222222222227</v>
      </c>
      <c r="H1366" s="338" t="s">
        <v>961</v>
      </c>
      <c r="I1366" s="353">
        <v>766</v>
      </c>
      <c r="J1366" s="338" t="str">
        <f>IFERROR(VLOOKUP(I1366,'Chart of accounts'!A:H,2,FALSE),"")</f>
        <v>50204010 00</v>
      </c>
      <c r="K1366" s="338" t="str">
        <f>IFERROR(VLOOKUP(I1366,'Chart of accounts'!A:H,3,FALSE),"")</f>
        <v>Water Expenses</v>
      </c>
      <c r="L1366" s="338" t="str">
        <f>IFERROR(VLOOKUP(I1366,'Chart of accounts'!A:H,4,FALSE),"")</f>
        <v>50204010 00 - Water Expenses (766)</v>
      </c>
      <c r="M1366" s="361">
        <v>68</v>
      </c>
      <c r="N1366" s="420" t="s">
        <v>821</v>
      </c>
      <c r="O1366" s="420" t="s">
        <v>1532</v>
      </c>
      <c r="P1366" s="420"/>
      <c r="Q1366" s="420">
        <v>2118.15</v>
      </c>
      <c r="R1366" s="428">
        <f t="shared" si="51"/>
        <v>-2118.15</v>
      </c>
      <c r="S1366" s="428" t="str">
        <f>VLOOKUP(H1366,'Fund Utilization Report'!$A$4:$U$1800,13,FALSE)</f>
        <v>MOOE</v>
      </c>
      <c r="T1366" s="428" t="str">
        <f>VLOOKUP(H1366,'Fund Utilization Report'!$A$4:$U$1800,2,FALSE)</f>
        <v>GAA</v>
      </c>
      <c r="U1366" s="428" t="str">
        <f>VLOOKUP(H1366,'Fund Utilization Report'!$A$4:$U$1800,3,FALSE)</f>
        <v>FY2021, RA11518</v>
      </c>
      <c r="V1366" s="428" t="str">
        <f>VLOOKUP(H1366,'Fund Utilization Report'!$A$4:$U$1800,4,FALSE)</f>
        <v>GAS(GMS)</v>
      </c>
      <c r="W1366" s="428" t="str">
        <f>VLOOKUP(H1366,'Fund Utilization Report'!$A$4:$U$1800,5,FALSE)</f>
        <v>01101101</v>
      </c>
      <c r="X1366" s="428" t="str">
        <f>VLOOKUP(H1366,'Fund Utilization Report'!$A$4:$U$1800,6,FALSE)</f>
        <v>GOP</v>
      </c>
      <c r="Y1366" s="320" t="str">
        <f>VLOOKUP(H1366,'Fund Utilization Report'!$A$4:$U$1800,7,FALSE)</f>
        <v>MOOE</v>
      </c>
      <c r="Z1366" s="425">
        <f>VLOOKUP(H1366,'Fund Utilization Report'!$A$4:$U$1800,8,FALSE)</f>
        <v>5020000000</v>
      </c>
      <c r="AA1366" s="428" t="str">
        <f>VLOOKUP(H1366,'Fund Utilization Report'!$A$4:$U$1800,14,FALSE)</f>
        <v>100000100001000</v>
      </c>
      <c r="AB1366" s="349" t="str">
        <f>VLOOKUP(H1366,'Fund Utilization Report'!$A$4:$U$1800,15,FALSE)</f>
        <v>General Administration and Supervision - General Management and Supervision</v>
      </c>
      <c r="AC1366" s="39"/>
      <c r="AD1366" s="34"/>
      <c r="AE1366" s="39"/>
      <c r="AF1366" s="51"/>
      <c r="AG1366" s="40"/>
      <c r="AH1366" s="40"/>
    </row>
    <row r="1367" spans="1:34" s="32" customFormat="1">
      <c r="A1367" s="434" t="s">
        <v>942</v>
      </c>
      <c r="B1367" s="457" t="s">
        <v>946</v>
      </c>
      <c r="C1367" s="233">
        <v>44279</v>
      </c>
      <c r="D1367" s="435" t="s">
        <v>1267</v>
      </c>
      <c r="E1367" s="436" t="s">
        <v>1529</v>
      </c>
      <c r="F1367" s="338">
        <v>0.46875</v>
      </c>
      <c r="G1367" s="338">
        <v>0.47222222222222227</v>
      </c>
      <c r="H1367" s="338" t="s">
        <v>961</v>
      </c>
      <c r="I1367" s="353">
        <v>767</v>
      </c>
      <c r="J1367" s="338" t="str">
        <f>IFERROR(VLOOKUP(I1367,'Chart of accounts'!A:H,2,FALSE),"")</f>
        <v>50204020 00</v>
      </c>
      <c r="K1367" s="338" t="str">
        <f>IFERROR(VLOOKUP(I1367,'Chart of accounts'!A:H,3,FALSE),"")</f>
        <v>Electricity Expense</v>
      </c>
      <c r="L1367" s="338" t="str">
        <f>IFERROR(VLOOKUP(I1367,'Chart of accounts'!A:H,4,FALSE),"")</f>
        <v>50204020 00 - Electricity Expense (767)</v>
      </c>
      <c r="M1367" s="361">
        <v>68</v>
      </c>
      <c r="N1367" s="420" t="s">
        <v>821</v>
      </c>
      <c r="O1367" s="420" t="s">
        <v>1532</v>
      </c>
      <c r="P1367" s="420"/>
      <c r="Q1367" s="420">
        <v>47087.72</v>
      </c>
      <c r="R1367" s="428">
        <f t="shared" si="51"/>
        <v>-47087.72</v>
      </c>
      <c r="S1367" s="428" t="str">
        <f>VLOOKUP(H1367,'Fund Utilization Report'!$A$4:$U$1800,13,FALSE)</f>
        <v>MOOE</v>
      </c>
      <c r="T1367" s="428" t="str">
        <f>VLOOKUP(H1367,'Fund Utilization Report'!$A$4:$U$1800,2,FALSE)</f>
        <v>GAA</v>
      </c>
      <c r="U1367" s="428" t="str">
        <f>VLOOKUP(H1367,'Fund Utilization Report'!$A$4:$U$1800,3,FALSE)</f>
        <v>FY2021, RA11518</v>
      </c>
      <c r="V1367" s="428" t="str">
        <f>VLOOKUP(H1367,'Fund Utilization Report'!$A$4:$U$1800,4,FALSE)</f>
        <v>GAS(GMS)</v>
      </c>
      <c r="W1367" s="428" t="str">
        <f>VLOOKUP(H1367,'Fund Utilization Report'!$A$4:$U$1800,5,FALSE)</f>
        <v>01101101</v>
      </c>
      <c r="X1367" s="428" t="str">
        <f>VLOOKUP(H1367,'Fund Utilization Report'!$A$4:$U$1800,6,FALSE)</f>
        <v>GOP</v>
      </c>
      <c r="Y1367" s="320" t="str">
        <f>VLOOKUP(H1367,'Fund Utilization Report'!$A$4:$U$1800,7,FALSE)</f>
        <v>MOOE</v>
      </c>
      <c r="Z1367" s="425">
        <f>VLOOKUP(H1367,'Fund Utilization Report'!$A$4:$U$1800,8,FALSE)</f>
        <v>5020000000</v>
      </c>
      <c r="AA1367" s="428" t="str">
        <f>VLOOKUP(H1367,'Fund Utilization Report'!$A$4:$U$1800,14,FALSE)</f>
        <v>100000100001000</v>
      </c>
      <c r="AB1367" s="349" t="str">
        <f>VLOOKUP(H1367,'Fund Utilization Report'!$A$4:$U$1800,15,FALSE)</f>
        <v>General Administration and Supervision - General Management and Supervision</v>
      </c>
      <c r="AC1367" s="39"/>
      <c r="AD1367" s="34"/>
      <c r="AE1367" s="39"/>
      <c r="AF1367" s="51"/>
      <c r="AG1367" s="40"/>
      <c r="AH1367" s="40"/>
    </row>
    <row r="1368" spans="1:34" s="32" customFormat="1">
      <c r="A1368" s="434" t="s">
        <v>942</v>
      </c>
      <c r="B1368" s="457" t="s">
        <v>946</v>
      </c>
      <c r="C1368" s="233">
        <v>44279</v>
      </c>
      <c r="D1368" s="435" t="s">
        <v>1267</v>
      </c>
      <c r="E1368" s="436" t="s">
        <v>1529</v>
      </c>
      <c r="F1368" s="338">
        <v>0.46875</v>
      </c>
      <c r="G1368" s="338">
        <v>0.47222222222222227</v>
      </c>
      <c r="H1368" s="338" t="s">
        <v>961</v>
      </c>
      <c r="I1368" s="353">
        <v>771</v>
      </c>
      <c r="J1368" s="338" t="str">
        <f>IFERROR(VLOOKUP(I1368,'Chart of accounts'!A:H,2,FALSE),"")</f>
        <v>50205010 00</v>
      </c>
      <c r="K1368" s="338" t="str">
        <f>IFERROR(VLOOKUP(I1368,'Chart of accounts'!A:H,3,FALSE),"")</f>
        <v>Postage and Courier Services</v>
      </c>
      <c r="L1368" s="338" t="str">
        <f>IFERROR(VLOOKUP(I1368,'Chart of accounts'!A:H,4,FALSE),"")</f>
        <v>50205010 00 - Postage and Courier Services (771)</v>
      </c>
      <c r="M1368" s="361">
        <v>68</v>
      </c>
      <c r="N1368" s="420" t="s">
        <v>821</v>
      </c>
      <c r="O1368" s="420" t="s">
        <v>1532</v>
      </c>
      <c r="P1368" s="420"/>
      <c r="Q1368" s="420">
        <v>1245</v>
      </c>
      <c r="R1368" s="428">
        <f t="shared" si="51"/>
        <v>-1245</v>
      </c>
      <c r="S1368" s="428" t="str">
        <f>VLOOKUP(H1368,'Fund Utilization Report'!$A$4:$U$1800,13,FALSE)</f>
        <v>MOOE</v>
      </c>
      <c r="T1368" s="428" t="str">
        <f>VLOOKUP(H1368,'Fund Utilization Report'!$A$4:$U$1800,2,FALSE)</f>
        <v>GAA</v>
      </c>
      <c r="U1368" s="428" t="str">
        <f>VLOOKUP(H1368,'Fund Utilization Report'!$A$4:$U$1800,3,FALSE)</f>
        <v>FY2021, RA11518</v>
      </c>
      <c r="V1368" s="428" t="str">
        <f>VLOOKUP(H1368,'Fund Utilization Report'!$A$4:$U$1800,4,FALSE)</f>
        <v>GAS(GMS)</v>
      </c>
      <c r="W1368" s="428" t="str">
        <f>VLOOKUP(H1368,'Fund Utilization Report'!$A$4:$U$1800,5,FALSE)</f>
        <v>01101101</v>
      </c>
      <c r="X1368" s="428" t="str">
        <f>VLOOKUP(H1368,'Fund Utilization Report'!$A$4:$U$1800,6,FALSE)</f>
        <v>GOP</v>
      </c>
      <c r="Y1368" s="320" t="str">
        <f>VLOOKUP(H1368,'Fund Utilization Report'!$A$4:$U$1800,7,FALSE)</f>
        <v>MOOE</v>
      </c>
      <c r="Z1368" s="425">
        <f>VLOOKUP(H1368,'Fund Utilization Report'!$A$4:$U$1800,8,FALSE)</f>
        <v>5020000000</v>
      </c>
      <c r="AA1368" s="428" t="str">
        <f>VLOOKUP(H1368,'Fund Utilization Report'!$A$4:$U$1800,14,FALSE)</f>
        <v>100000100001000</v>
      </c>
      <c r="AB1368" s="349" t="str">
        <f>VLOOKUP(H1368,'Fund Utilization Report'!$A$4:$U$1800,15,FALSE)</f>
        <v>General Administration and Supervision - General Management and Supervision</v>
      </c>
      <c r="AC1368" s="39"/>
      <c r="AD1368" s="34"/>
      <c r="AE1368" s="39"/>
      <c r="AF1368" s="51"/>
      <c r="AG1368" s="40"/>
      <c r="AH1368" s="40"/>
    </row>
    <row r="1369" spans="1:34" s="32" customFormat="1">
      <c r="A1369" s="434" t="s">
        <v>942</v>
      </c>
      <c r="B1369" s="457" t="s">
        <v>946</v>
      </c>
      <c r="C1369" s="233">
        <v>44279</v>
      </c>
      <c r="D1369" s="435" t="s">
        <v>1267</v>
      </c>
      <c r="E1369" s="436" t="s">
        <v>1529</v>
      </c>
      <c r="F1369" s="338">
        <v>0.46875</v>
      </c>
      <c r="G1369" s="338">
        <v>0.47222222222222227</v>
      </c>
      <c r="H1369" s="338" t="s">
        <v>961</v>
      </c>
      <c r="I1369" s="353">
        <v>772</v>
      </c>
      <c r="J1369" s="338" t="str">
        <f>IFERROR(VLOOKUP(I1369,'Chart of accounts'!A:H,2,FALSE),"")</f>
        <v>50205020 02</v>
      </c>
      <c r="K1369" s="338" t="str">
        <f>IFERROR(VLOOKUP(I1369,'Chart of accounts'!A:H,3,FALSE),"")</f>
        <v xml:space="preserve">Telephone Expenses - Landline </v>
      </c>
      <c r="L1369" s="338" t="str">
        <f>IFERROR(VLOOKUP(I1369,'Chart of accounts'!A:H,4,FALSE),"")</f>
        <v>50205020 02 - Telephone Expenses - Landline  (772)</v>
      </c>
      <c r="M1369" s="361">
        <v>68</v>
      </c>
      <c r="N1369" s="420" t="s">
        <v>821</v>
      </c>
      <c r="O1369" s="420" t="s">
        <v>1532</v>
      </c>
      <c r="P1369" s="420"/>
      <c r="Q1369" s="420">
        <v>7586.8</v>
      </c>
      <c r="R1369" s="428">
        <f t="shared" si="51"/>
        <v>-7586.8</v>
      </c>
      <c r="S1369" s="428" t="str">
        <f>VLOOKUP(H1369,'Fund Utilization Report'!$A$4:$U$1800,13,FALSE)</f>
        <v>MOOE</v>
      </c>
      <c r="T1369" s="428" t="str">
        <f>VLOOKUP(H1369,'Fund Utilization Report'!$A$4:$U$1800,2,FALSE)</f>
        <v>GAA</v>
      </c>
      <c r="U1369" s="428" t="str">
        <f>VLOOKUP(H1369,'Fund Utilization Report'!$A$4:$U$1800,3,FALSE)</f>
        <v>FY2021, RA11518</v>
      </c>
      <c r="V1369" s="428" t="str">
        <f>VLOOKUP(H1369,'Fund Utilization Report'!$A$4:$U$1800,4,FALSE)</f>
        <v>GAS(GMS)</v>
      </c>
      <c r="W1369" s="428" t="str">
        <f>VLOOKUP(H1369,'Fund Utilization Report'!$A$4:$U$1800,5,FALSE)</f>
        <v>01101101</v>
      </c>
      <c r="X1369" s="428" t="str">
        <f>VLOOKUP(H1369,'Fund Utilization Report'!$A$4:$U$1800,6,FALSE)</f>
        <v>GOP</v>
      </c>
      <c r="Y1369" s="320" t="str">
        <f>VLOOKUP(H1369,'Fund Utilization Report'!$A$4:$U$1800,7,FALSE)</f>
        <v>MOOE</v>
      </c>
      <c r="Z1369" s="425">
        <f>VLOOKUP(H1369,'Fund Utilization Report'!$A$4:$U$1800,8,FALSE)</f>
        <v>5020000000</v>
      </c>
      <c r="AA1369" s="428" t="str">
        <f>VLOOKUP(H1369,'Fund Utilization Report'!$A$4:$U$1800,14,FALSE)</f>
        <v>100000100001000</v>
      </c>
      <c r="AB1369" s="349" t="str">
        <f>VLOOKUP(H1369,'Fund Utilization Report'!$A$4:$U$1800,15,FALSE)</f>
        <v>General Administration and Supervision - General Management and Supervision</v>
      </c>
      <c r="AC1369" s="39"/>
      <c r="AD1369" s="34"/>
      <c r="AE1369" s="39"/>
      <c r="AF1369" s="51"/>
      <c r="AG1369" s="40"/>
      <c r="AH1369" s="40"/>
    </row>
    <row r="1370" spans="1:34" s="32" customFormat="1">
      <c r="A1370" s="434" t="s">
        <v>942</v>
      </c>
      <c r="B1370" s="457" t="s">
        <v>946</v>
      </c>
      <c r="C1370" s="233">
        <v>44279</v>
      </c>
      <c r="D1370" s="435" t="s">
        <v>1267</v>
      </c>
      <c r="E1370" s="436" t="s">
        <v>1529</v>
      </c>
      <c r="F1370" s="338">
        <v>0.46875</v>
      </c>
      <c r="G1370" s="338">
        <v>0.47222222222222227</v>
      </c>
      <c r="H1370" s="338" t="s">
        <v>961</v>
      </c>
      <c r="I1370" s="353">
        <v>773</v>
      </c>
      <c r="J1370" s="338" t="str">
        <f>IFERROR(VLOOKUP(I1370,'Chart of accounts'!A:H,2,FALSE),"")</f>
        <v>50205020 01</v>
      </c>
      <c r="K1370" s="338" t="str">
        <f>IFERROR(VLOOKUP(I1370,'Chart of accounts'!A:H,3,FALSE),"")</f>
        <v xml:space="preserve">Telephone Expenses - Mobile </v>
      </c>
      <c r="L1370" s="338" t="str">
        <f>IFERROR(VLOOKUP(I1370,'Chart of accounts'!A:H,4,FALSE),"")</f>
        <v>50205020 01 - Telephone Expenses - Mobile  (773)</v>
      </c>
      <c r="M1370" s="361">
        <v>68</v>
      </c>
      <c r="N1370" s="420" t="s">
        <v>821</v>
      </c>
      <c r="O1370" s="420" t="s">
        <v>1532</v>
      </c>
      <c r="P1370" s="420"/>
      <c r="Q1370" s="420">
        <v>4482</v>
      </c>
      <c r="R1370" s="428">
        <f t="shared" si="51"/>
        <v>-4482</v>
      </c>
      <c r="S1370" s="428" t="str">
        <f>VLOOKUP(H1370,'Fund Utilization Report'!$A$4:$U$1800,13,FALSE)</f>
        <v>MOOE</v>
      </c>
      <c r="T1370" s="428" t="str">
        <f>VLOOKUP(H1370,'Fund Utilization Report'!$A$4:$U$1800,2,FALSE)</f>
        <v>GAA</v>
      </c>
      <c r="U1370" s="428" t="str">
        <f>VLOOKUP(H1370,'Fund Utilization Report'!$A$4:$U$1800,3,FALSE)</f>
        <v>FY2021, RA11518</v>
      </c>
      <c r="V1370" s="428" t="str">
        <f>VLOOKUP(H1370,'Fund Utilization Report'!$A$4:$U$1800,4,FALSE)</f>
        <v>GAS(GMS)</v>
      </c>
      <c r="W1370" s="428" t="str">
        <f>VLOOKUP(H1370,'Fund Utilization Report'!$A$4:$U$1800,5,FALSE)</f>
        <v>01101101</v>
      </c>
      <c r="X1370" s="428" t="str">
        <f>VLOOKUP(H1370,'Fund Utilization Report'!$A$4:$U$1800,6,FALSE)</f>
        <v>GOP</v>
      </c>
      <c r="Y1370" s="320" t="str">
        <f>VLOOKUP(H1370,'Fund Utilization Report'!$A$4:$U$1800,7,FALSE)</f>
        <v>MOOE</v>
      </c>
      <c r="Z1370" s="425">
        <f>VLOOKUP(H1370,'Fund Utilization Report'!$A$4:$U$1800,8,FALSE)</f>
        <v>5020000000</v>
      </c>
      <c r="AA1370" s="428" t="str">
        <f>VLOOKUP(H1370,'Fund Utilization Report'!$A$4:$U$1800,14,FALSE)</f>
        <v>100000100001000</v>
      </c>
      <c r="AB1370" s="349" t="str">
        <f>VLOOKUP(H1370,'Fund Utilization Report'!$A$4:$U$1800,15,FALSE)</f>
        <v>General Administration and Supervision - General Management and Supervision</v>
      </c>
      <c r="AC1370" s="39"/>
      <c r="AD1370" s="34"/>
      <c r="AE1370" s="39"/>
      <c r="AF1370" s="51"/>
      <c r="AG1370" s="40"/>
      <c r="AH1370" s="40"/>
    </row>
    <row r="1371" spans="1:34" s="32" customFormat="1">
      <c r="A1371" s="434" t="s">
        <v>942</v>
      </c>
      <c r="B1371" s="457" t="s">
        <v>946</v>
      </c>
      <c r="C1371" s="233">
        <v>44279</v>
      </c>
      <c r="D1371" s="435" t="s">
        <v>1267</v>
      </c>
      <c r="E1371" s="436" t="s">
        <v>1529</v>
      </c>
      <c r="F1371" s="338">
        <v>0.46875</v>
      </c>
      <c r="G1371" s="338">
        <v>0.47222222222222227</v>
      </c>
      <c r="H1371" s="338" t="s">
        <v>961</v>
      </c>
      <c r="I1371" s="353">
        <v>775</v>
      </c>
      <c r="J1371" s="338" t="str">
        <f>IFERROR(VLOOKUP(I1371,'Chart of accounts'!A:H,2,FALSE),"")</f>
        <v>50205040 00</v>
      </c>
      <c r="K1371" s="338" t="str">
        <f>IFERROR(VLOOKUP(I1371,'Chart of accounts'!A:H,3,FALSE),"")</f>
        <v>Cable, Satellite, Telegraph, and Radio Expenses</v>
      </c>
      <c r="L1371" s="338" t="str">
        <f>IFERROR(VLOOKUP(I1371,'Chart of accounts'!A:H,4,FALSE),"")</f>
        <v>50205040 00 - Cable, Satellite, Telegraph, and Radio Expenses (775)</v>
      </c>
      <c r="M1371" s="361">
        <v>68</v>
      </c>
      <c r="N1371" s="420" t="s">
        <v>821</v>
      </c>
      <c r="O1371" s="420" t="s">
        <v>1532</v>
      </c>
      <c r="P1371" s="420"/>
      <c r="Q1371" s="420">
        <v>871.5</v>
      </c>
      <c r="R1371" s="428">
        <f t="shared" si="51"/>
        <v>-871.5</v>
      </c>
      <c r="S1371" s="428" t="str">
        <f>VLOOKUP(H1371,'Fund Utilization Report'!$A$4:$U$1800,13,FALSE)</f>
        <v>MOOE</v>
      </c>
      <c r="T1371" s="428" t="str">
        <f>VLOOKUP(H1371,'Fund Utilization Report'!$A$4:$U$1800,2,FALSE)</f>
        <v>GAA</v>
      </c>
      <c r="U1371" s="428" t="str">
        <f>VLOOKUP(H1371,'Fund Utilization Report'!$A$4:$U$1800,3,FALSE)</f>
        <v>FY2021, RA11518</v>
      </c>
      <c r="V1371" s="428" t="str">
        <f>VLOOKUP(H1371,'Fund Utilization Report'!$A$4:$U$1800,4,FALSE)</f>
        <v>GAS(GMS)</v>
      </c>
      <c r="W1371" s="428" t="str">
        <f>VLOOKUP(H1371,'Fund Utilization Report'!$A$4:$U$1800,5,FALSE)</f>
        <v>01101101</v>
      </c>
      <c r="X1371" s="428" t="str">
        <f>VLOOKUP(H1371,'Fund Utilization Report'!$A$4:$U$1800,6,FALSE)</f>
        <v>GOP</v>
      </c>
      <c r="Y1371" s="320" t="str">
        <f>VLOOKUP(H1371,'Fund Utilization Report'!$A$4:$U$1800,7,FALSE)</f>
        <v>MOOE</v>
      </c>
      <c r="Z1371" s="425">
        <f>VLOOKUP(H1371,'Fund Utilization Report'!$A$4:$U$1800,8,FALSE)</f>
        <v>5020000000</v>
      </c>
      <c r="AA1371" s="428" t="str">
        <f>VLOOKUP(H1371,'Fund Utilization Report'!$A$4:$U$1800,14,FALSE)</f>
        <v>100000100001000</v>
      </c>
      <c r="AB1371" s="349" t="str">
        <f>VLOOKUP(H1371,'Fund Utilization Report'!$A$4:$U$1800,15,FALSE)</f>
        <v>General Administration and Supervision - General Management and Supervision</v>
      </c>
      <c r="AC1371" s="39"/>
      <c r="AD1371" s="34"/>
      <c r="AE1371" s="39"/>
      <c r="AF1371" s="51"/>
      <c r="AG1371" s="40"/>
      <c r="AH1371" s="40"/>
    </row>
    <row r="1372" spans="1:34" s="32" customFormat="1">
      <c r="A1372" s="434" t="s">
        <v>942</v>
      </c>
      <c r="B1372" s="457" t="s">
        <v>946</v>
      </c>
      <c r="C1372" s="233">
        <v>44279</v>
      </c>
      <c r="D1372" s="435" t="s">
        <v>1267</v>
      </c>
      <c r="E1372" s="436" t="s">
        <v>1529</v>
      </c>
      <c r="F1372" s="338">
        <v>0.46875</v>
      </c>
      <c r="G1372" s="338">
        <v>0.47222222222222227</v>
      </c>
      <c r="H1372" s="338" t="s">
        <v>961</v>
      </c>
      <c r="I1372" s="353">
        <v>791</v>
      </c>
      <c r="J1372" s="338" t="str">
        <f>IFERROR(VLOOKUP(I1372,'Chart of accounts'!A:H,2,FALSE),"")</f>
        <v>50211010 00</v>
      </c>
      <c r="K1372" s="338" t="str">
        <f>IFERROR(VLOOKUP(I1372,'Chart of accounts'!A:H,3,FALSE),"")</f>
        <v>Legal Services</v>
      </c>
      <c r="L1372" s="338" t="str">
        <f>IFERROR(VLOOKUP(I1372,'Chart of accounts'!A:H,4,FALSE),"")</f>
        <v>50211010 00 - Legal Services (791)</v>
      </c>
      <c r="M1372" s="361">
        <v>68</v>
      </c>
      <c r="N1372" s="420" t="s">
        <v>821</v>
      </c>
      <c r="O1372" s="420" t="s">
        <v>1532</v>
      </c>
      <c r="P1372" s="420"/>
      <c r="Q1372" s="420">
        <v>747</v>
      </c>
      <c r="R1372" s="428">
        <f t="shared" si="51"/>
        <v>-747</v>
      </c>
      <c r="S1372" s="428" t="str">
        <f>VLOOKUP(H1372,'Fund Utilization Report'!$A$4:$U$1800,13,FALSE)</f>
        <v>MOOE</v>
      </c>
      <c r="T1372" s="428" t="str">
        <f>VLOOKUP(H1372,'Fund Utilization Report'!$A$4:$U$1800,2,FALSE)</f>
        <v>GAA</v>
      </c>
      <c r="U1372" s="428" t="str">
        <f>VLOOKUP(H1372,'Fund Utilization Report'!$A$4:$U$1800,3,FALSE)</f>
        <v>FY2021, RA11518</v>
      </c>
      <c r="V1372" s="428" t="str">
        <f>VLOOKUP(H1372,'Fund Utilization Report'!$A$4:$U$1800,4,FALSE)</f>
        <v>GAS(GMS)</v>
      </c>
      <c r="W1372" s="428" t="str">
        <f>VLOOKUP(H1372,'Fund Utilization Report'!$A$4:$U$1800,5,FALSE)</f>
        <v>01101101</v>
      </c>
      <c r="X1372" s="428" t="str">
        <f>VLOOKUP(H1372,'Fund Utilization Report'!$A$4:$U$1800,6,FALSE)</f>
        <v>GOP</v>
      </c>
      <c r="Y1372" s="320" t="str">
        <f>VLOOKUP(H1372,'Fund Utilization Report'!$A$4:$U$1800,7,FALSE)</f>
        <v>MOOE</v>
      </c>
      <c r="Z1372" s="425">
        <f>VLOOKUP(H1372,'Fund Utilization Report'!$A$4:$U$1800,8,FALSE)</f>
        <v>5020000000</v>
      </c>
      <c r="AA1372" s="428" t="str">
        <f>VLOOKUP(H1372,'Fund Utilization Report'!$A$4:$U$1800,14,FALSE)</f>
        <v>100000100001000</v>
      </c>
      <c r="AB1372" s="349" t="str">
        <f>VLOOKUP(H1372,'Fund Utilization Report'!$A$4:$U$1800,15,FALSE)</f>
        <v>General Administration and Supervision - General Management and Supervision</v>
      </c>
      <c r="AC1372" s="39"/>
      <c r="AD1372" s="34"/>
      <c r="AE1372" s="39"/>
      <c r="AF1372" s="51"/>
      <c r="AG1372" s="40"/>
      <c r="AH1372" s="40"/>
    </row>
    <row r="1373" spans="1:34" s="32" customFormat="1">
      <c r="A1373" s="434" t="s">
        <v>942</v>
      </c>
      <c r="B1373" s="457" t="s">
        <v>946</v>
      </c>
      <c r="C1373" s="233">
        <v>44279</v>
      </c>
      <c r="D1373" s="435" t="s">
        <v>1267</v>
      </c>
      <c r="E1373" s="436" t="s">
        <v>1529</v>
      </c>
      <c r="F1373" s="338">
        <v>0.46875</v>
      </c>
      <c r="G1373" s="338">
        <v>0.47222222222222227</v>
      </c>
      <c r="H1373" s="338" t="s">
        <v>961</v>
      </c>
      <c r="I1373" s="353">
        <v>796</v>
      </c>
      <c r="J1373" s="338" t="str">
        <f>IFERROR(VLOOKUP(I1373,'Chart of accounts'!A:H,2,FALSE),"")</f>
        <v>50212020 00</v>
      </c>
      <c r="K1373" s="338" t="str">
        <f>IFERROR(VLOOKUP(I1373,'Chart of accounts'!A:H,3,FALSE),"")</f>
        <v>Janitorial Services</v>
      </c>
      <c r="L1373" s="338" t="str">
        <f>IFERROR(VLOOKUP(I1373,'Chart of accounts'!A:H,4,FALSE),"")</f>
        <v>50212020 00 - Janitorial Services (796)</v>
      </c>
      <c r="M1373" s="361">
        <v>68</v>
      </c>
      <c r="N1373" s="420" t="s">
        <v>821</v>
      </c>
      <c r="O1373" s="420" t="s">
        <v>1532</v>
      </c>
      <c r="P1373" s="420"/>
      <c r="Q1373" s="420">
        <v>21580</v>
      </c>
      <c r="R1373" s="428">
        <f t="shared" si="51"/>
        <v>-21580</v>
      </c>
      <c r="S1373" s="428" t="str">
        <f>VLOOKUP(H1373,'Fund Utilization Report'!$A$4:$U$1800,13,FALSE)</f>
        <v>MOOE</v>
      </c>
      <c r="T1373" s="428" t="str">
        <f>VLOOKUP(H1373,'Fund Utilization Report'!$A$4:$U$1800,2,FALSE)</f>
        <v>GAA</v>
      </c>
      <c r="U1373" s="428" t="str">
        <f>VLOOKUP(H1373,'Fund Utilization Report'!$A$4:$U$1800,3,FALSE)</f>
        <v>FY2021, RA11518</v>
      </c>
      <c r="V1373" s="428" t="str">
        <f>VLOOKUP(H1373,'Fund Utilization Report'!$A$4:$U$1800,4,FALSE)</f>
        <v>GAS(GMS)</v>
      </c>
      <c r="W1373" s="428" t="str">
        <f>VLOOKUP(H1373,'Fund Utilization Report'!$A$4:$U$1800,5,FALSE)</f>
        <v>01101101</v>
      </c>
      <c r="X1373" s="428" t="str">
        <f>VLOOKUP(H1373,'Fund Utilization Report'!$A$4:$U$1800,6,FALSE)</f>
        <v>GOP</v>
      </c>
      <c r="Y1373" s="320" t="str">
        <f>VLOOKUP(H1373,'Fund Utilization Report'!$A$4:$U$1800,7,FALSE)</f>
        <v>MOOE</v>
      </c>
      <c r="Z1373" s="425">
        <f>VLOOKUP(H1373,'Fund Utilization Report'!$A$4:$U$1800,8,FALSE)</f>
        <v>5020000000</v>
      </c>
      <c r="AA1373" s="428" t="str">
        <f>VLOOKUP(H1373,'Fund Utilization Report'!$A$4:$U$1800,14,FALSE)</f>
        <v>100000100001000</v>
      </c>
      <c r="AB1373" s="349" t="str">
        <f>VLOOKUP(H1373,'Fund Utilization Report'!$A$4:$U$1800,15,FALSE)</f>
        <v>General Administration and Supervision - General Management and Supervision</v>
      </c>
      <c r="AC1373" s="39"/>
      <c r="AD1373" s="34"/>
      <c r="AE1373" s="39"/>
      <c r="AF1373" s="51"/>
      <c r="AG1373" s="40"/>
      <c r="AH1373" s="40"/>
    </row>
    <row r="1374" spans="1:34" s="32" customFormat="1">
      <c r="A1374" s="434" t="s">
        <v>942</v>
      </c>
      <c r="B1374" s="457" t="s">
        <v>946</v>
      </c>
      <c r="C1374" s="233">
        <v>44279</v>
      </c>
      <c r="D1374" s="435" t="s">
        <v>1267</v>
      </c>
      <c r="E1374" s="436" t="s">
        <v>1529</v>
      </c>
      <c r="F1374" s="338">
        <v>0.46875</v>
      </c>
      <c r="G1374" s="338">
        <v>0.47222222222222227</v>
      </c>
      <c r="H1374" s="338" t="s">
        <v>961</v>
      </c>
      <c r="I1374" s="353">
        <v>795</v>
      </c>
      <c r="J1374" s="338" t="str">
        <f>IFERROR(VLOOKUP(I1374,'Chart of accounts'!A:H,2,FALSE),"")</f>
        <v>50212990 00</v>
      </c>
      <c r="K1374" s="338" t="str">
        <f>IFERROR(VLOOKUP(I1374,'Chart of accounts'!A:H,3,FALSE),"")</f>
        <v>Other General Services</v>
      </c>
      <c r="L1374" s="338" t="str">
        <f>IFERROR(VLOOKUP(I1374,'Chart of accounts'!A:H,4,FALSE),"")</f>
        <v>50212990 00 - Other General Services (795)</v>
      </c>
      <c r="M1374" s="361">
        <v>68</v>
      </c>
      <c r="N1374" s="420" t="s">
        <v>821</v>
      </c>
      <c r="O1374" s="420" t="s">
        <v>1532</v>
      </c>
      <c r="P1374" s="420"/>
      <c r="Q1374" s="420">
        <v>164374.85999999999</v>
      </c>
      <c r="R1374" s="428">
        <f t="shared" ref="R1374:R1437" si="52">P1374-Q1374</f>
        <v>-164374.85999999999</v>
      </c>
      <c r="S1374" s="428" t="str">
        <f>VLOOKUP(H1374,'Fund Utilization Report'!$A$4:$U$1800,13,FALSE)</f>
        <v>MOOE</v>
      </c>
      <c r="T1374" s="428" t="str">
        <f>VLOOKUP(H1374,'Fund Utilization Report'!$A$4:$U$1800,2,FALSE)</f>
        <v>GAA</v>
      </c>
      <c r="U1374" s="428" t="str">
        <f>VLOOKUP(H1374,'Fund Utilization Report'!$A$4:$U$1800,3,FALSE)</f>
        <v>FY2021, RA11518</v>
      </c>
      <c r="V1374" s="428" t="str">
        <f>VLOOKUP(H1374,'Fund Utilization Report'!$A$4:$U$1800,4,FALSE)</f>
        <v>GAS(GMS)</v>
      </c>
      <c r="W1374" s="428" t="str">
        <f>VLOOKUP(H1374,'Fund Utilization Report'!$A$4:$U$1800,5,FALSE)</f>
        <v>01101101</v>
      </c>
      <c r="X1374" s="428" t="str">
        <f>VLOOKUP(H1374,'Fund Utilization Report'!$A$4:$U$1800,6,FALSE)</f>
        <v>GOP</v>
      </c>
      <c r="Y1374" s="320" t="str">
        <f>VLOOKUP(H1374,'Fund Utilization Report'!$A$4:$U$1800,7,FALSE)</f>
        <v>MOOE</v>
      </c>
      <c r="Z1374" s="425">
        <f>VLOOKUP(H1374,'Fund Utilization Report'!$A$4:$U$1800,8,FALSE)</f>
        <v>5020000000</v>
      </c>
      <c r="AA1374" s="428" t="str">
        <f>VLOOKUP(H1374,'Fund Utilization Report'!$A$4:$U$1800,14,FALSE)</f>
        <v>100000100001000</v>
      </c>
      <c r="AB1374" s="349" t="str">
        <f>VLOOKUP(H1374,'Fund Utilization Report'!$A$4:$U$1800,15,FALSE)</f>
        <v>General Administration and Supervision - General Management and Supervision</v>
      </c>
      <c r="AC1374" s="39"/>
      <c r="AD1374" s="34"/>
      <c r="AE1374" s="39"/>
      <c r="AF1374" s="51"/>
      <c r="AG1374" s="40"/>
      <c r="AH1374" s="40"/>
    </row>
    <row r="1375" spans="1:34" s="32" customFormat="1">
      <c r="A1375" s="434" t="s">
        <v>942</v>
      </c>
      <c r="B1375" s="457" t="s">
        <v>946</v>
      </c>
      <c r="C1375" s="233">
        <v>44279</v>
      </c>
      <c r="D1375" s="435" t="s">
        <v>1267</v>
      </c>
      <c r="E1375" s="436" t="s">
        <v>1529</v>
      </c>
      <c r="F1375" s="338">
        <v>0.46875</v>
      </c>
      <c r="G1375" s="338">
        <v>0.47222222222222227</v>
      </c>
      <c r="H1375" s="338" t="s">
        <v>968</v>
      </c>
      <c r="I1375" s="353">
        <v>820</v>
      </c>
      <c r="J1375" s="338" t="str">
        <f>IFERROR(VLOOKUP(I1375,'Chart of accounts'!A:H,2,FALSE),"")</f>
        <v>50213040 01</v>
      </c>
      <c r="K1375" s="338" t="str">
        <f>IFERROR(VLOOKUP(I1375,'Chart of accounts'!A:H,3,FALSE),"")</f>
        <v>Buildings</v>
      </c>
      <c r="L1375" s="338" t="str">
        <f>IFERROR(VLOOKUP(I1375,'Chart of accounts'!A:H,4,FALSE),"")</f>
        <v>50213040 01 - Buildings (820)</v>
      </c>
      <c r="M1375" s="361">
        <v>68</v>
      </c>
      <c r="N1375" s="420" t="s">
        <v>821</v>
      </c>
      <c r="O1375" s="420" t="s">
        <v>1532</v>
      </c>
      <c r="P1375" s="420"/>
      <c r="Q1375" s="420">
        <v>24900</v>
      </c>
      <c r="R1375" s="428">
        <f t="shared" si="52"/>
        <v>-24900</v>
      </c>
      <c r="S1375" s="428" t="str">
        <f>VLOOKUP(H1375,'Fund Utilization Report'!$A$4:$U$1800,13,FALSE)</f>
        <v>MOOE</v>
      </c>
      <c r="T1375" s="428" t="str">
        <f>VLOOKUP(H1375,'Fund Utilization Report'!$A$4:$U$1800,2,FALSE)</f>
        <v>GAA</v>
      </c>
      <c r="U1375" s="428" t="str">
        <f>VLOOKUP(H1375,'Fund Utilization Report'!$A$4:$U$1800,3,FALSE)</f>
        <v>FY2021, RA11518</v>
      </c>
      <c r="V1375" s="428" t="str">
        <f>VLOOKUP(H1375,'Fund Utilization Report'!$A$4:$U$1800,4,FALSE)</f>
        <v>OO2</v>
      </c>
      <c r="W1375" s="428" t="str">
        <f>VLOOKUP(H1375,'Fund Utilization Report'!$A$4:$U$1800,5,FALSE)</f>
        <v>01101101</v>
      </c>
      <c r="X1375" s="428" t="str">
        <f>VLOOKUP(H1375,'Fund Utilization Report'!$A$4:$U$1800,6,FALSE)</f>
        <v>GOP</v>
      </c>
      <c r="Y1375" s="320" t="str">
        <f>VLOOKUP(H1375,'Fund Utilization Report'!$A$4:$U$1800,7,FALSE)</f>
        <v>MOOE</v>
      </c>
      <c r="Z1375" s="425">
        <f>VLOOKUP(H1375,'Fund Utilization Report'!$A$4:$U$1800,8,FALSE)</f>
        <v>5020000000</v>
      </c>
      <c r="AA1375" s="428" t="str">
        <f>VLOOKUP(H1375,'Fund Utilization Report'!$A$4:$U$1800,14,FALSE)</f>
        <v>320100100001000</v>
      </c>
      <c r="AB1375" s="349" t="str">
        <f>VLOOKUP(H1375,'Fund Utilization Report'!$A$4:$U$1800,15,FALSE)</f>
        <v>Formulation of Strategic plans,programs, and policies to develop competitve industries</v>
      </c>
      <c r="AC1375" s="39"/>
      <c r="AD1375" s="34"/>
      <c r="AE1375" s="39"/>
      <c r="AF1375" s="51"/>
      <c r="AG1375" s="40"/>
      <c r="AH1375" s="40"/>
    </row>
    <row r="1376" spans="1:34" s="32" customFormat="1">
      <c r="A1376" s="434" t="s">
        <v>942</v>
      </c>
      <c r="B1376" s="457" t="s">
        <v>946</v>
      </c>
      <c r="C1376" s="233">
        <v>44279</v>
      </c>
      <c r="D1376" s="435" t="s">
        <v>1267</v>
      </c>
      <c r="E1376" s="436" t="s">
        <v>1529</v>
      </c>
      <c r="F1376" s="338">
        <v>0.46875</v>
      </c>
      <c r="G1376" s="338">
        <v>0.47222222222222227</v>
      </c>
      <c r="H1376" s="338" t="s">
        <v>971</v>
      </c>
      <c r="I1376" s="353">
        <v>821</v>
      </c>
      <c r="J1376" s="338" t="str">
        <f>IFERROR(VLOOKUP(I1376,'Chart of accounts'!A:H,2,FALSE),"")</f>
        <v>50213050 02</v>
      </c>
      <c r="K1376" s="338" t="str">
        <f>IFERROR(VLOOKUP(I1376,'Chart of accounts'!A:H,3,FALSE),"")</f>
        <v>Office Equipment</v>
      </c>
      <c r="L1376" s="338" t="str">
        <f>IFERROR(VLOOKUP(I1376,'Chart of accounts'!A:H,4,FALSE),"")</f>
        <v>50213050 02 - Office Equipment (821)</v>
      </c>
      <c r="M1376" s="361">
        <v>68</v>
      </c>
      <c r="N1376" s="420" t="s">
        <v>821</v>
      </c>
      <c r="O1376" s="420" t="s">
        <v>1532</v>
      </c>
      <c r="P1376" s="420"/>
      <c r="Q1376" s="420">
        <v>4150</v>
      </c>
      <c r="R1376" s="428">
        <f t="shared" si="52"/>
        <v>-4150</v>
      </c>
      <c r="S1376" s="428" t="str">
        <f>VLOOKUP(H1376,'Fund Utilization Report'!$A$4:$U$1800,13,FALSE)</f>
        <v>MOOE</v>
      </c>
      <c r="T1376" s="428" t="str">
        <f>VLOOKUP(H1376,'Fund Utilization Report'!$A$4:$U$1800,2,FALSE)</f>
        <v>GAA</v>
      </c>
      <c r="U1376" s="428" t="str">
        <f>VLOOKUP(H1376,'Fund Utilization Report'!$A$4:$U$1800,3,FALSE)</f>
        <v>FY2021, RA11518</v>
      </c>
      <c r="V1376" s="428" t="str">
        <f>VLOOKUP(H1376,'Fund Utilization Report'!$A$4:$U$1800,4,FALSE)</f>
        <v>OO3</v>
      </c>
      <c r="W1376" s="428" t="str">
        <f>VLOOKUP(H1376,'Fund Utilization Report'!$A$4:$U$1800,5,FALSE)</f>
        <v>01101101</v>
      </c>
      <c r="X1376" s="428" t="str">
        <f>VLOOKUP(H1376,'Fund Utilization Report'!$A$4:$U$1800,6,FALSE)</f>
        <v>GOP</v>
      </c>
      <c r="Y1376" s="320" t="str">
        <f>VLOOKUP(H1376,'Fund Utilization Report'!$A$4:$U$1800,7,FALSE)</f>
        <v>MOOE</v>
      </c>
      <c r="Z1376" s="425">
        <f>VLOOKUP(H1376,'Fund Utilization Report'!$A$4:$U$1800,8,FALSE)</f>
        <v>5020000000</v>
      </c>
      <c r="AA1376" s="428" t="str">
        <f>VLOOKUP(H1376,'Fund Utilization Report'!$A$4:$U$1800,14,FALSE)</f>
        <v>330100100002000</v>
      </c>
      <c r="AB1376" s="349" t="str">
        <f>VLOOKUP(H1376,'Fund Utilization Report'!$A$4:$U$1800,15,FALSE)</f>
        <v>Implementation of the MSME Development Plan and other initiatives to promote the growth of Micro, Small and Medium Enterprises</v>
      </c>
      <c r="AC1376" s="39"/>
      <c r="AD1376" s="34"/>
      <c r="AE1376" s="39"/>
      <c r="AF1376" s="51"/>
      <c r="AG1376" s="40"/>
      <c r="AH1376" s="40"/>
    </row>
    <row r="1377" spans="1:34" s="32" customFormat="1">
      <c r="A1377" s="434" t="s">
        <v>942</v>
      </c>
      <c r="B1377" s="457" t="s">
        <v>946</v>
      </c>
      <c r="C1377" s="233">
        <v>44279</v>
      </c>
      <c r="D1377" s="435" t="s">
        <v>1267</v>
      </c>
      <c r="E1377" s="436" t="s">
        <v>1529</v>
      </c>
      <c r="F1377" s="338">
        <v>0.46875</v>
      </c>
      <c r="G1377" s="338">
        <v>0.47222222222222227</v>
      </c>
      <c r="H1377" s="338" t="s">
        <v>968</v>
      </c>
      <c r="I1377" s="353">
        <v>823</v>
      </c>
      <c r="J1377" s="338" t="str">
        <f>IFERROR(VLOOKUP(I1377,'Chart of accounts'!A:H,2,FALSE),"")</f>
        <v>50213050 03</v>
      </c>
      <c r="K1377" s="338" t="str">
        <f>IFERROR(VLOOKUP(I1377,'Chart of accounts'!A:H,3,FALSE),"")</f>
        <v>ICT Equipment</v>
      </c>
      <c r="L1377" s="338" t="str">
        <f>IFERROR(VLOOKUP(I1377,'Chart of accounts'!A:H,4,FALSE),"")</f>
        <v>50213050 03 - ICT Equipment (823)</v>
      </c>
      <c r="M1377" s="361">
        <v>68</v>
      </c>
      <c r="N1377" s="420" t="s">
        <v>821</v>
      </c>
      <c r="O1377" s="420" t="s">
        <v>1532</v>
      </c>
      <c r="P1377" s="420"/>
      <c r="Q1377" s="420">
        <v>4150</v>
      </c>
      <c r="R1377" s="428">
        <f t="shared" si="52"/>
        <v>-4150</v>
      </c>
      <c r="S1377" s="428" t="str">
        <f>VLOOKUP(H1377,'Fund Utilization Report'!$A$4:$U$1800,13,FALSE)</f>
        <v>MOOE</v>
      </c>
      <c r="T1377" s="428" t="str">
        <f>VLOOKUP(H1377,'Fund Utilization Report'!$A$4:$U$1800,2,FALSE)</f>
        <v>GAA</v>
      </c>
      <c r="U1377" s="428" t="str">
        <f>VLOOKUP(H1377,'Fund Utilization Report'!$A$4:$U$1800,3,FALSE)</f>
        <v>FY2021, RA11518</v>
      </c>
      <c r="V1377" s="428" t="str">
        <f>VLOOKUP(H1377,'Fund Utilization Report'!$A$4:$U$1800,4,FALSE)</f>
        <v>OO2</v>
      </c>
      <c r="W1377" s="428" t="str">
        <f>VLOOKUP(H1377,'Fund Utilization Report'!$A$4:$U$1800,5,FALSE)</f>
        <v>01101101</v>
      </c>
      <c r="X1377" s="428" t="str">
        <f>VLOOKUP(H1377,'Fund Utilization Report'!$A$4:$U$1800,6,FALSE)</f>
        <v>GOP</v>
      </c>
      <c r="Y1377" s="320" t="str">
        <f>VLOOKUP(H1377,'Fund Utilization Report'!$A$4:$U$1800,7,FALSE)</f>
        <v>MOOE</v>
      </c>
      <c r="Z1377" s="425">
        <f>VLOOKUP(H1377,'Fund Utilization Report'!$A$4:$U$1800,8,FALSE)</f>
        <v>5020000000</v>
      </c>
      <c r="AA1377" s="428" t="str">
        <f>VLOOKUP(H1377,'Fund Utilization Report'!$A$4:$U$1800,14,FALSE)</f>
        <v>320100100001000</v>
      </c>
      <c r="AB1377" s="349" t="str">
        <f>VLOOKUP(H1377,'Fund Utilization Report'!$A$4:$U$1800,15,FALSE)</f>
        <v>Formulation of Strategic plans,programs, and policies to develop competitve industries</v>
      </c>
      <c r="AC1377" s="39"/>
      <c r="AD1377" s="34"/>
      <c r="AE1377" s="39"/>
      <c r="AF1377" s="51"/>
      <c r="AG1377" s="40"/>
      <c r="AH1377" s="40"/>
    </row>
    <row r="1378" spans="1:34" s="32" customFormat="1">
      <c r="A1378" s="434" t="s">
        <v>942</v>
      </c>
      <c r="B1378" s="457" t="s">
        <v>946</v>
      </c>
      <c r="C1378" s="233">
        <v>44279</v>
      </c>
      <c r="D1378" s="435" t="s">
        <v>1267</v>
      </c>
      <c r="E1378" s="436" t="s">
        <v>1529</v>
      </c>
      <c r="F1378" s="338">
        <v>0.46875</v>
      </c>
      <c r="G1378" s="338">
        <v>0.47222222222222227</v>
      </c>
      <c r="H1378" s="338" t="s">
        <v>968</v>
      </c>
      <c r="I1378" s="353">
        <v>822</v>
      </c>
      <c r="J1378" s="338" t="str">
        <f>IFERROR(VLOOKUP(I1378,'Chart of accounts'!A:H,2,FALSE),"")</f>
        <v>50213070 00</v>
      </c>
      <c r="K1378" s="338" t="str">
        <f>IFERROR(VLOOKUP(I1378,'Chart of accounts'!A:H,3,FALSE),"")</f>
        <v>Furniture and Fixture</v>
      </c>
      <c r="L1378" s="338" t="str">
        <f>IFERROR(VLOOKUP(I1378,'Chart of accounts'!A:H,4,FALSE),"")</f>
        <v>50213070 00 - Furniture and Fixture (822)</v>
      </c>
      <c r="M1378" s="361">
        <v>68</v>
      </c>
      <c r="N1378" s="420" t="s">
        <v>821</v>
      </c>
      <c r="O1378" s="420" t="s">
        <v>1532</v>
      </c>
      <c r="P1378" s="420"/>
      <c r="Q1378" s="420">
        <v>2075</v>
      </c>
      <c r="R1378" s="428">
        <f t="shared" si="52"/>
        <v>-2075</v>
      </c>
      <c r="S1378" s="428" t="str">
        <f>VLOOKUP(H1378,'Fund Utilization Report'!$A$4:$U$1800,13,FALSE)</f>
        <v>MOOE</v>
      </c>
      <c r="T1378" s="428" t="str">
        <f>VLOOKUP(H1378,'Fund Utilization Report'!$A$4:$U$1800,2,FALSE)</f>
        <v>GAA</v>
      </c>
      <c r="U1378" s="428" t="str">
        <f>VLOOKUP(H1378,'Fund Utilization Report'!$A$4:$U$1800,3,FALSE)</f>
        <v>FY2021, RA11518</v>
      </c>
      <c r="V1378" s="428" t="str">
        <f>VLOOKUP(H1378,'Fund Utilization Report'!$A$4:$U$1800,4,FALSE)</f>
        <v>OO2</v>
      </c>
      <c r="W1378" s="428" t="str">
        <f>VLOOKUP(H1378,'Fund Utilization Report'!$A$4:$U$1800,5,FALSE)</f>
        <v>01101101</v>
      </c>
      <c r="X1378" s="428" t="str">
        <f>VLOOKUP(H1378,'Fund Utilization Report'!$A$4:$U$1800,6,FALSE)</f>
        <v>GOP</v>
      </c>
      <c r="Y1378" s="320" t="str">
        <f>VLOOKUP(H1378,'Fund Utilization Report'!$A$4:$U$1800,7,FALSE)</f>
        <v>MOOE</v>
      </c>
      <c r="Z1378" s="425">
        <f>VLOOKUP(H1378,'Fund Utilization Report'!$A$4:$U$1800,8,FALSE)</f>
        <v>5020000000</v>
      </c>
      <c r="AA1378" s="428" t="str">
        <f>VLOOKUP(H1378,'Fund Utilization Report'!$A$4:$U$1800,14,FALSE)</f>
        <v>320100100001000</v>
      </c>
      <c r="AB1378" s="349" t="str">
        <f>VLOOKUP(H1378,'Fund Utilization Report'!$A$4:$U$1800,15,FALSE)</f>
        <v>Formulation of Strategic plans,programs, and policies to develop competitve industries</v>
      </c>
      <c r="AC1378" s="39"/>
      <c r="AD1378" s="34"/>
      <c r="AE1378" s="39"/>
      <c r="AF1378" s="51"/>
      <c r="AG1378" s="40"/>
      <c r="AH1378" s="40"/>
    </row>
    <row r="1379" spans="1:34" s="32" customFormat="1">
      <c r="A1379" s="434" t="s">
        <v>942</v>
      </c>
      <c r="B1379" s="457" t="s">
        <v>946</v>
      </c>
      <c r="C1379" s="233">
        <v>44279</v>
      </c>
      <c r="D1379" s="435" t="s">
        <v>1267</v>
      </c>
      <c r="E1379" s="436" t="s">
        <v>1529</v>
      </c>
      <c r="F1379" s="338">
        <v>0.46875</v>
      </c>
      <c r="G1379" s="338">
        <v>0.47222222222222227</v>
      </c>
      <c r="H1379" s="338" t="s">
        <v>961</v>
      </c>
      <c r="I1379" s="353">
        <v>841</v>
      </c>
      <c r="J1379" s="338" t="str">
        <f>IFERROR(VLOOKUP(I1379,'Chart of accounts'!A:H,2,FALSE),"")</f>
        <v>50213060 01</v>
      </c>
      <c r="K1379" s="338" t="str">
        <f>IFERROR(VLOOKUP(I1379,'Chart of accounts'!A:H,3,FALSE),"")</f>
        <v>Motor Vehicles</v>
      </c>
      <c r="L1379" s="338" t="str">
        <f>IFERROR(VLOOKUP(I1379,'Chart of accounts'!A:H,4,FALSE),"")</f>
        <v>50213060 01 - Motor Vehicles (841)</v>
      </c>
      <c r="M1379" s="361">
        <v>68</v>
      </c>
      <c r="N1379" s="420" t="s">
        <v>821</v>
      </c>
      <c r="O1379" s="420" t="s">
        <v>1532</v>
      </c>
      <c r="P1379" s="420"/>
      <c r="Q1379" s="420">
        <v>20750</v>
      </c>
      <c r="R1379" s="428">
        <f t="shared" si="52"/>
        <v>-20750</v>
      </c>
      <c r="S1379" s="428" t="str">
        <f>VLOOKUP(H1379,'Fund Utilization Report'!$A$4:$U$1800,13,FALSE)</f>
        <v>MOOE</v>
      </c>
      <c r="T1379" s="428" t="str">
        <f>VLOOKUP(H1379,'Fund Utilization Report'!$A$4:$U$1800,2,FALSE)</f>
        <v>GAA</v>
      </c>
      <c r="U1379" s="428" t="str">
        <f>VLOOKUP(H1379,'Fund Utilization Report'!$A$4:$U$1800,3,FALSE)</f>
        <v>FY2021, RA11518</v>
      </c>
      <c r="V1379" s="428" t="str">
        <f>VLOOKUP(H1379,'Fund Utilization Report'!$A$4:$U$1800,4,FALSE)</f>
        <v>GAS(GMS)</v>
      </c>
      <c r="W1379" s="428" t="str">
        <f>VLOOKUP(H1379,'Fund Utilization Report'!$A$4:$U$1800,5,FALSE)</f>
        <v>01101101</v>
      </c>
      <c r="X1379" s="428" t="str">
        <f>VLOOKUP(H1379,'Fund Utilization Report'!$A$4:$U$1800,6,FALSE)</f>
        <v>GOP</v>
      </c>
      <c r="Y1379" s="320" t="str">
        <f>VLOOKUP(H1379,'Fund Utilization Report'!$A$4:$U$1800,7,FALSE)</f>
        <v>MOOE</v>
      </c>
      <c r="Z1379" s="425">
        <f>VLOOKUP(H1379,'Fund Utilization Report'!$A$4:$U$1800,8,FALSE)</f>
        <v>5020000000</v>
      </c>
      <c r="AA1379" s="428" t="str">
        <f>VLOOKUP(H1379,'Fund Utilization Report'!$A$4:$U$1800,14,FALSE)</f>
        <v>100000100001000</v>
      </c>
      <c r="AB1379" s="349" t="str">
        <f>VLOOKUP(H1379,'Fund Utilization Report'!$A$4:$U$1800,15,FALSE)</f>
        <v>General Administration and Supervision - General Management and Supervision</v>
      </c>
      <c r="AC1379" s="39"/>
      <c r="AD1379" s="34"/>
      <c r="AE1379" s="39"/>
      <c r="AF1379" s="51"/>
      <c r="AG1379" s="40"/>
      <c r="AH1379" s="40"/>
    </row>
    <row r="1380" spans="1:34" s="32" customFormat="1">
      <c r="A1380" s="434" t="s">
        <v>942</v>
      </c>
      <c r="B1380" s="457" t="s">
        <v>946</v>
      </c>
      <c r="C1380" s="233">
        <v>44279</v>
      </c>
      <c r="D1380" s="435" t="s">
        <v>1267</v>
      </c>
      <c r="E1380" s="436" t="s">
        <v>1529</v>
      </c>
      <c r="F1380" s="338">
        <v>0.46875</v>
      </c>
      <c r="G1380" s="338">
        <v>0.47222222222222227</v>
      </c>
      <c r="H1380" s="338" t="s">
        <v>961</v>
      </c>
      <c r="I1380" s="353">
        <v>891</v>
      </c>
      <c r="J1380" s="338" t="str">
        <f>IFERROR(VLOOKUP(I1380,'Chart of accounts'!A:H,2,FALSE),"")</f>
        <v>50215010 01</v>
      </c>
      <c r="K1380" s="338" t="str">
        <f>IFERROR(VLOOKUP(I1380,'Chart of accounts'!A:H,3,FALSE),"")</f>
        <v>Taxes, Duties and Licenses</v>
      </c>
      <c r="L1380" s="338" t="str">
        <f>IFERROR(VLOOKUP(I1380,'Chart of accounts'!A:H,4,FALSE),"")</f>
        <v>50215010 01 - Taxes, Duties and Licenses (891)</v>
      </c>
      <c r="M1380" s="361">
        <v>68</v>
      </c>
      <c r="N1380" s="420" t="s">
        <v>821</v>
      </c>
      <c r="O1380" s="420" t="s">
        <v>1532</v>
      </c>
      <c r="P1380" s="420"/>
      <c r="Q1380" s="420">
        <v>1556.25</v>
      </c>
      <c r="R1380" s="428">
        <f t="shared" si="52"/>
        <v>-1556.25</v>
      </c>
      <c r="S1380" s="428" t="str">
        <f>VLOOKUP(H1380,'Fund Utilization Report'!$A$4:$U$1800,13,FALSE)</f>
        <v>MOOE</v>
      </c>
      <c r="T1380" s="428" t="str">
        <f>VLOOKUP(H1380,'Fund Utilization Report'!$A$4:$U$1800,2,FALSE)</f>
        <v>GAA</v>
      </c>
      <c r="U1380" s="428" t="str">
        <f>VLOOKUP(H1380,'Fund Utilization Report'!$A$4:$U$1800,3,FALSE)</f>
        <v>FY2021, RA11518</v>
      </c>
      <c r="V1380" s="428" t="str">
        <f>VLOOKUP(H1380,'Fund Utilization Report'!$A$4:$U$1800,4,FALSE)</f>
        <v>GAS(GMS)</v>
      </c>
      <c r="W1380" s="428" t="str">
        <f>VLOOKUP(H1380,'Fund Utilization Report'!$A$4:$U$1800,5,FALSE)</f>
        <v>01101101</v>
      </c>
      <c r="X1380" s="428" t="str">
        <f>VLOOKUP(H1380,'Fund Utilization Report'!$A$4:$U$1800,6,FALSE)</f>
        <v>GOP</v>
      </c>
      <c r="Y1380" s="320" t="str">
        <f>VLOOKUP(H1380,'Fund Utilization Report'!$A$4:$U$1800,7,FALSE)</f>
        <v>MOOE</v>
      </c>
      <c r="Z1380" s="425">
        <f>VLOOKUP(H1380,'Fund Utilization Report'!$A$4:$U$1800,8,FALSE)</f>
        <v>5020000000</v>
      </c>
      <c r="AA1380" s="428" t="str">
        <f>VLOOKUP(H1380,'Fund Utilization Report'!$A$4:$U$1800,14,FALSE)</f>
        <v>100000100001000</v>
      </c>
      <c r="AB1380" s="349" t="str">
        <f>VLOOKUP(H1380,'Fund Utilization Report'!$A$4:$U$1800,15,FALSE)</f>
        <v>General Administration and Supervision - General Management and Supervision</v>
      </c>
      <c r="AC1380" s="39"/>
      <c r="AD1380" s="34"/>
      <c r="AE1380" s="39"/>
      <c r="AF1380" s="51"/>
      <c r="AG1380" s="40"/>
      <c r="AH1380" s="40"/>
    </row>
    <row r="1381" spans="1:34" s="32" customFormat="1">
      <c r="A1381" s="434" t="s">
        <v>942</v>
      </c>
      <c r="B1381" s="457" t="s">
        <v>946</v>
      </c>
      <c r="C1381" s="233">
        <v>44279</v>
      </c>
      <c r="D1381" s="435" t="s">
        <v>1267</v>
      </c>
      <c r="E1381" s="436" t="s">
        <v>1529</v>
      </c>
      <c r="F1381" s="338">
        <v>0.46875</v>
      </c>
      <c r="G1381" s="338">
        <v>0.47222222222222227</v>
      </c>
      <c r="H1381" s="338" t="s">
        <v>961</v>
      </c>
      <c r="I1381" s="353">
        <v>892</v>
      </c>
      <c r="J1381" s="338" t="str">
        <f>IFERROR(VLOOKUP(I1381,'Chart of accounts'!A:H,2,FALSE),"")</f>
        <v>50215020 00</v>
      </c>
      <c r="K1381" s="338" t="str">
        <f>IFERROR(VLOOKUP(I1381,'Chart of accounts'!A:H,3,FALSE),"")</f>
        <v>Fidelity Bond Premiums</v>
      </c>
      <c r="L1381" s="338" t="str">
        <f>IFERROR(VLOOKUP(I1381,'Chart of accounts'!A:H,4,FALSE),"")</f>
        <v>50215020 00 - Fidelity Bond Premiums (892)</v>
      </c>
      <c r="M1381" s="361">
        <v>68</v>
      </c>
      <c r="N1381" s="420" t="s">
        <v>821</v>
      </c>
      <c r="O1381" s="420" t="s">
        <v>1532</v>
      </c>
      <c r="P1381" s="420"/>
      <c r="Q1381" s="420">
        <v>2085.38</v>
      </c>
      <c r="R1381" s="428">
        <f t="shared" si="52"/>
        <v>-2085.38</v>
      </c>
      <c r="S1381" s="428" t="str">
        <f>VLOOKUP(H1381,'Fund Utilization Report'!$A$4:$U$1800,13,FALSE)</f>
        <v>MOOE</v>
      </c>
      <c r="T1381" s="428" t="str">
        <f>VLOOKUP(H1381,'Fund Utilization Report'!$A$4:$U$1800,2,FALSE)</f>
        <v>GAA</v>
      </c>
      <c r="U1381" s="428" t="str">
        <f>VLOOKUP(H1381,'Fund Utilization Report'!$A$4:$U$1800,3,FALSE)</f>
        <v>FY2021, RA11518</v>
      </c>
      <c r="V1381" s="428" t="str">
        <f>VLOOKUP(H1381,'Fund Utilization Report'!$A$4:$U$1800,4,FALSE)</f>
        <v>GAS(GMS)</v>
      </c>
      <c r="W1381" s="428" t="str">
        <f>VLOOKUP(H1381,'Fund Utilization Report'!$A$4:$U$1800,5,FALSE)</f>
        <v>01101101</v>
      </c>
      <c r="X1381" s="428" t="str">
        <f>VLOOKUP(H1381,'Fund Utilization Report'!$A$4:$U$1800,6,FALSE)</f>
        <v>GOP</v>
      </c>
      <c r="Y1381" s="320" t="str">
        <f>VLOOKUP(H1381,'Fund Utilization Report'!$A$4:$U$1800,7,FALSE)</f>
        <v>MOOE</v>
      </c>
      <c r="Z1381" s="425">
        <f>VLOOKUP(H1381,'Fund Utilization Report'!$A$4:$U$1800,8,FALSE)</f>
        <v>5020000000</v>
      </c>
      <c r="AA1381" s="428" t="str">
        <f>VLOOKUP(H1381,'Fund Utilization Report'!$A$4:$U$1800,14,FALSE)</f>
        <v>100000100001000</v>
      </c>
      <c r="AB1381" s="349" t="str">
        <f>VLOOKUP(H1381,'Fund Utilization Report'!$A$4:$U$1800,15,FALSE)</f>
        <v>General Administration and Supervision - General Management and Supervision</v>
      </c>
      <c r="AC1381" s="39"/>
      <c r="AD1381" s="34"/>
      <c r="AE1381" s="39"/>
      <c r="AF1381" s="51"/>
      <c r="AG1381" s="40"/>
      <c r="AH1381" s="40"/>
    </row>
    <row r="1382" spans="1:34" s="32" customFormat="1">
      <c r="A1382" s="434" t="s">
        <v>942</v>
      </c>
      <c r="B1382" s="457" t="s">
        <v>946</v>
      </c>
      <c r="C1382" s="233">
        <v>44279</v>
      </c>
      <c r="D1382" s="435" t="s">
        <v>1267</v>
      </c>
      <c r="E1382" s="436" t="s">
        <v>1529</v>
      </c>
      <c r="F1382" s="338">
        <v>0.46875</v>
      </c>
      <c r="G1382" s="338">
        <v>0.47222222222222227</v>
      </c>
      <c r="H1382" s="338" t="s">
        <v>961</v>
      </c>
      <c r="I1382" s="353">
        <v>893</v>
      </c>
      <c r="J1382" s="338" t="str">
        <f>IFERROR(VLOOKUP(I1382,'Chart of accounts'!A:H,2,FALSE),"")</f>
        <v>50215030 00</v>
      </c>
      <c r="K1382" s="338" t="str">
        <f>IFERROR(VLOOKUP(I1382,'Chart of accounts'!A:H,3,FALSE),"")</f>
        <v>Insurance Expense</v>
      </c>
      <c r="L1382" s="338" t="str">
        <f>IFERROR(VLOOKUP(I1382,'Chart of accounts'!A:H,4,FALSE),"")</f>
        <v>50215030 00 - Insurance Expense (893)</v>
      </c>
      <c r="M1382" s="361">
        <v>68</v>
      </c>
      <c r="N1382" s="420" t="s">
        <v>821</v>
      </c>
      <c r="O1382" s="420" t="s">
        <v>1532</v>
      </c>
      <c r="P1382" s="420"/>
      <c r="Q1382" s="420">
        <v>4565</v>
      </c>
      <c r="R1382" s="428">
        <f t="shared" si="52"/>
        <v>-4565</v>
      </c>
      <c r="S1382" s="428" t="str">
        <f>VLOOKUP(H1382,'Fund Utilization Report'!$A$4:$U$1800,13,FALSE)</f>
        <v>MOOE</v>
      </c>
      <c r="T1382" s="428" t="str">
        <f>VLOOKUP(H1382,'Fund Utilization Report'!$A$4:$U$1800,2,FALSE)</f>
        <v>GAA</v>
      </c>
      <c r="U1382" s="428" t="str">
        <f>VLOOKUP(H1382,'Fund Utilization Report'!$A$4:$U$1800,3,FALSE)</f>
        <v>FY2021, RA11518</v>
      </c>
      <c r="V1382" s="428" t="str">
        <f>VLOOKUP(H1382,'Fund Utilization Report'!$A$4:$U$1800,4,FALSE)</f>
        <v>GAS(GMS)</v>
      </c>
      <c r="W1382" s="428" t="str">
        <f>VLOOKUP(H1382,'Fund Utilization Report'!$A$4:$U$1800,5,FALSE)</f>
        <v>01101101</v>
      </c>
      <c r="X1382" s="428" t="str">
        <f>VLOOKUP(H1382,'Fund Utilization Report'!$A$4:$U$1800,6,FALSE)</f>
        <v>GOP</v>
      </c>
      <c r="Y1382" s="320" t="str">
        <f>VLOOKUP(H1382,'Fund Utilization Report'!$A$4:$U$1800,7,FALSE)</f>
        <v>MOOE</v>
      </c>
      <c r="Z1382" s="425">
        <f>VLOOKUP(H1382,'Fund Utilization Report'!$A$4:$U$1800,8,FALSE)</f>
        <v>5020000000</v>
      </c>
      <c r="AA1382" s="428" t="str">
        <f>VLOOKUP(H1382,'Fund Utilization Report'!$A$4:$U$1800,14,FALSE)</f>
        <v>100000100001000</v>
      </c>
      <c r="AB1382" s="349" t="str">
        <f>VLOOKUP(H1382,'Fund Utilization Report'!$A$4:$U$1800,15,FALSE)</f>
        <v>General Administration and Supervision - General Management and Supervision</v>
      </c>
      <c r="AC1382" s="39"/>
      <c r="AD1382" s="34"/>
      <c r="AE1382" s="39"/>
      <c r="AF1382" s="51"/>
      <c r="AG1382" s="40"/>
      <c r="AH1382" s="40"/>
    </row>
    <row r="1383" spans="1:34" s="32" customFormat="1">
      <c r="A1383" s="434" t="s">
        <v>942</v>
      </c>
      <c r="B1383" s="457" t="s">
        <v>946</v>
      </c>
      <c r="C1383" s="233">
        <v>44279</v>
      </c>
      <c r="D1383" s="435" t="s">
        <v>1267</v>
      </c>
      <c r="E1383" s="436" t="s">
        <v>1529</v>
      </c>
      <c r="F1383" s="338">
        <v>0.46875</v>
      </c>
      <c r="G1383" s="338">
        <v>0.47222222222222227</v>
      </c>
      <c r="H1383" s="338" t="s">
        <v>961</v>
      </c>
      <c r="I1383" s="353">
        <v>782</v>
      </c>
      <c r="J1383" s="338" t="str">
        <f>IFERROR(VLOOKUP(I1383,'Chart of accounts'!A:H,2,FALSE),"")</f>
        <v>50299050 01</v>
      </c>
      <c r="K1383" s="338" t="str">
        <f>IFERROR(VLOOKUP(I1383,'Chart of accounts'!A:H,3,FALSE),"")</f>
        <v>Rent - Buildings and Structures</v>
      </c>
      <c r="L1383" s="338" t="str">
        <f>IFERROR(VLOOKUP(I1383,'Chart of accounts'!A:H,4,FALSE),"")</f>
        <v>50299050 01 - Rent - Buildings and Structures (782)</v>
      </c>
      <c r="M1383" s="361">
        <v>68</v>
      </c>
      <c r="N1383" s="420" t="s">
        <v>821</v>
      </c>
      <c r="O1383" s="420" t="s">
        <v>1532</v>
      </c>
      <c r="P1383" s="420"/>
      <c r="Q1383" s="420">
        <v>128235</v>
      </c>
      <c r="R1383" s="428">
        <f t="shared" si="52"/>
        <v>-128235</v>
      </c>
      <c r="S1383" s="428" t="str">
        <f>VLOOKUP(H1383,'Fund Utilization Report'!$A$4:$U$1800,13,FALSE)</f>
        <v>MOOE</v>
      </c>
      <c r="T1383" s="428" t="str">
        <f>VLOOKUP(H1383,'Fund Utilization Report'!$A$4:$U$1800,2,FALSE)</f>
        <v>GAA</v>
      </c>
      <c r="U1383" s="428" t="str">
        <f>VLOOKUP(H1383,'Fund Utilization Report'!$A$4:$U$1800,3,FALSE)</f>
        <v>FY2021, RA11518</v>
      </c>
      <c r="V1383" s="428" t="str">
        <f>VLOOKUP(H1383,'Fund Utilization Report'!$A$4:$U$1800,4,FALSE)</f>
        <v>GAS(GMS)</v>
      </c>
      <c r="W1383" s="428" t="str">
        <f>VLOOKUP(H1383,'Fund Utilization Report'!$A$4:$U$1800,5,FALSE)</f>
        <v>01101101</v>
      </c>
      <c r="X1383" s="428" t="str">
        <f>VLOOKUP(H1383,'Fund Utilization Report'!$A$4:$U$1800,6,FALSE)</f>
        <v>GOP</v>
      </c>
      <c r="Y1383" s="320" t="str">
        <f>VLOOKUP(H1383,'Fund Utilization Report'!$A$4:$U$1800,7,FALSE)</f>
        <v>MOOE</v>
      </c>
      <c r="Z1383" s="425">
        <f>VLOOKUP(H1383,'Fund Utilization Report'!$A$4:$U$1800,8,FALSE)</f>
        <v>5020000000</v>
      </c>
      <c r="AA1383" s="428" t="str">
        <f>VLOOKUP(H1383,'Fund Utilization Report'!$A$4:$U$1800,14,FALSE)</f>
        <v>100000100001000</v>
      </c>
      <c r="AB1383" s="349" t="str">
        <f>VLOOKUP(H1383,'Fund Utilization Report'!$A$4:$U$1800,15,FALSE)</f>
        <v>General Administration and Supervision - General Management and Supervision</v>
      </c>
      <c r="AC1383" s="39"/>
      <c r="AD1383" s="34"/>
      <c r="AE1383" s="39"/>
      <c r="AF1383" s="51"/>
      <c r="AG1383" s="40"/>
      <c r="AH1383" s="40"/>
    </row>
    <row r="1384" spans="1:34" s="32" customFormat="1">
      <c r="A1384" s="434" t="s">
        <v>942</v>
      </c>
      <c r="B1384" s="457" t="s">
        <v>946</v>
      </c>
      <c r="C1384" s="233">
        <v>44279</v>
      </c>
      <c r="D1384" s="435" t="s">
        <v>1267</v>
      </c>
      <c r="E1384" s="436" t="s">
        <v>1529</v>
      </c>
      <c r="F1384" s="338">
        <v>0.46875</v>
      </c>
      <c r="G1384" s="338">
        <v>0.47222222222222227</v>
      </c>
      <c r="H1384" s="338" t="s">
        <v>961</v>
      </c>
      <c r="I1384" s="353">
        <v>751</v>
      </c>
      <c r="J1384" s="338" t="str">
        <f>IFERROR(VLOOKUP(I1384,'Chart of accounts'!A:H,2,FALSE),"")</f>
        <v>50201010 00</v>
      </c>
      <c r="K1384" s="338" t="str">
        <f>IFERROR(VLOOKUP(I1384,'Chart of accounts'!A:H,3,FALSE),"")</f>
        <v>Traveling Expenses - Local</v>
      </c>
      <c r="L1384" s="338" t="str">
        <f>IFERROR(VLOOKUP(I1384,'Chart of accounts'!A:H,4,FALSE),"")</f>
        <v>50201010 00 - Traveling Expenses - Local (751)</v>
      </c>
      <c r="M1384" s="361">
        <v>68</v>
      </c>
      <c r="N1384" s="420" t="s">
        <v>821</v>
      </c>
      <c r="O1384" s="420" t="s">
        <v>1532</v>
      </c>
      <c r="P1384" s="420"/>
      <c r="Q1384" s="420">
        <v>2075</v>
      </c>
      <c r="R1384" s="428">
        <f t="shared" si="52"/>
        <v>-2075</v>
      </c>
      <c r="S1384" s="428" t="str">
        <f>VLOOKUP(H1384,'Fund Utilization Report'!$A$4:$U$1800,13,FALSE)</f>
        <v>MOOE</v>
      </c>
      <c r="T1384" s="428" t="str">
        <f>VLOOKUP(H1384,'Fund Utilization Report'!$A$4:$U$1800,2,FALSE)</f>
        <v>GAA</v>
      </c>
      <c r="U1384" s="428" t="str">
        <f>VLOOKUP(H1384,'Fund Utilization Report'!$A$4:$U$1800,3,FALSE)</f>
        <v>FY2021, RA11518</v>
      </c>
      <c r="V1384" s="428" t="str">
        <f>VLOOKUP(H1384,'Fund Utilization Report'!$A$4:$U$1800,4,FALSE)</f>
        <v>GAS(GMS)</v>
      </c>
      <c r="W1384" s="428" t="str">
        <f>VLOOKUP(H1384,'Fund Utilization Report'!$A$4:$U$1800,5,FALSE)</f>
        <v>01101101</v>
      </c>
      <c r="X1384" s="428" t="str">
        <f>VLOOKUP(H1384,'Fund Utilization Report'!$A$4:$U$1800,6,FALSE)</f>
        <v>GOP</v>
      </c>
      <c r="Y1384" s="320" t="str">
        <f>VLOOKUP(H1384,'Fund Utilization Report'!$A$4:$U$1800,7,FALSE)</f>
        <v>MOOE</v>
      </c>
      <c r="Z1384" s="425">
        <f>VLOOKUP(H1384,'Fund Utilization Report'!$A$4:$U$1800,8,FALSE)</f>
        <v>5020000000</v>
      </c>
      <c r="AA1384" s="428" t="str">
        <f>VLOOKUP(H1384,'Fund Utilization Report'!$A$4:$U$1800,14,FALSE)</f>
        <v>100000100001000</v>
      </c>
      <c r="AB1384" s="349" t="str">
        <f>VLOOKUP(H1384,'Fund Utilization Report'!$A$4:$U$1800,15,FALSE)</f>
        <v>General Administration and Supervision - General Management and Supervision</v>
      </c>
      <c r="AC1384" s="39"/>
      <c r="AD1384" s="34"/>
      <c r="AE1384" s="39"/>
      <c r="AF1384" s="51"/>
      <c r="AG1384" s="40"/>
      <c r="AH1384" s="40"/>
    </row>
    <row r="1385" spans="1:34" s="32" customFormat="1">
      <c r="A1385" s="434" t="s">
        <v>942</v>
      </c>
      <c r="B1385" s="457" t="s">
        <v>946</v>
      </c>
      <c r="C1385" s="233">
        <v>44279</v>
      </c>
      <c r="D1385" s="435" t="s">
        <v>1267</v>
      </c>
      <c r="E1385" s="436" t="s">
        <v>1529</v>
      </c>
      <c r="F1385" s="338">
        <v>0.46875</v>
      </c>
      <c r="G1385" s="338">
        <v>0.47222222222222227</v>
      </c>
      <c r="H1385" s="338" t="s">
        <v>961</v>
      </c>
      <c r="I1385" s="353">
        <v>755</v>
      </c>
      <c r="J1385" s="338" t="str">
        <f>IFERROR(VLOOKUP(I1385,'Chart of accounts'!A:H,2,FALSE),"")</f>
        <v>50203010 00</v>
      </c>
      <c r="K1385" s="338" t="str">
        <f>IFERROR(VLOOKUP(I1385,'Chart of accounts'!A:H,3,FALSE),"")</f>
        <v>Office Supplies Expenses</v>
      </c>
      <c r="L1385" s="338" t="str">
        <f>IFERROR(VLOOKUP(I1385,'Chart of accounts'!A:H,4,FALSE),"")</f>
        <v>50203010 00 - Office Supplies Expenses (755)</v>
      </c>
      <c r="M1385" s="361">
        <v>68</v>
      </c>
      <c r="N1385" s="420" t="s">
        <v>821</v>
      </c>
      <c r="O1385" s="420" t="s">
        <v>1532</v>
      </c>
      <c r="P1385" s="420"/>
      <c r="Q1385" s="420">
        <v>10375</v>
      </c>
      <c r="R1385" s="428">
        <f t="shared" si="52"/>
        <v>-10375</v>
      </c>
      <c r="S1385" s="428" t="str">
        <f>VLOOKUP(H1385,'Fund Utilization Report'!$A$4:$U$1800,13,FALSE)</f>
        <v>MOOE</v>
      </c>
      <c r="T1385" s="428" t="str">
        <f>VLOOKUP(H1385,'Fund Utilization Report'!$A$4:$U$1800,2,FALSE)</f>
        <v>GAA</v>
      </c>
      <c r="U1385" s="428" t="str">
        <f>VLOOKUP(H1385,'Fund Utilization Report'!$A$4:$U$1800,3,FALSE)</f>
        <v>FY2021, RA11518</v>
      </c>
      <c r="V1385" s="428" t="str">
        <f>VLOOKUP(H1385,'Fund Utilization Report'!$A$4:$U$1800,4,FALSE)</f>
        <v>GAS(GMS)</v>
      </c>
      <c r="W1385" s="428" t="str">
        <f>VLOOKUP(H1385,'Fund Utilization Report'!$A$4:$U$1800,5,FALSE)</f>
        <v>01101101</v>
      </c>
      <c r="X1385" s="428" t="str">
        <f>VLOOKUP(H1385,'Fund Utilization Report'!$A$4:$U$1800,6,FALSE)</f>
        <v>GOP</v>
      </c>
      <c r="Y1385" s="320" t="str">
        <f>VLOOKUP(H1385,'Fund Utilization Report'!$A$4:$U$1800,7,FALSE)</f>
        <v>MOOE</v>
      </c>
      <c r="Z1385" s="425">
        <f>VLOOKUP(H1385,'Fund Utilization Report'!$A$4:$U$1800,8,FALSE)</f>
        <v>5020000000</v>
      </c>
      <c r="AA1385" s="428" t="str">
        <f>VLOOKUP(H1385,'Fund Utilization Report'!$A$4:$U$1800,14,FALSE)</f>
        <v>100000100001000</v>
      </c>
      <c r="AB1385" s="349" t="str">
        <f>VLOOKUP(H1385,'Fund Utilization Report'!$A$4:$U$1800,15,FALSE)</f>
        <v>General Administration and Supervision - General Management and Supervision</v>
      </c>
      <c r="AC1385" s="39"/>
      <c r="AD1385" s="34"/>
      <c r="AE1385" s="39"/>
      <c r="AF1385" s="51"/>
      <c r="AG1385" s="40"/>
      <c r="AH1385" s="40"/>
    </row>
    <row r="1386" spans="1:34" s="32" customFormat="1">
      <c r="A1386" s="434" t="s">
        <v>942</v>
      </c>
      <c r="B1386" s="457" t="s">
        <v>946</v>
      </c>
      <c r="C1386" s="233">
        <v>44279</v>
      </c>
      <c r="D1386" s="435" t="s">
        <v>1267</v>
      </c>
      <c r="E1386" s="436" t="s">
        <v>1529</v>
      </c>
      <c r="F1386" s="338">
        <v>0.46875</v>
      </c>
      <c r="G1386" s="338">
        <v>0.47222222222222227</v>
      </c>
      <c r="H1386" s="338" t="s">
        <v>961</v>
      </c>
      <c r="I1386" s="353">
        <v>781</v>
      </c>
      <c r="J1386" s="338" t="str">
        <f>IFERROR(VLOOKUP(I1386,'Chart of accounts'!A:H,2,FALSE),"")</f>
        <v>50299020 00</v>
      </c>
      <c r="K1386" s="338" t="str">
        <f>IFERROR(VLOOKUP(I1386,'Chart of accounts'!A:H,3,FALSE),"")</f>
        <v>Printing and Binding Expenses</v>
      </c>
      <c r="L1386" s="338" t="str">
        <f>IFERROR(VLOOKUP(I1386,'Chart of accounts'!A:H,4,FALSE),"")</f>
        <v>50299020 00 - Printing and Binding Expenses (781)</v>
      </c>
      <c r="M1386" s="361">
        <v>68</v>
      </c>
      <c r="N1386" s="420" t="s">
        <v>821</v>
      </c>
      <c r="O1386" s="420" t="s">
        <v>1532</v>
      </c>
      <c r="P1386" s="420"/>
      <c r="Q1386" s="420">
        <v>1037.5</v>
      </c>
      <c r="R1386" s="428">
        <f t="shared" si="52"/>
        <v>-1037.5</v>
      </c>
      <c r="S1386" s="428" t="str">
        <f>VLOOKUP(H1386,'Fund Utilization Report'!$A$4:$U$1800,13,FALSE)</f>
        <v>MOOE</v>
      </c>
      <c r="T1386" s="428" t="str">
        <f>VLOOKUP(H1386,'Fund Utilization Report'!$A$4:$U$1800,2,FALSE)</f>
        <v>GAA</v>
      </c>
      <c r="U1386" s="428" t="str">
        <f>VLOOKUP(H1386,'Fund Utilization Report'!$A$4:$U$1800,3,FALSE)</f>
        <v>FY2021, RA11518</v>
      </c>
      <c r="V1386" s="428" t="str">
        <f>VLOOKUP(H1386,'Fund Utilization Report'!$A$4:$U$1800,4,FALSE)</f>
        <v>GAS(GMS)</v>
      </c>
      <c r="W1386" s="428" t="str">
        <f>VLOOKUP(H1386,'Fund Utilization Report'!$A$4:$U$1800,5,FALSE)</f>
        <v>01101101</v>
      </c>
      <c r="X1386" s="428" t="str">
        <f>VLOOKUP(H1386,'Fund Utilization Report'!$A$4:$U$1800,6,FALSE)</f>
        <v>GOP</v>
      </c>
      <c r="Y1386" s="320" t="str">
        <f>VLOOKUP(H1386,'Fund Utilization Report'!$A$4:$U$1800,7,FALSE)</f>
        <v>MOOE</v>
      </c>
      <c r="Z1386" s="425">
        <f>VLOOKUP(H1386,'Fund Utilization Report'!$A$4:$U$1800,8,FALSE)</f>
        <v>5020000000</v>
      </c>
      <c r="AA1386" s="428" t="str">
        <f>VLOOKUP(H1386,'Fund Utilization Report'!$A$4:$U$1800,14,FALSE)</f>
        <v>100000100001000</v>
      </c>
      <c r="AB1386" s="349" t="str">
        <f>VLOOKUP(H1386,'Fund Utilization Report'!$A$4:$U$1800,15,FALSE)</f>
        <v>General Administration and Supervision - General Management and Supervision</v>
      </c>
      <c r="AC1386" s="39"/>
      <c r="AD1386" s="34"/>
      <c r="AE1386" s="39"/>
      <c r="AF1386" s="51"/>
      <c r="AG1386" s="40"/>
      <c r="AH1386" s="40"/>
    </row>
    <row r="1387" spans="1:34" s="32" customFormat="1">
      <c r="A1387" s="434" t="s">
        <v>942</v>
      </c>
      <c r="B1387" s="457" t="s">
        <v>946</v>
      </c>
      <c r="C1387" s="233">
        <v>44279</v>
      </c>
      <c r="D1387" s="435" t="s">
        <v>1267</v>
      </c>
      <c r="E1387" s="436" t="s">
        <v>1529</v>
      </c>
      <c r="F1387" s="338">
        <v>0.46875</v>
      </c>
      <c r="G1387" s="338">
        <v>0.47222222222222227</v>
      </c>
      <c r="H1387" s="338" t="s">
        <v>961</v>
      </c>
      <c r="I1387" s="353">
        <v>783</v>
      </c>
      <c r="J1387" s="338" t="str">
        <f>IFERROR(VLOOKUP(I1387,'Chart of accounts'!A:H,2,FALSE),"")</f>
        <v>50299030 00</v>
      </c>
      <c r="K1387" s="338" t="str">
        <f>IFERROR(VLOOKUP(I1387,'Chart of accounts'!A:H,3,FALSE),"")</f>
        <v>Representation Expenses</v>
      </c>
      <c r="L1387" s="338" t="str">
        <f>IFERROR(VLOOKUP(I1387,'Chart of accounts'!A:H,4,FALSE),"")</f>
        <v>50299030 00 - Representation Expenses (783)</v>
      </c>
      <c r="M1387" s="361">
        <v>68</v>
      </c>
      <c r="N1387" s="420" t="s">
        <v>821</v>
      </c>
      <c r="O1387" s="420" t="s">
        <v>1532</v>
      </c>
      <c r="P1387" s="420"/>
      <c r="Q1387" s="420">
        <v>5063</v>
      </c>
      <c r="R1387" s="428">
        <f t="shared" si="52"/>
        <v>-5063</v>
      </c>
      <c r="S1387" s="428" t="str">
        <f>VLOOKUP(H1387,'Fund Utilization Report'!$A$4:$U$1800,13,FALSE)</f>
        <v>MOOE</v>
      </c>
      <c r="T1387" s="428" t="str">
        <f>VLOOKUP(H1387,'Fund Utilization Report'!$A$4:$U$1800,2,FALSE)</f>
        <v>GAA</v>
      </c>
      <c r="U1387" s="428" t="str">
        <f>VLOOKUP(H1387,'Fund Utilization Report'!$A$4:$U$1800,3,FALSE)</f>
        <v>FY2021, RA11518</v>
      </c>
      <c r="V1387" s="428" t="str">
        <f>VLOOKUP(H1387,'Fund Utilization Report'!$A$4:$U$1800,4,FALSE)</f>
        <v>GAS(GMS)</v>
      </c>
      <c r="W1387" s="428" t="str">
        <f>VLOOKUP(H1387,'Fund Utilization Report'!$A$4:$U$1800,5,FALSE)</f>
        <v>01101101</v>
      </c>
      <c r="X1387" s="428" t="str">
        <f>VLOOKUP(H1387,'Fund Utilization Report'!$A$4:$U$1800,6,FALSE)</f>
        <v>GOP</v>
      </c>
      <c r="Y1387" s="320" t="str">
        <f>VLOOKUP(H1387,'Fund Utilization Report'!$A$4:$U$1800,7,FALSE)</f>
        <v>MOOE</v>
      </c>
      <c r="Z1387" s="425">
        <f>VLOOKUP(H1387,'Fund Utilization Report'!$A$4:$U$1800,8,FALSE)</f>
        <v>5020000000</v>
      </c>
      <c r="AA1387" s="428" t="str">
        <f>VLOOKUP(H1387,'Fund Utilization Report'!$A$4:$U$1800,14,FALSE)</f>
        <v>100000100001000</v>
      </c>
      <c r="AB1387" s="349" t="str">
        <f>VLOOKUP(H1387,'Fund Utilization Report'!$A$4:$U$1800,15,FALSE)</f>
        <v>General Administration and Supervision - General Management and Supervision</v>
      </c>
      <c r="AC1387" s="39"/>
      <c r="AD1387" s="34"/>
      <c r="AE1387" s="39"/>
      <c r="AF1387" s="51"/>
      <c r="AG1387" s="40"/>
      <c r="AH1387" s="40"/>
    </row>
    <row r="1388" spans="1:34" s="32" customFormat="1">
      <c r="A1388" s="434" t="s">
        <v>942</v>
      </c>
      <c r="B1388" s="457" t="s">
        <v>946</v>
      </c>
      <c r="C1388" s="233">
        <v>44279</v>
      </c>
      <c r="D1388" s="435" t="s">
        <v>1267</v>
      </c>
      <c r="E1388" s="436" t="s">
        <v>1529</v>
      </c>
      <c r="F1388" s="338">
        <v>0.46875</v>
      </c>
      <c r="G1388" s="338">
        <v>0.47222222222222227</v>
      </c>
      <c r="H1388" s="338" t="s">
        <v>968</v>
      </c>
      <c r="I1388" s="353">
        <v>784</v>
      </c>
      <c r="J1388" s="338" t="str">
        <f>IFERROR(VLOOKUP(I1388,'Chart of accounts'!A:H,2,FALSE),"")</f>
        <v>50299040 00</v>
      </c>
      <c r="K1388" s="338" t="str">
        <f>IFERROR(VLOOKUP(I1388,'Chart of accounts'!A:H,3,FALSE),"")</f>
        <v>Transportation and Delivery Expenses</v>
      </c>
      <c r="L1388" s="338" t="str">
        <f>IFERROR(VLOOKUP(I1388,'Chart of accounts'!A:H,4,FALSE),"")</f>
        <v>50299040 00 - Transportation and Delivery Expenses (784)</v>
      </c>
      <c r="M1388" s="361">
        <v>68</v>
      </c>
      <c r="N1388" s="420" t="s">
        <v>821</v>
      </c>
      <c r="O1388" s="420" t="s">
        <v>1532</v>
      </c>
      <c r="P1388" s="420"/>
      <c r="Q1388" s="420">
        <v>4980</v>
      </c>
      <c r="R1388" s="428">
        <f t="shared" si="52"/>
        <v>-4980</v>
      </c>
      <c r="S1388" s="428" t="str">
        <f>VLOOKUP(H1388,'Fund Utilization Report'!$A$4:$U$1800,13,FALSE)</f>
        <v>MOOE</v>
      </c>
      <c r="T1388" s="428" t="str">
        <f>VLOOKUP(H1388,'Fund Utilization Report'!$A$4:$U$1800,2,FALSE)</f>
        <v>GAA</v>
      </c>
      <c r="U1388" s="428" t="str">
        <f>VLOOKUP(H1388,'Fund Utilization Report'!$A$4:$U$1800,3,FALSE)</f>
        <v>FY2021, RA11518</v>
      </c>
      <c r="V1388" s="428" t="str">
        <f>VLOOKUP(H1388,'Fund Utilization Report'!$A$4:$U$1800,4,FALSE)</f>
        <v>OO2</v>
      </c>
      <c r="W1388" s="428" t="str">
        <f>VLOOKUP(H1388,'Fund Utilization Report'!$A$4:$U$1800,5,FALSE)</f>
        <v>01101101</v>
      </c>
      <c r="X1388" s="428" t="str">
        <f>VLOOKUP(H1388,'Fund Utilization Report'!$A$4:$U$1800,6,FALSE)</f>
        <v>GOP</v>
      </c>
      <c r="Y1388" s="320" t="str">
        <f>VLOOKUP(H1388,'Fund Utilization Report'!$A$4:$U$1800,7,FALSE)</f>
        <v>MOOE</v>
      </c>
      <c r="Z1388" s="425">
        <f>VLOOKUP(H1388,'Fund Utilization Report'!$A$4:$U$1800,8,FALSE)</f>
        <v>5020000000</v>
      </c>
      <c r="AA1388" s="428" t="str">
        <f>VLOOKUP(H1388,'Fund Utilization Report'!$A$4:$U$1800,14,FALSE)</f>
        <v>320100100001000</v>
      </c>
      <c r="AB1388" s="349" t="str">
        <f>VLOOKUP(H1388,'Fund Utilization Report'!$A$4:$U$1800,15,FALSE)</f>
        <v>Formulation of Strategic plans,programs, and policies to develop competitve industries</v>
      </c>
      <c r="AC1388" s="39"/>
      <c r="AD1388" s="34"/>
      <c r="AE1388" s="39"/>
      <c r="AF1388" s="51"/>
      <c r="AG1388" s="40"/>
      <c r="AH1388" s="40"/>
    </row>
    <row r="1389" spans="1:34" s="32" customFormat="1">
      <c r="A1389" s="434" t="s">
        <v>942</v>
      </c>
      <c r="B1389" s="457" t="s">
        <v>946</v>
      </c>
      <c r="C1389" s="233">
        <v>44279</v>
      </c>
      <c r="D1389" s="435" t="s">
        <v>1267</v>
      </c>
      <c r="E1389" s="436" t="s">
        <v>1529</v>
      </c>
      <c r="F1389" s="338">
        <v>0.46875</v>
      </c>
      <c r="G1389" s="338">
        <v>0.47222222222222227</v>
      </c>
      <c r="H1389" s="338" t="s">
        <v>961</v>
      </c>
      <c r="I1389" s="353">
        <v>969</v>
      </c>
      <c r="J1389" s="338" t="str">
        <f>IFERROR(VLOOKUP(I1389,'Chart of accounts'!A:H,2,FALSE),"")</f>
        <v>50299990 99</v>
      </c>
      <c r="K1389" s="338" t="str">
        <f>IFERROR(VLOOKUP(I1389,'Chart of accounts'!A:H,3,FALSE),"")</f>
        <v>Other Maintenance and Operating Expenses</v>
      </c>
      <c r="L1389" s="338" t="str">
        <f>IFERROR(VLOOKUP(I1389,'Chart of accounts'!A:H,4,FALSE),"")</f>
        <v>50299990 99 - Other Maintenance and Operating Expenses (969)</v>
      </c>
      <c r="M1389" s="361">
        <v>68</v>
      </c>
      <c r="N1389" s="420" t="s">
        <v>821</v>
      </c>
      <c r="O1389" s="420" t="s">
        <v>1532</v>
      </c>
      <c r="P1389" s="420"/>
      <c r="Q1389" s="420">
        <v>11952</v>
      </c>
      <c r="R1389" s="428">
        <f t="shared" si="52"/>
        <v>-11952</v>
      </c>
      <c r="S1389" s="428" t="str">
        <f>VLOOKUP(H1389,'Fund Utilization Report'!$A$4:$U$1800,13,FALSE)</f>
        <v>MOOE</v>
      </c>
      <c r="T1389" s="428" t="str">
        <f>VLOOKUP(H1389,'Fund Utilization Report'!$A$4:$U$1800,2,FALSE)</f>
        <v>GAA</v>
      </c>
      <c r="U1389" s="428" t="str">
        <f>VLOOKUP(H1389,'Fund Utilization Report'!$A$4:$U$1800,3,FALSE)</f>
        <v>FY2021, RA11518</v>
      </c>
      <c r="V1389" s="428" t="str">
        <f>VLOOKUP(H1389,'Fund Utilization Report'!$A$4:$U$1800,4,FALSE)</f>
        <v>GAS(GMS)</v>
      </c>
      <c r="W1389" s="428" t="str">
        <f>VLOOKUP(H1389,'Fund Utilization Report'!$A$4:$U$1800,5,FALSE)</f>
        <v>01101101</v>
      </c>
      <c r="X1389" s="428" t="str">
        <f>VLOOKUP(H1389,'Fund Utilization Report'!$A$4:$U$1800,6,FALSE)</f>
        <v>GOP</v>
      </c>
      <c r="Y1389" s="320" t="str">
        <f>VLOOKUP(H1389,'Fund Utilization Report'!$A$4:$U$1800,7,FALSE)</f>
        <v>MOOE</v>
      </c>
      <c r="Z1389" s="425">
        <f>VLOOKUP(H1389,'Fund Utilization Report'!$A$4:$U$1800,8,FALSE)</f>
        <v>5020000000</v>
      </c>
      <c r="AA1389" s="428" t="str">
        <f>VLOOKUP(H1389,'Fund Utilization Report'!$A$4:$U$1800,14,FALSE)</f>
        <v>100000100001000</v>
      </c>
      <c r="AB1389" s="349" t="str">
        <f>VLOOKUP(H1389,'Fund Utilization Report'!$A$4:$U$1800,15,FALSE)</f>
        <v>General Administration and Supervision - General Management and Supervision</v>
      </c>
      <c r="AC1389" s="39"/>
      <c r="AD1389" s="34"/>
      <c r="AE1389" s="39"/>
      <c r="AF1389" s="51"/>
      <c r="AG1389" s="40"/>
      <c r="AH1389" s="40"/>
    </row>
    <row r="1390" spans="1:34" s="32" customFormat="1">
      <c r="A1390" s="434" t="s">
        <v>942</v>
      </c>
      <c r="B1390" s="457" t="s">
        <v>946</v>
      </c>
      <c r="C1390" s="233">
        <v>44279</v>
      </c>
      <c r="D1390" s="435" t="s">
        <v>1267</v>
      </c>
      <c r="E1390" s="436" t="s">
        <v>1530</v>
      </c>
      <c r="F1390" s="338">
        <v>0.47222222222222227</v>
      </c>
      <c r="G1390" s="338">
        <v>0.4777777777777778</v>
      </c>
      <c r="H1390" s="338" t="s">
        <v>961</v>
      </c>
      <c r="I1390" s="353">
        <v>756</v>
      </c>
      <c r="J1390" s="338" t="str">
        <f>IFERROR(VLOOKUP(I1390,'Chart of accounts'!A:H,2,FALSE),"")</f>
        <v>50203020 00</v>
      </c>
      <c r="K1390" s="338" t="str">
        <f>IFERROR(VLOOKUP(I1390,'Chart of accounts'!A:H,3,FALSE),"")</f>
        <v xml:space="preserve">Accountable Forms Expenses </v>
      </c>
      <c r="L1390" s="338" t="str">
        <f>IFERROR(VLOOKUP(I1390,'Chart of accounts'!A:H,4,FALSE),"")</f>
        <v>50203020 00 - Accountable Forms Expenses  (756)</v>
      </c>
      <c r="M1390" s="361">
        <v>67</v>
      </c>
      <c r="N1390" s="420" t="s">
        <v>822</v>
      </c>
      <c r="O1390" s="420" t="s">
        <v>1532</v>
      </c>
      <c r="P1390" s="420"/>
      <c r="Q1390" s="420">
        <v>2490</v>
      </c>
      <c r="R1390" s="428">
        <f t="shared" si="52"/>
        <v>-2490</v>
      </c>
      <c r="S1390" s="428" t="str">
        <f>VLOOKUP(H1390,'Fund Utilization Report'!$A$4:$U$1800,13,FALSE)</f>
        <v>MOOE</v>
      </c>
      <c r="T1390" s="428" t="str">
        <f>VLOOKUP(H1390,'Fund Utilization Report'!$A$4:$U$1800,2,FALSE)</f>
        <v>GAA</v>
      </c>
      <c r="U1390" s="428" t="str">
        <f>VLOOKUP(H1390,'Fund Utilization Report'!$A$4:$U$1800,3,FALSE)</f>
        <v>FY2021, RA11518</v>
      </c>
      <c r="V1390" s="428" t="str">
        <f>VLOOKUP(H1390,'Fund Utilization Report'!$A$4:$U$1800,4,FALSE)</f>
        <v>GAS(GMS)</v>
      </c>
      <c r="W1390" s="428" t="str">
        <f>VLOOKUP(H1390,'Fund Utilization Report'!$A$4:$U$1800,5,FALSE)</f>
        <v>01101101</v>
      </c>
      <c r="X1390" s="428" t="str">
        <f>VLOOKUP(H1390,'Fund Utilization Report'!$A$4:$U$1800,6,FALSE)</f>
        <v>GOP</v>
      </c>
      <c r="Y1390" s="320" t="str">
        <f>VLOOKUP(H1390,'Fund Utilization Report'!$A$4:$U$1800,7,FALSE)</f>
        <v>MOOE</v>
      </c>
      <c r="Z1390" s="425">
        <f>VLOOKUP(H1390,'Fund Utilization Report'!$A$4:$U$1800,8,FALSE)</f>
        <v>5020000000</v>
      </c>
      <c r="AA1390" s="428" t="str">
        <f>VLOOKUP(H1390,'Fund Utilization Report'!$A$4:$U$1800,14,FALSE)</f>
        <v>100000100001000</v>
      </c>
      <c r="AB1390" s="349" t="str">
        <f>VLOOKUP(H1390,'Fund Utilization Report'!$A$4:$U$1800,15,FALSE)</f>
        <v>General Administration and Supervision - General Management and Supervision</v>
      </c>
      <c r="AC1390" s="39"/>
      <c r="AD1390" s="34"/>
      <c r="AE1390" s="39"/>
      <c r="AF1390" s="51"/>
      <c r="AG1390" s="40"/>
      <c r="AH1390" s="40"/>
    </row>
    <row r="1391" spans="1:34" s="32" customFormat="1">
      <c r="A1391" s="434" t="s">
        <v>942</v>
      </c>
      <c r="B1391" s="457" t="s">
        <v>946</v>
      </c>
      <c r="C1391" s="233">
        <v>44279</v>
      </c>
      <c r="D1391" s="435" t="s">
        <v>1267</v>
      </c>
      <c r="E1391" s="436" t="s">
        <v>1530</v>
      </c>
      <c r="F1391" s="338">
        <v>0.47222222222222227</v>
      </c>
      <c r="G1391" s="338">
        <v>0.4777777777777778</v>
      </c>
      <c r="H1391" s="338" t="s">
        <v>961</v>
      </c>
      <c r="I1391" s="353">
        <v>753</v>
      </c>
      <c r="J1391" s="338" t="str">
        <f>IFERROR(VLOOKUP(I1391,'Chart of accounts'!A:H,2,FALSE),"")</f>
        <v>50202010 00</v>
      </c>
      <c r="K1391" s="338" t="str">
        <f>IFERROR(VLOOKUP(I1391,'Chart of accounts'!A:H,3,FALSE),"")</f>
        <v>Training Expenses</v>
      </c>
      <c r="L1391" s="338" t="str">
        <f>IFERROR(VLOOKUP(I1391,'Chart of accounts'!A:H,4,FALSE),"")</f>
        <v>50202010 00 - Training Expenses (753)</v>
      </c>
      <c r="M1391" s="361">
        <v>67</v>
      </c>
      <c r="N1391" s="420" t="s">
        <v>822</v>
      </c>
      <c r="O1391" s="420" t="s">
        <v>1532</v>
      </c>
      <c r="P1391" s="420"/>
      <c r="Q1391" s="420">
        <v>14940</v>
      </c>
      <c r="R1391" s="428">
        <f t="shared" si="52"/>
        <v>-14940</v>
      </c>
      <c r="S1391" s="428" t="str">
        <f>VLOOKUP(H1391,'Fund Utilization Report'!$A$4:$U$1800,13,FALSE)</f>
        <v>MOOE</v>
      </c>
      <c r="T1391" s="428" t="str">
        <f>VLOOKUP(H1391,'Fund Utilization Report'!$A$4:$U$1800,2,FALSE)</f>
        <v>GAA</v>
      </c>
      <c r="U1391" s="428" t="str">
        <f>VLOOKUP(H1391,'Fund Utilization Report'!$A$4:$U$1800,3,FALSE)</f>
        <v>FY2021, RA11518</v>
      </c>
      <c r="V1391" s="428" t="str">
        <f>VLOOKUP(H1391,'Fund Utilization Report'!$A$4:$U$1800,4,FALSE)</f>
        <v>GAS(GMS)</v>
      </c>
      <c r="W1391" s="428" t="str">
        <f>VLOOKUP(H1391,'Fund Utilization Report'!$A$4:$U$1800,5,FALSE)</f>
        <v>01101101</v>
      </c>
      <c r="X1391" s="428" t="str">
        <f>VLOOKUP(H1391,'Fund Utilization Report'!$A$4:$U$1800,6,FALSE)</f>
        <v>GOP</v>
      </c>
      <c r="Y1391" s="320" t="str">
        <f>VLOOKUP(H1391,'Fund Utilization Report'!$A$4:$U$1800,7,FALSE)</f>
        <v>MOOE</v>
      </c>
      <c r="Z1391" s="425">
        <f>VLOOKUP(H1391,'Fund Utilization Report'!$A$4:$U$1800,8,FALSE)</f>
        <v>5020000000</v>
      </c>
      <c r="AA1391" s="428" t="str">
        <f>VLOOKUP(H1391,'Fund Utilization Report'!$A$4:$U$1800,14,FALSE)</f>
        <v>100000100001000</v>
      </c>
      <c r="AB1391" s="349" t="str">
        <f>VLOOKUP(H1391,'Fund Utilization Report'!$A$4:$U$1800,15,FALSE)</f>
        <v>General Administration and Supervision - General Management and Supervision</v>
      </c>
      <c r="AC1391" s="39"/>
      <c r="AD1391" s="34"/>
      <c r="AE1391" s="39"/>
      <c r="AF1391" s="51"/>
      <c r="AG1391" s="40"/>
      <c r="AH1391" s="40"/>
    </row>
    <row r="1392" spans="1:34" s="32" customFormat="1">
      <c r="A1392" s="434" t="s">
        <v>942</v>
      </c>
      <c r="B1392" s="457" t="s">
        <v>946</v>
      </c>
      <c r="C1392" s="233">
        <v>44279</v>
      </c>
      <c r="D1392" s="435" t="s">
        <v>1267</v>
      </c>
      <c r="E1392" s="436" t="s">
        <v>1530</v>
      </c>
      <c r="F1392" s="338">
        <v>0.47222222222222227</v>
      </c>
      <c r="G1392" s="338">
        <v>0.4777777777777778</v>
      </c>
      <c r="H1392" s="338" t="s">
        <v>961</v>
      </c>
      <c r="I1392" s="353">
        <v>761</v>
      </c>
      <c r="J1392" s="338" t="str">
        <f>IFERROR(VLOOKUP(I1392,'Chart of accounts'!A:H,2,FALSE),"")</f>
        <v>50203090 00</v>
      </c>
      <c r="K1392" s="338" t="str">
        <f>IFERROR(VLOOKUP(I1392,'Chart of accounts'!A:H,3,FALSE),"")</f>
        <v>Fuel, Oil and Lubricants Expenses</v>
      </c>
      <c r="L1392" s="338" t="str">
        <f>IFERROR(VLOOKUP(I1392,'Chart of accounts'!A:H,4,FALSE),"")</f>
        <v>50203090 00 - Fuel, Oil and Lubricants Expenses (761)</v>
      </c>
      <c r="M1392" s="361">
        <v>67</v>
      </c>
      <c r="N1392" s="420" t="s">
        <v>822</v>
      </c>
      <c r="O1392" s="420" t="s">
        <v>1532</v>
      </c>
      <c r="P1392" s="420"/>
      <c r="Q1392" s="420">
        <v>7470</v>
      </c>
      <c r="R1392" s="428">
        <f t="shared" si="52"/>
        <v>-7470</v>
      </c>
      <c r="S1392" s="428" t="str">
        <f>VLOOKUP(H1392,'Fund Utilization Report'!$A$4:$U$1800,13,FALSE)</f>
        <v>MOOE</v>
      </c>
      <c r="T1392" s="428" t="str">
        <f>VLOOKUP(H1392,'Fund Utilization Report'!$A$4:$U$1800,2,FALSE)</f>
        <v>GAA</v>
      </c>
      <c r="U1392" s="428" t="str">
        <f>VLOOKUP(H1392,'Fund Utilization Report'!$A$4:$U$1800,3,FALSE)</f>
        <v>FY2021, RA11518</v>
      </c>
      <c r="V1392" s="428" t="str">
        <f>VLOOKUP(H1392,'Fund Utilization Report'!$A$4:$U$1800,4,FALSE)</f>
        <v>GAS(GMS)</v>
      </c>
      <c r="W1392" s="428" t="str">
        <f>VLOOKUP(H1392,'Fund Utilization Report'!$A$4:$U$1800,5,FALSE)</f>
        <v>01101101</v>
      </c>
      <c r="X1392" s="428" t="str">
        <f>VLOOKUP(H1392,'Fund Utilization Report'!$A$4:$U$1800,6,FALSE)</f>
        <v>GOP</v>
      </c>
      <c r="Y1392" s="320" t="str">
        <f>VLOOKUP(H1392,'Fund Utilization Report'!$A$4:$U$1800,7,FALSE)</f>
        <v>MOOE</v>
      </c>
      <c r="Z1392" s="425">
        <f>VLOOKUP(H1392,'Fund Utilization Report'!$A$4:$U$1800,8,FALSE)</f>
        <v>5020000000</v>
      </c>
      <c r="AA1392" s="428" t="str">
        <f>VLOOKUP(H1392,'Fund Utilization Report'!$A$4:$U$1800,14,FALSE)</f>
        <v>100000100001000</v>
      </c>
      <c r="AB1392" s="349" t="str">
        <f>VLOOKUP(H1392,'Fund Utilization Report'!$A$4:$U$1800,15,FALSE)</f>
        <v>General Administration and Supervision - General Management and Supervision</v>
      </c>
      <c r="AC1392" s="39"/>
      <c r="AD1392" s="34"/>
      <c r="AE1392" s="39"/>
      <c r="AF1392" s="51"/>
      <c r="AG1392" s="40"/>
      <c r="AH1392" s="40"/>
    </row>
    <row r="1393" spans="1:34" s="32" customFormat="1">
      <c r="A1393" s="434" t="s">
        <v>942</v>
      </c>
      <c r="B1393" s="457" t="s">
        <v>946</v>
      </c>
      <c r="C1393" s="233">
        <v>44279</v>
      </c>
      <c r="D1393" s="435" t="s">
        <v>1267</v>
      </c>
      <c r="E1393" s="436" t="s">
        <v>1530</v>
      </c>
      <c r="F1393" s="338">
        <v>0.47222222222222227</v>
      </c>
      <c r="G1393" s="338">
        <v>0.4777777777777778</v>
      </c>
      <c r="H1393" s="338" t="s">
        <v>961</v>
      </c>
      <c r="I1393" s="353">
        <v>766</v>
      </c>
      <c r="J1393" s="338" t="str">
        <f>IFERROR(VLOOKUP(I1393,'Chart of accounts'!A:H,2,FALSE),"")</f>
        <v>50204010 00</v>
      </c>
      <c r="K1393" s="338" t="str">
        <f>IFERROR(VLOOKUP(I1393,'Chart of accounts'!A:H,3,FALSE),"")</f>
        <v>Water Expenses</v>
      </c>
      <c r="L1393" s="338" t="str">
        <f>IFERROR(VLOOKUP(I1393,'Chart of accounts'!A:H,4,FALSE),"")</f>
        <v>50204010 00 - Water Expenses (766)</v>
      </c>
      <c r="M1393" s="361">
        <v>67</v>
      </c>
      <c r="N1393" s="420" t="s">
        <v>822</v>
      </c>
      <c r="O1393" s="420" t="s">
        <v>1532</v>
      </c>
      <c r="P1393" s="420"/>
      <c r="Q1393" s="420">
        <v>1992</v>
      </c>
      <c r="R1393" s="428">
        <f t="shared" si="52"/>
        <v>-1992</v>
      </c>
      <c r="S1393" s="428" t="str">
        <f>VLOOKUP(H1393,'Fund Utilization Report'!$A$4:$U$1800,13,FALSE)</f>
        <v>MOOE</v>
      </c>
      <c r="T1393" s="428" t="str">
        <f>VLOOKUP(H1393,'Fund Utilization Report'!$A$4:$U$1800,2,FALSE)</f>
        <v>GAA</v>
      </c>
      <c r="U1393" s="428" t="str">
        <f>VLOOKUP(H1393,'Fund Utilization Report'!$A$4:$U$1800,3,FALSE)</f>
        <v>FY2021, RA11518</v>
      </c>
      <c r="V1393" s="428" t="str">
        <f>VLOOKUP(H1393,'Fund Utilization Report'!$A$4:$U$1800,4,FALSE)</f>
        <v>GAS(GMS)</v>
      </c>
      <c r="W1393" s="428" t="str">
        <f>VLOOKUP(H1393,'Fund Utilization Report'!$A$4:$U$1800,5,FALSE)</f>
        <v>01101101</v>
      </c>
      <c r="X1393" s="428" t="str">
        <f>VLOOKUP(H1393,'Fund Utilization Report'!$A$4:$U$1800,6,FALSE)</f>
        <v>GOP</v>
      </c>
      <c r="Y1393" s="320" t="str">
        <f>VLOOKUP(H1393,'Fund Utilization Report'!$A$4:$U$1800,7,FALSE)</f>
        <v>MOOE</v>
      </c>
      <c r="Z1393" s="425">
        <f>VLOOKUP(H1393,'Fund Utilization Report'!$A$4:$U$1800,8,FALSE)</f>
        <v>5020000000</v>
      </c>
      <c r="AA1393" s="428" t="str">
        <f>VLOOKUP(H1393,'Fund Utilization Report'!$A$4:$U$1800,14,FALSE)</f>
        <v>100000100001000</v>
      </c>
      <c r="AB1393" s="349" t="str">
        <f>VLOOKUP(H1393,'Fund Utilization Report'!$A$4:$U$1800,15,FALSE)</f>
        <v>General Administration and Supervision - General Management and Supervision</v>
      </c>
      <c r="AC1393" s="39"/>
      <c r="AD1393" s="34"/>
      <c r="AE1393" s="39"/>
      <c r="AF1393" s="51"/>
      <c r="AG1393" s="40"/>
      <c r="AH1393" s="40"/>
    </row>
    <row r="1394" spans="1:34" s="32" customFormat="1">
      <c r="A1394" s="434" t="s">
        <v>942</v>
      </c>
      <c r="B1394" s="457" t="s">
        <v>946</v>
      </c>
      <c r="C1394" s="233">
        <v>44279</v>
      </c>
      <c r="D1394" s="435" t="s">
        <v>1267</v>
      </c>
      <c r="E1394" s="436" t="s">
        <v>1530</v>
      </c>
      <c r="F1394" s="338">
        <v>0.47222222222222227</v>
      </c>
      <c r="G1394" s="338">
        <v>0.4777777777777778</v>
      </c>
      <c r="H1394" s="338" t="s">
        <v>961</v>
      </c>
      <c r="I1394" s="353">
        <v>767</v>
      </c>
      <c r="J1394" s="338" t="str">
        <f>IFERROR(VLOOKUP(I1394,'Chart of accounts'!A:H,2,FALSE),"")</f>
        <v>50204020 00</v>
      </c>
      <c r="K1394" s="338" t="str">
        <f>IFERROR(VLOOKUP(I1394,'Chart of accounts'!A:H,3,FALSE),"")</f>
        <v>Electricity Expense</v>
      </c>
      <c r="L1394" s="338" t="str">
        <f>IFERROR(VLOOKUP(I1394,'Chart of accounts'!A:H,4,FALSE),"")</f>
        <v>50204020 00 - Electricity Expense (767)</v>
      </c>
      <c r="M1394" s="361">
        <v>67</v>
      </c>
      <c r="N1394" s="420" t="s">
        <v>822</v>
      </c>
      <c r="O1394" s="420" t="s">
        <v>1532</v>
      </c>
      <c r="P1394" s="420"/>
      <c r="Q1394" s="420">
        <v>72625</v>
      </c>
      <c r="R1394" s="428">
        <f t="shared" si="52"/>
        <v>-72625</v>
      </c>
      <c r="S1394" s="428" t="str">
        <f>VLOOKUP(H1394,'Fund Utilization Report'!$A$4:$U$1800,13,FALSE)</f>
        <v>MOOE</v>
      </c>
      <c r="T1394" s="428" t="str">
        <f>VLOOKUP(H1394,'Fund Utilization Report'!$A$4:$U$1800,2,FALSE)</f>
        <v>GAA</v>
      </c>
      <c r="U1394" s="428" t="str">
        <f>VLOOKUP(H1394,'Fund Utilization Report'!$A$4:$U$1800,3,FALSE)</f>
        <v>FY2021, RA11518</v>
      </c>
      <c r="V1394" s="428" t="str">
        <f>VLOOKUP(H1394,'Fund Utilization Report'!$A$4:$U$1800,4,FALSE)</f>
        <v>GAS(GMS)</v>
      </c>
      <c r="W1394" s="428" t="str">
        <f>VLOOKUP(H1394,'Fund Utilization Report'!$A$4:$U$1800,5,FALSE)</f>
        <v>01101101</v>
      </c>
      <c r="X1394" s="428" t="str">
        <f>VLOOKUP(H1394,'Fund Utilization Report'!$A$4:$U$1800,6,FALSE)</f>
        <v>GOP</v>
      </c>
      <c r="Y1394" s="320" t="str">
        <f>VLOOKUP(H1394,'Fund Utilization Report'!$A$4:$U$1800,7,FALSE)</f>
        <v>MOOE</v>
      </c>
      <c r="Z1394" s="425">
        <f>VLOOKUP(H1394,'Fund Utilization Report'!$A$4:$U$1800,8,FALSE)</f>
        <v>5020000000</v>
      </c>
      <c r="AA1394" s="428" t="str">
        <f>VLOOKUP(H1394,'Fund Utilization Report'!$A$4:$U$1800,14,FALSE)</f>
        <v>100000100001000</v>
      </c>
      <c r="AB1394" s="349" t="str">
        <f>VLOOKUP(H1394,'Fund Utilization Report'!$A$4:$U$1800,15,FALSE)</f>
        <v>General Administration and Supervision - General Management and Supervision</v>
      </c>
      <c r="AC1394" s="39"/>
      <c r="AD1394" s="34"/>
      <c r="AE1394" s="39"/>
      <c r="AF1394" s="51"/>
      <c r="AG1394" s="40"/>
      <c r="AH1394" s="40"/>
    </row>
    <row r="1395" spans="1:34" s="32" customFormat="1">
      <c r="A1395" s="434" t="s">
        <v>942</v>
      </c>
      <c r="B1395" s="457" t="s">
        <v>946</v>
      </c>
      <c r="C1395" s="233">
        <v>44279</v>
      </c>
      <c r="D1395" s="435" t="s">
        <v>1267</v>
      </c>
      <c r="E1395" s="436" t="s">
        <v>1530</v>
      </c>
      <c r="F1395" s="338">
        <v>0.47222222222222227</v>
      </c>
      <c r="G1395" s="338">
        <v>0.4777777777777778</v>
      </c>
      <c r="H1395" s="338" t="s">
        <v>961</v>
      </c>
      <c r="I1395" s="353">
        <v>771</v>
      </c>
      <c r="J1395" s="338" t="str">
        <f>IFERROR(VLOOKUP(I1395,'Chart of accounts'!A:H,2,FALSE),"")</f>
        <v>50205010 00</v>
      </c>
      <c r="K1395" s="338" t="str">
        <f>IFERROR(VLOOKUP(I1395,'Chart of accounts'!A:H,3,FALSE),"")</f>
        <v>Postage and Courier Services</v>
      </c>
      <c r="L1395" s="338" t="str">
        <f>IFERROR(VLOOKUP(I1395,'Chart of accounts'!A:H,4,FALSE),"")</f>
        <v>50205010 00 - Postage and Courier Services (771)</v>
      </c>
      <c r="M1395" s="361">
        <v>67</v>
      </c>
      <c r="N1395" s="420" t="s">
        <v>822</v>
      </c>
      <c r="O1395" s="420" t="s">
        <v>1532</v>
      </c>
      <c r="P1395" s="420"/>
      <c r="Q1395" s="420">
        <v>12450</v>
      </c>
      <c r="R1395" s="428">
        <f t="shared" si="52"/>
        <v>-12450</v>
      </c>
      <c r="S1395" s="428" t="str">
        <f>VLOOKUP(H1395,'Fund Utilization Report'!$A$4:$U$1800,13,FALSE)</f>
        <v>MOOE</v>
      </c>
      <c r="T1395" s="428" t="str">
        <f>VLOOKUP(H1395,'Fund Utilization Report'!$A$4:$U$1800,2,FALSE)</f>
        <v>GAA</v>
      </c>
      <c r="U1395" s="428" t="str">
        <f>VLOOKUP(H1395,'Fund Utilization Report'!$A$4:$U$1800,3,FALSE)</f>
        <v>FY2021, RA11518</v>
      </c>
      <c r="V1395" s="428" t="str">
        <f>VLOOKUP(H1395,'Fund Utilization Report'!$A$4:$U$1800,4,FALSE)</f>
        <v>GAS(GMS)</v>
      </c>
      <c r="W1395" s="428" t="str">
        <f>VLOOKUP(H1395,'Fund Utilization Report'!$A$4:$U$1800,5,FALSE)</f>
        <v>01101101</v>
      </c>
      <c r="X1395" s="428" t="str">
        <f>VLOOKUP(H1395,'Fund Utilization Report'!$A$4:$U$1800,6,FALSE)</f>
        <v>GOP</v>
      </c>
      <c r="Y1395" s="320" t="str">
        <f>VLOOKUP(H1395,'Fund Utilization Report'!$A$4:$U$1800,7,FALSE)</f>
        <v>MOOE</v>
      </c>
      <c r="Z1395" s="425">
        <f>VLOOKUP(H1395,'Fund Utilization Report'!$A$4:$U$1800,8,FALSE)</f>
        <v>5020000000</v>
      </c>
      <c r="AA1395" s="428" t="str">
        <f>VLOOKUP(H1395,'Fund Utilization Report'!$A$4:$U$1800,14,FALSE)</f>
        <v>100000100001000</v>
      </c>
      <c r="AB1395" s="349" t="str">
        <f>VLOOKUP(H1395,'Fund Utilization Report'!$A$4:$U$1800,15,FALSE)</f>
        <v>General Administration and Supervision - General Management and Supervision</v>
      </c>
      <c r="AC1395" s="39"/>
      <c r="AD1395" s="34"/>
      <c r="AE1395" s="39"/>
      <c r="AF1395" s="51"/>
      <c r="AG1395" s="40"/>
      <c r="AH1395" s="40"/>
    </row>
    <row r="1396" spans="1:34" s="32" customFormat="1">
      <c r="A1396" s="434" t="s">
        <v>942</v>
      </c>
      <c r="B1396" s="457" t="s">
        <v>946</v>
      </c>
      <c r="C1396" s="233">
        <v>44279</v>
      </c>
      <c r="D1396" s="435" t="s">
        <v>1267</v>
      </c>
      <c r="E1396" s="436" t="s">
        <v>1530</v>
      </c>
      <c r="F1396" s="338">
        <v>0.47222222222222227</v>
      </c>
      <c r="G1396" s="338">
        <v>0.4777777777777778</v>
      </c>
      <c r="H1396" s="338" t="s">
        <v>961</v>
      </c>
      <c r="I1396" s="353">
        <v>772</v>
      </c>
      <c r="J1396" s="338" t="str">
        <f>IFERROR(VLOOKUP(I1396,'Chart of accounts'!A:H,2,FALSE),"")</f>
        <v>50205020 02</v>
      </c>
      <c r="K1396" s="338" t="str">
        <f>IFERROR(VLOOKUP(I1396,'Chart of accounts'!A:H,3,FALSE),"")</f>
        <v xml:space="preserve">Telephone Expenses - Landline </v>
      </c>
      <c r="L1396" s="338" t="str">
        <f>IFERROR(VLOOKUP(I1396,'Chart of accounts'!A:H,4,FALSE),"")</f>
        <v>50205020 02 - Telephone Expenses - Landline  (772)</v>
      </c>
      <c r="M1396" s="361">
        <v>67</v>
      </c>
      <c r="N1396" s="420" t="s">
        <v>822</v>
      </c>
      <c r="O1396" s="420" t="s">
        <v>1532</v>
      </c>
      <c r="P1396" s="420"/>
      <c r="Q1396" s="420">
        <v>3735</v>
      </c>
      <c r="R1396" s="428">
        <f t="shared" si="52"/>
        <v>-3735</v>
      </c>
      <c r="S1396" s="428" t="str">
        <f>VLOOKUP(H1396,'Fund Utilization Report'!$A$4:$U$1800,13,FALSE)</f>
        <v>MOOE</v>
      </c>
      <c r="T1396" s="428" t="str">
        <f>VLOOKUP(H1396,'Fund Utilization Report'!$A$4:$U$1800,2,FALSE)</f>
        <v>GAA</v>
      </c>
      <c r="U1396" s="428" t="str">
        <f>VLOOKUP(H1396,'Fund Utilization Report'!$A$4:$U$1800,3,FALSE)</f>
        <v>FY2021, RA11518</v>
      </c>
      <c r="V1396" s="428" t="str">
        <f>VLOOKUP(H1396,'Fund Utilization Report'!$A$4:$U$1800,4,FALSE)</f>
        <v>GAS(GMS)</v>
      </c>
      <c r="W1396" s="428" t="str">
        <f>VLOOKUP(H1396,'Fund Utilization Report'!$A$4:$U$1800,5,FALSE)</f>
        <v>01101101</v>
      </c>
      <c r="X1396" s="428" t="str">
        <f>VLOOKUP(H1396,'Fund Utilization Report'!$A$4:$U$1800,6,FALSE)</f>
        <v>GOP</v>
      </c>
      <c r="Y1396" s="320" t="str">
        <f>VLOOKUP(H1396,'Fund Utilization Report'!$A$4:$U$1800,7,FALSE)</f>
        <v>MOOE</v>
      </c>
      <c r="Z1396" s="425">
        <f>VLOOKUP(H1396,'Fund Utilization Report'!$A$4:$U$1800,8,FALSE)</f>
        <v>5020000000</v>
      </c>
      <c r="AA1396" s="428" t="str">
        <f>VLOOKUP(H1396,'Fund Utilization Report'!$A$4:$U$1800,14,FALSE)</f>
        <v>100000100001000</v>
      </c>
      <c r="AB1396" s="349" t="str">
        <f>VLOOKUP(H1396,'Fund Utilization Report'!$A$4:$U$1800,15,FALSE)</f>
        <v>General Administration and Supervision - General Management and Supervision</v>
      </c>
      <c r="AC1396" s="39"/>
      <c r="AD1396" s="34"/>
      <c r="AE1396" s="39"/>
      <c r="AF1396" s="51"/>
      <c r="AG1396" s="40"/>
      <c r="AH1396" s="40"/>
    </row>
    <row r="1397" spans="1:34" s="32" customFormat="1">
      <c r="A1397" s="434" t="s">
        <v>942</v>
      </c>
      <c r="B1397" s="457" t="s">
        <v>946</v>
      </c>
      <c r="C1397" s="233">
        <v>44279</v>
      </c>
      <c r="D1397" s="435" t="s">
        <v>1267</v>
      </c>
      <c r="E1397" s="436" t="s">
        <v>1530</v>
      </c>
      <c r="F1397" s="338">
        <v>0.47222222222222227</v>
      </c>
      <c r="G1397" s="338">
        <v>0.4777777777777778</v>
      </c>
      <c r="H1397" s="338" t="s">
        <v>961</v>
      </c>
      <c r="I1397" s="353">
        <v>773</v>
      </c>
      <c r="J1397" s="338" t="str">
        <f>IFERROR(VLOOKUP(I1397,'Chart of accounts'!A:H,2,FALSE),"")</f>
        <v>50205020 01</v>
      </c>
      <c r="K1397" s="338" t="str">
        <f>IFERROR(VLOOKUP(I1397,'Chart of accounts'!A:H,3,FALSE),"")</f>
        <v xml:space="preserve">Telephone Expenses - Mobile </v>
      </c>
      <c r="L1397" s="338" t="str">
        <f>IFERROR(VLOOKUP(I1397,'Chart of accounts'!A:H,4,FALSE),"")</f>
        <v>50205020 01 - Telephone Expenses - Mobile  (773)</v>
      </c>
      <c r="M1397" s="361">
        <v>67</v>
      </c>
      <c r="N1397" s="420" t="s">
        <v>822</v>
      </c>
      <c r="O1397" s="420" t="s">
        <v>1532</v>
      </c>
      <c r="P1397" s="420"/>
      <c r="Q1397" s="420">
        <v>7470</v>
      </c>
      <c r="R1397" s="428">
        <f t="shared" si="52"/>
        <v>-7470</v>
      </c>
      <c r="S1397" s="428" t="str">
        <f>VLOOKUP(H1397,'Fund Utilization Report'!$A$4:$U$1800,13,FALSE)</f>
        <v>MOOE</v>
      </c>
      <c r="T1397" s="428" t="str">
        <f>VLOOKUP(H1397,'Fund Utilization Report'!$A$4:$U$1800,2,FALSE)</f>
        <v>GAA</v>
      </c>
      <c r="U1397" s="428" t="str">
        <f>VLOOKUP(H1397,'Fund Utilization Report'!$A$4:$U$1800,3,FALSE)</f>
        <v>FY2021, RA11518</v>
      </c>
      <c r="V1397" s="428" t="str">
        <f>VLOOKUP(H1397,'Fund Utilization Report'!$A$4:$U$1800,4,FALSE)</f>
        <v>GAS(GMS)</v>
      </c>
      <c r="W1397" s="428" t="str">
        <f>VLOOKUP(H1397,'Fund Utilization Report'!$A$4:$U$1800,5,FALSE)</f>
        <v>01101101</v>
      </c>
      <c r="X1397" s="428" t="str">
        <f>VLOOKUP(H1397,'Fund Utilization Report'!$A$4:$U$1800,6,FALSE)</f>
        <v>GOP</v>
      </c>
      <c r="Y1397" s="320" t="str">
        <f>VLOOKUP(H1397,'Fund Utilization Report'!$A$4:$U$1800,7,FALSE)</f>
        <v>MOOE</v>
      </c>
      <c r="Z1397" s="425">
        <f>VLOOKUP(H1397,'Fund Utilization Report'!$A$4:$U$1800,8,FALSE)</f>
        <v>5020000000</v>
      </c>
      <c r="AA1397" s="428" t="str">
        <f>VLOOKUP(H1397,'Fund Utilization Report'!$A$4:$U$1800,14,FALSE)</f>
        <v>100000100001000</v>
      </c>
      <c r="AB1397" s="349" t="str">
        <f>VLOOKUP(H1397,'Fund Utilization Report'!$A$4:$U$1800,15,FALSE)</f>
        <v>General Administration and Supervision - General Management and Supervision</v>
      </c>
      <c r="AC1397" s="39"/>
      <c r="AD1397" s="34"/>
      <c r="AE1397" s="39"/>
      <c r="AF1397" s="51"/>
      <c r="AG1397" s="40"/>
      <c r="AH1397" s="40"/>
    </row>
    <row r="1398" spans="1:34" s="32" customFormat="1">
      <c r="A1398" s="434" t="s">
        <v>942</v>
      </c>
      <c r="B1398" s="457" t="s">
        <v>946</v>
      </c>
      <c r="C1398" s="233">
        <v>44279</v>
      </c>
      <c r="D1398" s="435" t="s">
        <v>1267</v>
      </c>
      <c r="E1398" s="436" t="s">
        <v>1530</v>
      </c>
      <c r="F1398" s="338">
        <v>0.47222222222222227</v>
      </c>
      <c r="G1398" s="338">
        <v>0.4777777777777778</v>
      </c>
      <c r="H1398" s="338" t="s">
        <v>961</v>
      </c>
      <c r="I1398" s="353">
        <v>775</v>
      </c>
      <c r="J1398" s="338" t="str">
        <f>IFERROR(VLOOKUP(I1398,'Chart of accounts'!A:H,2,FALSE),"")</f>
        <v>50205040 00</v>
      </c>
      <c r="K1398" s="338" t="str">
        <f>IFERROR(VLOOKUP(I1398,'Chart of accounts'!A:H,3,FALSE),"")</f>
        <v>Cable, Satellite, Telegraph, and Radio Expenses</v>
      </c>
      <c r="L1398" s="338" t="str">
        <f>IFERROR(VLOOKUP(I1398,'Chart of accounts'!A:H,4,FALSE),"")</f>
        <v>50205040 00 - Cable, Satellite, Telegraph, and Radio Expenses (775)</v>
      </c>
      <c r="M1398" s="361">
        <v>67</v>
      </c>
      <c r="N1398" s="420" t="s">
        <v>822</v>
      </c>
      <c r="O1398" s="420" t="s">
        <v>1532</v>
      </c>
      <c r="P1398" s="420"/>
      <c r="Q1398" s="420">
        <v>2502.4499999999998</v>
      </c>
      <c r="R1398" s="428">
        <f t="shared" si="52"/>
        <v>-2502.4499999999998</v>
      </c>
      <c r="S1398" s="428" t="str">
        <f>VLOOKUP(H1398,'Fund Utilization Report'!$A$4:$U$1800,13,FALSE)</f>
        <v>MOOE</v>
      </c>
      <c r="T1398" s="428" t="str">
        <f>VLOOKUP(H1398,'Fund Utilization Report'!$A$4:$U$1800,2,FALSE)</f>
        <v>GAA</v>
      </c>
      <c r="U1398" s="428" t="str">
        <f>VLOOKUP(H1398,'Fund Utilization Report'!$A$4:$U$1800,3,FALSE)</f>
        <v>FY2021, RA11518</v>
      </c>
      <c r="V1398" s="428" t="str">
        <f>VLOOKUP(H1398,'Fund Utilization Report'!$A$4:$U$1800,4,FALSE)</f>
        <v>GAS(GMS)</v>
      </c>
      <c r="W1398" s="428" t="str">
        <f>VLOOKUP(H1398,'Fund Utilization Report'!$A$4:$U$1800,5,FALSE)</f>
        <v>01101101</v>
      </c>
      <c r="X1398" s="428" t="str">
        <f>VLOOKUP(H1398,'Fund Utilization Report'!$A$4:$U$1800,6,FALSE)</f>
        <v>GOP</v>
      </c>
      <c r="Y1398" s="320" t="str">
        <f>VLOOKUP(H1398,'Fund Utilization Report'!$A$4:$U$1800,7,FALSE)</f>
        <v>MOOE</v>
      </c>
      <c r="Z1398" s="425">
        <f>VLOOKUP(H1398,'Fund Utilization Report'!$A$4:$U$1800,8,FALSE)</f>
        <v>5020000000</v>
      </c>
      <c r="AA1398" s="428" t="str">
        <f>VLOOKUP(H1398,'Fund Utilization Report'!$A$4:$U$1800,14,FALSE)</f>
        <v>100000100001000</v>
      </c>
      <c r="AB1398" s="349" t="str">
        <f>VLOOKUP(H1398,'Fund Utilization Report'!$A$4:$U$1800,15,FALSE)</f>
        <v>General Administration and Supervision - General Management and Supervision</v>
      </c>
      <c r="AC1398" s="39"/>
      <c r="AD1398" s="34"/>
      <c r="AE1398" s="39"/>
      <c r="AF1398" s="51"/>
      <c r="AG1398" s="40"/>
      <c r="AH1398" s="40"/>
    </row>
    <row r="1399" spans="1:34" s="32" customFormat="1">
      <c r="A1399" s="434" t="s">
        <v>942</v>
      </c>
      <c r="B1399" s="457" t="s">
        <v>946</v>
      </c>
      <c r="C1399" s="233">
        <v>44279</v>
      </c>
      <c r="D1399" s="435" t="s">
        <v>1267</v>
      </c>
      <c r="E1399" s="436" t="s">
        <v>1530</v>
      </c>
      <c r="F1399" s="338">
        <v>0.47222222222222227</v>
      </c>
      <c r="G1399" s="338">
        <v>0.4777777777777778</v>
      </c>
      <c r="H1399" s="338" t="s">
        <v>961</v>
      </c>
      <c r="I1399" s="353">
        <v>791</v>
      </c>
      <c r="J1399" s="338" t="str">
        <f>IFERROR(VLOOKUP(I1399,'Chart of accounts'!A:H,2,FALSE),"")</f>
        <v>50211010 00</v>
      </c>
      <c r="K1399" s="338" t="str">
        <f>IFERROR(VLOOKUP(I1399,'Chart of accounts'!A:H,3,FALSE),"")</f>
        <v>Legal Services</v>
      </c>
      <c r="L1399" s="338" t="str">
        <f>IFERROR(VLOOKUP(I1399,'Chart of accounts'!A:H,4,FALSE),"")</f>
        <v>50211010 00 - Legal Services (791)</v>
      </c>
      <c r="M1399" s="361">
        <v>67</v>
      </c>
      <c r="N1399" s="420" t="s">
        <v>822</v>
      </c>
      <c r="O1399" s="420" t="s">
        <v>1532</v>
      </c>
      <c r="P1399" s="420"/>
      <c r="Q1399" s="420">
        <v>498</v>
      </c>
      <c r="R1399" s="428">
        <f t="shared" si="52"/>
        <v>-498</v>
      </c>
      <c r="S1399" s="428" t="str">
        <f>VLOOKUP(H1399,'Fund Utilization Report'!$A$4:$U$1800,13,FALSE)</f>
        <v>MOOE</v>
      </c>
      <c r="T1399" s="428" t="str">
        <f>VLOOKUP(H1399,'Fund Utilization Report'!$A$4:$U$1800,2,FALSE)</f>
        <v>GAA</v>
      </c>
      <c r="U1399" s="428" t="str">
        <f>VLOOKUP(H1399,'Fund Utilization Report'!$A$4:$U$1800,3,FALSE)</f>
        <v>FY2021, RA11518</v>
      </c>
      <c r="V1399" s="428" t="str">
        <f>VLOOKUP(H1399,'Fund Utilization Report'!$A$4:$U$1800,4,FALSE)</f>
        <v>GAS(GMS)</v>
      </c>
      <c r="W1399" s="428" t="str">
        <f>VLOOKUP(H1399,'Fund Utilization Report'!$A$4:$U$1800,5,FALSE)</f>
        <v>01101101</v>
      </c>
      <c r="X1399" s="428" t="str">
        <f>VLOOKUP(H1399,'Fund Utilization Report'!$A$4:$U$1800,6,FALSE)</f>
        <v>GOP</v>
      </c>
      <c r="Y1399" s="320" t="str">
        <f>VLOOKUP(H1399,'Fund Utilization Report'!$A$4:$U$1800,7,FALSE)</f>
        <v>MOOE</v>
      </c>
      <c r="Z1399" s="425">
        <f>VLOOKUP(H1399,'Fund Utilization Report'!$A$4:$U$1800,8,FALSE)</f>
        <v>5020000000</v>
      </c>
      <c r="AA1399" s="428" t="str">
        <f>VLOOKUP(H1399,'Fund Utilization Report'!$A$4:$U$1800,14,FALSE)</f>
        <v>100000100001000</v>
      </c>
      <c r="AB1399" s="349" t="str">
        <f>VLOOKUP(H1399,'Fund Utilization Report'!$A$4:$U$1800,15,FALSE)</f>
        <v>General Administration and Supervision - General Management and Supervision</v>
      </c>
      <c r="AC1399" s="39"/>
      <c r="AD1399" s="34"/>
      <c r="AE1399" s="39"/>
      <c r="AF1399" s="51"/>
      <c r="AG1399" s="40"/>
      <c r="AH1399" s="40"/>
    </row>
    <row r="1400" spans="1:34" s="32" customFormat="1">
      <c r="A1400" s="434" t="s">
        <v>942</v>
      </c>
      <c r="B1400" s="457" t="s">
        <v>946</v>
      </c>
      <c r="C1400" s="233">
        <v>44279</v>
      </c>
      <c r="D1400" s="435" t="s">
        <v>1267</v>
      </c>
      <c r="E1400" s="436" t="s">
        <v>1530</v>
      </c>
      <c r="F1400" s="338">
        <v>0.47222222222222227</v>
      </c>
      <c r="G1400" s="338">
        <v>0.4777777777777778</v>
      </c>
      <c r="H1400" s="338" t="s">
        <v>961</v>
      </c>
      <c r="I1400" s="353">
        <v>796</v>
      </c>
      <c r="J1400" s="338" t="str">
        <f>IFERROR(VLOOKUP(I1400,'Chart of accounts'!A:H,2,FALSE),"")</f>
        <v>50212020 00</v>
      </c>
      <c r="K1400" s="338" t="str">
        <f>IFERROR(VLOOKUP(I1400,'Chart of accounts'!A:H,3,FALSE),"")</f>
        <v>Janitorial Services</v>
      </c>
      <c r="L1400" s="338" t="str">
        <f>IFERROR(VLOOKUP(I1400,'Chart of accounts'!A:H,4,FALSE),"")</f>
        <v>50212020 00 - Janitorial Services (796)</v>
      </c>
      <c r="M1400" s="361">
        <v>67</v>
      </c>
      <c r="N1400" s="420" t="s">
        <v>822</v>
      </c>
      <c r="O1400" s="420" t="s">
        <v>1532</v>
      </c>
      <c r="P1400" s="420"/>
      <c r="Q1400" s="420">
        <v>41541.5</v>
      </c>
      <c r="R1400" s="428">
        <f t="shared" si="52"/>
        <v>-41541.5</v>
      </c>
      <c r="S1400" s="428" t="str">
        <f>VLOOKUP(H1400,'Fund Utilization Report'!$A$4:$U$1800,13,FALSE)</f>
        <v>MOOE</v>
      </c>
      <c r="T1400" s="428" t="str">
        <f>VLOOKUP(H1400,'Fund Utilization Report'!$A$4:$U$1800,2,FALSE)</f>
        <v>GAA</v>
      </c>
      <c r="U1400" s="428" t="str">
        <f>VLOOKUP(H1400,'Fund Utilization Report'!$A$4:$U$1800,3,FALSE)</f>
        <v>FY2021, RA11518</v>
      </c>
      <c r="V1400" s="428" t="str">
        <f>VLOOKUP(H1400,'Fund Utilization Report'!$A$4:$U$1800,4,FALSE)</f>
        <v>GAS(GMS)</v>
      </c>
      <c r="W1400" s="428" t="str">
        <f>VLOOKUP(H1400,'Fund Utilization Report'!$A$4:$U$1800,5,FALSE)</f>
        <v>01101101</v>
      </c>
      <c r="X1400" s="428" t="str">
        <f>VLOOKUP(H1400,'Fund Utilization Report'!$A$4:$U$1800,6,FALSE)</f>
        <v>GOP</v>
      </c>
      <c r="Y1400" s="320" t="str">
        <f>VLOOKUP(H1400,'Fund Utilization Report'!$A$4:$U$1800,7,FALSE)</f>
        <v>MOOE</v>
      </c>
      <c r="Z1400" s="425">
        <f>VLOOKUP(H1400,'Fund Utilization Report'!$A$4:$U$1800,8,FALSE)</f>
        <v>5020000000</v>
      </c>
      <c r="AA1400" s="428" t="str">
        <f>VLOOKUP(H1400,'Fund Utilization Report'!$A$4:$U$1800,14,FALSE)</f>
        <v>100000100001000</v>
      </c>
      <c r="AB1400" s="349" t="str">
        <f>VLOOKUP(H1400,'Fund Utilization Report'!$A$4:$U$1800,15,FALSE)</f>
        <v>General Administration and Supervision - General Management and Supervision</v>
      </c>
      <c r="AC1400" s="39"/>
      <c r="AD1400" s="34"/>
      <c r="AE1400" s="39"/>
      <c r="AF1400" s="51"/>
      <c r="AG1400" s="40"/>
      <c r="AH1400" s="40"/>
    </row>
    <row r="1401" spans="1:34" s="32" customFormat="1">
      <c r="A1401" s="434" t="s">
        <v>942</v>
      </c>
      <c r="B1401" s="457" t="s">
        <v>946</v>
      </c>
      <c r="C1401" s="233">
        <v>44279</v>
      </c>
      <c r="D1401" s="435" t="s">
        <v>1267</v>
      </c>
      <c r="E1401" s="436" t="s">
        <v>1530</v>
      </c>
      <c r="F1401" s="338">
        <v>0.47222222222222227</v>
      </c>
      <c r="G1401" s="338">
        <v>0.4777777777777778</v>
      </c>
      <c r="H1401" s="338" t="s">
        <v>965</v>
      </c>
      <c r="I1401" s="353">
        <v>795</v>
      </c>
      <c r="J1401" s="338" t="str">
        <f>IFERROR(VLOOKUP(I1401,'Chart of accounts'!A:H,2,FALSE),"")</f>
        <v>50212990 00</v>
      </c>
      <c r="K1401" s="338" t="str">
        <f>IFERROR(VLOOKUP(I1401,'Chart of accounts'!A:H,3,FALSE),"")</f>
        <v>Other General Services</v>
      </c>
      <c r="L1401" s="338" t="str">
        <f>IFERROR(VLOOKUP(I1401,'Chart of accounts'!A:H,4,FALSE),"")</f>
        <v>50212990 00 - Other General Services (795)</v>
      </c>
      <c r="M1401" s="361">
        <v>67</v>
      </c>
      <c r="N1401" s="420" t="s">
        <v>822</v>
      </c>
      <c r="O1401" s="420" t="s">
        <v>1532</v>
      </c>
      <c r="P1401" s="420"/>
      <c r="Q1401" s="420">
        <v>167342.10999999999</v>
      </c>
      <c r="R1401" s="428">
        <f t="shared" si="52"/>
        <v>-167342.10999999999</v>
      </c>
      <c r="S1401" s="428" t="str">
        <f>VLOOKUP(H1401,'Fund Utilization Report'!$A$4:$U$1800,13,FALSE)</f>
        <v>MOOE</v>
      </c>
      <c r="T1401" s="428" t="str">
        <f>VLOOKUP(H1401,'Fund Utilization Report'!$A$4:$U$1800,2,FALSE)</f>
        <v>GAA</v>
      </c>
      <c r="U1401" s="428" t="str">
        <f>VLOOKUP(H1401,'Fund Utilization Report'!$A$4:$U$1800,3,FALSE)</f>
        <v>FY2021, RA11518</v>
      </c>
      <c r="V1401" s="428" t="str">
        <f>VLOOKUP(H1401,'Fund Utilization Report'!$A$4:$U$1800,4,FALSE)</f>
        <v>OO1</v>
      </c>
      <c r="W1401" s="428" t="str">
        <f>VLOOKUP(H1401,'Fund Utilization Report'!$A$4:$U$1800,5,FALSE)</f>
        <v>01101101</v>
      </c>
      <c r="X1401" s="428" t="str">
        <f>VLOOKUP(H1401,'Fund Utilization Report'!$A$4:$U$1800,6,FALSE)</f>
        <v>GOP</v>
      </c>
      <c r="Y1401" s="320" t="str">
        <f>VLOOKUP(H1401,'Fund Utilization Report'!$A$4:$U$1800,7,FALSE)</f>
        <v>MOOE</v>
      </c>
      <c r="Z1401" s="425">
        <f>VLOOKUP(H1401,'Fund Utilization Report'!$A$4:$U$1800,8,FALSE)</f>
        <v>5020000000</v>
      </c>
      <c r="AA1401" s="428" t="str">
        <f>VLOOKUP(H1401,'Fund Utilization Report'!$A$4:$U$1800,14,FALSE)</f>
        <v>310100100002000</v>
      </c>
      <c r="AB1401" s="349" t="str">
        <f>VLOOKUP(H1401,'Fund Utilization Report'!$A$4:$U$1800,15,FALSE)</f>
        <v>Development,Facilitation, and promotion of exports and investment, domestic and foreign</v>
      </c>
      <c r="AC1401" s="39"/>
      <c r="AD1401" s="34"/>
      <c r="AE1401" s="39"/>
      <c r="AF1401" s="51"/>
      <c r="AG1401" s="40"/>
      <c r="AH1401" s="40"/>
    </row>
    <row r="1402" spans="1:34" s="32" customFormat="1">
      <c r="A1402" s="434" t="s">
        <v>942</v>
      </c>
      <c r="B1402" s="457" t="s">
        <v>946</v>
      </c>
      <c r="C1402" s="233">
        <v>44279</v>
      </c>
      <c r="D1402" s="435" t="s">
        <v>1267</v>
      </c>
      <c r="E1402" s="436" t="s">
        <v>1530</v>
      </c>
      <c r="F1402" s="338">
        <v>0.47222222222222227</v>
      </c>
      <c r="G1402" s="338">
        <v>0.4777777777777778</v>
      </c>
      <c r="H1402" s="338" t="s">
        <v>971</v>
      </c>
      <c r="I1402" s="353">
        <v>821</v>
      </c>
      <c r="J1402" s="338" t="str">
        <f>IFERROR(VLOOKUP(I1402,'Chart of accounts'!A:H,2,FALSE),"")</f>
        <v>50213050 02</v>
      </c>
      <c r="K1402" s="338" t="str">
        <f>IFERROR(VLOOKUP(I1402,'Chart of accounts'!A:H,3,FALSE),"")</f>
        <v>Office Equipment</v>
      </c>
      <c r="L1402" s="338" t="str">
        <f>IFERROR(VLOOKUP(I1402,'Chart of accounts'!A:H,4,FALSE),"")</f>
        <v>50213050 02 - Office Equipment (821)</v>
      </c>
      <c r="M1402" s="361">
        <v>67</v>
      </c>
      <c r="N1402" s="420" t="s">
        <v>822</v>
      </c>
      <c r="O1402" s="420" t="s">
        <v>1532</v>
      </c>
      <c r="P1402" s="420"/>
      <c r="Q1402" s="420">
        <v>4150</v>
      </c>
      <c r="R1402" s="428">
        <f t="shared" si="52"/>
        <v>-4150</v>
      </c>
      <c r="S1402" s="428" t="str">
        <f>VLOOKUP(H1402,'Fund Utilization Report'!$A$4:$U$1800,13,FALSE)</f>
        <v>MOOE</v>
      </c>
      <c r="T1402" s="428" t="str">
        <f>VLOOKUP(H1402,'Fund Utilization Report'!$A$4:$U$1800,2,FALSE)</f>
        <v>GAA</v>
      </c>
      <c r="U1402" s="428" t="str">
        <f>VLOOKUP(H1402,'Fund Utilization Report'!$A$4:$U$1800,3,FALSE)</f>
        <v>FY2021, RA11518</v>
      </c>
      <c r="V1402" s="428" t="str">
        <f>VLOOKUP(H1402,'Fund Utilization Report'!$A$4:$U$1800,4,FALSE)</f>
        <v>OO3</v>
      </c>
      <c r="W1402" s="428" t="str">
        <f>VLOOKUP(H1402,'Fund Utilization Report'!$A$4:$U$1800,5,FALSE)</f>
        <v>01101101</v>
      </c>
      <c r="X1402" s="428" t="str">
        <f>VLOOKUP(H1402,'Fund Utilization Report'!$A$4:$U$1800,6,FALSE)</f>
        <v>GOP</v>
      </c>
      <c r="Y1402" s="320" t="str">
        <f>VLOOKUP(H1402,'Fund Utilization Report'!$A$4:$U$1800,7,FALSE)</f>
        <v>MOOE</v>
      </c>
      <c r="Z1402" s="425">
        <f>VLOOKUP(H1402,'Fund Utilization Report'!$A$4:$U$1800,8,FALSE)</f>
        <v>5020000000</v>
      </c>
      <c r="AA1402" s="428" t="str">
        <f>VLOOKUP(H1402,'Fund Utilization Report'!$A$4:$U$1800,14,FALSE)</f>
        <v>330100100002000</v>
      </c>
      <c r="AB1402" s="349" t="str">
        <f>VLOOKUP(H1402,'Fund Utilization Report'!$A$4:$U$1800,15,FALSE)</f>
        <v>Implementation of the MSME Development Plan and other initiatives to promote the growth of Micro, Small and Medium Enterprises</v>
      </c>
      <c r="AC1402" s="39"/>
      <c r="AD1402" s="34"/>
      <c r="AE1402" s="39"/>
      <c r="AF1402" s="51"/>
      <c r="AG1402" s="40"/>
      <c r="AH1402" s="40"/>
    </row>
    <row r="1403" spans="1:34" s="32" customFormat="1">
      <c r="A1403" s="434" t="s">
        <v>942</v>
      </c>
      <c r="B1403" s="457" t="s">
        <v>946</v>
      </c>
      <c r="C1403" s="233">
        <v>44279</v>
      </c>
      <c r="D1403" s="435" t="s">
        <v>1267</v>
      </c>
      <c r="E1403" s="436" t="s">
        <v>1530</v>
      </c>
      <c r="F1403" s="338">
        <v>0.47222222222222227</v>
      </c>
      <c r="G1403" s="338">
        <v>0.4777777777777778</v>
      </c>
      <c r="H1403" s="338" t="s">
        <v>968</v>
      </c>
      <c r="I1403" s="353">
        <v>823</v>
      </c>
      <c r="J1403" s="338" t="str">
        <f>IFERROR(VLOOKUP(I1403,'Chart of accounts'!A:H,2,FALSE),"")</f>
        <v>50213050 03</v>
      </c>
      <c r="K1403" s="338" t="str">
        <f>IFERROR(VLOOKUP(I1403,'Chart of accounts'!A:H,3,FALSE),"")</f>
        <v>ICT Equipment</v>
      </c>
      <c r="L1403" s="338" t="str">
        <f>IFERROR(VLOOKUP(I1403,'Chart of accounts'!A:H,4,FALSE),"")</f>
        <v>50213050 03 - ICT Equipment (823)</v>
      </c>
      <c r="M1403" s="361">
        <v>67</v>
      </c>
      <c r="N1403" s="420" t="s">
        <v>822</v>
      </c>
      <c r="O1403" s="420" t="s">
        <v>1532</v>
      </c>
      <c r="P1403" s="420"/>
      <c r="Q1403" s="420">
        <v>4150</v>
      </c>
      <c r="R1403" s="428">
        <f t="shared" si="52"/>
        <v>-4150</v>
      </c>
      <c r="S1403" s="428" t="str">
        <f>VLOOKUP(H1403,'Fund Utilization Report'!$A$4:$U$1800,13,FALSE)</f>
        <v>MOOE</v>
      </c>
      <c r="T1403" s="428" t="str">
        <f>VLOOKUP(H1403,'Fund Utilization Report'!$A$4:$U$1800,2,FALSE)</f>
        <v>GAA</v>
      </c>
      <c r="U1403" s="428" t="str">
        <f>VLOOKUP(H1403,'Fund Utilization Report'!$A$4:$U$1800,3,FALSE)</f>
        <v>FY2021, RA11518</v>
      </c>
      <c r="V1403" s="428" t="str">
        <f>VLOOKUP(H1403,'Fund Utilization Report'!$A$4:$U$1800,4,FALSE)</f>
        <v>OO2</v>
      </c>
      <c r="W1403" s="428" t="str">
        <f>VLOOKUP(H1403,'Fund Utilization Report'!$A$4:$U$1800,5,FALSE)</f>
        <v>01101101</v>
      </c>
      <c r="X1403" s="428" t="str">
        <f>VLOOKUP(H1403,'Fund Utilization Report'!$A$4:$U$1800,6,FALSE)</f>
        <v>GOP</v>
      </c>
      <c r="Y1403" s="320" t="str">
        <f>VLOOKUP(H1403,'Fund Utilization Report'!$A$4:$U$1800,7,FALSE)</f>
        <v>MOOE</v>
      </c>
      <c r="Z1403" s="425">
        <f>VLOOKUP(H1403,'Fund Utilization Report'!$A$4:$U$1800,8,FALSE)</f>
        <v>5020000000</v>
      </c>
      <c r="AA1403" s="428" t="str">
        <f>VLOOKUP(H1403,'Fund Utilization Report'!$A$4:$U$1800,14,FALSE)</f>
        <v>320100100001000</v>
      </c>
      <c r="AB1403" s="349" t="str">
        <f>VLOOKUP(H1403,'Fund Utilization Report'!$A$4:$U$1800,15,FALSE)</f>
        <v>Formulation of Strategic plans,programs, and policies to develop competitve industries</v>
      </c>
      <c r="AC1403" s="39"/>
      <c r="AD1403" s="34"/>
      <c r="AE1403" s="39"/>
      <c r="AF1403" s="51"/>
      <c r="AG1403" s="40"/>
      <c r="AH1403" s="40"/>
    </row>
    <row r="1404" spans="1:34" s="32" customFormat="1">
      <c r="A1404" s="434" t="s">
        <v>942</v>
      </c>
      <c r="B1404" s="457" t="s">
        <v>946</v>
      </c>
      <c r="C1404" s="233">
        <v>44279</v>
      </c>
      <c r="D1404" s="435" t="s">
        <v>1267</v>
      </c>
      <c r="E1404" s="436" t="s">
        <v>1530</v>
      </c>
      <c r="F1404" s="338">
        <v>0.47222222222222227</v>
      </c>
      <c r="G1404" s="338">
        <v>0.4777777777777778</v>
      </c>
      <c r="H1404" s="338" t="s">
        <v>968</v>
      </c>
      <c r="I1404" s="353">
        <v>822</v>
      </c>
      <c r="J1404" s="338" t="str">
        <f>IFERROR(VLOOKUP(I1404,'Chart of accounts'!A:H,2,FALSE),"")</f>
        <v>50213070 00</v>
      </c>
      <c r="K1404" s="338" t="str">
        <f>IFERROR(VLOOKUP(I1404,'Chart of accounts'!A:H,3,FALSE),"")</f>
        <v>Furniture and Fixture</v>
      </c>
      <c r="L1404" s="338" t="str">
        <f>IFERROR(VLOOKUP(I1404,'Chart of accounts'!A:H,4,FALSE),"")</f>
        <v>50213070 00 - Furniture and Fixture (822)</v>
      </c>
      <c r="M1404" s="361">
        <v>67</v>
      </c>
      <c r="N1404" s="420" t="s">
        <v>822</v>
      </c>
      <c r="O1404" s="420" t="s">
        <v>1532</v>
      </c>
      <c r="P1404" s="420"/>
      <c r="Q1404" s="420">
        <v>2075</v>
      </c>
      <c r="R1404" s="428">
        <f t="shared" si="52"/>
        <v>-2075</v>
      </c>
      <c r="S1404" s="428" t="str">
        <f>VLOOKUP(H1404,'Fund Utilization Report'!$A$4:$U$1800,13,FALSE)</f>
        <v>MOOE</v>
      </c>
      <c r="T1404" s="428" t="str">
        <f>VLOOKUP(H1404,'Fund Utilization Report'!$A$4:$U$1800,2,FALSE)</f>
        <v>GAA</v>
      </c>
      <c r="U1404" s="428" t="str">
        <f>VLOOKUP(H1404,'Fund Utilization Report'!$A$4:$U$1800,3,FALSE)</f>
        <v>FY2021, RA11518</v>
      </c>
      <c r="V1404" s="428" t="str">
        <f>VLOOKUP(H1404,'Fund Utilization Report'!$A$4:$U$1800,4,FALSE)</f>
        <v>OO2</v>
      </c>
      <c r="W1404" s="428" t="str">
        <f>VLOOKUP(H1404,'Fund Utilization Report'!$A$4:$U$1800,5,FALSE)</f>
        <v>01101101</v>
      </c>
      <c r="X1404" s="428" t="str">
        <f>VLOOKUP(H1404,'Fund Utilization Report'!$A$4:$U$1800,6,FALSE)</f>
        <v>GOP</v>
      </c>
      <c r="Y1404" s="320" t="str">
        <f>VLOOKUP(H1404,'Fund Utilization Report'!$A$4:$U$1800,7,FALSE)</f>
        <v>MOOE</v>
      </c>
      <c r="Z1404" s="425">
        <f>VLOOKUP(H1404,'Fund Utilization Report'!$A$4:$U$1800,8,FALSE)</f>
        <v>5020000000</v>
      </c>
      <c r="AA1404" s="428" t="str">
        <f>VLOOKUP(H1404,'Fund Utilization Report'!$A$4:$U$1800,14,FALSE)</f>
        <v>320100100001000</v>
      </c>
      <c r="AB1404" s="349" t="str">
        <f>VLOOKUP(H1404,'Fund Utilization Report'!$A$4:$U$1800,15,FALSE)</f>
        <v>Formulation of Strategic plans,programs, and policies to develop competitve industries</v>
      </c>
      <c r="AC1404" s="39"/>
      <c r="AD1404" s="34"/>
      <c r="AE1404" s="39"/>
      <c r="AF1404" s="51"/>
      <c r="AG1404" s="40"/>
      <c r="AH1404" s="40"/>
    </row>
    <row r="1405" spans="1:34" s="32" customFormat="1">
      <c r="A1405" s="434" t="s">
        <v>942</v>
      </c>
      <c r="B1405" s="457" t="s">
        <v>946</v>
      </c>
      <c r="C1405" s="233">
        <v>44279</v>
      </c>
      <c r="D1405" s="435" t="s">
        <v>1267</v>
      </c>
      <c r="E1405" s="436" t="s">
        <v>1530</v>
      </c>
      <c r="F1405" s="338">
        <v>0.47222222222222227</v>
      </c>
      <c r="G1405" s="338">
        <v>0.4777777777777778</v>
      </c>
      <c r="H1405" s="338" t="s">
        <v>961</v>
      </c>
      <c r="I1405" s="353">
        <v>841</v>
      </c>
      <c r="J1405" s="338" t="str">
        <f>IFERROR(VLOOKUP(I1405,'Chart of accounts'!A:H,2,FALSE),"")</f>
        <v>50213060 01</v>
      </c>
      <c r="K1405" s="338" t="str">
        <f>IFERROR(VLOOKUP(I1405,'Chart of accounts'!A:H,3,FALSE),"")</f>
        <v>Motor Vehicles</v>
      </c>
      <c r="L1405" s="338" t="str">
        <f>IFERROR(VLOOKUP(I1405,'Chart of accounts'!A:H,4,FALSE),"")</f>
        <v>50213060 01 - Motor Vehicles (841)</v>
      </c>
      <c r="M1405" s="361">
        <v>67</v>
      </c>
      <c r="N1405" s="420" t="s">
        <v>822</v>
      </c>
      <c r="O1405" s="420" t="s">
        <v>1532</v>
      </c>
      <c r="P1405" s="420"/>
      <c r="Q1405" s="420">
        <v>16600</v>
      </c>
      <c r="R1405" s="428">
        <f t="shared" si="52"/>
        <v>-16600</v>
      </c>
      <c r="S1405" s="428" t="str">
        <f>VLOOKUP(H1405,'Fund Utilization Report'!$A$4:$U$1800,13,FALSE)</f>
        <v>MOOE</v>
      </c>
      <c r="T1405" s="428" t="str">
        <f>VLOOKUP(H1405,'Fund Utilization Report'!$A$4:$U$1800,2,FALSE)</f>
        <v>GAA</v>
      </c>
      <c r="U1405" s="428" t="str">
        <f>VLOOKUP(H1405,'Fund Utilization Report'!$A$4:$U$1800,3,FALSE)</f>
        <v>FY2021, RA11518</v>
      </c>
      <c r="V1405" s="428" t="str">
        <f>VLOOKUP(H1405,'Fund Utilization Report'!$A$4:$U$1800,4,FALSE)</f>
        <v>GAS(GMS)</v>
      </c>
      <c r="W1405" s="428" t="str">
        <f>VLOOKUP(H1405,'Fund Utilization Report'!$A$4:$U$1800,5,FALSE)</f>
        <v>01101101</v>
      </c>
      <c r="X1405" s="428" t="str">
        <f>VLOOKUP(H1405,'Fund Utilization Report'!$A$4:$U$1800,6,FALSE)</f>
        <v>GOP</v>
      </c>
      <c r="Y1405" s="320" t="str">
        <f>VLOOKUP(H1405,'Fund Utilization Report'!$A$4:$U$1800,7,FALSE)</f>
        <v>MOOE</v>
      </c>
      <c r="Z1405" s="425">
        <f>VLOOKUP(H1405,'Fund Utilization Report'!$A$4:$U$1800,8,FALSE)</f>
        <v>5020000000</v>
      </c>
      <c r="AA1405" s="428" t="str">
        <f>VLOOKUP(H1405,'Fund Utilization Report'!$A$4:$U$1800,14,FALSE)</f>
        <v>100000100001000</v>
      </c>
      <c r="AB1405" s="349" t="str">
        <f>VLOOKUP(H1405,'Fund Utilization Report'!$A$4:$U$1800,15,FALSE)</f>
        <v>General Administration and Supervision - General Management and Supervision</v>
      </c>
      <c r="AC1405" s="39"/>
      <c r="AD1405" s="34"/>
      <c r="AE1405" s="39"/>
      <c r="AF1405" s="51"/>
      <c r="AG1405" s="40"/>
      <c r="AH1405" s="40"/>
    </row>
    <row r="1406" spans="1:34" s="32" customFormat="1">
      <c r="A1406" s="434" t="s">
        <v>942</v>
      </c>
      <c r="B1406" s="457" t="s">
        <v>946</v>
      </c>
      <c r="C1406" s="233">
        <v>44279</v>
      </c>
      <c r="D1406" s="435" t="s">
        <v>1267</v>
      </c>
      <c r="E1406" s="436" t="s">
        <v>1530</v>
      </c>
      <c r="F1406" s="338">
        <v>0.47222222222222227</v>
      </c>
      <c r="G1406" s="338">
        <v>0.4777777777777778</v>
      </c>
      <c r="H1406" s="338" t="s">
        <v>961</v>
      </c>
      <c r="I1406" s="353">
        <v>891</v>
      </c>
      <c r="J1406" s="338" t="str">
        <f>IFERROR(VLOOKUP(I1406,'Chart of accounts'!A:H,2,FALSE),"")</f>
        <v>50215010 01</v>
      </c>
      <c r="K1406" s="338" t="str">
        <f>IFERROR(VLOOKUP(I1406,'Chart of accounts'!A:H,3,FALSE),"")</f>
        <v>Taxes, Duties and Licenses</v>
      </c>
      <c r="L1406" s="338" t="str">
        <f>IFERROR(VLOOKUP(I1406,'Chart of accounts'!A:H,4,FALSE),"")</f>
        <v>50215010 01 - Taxes, Duties and Licenses (891)</v>
      </c>
      <c r="M1406" s="361">
        <v>67</v>
      </c>
      <c r="N1406" s="420" t="s">
        <v>822</v>
      </c>
      <c r="O1406" s="420" t="s">
        <v>1532</v>
      </c>
      <c r="P1406" s="420"/>
      <c r="Q1406" s="420">
        <v>1037.5</v>
      </c>
      <c r="R1406" s="428">
        <f t="shared" si="52"/>
        <v>-1037.5</v>
      </c>
      <c r="S1406" s="428" t="str">
        <f>VLOOKUP(H1406,'Fund Utilization Report'!$A$4:$U$1800,13,FALSE)</f>
        <v>MOOE</v>
      </c>
      <c r="T1406" s="428" t="str">
        <f>VLOOKUP(H1406,'Fund Utilization Report'!$A$4:$U$1800,2,FALSE)</f>
        <v>GAA</v>
      </c>
      <c r="U1406" s="428" t="str">
        <f>VLOOKUP(H1406,'Fund Utilization Report'!$A$4:$U$1800,3,FALSE)</f>
        <v>FY2021, RA11518</v>
      </c>
      <c r="V1406" s="428" t="str">
        <f>VLOOKUP(H1406,'Fund Utilization Report'!$A$4:$U$1800,4,FALSE)</f>
        <v>GAS(GMS)</v>
      </c>
      <c r="W1406" s="428" t="str">
        <f>VLOOKUP(H1406,'Fund Utilization Report'!$A$4:$U$1800,5,FALSE)</f>
        <v>01101101</v>
      </c>
      <c r="X1406" s="428" t="str">
        <f>VLOOKUP(H1406,'Fund Utilization Report'!$A$4:$U$1800,6,FALSE)</f>
        <v>GOP</v>
      </c>
      <c r="Y1406" s="320" t="str">
        <f>VLOOKUP(H1406,'Fund Utilization Report'!$A$4:$U$1800,7,FALSE)</f>
        <v>MOOE</v>
      </c>
      <c r="Z1406" s="425">
        <f>VLOOKUP(H1406,'Fund Utilization Report'!$A$4:$U$1800,8,FALSE)</f>
        <v>5020000000</v>
      </c>
      <c r="AA1406" s="428" t="str">
        <f>VLOOKUP(H1406,'Fund Utilization Report'!$A$4:$U$1800,14,FALSE)</f>
        <v>100000100001000</v>
      </c>
      <c r="AB1406" s="349" t="str">
        <f>VLOOKUP(H1406,'Fund Utilization Report'!$A$4:$U$1800,15,FALSE)</f>
        <v>General Administration and Supervision - General Management and Supervision</v>
      </c>
      <c r="AC1406" s="39"/>
      <c r="AD1406" s="34"/>
      <c r="AE1406" s="39"/>
      <c r="AF1406" s="51"/>
      <c r="AG1406" s="40"/>
      <c r="AH1406" s="40"/>
    </row>
    <row r="1407" spans="1:34" s="32" customFormat="1">
      <c r="A1407" s="434" t="s">
        <v>942</v>
      </c>
      <c r="B1407" s="457" t="s">
        <v>946</v>
      </c>
      <c r="C1407" s="233">
        <v>44279</v>
      </c>
      <c r="D1407" s="435" t="s">
        <v>1267</v>
      </c>
      <c r="E1407" s="436" t="s">
        <v>1530</v>
      </c>
      <c r="F1407" s="338">
        <v>0.47222222222222227</v>
      </c>
      <c r="G1407" s="338">
        <v>0.4777777777777778</v>
      </c>
      <c r="H1407" s="338" t="s">
        <v>961</v>
      </c>
      <c r="I1407" s="353">
        <v>892</v>
      </c>
      <c r="J1407" s="338" t="str">
        <f>IFERROR(VLOOKUP(I1407,'Chart of accounts'!A:H,2,FALSE),"")</f>
        <v>50215020 00</v>
      </c>
      <c r="K1407" s="338" t="str">
        <f>IFERROR(VLOOKUP(I1407,'Chart of accounts'!A:H,3,FALSE),"")</f>
        <v>Fidelity Bond Premiums</v>
      </c>
      <c r="L1407" s="338" t="str">
        <f>IFERROR(VLOOKUP(I1407,'Chart of accounts'!A:H,4,FALSE),"")</f>
        <v>50215020 00 - Fidelity Bond Premiums (892)</v>
      </c>
      <c r="M1407" s="361">
        <v>67</v>
      </c>
      <c r="N1407" s="420" t="s">
        <v>822</v>
      </c>
      <c r="O1407" s="420" t="s">
        <v>1532</v>
      </c>
      <c r="P1407" s="420"/>
      <c r="Q1407" s="420">
        <v>2075</v>
      </c>
      <c r="R1407" s="428">
        <f t="shared" si="52"/>
        <v>-2075</v>
      </c>
      <c r="S1407" s="428" t="str">
        <f>VLOOKUP(H1407,'Fund Utilization Report'!$A$4:$U$1800,13,FALSE)</f>
        <v>MOOE</v>
      </c>
      <c r="T1407" s="428" t="str">
        <f>VLOOKUP(H1407,'Fund Utilization Report'!$A$4:$U$1800,2,FALSE)</f>
        <v>GAA</v>
      </c>
      <c r="U1407" s="428" t="str">
        <f>VLOOKUP(H1407,'Fund Utilization Report'!$A$4:$U$1800,3,FALSE)</f>
        <v>FY2021, RA11518</v>
      </c>
      <c r="V1407" s="428" t="str">
        <f>VLOOKUP(H1407,'Fund Utilization Report'!$A$4:$U$1800,4,FALSE)</f>
        <v>GAS(GMS)</v>
      </c>
      <c r="W1407" s="428" t="str">
        <f>VLOOKUP(H1407,'Fund Utilization Report'!$A$4:$U$1800,5,FALSE)</f>
        <v>01101101</v>
      </c>
      <c r="X1407" s="428" t="str">
        <f>VLOOKUP(H1407,'Fund Utilization Report'!$A$4:$U$1800,6,FALSE)</f>
        <v>GOP</v>
      </c>
      <c r="Y1407" s="320" t="str">
        <f>VLOOKUP(H1407,'Fund Utilization Report'!$A$4:$U$1800,7,FALSE)</f>
        <v>MOOE</v>
      </c>
      <c r="Z1407" s="425">
        <f>VLOOKUP(H1407,'Fund Utilization Report'!$A$4:$U$1800,8,FALSE)</f>
        <v>5020000000</v>
      </c>
      <c r="AA1407" s="428" t="str">
        <f>VLOOKUP(H1407,'Fund Utilization Report'!$A$4:$U$1800,14,FALSE)</f>
        <v>100000100001000</v>
      </c>
      <c r="AB1407" s="349" t="str">
        <f>VLOOKUP(H1407,'Fund Utilization Report'!$A$4:$U$1800,15,FALSE)</f>
        <v>General Administration and Supervision - General Management and Supervision</v>
      </c>
      <c r="AC1407" s="39"/>
      <c r="AD1407" s="34"/>
      <c r="AE1407" s="39"/>
      <c r="AF1407" s="51"/>
      <c r="AG1407" s="40"/>
      <c r="AH1407" s="40"/>
    </row>
    <row r="1408" spans="1:34" s="32" customFormat="1">
      <c r="A1408" s="434" t="s">
        <v>942</v>
      </c>
      <c r="B1408" s="457" t="s">
        <v>946</v>
      </c>
      <c r="C1408" s="233">
        <v>44279</v>
      </c>
      <c r="D1408" s="435" t="s">
        <v>1267</v>
      </c>
      <c r="E1408" s="436" t="s">
        <v>1530</v>
      </c>
      <c r="F1408" s="338">
        <v>0.47222222222222227</v>
      </c>
      <c r="G1408" s="338">
        <v>0.4777777777777778</v>
      </c>
      <c r="H1408" s="338" t="s">
        <v>961</v>
      </c>
      <c r="I1408" s="353">
        <v>893</v>
      </c>
      <c r="J1408" s="338" t="str">
        <f>IFERROR(VLOOKUP(I1408,'Chart of accounts'!A:H,2,FALSE),"")</f>
        <v>50215030 00</v>
      </c>
      <c r="K1408" s="338" t="str">
        <f>IFERROR(VLOOKUP(I1408,'Chart of accounts'!A:H,3,FALSE),"")</f>
        <v>Insurance Expense</v>
      </c>
      <c r="L1408" s="338" t="str">
        <f>IFERROR(VLOOKUP(I1408,'Chart of accounts'!A:H,4,FALSE),"")</f>
        <v>50215030 00 - Insurance Expense (893)</v>
      </c>
      <c r="M1408" s="361">
        <v>67</v>
      </c>
      <c r="N1408" s="420" t="s">
        <v>822</v>
      </c>
      <c r="O1408" s="420" t="s">
        <v>1532</v>
      </c>
      <c r="P1408" s="420"/>
      <c r="Q1408" s="420">
        <v>4565</v>
      </c>
      <c r="R1408" s="428">
        <f t="shared" si="52"/>
        <v>-4565</v>
      </c>
      <c r="S1408" s="428" t="str">
        <f>VLOOKUP(H1408,'Fund Utilization Report'!$A$4:$U$1800,13,FALSE)</f>
        <v>MOOE</v>
      </c>
      <c r="T1408" s="428" t="str">
        <f>VLOOKUP(H1408,'Fund Utilization Report'!$A$4:$U$1800,2,FALSE)</f>
        <v>GAA</v>
      </c>
      <c r="U1408" s="428" t="str">
        <f>VLOOKUP(H1408,'Fund Utilization Report'!$A$4:$U$1800,3,FALSE)</f>
        <v>FY2021, RA11518</v>
      </c>
      <c r="V1408" s="428" t="str">
        <f>VLOOKUP(H1408,'Fund Utilization Report'!$A$4:$U$1800,4,FALSE)</f>
        <v>GAS(GMS)</v>
      </c>
      <c r="W1408" s="428" t="str">
        <f>VLOOKUP(H1408,'Fund Utilization Report'!$A$4:$U$1800,5,FALSE)</f>
        <v>01101101</v>
      </c>
      <c r="X1408" s="428" t="str">
        <f>VLOOKUP(H1408,'Fund Utilization Report'!$A$4:$U$1800,6,FALSE)</f>
        <v>GOP</v>
      </c>
      <c r="Y1408" s="320" t="str">
        <f>VLOOKUP(H1408,'Fund Utilization Report'!$A$4:$U$1800,7,FALSE)</f>
        <v>MOOE</v>
      </c>
      <c r="Z1408" s="425">
        <f>VLOOKUP(H1408,'Fund Utilization Report'!$A$4:$U$1800,8,FALSE)</f>
        <v>5020000000</v>
      </c>
      <c r="AA1408" s="428" t="str">
        <f>VLOOKUP(H1408,'Fund Utilization Report'!$A$4:$U$1800,14,FALSE)</f>
        <v>100000100001000</v>
      </c>
      <c r="AB1408" s="349" t="str">
        <f>VLOOKUP(H1408,'Fund Utilization Report'!$A$4:$U$1800,15,FALSE)</f>
        <v>General Administration and Supervision - General Management and Supervision</v>
      </c>
      <c r="AC1408" s="39"/>
      <c r="AD1408" s="34"/>
      <c r="AE1408" s="39"/>
      <c r="AF1408" s="51"/>
      <c r="AG1408" s="40"/>
      <c r="AH1408" s="40"/>
    </row>
    <row r="1409" spans="1:34" s="32" customFormat="1">
      <c r="A1409" s="434" t="s">
        <v>942</v>
      </c>
      <c r="B1409" s="457" t="s">
        <v>946</v>
      </c>
      <c r="C1409" s="233">
        <v>44279</v>
      </c>
      <c r="D1409" s="435" t="s">
        <v>1267</v>
      </c>
      <c r="E1409" s="436" t="s">
        <v>1530</v>
      </c>
      <c r="F1409" s="338">
        <v>0.47222222222222227</v>
      </c>
      <c r="G1409" s="338">
        <v>0.4777777777777778</v>
      </c>
      <c r="H1409" s="338" t="s">
        <v>961</v>
      </c>
      <c r="I1409" s="353">
        <v>782</v>
      </c>
      <c r="J1409" s="338" t="str">
        <f>IFERROR(VLOOKUP(I1409,'Chart of accounts'!A:H,2,FALSE),"")</f>
        <v>50299050 01</v>
      </c>
      <c r="K1409" s="338" t="str">
        <f>IFERROR(VLOOKUP(I1409,'Chart of accounts'!A:H,3,FALSE),"")</f>
        <v>Rent - Buildings and Structures</v>
      </c>
      <c r="L1409" s="338" t="str">
        <f>IFERROR(VLOOKUP(I1409,'Chart of accounts'!A:H,4,FALSE),"")</f>
        <v>50299050 01 - Rent - Buildings and Structures (782)</v>
      </c>
      <c r="M1409" s="361">
        <v>67</v>
      </c>
      <c r="N1409" s="420" t="s">
        <v>822</v>
      </c>
      <c r="O1409" s="420" t="s">
        <v>1532</v>
      </c>
      <c r="P1409" s="420"/>
      <c r="Q1409" s="420">
        <v>123670</v>
      </c>
      <c r="R1409" s="428">
        <f t="shared" si="52"/>
        <v>-123670</v>
      </c>
      <c r="S1409" s="428" t="str">
        <f>VLOOKUP(H1409,'Fund Utilization Report'!$A$4:$U$1800,13,FALSE)</f>
        <v>MOOE</v>
      </c>
      <c r="T1409" s="428" t="str">
        <f>VLOOKUP(H1409,'Fund Utilization Report'!$A$4:$U$1800,2,FALSE)</f>
        <v>GAA</v>
      </c>
      <c r="U1409" s="428" t="str">
        <f>VLOOKUP(H1409,'Fund Utilization Report'!$A$4:$U$1800,3,FALSE)</f>
        <v>FY2021, RA11518</v>
      </c>
      <c r="V1409" s="428" t="str">
        <f>VLOOKUP(H1409,'Fund Utilization Report'!$A$4:$U$1800,4,FALSE)</f>
        <v>GAS(GMS)</v>
      </c>
      <c r="W1409" s="428" t="str">
        <f>VLOOKUP(H1409,'Fund Utilization Report'!$A$4:$U$1800,5,FALSE)</f>
        <v>01101101</v>
      </c>
      <c r="X1409" s="428" t="str">
        <f>VLOOKUP(H1409,'Fund Utilization Report'!$A$4:$U$1800,6,FALSE)</f>
        <v>GOP</v>
      </c>
      <c r="Y1409" s="320" t="str">
        <f>VLOOKUP(H1409,'Fund Utilization Report'!$A$4:$U$1800,7,FALSE)</f>
        <v>MOOE</v>
      </c>
      <c r="Z1409" s="425">
        <f>VLOOKUP(H1409,'Fund Utilization Report'!$A$4:$U$1800,8,FALSE)</f>
        <v>5020000000</v>
      </c>
      <c r="AA1409" s="428" t="str">
        <f>VLOOKUP(H1409,'Fund Utilization Report'!$A$4:$U$1800,14,FALSE)</f>
        <v>100000100001000</v>
      </c>
      <c r="AB1409" s="349" t="str">
        <f>VLOOKUP(H1409,'Fund Utilization Report'!$A$4:$U$1800,15,FALSE)</f>
        <v>General Administration and Supervision - General Management and Supervision</v>
      </c>
      <c r="AC1409" s="39"/>
      <c r="AD1409" s="34"/>
      <c r="AE1409" s="39"/>
      <c r="AF1409" s="51"/>
      <c r="AG1409" s="40"/>
      <c r="AH1409" s="40"/>
    </row>
    <row r="1410" spans="1:34" s="32" customFormat="1">
      <c r="A1410" s="434" t="s">
        <v>942</v>
      </c>
      <c r="B1410" s="457" t="s">
        <v>946</v>
      </c>
      <c r="C1410" s="233">
        <v>44279</v>
      </c>
      <c r="D1410" s="435" t="s">
        <v>1267</v>
      </c>
      <c r="E1410" s="436" t="s">
        <v>1530</v>
      </c>
      <c r="F1410" s="338">
        <v>0.47222222222222227</v>
      </c>
      <c r="G1410" s="338">
        <v>0.4777777777777778</v>
      </c>
      <c r="H1410" s="338" t="s">
        <v>961</v>
      </c>
      <c r="I1410" s="459">
        <v>786</v>
      </c>
      <c r="J1410" s="458" t="str">
        <f>IFERROR(VLOOKUP(I1410,'Chart of accounts'!A:H,2,FALSE),"")</f>
        <v>50299070 00</v>
      </c>
      <c r="K1410" s="458" t="str">
        <f>IFERROR(VLOOKUP(I1410,'Chart of accounts'!A:H,3,FALSE),"")</f>
        <v>Subscriptions Expenses</v>
      </c>
      <c r="L1410" s="458" t="str">
        <f>IFERROR(VLOOKUP(I1410,'Chart of accounts'!A:H,4,FALSE),"")</f>
        <v>50299070 00 - Subscriptions Expenses (786)</v>
      </c>
      <c r="M1410" s="361">
        <v>67</v>
      </c>
      <c r="N1410" s="420" t="s">
        <v>822</v>
      </c>
      <c r="O1410" s="420" t="s">
        <v>1532</v>
      </c>
      <c r="P1410" s="460"/>
      <c r="Q1410" s="461">
        <v>2490</v>
      </c>
      <c r="R1410" s="462">
        <f t="shared" si="52"/>
        <v>-2490</v>
      </c>
      <c r="S1410" s="428" t="str">
        <f>VLOOKUP(H1410,'Fund Utilization Report'!$A$4:$U$1800,13,FALSE)</f>
        <v>MOOE</v>
      </c>
      <c r="T1410" s="428" t="str">
        <f>VLOOKUP(H1410,'Fund Utilization Report'!$A$4:$U$1800,2,FALSE)</f>
        <v>GAA</v>
      </c>
      <c r="U1410" s="428" t="str">
        <f>VLOOKUP(H1410,'Fund Utilization Report'!$A$4:$U$1800,3,FALSE)</f>
        <v>FY2021, RA11518</v>
      </c>
      <c r="V1410" s="428" t="str">
        <f>VLOOKUP(H1410,'Fund Utilization Report'!$A$4:$U$1800,4,FALSE)</f>
        <v>GAS(GMS)</v>
      </c>
      <c r="W1410" s="428" t="str">
        <f>VLOOKUP(H1410,'Fund Utilization Report'!$A$4:$U$1800,5,FALSE)</f>
        <v>01101101</v>
      </c>
      <c r="X1410" s="428" t="str">
        <f>VLOOKUP(H1410,'Fund Utilization Report'!$A$4:$U$1800,6,FALSE)</f>
        <v>GOP</v>
      </c>
      <c r="Y1410" s="320" t="str">
        <f>VLOOKUP(H1410,'Fund Utilization Report'!$A$4:$U$1800,7,FALSE)</f>
        <v>MOOE</v>
      </c>
      <c r="Z1410" s="425">
        <f>VLOOKUP(H1410,'Fund Utilization Report'!$A$4:$U$1800,8,FALSE)</f>
        <v>5020000000</v>
      </c>
      <c r="AA1410" s="428" t="str">
        <f>VLOOKUP(H1410,'Fund Utilization Report'!$A$4:$U$1800,14,FALSE)</f>
        <v>100000100001000</v>
      </c>
      <c r="AB1410" s="349" t="str">
        <f>VLOOKUP(H1410,'Fund Utilization Report'!$A$4:$U$1800,15,FALSE)</f>
        <v>General Administration and Supervision - General Management and Supervision</v>
      </c>
      <c r="AC1410" s="39"/>
      <c r="AD1410" s="34"/>
      <c r="AE1410" s="39"/>
      <c r="AF1410" s="51"/>
      <c r="AG1410" s="40"/>
      <c r="AH1410" s="40"/>
    </row>
    <row r="1411" spans="1:34" s="32" customFormat="1">
      <c r="A1411" s="434" t="s">
        <v>942</v>
      </c>
      <c r="B1411" s="457" t="s">
        <v>946</v>
      </c>
      <c r="C1411" s="233">
        <v>44279</v>
      </c>
      <c r="D1411" s="435" t="s">
        <v>1267</v>
      </c>
      <c r="E1411" s="436" t="s">
        <v>1530</v>
      </c>
      <c r="F1411" s="338">
        <v>0.47222222222222227</v>
      </c>
      <c r="G1411" s="338">
        <v>0.4777777777777778</v>
      </c>
      <c r="H1411" s="338" t="s">
        <v>961</v>
      </c>
      <c r="I1411" s="353">
        <v>751</v>
      </c>
      <c r="J1411" s="338" t="str">
        <f>IFERROR(VLOOKUP(I1411,'Chart of accounts'!A:H,2,FALSE),"")</f>
        <v>50201010 00</v>
      </c>
      <c r="K1411" s="338" t="str">
        <f>IFERROR(VLOOKUP(I1411,'Chart of accounts'!A:H,3,FALSE),"")</f>
        <v>Traveling Expenses - Local</v>
      </c>
      <c r="L1411" s="338" t="str">
        <f>IFERROR(VLOOKUP(I1411,'Chart of accounts'!A:H,4,FALSE),"")</f>
        <v>50201010 00 - Traveling Expenses - Local (751)</v>
      </c>
      <c r="M1411" s="361">
        <v>67</v>
      </c>
      <c r="N1411" s="420" t="s">
        <v>822</v>
      </c>
      <c r="O1411" s="420" t="s">
        <v>1532</v>
      </c>
      <c r="P1411" s="420"/>
      <c r="Q1411" s="420">
        <v>2075</v>
      </c>
      <c r="R1411" s="428">
        <f t="shared" si="52"/>
        <v>-2075</v>
      </c>
      <c r="S1411" s="428" t="str">
        <f>VLOOKUP(H1411,'Fund Utilization Report'!$A$4:$U$1800,13,FALSE)</f>
        <v>MOOE</v>
      </c>
      <c r="T1411" s="428" t="str">
        <f>VLOOKUP(H1411,'Fund Utilization Report'!$A$4:$U$1800,2,FALSE)</f>
        <v>GAA</v>
      </c>
      <c r="U1411" s="428" t="str">
        <f>VLOOKUP(H1411,'Fund Utilization Report'!$A$4:$U$1800,3,FALSE)</f>
        <v>FY2021, RA11518</v>
      </c>
      <c r="V1411" s="428" t="str">
        <f>VLOOKUP(H1411,'Fund Utilization Report'!$A$4:$U$1800,4,FALSE)</f>
        <v>GAS(GMS)</v>
      </c>
      <c r="W1411" s="428" t="str">
        <f>VLOOKUP(H1411,'Fund Utilization Report'!$A$4:$U$1800,5,FALSE)</f>
        <v>01101101</v>
      </c>
      <c r="X1411" s="428" t="str">
        <f>VLOOKUP(H1411,'Fund Utilization Report'!$A$4:$U$1800,6,FALSE)</f>
        <v>GOP</v>
      </c>
      <c r="Y1411" s="320" t="str">
        <f>VLOOKUP(H1411,'Fund Utilization Report'!$A$4:$U$1800,7,FALSE)</f>
        <v>MOOE</v>
      </c>
      <c r="Z1411" s="425">
        <f>VLOOKUP(H1411,'Fund Utilization Report'!$A$4:$U$1800,8,FALSE)</f>
        <v>5020000000</v>
      </c>
      <c r="AA1411" s="428" t="str">
        <f>VLOOKUP(H1411,'Fund Utilization Report'!$A$4:$U$1800,14,FALSE)</f>
        <v>100000100001000</v>
      </c>
      <c r="AB1411" s="349" t="str">
        <f>VLOOKUP(H1411,'Fund Utilization Report'!$A$4:$U$1800,15,FALSE)</f>
        <v>General Administration and Supervision - General Management and Supervision</v>
      </c>
      <c r="AC1411" s="39"/>
      <c r="AD1411" s="34"/>
      <c r="AE1411" s="39"/>
      <c r="AF1411" s="51"/>
      <c r="AG1411" s="40"/>
      <c r="AH1411" s="40"/>
    </row>
    <row r="1412" spans="1:34" s="32" customFormat="1">
      <c r="A1412" s="434" t="s">
        <v>942</v>
      </c>
      <c r="B1412" s="457" t="s">
        <v>946</v>
      </c>
      <c r="C1412" s="233">
        <v>44279</v>
      </c>
      <c r="D1412" s="435" t="s">
        <v>1267</v>
      </c>
      <c r="E1412" s="436" t="s">
        <v>1530</v>
      </c>
      <c r="F1412" s="338">
        <v>0.47222222222222227</v>
      </c>
      <c r="G1412" s="338">
        <v>0.4777777777777778</v>
      </c>
      <c r="H1412" s="338" t="s">
        <v>961</v>
      </c>
      <c r="I1412" s="353">
        <v>755</v>
      </c>
      <c r="J1412" s="338" t="str">
        <f>IFERROR(VLOOKUP(I1412,'Chart of accounts'!A:H,2,FALSE),"")</f>
        <v>50203010 00</v>
      </c>
      <c r="K1412" s="338" t="str">
        <f>IFERROR(VLOOKUP(I1412,'Chart of accounts'!A:H,3,FALSE),"")</f>
        <v>Office Supplies Expenses</v>
      </c>
      <c r="L1412" s="338" t="str">
        <f>IFERROR(VLOOKUP(I1412,'Chart of accounts'!A:H,4,FALSE),"")</f>
        <v>50203010 00 - Office Supplies Expenses (755)</v>
      </c>
      <c r="M1412" s="361">
        <v>67</v>
      </c>
      <c r="N1412" s="420" t="s">
        <v>822</v>
      </c>
      <c r="O1412" s="420" t="s">
        <v>1532</v>
      </c>
      <c r="P1412" s="420"/>
      <c r="Q1412" s="420">
        <v>10375</v>
      </c>
      <c r="R1412" s="428">
        <f t="shared" si="52"/>
        <v>-10375</v>
      </c>
      <c r="S1412" s="428" t="str">
        <f>VLOOKUP(H1412,'Fund Utilization Report'!$A$4:$U$1800,13,FALSE)</f>
        <v>MOOE</v>
      </c>
      <c r="T1412" s="428" t="str">
        <f>VLOOKUP(H1412,'Fund Utilization Report'!$A$4:$U$1800,2,FALSE)</f>
        <v>GAA</v>
      </c>
      <c r="U1412" s="428" t="str">
        <f>VLOOKUP(H1412,'Fund Utilization Report'!$A$4:$U$1800,3,FALSE)</f>
        <v>FY2021, RA11518</v>
      </c>
      <c r="V1412" s="428" t="str">
        <f>VLOOKUP(H1412,'Fund Utilization Report'!$A$4:$U$1800,4,FALSE)</f>
        <v>GAS(GMS)</v>
      </c>
      <c r="W1412" s="428" t="str">
        <f>VLOOKUP(H1412,'Fund Utilization Report'!$A$4:$U$1800,5,FALSE)</f>
        <v>01101101</v>
      </c>
      <c r="X1412" s="428" t="str">
        <f>VLOOKUP(H1412,'Fund Utilization Report'!$A$4:$U$1800,6,FALSE)</f>
        <v>GOP</v>
      </c>
      <c r="Y1412" s="320" t="str">
        <f>VLOOKUP(H1412,'Fund Utilization Report'!$A$4:$U$1800,7,FALSE)</f>
        <v>MOOE</v>
      </c>
      <c r="Z1412" s="425">
        <f>VLOOKUP(H1412,'Fund Utilization Report'!$A$4:$U$1800,8,FALSE)</f>
        <v>5020000000</v>
      </c>
      <c r="AA1412" s="428" t="str">
        <f>VLOOKUP(H1412,'Fund Utilization Report'!$A$4:$U$1800,14,FALSE)</f>
        <v>100000100001000</v>
      </c>
      <c r="AB1412" s="349" t="str">
        <f>VLOOKUP(H1412,'Fund Utilization Report'!$A$4:$U$1800,15,FALSE)</f>
        <v>General Administration and Supervision - General Management and Supervision</v>
      </c>
      <c r="AC1412" s="39"/>
      <c r="AD1412" s="34"/>
      <c r="AE1412" s="39"/>
      <c r="AF1412" s="51"/>
      <c r="AG1412" s="40"/>
      <c r="AH1412" s="40"/>
    </row>
    <row r="1413" spans="1:34" s="32" customFormat="1">
      <c r="A1413" s="434" t="s">
        <v>942</v>
      </c>
      <c r="B1413" s="457" t="s">
        <v>946</v>
      </c>
      <c r="C1413" s="233">
        <v>44279</v>
      </c>
      <c r="D1413" s="435" t="s">
        <v>1267</v>
      </c>
      <c r="E1413" s="436" t="s">
        <v>1530</v>
      </c>
      <c r="F1413" s="338">
        <v>0.47222222222222227</v>
      </c>
      <c r="G1413" s="338">
        <v>0.4777777777777778</v>
      </c>
      <c r="H1413" s="338" t="s">
        <v>961</v>
      </c>
      <c r="I1413" s="353">
        <v>781</v>
      </c>
      <c r="J1413" s="338" t="str">
        <f>IFERROR(VLOOKUP(I1413,'Chart of accounts'!A:H,2,FALSE),"")</f>
        <v>50299020 00</v>
      </c>
      <c r="K1413" s="338" t="str">
        <f>IFERROR(VLOOKUP(I1413,'Chart of accounts'!A:H,3,FALSE),"")</f>
        <v>Printing and Binding Expenses</v>
      </c>
      <c r="L1413" s="338" t="str">
        <f>IFERROR(VLOOKUP(I1413,'Chart of accounts'!A:H,4,FALSE),"")</f>
        <v>50299020 00 - Printing and Binding Expenses (781)</v>
      </c>
      <c r="M1413" s="361">
        <v>67</v>
      </c>
      <c r="N1413" s="420" t="s">
        <v>822</v>
      </c>
      <c r="O1413" s="420" t="s">
        <v>1532</v>
      </c>
      <c r="P1413" s="420"/>
      <c r="Q1413" s="420">
        <v>2075</v>
      </c>
      <c r="R1413" s="428">
        <f t="shared" si="52"/>
        <v>-2075</v>
      </c>
      <c r="S1413" s="428" t="str">
        <f>VLOOKUP(H1413,'Fund Utilization Report'!$A$4:$U$1800,13,FALSE)</f>
        <v>MOOE</v>
      </c>
      <c r="T1413" s="428" t="str">
        <f>VLOOKUP(H1413,'Fund Utilization Report'!$A$4:$U$1800,2,FALSE)</f>
        <v>GAA</v>
      </c>
      <c r="U1413" s="428" t="str">
        <f>VLOOKUP(H1413,'Fund Utilization Report'!$A$4:$U$1800,3,FALSE)</f>
        <v>FY2021, RA11518</v>
      </c>
      <c r="V1413" s="428" t="str">
        <f>VLOOKUP(H1413,'Fund Utilization Report'!$A$4:$U$1800,4,FALSE)</f>
        <v>GAS(GMS)</v>
      </c>
      <c r="W1413" s="428" t="str">
        <f>VLOOKUP(H1413,'Fund Utilization Report'!$A$4:$U$1800,5,FALSE)</f>
        <v>01101101</v>
      </c>
      <c r="X1413" s="428" t="str">
        <f>VLOOKUP(H1413,'Fund Utilization Report'!$A$4:$U$1800,6,FALSE)</f>
        <v>GOP</v>
      </c>
      <c r="Y1413" s="320" t="str">
        <f>VLOOKUP(H1413,'Fund Utilization Report'!$A$4:$U$1800,7,FALSE)</f>
        <v>MOOE</v>
      </c>
      <c r="Z1413" s="425">
        <f>VLOOKUP(H1413,'Fund Utilization Report'!$A$4:$U$1800,8,FALSE)</f>
        <v>5020000000</v>
      </c>
      <c r="AA1413" s="428" t="str">
        <f>VLOOKUP(H1413,'Fund Utilization Report'!$A$4:$U$1800,14,FALSE)</f>
        <v>100000100001000</v>
      </c>
      <c r="AB1413" s="349" t="str">
        <f>VLOOKUP(H1413,'Fund Utilization Report'!$A$4:$U$1800,15,FALSE)</f>
        <v>General Administration and Supervision - General Management and Supervision</v>
      </c>
      <c r="AC1413" s="39"/>
      <c r="AD1413" s="34"/>
      <c r="AE1413" s="39"/>
      <c r="AF1413" s="51"/>
      <c r="AG1413" s="40"/>
      <c r="AH1413" s="40"/>
    </row>
    <row r="1414" spans="1:34" s="32" customFormat="1">
      <c r="A1414" s="434" t="s">
        <v>942</v>
      </c>
      <c r="B1414" s="457" t="s">
        <v>946</v>
      </c>
      <c r="C1414" s="233">
        <v>44279</v>
      </c>
      <c r="D1414" s="435" t="s">
        <v>1267</v>
      </c>
      <c r="E1414" s="436" t="s">
        <v>1530</v>
      </c>
      <c r="F1414" s="338">
        <v>0.47222222222222227</v>
      </c>
      <c r="G1414" s="338">
        <v>0.4777777777777778</v>
      </c>
      <c r="H1414" s="338" t="s">
        <v>961</v>
      </c>
      <c r="I1414" s="353">
        <v>783</v>
      </c>
      <c r="J1414" s="338" t="str">
        <f>IFERROR(VLOOKUP(I1414,'Chart of accounts'!A:H,2,FALSE),"")</f>
        <v>50299030 00</v>
      </c>
      <c r="K1414" s="338" t="str">
        <f>IFERROR(VLOOKUP(I1414,'Chart of accounts'!A:H,3,FALSE),"")</f>
        <v>Representation Expenses</v>
      </c>
      <c r="L1414" s="338" t="str">
        <f>IFERROR(VLOOKUP(I1414,'Chart of accounts'!A:H,4,FALSE),"")</f>
        <v>50299030 00 - Representation Expenses (783)</v>
      </c>
      <c r="M1414" s="361">
        <v>67</v>
      </c>
      <c r="N1414" s="420" t="s">
        <v>822</v>
      </c>
      <c r="O1414" s="420" t="s">
        <v>1532</v>
      </c>
      <c r="P1414" s="420"/>
      <c r="Q1414" s="420">
        <v>5063</v>
      </c>
      <c r="R1414" s="428">
        <f t="shared" si="52"/>
        <v>-5063</v>
      </c>
      <c r="S1414" s="428" t="str">
        <f>VLOOKUP(H1414,'Fund Utilization Report'!$A$4:$U$1800,13,FALSE)</f>
        <v>MOOE</v>
      </c>
      <c r="T1414" s="428" t="str">
        <f>VLOOKUP(H1414,'Fund Utilization Report'!$A$4:$U$1800,2,FALSE)</f>
        <v>GAA</v>
      </c>
      <c r="U1414" s="428" t="str">
        <f>VLOOKUP(H1414,'Fund Utilization Report'!$A$4:$U$1800,3,FALSE)</f>
        <v>FY2021, RA11518</v>
      </c>
      <c r="V1414" s="428" t="str">
        <f>VLOOKUP(H1414,'Fund Utilization Report'!$A$4:$U$1800,4,FALSE)</f>
        <v>GAS(GMS)</v>
      </c>
      <c r="W1414" s="428" t="str">
        <f>VLOOKUP(H1414,'Fund Utilization Report'!$A$4:$U$1800,5,FALSE)</f>
        <v>01101101</v>
      </c>
      <c r="X1414" s="428" t="str">
        <f>VLOOKUP(H1414,'Fund Utilization Report'!$A$4:$U$1800,6,FALSE)</f>
        <v>GOP</v>
      </c>
      <c r="Y1414" s="320" t="str">
        <f>VLOOKUP(H1414,'Fund Utilization Report'!$A$4:$U$1800,7,FALSE)</f>
        <v>MOOE</v>
      </c>
      <c r="Z1414" s="425">
        <f>VLOOKUP(H1414,'Fund Utilization Report'!$A$4:$U$1800,8,FALSE)</f>
        <v>5020000000</v>
      </c>
      <c r="AA1414" s="428" t="str">
        <f>VLOOKUP(H1414,'Fund Utilization Report'!$A$4:$U$1800,14,FALSE)</f>
        <v>100000100001000</v>
      </c>
      <c r="AB1414" s="349" t="str">
        <f>VLOOKUP(H1414,'Fund Utilization Report'!$A$4:$U$1800,15,FALSE)</f>
        <v>General Administration and Supervision - General Management and Supervision</v>
      </c>
      <c r="AC1414" s="39"/>
      <c r="AD1414" s="34"/>
      <c r="AE1414" s="39"/>
      <c r="AF1414" s="51"/>
      <c r="AG1414" s="40"/>
      <c r="AH1414" s="40"/>
    </row>
    <row r="1415" spans="1:34" s="32" customFormat="1">
      <c r="A1415" s="434" t="s">
        <v>942</v>
      </c>
      <c r="B1415" s="457" t="s">
        <v>946</v>
      </c>
      <c r="C1415" s="233">
        <v>44279</v>
      </c>
      <c r="D1415" s="435" t="s">
        <v>1267</v>
      </c>
      <c r="E1415" s="436" t="s">
        <v>1530</v>
      </c>
      <c r="F1415" s="338">
        <v>0.47222222222222227</v>
      </c>
      <c r="G1415" s="338">
        <v>0.4777777777777778</v>
      </c>
      <c r="H1415" s="338" t="s">
        <v>968</v>
      </c>
      <c r="I1415" s="353">
        <v>784</v>
      </c>
      <c r="J1415" s="338" t="str">
        <f>IFERROR(VLOOKUP(I1415,'Chart of accounts'!A:H,2,FALSE),"")</f>
        <v>50299040 00</v>
      </c>
      <c r="K1415" s="338" t="str">
        <f>IFERROR(VLOOKUP(I1415,'Chart of accounts'!A:H,3,FALSE),"")</f>
        <v>Transportation and Delivery Expenses</v>
      </c>
      <c r="L1415" s="338" t="str">
        <f>IFERROR(VLOOKUP(I1415,'Chart of accounts'!A:H,4,FALSE),"")</f>
        <v>50299040 00 - Transportation and Delivery Expenses (784)</v>
      </c>
      <c r="M1415" s="361">
        <v>67</v>
      </c>
      <c r="N1415" s="420" t="s">
        <v>822</v>
      </c>
      <c r="O1415" s="420" t="s">
        <v>1532</v>
      </c>
      <c r="P1415" s="420"/>
      <c r="Q1415" s="420">
        <v>4980</v>
      </c>
      <c r="R1415" s="428">
        <f t="shared" si="52"/>
        <v>-4980</v>
      </c>
      <c r="S1415" s="428" t="str">
        <f>VLOOKUP(H1415,'Fund Utilization Report'!$A$4:$U$1800,13,FALSE)</f>
        <v>MOOE</v>
      </c>
      <c r="T1415" s="428" t="str">
        <f>VLOOKUP(H1415,'Fund Utilization Report'!$A$4:$U$1800,2,FALSE)</f>
        <v>GAA</v>
      </c>
      <c r="U1415" s="428" t="str">
        <f>VLOOKUP(H1415,'Fund Utilization Report'!$A$4:$U$1800,3,FALSE)</f>
        <v>FY2021, RA11518</v>
      </c>
      <c r="V1415" s="428" t="str">
        <f>VLOOKUP(H1415,'Fund Utilization Report'!$A$4:$U$1800,4,FALSE)</f>
        <v>OO2</v>
      </c>
      <c r="W1415" s="428" t="str">
        <f>VLOOKUP(H1415,'Fund Utilization Report'!$A$4:$U$1800,5,FALSE)</f>
        <v>01101101</v>
      </c>
      <c r="X1415" s="428" t="str">
        <f>VLOOKUP(H1415,'Fund Utilization Report'!$A$4:$U$1800,6,FALSE)</f>
        <v>GOP</v>
      </c>
      <c r="Y1415" s="320" t="str">
        <f>VLOOKUP(H1415,'Fund Utilization Report'!$A$4:$U$1800,7,FALSE)</f>
        <v>MOOE</v>
      </c>
      <c r="Z1415" s="425">
        <f>VLOOKUP(H1415,'Fund Utilization Report'!$A$4:$U$1800,8,FALSE)</f>
        <v>5020000000</v>
      </c>
      <c r="AA1415" s="428" t="str">
        <f>VLOOKUP(H1415,'Fund Utilization Report'!$A$4:$U$1800,14,FALSE)</f>
        <v>320100100001000</v>
      </c>
      <c r="AB1415" s="349" t="str">
        <f>VLOOKUP(H1415,'Fund Utilization Report'!$A$4:$U$1800,15,FALSE)</f>
        <v>Formulation of Strategic plans,programs, and policies to develop competitve industries</v>
      </c>
      <c r="AC1415" s="39"/>
      <c r="AD1415" s="34"/>
      <c r="AE1415" s="39"/>
      <c r="AF1415" s="51"/>
      <c r="AG1415" s="40"/>
      <c r="AH1415" s="40"/>
    </row>
    <row r="1416" spans="1:34" s="32" customFormat="1">
      <c r="A1416" s="434" t="s">
        <v>942</v>
      </c>
      <c r="B1416" s="457" t="s">
        <v>946</v>
      </c>
      <c r="C1416" s="233">
        <v>44279</v>
      </c>
      <c r="D1416" s="435" t="s">
        <v>1267</v>
      </c>
      <c r="E1416" s="436" t="s">
        <v>1530</v>
      </c>
      <c r="F1416" s="338">
        <v>0.47222222222222227</v>
      </c>
      <c r="G1416" s="338">
        <v>0.4777777777777778</v>
      </c>
      <c r="H1416" s="338" t="s">
        <v>961</v>
      </c>
      <c r="I1416" s="353">
        <v>969</v>
      </c>
      <c r="J1416" s="338" t="str">
        <f>IFERROR(VLOOKUP(I1416,'Chart of accounts'!A:H,2,FALSE),"")</f>
        <v>50299990 99</v>
      </c>
      <c r="K1416" s="338" t="str">
        <f>IFERROR(VLOOKUP(I1416,'Chart of accounts'!A:H,3,FALSE),"")</f>
        <v>Other Maintenance and Operating Expenses</v>
      </c>
      <c r="L1416" s="338" t="str">
        <f>IFERROR(VLOOKUP(I1416,'Chart of accounts'!A:H,4,FALSE),"")</f>
        <v>50299990 99 - Other Maintenance and Operating Expenses (969)</v>
      </c>
      <c r="M1416" s="361">
        <v>67</v>
      </c>
      <c r="N1416" s="420" t="s">
        <v>822</v>
      </c>
      <c r="O1416" s="420" t="s">
        <v>1532</v>
      </c>
      <c r="P1416" s="420"/>
      <c r="Q1416" s="420">
        <v>11952</v>
      </c>
      <c r="R1416" s="428">
        <f t="shared" si="52"/>
        <v>-11952</v>
      </c>
      <c r="S1416" s="428" t="str">
        <f>VLOOKUP(H1416,'Fund Utilization Report'!$A$4:$U$1800,13,FALSE)</f>
        <v>MOOE</v>
      </c>
      <c r="T1416" s="428" t="str">
        <f>VLOOKUP(H1416,'Fund Utilization Report'!$A$4:$U$1800,2,FALSE)</f>
        <v>GAA</v>
      </c>
      <c r="U1416" s="428" t="str">
        <f>VLOOKUP(H1416,'Fund Utilization Report'!$A$4:$U$1800,3,FALSE)</f>
        <v>FY2021, RA11518</v>
      </c>
      <c r="V1416" s="428" t="str">
        <f>VLOOKUP(H1416,'Fund Utilization Report'!$A$4:$U$1800,4,FALSE)</f>
        <v>GAS(GMS)</v>
      </c>
      <c r="W1416" s="428" t="str">
        <f>VLOOKUP(H1416,'Fund Utilization Report'!$A$4:$U$1800,5,FALSE)</f>
        <v>01101101</v>
      </c>
      <c r="X1416" s="428" t="str">
        <f>VLOOKUP(H1416,'Fund Utilization Report'!$A$4:$U$1800,6,FALSE)</f>
        <v>GOP</v>
      </c>
      <c r="Y1416" s="320" t="str">
        <f>VLOOKUP(H1416,'Fund Utilization Report'!$A$4:$U$1800,7,FALSE)</f>
        <v>MOOE</v>
      </c>
      <c r="Z1416" s="425">
        <f>VLOOKUP(H1416,'Fund Utilization Report'!$A$4:$U$1800,8,FALSE)</f>
        <v>5020000000</v>
      </c>
      <c r="AA1416" s="428" t="str">
        <f>VLOOKUP(H1416,'Fund Utilization Report'!$A$4:$U$1800,14,FALSE)</f>
        <v>100000100001000</v>
      </c>
      <c r="AB1416" s="349" t="str">
        <f>VLOOKUP(H1416,'Fund Utilization Report'!$A$4:$U$1800,15,FALSE)</f>
        <v>General Administration and Supervision - General Management and Supervision</v>
      </c>
      <c r="AC1416" s="39"/>
      <c r="AD1416" s="34"/>
      <c r="AE1416" s="39"/>
      <c r="AF1416" s="51"/>
      <c r="AG1416" s="40"/>
      <c r="AH1416" s="40"/>
    </row>
    <row r="1417" spans="1:34" s="32" customFormat="1">
      <c r="A1417" s="434" t="s">
        <v>942</v>
      </c>
      <c r="B1417" s="457" t="s">
        <v>946</v>
      </c>
      <c r="C1417" s="233">
        <v>44279</v>
      </c>
      <c r="D1417" s="435" t="s">
        <v>1267</v>
      </c>
      <c r="E1417" s="436" t="s">
        <v>1531</v>
      </c>
      <c r="F1417" s="338">
        <v>0.4777777777777778</v>
      </c>
      <c r="G1417" s="338">
        <v>0.4826388888888889</v>
      </c>
      <c r="H1417" s="338" t="s">
        <v>961</v>
      </c>
      <c r="I1417" s="353">
        <v>756</v>
      </c>
      <c r="J1417" s="338" t="str">
        <f>IFERROR(VLOOKUP(I1417,'Chart of accounts'!A:H,2,FALSE),"")</f>
        <v>50203020 00</v>
      </c>
      <c r="K1417" s="338" t="str">
        <f>IFERROR(VLOOKUP(I1417,'Chart of accounts'!A:H,3,FALSE),"")</f>
        <v xml:space="preserve">Accountable Forms Expenses </v>
      </c>
      <c r="L1417" s="338" t="str">
        <f>IFERROR(VLOOKUP(I1417,'Chart of accounts'!A:H,4,FALSE),"")</f>
        <v>50203020 00 - Accountable Forms Expenses  (756)</v>
      </c>
      <c r="M1417" s="361">
        <v>85</v>
      </c>
      <c r="N1417" s="420" t="s">
        <v>823</v>
      </c>
      <c r="O1417" s="420" t="s">
        <v>1532</v>
      </c>
      <c r="P1417" s="420"/>
      <c r="Q1417" s="420">
        <v>1494</v>
      </c>
      <c r="R1417" s="428">
        <f t="shared" si="52"/>
        <v>-1494</v>
      </c>
      <c r="S1417" s="428" t="str">
        <f>VLOOKUP(H1417,'Fund Utilization Report'!$A$4:$U$1800,13,FALSE)</f>
        <v>MOOE</v>
      </c>
      <c r="T1417" s="428" t="str">
        <f>VLOOKUP(H1417,'Fund Utilization Report'!$A$4:$U$1800,2,FALSE)</f>
        <v>GAA</v>
      </c>
      <c r="U1417" s="428" t="str">
        <f>VLOOKUP(H1417,'Fund Utilization Report'!$A$4:$U$1800,3,FALSE)</f>
        <v>FY2021, RA11518</v>
      </c>
      <c r="V1417" s="428" t="str">
        <f>VLOOKUP(H1417,'Fund Utilization Report'!$A$4:$U$1800,4,FALSE)</f>
        <v>GAS(GMS)</v>
      </c>
      <c r="W1417" s="428" t="str">
        <f>VLOOKUP(H1417,'Fund Utilization Report'!$A$4:$U$1800,5,FALSE)</f>
        <v>01101101</v>
      </c>
      <c r="X1417" s="428" t="str">
        <f>VLOOKUP(H1417,'Fund Utilization Report'!$A$4:$U$1800,6,FALSE)</f>
        <v>GOP</v>
      </c>
      <c r="Y1417" s="320" t="str">
        <f>VLOOKUP(H1417,'Fund Utilization Report'!$A$4:$U$1800,7,FALSE)</f>
        <v>MOOE</v>
      </c>
      <c r="Z1417" s="425">
        <f>VLOOKUP(H1417,'Fund Utilization Report'!$A$4:$U$1800,8,FALSE)</f>
        <v>5020000000</v>
      </c>
      <c r="AA1417" s="428" t="str">
        <f>VLOOKUP(H1417,'Fund Utilization Report'!$A$4:$U$1800,14,FALSE)</f>
        <v>100000100001000</v>
      </c>
      <c r="AB1417" s="349" t="str">
        <f>VLOOKUP(H1417,'Fund Utilization Report'!$A$4:$U$1800,15,FALSE)</f>
        <v>General Administration and Supervision - General Management and Supervision</v>
      </c>
      <c r="AC1417" s="39"/>
      <c r="AD1417" s="34"/>
      <c r="AE1417" s="39"/>
      <c r="AF1417" s="51"/>
      <c r="AG1417" s="40"/>
      <c r="AH1417" s="40"/>
    </row>
    <row r="1418" spans="1:34" s="32" customFormat="1">
      <c r="A1418" s="434" t="s">
        <v>942</v>
      </c>
      <c r="B1418" s="457" t="s">
        <v>946</v>
      </c>
      <c r="C1418" s="233">
        <v>44279</v>
      </c>
      <c r="D1418" s="435" t="s">
        <v>1267</v>
      </c>
      <c r="E1418" s="436" t="s">
        <v>1531</v>
      </c>
      <c r="F1418" s="338">
        <v>0.4777777777777778</v>
      </c>
      <c r="G1418" s="338">
        <v>0.4826388888888889</v>
      </c>
      <c r="H1418" s="338" t="s">
        <v>961</v>
      </c>
      <c r="I1418" s="353">
        <v>753</v>
      </c>
      <c r="J1418" s="338" t="str">
        <f>IFERROR(VLOOKUP(I1418,'Chart of accounts'!A:H,2,FALSE),"")</f>
        <v>50202010 00</v>
      </c>
      <c r="K1418" s="338" t="str">
        <f>IFERROR(VLOOKUP(I1418,'Chart of accounts'!A:H,3,FALSE),"")</f>
        <v>Training Expenses</v>
      </c>
      <c r="L1418" s="338" t="str">
        <f>IFERROR(VLOOKUP(I1418,'Chart of accounts'!A:H,4,FALSE),"")</f>
        <v>50202010 00 - Training Expenses (753)</v>
      </c>
      <c r="M1418" s="361">
        <v>85</v>
      </c>
      <c r="N1418" s="420" t="s">
        <v>823</v>
      </c>
      <c r="O1418" s="420" t="s">
        <v>1532</v>
      </c>
      <c r="P1418" s="420"/>
      <c r="Q1418" s="420">
        <v>11205</v>
      </c>
      <c r="R1418" s="428">
        <f t="shared" si="52"/>
        <v>-11205</v>
      </c>
      <c r="S1418" s="428" t="str">
        <f>VLOOKUP(H1418,'Fund Utilization Report'!$A$4:$U$1800,13,FALSE)</f>
        <v>MOOE</v>
      </c>
      <c r="T1418" s="428" t="str">
        <f>VLOOKUP(H1418,'Fund Utilization Report'!$A$4:$U$1800,2,FALSE)</f>
        <v>GAA</v>
      </c>
      <c r="U1418" s="428" t="str">
        <f>VLOOKUP(H1418,'Fund Utilization Report'!$A$4:$U$1800,3,FALSE)</f>
        <v>FY2021, RA11518</v>
      </c>
      <c r="V1418" s="428" t="str">
        <f>VLOOKUP(H1418,'Fund Utilization Report'!$A$4:$U$1800,4,FALSE)</f>
        <v>GAS(GMS)</v>
      </c>
      <c r="W1418" s="428" t="str">
        <f>VLOOKUP(H1418,'Fund Utilization Report'!$A$4:$U$1800,5,FALSE)</f>
        <v>01101101</v>
      </c>
      <c r="X1418" s="428" t="str">
        <f>VLOOKUP(H1418,'Fund Utilization Report'!$A$4:$U$1800,6,FALSE)</f>
        <v>GOP</v>
      </c>
      <c r="Y1418" s="320" t="str">
        <f>VLOOKUP(H1418,'Fund Utilization Report'!$A$4:$U$1800,7,FALSE)</f>
        <v>MOOE</v>
      </c>
      <c r="Z1418" s="425">
        <f>VLOOKUP(H1418,'Fund Utilization Report'!$A$4:$U$1800,8,FALSE)</f>
        <v>5020000000</v>
      </c>
      <c r="AA1418" s="428" t="str">
        <f>VLOOKUP(H1418,'Fund Utilization Report'!$A$4:$U$1800,14,FALSE)</f>
        <v>100000100001000</v>
      </c>
      <c r="AB1418" s="349" t="str">
        <f>VLOOKUP(H1418,'Fund Utilization Report'!$A$4:$U$1800,15,FALSE)</f>
        <v>General Administration and Supervision - General Management and Supervision</v>
      </c>
      <c r="AC1418" s="39"/>
      <c r="AD1418" s="34"/>
      <c r="AE1418" s="39"/>
      <c r="AF1418" s="51"/>
      <c r="AG1418" s="40"/>
      <c r="AH1418" s="40"/>
    </row>
    <row r="1419" spans="1:34" s="32" customFormat="1">
      <c r="A1419" s="434" t="s">
        <v>942</v>
      </c>
      <c r="B1419" s="457" t="s">
        <v>946</v>
      </c>
      <c r="C1419" s="233">
        <v>44279</v>
      </c>
      <c r="D1419" s="435" t="s">
        <v>1267</v>
      </c>
      <c r="E1419" s="436" t="s">
        <v>1531</v>
      </c>
      <c r="F1419" s="338">
        <v>0.4777777777777778</v>
      </c>
      <c r="G1419" s="338">
        <v>0.4826388888888889</v>
      </c>
      <c r="H1419" s="338" t="s">
        <v>961</v>
      </c>
      <c r="I1419" s="353">
        <v>761</v>
      </c>
      <c r="J1419" s="338" t="str">
        <f>IFERROR(VLOOKUP(I1419,'Chart of accounts'!A:H,2,FALSE),"")</f>
        <v>50203090 00</v>
      </c>
      <c r="K1419" s="338" t="str">
        <f>IFERROR(VLOOKUP(I1419,'Chart of accounts'!A:H,3,FALSE),"")</f>
        <v>Fuel, Oil and Lubricants Expenses</v>
      </c>
      <c r="L1419" s="338" t="str">
        <f>IFERROR(VLOOKUP(I1419,'Chart of accounts'!A:H,4,FALSE),"")</f>
        <v>50203090 00 - Fuel, Oil and Lubricants Expenses (761)</v>
      </c>
      <c r="M1419" s="361">
        <v>85</v>
      </c>
      <c r="N1419" s="420" t="s">
        <v>823</v>
      </c>
      <c r="O1419" s="420" t="s">
        <v>1532</v>
      </c>
      <c r="P1419" s="420"/>
      <c r="Q1419" s="420">
        <v>6225</v>
      </c>
      <c r="R1419" s="428">
        <f t="shared" si="52"/>
        <v>-6225</v>
      </c>
      <c r="S1419" s="428" t="str">
        <f>VLOOKUP(H1419,'Fund Utilization Report'!$A$4:$U$1800,13,FALSE)</f>
        <v>MOOE</v>
      </c>
      <c r="T1419" s="428" t="str">
        <f>VLOOKUP(H1419,'Fund Utilization Report'!$A$4:$U$1800,2,FALSE)</f>
        <v>GAA</v>
      </c>
      <c r="U1419" s="428" t="str">
        <f>VLOOKUP(H1419,'Fund Utilization Report'!$A$4:$U$1800,3,FALSE)</f>
        <v>FY2021, RA11518</v>
      </c>
      <c r="V1419" s="428" t="str">
        <f>VLOOKUP(H1419,'Fund Utilization Report'!$A$4:$U$1800,4,FALSE)</f>
        <v>GAS(GMS)</v>
      </c>
      <c r="W1419" s="428" t="str">
        <f>VLOOKUP(H1419,'Fund Utilization Report'!$A$4:$U$1800,5,FALSE)</f>
        <v>01101101</v>
      </c>
      <c r="X1419" s="428" t="str">
        <f>VLOOKUP(H1419,'Fund Utilization Report'!$A$4:$U$1800,6,FALSE)</f>
        <v>GOP</v>
      </c>
      <c r="Y1419" s="320" t="str">
        <f>VLOOKUP(H1419,'Fund Utilization Report'!$A$4:$U$1800,7,FALSE)</f>
        <v>MOOE</v>
      </c>
      <c r="Z1419" s="425">
        <f>VLOOKUP(H1419,'Fund Utilization Report'!$A$4:$U$1800,8,FALSE)</f>
        <v>5020000000</v>
      </c>
      <c r="AA1419" s="428" t="str">
        <f>VLOOKUP(H1419,'Fund Utilization Report'!$A$4:$U$1800,14,FALSE)</f>
        <v>100000100001000</v>
      </c>
      <c r="AB1419" s="349" t="str">
        <f>VLOOKUP(H1419,'Fund Utilization Report'!$A$4:$U$1800,15,FALSE)</f>
        <v>General Administration and Supervision - General Management and Supervision</v>
      </c>
      <c r="AC1419" s="39"/>
      <c r="AD1419" s="34"/>
      <c r="AE1419" s="39"/>
      <c r="AF1419" s="51"/>
      <c r="AG1419" s="40"/>
      <c r="AH1419" s="40"/>
    </row>
    <row r="1420" spans="1:34" s="32" customFormat="1">
      <c r="A1420" s="434" t="s">
        <v>942</v>
      </c>
      <c r="B1420" s="457" t="s">
        <v>946</v>
      </c>
      <c r="C1420" s="233">
        <v>44279</v>
      </c>
      <c r="D1420" s="435" t="s">
        <v>1267</v>
      </c>
      <c r="E1420" s="436" t="s">
        <v>1531</v>
      </c>
      <c r="F1420" s="338">
        <v>0.4777777777777778</v>
      </c>
      <c r="G1420" s="338">
        <v>0.4826388888888889</v>
      </c>
      <c r="H1420" s="338" t="s">
        <v>961</v>
      </c>
      <c r="I1420" s="353">
        <v>766</v>
      </c>
      <c r="J1420" s="338" t="str">
        <f>IFERROR(VLOOKUP(I1420,'Chart of accounts'!A:H,2,FALSE),"")</f>
        <v>50204010 00</v>
      </c>
      <c r="K1420" s="338" t="str">
        <f>IFERROR(VLOOKUP(I1420,'Chart of accounts'!A:H,3,FALSE),"")</f>
        <v>Water Expenses</v>
      </c>
      <c r="L1420" s="338" t="str">
        <f>IFERROR(VLOOKUP(I1420,'Chart of accounts'!A:H,4,FALSE),"")</f>
        <v>50204010 00 - Water Expenses (766)</v>
      </c>
      <c r="M1420" s="361">
        <v>85</v>
      </c>
      <c r="N1420" s="420" t="s">
        <v>823</v>
      </c>
      <c r="O1420" s="420" t="s">
        <v>1532</v>
      </c>
      <c r="P1420" s="420"/>
      <c r="Q1420" s="420">
        <v>2490</v>
      </c>
      <c r="R1420" s="428">
        <f t="shared" si="52"/>
        <v>-2490</v>
      </c>
      <c r="S1420" s="428" t="str">
        <f>VLOOKUP(H1420,'Fund Utilization Report'!$A$4:$U$1800,13,FALSE)</f>
        <v>MOOE</v>
      </c>
      <c r="T1420" s="428" t="str">
        <f>VLOOKUP(H1420,'Fund Utilization Report'!$A$4:$U$1800,2,FALSE)</f>
        <v>GAA</v>
      </c>
      <c r="U1420" s="428" t="str">
        <f>VLOOKUP(H1420,'Fund Utilization Report'!$A$4:$U$1800,3,FALSE)</f>
        <v>FY2021, RA11518</v>
      </c>
      <c r="V1420" s="428" t="str">
        <f>VLOOKUP(H1420,'Fund Utilization Report'!$A$4:$U$1800,4,FALSE)</f>
        <v>GAS(GMS)</v>
      </c>
      <c r="W1420" s="428" t="str">
        <f>VLOOKUP(H1420,'Fund Utilization Report'!$A$4:$U$1800,5,FALSE)</f>
        <v>01101101</v>
      </c>
      <c r="X1420" s="428" t="str">
        <f>VLOOKUP(H1420,'Fund Utilization Report'!$A$4:$U$1800,6,FALSE)</f>
        <v>GOP</v>
      </c>
      <c r="Y1420" s="320" t="str">
        <f>VLOOKUP(H1420,'Fund Utilization Report'!$A$4:$U$1800,7,FALSE)</f>
        <v>MOOE</v>
      </c>
      <c r="Z1420" s="425">
        <f>VLOOKUP(H1420,'Fund Utilization Report'!$A$4:$U$1800,8,FALSE)</f>
        <v>5020000000</v>
      </c>
      <c r="AA1420" s="428" t="str">
        <f>VLOOKUP(H1420,'Fund Utilization Report'!$A$4:$U$1800,14,FALSE)</f>
        <v>100000100001000</v>
      </c>
      <c r="AB1420" s="349" t="str">
        <f>VLOOKUP(H1420,'Fund Utilization Report'!$A$4:$U$1800,15,FALSE)</f>
        <v>General Administration and Supervision - General Management and Supervision</v>
      </c>
      <c r="AC1420" s="39"/>
      <c r="AD1420" s="34"/>
      <c r="AE1420" s="39"/>
      <c r="AF1420" s="51"/>
      <c r="AG1420" s="40"/>
      <c r="AH1420" s="40"/>
    </row>
    <row r="1421" spans="1:34" s="32" customFormat="1">
      <c r="A1421" s="434" t="s">
        <v>942</v>
      </c>
      <c r="B1421" s="457" t="s">
        <v>946</v>
      </c>
      <c r="C1421" s="233">
        <v>44279</v>
      </c>
      <c r="D1421" s="435" t="s">
        <v>1267</v>
      </c>
      <c r="E1421" s="436" t="s">
        <v>1531</v>
      </c>
      <c r="F1421" s="338">
        <v>0.4777777777777778</v>
      </c>
      <c r="G1421" s="338">
        <v>0.4826388888888889</v>
      </c>
      <c r="H1421" s="338" t="s">
        <v>961</v>
      </c>
      <c r="I1421" s="353">
        <v>767</v>
      </c>
      <c r="J1421" s="338" t="str">
        <f>IFERROR(VLOOKUP(I1421,'Chart of accounts'!A:H,2,FALSE),"")</f>
        <v>50204020 00</v>
      </c>
      <c r="K1421" s="338" t="str">
        <f>IFERROR(VLOOKUP(I1421,'Chart of accounts'!A:H,3,FALSE),"")</f>
        <v>Electricity Expense</v>
      </c>
      <c r="L1421" s="338" t="str">
        <f>IFERROR(VLOOKUP(I1421,'Chart of accounts'!A:H,4,FALSE),"")</f>
        <v>50204020 00 - Electricity Expense (767)</v>
      </c>
      <c r="M1421" s="361">
        <v>85</v>
      </c>
      <c r="N1421" s="420" t="s">
        <v>823</v>
      </c>
      <c r="O1421" s="420" t="s">
        <v>1532</v>
      </c>
      <c r="P1421" s="420"/>
      <c r="Q1421" s="420">
        <v>9960</v>
      </c>
      <c r="R1421" s="428">
        <f t="shared" si="52"/>
        <v>-9960</v>
      </c>
      <c r="S1421" s="428" t="str">
        <f>VLOOKUP(H1421,'Fund Utilization Report'!$A$4:$U$1800,13,FALSE)</f>
        <v>MOOE</v>
      </c>
      <c r="T1421" s="428" t="str">
        <f>VLOOKUP(H1421,'Fund Utilization Report'!$A$4:$U$1800,2,FALSE)</f>
        <v>GAA</v>
      </c>
      <c r="U1421" s="428" t="str">
        <f>VLOOKUP(H1421,'Fund Utilization Report'!$A$4:$U$1800,3,FALSE)</f>
        <v>FY2021, RA11518</v>
      </c>
      <c r="V1421" s="428" t="str">
        <f>VLOOKUP(H1421,'Fund Utilization Report'!$A$4:$U$1800,4,FALSE)</f>
        <v>GAS(GMS)</v>
      </c>
      <c r="W1421" s="428" t="str">
        <f>VLOOKUP(H1421,'Fund Utilization Report'!$A$4:$U$1800,5,FALSE)</f>
        <v>01101101</v>
      </c>
      <c r="X1421" s="428" t="str">
        <f>VLOOKUP(H1421,'Fund Utilization Report'!$A$4:$U$1800,6,FALSE)</f>
        <v>GOP</v>
      </c>
      <c r="Y1421" s="320" t="str">
        <f>VLOOKUP(H1421,'Fund Utilization Report'!$A$4:$U$1800,7,FALSE)</f>
        <v>MOOE</v>
      </c>
      <c r="Z1421" s="425">
        <f>VLOOKUP(H1421,'Fund Utilization Report'!$A$4:$U$1800,8,FALSE)</f>
        <v>5020000000</v>
      </c>
      <c r="AA1421" s="428" t="str">
        <f>VLOOKUP(H1421,'Fund Utilization Report'!$A$4:$U$1800,14,FALSE)</f>
        <v>100000100001000</v>
      </c>
      <c r="AB1421" s="349" t="str">
        <f>VLOOKUP(H1421,'Fund Utilization Report'!$A$4:$U$1800,15,FALSE)</f>
        <v>General Administration and Supervision - General Management and Supervision</v>
      </c>
      <c r="AC1421" s="39"/>
      <c r="AD1421" s="34"/>
      <c r="AE1421" s="39"/>
      <c r="AF1421" s="51"/>
      <c r="AG1421" s="40"/>
      <c r="AH1421" s="40"/>
    </row>
    <row r="1422" spans="1:34" s="32" customFormat="1">
      <c r="A1422" s="434" t="s">
        <v>942</v>
      </c>
      <c r="B1422" s="457" t="s">
        <v>946</v>
      </c>
      <c r="C1422" s="233">
        <v>44279</v>
      </c>
      <c r="D1422" s="435" t="s">
        <v>1267</v>
      </c>
      <c r="E1422" s="436" t="s">
        <v>1531</v>
      </c>
      <c r="F1422" s="338">
        <v>0.4777777777777778</v>
      </c>
      <c r="G1422" s="338">
        <v>0.4826388888888889</v>
      </c>
      <c r="H1422" s="338" t="s">
        <v>961</v>
      </c>
      <c r="I1422" s="353">
        <v>771</v>
      </c>
      <c r="J1422" s="338" t="str">
        <f>IFERROR(VLOOKUP(I1422,'Chart of accounts'!A:H,2,FALSE),"")</f>
        <v>50205010 00</v>
      </c>
      <c r="K1422" s="338" t="str">
        <f>IFERROR(VLOOKUP(I1422,'Chart of accounts'!A:H,3,FALSE),"")</f>
        <v>Postage and Courier Services</v>
      </c>
      <c r="L1422" s="338" t="str">
        <f>IFERROR(VLOOKUP(I1422,'Chart of accounts'!A:H,4,FALSE),"")</f>
        <v>50205010 00 - Postage and Courier Services (771)</v>
      </c>
      <c r="M1422" s="361">
        <v>85</v>
      </c>
      <c r="N1422" s="420" t="s">
        <v>823</v>
      </c>
      <c r="O1422" s="420" t="s">
        <v>1532</v>
      </c>
      <c r="P1422" s="420"/>
      <c r="Q1422" s="420">
        <v>4980</v>
      </c>
      <c r="R1422" s="428">
        <f t="shared" si="52"/>
        <v>-4980</v>
      </c>
      <c r="S1422" s="428" t="str">
        <f>VLOOKUP(H1422,'Fund Utilization Report'!$A$4:$U$1800,13,FALSE)</f>
        <v>MOOE</v>
      </c>
      <c r="T1422" s="428" t="str">
        <f>VLOOKUP(H1422,'Fund Utilization Report'!$A$4:$U$1800,2,FALSE)</f>
        <v>GAA</v>
      </c>
      <c r="U1422" s="428" t="str">
        <f>VLOOKUP(H1422,'Fund Utilization Report'!$A$4:$U$1800,3,FALSE)</f>
        <v>FY2021, RA11518</v>
      </c>
      <c r="V1422" s="428" t="str">
        <f>VLOOKUP(H1422,'Fund Utilization Report'!$A$4:$U$1800,4,FALSE)</f>
        <v>GAS(GMS)</v>
      </c>
      <c r="W1422" s="428" t="str">
        <f>VLOOKUP(H1422,'Fund Utilization Report'!$A$4:$U$1800,5,FALSE)</f>
        <v>01101101</v>
      </c>
      <c r="X1422" s="428" t="str">
        <f>VLOOKUP(H1422,'Fund Utilization Report'!$A$4:$U$1800,6,FALSE)</f>
        <v>GOP</v>
      </c>
      <c r="Y1422" s="320" t="str">
        <f>VLOOKUP(H1422,'Fund Utilization Report'!$A$4:$U$1800,7,FALSE)</f>
        <v>MOOE</v>
      </c>
      <c r="Z1422" s="425">
        <f>VLOOKUP(H1422,'Fund Utilization Report'!$A$4:$U$1800,8,FALSE)</f>
        <v>5020000000</v>
      </c>
      <c r="AA1422" s="428" t="str">
        <f>VLOOKUP(H1422,'Fund Utilization Report'!$A$4:$U$1800,14,FALSE)</f>
        <v>100000100001000</v>
      </c>
      <c r="AB1422" s="349" t="str">
        <f>VLOOKUP(H1422,'Fund Utilization Report'!$A$4:$U$1800,15,FALSE)</f>
        <v>General Administration and Supervision - General Management and Supervision</v>
      </c>
      <c r="AC1422" s="39"/>
      <c r="AD1422" s="34"/>
      <c r="AE1422" s="39"/>
      <c r="AF1422" s="51"/>
      <c r="AG1422" s="40"/>
      <c r="AH1422" s="40"/>
    </row>
    <row r="1423" spans="1:34" s="32" customFormat="1">
      <c r="A1423" s="434" t="s">
        <v>942</v>
      </c>
      <c r="B1423" s="457" t="s">
        <v>946</v>
      </c>
      <c r="C1423" s="233">
        <v>44279</v>
      </c>
      <c r="D1423" s="435" t="s">
        <v>1267</v>
      </c>
      <c r="E1423" s="436" t="s">
        <v>1531</v>
      </c>
      <c r="F1423" s="338">
        <v>0.4777777777777778</v>
      </c>
      <c r="G1423" s="338">
        <v>0.4826388888888889</v>
      </c>
      <c r="H1423" s="338" t="s">
        <v>961</v>
      </c>
      <c r="I1423" s="353">
        <v>772</v>
      </c>
      <c r="J1423" s="338" t="str">
        <f>IFERROR(VLOOKUP(I1423,'Chart of accounts'!A:H,2,FALSE),"")</f>
        <v>50205020 02</v>
      </c>
      <c r="K1423" s="338" t="str">
        <f>IFERROR(VLOOKUP(I1423,'Chart of accounts'!A:H,3,FALSE),"")</f>
        <v xml:space="preserve">Telephone Expenses - Landline </v>
      </c>
      <c r="L1423" s="338" t="str">
        <f>IFERROR(VLOOKUP(I1423,'Chart of accounts'!A:H,4,FALSE),"")</f>
        <v>50205020 02 - Telephone Expenses - Landline  (772)</v>
      </c>
      <c r="M1423" s="361">
        <v>85</v>
      </c>
      <c r="N1423" s="420" t="s">
        <v>823</v>
      </c>
      <c r="O1423" s="420" t="s">
        <v>1532</v>
      </c>
      <c r="P1423" s="420"/>
      <c r="Q1423" s="420">
        <v>2490</v>
      </c>
      <c r="R1423" s="428">
        <f t="shared" si="52"/>
        <v>-2490</v>
      </c>
      <c r="S1423" s="428" t="str">
        <f>VLOOKUP(H1423,'Fund Utilization Report'!$A$4:$U$1800,13,FALSE)</f>
        <v>MOOE</v>
      </c>
      <c r="T1423" s="428" t="str">
        <f>VLOOKUP(H1423,'Fund Utilization Report'!$A$4:$U$1800,2,FALSE)</f>
        <v>GAA</v>
      </c>
      <c r="U1423" s="428" t="str">
        <f>VLOOKUP(H1423,'Fund Utilization Report'!$A$4:$U$1800,3,FALSE)</f>
        <v>FY2021, RA11518</v>
      </c>
      <c r="V1423" s="428" t="str">
        <f>VLOOKUP(H1423,'Fund Utilization Report'!$A$4:$U$1800,4,FALSE)</f>
        <v>GAS(GMS)</v>
      </c>
      <c r="W1423" s="428" t="str">
        <f>VLOOKUP(H1423,'Fund Utilization Report'!$A$4:$U$1800,5,FALSE)</f>
        <v>01101101</v>
      </c>
      <c r="X1423" s="428" t="str">
        <f>VLOOKUP(H1423,'Fund Utilization Report'!$A$4:$U$1800,6,FALSE)</f>
        <v>GOP</v>
      </c>
      <c r="Y1423" s="320" t="str">
        <f>VLOOKUP(H1423,'Fund Utilization Report'!$A$4:$U$1800,7,FALSE)</f>
        <v>MOOE</v>
      </c>
      <c r="Z1423" s="425">
        <f>VLOOKUP(H1423,'Fund Utilization Report'!$A$4:$U$1800,8,FALSE)</f>
        <v>5020000000</v>
      </c>
      <c r="AA1423" s="428" t="str">
        <f>VLOOKUP(H1423,'Fund Utilization Report'!$A$4:$U$1800,14,FALSE)</f>
        <v>100000100001000</v>
      </c>
      <c r="AB1423" s="349" t="str">
        <f>VLOOKUP(H1423,'Fund Utilization Report'!$A$4:$U$1800,15,FALSE)</f>
        <v>General Administration and Supervision - General Management and Supervision</v>
      </c>
      <c r="AC1423" s="39"/>
      <c r="AD1423" s="34"/>
      <c r="AE1423" s="39"/>
      <c r="AF1423" s="51"/>
      <c r="AG1423" s="40"/>
      <c r="AH1423" s="40"/>
    </row>
    <row r="1424" spans="1:34" s="32" customFormat="1">
      <c r="A1424" s="434" t="s">
        <v>942</v>
      </c>
      <c r="B1424" s="457" t="s">
        <v>946</v>
      </c>
      <c r="C1424" s="233">
        <v>44279</v>
      </c>
      <c r="D1424" s="435" t="s">
        <v>1267</v>
      </c>
      <c r="E1424" s="436" t="s">
        <v>1531</v>
      </c>
      <c r="F1424" s="338">
        <v>0.4777777777777778</v>
      </c>
      <c r="G1424" s="338">
        <v>0.4826388888888889</v>
      </c>
      <c r="H1424" s="338" t="s">
        <v>961</v>
      </c>
      <c r="I1424" s="353">
        <v>773</v>
      </c>
      <c r="J1424" s="338" t="str">
        <f>IFERROR(VLOOKUP(I1424,'Chart of accounts'!A:H,2,FALSE),"")</f>
        <v>50205020 01</v>
      </c>
      <c r="K1424" s="338" t="str">
        <f>IFERROR(VLOOKUP(I1424,'Chart of accounts'!A:H,3,FALSE),"")</f>
        <v xml:space="preserve">Telephone Expenses - Mobile </v>
      </c>
      <c r="L1424" s="338" t="str">
        <f>IFERROR(VLOOKUP(I1424,'Chart of accounts'!A:H,4,FALSE),"")</f>
        <v>50205020 01 - Telephone Expenses - Mobile  (773)</v>
      </c>
      <c r="M1424" s="361">
        <v>85</v>
      </c>
      <c r="N1424" s="420" t="s">
        <v>823</v>
      </c>
      <c r="O1424" s="420" t="s">
        <v>1532</v>
      </c>
      <c r="P1424" s="420"/>
      <c r="Q1424" s="420">
        <v>4482</v>
      </c>
      <c r="R1424" s="428">
        <f t="shared" si="52"/>
        <v>-4482</v>
      </c>
      <c r="S1424" s="428" t="str">
        <f>VLOOKUP(H1424,'Fund Utilization Report'!$A$4:$U$1800,13,FALSE)</f>
        <v>MOOE</v>
      </c>
      <c r="T1424" s="428" t="str">
        <f>VLOOKUP(H1424,'Fund Utilization Report'!$A$4:$U$1800,2,FALSE)</f>
        <v>GAA</v>
      </c>
      <c r="U1424" s="428" t="str">
        <f>VLOOKUP(H1424,'Fund Utilization Report'!$A$4:$U$1800,3,FALSE)</f>
        <v>FY2021, RA11518</v>
      </c>
      <c r="V1424" s="428" t="str">
        <f>VLOOKUP(H1424,'Fund Utilization Report'!$A$4:$U$1800,4,FALSE)</f>
        <v>GAS(GMS)</v>
      </c>
      <c r="W1424" s="428" t="str">
        <f>VLOOKUP(H1424,'Fund Utilization Report'!$A$4:$U$1800,5,FALSE)</f>
        <v>01101101</v>
      </c>
      <c r="X1424" s="428" t="str">
        <f>VLOOKUP(H1424,'Fund Utilization Report'!$A$4:$U$1800,6,FALSE)</f>
        <v>GOP</v>
      </c>
      <c r="Y1424" s="320" t="str">
        <f>VLOOKUP(H1424,'Fund Utilization Report'!$A$4:$U$1800,7,FALSE)</f>
        <v>MOOE</v>
      </c>
      <c r="Z1424" s="425">
        <f>VLOOKUP(H1424,'Fund Utilization Report'!$A$4:$U$1800,8,FALSE)</f>
        <v>5020000000</v>
      </c>
      <c r="AA1424" s="428" t="str">
        <f>VLOOKUP(H1424,'Fund Utilization Report'!$A$4:$U$1800,14,FALSE)</f>
        <v>100000100001000</v>
      </c>
      <c r="AB1424" s="349" t="str">
        <f>VLOOKUP(H1424,'Fund Utilization Report'!$A$4:$U$1800,15,FALSE)</f>
        <v>General Administration and Supervision - General Management and Supervision</v>
      </c>
      <c r="AC1424" s="39"/>
      <c r="AD1424" s="34"/>
      <c r="AE1424" s="39"/>
      <c r="AF1424" s="51"/>
      <c r="AG1424" s="40"/>
      <c r="AH1424" s="40"/>
    </row>
    <row r="1425" spans="1:34" s="32" customFormat="1">
      <c r="A1425" s="434" t="s">
        <v>942</v>
      </c>
      <c r="B1425" s="457" t="s">
        <v>946</v>
      </c>
      <c r="C1425" s="233">
        <v>44279</v>
      </c>
      <c r="D1425" s="435" t="s">
        <v>1267</v>
      </c>
      <c r="E1425" s="436" t="s">
        <v>1531</v>
      </c>
      <c r="F1425" s="338">
        <v>0.4777777777777778</v>
      </c>
      <c r="G1425" s="338">
        <v>0.4826388888888889</v>
      </c>
      <c r="H1425" s="338" t="s">
        <v>961</v>
      </c>
      <c r="I1425" s="353">
        <v>775</v>
      </c>
      <c r="J1425" s="338" t="str">
        <f>IFERROR(VLOOKUP(I1425,'Chart of accounts'!A:H,2,FALSE),"")</f>
        <v>50205040 00</v>
      </c>
      <c r="K1425" s="338" t="str">
        <f>IFERROR(VLOOKUP(I1425,'Chart of accounts'!A:H,3,FALSE),"")</f>
        <v>Cable, Satellite, Telegraph, and Radio Expenses</v>
      </c>
      <c r="L1425" s="338" t="str">
        <f>IFERROR(VLOOKUP(I1425,'Chart of accounts'!A:H,4,FALSE),"")</f>
        <v>50205040 00 - Cable, Satellite, Telegraph, and Radio Expenses (775)</v>
      </c>
      <c r="M1425" s="361">
        <v>85</v>
      </c>
      <c r="N1425" s="420" t="s">
        <v>823</v>
      </c>
      <c r="O1425" s="420" t="s">
        <v>1532</v>
      </c>
      <c r="P1425" s="420"/>
      <c r="Q1425" s="420">
        <v>871.5</v>
      </c>
      <c r="R1425" s="428">
        <f t="shared" si="52"/>
        <v>-871.5</v>
      </c>
      <c r="S1425" s="428" t="str">
        <f>VLOOKUP(H1425,'Fund Utilization Report'!$A$4:$U$1800,13,FALSE)</f>
        <v>MOOE</v>
      </c>
      <c r="T1425" s="428" t="str">
        <f>VLOOKUP(H1425,'Fund Utilization Report'!$A$4:$U$1800,2,FALSE)</f>
        <v>GAA</v>
      </c>
      <c r="U1425" s="428" t="str">
        <f>VLOOKUP(H1425,'Fund Utilization Report'!$A$4:$U$1800,3,FALSE)</f>
        <v>FY2021, RA11518</v>
      </c>
      <c r="V1425" s="428" t="str">
        <f>VLOOKUP(H1425,'Fund Utilization Report'!$A$4:$U$1800,4,FALSE)</f>
        <v>GAS(GMS)</v>
      </c>
      <c r="W1425" s="428" t="str">
        <f>VLOOKUP(H1425,'Fund Utilization Report'!$A$4:$U$1800,5,FALSE)</f>
        <v>01101101</v>
      </c>
      <c r="X1425" s="428" t="str">
        <f>VLOOKUP(H1425,'Fund Utilization Report'!$A$4:$U$1800,6,FALSE)</f>
        <v>GOP</v>
      </c>
      <c r="Y1425" s="320" t="str">
        <f>VLOOKUP(H1425,'Fund Utilization Report'!$A$4:$U$1800,7,FALSE)</f>
        <v>MOOE</v>
      </c>
      <c r="Z1425" s="425">
        <f>VLOOKUP(H1425,'Fund Utilization Report'!$A$4:$U$1800,8,FALSE)</f>
        <v>5020000000</v>
      </c>
      <c r="AA1425" s="428" t="str">
        <f>VLOOKUP(H1425,'Fund Utilization Report'!$A$4:$U$1800,14,FALSE)</f>
        <v>100000100001000</v>
      </c>
      <c r="AB1425" s="349" t="str">
        <f>VLOOKUP(H1425,'Fund Utilization Report'!$A$4:$U$1800,15,FALSE)</f>
        <v>General Administration and Supervision - General Management and Supervision</v>
      </c>
      <c r="AC1425" s="39"/>
      <c r="AD1425" s="34"/>
      <c r="AE1425" s="39"/>
      <c r="AF1425" s="51"/>
      <c r="AG1425" s="40"/>
      <c r="AH1425" s="40"/>
    </row>
    <row r="1426" spans="1:34" s="32" customFormat="1">
      <c r="A1426" s="434" t="s">
        <v>942</v>
      </c>
      <c r="B1426" s="457" t="s">
        <v>946</v>
      </c>
      <c r="C1426" s="233">
        <v>44279</v>
      </c>
      <c r="D1426" s="435" t="s">
        <v>1267</v>
      </c>
      <c r="E1426" s="436" t="s">
        <v>1531</v>
      </c>
      <c r="F1426" s="338">
        <v>0.4777777777777778</v>
      </c>
      <c r="G1426" s="338">
        <v>0.4826388888888889</v>
      </c>
      <c r="H1426" s="338" t="s">
        <v>961</v>
      </c>
      <c r="I1426" s="353">
        <v>791</v>
      </c>
      <c r="J1426" s="338" t="str">
        <f>IFERROR(VLOOKUP(I1426,'Chart of accounts'!A:H,2,FALSE),"")</f>
        <v>50211010 00</v>
      </c>
      <c r="K1426" s="338" t="str">
        <f>IFERROR(VLOOKUP(I1426,'Chart of accounts'!A:H,3,FALSE),"")</f>
        <v>Legal Services</v>
      </c>
      <c r="L1426" s="338" t="str">
        <f>IFERROR(VLOOKUP(I1426,'Chart of accounts'!A:H,4,FALSE),"")</f>
        <v>50211010 00 - Legal Services (791)</v>
      </c>
      <c r="M1426" s="361">
        <v>85</v>
      </c>
      <c r="N1426" s="420" t="s">
        <v>823</v>
      </c>
      <c r="O1426" s="420" t="s">
        <v>1532</v>
      </c>
      <c r="P1426" s="420"/>
      <c r="Q1426" s="420">
        <v>2386.25</v>
      </c>
      <c r="R1426" s="428">
        <f t="shared" si="52"/>
        <v>-2386.25</v>
      </c>
      <c r="S1426" s="428" t="str">
        <f>VLOOKUP(H1426,'Fund Utilization Report'!$A$4:$U$1800,13,FALSE)</f>
        <v>MOOE</v>
      </c>
      <c r="T1426" s="428" t="str">
        <f>VLOOKUP(H1426,'Fund Utilization Report'!$A$4:$U$1800,2,FALSE)</f>
        <v>GAA</v>
      </c>
      <c r="U1426" s="428" t="str">
        <f>VLOOKUP(H1426,'Fund Utilization Report'!$A$4:$U$1800,3,FALSE)</f>
        <v>FY2021, RA11518</v>
      </c>
      <c r="V1426" s="428" t="str">
        <f>VLOOKUP(H1426,'Fund Utilization Report'!$A$4:$U$1800,4,FALSE)</f>
        <v>GAS(GMS)</v>
      </c>
      <c r="W1426" s="428" t="str">
        <f>VLOOKUP(H1426,'Fund Utilization Report'!$A$4:$U$1800,5,FALSE)</f>
        <v>01101101</v>
      </c>
      <c r="X1426" s="428" t="str">
        <f>VLOOKUP(H1426,'Fund Utilization Report'!$A$4:$U$1800,6,FALSE)</f>
        <v>GOP</v>
      </c>
      <c r="Y1426" s="320" t="str">
        <f>VLOOKUP(H1426,'Fund Utilization Report'!$A$4:$U$1800,7,FALSE)</f>
        <v>MOOE</v>
      </c>
      <c r="Z1426" s="425">
        <f>VLOOKUP(H1426,'Fund Utilization Report'!$A$4:$U$1800,8,FALSE)</f>
        <v>5020000000</v>
      </c>
      <c r="AA1426" s="428" t="str">
        <f>VLOOKUP(H1426,'Fund Utilization Report'!$A$4:$U$1800,14,FALSE)</f>
        <v>100000100001000</v>
      </c>
      <c r="AB1426" s="349" t="str">
        <f>VLOOKUP(H1426,'Fund Utilization Report'!$A$4:$U$1800,15,FALSE)</f>
        <v>General Administration and Supervision - General Management and Supervision</v>
      </c>
      <c r="AC1426" s="39"/>
      <c r="AD1426" s="34"/>
      <c r="AE1426" s="39"/>
      <c r="AF1426" s="51"/>
      <c r="AG1426" s="40"/>
      <c r="AH1426" s="40"/>
    </row>
    <row r="1427" spans="1:34" s="32" customFormat="1">
      <c r="A1427" s="434" t="s">
        <v>942</v>
      </c>
      <c r="B1427" s="457" t="s">
        <v>946</v>
      </c>
      <c r="C1427" s="233">
        <v>44279</v>
      </c>
      <c r="D1427" s="435" t="s">
        <v>1267</v>
      </c>
      <c r="E1427" s="436" t="s">
        <v>1531</v>
      </c>
      <c r="F1427" s="338">
        <v>0.4777777777777778</v>
      </c>
      <c r="G1427" s="338">
        <v>0.4826388888888889</v>
      </c>
      <c r="H1427" s="338" t="s">
        <v>961</v>
      </c>
      <c r="I1427" s="353">
        <v>796</v>
      </c>
      <c r="J1427" s="338" t="str">
        <f>IFERROR(VLOOKUP(I1427,'Chart of accounts'!A:H,2,FALSE),"")</f>
        <v>50212020 00</v>
      </c>
      <c r="K1427" s="338" t="str">
        <f>IFERROR(VLOOKUP(I1427,'Chart of accounts'!A:H,3,FALSE),"")</f>
        <v>Janitorial Services</v>
      </c>
      <c r="L1427" s="338" t="str">
        <f>IFERROR(VLOOKUP(I1427,'Chart of accounts'!A:H,4,FALSE),"")</f>
        <v>50212020 00 - Janitorial Services (796)</v>
      </c>
      <c r="M1427" s="361">
        <v>85</v>
      </c>
      <c r="N1427" s="420" t="s">
        <v>823</v>
      </c>
      <c r="O1427" s="420" t="s">
        <v>1532</v>
      </c>
      <c r="P1427" s="420"/>
      <c r="Q1427" s="420">
        <v>23738</v>
      </c>
      <c r="R1427" s="428">
        <f t="shared" si="52"/>
        <v>-23738</v>
      </c>
      <c r="S1427" s="428" t="str">
        <f>VLOOKUP(H1427,'Fund Utilization Report'!$A$4:$U$1800,13,FALSE)</f>
        <v>MOOE</v>
      </c>
      <c r="T1427" s="428" t="str">
        <f>VLOOKUP(H1427,'Fund Utilization Report'!$A$4:$U$1800,2,FALSE)</f>
        <v>GAA</v>
      </c>
      <c r="U1427" s="428" t="str">
        <f>VLOOKUP(H1427,'Fund Utilization Report'!$A$4:$U$1800,3,FALSE)</f>
        <v>FY2021, RA11518</v>
      </c>
      <c r="V1427" s="428" t="str">
        <f>VLOOKUP(H1427,'Fund Utilization Report'!$A$4:$U$1800,4,FALSE)</f>
        <v>GAS(GMS)</v>
      </c>
      <c r="W1427" s="428" t="str">
        <f>VLOOKUP(H1427,'Fund Utilization Report'!$A$4:$U$1800,5,FALSE)</f>
        <v>01101101</v>
      </c>
      <c r="X1427" s="428" t="str">
        <f>VLOOKUP(H1427,'Fund Utilization Report'!$A$4:$U$1800,6,FALSE)</f>
        <v>GOP</v>
      </c>
      <c r="Y1427" s="320" t="str">
        <f>VLOOKUP(H1427,'Fund Utilization Report'!$A$4:$U$1800,7,FALSE)</f>
        <v>MOOE</v>
      </c>
      <c r="Z1427" s="425">
        <f>VLOOKUP(H1427,'Fund Utilization Report'!$A$4:$U$1800,8,FALSE)</f>
        <v>5020000000</v>
      </c>
      <c r="AA1427" s="428" t="str">
        <f>VLOOKUP(H1427,'Fund Utilization Report'!$A$4:$U$1800,14,FALSE)</f>
        <v>100000100001000</v>
      </c>
      <c r="AB1427" s="349" t="str">
        <f>VLOOKUP(H1427,'Fund Utilization Report'!$A$4:$U$1800,15,FALSE)</f>
        <v>General Administration and Supervision - General Management and Supervision</v>
      </c>
      <c r="AC1427" s="39"/>
      <c r="AD1427" s="34"/>
      <c r="AE1427" s="39"/>
      <c r="AF1427" s="51"/>
      <c r="AG1427" s="40"/>
      <c r="AH1427" s="40"/>
    </row>
    <row r="1428" spans="1:34" s="32" customFormat="1">
      <c r="A1428" s="434" t="s">
        <v>942</v>
      </c>
      <c r="B1428" s="457" t="s">
        <v>946</v>
      </c>
      <c r="C1428" s="233">
        <v>44279</v>
      </c>
      <c r="D1428" s="435" t="s">
        <v>1267</v>
      </c>
      <c r="E1428" s="436" t="s">
        <v>1531</v>
      </c>
      <c r="F1428" s="338">
        <v>0.4777777777777778</v>
      </c>
      <c r="G1428" s="338">
        <v>0.4826388888888889</v>
      </c>
      <c r="H1428" s="338" t="s">
        <v>965</v>
      </c>
      <c r="I1428" s="353">
        <v>795</v>
      </c>
      <c r="J1428" s="338" t="str">
        <f>IFERROR(VLOOKUP(I1428,'Chart of accounts'!A:H,2,FALSE),"")</f>
        <v>50212990 00</v>
      </c>
      <c r="K1428" s="338" t="str">
        <f>IFERROR(VLOOKUP(I1428,'Chart of accounts'!A:H,3,FALSE),"")</f>
        <v>Other General Services</v>
      </c>
      <c r="L1428" s="338" t="str">
        <f>IFERROR(VLOOKUP(I1428,'Chart of accounts'!A:H,4,FALSE),"")</f>
        <v>50212990 00 - Other General Services (795)</v>
      </c>
      <c r="M1428" s="361">
        <v>85</v>
      </c>
      <c r="N1428" s="420" t="s">
        <v>823</v>
      </c>
      <c r="O1428" s="420" t="s">
        <v>1532</v>
      </c>
      <c r="P1428" s="420"/>
      <c r="Q1428" s="420">
        <v>129846.86</v>
      </c>
      <c r="R1428" s="428">
        <f t="shared" si="52"/>
        <v>-129846.86</v>
      </c>
      <c r="S1428" s="428" t="str">
        <f>VLOOKUP(H1428,'Fund Utilization Report'!$A$4:$U$1800,13,FALSE)</f>
        <v>MOOE</v>
      </c>
      <c r="T1428" s="428" t="str">
        <f>VLOOKUP(H1428,'Fund Utilization Report'!$A$4:$U$1800,2,FALSE)</f>
        <v>GAA</v>
      </c>
      <c r="U1428" s="428" t="str">
        <f>VLOOKUP(H1428,'Fund Utilization Report'!$A$4:$U$1800,3,FALSE)</f>
        <v>FY2021, RA11518</v>
      </c>
      <c r="V1428" s="428" t="str">
        <f>VLOOKUP(H1428,'Fund Utilization Report'!$A$4:$U$1800,4,FALSE)</f>
        <v>OO1</v>
      </c>
      <c r="W1428" s="428" t="str">
        <f>VLOOKUP(H1428,'Fund Utilization Report'!$A$4:$U$1800,5,FALSE)</f>
        <v>01101101</v>
      </c>
      <c r="X1428" s="428" t="str">
        <f>VLOOKUP(H1428,'Fund Utilization Report'!$A$4:$U$1800,6,FALSE)</f>
        <v>GOP</v>
      </c>
      <c r="Y1428" s="320" t="str">
        <f>VLOOKUP(H1428,'Fund Utilization Report'!$A$4:$U$1800,7,FALSE)</f>
        <v>MOOE</v>
      </c>
      <c r="Z1428" s="425">
        <f>VLOOKUP(H1428,'Fund Utilization Report'!$A$4:$U$1800,8,FALSE)</f>
        <v>5020000000</v>
      </c>
      <c r="AA1428" s="428" t="str">
        <f>VLOOKUP(H1428,'Fund Utilization Report'!$A$4:$U$1800,14,FALSE)</f>
        <v>310100100002000</v>
      </c>
      <c r="AB1428" s="349" t="str">
        <f>VLOOKUP(H1428,'Fund Utilization Report'!$A$4:$U$1800,15,FALSE)</f>
        <v>Development,Facilitation, and promotion of exports and investment, domestic and foreign</v>
      </c>
      <c r="AC1428" s="39"/>
      <c r="AD1428" s="34"/>
      <c r="AE1428" s="39"/>
      <c r="AF1428" s="51"/>
      <c r="AG1428" s="40"/>
      <c r="AH1428" s="40"/>
    </row>
    <row r="1429" spans="1:34" s="32" customFormat="1">
      <c r="A1429" s="434" t="s">
        <v>942</v>
      </c>
      <c r="B1429" s="457" t="s">
        <v>946</v>
      </c>
      <c r="C1429" s="233">
        <v>44279</v>
      </c>
      <c r="D1429" s="435" t="s">
        <v>1267</v>
      </c>
      <c r="E1429" s="436" t="s">
        <v>1531</v>
      </c>
      <c r="F1429" s="338">
        <v>0.4777777777777778</v>
      </c>
      <c r="G1429" s="338">
        <v>0.4826388888888889</v>
      </c>
      <c r="H1429" s="338" t="s">
        <v>971</v>
      </c>
      <c r="I1429" s="353">
        <v>821</v>
      </c>
      <c r="J1429" s="338" t="str">
        <f>IFERROR(VLOOKUP(I1429,'Chart of accounts'!A:H,2,FALSE),"")</f>
        <v>50213050 02</v>
      </c>
      <c r="K1429" s="338" t="str">
        <f>IFERROR(VLOOKUP(I1429,'Chart of accounts'!A:H,3,FALSE),"")</f>
        <v>Office Equipment</v>
      </c>
      <c r="L1429" s="338" t="str">
        <f>IFERROR(VLOOKUP(I1429,'Chart of accounts'!A:H,4,FALSE),"")</f>
        <v>50213050 02 - Office Equipment (821)</v>
      </c>
      <c r="M1429" s="361">
        <v>85</v>
      </c>
      <c r="N1429" s="420" t="s">
        <v>823</v>
      </c>
      <c r="O1429" s="420" t="s">
        <v>1532</v>
      </c>
      <c r="P1429" s="420"/>
      <c r="Q1429" s="420">
        <v>10375</v>
      </c>
      <c r="R1429" s="428">
        <f t="shared" si="52"/>
        <v>-10375</v>
      </c>
      <c r="S1429" s="428" t="str">
        <f>VLOOKUP(H1429,'Fund Utilization Report'!$A$4:$U$1800,13,FALSE)</f>
        <v>MOOE</v>
      </c>
      <c r="T1429" s="428" t="str">
        <f>VLOOKUP(H1429,'Fund Utilization Report'!$A$4:$U$1800,2,FALSE)</f>
        <v>GAA</v>
      </c>
      <c r="U1429" s="428" t="str">
        <f>VLOOKUP(H1429,'Fund Utilization Report'!$A$4:$U$1800,3,FALSE)</f>
        <v>FY2021, RA11518</v>
      </c>
      <c r="V1429" s="428" t="str">
        <f>VLOOKUP(H1429,'Fund Utilization Report'!$A$4:$U$1800,4,FALSE)</f>
        <v>OO3</v>
      </c>
      <c r="W1429" s="428" t="str">
        <f>VLOOKUP(H1429,'Fund Utilization Report'!$A$4:$U$1800,5,FALSE)</f>
        <v>01101101</v>
      </c>
      <c r="X1429" s="428" t="str">
        <f>VLOOKUP(H1429,'Fund Utilization Report'!$A$4:$U$1800,6,FALSE)</f>
        <v>GOP</v>
      </c>
      <c r="Y1429" s="320" t="str">
        <f>VLOOKUP(H1429,'Fund Utilization Report'!$A$4:$U$1800,7,FALSE)</f>
        <v>MOOE</v>
      </c>
      <c r="Z1429" s="425">
        <f>VLOOKUP(H1429,'Fund Utilization Report'!$A$4:$U$1800,8,FALSE)</f>
        <v>5020000000</v>
      </c>
      <c r="AA1429" s="428" t="str">
        <f>VLOOKUP(H1429,'Fund Utilization Report'!$A$4:$U$1800,14,FALSE)</f>
        <v>330100100002000</v>
      </c>
      <c r="AB1429" s="349" t="str">
        <f>VLOOKUP(H1429,'Fund Utilization Report'!$A$4:$U$1800,15,FALSE)</f>
        <v>Implementation of the MSME Development Plan and other initiatives to promote the growth of Micro, Small and Medium Enterprises</v>
      </c>
      <c r="AC1429" s="39"/>
      <c r="AD1429" s="34"/>
      <c r="AE1429" s="39"/>
      <c r="AF1429" s="51"/>
      <c r="AG1429" s="40"/>
      <c r="AH1429" s="40"/>
    </row>
    <row r="1430" spans="1:34" s="32" customFormat="1">
      <c r="A1430" s="434" t="s">
        <v>942</v>
      </c>
      <c r="B1430" s="457" t="s">
        <v>946</v>
      </c>
      <c r="C1430" s="233">
        <v>44279</v>
      </c>
      <c r="D1430" s="435" t="s">
        <v>1267</v>
      </c>
      <c r="E1430" s="436" t="s">
        <v>1531</v>
      </c>
      <c r="F1430" s="338">
        <v>0.4777777777777778</v>
      </c>
      <c r="G1430" s="338">
        <v>0.4826388888888889</v>
      </c>
      <c r="H1430" s="338" t="s">
        <v>968</v>
      </c>
      <c r="I1430" s="353">
        <v>823</v>
      </c>
      <c r="J1430" s="338" t="str">
        <f>IFERROR(VLOOKUP(I1430,'Chart of accounts'!A:H,2,FALSE),"")</f>
        <v>50213050 03</v>
      </c>
      <c r="K1430" s="338" t="str">
        <f>IFERROR(VLOOKUP(I1430,'Chart of accounts'!A:H,3,FALSE),"")</f>
        <v>ICT Equipment</v>
      </c>
      <c r="L1430" s="338" t="str">
        <f>IFERROR(VLOOKUP(I1430,'Chart of accounts'!A:H,4,FALSE),"")</f>
        <v>50213050 03 - ICT Equipment (823)</v>
      </c>
      <c r="M1430" s="361">
        <v>85</v>
      </c>
      <c r="N1430" s="420" t="s">
        <v>823</v>
      </c>
      <c r="O1430" s="420" t="s">
        <v>1532</v>
      </c>
      <c r="P1430" s="420"/>
      <c r="Q1430" s="420">
        <v>4150</v>
      </c>
      <c r="R1430" s="428">
        <f t="shared" si="52"/>
        <v>-4150</v>
      </c>
      <c r="S1430" s="428" t="str">
        <f>VLOOKUP(H1430,'Fund Utilization Report'!$A$4:$U$1800,13,FALSE)</f>
        <v>MOOE</v>
      </c>
      <c r="T1430" s="428" t="str">
        <f>VLOOKUP(H1430,'Fund Utilization Report'!$A$4:$U$1800,2,FALSE)</f>
        <v>GAA</v>
      </c>
      <c r="U1430" s="428" t="str">
        <f>VLOOKUP(H1430,'Fund Utilization Report'!$A$4:$U$1800,3,FALSE)</f>
        <v>FY2021, RA11518</v>
      </c>
      <c r="V1430" s="428" t="str">
        <f>VLOOKUP(H1430,'Fund Utilization Report'!$A$4:$U$1800,4,FALSE)</f>
        <v>OO2</v>
      </c>
      <c r="W1430" s="428" t="str">
        <f>VLOOKUP(H1430,'Fund Utilization Report'!$A$4:$U$1800,5,FALSE)</f>
        <v>01101101</v>
      </c>
      <c r="X1430" s="428" t="str">
        <f>VLOOKUP(H1430,'Fund Utilization Report'!$A$4:$U$1800,6,FALSE)</f>
        <v>GOP</v>
      </c>
      <c r="Y1430" s="320" t="str">
        <f>VLOOKUP(H1430,'Fund Utilization Report'!$A$4:$U$1800,7,FALSE)</f>
        <v>MOOE</v>
      </c>
      <c r="Z1430" s="425">
        <f>VLOOKUP(H1430,'Fund Utilization Report'!$A$4:$U$1800,8,FALSE)</f>
        <v>5020000000</v>
      </c>
      <c r="AA1430" s="428" t="str">
        <f>VLOOKUP(H1430,'Fund Utilization Report'!$A$4:$U$1800,14,FALSE)</f>
        <v>320100100001000</v>
      </c>
      <c r="AB1430" s="349" t="str">
        <f>VLOOKUP(H1430,'Fund Utilization Report'!$A$4:$U$1800,15,FALSE)</f>
        <v>Formulation of Strategic plans,programs, and policies to develop competitve industries</v>
      </c>
      <c r="AC1430" s="39"/>
      <c r="AD1430" s="34"/>
      <c r="AE1430" s="39"/>
      <c r="AF1430" s="51"/>
      <c r="AG1430" s="40"/>
      <c r="AH1430" s="40"/>
    </row>
    <row r="1431" spans="1:34" s="32" customFormat="1">
      <c r="A1431" s="434" t="s">
        <v>942</v>
      </c>
      <c r="B1431" s="457" t="s">
        <v>946</v>
      </c>
      <c r="C1431" s="233">
        <v>44279</v>
      </c>
      <c r="D1431" s="435" t="s">
        <v>1267</v>
      </c>
      <c r="E1431" s="436" t="s">
        <v>1531</v>
      </c>
      <c r="F1431" s="338">
        <v>0.4777777777777778</v>
      </c>
      <c r="G1431" s="338">
        <v>0.4826388888888889</v>
      </c>
      <c r="H1431" s="338" t="s">
        <v>968</v>
      </c>
      <c r="I1431" s="353">
        <v>822</v>
      </c>
      <c r="J1431" s="338" t="str">
        <f>IFERROR(VLOOKUP(I1431,'Chart of accounts'!A:H,2,FALSE),"")</f>
        <v>50213070 00</v>
      </c>
      <c r="K1431" s="338" t="str">
        <f>IFERROR(VLOOKUP(I1431,'Chart of accounts'!A:H,3,FALSE),"")</f>
        <v>Furniture and Fixture</v>
      </c>
      <c r="L1431" s="338" t="str">
        <f>IFERROR(VLOOKUP(I1431,'Chart of accounts'!A:H,4,FALSE),"")</f>
        <v>50213070 00 - Furniture and Fixture (822)</v>
      </c>
      <c r="M1431" s="361">
        <v>85</v>
      </c>
      <c r="N1431" s="420" t="s">
        <v>823</v>
      </c>
      <c r="O1431" s="420" t="s">
        <v>1532</v>
      </c>
      <c r="P1431" s="420"/>
      <c r="Q1431" s="420">
        <v>2075</v>
      </c>
      <c r="R1431" s="428">
        <f t="shared" si="52"/>
        <v>-2075</v>
      </c>
      <c r="S1431" s="428" t="str">
        <f>VLOOKUP(H1431,'Fund Utilization Report'!$A$4:$U$1800,13,FALSE)</f>
        <v>MOOE</v>
      </c>
      <c r="T1431" s="428" t="str">
        <f>VLOOKUP(H1431,'Fund Utilization Report'!$A$4:$U$1800,2,FALSE)</f>
        <v>GAA</v>
      </c>
      <c r="U1431" s="428" t="str">
        <f>VLOOKUP(H1431,'Fund Utilization Report'!$A$4:$U$1800,3,FALSE)</f>
        <v>FY2021, RA11518</v>
      </c>
      <c r="V1431" s="428" t="str">
        <f>VLOOKUP(H1431,'Fund Utilization Report'!$A$4:$U$1800,4,FALSE)</f>
        <v>OO2</v>
      </c>
      <c r="W1431" s="428" t="str">
        <f>VLOOKUP(H1431,'Fund Utilization Report'!$A$4:$U$1800,5,FALSE)</f>
        <v>01101101</v>
      </c>
      <c r="X1431" s="428" t="str">
        <f>VLOOKUP(H1431,'Fund Utilization Report'!$A$4:$U$1800,6,FALSE)</f>
        <v>GOP</v>
      </c>
      <c r="Y1431" s="320" t="str">
        <f>VLOOKUP(H1431,'Fund Utilization Report'!$A$4:$U$1800,7,FALSE)</f>
        <v>MOOE</v>
      </c>
      <c r="Z1431" s="425">
        <f>VLOOKUP(H1431,'Fund Utilization Report'!$A$4:$U$1800,8,FALSE)</f>
        <v>5020000000</v>
      </c>
      <c r="AA1431" s="428" t="str">
        <f>VLOOKUP(H1431,'Fund Utilization Report'!$A$4:$U$1800,14,FALSE)</f>
        <v>320100100001000</v>
      </c>
      <c r="AB1431" s="349" t="str">
        <f>VLOOKUP(H1431,'Fund Utilization Report'!$A$4:$U$1800,15,FALSE)</f>
        <v>Formulation of Strategic plans,programs, and policies to develop competitve industries</v>
      </c>
      <c r="AC1431" s="39"/>
      <c r="AD1431" s="34"/>
      <c r="AE1431" s="39"/>
      <c r="AF1431" s="51"/>
      <c r="AG1431" s="40"/>
      <c r="AH1431" s="40"/>
    </row>
    <row r="1432" spans="1:34" s="32" customFormat="1">
      <c r="A1432" s="434" t="s">
        <v>942</v>
      </c>
      <c r="B1432" s="457" t="s">
        <v>946</v>
      </c>
      <c r="C1432" s="233">
        <v>44279</v>
      </c>
      <c r="D1432" s="435" t="s">
        <v>1267</v>
      </c>
      <c r="E1432" s="436" t="s">
        <v>1531</v>
      </c>
      <c r="F1432" s="338">
        <v>0.4777777777777778</v>
      </c>
      <c r="G1432" s="338">
        <v>0.4826388888888889</v>
      </c>
      <c r="H1432" s="338" t="s">
        <v>961</v>
      </c>
      <c r="I1432" s="353">
        <v>841</v>
      </c>
      <c r="J1432" s="338" t="str">
        <f>IFERROR(VLOOKUP(I1432,'Chart of accounts'!A:H,2,FALSE),"")</f>
        <v>50213060 01</v>
      </c>
      <c r="K1432" s="338" t="str">
        <f>IFERROR(VLOOKUP(I1432,'Chart of accounts'!A:H,3,FALSE),"")</f>
        <v>Motor Vehicles</v>
      </c>
      <c r="L1432" s="338" t="str">
        <f>IFERROR(VLOOKUP(I1432,'Chart of accounts'!A:H,4,FALSE),"")</f>
        <v>50213060 01 - Motor Vehicles (841)</v>
      </c>
      <c r="M1432" s="361">
        <v>85</v>
      </c>
      <c r="N1432" s="420" t="s">
        <v>823</v>
      </c>
      <c r="O1432" s="420" t="s">
        <v>1532</v>
      </c>
      <c r="P1432" s="420"/>
      <c r="Q1432" s="420">
        <v>31125</v>
      </c>
      <c r="R1432" s="428">
        <f t="shared" si="52"/>
        <v>-31125</v>
      </c>
      <c r="S1432" s="428" t="str">
        <f>VLOOKUP(H1432,'Fund Utilization Report'!$A$4:$U$1800,13,FALSE)</f>
        <v>MOOE</v>
      </c>
      <c r="T1432" s="428" t="str">
        <f>VLOOKUP(H1432,'Fund Utilization Report'!$A$4:$U$1800,2,FALSE)</f>
        <v>GAA</v>
      </c>
      <c r="U1432" s="428" t="str">
        <f>VLOOKUP(H1432,'Fund Utilization Report'!$A$4:$U$1800,3,FALSE)</f>
        <v>FY2021, RA11518</v>
      </c>
      <c r="V1432" s="428" t="str">
        <f>VLOOKUP(H1432,'Fund Utilization Report'!$A$4:$U$1800,4,FALSE)</f>
        <v>GAS(GMS)</v>
      </c>
      <c r="W1432" s="428" t="str">
        <f>VLOOKUP(H1432,'Fund Utilization Report'!$A$4:$U$1800,5,FALSE)</f>
        <v>01101101</v>
      </c>
      <c r="X1432" s="428" t="str">
        <f>VLOOKUP(H1432,'Fund Utilization Report'!$A$4:$U$1800,6,FALSE)</f>
        <v>GOP</v>
      </c>
      <c r="Y1432" s="320" t="str">
        <f>VLOOKUP(H1432,'Fund Utilization Report'!$A$4:$U$1800,7,FALSE)</f>
        <v>MOOE</v>
      </c>
      <c r="Z1432" s="425">
        <f>VLOOKUP(H1432,'Fund Utilization Report'!$A$4:$U$1800,8,FALSE)</f>
        <v>5020000000</v>
      </c>
      <c r="AA1432" s="428" t="str">
        <f>VLOOKUP(H1432,'Fund Utilization Report'!$A$4:$U$1800,14,FALSE)</f>
        <v>100000100001000</v>
      </c>
      <c r="AB1432" s="349" t="str">
        <f>VLOOKUP(H1432,'Fund Utilization Report'!$A$4:$U$1800,15,FALSE)</f>
        <v>General Administration and Supervision - General Management and Supervision</v>
      </c>
      <c r="AC1432" s="39"/>
      <c r="AD1432" s="34"/>
      <c r="AE1432" s="39"/>
      <c r="AF1432" s="51"/>
      <c r="AG1432" s="40"/>
      <c r="AH1432" s="40"/>
    </row>
    <row r="1433" spans="1:34" s="32" customFormat="1">
      <c r="A1433" s="434" t="s">
        <v>942</v>
      </c>
      <c r="B1433" s="457" t="s">
        <v>946</v>
      </c>
      <c r="C1433" s="233">
        <v>44279</v>
      </c>
      <c r="D1433" s="435" t="s">
        <v>1267</v>
      </c>
      <c r="E1433" s="436" t="s">
        <v>1531</v>
      </c>
      <c r="F1433" s="338">
        <v>0.4777777777777778</v>
      </c>
      <c r="G1433" s="338">
        <v>0.4826388888888889</v>
      </c>
      <c r="H1433" s="338" t="s">
        <v>961</v>
      </c>
      <c r="I1433" s="353">
        <v>891</v>
      </c>
      <c r="J1433" s="338" t="str">
        <f>IFERROR(VLOOKUP(I1433,'Chart of accounts'!A:H,2,FALSE),"")</f>
        <v>50215010 01</v>
      </c>
      <c r="K1433" s="338" t="str">
        <f>IFERROR(VLOOKUP(I1433,'Chart of accounts'!A:H,3,FALSE),"")</f>
        <v>Taxes, Duties and Licenses</v>
      </c>
      <c r="L1433" s="338" t="str">
        <f>IFERROR(VLOOKUP(I1433,'Chart of accounts'!A:H,4,FALSE),"")</f>
        <v>50215010 01 - Taxes, Duties and Licenses (891)</v>
      </c>
      <c r="M1433" s="361">
        <v>85</v>
      </c>
      <c r="N1433" s="420" t="s">
        <v>823</v>
      </c>
      <c r="O1433" s="420" t="s">
        <v>1532</v>
      </c>
      <c r="P1433" s="420"/>
      <c r="Q1433" s="420">
        <v>1037.5</v>
      </c>
      <c r="R1433" s="428">
        <f t="shared" si="52"/>
        <v>-1037.5</v>
      </c>
      <c r="S1433" s="428" t="str">
        <f>VLOOKUP(H1433,'Fund Utilization Report'!$A$4:$U$1800,13,FALSE)</f>
        <v>MOOE</v>
      </c>
      <c r="T1433" s="428" t="str">
        <f>VLOOKUP(H1433,'Fund Utilization Report'!$A$4:$U$1800,2,FALSE)</f>
        <v>GAA</v>
      </c>
      <c r="U1433" s="428" t="str">
        <f>VLOOKUP(H1433,'Fund Utilization Report'!$A$4:$U$1800,3,FALSE)</f>
        <v>FY2021, RA11518</v>
      </c>
      <c r="V1433" s="428" t="str">
        <f>VLOOKUP(H1433,'Fund Utilization Report'!$A$4:$U$1800,4,FALSE)</f>
        <v>GAS(GMS)</v>
      </c>
      <c r="W1433" s="428" t="str">
        <f>VLOOKUP(H1433,'Fund Utilization Report'!$A$4:$U$1800,5,FALSE)</f>
        <v>01101101</v>
      </c>
      <c r="X1433" s="428" t="str">
        <f>VLOOKUP(H1433,'Fund Utilization Report'!$A$4:$U$1800,6,FALSE)</f>
        <v>GOP</v>
      </c>
      <c r="Y1433" s="320" t="str">
        <f>VLOOKUP(H1433,'Fund Utilization Report'!$A$4:$U$1800,7,FALSE)</f>
        <v>MOOE</v>
      </c>
      <c r="Z1433" s="425">
        <f>VLOOKUP(H1433,'Fund Utilization Report'!$A$4:$U$1800,8,FALSE)</f>
        <v>5020000000</v>
      </c>
      <c r="AA1433" s="428" t="str">
        <f>VLOOKUP(H1433,'Fund Utilization Report'!$A$4:$U$1800,14,FALSE)</f>
        <v>100000100001000</v>
      </c>
      <c r="AB1433" s="349" t="str">
        <f>VLOOKUP(H1433,'Fund Utilization Report'!$A$4:$U$1800,15,FALSE)</f>
        <v>General Administration and Supervision - General Management and Supervision</v>
      </c>
      <c r="AC1433" s="39"/>
      <c r="AD1433" s="34"/>
      <c r="AE1433" s="39"/>
      <c r="AF1433" s="51"/>
      <c r="AG1433" s="40"/>
      <c r="AH1433" s="40"/>
    </row>
    <row r="1434" spans="1:34" s="32" customFormat="1">
      <c r="A1434" s="434" t="s">
        <v>942</v>
      </c>
      <c r="B1434" s="457" t="s">
        <v>946</v>
      </c>
      <c r="C1434" s="233">
        <v>44279</v>
      </c>
      <c r="D1434" s="435" t="s">
        <v>1267</v>
      </c>
      <c r="E1434" s="436" t="s">
        <v>1531</v>
      </c>
      <c r="F1434" s="338">
        <v>0.4777777777777778</v>
      </c>
      <c r="G1434" s="338">
        <v>0.4826388888888889</v>
      </c>
      <c r="H1434" s="338" t="s">
        <v>961</v>
      </c>
      <c r="I1434" s="353">
        <v>892</v>
      </c>
      <c r="J1434" s="338" t="str">
        <f>IFERROR(VLOOKUP(I1434,'Chart of accounts'!A:H,2,FALSE),"")</f>
        <v>50215020 00</v>
      </c>
      <c r="K1434" s="338" t="str">
        <f>IFERROR(VLOOKUP(I1434,'Chart of accounts'!A:H,3,FALSE),"")</f>
        <v>Fidelity Bond Premiums</v>
      </c>
      <c r="L1434" s="338" t="str">
        <f>IFERROR(VLOOKUP(I1434,'Chart of accounts'!A:H,4,FALSE),"")</f>
        <v>50215020 00 - Fidelity Bond Premiums (892)</v>
      </c>
      <c r="M1434" s="361">
        <v>85</v>
      </c>
      <c r="N1434" s="420" t="s">
        <v>823</v>
      </c>
      <c r="O1434" s="420" t="s">
        <v>1532</v>
      </c>
      <c r="P1434" s="420"/>
      <c r="Q1434" s="420">
        <v>2619.69</v>
      </c>
      <c r="R1434" s="428">
        <f t="shared" si="52"/>
        <v>-2619.69</v>
      </c>
      <c r="S1434" s="428" t="str">
        <f>VLOOKUP(H1434,'Fund Utilization Report'!$A$4:$U$1800,13,FALSE)</f>
        <v>MOOE</v>
      </c>
      <c r="T1434" s="428" t="str">
        <f>VLOOKUP(H1434,'Fund Utilization Report'!$A$4:$U$1800,2,FALSE)</f>
        <v>GAA</v>
      </c>
      <c r="U1434" s="428" t="str">
        <f>VLOOKUP(H1434,'Fund Utilization Report'!$A$4:$U$1800,3,FALSE)</f>
        <v>FY2021, RA11518</v>
      </c>
      <c r="V1434" s="428" t="str">
        <f>VLOOKUP(H1434,'Fund Utilization Report'!$A$4:$U$1800,4,FALSE)</f>
        <v>GAS(GMS)</v>
      </c>
      <c r="W1434" s="428" t="str">
        <f>VLOOKUP(H1434,'Fund Utilization Report'!$A$4:$U$1800,5,FALSE)</f>
        <v>01101101</v>
      </c>
      <c r="X1434" s="428" t="str">
        <f>VLOOKUP(H1434,'Fund Utilization Report'!$A$4:$U$1800,6,FALSE)</f>
        <v>GOP</v>
      </c>
      <c r="Y1434" s="320" t="str">
        <f>VLOOKUP(H1434,'Fund Utilization Report'!$A$4:$U$1800,7,FALSE)</f>
        <v>MOOE</v>
      </c>
      <c r="Z1434" s="425">
        <f>VLOOKUP(H1434,'Fund Utilization Report'!$A$4:$U$1800,8,FALSE)</f>
        <v>5020000000</v>
      </c>
      <c r="AA1434" s="428" t="str">
        <f>VLOOKUP(H1434,'Fund Utilization Report'!$A$4:$U$1800,14,FALSE)</f>
        <v>100000100001000</v>
      </c>
      <c r="AB1434" s="349" t="str">
        <f>VLOOKUP(H1434,'Fund Utilization Report'!$A$4:$U$1800,15,FALSE)</f>
        <v>General Administration and Supervision - General Management and Supervision</v>
      </c>
      <c r="AC1434" s="39"/>
      <c r="AD1434" s="34"/>
      <c r="AE1434" s="39"/>
      <c r="AF1434" s="51"/>
      <c r="AG1434" s="40"/>
      <c r="AH1434" s="40"/>
    </row>
    <row r="1435" spans="1:34" s="32" customFormat="1">
      <c r="A1435" s="434" t="s">
        <v>942</v>
      </c>
      <c r="B1435" s="457" t="s">
        <v>946</v>
      </c>
      <c r="C1435" s="233">
        <v>44279</v>
      </c>
      <c r="D1435" s="435" t="s">
        <v>1267</v>
      </c>
      <c r="E1435" s="436" t="s">
        <v>1531</v>
      </c>
      <c r="F1435" s="338">
        <v>0.4777777777777778</v>
      </c>
      <c r="G1435" s="338">
        <v>0.4826388888888889</v>
      </c>
      <c r="H1435" s="338" t="s">
        <v>961</v>
      </c>
      <c r="I1435" s="353">
        <v>893</v>
      </c>
      <c r="J1435" s="338" t="str">
        <f>IFERROR(VLOOKUP(I1435,'Chart of accounts'!A:H,2,FALSE),"")</f>
        <v>50215030 00</v>
      </c>
      <c r="K1435" s="338" t="str">
        <f>IFERROR(VLOOKUP(I1435,'Chart of accounts'!A:H,3,FALSE),"")</f>
        <v>Insurance Expense</v>
      </c>
      <c r="L1435" s="338" t="str">
        <f>IFERROR(VLOOKUP(I1435,'Chart of accounts'!A:H,4,FALSE),"")</f>
        <v>50215030 00 - Insurance Expense (893)</v>
      </c>
      <c r="M1435" s="361">
        <v>85</v>
      </c>
      <c r="N1435" s="420" t="s">
        <v>823</v>
      </c>
      <c r="O1435" s="420" t="s">
        <v>1532</v>
      </c>
      <c r="P1435" s="420"/>
      <c r="Q1435" s="420">
        <v>4565</v>
      </c>
      <c r="R1435" s="428">
        <f t="shared" si="52"/>
        <v>-4565</v>
      </c>
      <c r="S1435" s="428" t="str">
        <f>VLOOKUP(H1435,'Fund Utilization Report'!$A$4:$U$1800,13,FALSE)</f>
        <v>MOOE</v>
      </c>
      <c r="T1435" s="428" t="str">
        <f>VLOOKUP(H1435,'Fund Utilization Report'!$A$4:$U$1800,2,FALSE)</f>
        <v>GAA</v>
      </c>
      <c r="U1435" s="428" t="str">
        <f>VLOOKUP(H1435,'Fund Utilization Report'!$A$4:$U$1800,3,FALSE)</f>
        <v>FY2021, RA11518</v>
      </c>
      <c r="V1435" s="428" t="str">
        <f>VLOOKUP(H1435,'Fund Utilization Report'!$A$4:$U$1800,4,FALSE)</f>
        <v>GAS(GMS)</v>
      </c>
      <c r="W1435" s="428" t="str">
        <f>VLOOKUP(H1435,'Fund Utilization Report'!$A$4:$U$1800,5,FALSE)</f>
        <v>01101101</v>
      </c>
      <c r="X1435" s="428" t="str">
        <f>VLOOKUP(H1435,'Fund Utilization Report'!$A$4:$U$1800,6,FALSE)</f>
        <v>GOP</v>
      </c>
      <c r="Y1435" s="320" t="str">
        <f>VLOOKUP(H1435,'Fund Utilization Report'!$A$4:$U$1800,7,FALSE)</f>
        <v>MOOE</v>
      </c>
      <c r="Z1435" s="425">
        <f>VLOOKUP(H1435,'Fund Utilization Report'!$A$4:$U$1800,8,FALSE)</f>
        <v>5020000000</v>
      </c>
      <c r="AA1435" s="428" t="str">
        <f>VLOOKUP(H1435,'Fund Utilization Report'!$A$4:$U$1800,14,FALSE)</f>
        <v>100000100001000</v>
      </c>
      <c r="AB1435" s="349" t="str">
        <f>VLOOKUP(H1435,'Fund Utilization Report'!$A$4:$U$1800,15,FALSE)</f>
        <v>General Administration and Supervision - General Management and Supervision</v>
      </c>
      <c r="AC1435" s="39"/>
      <c r="AD1435" s="34"/>
      <c r="AE1435" s="39"/>
      <c r="AF1435" s="51"/>
      <c r="AG1435" s="40"/>
      <c r="AH1435" s="40"/>
    </row>
    <row r="1436" spans="1:34" s="32" customFormat="1">
      <c r="A1436" s="434" t="s">
        <v>942</v>
      </c>
      <c r="B1436" s="457" t="s">
        <v>946</v>
      </c>
      <c r="C1436" s="233">
        <v>44279</v>
      </c>
      <c r="D1436" s="435" t="s">
        <v>1267</v>
      </c>
      <c r="E1436" s="436" t="s">
        <v>1531</v>
      </c>
      <c r="F1436" s="338">
        <v>0.4777777777777778</v>
      </c>
      <c r="G1436" s="338">
        <v>0.4826388888888889</v>
      </c>
      <c r="H1436" s="338" t="s">
        <v>961</v>
      </c>
      <c r="I1436" s="353">
        <v>782</v>
      </c>
      <c r="J1436" s="338" t="str">
        <f>IFERROR(VLOOKUP(I1436,'Chart of accounts'!A:H,2,FALSE),"")</f>
        <v>50299050 01</v>
      </c>
      <c r="K1436" s="338" t="str">
        <f>IFERROR(VLOOKUP(I1436,'Chart of accounts'!A:H,3,FALSE),"")</f>
        <v>Rent - Buildings and Structures</v>
      </c>
      <c r="L1436" s="338" t="str">
        <f>IFERROR(VLOOKUP(I1436,'Chart of accounts'!A:H,4,FALSE),"")</f>
        <v>50299050 01 - Rent - Buildings and Structures (782)</v>
      </c>
      <c r="M1436" s="361">
        <v>85</v>
      </c>
      <c r="N1436" s="420" t="s">
        <v>823</v>
      </c>
      <c r="O1436" s="420" t="s">
        <v>1532</v>
      </c>
      <c r="P1436" s="420"/>
      <c r="Q1436" s="420">
        <v>54780</v>
      </c>
      <c r="R1436" s="428">
        <f t="shared" si="52"/>
        <v>-54780</v>
      </c>
      <c r="S1436" s="428" t="str">
        <f>VLOOKUP(H1436,'Fund Utilization Report'!$A$4:$U$1800,13,FALSE)</f>
        <v>MOOE</v>
      </c>
      <c r="T1436" s="428" t="str">
        <f>VLOOKUP(H1436,'Fund Utilization Report'!$A$4:$U$1800,2,FALSE)</f>
        <v>GAA</v>
      </c>
      <c r="U1436" s="428" t="str">
        <f>VLOOKUP(H1436,'Fund Utilization Report'!$A$4:$U$1800,3,FALSE)</f>
        <v>FY2021, RA11518</v>
      </c>
      <c r="V1436" s="428" t="str">
        <f>VLOOKUP(H1436,'Fund Utilization Report'!$A$4:$U$1800,4,FALSE)</f>
        <v>GAS(GMS)</v>
      </c>
      <c r="W1436" s="428" t="str">
        <f>VLOOKUP(H1436,'Fund Utilization Report'!$A$4:$U$1800,5,FALSE)</f>
        <v>01101101</v>
      </c>
      <c r="X1436" s="428" t="str">
        <f>VLOOKUP(H1436,'Fund Utilization Report'!$A$4:$U$1800,6,FALSE)</f>
        <v>GOP</v>
      </c>
      <c r="Y1436" s="320" t="str">
        <f>VLOOKUP(H1436,'Fund Utilization Report'!$A$4:$U$1800,7,FALSE)</f>
        <v>MOOE</v>
      </c>
      <c r="Z1436" s="425">
        <f>VLOOKUP(H1436,'Fund Utilization Report'!$A$4:$U$1800,8,FALSE)</f>
        <v>5020000000</v>
      </c>
      <c r="AA1436" s="428" t="str">
        <f>VLOOKUP(H1436,'Fund Utilization Report'!$A$4:$U$1800,14,FALSE)</f>
        <v>100000100001000</v>
      </c>
      <c r="AB1436" s="349" t="str">
        <f>VLOOKUP(H1436,'Fund Utilization Report'!$A$4:$U$1800,15,FALSE)</f>
        <v>General Administration and Supervision - General Management and Supervision</v>
      </c>
      <c r="AC1436" s="39"/>
      <c r="AD1436" s="34"/>
      <c r="AE1436" s="39"/>
      <c r="AF1436" s="51"/>
      <c r="AG1436" s="40"/>
      <c r="AH1436" s="40"/>
    </row>
    <row r="1437" spans="1:34" s="32" customFormat="1">
      <c r="A1437" s="434" t="s">
        <v>942</v>
      </c>
      <c r="B1437" s="457" t="s">
        <v>946</v>
      </c>
      <c r="C1437" s="233">
        <v>44279</v>
      </c>
      <c r="D1437" s="435" t="s">
        <v>1267</v>
      </c>
      <c r="E1437" s="436" t="s">
        <v>1531</v>
      </c>
      <c r="F1437" s="338">
        <v>0.4777777777777778</v>
      </c>
      <c r="G1437" s="338">
        <v>0.4826388888888889</v>
      </c>
      <c r="H1437" s="338" t="s">
        <v>961</v>
      </c>
      <c r="I1437" s="353">
        <v>751</v>
      </c>
      <c r="J1437" s="338" t="str">
        <f>IFERROR(VLOOKUP(I1437,'Chart of accounts'!A:H,2,FALSE),"")</f>
        <v>50201010 00</v>
      </c>
      <c r="K1437" s="338" t="str">
        <f>IFERROR(VLOOKUP(I1437,'Chart of accounts'!A:H,3,FALSE),"")</f>
        <v>Traveling Expenses - Local</v>
      </c>
      <c r="L1437" s="338" t="str">
        <f>IFERROR(VLOOKUP(I1437,'Chart of accounts'!A:H,4,FALSE),"")</f>
        <v>50201010 00 - Traveling Expenses - Local (751)</v>
      </c>
      <c r="M1437" s="361">
        <v>85</v>
      </c>
      <c r="N1437" s="420" t="s">
        <v>823</v>
      </c>
      <c r="O1437" s="420" t="s">
        <v>1532</v>
      </c>
      <c r="P1437" s="420"/>
      <c r="Q1437" s="420">
        <v>2075</v>
      </c>
      <c r="R1437" s="428">
        <f t="shared" si="52"/>
        <v>-2075</v>
      </c>
      <c r="S1437" s="428" t="str">
        <f>VLOOKUP(H1437,'Fund Utilization Report'!$A$4:$U$1800,13,FALSE)</f>
        <v>MOOE</v>
      </c>
      <c r="T1437" s="428" t="str">
        <f>VLOOKUP(H1437,'Fund Utilization Report'!$A$4:$U$1800,2,FALSE)</f>
        <v>GAA</v>
      </c>
      <c r="U1437" s="428" t="str">
        <f>VLOOKUP(H1437,'Fund Utilization Report'!$A$4:$U$1800,3,FALSE)</f>
        <v>FY2021, RA11518</v>
      </c>
      <c r="V1437" s="428" t="str">
        <f>VLOOKUP(H1437,'Fund Utilization Report'!$A$4:$U$1800,4,FALSE)</f>
        <v>GAS(GMS)</v>
      </c>
      <c r="W1437" s="428" t="str">
        <f>VLOOKUP(H1437,'Fund Utilization Report'!$A$4:$U$1800,5,FALSE)</f>
        <v>01101101</v>
      </c>
      <c r="X1437" s="428" t="str">
        <f>VLOOKUP(H1437,'Fund Utilization Report'!$A$4:$U$1800,6,FALSE)</f>
        <v>GOP</v>
      </c>
      <c r="Y1437" s="320" t="str">
        <f>VLOOKUP(H1437,'Fund Utilization Report'!$A$4:$U$1800,7,FALSE)</f>
        <v>MOOE</v>
      </c>
      <c r="Z1437" s="425">
        <f>VLOOKUP(H1437,'Fund Utilization Report'!$A$4:$U$1800,8,FALSE)</f>
        <v>5020000000</v>
      </c>
      <c r="AA1437" s="428" t="str">
        <f>VLOOKUP(H1437,'Fund Utilization Report'!$A$4:$U$1800,14,FALSE)</f>
        <v>100000100001000</v>
      </c>
      <c r="AB1437" s="349" t="str">
        <f>VLOOKUP(H1437,'Fund Utilization Report'!$A$4:$U$1800,15,FALSE)</f>
        <v>General Administration and Supervision - General Management and Supervision</v>
      </c>
      <c r="AC1437" s="39"/>
      <c r="AD1437" s="34"/>
      <c r="AE1437" s="39"/>
      <c r="AF1437" s="51"/>
      <c r="AG1437" s="40"/>
      <c r="AH1437" s="40"/>
    </row>
    <row r="1438" spans="1:34" s="32" customFormat="1">
      <c r="A1438" s="434" t="s">
        <v>942</v>
      </c>
      <c r="B1438" s="457" t="s">
        <v>946</v>
      </c>
      <c r="C1438" s="233">
        <v>44279</v>
      </c>
      <c r="D1438" s="435" t="s">
        <v>1267</v>
      </c>
      <c r="E1438" s="436" t="s">
        <v>1531</v>
      </c>
      <c r="F1438" s="338">
        <v>0.4777777777777778</v>
      </c>
      <c r="G1438" s="338">
        <v>0.4826388888888889</v>
      </c>
      <c r="H1438" s="338" t="s">
        <v>961</v>
      </c>
      <c r="I1438" s="353">
        <v>755</v>
      </c>
      <c r="J1438" s="338" t="str">
        <f>IFERROR(VLOOKUP(I1438,'Chart of accounts'!A:H,2,FALSE),"")</f>
        <v>50203010 00</v>
      </c>
      <c r="K1438" s="338" t="str">
        <f>IFERROR(VLOOKUP(I1438,'Chart of accounts'!A:H,3,FALSE),"")</f>
        <v>Office Supplies Expenses</v>
      </c>
      <c r="L1438" s="338" t="str">
        <f>IFERROR(VLOOKUP(I1438,'Chart of accounts'!A:H,4,FALSE),"")</f>
        <v>50203010 00 - Office Supplies Expenses (755)</v>
      </c>
      <c r="M1438" s="361">
        <v>85</v>
      </c>
      <c r="N1438" s="420" t="s">
        <v>823</v>
      </c>
      <c r="O1438" s="420" t="s">
        <v>1532</v>
      </c>
      <c r="P1438" s="420"/>
      <c r="Q1438" s="420">
        <v>10375</v>
      </c>
      <c r="R1438" s="428">
        <f t="shared" ref="R1438:R1446" si="53">P1438-Q1438</f>
        <v>-10375</v>
      </c>
      <c r="S1438" s="428" t="str">
        <f>VLOOKUP(H1438,'Fund Utilization Report'!$A$4:$U$1800,13,FALSE)</f>
        <v>MOOE</v>
      </c>
      <c r="T1438" s="428" t="str">
        <f>VLOOKUP(H1438,'Fund Utilization Report'!$A$4:$U$1800,2,FALSE)</f>
        <v>GAA</v>
      </c>
      <c r="U1438" s="428" t="str">
        <f>VLOOKUP(H1438,'Fund Utilization Report'!$A$4:$U$1800,3,FALSE)</f>
        <v>FY2021, RA11518</v>
      </c>
      <c r="V1438" s="428" t="str">
        <f>VLOOKUP(H1438,'Fund Utilization Report'!$A$4:$U$1800,4,FALSE)</f>
        <v>GAS(GMS)</v>
      </c>
      <c r="W1438" s="428" t="str">
        <f>VLOOKUP(H1438,'Fund Utilization Report'!$A$4:$U$1800,5,FALSE)</f>
        <v>01101101</v>
      </c>
      <c r="X1438" s="428" t="str">
        <f>VLOOKUP(H1438,'Fund Utilization Report'!$A$4:$U$1800,6,FALSE)</f>
        <v>GOP</v>
      </c>
      <c r="Y1438" s="320" t="str">
        <f>VLOOKUP(H1438,'Fund Utilization Report'!$A$4:$U$1800,7,FALSE)</f>
        <v>MOOE</v>
      </c>
      <c r="Z1438" s="425">
        <f>VLOOKUP(H1438,'Fund Utilization Report'!$A$4:$U$1800,8,FALSE)</f>
        <v>5020000000</v>
      </c>
      <c r="AA1438" s="428" t="str">
        <f>VLOOKUP(H1438,'Fund Utilization Report'!$A$4:$U$1800,14,FALSE)</f>
        <v>100000100001000</v>
      </c>
      <c r="AB1438" s="349" t="str">
        <f>VLOOKUP(H1438,'Fund Utilization Report'!$A$4:$U$1800,15,FALSE)</f>
        <v>General Administration and Supervision - General Management and Supervision</v>
      </c>
      <c r="AC1438" s="39"/>
      <c r="AD1438" s="34"/>
      <c r="AE1438" s="39"/>
      <c r="AF1438" s="51"/>
      <c r="AG1438" s="40"/>
      <c r="AH1438" s="40"/>
    </row>
    <row r="1439" spans="1:34" s="32" customFormat="1">
      <c r="A1439" s="434" t="s">
        <v>942</v>
      </c>
      <c r="B1439" s="457" t="s">
        <v>946</v>
      </c>
      <c r="C1439" s="233">
        <v>44279</v>
      </c>
      <c r="D1439" s="435" t="s">
        <v>1267</v>
      </c>
      <c r="E1439" s="436" t="s">
        <v>1531</v>
      </c>
      <c r="F1439" s="338">
        <v>0.4777777777777778</v>
      </c>
      <c r="G1439" s="338">
        <v>0.4826388888888889</v>
      </c>
      <c r="H1439" s="338" t="s">
        <v>961</v>
      </c>
      <c r="I1439" s="353">
        <v>781</v>
      </c>
      <c r="J1439" s="338" t="str">
        <f>IFERROR(VLOOKUP(I1439,'Chart of accounts'!A:H,2,FALSE),"")</f>
        <v>50299020 00</v>
      </c>
      <c r="K1439" s="338" t="str">
        <f>IFERROR(VLOOKUP(I1439,'Chart of accounts'!A:H,3,FALSE),"")</f>
        <v>Printing and Binding Expenses</v>
      </c>
      <c r="L1439" s="338" t="str">
        <f>IFERROR(VLOOKUP(I1439,'Chart of accounts'!A:H,4,FALSE),"")</f>
        <v>50299020 00 - Printing and Binding Expenses (781)</v>
      </c>
      <c r="M1439" s="361">
        <v>85</v>
      </c>
      <c r="N1439" s="420" t="s">
        <v>823</v>
      </c>
      <c r="O1439" s="420" t="s">
        <v>1532</v>
      </c>
      <c r="P1439" s="420"/>
      <c r="Q1439" s="420">
        <v>1037.5</v>
      </c>
      <c r="R1439" s="428">
        <f t="shared" si="53"/>
        <v>-1037.5</v>
      </c>
      <c r="S1439" s="428" t="str">
        <f>VLOOKUP(H1439,'Fund Utilization Report'!$A$4:$U$1800,13,FALSE)</f>
        <v>MOOE</v>
      </c>
      <c r="T1439" s="428" t="str">
        <f>VLOOKUP(H1439,'Fund Utilization Report'!$A$4:$U$1800,2,FALSE)</f>
        <v>GAA</v>
      </c>
      <c r="U1439" s="428" t="str">
        <f>VLOOKUP(H1439,'Fund Utilization Report'!$A$4:$U$1800,3,FALSE)</f>
        <v>FY2021, RA11518</v>
      </c>
      <c r="V1439" s="428" t="str">
        <f>VLOOKUP(H1439,'Fund Utilization Report'!$A$4:$U$1800,4,FALSE)</f>
        <v>GAS(GMS)</v>
      </c>
      <c r="W1439" s="428" t="str">
        <f>VLOOKUP(H1439,'Fund Utilization Report'!$A$4:$U$1800,5,FALSE)</f>
        <v>01101101</v>
      </c>
      <c r="X1439" s="428" t="str">
        <f>VLOOKUP(H1439,'Fund Utilization Report'!$A$4:$U$1800,6,FALSE)</f>
        <v>GOP</v>
      </c>
      <c r="Y1439" s="320" t="str">
        <f>VLOOKUP(H1439,'Fund Utilization Report'!$A$4:$U$1800,7,FALSE)</f>
        <v>MOOE</v>
      </c>
      <c r="Z1439" s="425">
        <f>VLOOKUP(H1439,'Fund Utilization Report'!$A$4:$U$1800,8,FALSE)</f>
        <v>5020000000</v>
      </c>
      <c r="AA1439" s="428" t="str">
        <f>VLOOKUP(H1439,'Fund Utilization Report'!$A$4:$U$1800,14,FALSE)</f>
        <v>100000100001000</v>
      </c>
      <c r="AB1439" s="349" t="str">
        <f>VLOOKUP(H1439,'Fund Utilization Report'!$A$4:$U$1800,15,FALSE)</f>
        <v>General Administration and Supervision - General Management and Supervision</v>
      </c>
      <c r="AC1439" s="39"/>
      <c r="AD1439" s="34"/>
      <c r="AE1439" s="39"/>
      <c r="AF1439" s="51"/>
      <c r="AG1439" s="40"/>
      <c r="AH1439" s="40"/>
    </row>
    <row r="1440" spans="1:34" s="32" customFormat="1">
      <c r="A1440" s="434" t="s">
        <v>942</v>
      </c>
      <c r="B1440" s="457" t="s">
        <v>946</v>
      </c>
      <c r="C1440" s="233">
        <v>44279</v>
      </c>
      <c r="D1440" s="435" t="s">
        <v>1267</v>
      </c>
      <c r="E1440" s="436" t="s">
        <v>1531</v>
      </c>
      <c r="F1440" s="338">
        <v>0.4777777777777778</v>
      </c>
      <c r="G1440" s="338">
        <v>0.4826388888888889</v>
      </c>
      <c r="H1440" s="338" t="s">
        <v>961</v>
      </c>
      <c r="I1440" s="353">
        <v>783</v>
      </c>
      <c r="J1440" s="338" t="str">
        <f>IFERROR(VLOOKUP(I1440,'Chart of accounts'!A:H,2,FALSE),"")</f>
        <v>50299030 00</v>
      </c>
      <c r="K1440" s="338" t="str">
        <f>IFERROR(VLOOKUP(I1440,'Chart of accounts'!A:H,3,FALSE),"")</f>
        <v>Representation Expenses</v>
      </c>
      <c r="L1440" s="338" t="str">
        <f>IFERROR(VLOOKUP(I1440,'Chart of accounts'!A:H,4,FALSE),"")</f>
        <v>50299030 00 - Representation Expenses (783)</v>
      </c>
      <c r="M1440" s="361">
        <v>85</v>
      </c>
      <c r="N1440" s="420" t="s">
        <v>823</v>
      </c>
      <c r="O1440" s="420" t="s">
        <v>1532</v>
      </c>
      <c r="P1440" s="420"/>
      <c r="Q1440" s="420">
        <v>4316</v>
      </c>
      <c r="R1440" s="428">
        <f t="shared" si="53"/>
        <v>-4316</v>
      </c>
      <c r="S1440" s="428" t="str">
        <f>VLOOKUP(H1440,'Fund Utilization Report'!$A$4:$U$1800,13,FALSE)</f>
        <v>MOOE</v>
      </c>
      <c r="T1440" s="428" t="str">
        <f>VLOOKUP(H1440,'Fund Utilization Report'!$A$4:$U$1800,2,FALSE)</f>
        <v>GAA</v>
      </c>
      <c r="U1440" s="428" t="str">
        <f>VLOOKUP(H1440,'Fund Utilization Report'!$A$4:$U$1800,3,FALSE)</f>
        <v>FY2021, RA11518</v>
      </c>
      <c r="V1440" s="428" t="str">
        <f>VLOOKUP(H1440,'Fund Utilization Report'!$A$4:$U$1800,4,FALSE)</f>
        <v>GAS(GMS)</v>
      </c>
      <c r="W1440" s="428" t="str">
        <f>VLOOKUP(H1440,'Fund Utilization Report'!$A$4:$U$1800,5,FALSE)</f>
        <v>01101101</v>
      </c>
      <c r="X1440" s="428" t="str">
        <f>VLOOKUP(H1440,'Fund Utilization Report'!$A$4:$U$1800,6,FALSE)</f>
        <v>GOP</v>
      </c>
      <c r="Y1440" s="320" t="str">
        <f>VLOOKUP(H1440,'Fund Utilization Report'!$A$4:$U$1800,7,FALSE)</f>
        <v>MOOE</v>
      </c>
      <c r="Z1440" s="425">
        <f>VLOOKUP(H1440,'Fund Utilization Report'!$A$4:$U$1800,8,FALSE)</f>
        <v>5020000000</v>
      </c>
      <c r="AA1440" s="428" t="str">
        <f>VLOOKUP(H1440,'Fund Utilization Report'!$A$4:$U$1800,14,FALSE)</f>
        <v>100000100001000</v>
      </c>
      <c r="AB1440" s="349" t="str">
        <f>VLOOKUP(H1440,'Fund Utilization Report'!$A$4:$U$1800,15,FALSE)</f>
        <v>General Administration and Supervision - General Management and Supervision</v>
      </c>
      <c r="AC1440" s="39"/>
      <c r="AD1440" s="34"/>
      <c r="AE1440" s="39"/>
      <c r="AF1440" s="51"/>
      <c r="AG1440" s="40"/>
      <c r="AH1440" s="40"/>
    </row>
    <row r="1441" spans="1:35" s="32" customFormat="1">
      <c r="A1441" s="434" t="s">
        <v>942</v>
      </c>
      <c r="B1441" s="457" t="s">
        <v>946</v>
      </c>
      <c r="C1441" s="233">
        <v>44279</v>
      </c>
      <c r="D1441" s="435" t="s">
        <v>1267</v>
      </c>
      <c r="E1441" s="436" t="s">
        <v>1531</v>
      </c>
      <c r="F1441" s="338">
        <v>0.4777777777777778</v>
      </c>
      <c r="G1441" s="338">
        <v>0.4826388888888889</v>
      </c>
      <c r="H1441" s="338" t="s">
        <v>968</v>
      </c>
      <c r="I1441" s="353">
        <v>784</v>
      </c>
      <c r="J1441" s="338" t="str">
        <f>IFERROR(VLOOKUP(I1441,'Chart of accounts'!A:H,2,FALSE),"")</f>
        <v>50299040 00</v>
      </c>
      <c r="K1441" s="338" t="str">
        <f>IFERROR(VLOOKUP(I1441,'Chart of accounts'!A:H,3,FALSE),"")</f>
        <v>Transportation and Delivery Expenses</v>
      </c>
      <c r="L1441" s="338" t="str">
        <f>IFERROR(VLOOKUP(I1441,'Chart of accounts'!A:H,4,FALSE),"")</f>
        <v>50299040 00 - Transportation and Delivery Expenses (784)</v>
      </c>
      <c r="M1441" s="361">
        <v>85</v>
      </c>
      <c r="N1441" s="420" t="s">
        <v>823</v>
      </c>
      <c r="O1441" s="420" t="s">
        <v>1532</v>
      </c>
      <c r="P1441" s="420"/>
      <c r="Q1441" s="420">
        <v>8300</v>
      </c>
      <c r="R1441" s="428">
        <f t="shared" si="53"/>
        <v>-8300</v>
      </c>
      <c r="S1441" s="428" t="str">
        <f>VLOOKUP(H1441,'Fund Utilization Report'!$A$4:$U$1800,13,FALSE)</f>
        <v>MOOE</v>
      </c>
      <c r="T1441" s="428" t="str">
        <f>VLOOKUP(H1441,'Fund Utilization Report'!$A$4:$U$1800,2,FALSE)</f>
        <v>GAA</v>
      </c>
      <c r="U1441" s="428" t="str">
        <f>VLOOKUP(H1441,'Fund Utilization Report'!$A$4:$U$1800,3,FALSE)</f>
        <v>FY2021, RA11518</v>
      </c>
      <c r="V1441" s="428" t="str">
        <f>VLOOKUP(H1441,'Fund Utilization Report'!$A$4:$U$1800,4,FALSE)</f>
        <v>OO2</v>
      </c>
      <c r="W1441" s="428" t="str">
        <f>VLOOKUP(H1441,'Fund Utilization Report'!$A$4:$U$1800,5,FALSE)</f>
        <v>01101101</v>
      </c>
      <c r="X1441" s="428" t="str">
        <f>VLOOKUP(H1441,'Fund Utilization Report'!$A$4:$U$1800,6,FALSE)</f>
        <v>GOP</v>
      </c>
      <c r="Y1441" s="320" t="str">
        <f>VLOOKUP(H1441,'Fund Utilization Report'!$A$4:$U$1800,7,FALSE)</f>
        <v>MOOE</v>
      </c>
      <c r="Z1441" s="425">
        <f>VLOOKUP(H1441,'Fund Utilization Report'!$A$4:$U$1800,8,FALSE)</f>
        <v>5020000000</v>
      </c>
      <c r="AA1441" s="428" t="str">
        <f>VLOOKUP(H1441,'Fund Utilization Report'!$A$4:$U$1800,14,FALSE)</f>
        <v>320100100001000</v>
      </c>
      <c r="AB1441" s="349" t="str">
        <f>VLOOKUP(H1441,'Fund Utilization Report'!$A$4:$U$1800,15,FALSE)</f>
        <v>Formulation of Strategic plans,programs, and policies to develop competitve industries</v>
      </c>
      <c r="AC1441" s="39"/>
      <c r="AD1441" s="34"/>
      <c r="AE1441" s="39"/>
      <c r="AF1441" s="51"/>
      <c r="AG1441" s="40"/>
      <c r="AH1441" s="40"/>
    </row>
    <row r="1442" spans="1:35" s="32" customFormat="1">
      <c r="A1442" s="434" t="s">
        <v>942</v>
      </c>
      <c r="B1442" s="457" t="s">
        <v>946</v>
      </c>
      <c r="C1442" s="233">
        <v>44279</v>
      </c>
      <c r="D1442" s="435" t="s">
        <v>1267</v>
      </c>
      <c r="E1442" s="436" t="s">
        <v>1531</v>
      </c>
      <c r="F1442" s="338">
        <v>0.4777777777777778</v>
      </c>
      <c r="G1442" s="338">
        <v>0.4826388888888889</v>
      </c>
      <c r="H1442" s="338" t="s">
        <v>961</v>
      </c>
      <c r="I1442" s="353">
        <v>969</v>
      </c>
      <c r="J1442" s="338" t="str">
        <f>IFERROR(VLOOKUP(I1442,'Chart of accounts'!A:H,2,FALSE),"")</f>
        <v>50299990 99</v>
      </c>
      <c r="K1442" s="338" t="str">
        <f>IFERROR(VLOOKUP(I1442,'Chart of accounts'!A:H,3,FALSE),"")</f>
        <v>Other Maintenance and Operating Expenses</v>
      </c>
      <c r="L1442" s="338" t="str">
        <f>IFERROR(VLOOKUP(I1442,'Chart of accounts'!A:H,4,FALSE),"")</f>
        <v>50299990 99 - Other Maintenance and Operating Expenses (969)</v>
      </c>
      <c r="M1442" s="361">
        <v>85</v>
      </c>
      <c r="N1442" s="420" t="s">
        <v>823</v>
      </c>
      <c r="O1442" s="420" t="s">
        <v>1532</v>
      </c>
      <c r="P1442" s="420"/>
      <c r="Q1442" s="420">
        <v>8964</v>
      </c>
      <c r="R1442" s="428">
        <f t="shared" si="53"/>
        <v>-8964</v>
      </c>
      <c r="S1442" s="428" t="str">
        <f>VLOOKUP(H1442,'Fund Utilization Report'!$A$4:$U$1800,13,FALSE)</f>
        <v>MOOE</v>
      </c>
      <c r="T1442" s="428" t="str">
        <f>VLOOKUP(H1442,'Fund Utilization Report'!$A$4:$U$1800,2,FALSE)</f>
        <v>GAA</v>
      </c>
      <c r="U1442" s="428" t="str">
        <f>VLOOKUP(H1442,'Fund Utilization Report'!$A$4:$U$1800,3,FALSE)</f>
        <v>FY2021, RA11518</v>
      </c>
      <c r="V1442" s="428" t="str">
        <f>VLOOKUP(H1442,'Fund Utilization Report'!$A$4:$U$1800,4,FALSE)</f>
        <v>GAS(GMS)</v>
      </c>
      <c r="W1442" s="428" t="str">
        <f>VLOOKUP(H1442,'Fund Utilization Report'!$A$4:$U$1800,5,FALSE)</f>
        <v>01101101</v>
      </c>
      <c r="X1442" s="428" t="str">
        <f>VLOOKUP(H1442,'Fund Utilization Report'!$A$4:$U$1800,6,FALSE)</f>
        <v>GOP</v>
      </c>
      <c r="Y1442" s="320" t="str">
        <f>VLOOKUP(H1442,'Fund Utilization Report'!$A$4:$U$1800,7,FALSE)</f>
        <v>MOOE</v>
      </c>
      <c r="Z1442" s="425">
        <f>VLOOKUP(H1442,'Fund Utilization Report'!$A$4:$U$1800,8,FALSE)</f>
        <v>5020000000</v>
      </c>
      <c r="AA1442" s="428" t="str">
        <f>VLOOKUP(H1442,'Fund Utilization Report'!$A$4:$U$1800,14,FALSE)</f>
        <v>100000100001000</v>
      </c>
      <c r="AB1442" s="349" t="str">
        <f>VLOOKUP(H1442,'Fund Utilization Report'!$A$4:$U$1800,15,FALSE)</f>
        <v>General Administration and Supervision - General Management and Supervision</v>
      </c>
      <c r="AC1442" s="39"/>
      <c r="AD1442" s="34"/>
      <c r="AE1442" s="39"/>
      <c r="AF1442" s="51"/>
      <c r="AG1442" s="40"/>
      <c r="AH1442" s="40"/>
    </row>
    <row r="1443" spans="1:35" s="32" customFormat="1" ht="27.6">
      <c r="A1443" s="434" t="s">
        <v>942</v>
      </c>
      <c r="B1443" s="457" t="s">
        <v>946</v>
      </c>
      <c r="C1443" s="233">
        <v>44279</v>
      </c>
      <c r="D1443" s="435" t="s">
        <v>1267</v>
      </c>
      <c r="E1443" s="436" t="s">
        <v>1534</v>
      </c>
      <c r="F1443" s="338">
        <v>0.6743055555555556</v>
      </c>
      <c r="G1443" s="338">
        <v>0.67499999999999993</v>
      </c>
      <c r="H1443" s="434" t="s">
        <v>985</v>
      </c>
      <c r="I1443" s="437">
        <v>751</v>
      </c>
      <c r="J1443" s="434" t="str">
        <f>IFERROR(VLOOKUP(I1443,'Chart of accounts'!A:H,2,FALSE),"")</f>
        <v>50201010 00</v>
      </c>
      <c r="K1443" s="434" t="str">
        <f>IFERROR(VLOOKUP(I1443,'Chart of accounts'!A:H,3,FALSE),"")</f>
        <v>Traveling Expenses - Local</v>
      </c>
      <c r="L1443" s="434" t="str">
        <f>IFERROR(VLOOKUP(I1443,'Chart of accounts'!A:H,4,FALSE),"")</f>
        <v>50201010 00 - Traveling Expenses - Local (751)</v>
      </c>
      <c r="M1443" s="438">
        <v>68</v>
      </c>
      <c r="N1443" s="439" t="s">
        <v>821</v>
      </c>
      <c r="O1443" s="439" t="s">
        <v>1535</v>
      </c>
      <c r="P1443" s="439"/>
      <c r="Q1443" s="50">
        <f>57498</f>
        <v>57498</v>
      </c>
      <c r="R1443" s="428">
        <f t="shared" si="53"/>
        <v>-57498</v>
      </c>
      <c r="S1443" s="428" t="str">
        <f>VLOOKUP(H1443,'Fund Utilization Report'!$A$4:$U$1800,13,FALSE)</f>
        <v>MOOE</v>
      </c>
      <c r="T1443" s="428" t="str">
        <f>VLOOKUP(H1443,'Fund Utilization Report'!$A$4:$U$1800,2,FALSE)</f>
        <v>GAA</v>
      </c>
      <c r="U1443" s="428" t="str">
        <f>VLOOKUP(H1443,'Fund Utilization Report'!$A$4:$U$1800,3,FALSE)</f>
        <v>FY2021, RA11518</v>
      </c>
      <c r="V1443" s="428" t="str">
        <f>VLOOKUP(H1443,'Fund Utilization Report'!$A$4:$U$1800,4,FALSE)</f>
        <v>LSP-PBG</v>
      </c>
      <c r="W1443" s="428" t="str">
        <f>VLOOKUP(H1443,'Fund Utilization Report'!$A$4:$U$1800,5,FALSE)</f>
        <v>01101101</v>
      </c>
      <c r="X1443" s="428" t="str">
        <f>VLOOKUP(H1443,'Fund Utilization Report'!$A$4:$U$1800,6,FALSE)</f>
        <v>GOP</v>
      </c>
      <c r="Y1443" s="320" t="str">
        <f>VLOOKUP(H1443,'Fund Utilization Report'!$A$4:$U$1800,7,FALSE)</f>
        <v>MOOE</v>
      </c>
      <c r="Z1443" s="425">
        <f>VLOOKUP(H1443,'Fund Utilization Report'!$A$4:$U$1800,8,FALSE)</f>
        <v>5020000000</v>
      </c>
      <c r="AA1443" s="428" t="str">
        <f>VLOOKUP(H1443,'Fund Utilization Report'!$A$4:$U$1800,14,FALSE)</f>
        <v>330100200004000</v>
      </c>
      <c r="AB1443" s="349" t="str">
        <f>VLOOKUP(H1443,'Fund Utilization Report'!$A$4:$U$1800,15,FALSE)</f>
        <v>MSME Development Program : Livelihood Seeding Program and Pangkabuhayan sa Pagbangon at Ginhawa</v>
      </c>
      <c r="AC1443" s="39"/>
      <c r="AD1443" s="34"/>
      <c r="AE1443" s="39"/>
      <c r="AF1443" s="51"/>
      <c r="AG1443" s="442"/>
      <c r="AH1443" s="442"/>
      <c r="AI1443" s="443"/>
    </row>
    <row r="1444" spans="1:35" s="32" customFormat="1" ht="27.6">
      <c r="A1444" s="434" t="s">
        <v>942</v>
      </c>
      <c r="B1444" s="457" t="s">
        <v>946</v>
      </c>
      <c r="C1444" s="233">
        <v>44279</v>
      </c>
      <c r="D1444" s="435" t="s">
        <v>1267</v>
      </c>
      <c r="E1444" s="436" t="s">
        <v>1534</v>
      </c>
      <c r="F1444" s="338">
        <v>0.6743055555555556</v>
      </c>
      <c r="G1444" s="338">
        <v>0.67499999999999993</v>
      </c>
      <c r="H1444" s="434" t="s">
        <v>985</v>
      </c>
      <c r="I1444" s="437">
        <v>753</v>
      </c>
      <c r="J1444" s="434" t="str">
        <f>IFERROR(VLOOKUP(I1444,'Chart of accounts'!A:H,2,FALSE),"")</f>
        <v>50202010 00</v>
      </c>
      <c r="K1444" s="434" t="str">
        <f>IFERROR(VLOOKUP(I1444,'Chart of accounts'!A:H,3,FALSE),"")</f>
        <v>Training Expenses</v>
      </c>
      <c r="L1444" s="434" t="str">
        <f>IFERROR(VLOOKUP(I1444,'Chart of accounts'!A:H,4,FALSE),"")</f>
        <v>50202010 00 - Training Expenses (753)</v>
      </c>
      <c r="M1444" s="438">
        <v>68</v>
      </c>
      <c r="N1444" s="439" t="s">
        <v>821</v>
      </c>
      <c r="O1444" s="439" t="s">
        <v>1535</v>
      </c>
      <c r="P1444" s="439"/>
      <c r="Q1444" s="50">
        <v>785004</v>
      </c>
      <c r="R1444" s="428">
        <f t="shared" si="53"/>
        <v>-785004</v>
      </c>
      <c r="S1444" s="428" t="str">
        <f>VLOOKUP(H1444,'Fund Utilization Report'!$A$4:$U$1800,13,FALSE)</f>
        <v>MOOE</v>
      </c>
      <c r="T1444" s="428" t="str">
        <f>VLOOKUP(H1444,'Fund Utilization Report'!$A$4:$U$1800,2,FALSE)</f>
        <v>GAA</v>
      </c>
      <c r="U1444" s="428" t="str">
        <f>VLOOKUP(H1444,'Fund Utilization Report'!$A$4:$U$1800,3,FALSE)</f>
        <v>FY2021, RA11518</v>
      </c>
      <c r="V1444" s="428" t="str">
        <f>VLOOKUP(H1444,'Fund Utilization Report'!$A$4:$U$1800,4,FALSE)</f>
        <v>LSP-PBG</v>
      </c>
      <c r="W1444" s="428" t="str">
        <f>VLOOKUP(H1444,'Fund Utilization Report'!$A$4:$U$1800,5,FALSE)</f>
        <v>01101101</v>
      </c>
      <c r="X1444" s="428" t="str">
        <f>VLOOKUP(H1444,'Fund Utilization Report'!$A$4:$U$1800,6,FALSE)</f>
        <v>GOP</v>
      </c>
      <c r="Y1444" s="320" t="str">
        <f>VLOOKUP(H1444,'Fund Utilization Report'!$A$4:$U$1800,7,FALSE)</f>
        <v>MOOE</v>
      </c>
      <c r="Z1444" s="425">
        <f>VLOOKUP(H1444,'Fund Utilization Report'!$A$4:$U$1800,8,FALSE)</f>
        <v>5020000000</v>
      </c>
      <c r="AA1444" s="428" t="str">
        <f>VLOOKUP(H1444,'Fund Utilization Report'!$A$4:$U$1800,14,FALSE)</f>
        <v>330100200004000</v>
      </c>
      <c r="AB1444" s="349" t="str">
        <f>VLOOKUP(H1444,'Fund Utilization Report'!$A$4:$U$1800,15,FALSE)</f>
        <v>MSME Development Program : Livelihood Seeding Program and Pangkabuhayan sa Pagbangon at Ginhawa</v>
      </c>
      <c r="AC1444" s="39"/>
      <c r="AD1444" s="34"/>
      <c r="AE1444" s="39"/>
      <c r="AF1444" s="51"/>
      <c r="AG1444" s="442"/>
      <c r="AH1444" s="442"/>
      <c r="AI1444" s="443"/>
    </row>
    <row r="1445" spans="1:35" s="32" customFormat="1" ht="27.6">
      <c r="A1445" s="434" t="s">
        <v>942</v>
      </c>
      <c r="B1445" s="457" t="s">
        <v>946</v>
      </c>
      <c r="C1445" s="233">
        <v>44279</v>
      </c>
      <c r="D1445" s="435" t="s">
        <v>1267</v>
      </c>
      <c r="E1445" s="436" t="s">
        <v>1534</v>
      </c>
      <c r="F1445" s="338">
        <v>0.6743055555555556</v>
      </c>
      <c r="G1445" s="338">
        <v>0.67499999999999993</v>
      </c>
      <c r="H1445" s="434" t="s">
        <v>985</v>
      </c>
      <c r="I1445" s="437">
        <v>773</v>
      </c>
      <c r="J1445" s="434" t="str">
        <f>IFERROR(VLOOKUP(I1445,'Chart of accounts'!A:H,2,FALSE),"")</f>
        <v>50205020 01</v>
      </c>
      <c r="K1445" s="434" t="str">
        <f>IFERROR(VLOOKUP(I1445,'Chart of accounts'!A:H,3,FALSE),"")</f>
        <v xml:space="preserve">Telephone Expenses - Mobile </v>
      </c>
      <c r="L1445" s="434" t="str">
        <f>IFERROR(VLOOKUP(I1445,'Chart of accounts'!A:H,4,FALSE),"")</f>
        <v>50205020 01 - Telephone Expenses - Mobile  (773)</v>
      </c>
      <c r="M1445" s="438">
        <v>68</v>
      </c>
      <c r="N1445" s="439" t="s">
        <v>821</v>
      </c>
      <c r="O1445" s="439" t="s">
        <v>1535</v>
      </c>
      <c r="P1445" s="439"/>
      <c r="Q1445" s="50">
        <f>19166</f>
        <v>19166</v>
      </c>
      <c r="R1445" s="428">
        <f t="shared" si="53"/>
        <v>-19166</v>
      </c>
      <c r="S1445" s="428" t="str">
        <f>VLOOKUP(H1445,'Fund Utilization Report'!$A$4:$U$1800,13,FALSE)</f>
        <v>MOOE</v>
      </c>
      <c r="T1445" s="428" t="str">
        <f>VLOOKUP(H1445,'Fund Utilization Report'!$A$4:$U$1800,2,FALSE)</f>
        <v>GAA</v>
      </c>
      <c r="U1445" s="428" t="str">
        <f>VLOOKUP(H1445,'Fund Utilization Report'!$A$4:$U$1800,3,FALSE)</f>
        <v>FY2021, RA11518</v>
      </c>
      <c r="V1445" s="428" t="str">
        <f>VLOOKUP(H1445,'Fund Utilization Report'!$A$4:$U$1800,4,FALSE)</f>
        <v>LSP-PBG</v>
      </c>
      <c r="W1445" s="428" t="str">
        <f>VLOOKUP(H1445,'Fund Utilization Report'!$A$4:$U$1800,5,FALSE)</f>
        <v>01101101</v>
      </c>
      <c r="X1445" s="428" t="str">
        <f>VLOOKUP(H1445,'Fund Utilization Report'!$A$4:$U$1800,6,FALSE)</f>
        <v>GOP</v>
      </c>
      <c r="Y1445" s="320" t="str">
        <f>VLOOKUP(H1445,'Fund Utilization Report'!$A$4:$U$1800,7,FALSE)</f>
        <v>MOOE</v>
      </c>
      <c r="Z1445" s="425">
        <f>VLOOKUP(H1445,'Fund Utilization Report'!$A$4:$U$1800,8,FALSE)</f>
        <v>5020000000</v>
      </c>
      <c r="AA1445" s="428" t="str">
        <f>VLOOKUP(H1445,'Fund Utilization Report'!$A$4:$U$1800,14,FALSE)</f>
        <v>330100200004000</v>
      </c>
      <c r="AB1445" s="349" t="str">
        <f>VLOOKUP(H1445,'Fund Utilization Report'!$A$4:$U$1800,15,FALSE)</f>
        <v>MSME Development Program : Livelihood Seeding Program and Pangkabuhayan sa Pagbangon at Ginhawa</v>
      </c>
      <c r="AC1445" s="39"/>
      <c r="AD1445" s="34"/>
      <c r="AE1445" s="39"/>
      <c r="AF1445" s="51"/>
      <c r="AG1445" s="442"/>
      <c r="AH1445" s="442"/>
      <c r="AI1445" s="443"/>
    </row>
    <row r="1446" spans="1:35" s="32" customFormat="1" ht="27.6">
      <c r="A1446" s="434" t="s">
        <v>942</v>
      </c>
      <c r="B1446" s="457" t="s">
        <v>946</v>
      </c>
      <c r="C1446" s="233">
        <v>44279</v>
      </c>
      <c r="D1446" s="435" t="s">
        <v>1267</v>
      </c>
      <c r="E1446" s="436" t="s">
        <v>1534</v>
      </c>
      <c r="F1446" s="338">
        <v>0.6743055555555556</v>
      </c>
      <c r="G1446" s="338">
        <v>0.67499999999999993</v>
      </c>
      <c r="H1446" s="434" t="s">
        <v>985</v>
      </c>
      <c r="I1446" s="437">
        <v>799</v>
      </c>
      <c r="J1446" s="434" t="str">
        <f>IFERROR(VLOOKUP(I1446,'Chart of accounts'!A:H,2,FALSE),"")</f>
        <v>50211990 00</v>
      </c>
      <c r="K1446" s="434" t="str">
        <f>IFERROR(VLOOKUP(I1446,'Chart of accounts'!A:H,3,FALSE),"")</f>
        <v>Other Professional Services</v>
      </c>
      <c r="L1446" s="434" t="str">
        <f>IFERROR(VLOOKUP(I1446,'Chart of accounts'!A:H,4,FALSE),"")</f>
        <v>50211990 00 - Other Professional Services (799)</v>
      </c>
      <c r="M1446" s="438">
        <v>68</v>
      </c>
      <c r="N1446" s="439" t="s">
        <v>821</v>
      </c>
      <c r="O1446" s="439" t="s">
        <v>1535</v>
      </c>
      <c r="P1446" s="439"/>
      <c r="Q1446" s="50">
        <f>38332</f>
        <v>38332</v>
      </c>
      <c r="R1446" s="428">
        <f t="shared" si="53"/>
        <v>-38332</v>
      </c>
      <c r="S1446" s="428" t="str">
        <f>VLOOKUP(H1446,'Fund Utilization Report'!$A$4:$U$1800,13,FALSE)</f>
        <v>MOOE</v>
      </c>
      <c r="T1446" s="428" t="str">
        <f>VLOOKUP(H1446,'Fund Utilization Report'!$A$4:$U$1800,2,FALSE)</f>
        <v>GAA</v>
      </c>
      <c r="U1446" s="428" t="str">
        <f>VLOOKUP(H1446,'Fund Utilization Report'!$A$4:$U$1800,3,FALSE)</f>
        <v>FY2021, RA11518</v>
      </c>
      <c r="V1446" s="428" t="str">
        <f>VLOOKUP(H1446,'Fund Utilization Report'!$A$4:$U$1800,4,FALSE)</f>
        <v>LSP-PBG</v>
      </c>
      <c r="W1446" s="428" t="str">
        <f>VLOOKUP(H1446,'Fund Utilization Report'!$A$4:$U$1800,5,FALSE)</f>
        <v>01101101</v>
      </c>
      <c r="X1446" s="428" t="str">
        <f>VLOOKUP(H1446,'Fund Utilization Report'!$A$4:$U$1800,6,FALSE)</f>
        <v>GOP</v>
      </c>
      <c r="Y1446" s="320" t="str">
        <f>VLOOKUP(H1446,'Fund Utilization Report'!$A$4:$U$1800,7,FALSE)</f>
        <v>MOOE</v>
      </c>
      <c r="Z1446" s="425">
        <f>VLOOKUP(H1446,'Fund Utilization Report'!$A$4:$U$1800,8,FALSE)</f>
        <v>5020000000</v>
      </c>
      <c r="AA1446" s="428" t="str">
        <f>VLOOKUP(H1446,'Fund Utilization Report'!$A$4:$U$1800,14,FALSE)</f>
        <v>330100200004000</v>
      </c>
      <c r="AB1446" s="349" t="str">
        <f>VLOOKUP(H1446,'Fund Utilization Report'!$A$4:$U$1800,15,FALSE)</f>
        <v>MSME Development Program : Livelihood Seeding Program and Pangkabuhayan sa Pagbangon at Ginhawa</v>
      </c>
      <c r="AC1446" s="39"/>
      <c r="AD1446" s="34"/>
      <c r="AE1446" s="39"/>
      <c r="AF1446" s="51"/>
      <c r="AG1446" s="442"/>
      <c r="AH1446" s="442"/>
      <c r="AI1446" s="443"/>
    </row>
    <row r="1447" spans="1:35" s="487" customFormat="1" ht="27.6">
      <c r="A1447" s="473" t="s">
        <v>942</v>
      </c>
      <c r="B1447" s="473" t="s">
        <v>945</v>
      </c>
      <c r="C1447" s="474">
        <v>44237</v>
      </c>
      <c r="D1447" s="475" t="s">
        <v>1028</v>
      </c>
      <c r="E1447" s="476" t="s">
        <v>1116</v>
      </c>
      <c r="F1447" s="473">
        <v>0.46736111111111112</v>
      </c>
      <c r="G1447" s="473">
        <v>0.47222222222222227</v>
      </c>
      <c r="H1447" s="473" t="s">
        <v>962</v>
      </c>
      <c r="I1447" s="477">
        <v>731</v>
      </c>
      <c r="J1447" s="473" t="s">
        <v>527</v>
      </c>
      <c r="K1447" s="473" t="s">
        <v>528</v>
      </c>
      <c r="L1447" s="473" t="s">
        <v>1067</v>
      </c>
      <c r="M1447" s="478">
        <v>1</v>
      </c>
      <c r="N1447" s="479" t="s">
        <v>847</v>
      </c>
      <c r="O1447" s="479" t="s">
        <v>1117</v>
      </c>
      <c r="P1447" s="479"/>
      <c r="Q1447" s="480">
        <v>-54.52</v>
      </c>
      <c r="R1447" s="481">
        <v>-54.52</v>
      </c>
      <c r="S1447" s="481" t="s">
        <v>12</v>
      </c>
      <c r="T1447" s="481" t="s">
        <v>881</v>
      </c>
      <c r="U1447" s="481" t="s">
        <v>883</v>
      </c>
      <c r="V1447" s="481" t="s">
        <v>892</v>
      </c>
      <c r="W1447" s="481" t="s">
        <v>887</v>
      </c>
      <c r="X1447" s="481" t="s">
        <v>888</v>
      </c>
      <c r="Y1447" s="482" t="s">
        <v>928</v>
      </c>
      <c r="Z1447" s="483" t="s">
        <v>929</v>
      </c>
      <c r="AA1447" s="481" t="s">
        <v>884</v>
      </c>
      <c r="AB1447" s="484" t="s">
        <v>931</v>
      </c>
      <c r="AC1447" s="485"/>
      <c r="AD1447" s="475"/>
      <c r="AE1447" s="485"/>
      <c r="AF1447" s="485"/>
      <c r="AG1447" s="486"/>
      <c r="AH1447" s="486"/>
    </row>
    <row r="1448" spans="1:35" s="487" customFormat="1" ht="27.6">
      <c r="A1448" s="473" t="s">
        <v>942</v>
      </c>
      <c r="B1448" s="473" t="s">
        <v>945</v>
      </c>
      <c r="C1448" s="474">
        <v>44237</v>
      </c>
      <c r="D1448" s="475" t="s">
        <v>1028</v>
      </c>
      <c r="E1448" s="476" t="s">
        <v>1118</v>
      </c>
      <c r="F1448" s="473">
        <v>0.47222222222222227</v>
      </c>
      <c r="G1448" s="473">
        <v>0.47361111111111115</v>
      </c>
      <c r="H1448" s="473" t="s">
        <v>962</v>
      </c>
      <c r="I1448" s="477">
        <v>731</v>
      </c>
      <c r="J1448" s="473" t="s">
        <v>527</v>
      </c>
      <c r="K1448" s="473" t="s">
        <v>528</v>
      </c>
      <c r="L1448" s="473" t="s">
        <v>1067</v>
      </c>
      <c r="M1448" s="478">
        <v>3</v>
      </c>
      <c r="N1448" s="479" t="s">
        <v>1119</v>
      </c>
      <c r="O1448" s="479" t="s">
        <v>1117</v>
      </c>
      <c r="P1448" s="479"/>
      <c r="Q1448" s="480">
        <v>-30.78</v>
      </c>
      <c r="R1448" s="481">
        <v>-30.78</v>
      </c>
      <c r="S1448" s="481" t="s">
        <v>12</v>
      </c>
      <c r="T1448" s="481" t="s">
        <v>881</v>
      </c>
      <c r="U1448" s="481" t="s">
        <v>883</v>
      </c>
      <c r="V1448" s="481" t="s">
        <v>892</v>
      </c>
      <c r="W1448" s="481" t="s">
        <v>887</v>
      </c>
      <c r="X1448" s="481" t="s">
        <v>888</v>
      </c>
      <c r="Y1448" s="482" t="s">
        <v>928</v>
      </c>
      <c r="Z1448" s="483" t="s">
        <v>929</v>
      </c>
      <c r="AA1448" s="481" t="s">
        <v>884</v>
      </c>
      <c r="AB1448" s="484" t="s">
        <v>931</v>
      </c>
      <c r="AC1448" s="485"/>
      <c r="AD1448" s="475"/>
      <c r="AE1448" s="485"/>
      <c r="AF1448" s="485"/>
      <c r="AG1448" s="486"/>
      <c r="AH1448" s="486"/>
    </row>
    <row r="1449" spans="1:35" s="487" customFormat="1" ht="27.6">
      <c r="A1449" s="473" t="s">
        <v>942</v>
      </c>
      <c r="B1449" s="473" t="s">
        <v>945</v>
      </c>
      <c r="C1449" s="474">
        <v>44237</v>
      </c>
      <c r="D1449" s="475" t="s">
        <v>1028</v>
      </c>
      <c r="E1449" s="476" t="s">
        <v>1120</v>
      </c>
      <c r="F1449" s="473">
        <v>0.47361111111111115</v>
      </c>
      <c r="G1449" s="473">
        <v>0.47569444444444442</v>
      </c>
      <c r="H1449" s="473" t="s">
        <v>962</v>
      </c>
      <c r="I1449" s="477">
        <v>731</v>
      </c>
      <c r="J1449" s="473" t="s">
        <v>527</v>
      </c>
      <c r="K1449" s="473" t="s">
        <v>528</v>
      </c>
      <c r="L1449" s="473" t="s">
        <v>1067</v>
      </c>
      <c r="M1449" s="478">
        <v>1</v>
      </c>
      <c r="N1449" s="479" t="s">
        <v>833</v>
      </c>
      <c r="O1449" s="479" t="s">
        <v>1121</v>
      </c>
      <c r="P1449" s="479"/>
      <c r="Q1449" s="480">
        <v>-73.27</v>
      </c>
      <c r="R1449" s="481">
        <v>-73.27</v>
      </c>
      <c r="S1449" s="481" t="s">
        <v>12</v>
      </c>
      <c r="T1449" s="481" t="s">
        <v>881</v>
      </c>
      <c r="U1449" s="481" t="s">
        <v>883</v>
      </c>
      <c r="V1449" s="481" t="s">
        <v>892</v>
      </c>
      <c r="W1449" s="481" t="s">
        <v>887</v>
      </c>
      <c r="X1449" s="481" t="s">
        <v>888</v>
      </c>
      <c r="Y1449" s="482" t="s">
        <v>928</v>
      </c>
      <c r="Z1449" s="483" t="s">
        <v>929</v>
      </c>
      <c r="AA1449" s="481" t="s">
        <v>884</v>
      </c>
      <c r="AB1449" s="484" t="s">
        <v>931</v>
      </c>
      <c r="AC1449" s="485"/>
      <c r="AD1449" s="475"/>
      <c r="AE1449" s="485"/>
      <c r="AF1449" s="485"/>
      <c r="AG1449" s="486"/>
      <c r="AH1449" s="486"/>
    </row>
    <row r="1450" spans="1:35" s="32" customFormat="1" ht="27.6">
      <c r="A1450" s="434" t="s">
        <v>942</v>
      </c>
      <c r="B1450" s="457" t="s">
        <v>946</v>
      </c>
      <c r="C1450" s="233">
        <v>44280</v>
      </c>
      <c r="D1450" s="435" t="s">
        <v>1267</v>
      </c>
      <c r="E1450" s="436" t="s">
        <v>1536</v>
      </c>
      <c r="F1450" s="338">
        <v>0.36805555555555558</v>
      </c>
      <c r="G1450" s="338">
        <v>0.36874999999999997</v>
      </c>
      <c r="H1450" s="338" t="s">
        <v>974</v>
      </c>
      <c r="I1450" s="353">
        <v>751</v>
      </c>
      <c r="J1450" s="338" t="str">
        <f>IFERROR(VLOOKUP(I1450,'Chart of accounts'!A:H,2,FALSE),"")</f>
        <v>50201010 00</v>
      </c>
      <c r="K1450" s="338" t="str">
        <f>IFERROR(VLOOKUP(I1450,'Chart of accounts'!A:H,3,FALSE),"")</f>
        <v>Traveling Expenses - Local</v>
      </c>
      <c r="L1450" s="338" t="str">
        <f>IFERROR(VLOOKUP(I1450,'Chart of accounts'!A:H,4,FALSE),"")</f>
        <v>50201010 00 - Traveling Expenses - Local (751)</v>
      </c>
      <c r="M1450" s="361" t="s">
        <v>1537</v>
      </c>
      <c r="N1450" s="355" t="s">
        <v>818</v>
      </c>
      <c r="O1450" s="355" t="s">
        <v>1538</v>
      </c>
      <c r="P1450" s="355"/>
      <c r="Q1450" s="363">
        <v>15000</v>
      </c>
      <c r="R1450" s="428">
        <f>P1450-Q1450</f>
        <v>-15000</v>
      </c>
      <c r="S1450" s="428" t="str">
        <f>VLOOKUP(H1450,'Fund Utilization Report'!$A$4:$U$1800,13,FALSE)</f>
        <v>MOOE</v>
      </c>
      <c r="T1450" s="428" t="str">
        <f>VLOOKUP(H1450,'Fund Utilization Report'!$A$4:$U$1800,2,FALSE)</f>
        <v>GAA</v>
      </c>
      <c r="U1450" s="428" t="str">
        <f>VLOOKUP(H1450,'Fund Utilization Report'!$A$4:$U$1800,3,FALSE)</f>
        <v>FY2021, RA11518</v>
      </c>
      <c r="V1450" s="428" t="str">
        <f>VLOOKUP(H1450,'Fund Utilization Report'!$A$4:$U$1800,4,FALSE)</f>
        <v>OO4.1(FTL)</v>
      </c>
      <c r="W1450" s="428" t="str">
        <f>VLOOKUP(H1450,'Fund Utilization Report'!$A$4:$U$1800,5,FALSE)</f>
        <v>01101101</v>
      </c>
      <c r="X1450" s="428" t="str">
        <f>VLOOKUP(H1450,'Fund Utilization Report'!$A$4:$U$1800,6,FALSE)</f>
        <v>GOP</v>
      </c>
      <c r="Y1450" s="320" t="str">
        <f>VLOOKUP(H1450,'Fund Utilization Report'!$A$4:$U$1800,7,FALSE)</f>
        <v>MOOE</v>
      </c>
      <c r="Z1450" s="425">
        <f>VLOOKUP(H1450,'Fund Utilization Report'!$A$4:$U$1800,8,FALSE)</f>
        <v>5020000000</v>
      </c>
      <c r="AA1450" s="428" t="str">
        <f>VLOOKUP(H1450,'Fund Utilization Report'!$A$4:$U$1800,14,FALSE)</f>
        <v>340100100002000</v>
      </c>
      <c r="AB1450" s="349" t="str">
        <f>VLOOKUP(H1450,'Fund Utilization Report'!$A$4:$U$1800,15,FALSE)</f>
        <v>Monitoring and Enforcement of FTL including consumer complaints handling</v>
      </c>
      <c r="AC1450" s="39"/>
      <c r="AD1450" s="34"/>
      <c r="AE1450" s="39"/>
      <c r="AF1450" s="51"/>
      <c r="AG1450" s="442"/>
      <c r="AH1450" s="442"/>
      <c r="AI1450" s="443"/>
    </row>
    <row r="1451" spans="1:35" s="32" customFormat="1" ht="27.6">
      <c r="A1451" s="434" t="s">
        <v>942</v>
      </c>
      <c r="B1451" s="457" t="s">
        <v>946</v>
      </c>
      <c r="C1451" s="233">
        <v>44280</v>
      </c>
      <c r="D1451" s="435" t="s">
        <v>1267</v>
      </c>
      <c r="E1451" s="436" t="s">
        <v>1536</v>
      </c>
      <c r="F1451" s="338">
        <v>0.36805555555555558</v>
      </c>
      <c r="G1451" s="338">
        <v>0.36874999999999997</v>
      </c>
      <c r="H1451" s="338" t="s">
        <v>974</v>
      </c>
      <c r="I1451" s="353">
        <v>753</v>
      </c>
      <c r="J1451" s="338" t="str">
        <f>IFERROR(VLOOKUP(I1451,'Chart of accounts'!A:H,2,FALSE),"")</f>
        <v>50202010 00</v>
      </c>
      <c r="K1451" s="338" t="str">
        <f>IFERROR(VLOOKUP(I1451,'Chart of accounts'!A:H,3,FALSE),"")</f>
        <v>Training Expenses</v>
      </c>
      <c r="L1451" s="338" t="str">
        <f>IFERROR(VLOOKUP(I1451,'Chart of accounts'!A:H,4,FALSE),"")</f>
        <v>50202010 00 - Training Expenses (753)</v>
      </c>
      <c r="M1451" s="361" t="s">
        <v>1537</v>
      </c>
      <c r="N1451" s="355" t="s">
        <v>818</v>
      </c>
      <c r="O1451" s="355" t="s">
        <v>1538</v>
      </c>
      <c r="P1451" s="355"/>
      <c r="Q1451" s="363">
        <v>23000</v>
      </c>
      <c r="R1451" s="428">
        <f>P1451-Q1451</f>
        <v>-23000</v>
      </c>
      <c r="S1451" s="428" t="str">
        <f>VLOOKUP(H1451,'Fund Utilization Report'!$A$4:$U$1800,13,FALSE)</f>
        <v>MOOE</v>
      </c>
      <c r="T1451" s="428" t="str">
        <f>VLOOKUP(H1451,'Fund Utilization Report'!$A$4:$U$1800,2,FALSE)</f>
        <v>GAA</v>
      </c>
      <c r="U1451" s="428" t="str">
        <f>VLOOKUP(H1451,'Fund Utilization Report'!$A$4:$U$1800,3,FALSE)</f>
        <v>FY2021, RA11518</v>
      </c>
      <c r="V1451" s="428" t="str">
        <f>VLOOKUP(H1451,'Fund Utilization Report'!$A$4:$U$1800,4,FALSE)</f>
        <v>OO4.1(FTL)</v>
      </c>
      <c r="W1451" s="428" t="str">
        <f>VLOOKUP(H1451,'Fund Utilization Report'!$A$4:$U$1800,5,FALSE)</f>
        <v>01101101</v>
      </c>
      <c r="X1451" s="428" t="str">
        <f>VLOOKUP(H1451,'Fund Utilization Report'!$A$4:$U$1800,6,FALSE)</f>
        <v>GOP</v>
      </c>
      <c r="Y1451" s="320" t="str">
        <f>VLOOKUP(H1451,'Fund Utilization Report'!$A$4:$U$1800,7,FALSE)</f>
        <v>MOOE</v>
      </c>
      <c r="Z1451" s="425">
        <f>VLOOKUP(H1451,'Fund Utilization Report'!$A$4:$U$1800,8,FALSE)</f>
        <v>5020000000</v>
      </c>
      <c r="AA1451" s="428" t="str">
        <f>VLOOKUP(H1451,'Fund Utilization Report'!$A$4:$U$1800,14,FALSE)</f>
        <v>340100100002000</v>
      </c>
      <c r="AB1451" s="349" t="str">
        <f>VLOOKUP(H1451,'Fund Utilization Report'!$A$4:$U$1800,15,FALSE)</f>
        <v>Monitoring and Enforcement of FTL including consumer complaints handling</v>
      </c>
      <c r="AC1451" s="39"/>
      <c r="AD1451" s="34"/>
      <c r="AE1451" s="39"/>
      <c r="AF1451" s="51"/>
      <c r="AG1451" s="442"/>
      <c r="AH1451" s="442"/>
      <c r="AI1451" s="443"/>
    </row>
    <row r="1452" spans="1:35" s="32" customFormat="1" ht="27.6">
      <c r="A1452" s="434" t="s">
        <v>942</v>
      </c>
      <c r="B1452" s="457" t="s">
        <v>946</v>
      </c>
      <c r="C1452" s="233">
        <v>44280</v>
      </c>
      <c r="D1452" s="435" t="s">
        <v>1267</v>
      </c>
      <c r="E1452" s="436" t="s">
        <v>1536</v>
      </c>
      <c r="F1452" s="338">
        <v>0.36805555555555558</v>
      </c>
      <c r="G1452" s="338">
        <v>0.36874999999999997</v>
      </c>
      <c r="H1452" s="338" t="s">
        <v>974</v>
      </c>
      <c r="I1452" s="353">
        <v>799</v>
      </c>
      <c r="J1452" s="338" t="str">
        <f>IFERROR(VLOOKUP(I1452,'Chart of accounts'!A:H,2,FALSE),"")</f>
        <v>50211990 00</v>
      </c>
      <c r="K1452" s="338" t="str">
        <f>IFERROR(VLOOKUP(I1452,'Chart of accounts'!A:H,3,FALSE),"")</f>
        <v>Other Professional Services</v>
      </c>
      <c r="L1452" s="338" t="str">
        <f>IFERROR(VLOOKUP(I1452,'Chart of accounts'!A:H,4,FALSE),"")</f>
        <v>50211990 00 - Other Professional Services (799)</v>
      </c>
      <c r="M1452" s="361" t="s">
        <v>1537</v>
      </c>
      <c r="N1452" s="355" t="s">
        <v>818</v>
      </c>
      <c r="O1452" s="355" t="s">
        <v>1538</v>
      </c>
      <c r="P1452" s="355"/>
      <c r="Q1452" s="363">
        <v>5000</v>
      </c>
      <c r="R1452" s="428">
        <f>P1452-Q1452</f>
        <v>-5000</v>
      </c>
      <c r="S1452" s="428" t="str">
        <f>VLOOKUP(H1452,'Fund Utilization Report'!$A$4:$U$1800,13,FALSE)</f>
        <v>MOOE</v>
      </c>
      <c r="T1452" s="428" t="str">
        <f>VLOOKUP(H1452,'Fund Utilization Report'!$A$4:$U$1800,2,FALSE)</f>
        <v>GAA</v>
      </c>
      <c r="U1452" s="428" t="str">
        <f>VLOOKUP(H1452,'Fund Utilization Report'!$A$4:$U$1800,3,FALSE)</f>
        <v>FY2021, RA11518</v>
      </c>
      <c r="V1452" s="428" t="str">
        <f>VLOOKUP(H1452,'Fund Utilization Report'!$A$4:$U$1800,4,FALSE)</f>
        <v>OO4.1(FTL)</v>
      </c>
      <c r="W1452" s="428" t="str">
        <f>VLOOKUP(H1452,'Fund Utilization Report'!$A$4:$U$1800,5,FALSE)</f>
        <v>01101101</v>
      </c>
      <c r="X1452" s="428" t="str">
        <f>VLOOKUP(H1452,'Fund Utilization Report'!$A$4:$U$1800,6,FALSE)</f>
        <v>GOP</v>
      </c>
      <c r="Y1452" s="320" t="str">
        <f>VLOOKUP(H1452,'Fund Utilization Report'!$A$4:$U$1800,7,FALSE)</f>
        <v>MOOE</v>
      </c>
      <c r="Z1452" s="425">
        <f>VLOOKUP(H1452,'Fund Utilization Report'!$A$4:$U$1800,8,FALSE)</f>
        <v>5020000000</v>
      </c>
      <c r="AA1452" s="428" t="str">
        <f>VLOOKUP(H1452,'Fund Utilization Report'!$A$4:$U$1800,14,FALSE)</f>
        <v>340100100002000</v>
      </c>
      <c r="AB1452" s="349" t="str">
        <f>VLOOKUP(H1452,'Fund Utilization Report'!$A$4:$U$1800,15,FALSE)</f>
        <v>Monitoring and Enforcement of FTL including consumer complaints handling</v>
      </c>
      <c r="AC1452" s="39"/>
      <c r="AD1452" s="34"/>
      <c r="AE1452" s="39"/>
      <c r="AF1452" s="51"/>
      <c r="AG1452" s="442"/>
      <c r="AH1452" s="442"/>
      <c r="AI1452" s="443"/>
    </row>
    <row r="1453" spans="1:35" s="32" customFormat="1" ht="27.6">
      <c r="A1453" s="434" t="s">
        <v>942</v>
      </c>
      <c r="B1453" s="457" t="s">
        <v>946</v>
      </c>
      <c r="C1453" s="233">
        <v>44280</v>
      </c>
      <c r="D1453" s="435" t="s">
        <v>1267</v>
      </c>
      <c r="E1453" s="436" t="s">
        <v>1536</v>
      </c>
      <c r="F1453" s="338">
        <v>0.36805555555555558</v>
      </c>
      <c r="G1453" s="338">
        <v>0.36874999999999997</v>
      </c>
      <c r="H1453" s="338" t="s">
        <v>977</v>
      </c>
      <c r="I1453" s="353">
        <v>751</v>
      </c>
      <c r="J1453" s="338" t="str">
        <f>IFERROR(VLOOKUP(I1453,'Chart of accounts'!A:H,2,FALSE),"")</f>
        <v>50201010 00</v>
      </c>
      <c r="K1453" s="338" t="str">
        <f>IFERROR(VLOOKUP(I1453,'Chart of accounts'!A:H,3,FALSE),"")</f>
        <v>Traveling Expenses - Local</v>
      </c>
      <c r="L1453" s="338" t="str">
        <f>IFERROR(VLOOKUP(I1453,'Chart of accounts'!A:H,4,FALSE),"")</f>
        <v>50201010 00 - Traveling Expenses - Local (751)</v>
      </c>
      <c r="M1453" s="361" t="s">
        <v>1537</v>
      </c>
      <c r="N1453" s="355" t="s">
        <v>818</v>
      </c>
      <c r="O1453" s="355" t="s">
        <v>1538</v>
      </c>
      <c r="P1453" s="355"/>
      <c r="Q1453" s="363">
        <v>30000</v>
      </c>
      <c r="R1453" s="428">
        <f>P1453-Q1453</f>
        <v>-30000</v>
      </c>
      <c r="S1453" s="428" t="str">
        <f>VLOOKUP(H1453,'Fund Utilization Report'!$A$4:$U$1800,13,FALSE)</f>
        <v>MOOE</v>
      </c>
      <c r="T1453" s="428" t="str">
        <f>VLOOKUP(H1453,'Fund Utilization Report'!$A$4:$U$1800,2,FALSE)</f>
        <v>GAA</v>
      </c>
      <c r="U1453" s="428" t="str">
        <f>VLOOKUP(H1453,'Fund Utilization Report'!$A$4:$U$1800,3,FALSE)</f>
        <v>FY2021, RA11518</v>
      </c>
      <c r="V1453" s="428" t="str">
        <f>VLOOKUP(H1453,'Fund Utilization Report'!$A$4:$U$1800,4,FALSE)</f>
        <v>OO4.1(Acc)</v>
      </c>
      <c r="W1453" s="428" t="str">
        <f>VLOOKUP(H1453,'Fund Utilization Report'!$A$4:$U$1800,5,FALSE)</f>
        <v>01101101</v>
      </c>
      <c r="X1453" s="428" t="str">
        <f>VLOOKUP(H1453,'Fund Utilization Report'!$A$4:$U$1800,6,FALSE)</f>
        <v>GOP</v>
      </c>
      <c r="Y1453" s="320" t="str">
        <f>VLOOKUP(H1453,'Fund Utilization Report'!$A$4:$U$1800,7,FALSE)</f>
        <v>MOOE</v>
      </c>
      <c r="Z1453" s="425">
        <f>VLOOKUP(H1453,'Fund Utilization Report'!$A$4:$U$1800,8,FALSE)</f>
        <v>5020000000</v>
      </c>
      <c r="AA1453" s="428" t="str">
        <f>VLOOKUP(H1453,'Fund Utilization Report'!$A$4:$U$1800,14,FALSE)</f>
        <v>340100100003000</v>
      </c>
      <c r="AB1453" s="349" t="str">
        <f>VLOOKUP(H1453,'Fund Utilization Report'!$A$4:$U$1800,15,FALSE)</f>
        <v>Accreditation and Issuance of Business Licenses, Permits, registration and authorities</v>
      </c>
      <c r="AC1453" s="39"/>
      <c r="AD1453" s="34"/>
      <c r="AE1453" s="39"/>
      <c r="AF1453" s="51"/>
      <c r="AG1453" s="442"/>
      <c r="AH1453" s="442"/>
      <c r="AI1453" s="443"/>
    </row>
    <row r="1454" spans="1:35" s="32" customFormat="1" ht="27.6">
      <c r="A1454" s="434" t="s">
        <v>942</v>
      </c>
      <c r="B1454" s="457" t="s">
        <v>946</v>
      </c>
      <c r="C1454" s="233">
        <v>44280</v>
      </c>
      <c r="D1454" s="435" t="s">
        <v>1267</v>
      </c>
      <c r="E1454" s="436" t="s">
        <v>1536</v>
      </c>
      <c r="F1454" s="338">
        <v>0.36805555555555558</v>
      </c>
      <c r="G1454" s="338">
        <v>0.36874999999999997</v>
      </c>
      <c r="H1454" s="338" t="s">
        <v>977</v>
      </c>
      <c r="I1454" s="353">
        <v>753</v>
      </c>
      <c r="J1454" s="338" t="str">
        <f>IFERROR(VLOOKUP(I1454,'Chart of accounts'!A:H,2,FALSE),"")</f>
        <v>50202010 00</v>
      </c>
      <c r="K1454" s="338" t="str">
        <f>IFERROR(VLOOKUP(I1454,'Chart of accounts'!A:H,3,FALSE),"")</f>
        <v>Training Expenses</v>
      </c>
      <c r="L1454" s="338" t="str">
        <f>IFERROR(VLOOKUP(I1454,'Chart of accounts'!A:H,4,FALSE),"")</f>
        <v>50202010 00 - Training Expenses (753)</v>
      </c>
      <c r="M1454" s="361" t="s">
        <v>1537</v>
      </c>
      <c r="N1454" s="355" t="s">
        <v>818</v>
      </c>
      <c r="O1454" s="355" t="s">
        <v>1538</v>
      </c>
      <c r="P1454" s="355"/>
      <c r="Q1454" s="363">
        <v>20000</v>
      </c>
      <c r="R1454" s="428">
        <f>P1454-Q1454</f>
        <v>-20000</v>
      </c>
      <c r="S1454" s="428" t="str">
        <f>VLOOKUP(H1454,'Fund Utilization Report'!$A$4:$U$1800,13,FALSE)</f>
        <v>MOOE</v>
      </c>
      <c r="T1454" s="428" t="str">
        <f>VLOOKUP(H1454,'Fund Utilization Report'!$A$4:$U$1800,2,FALSE)</f>
        <v>GAA</v>
      </c>
      <c r="U1454" s="428" t="str">
        <f>VLOOKUP(H1454,'Fund Utilization Report'!$A$4:$U$1800,3,FALSE)</f>
        <v>FY2021, RA11518</v>
      </c>
      <c r="V1454" s="428" t="str">
        <f>VLOOKUP(H1454,'Fund Utilization Report'!$A$4:$U$1800,4,FALSE)</f>
        <v>OO4.1(Acc)</v>
      </c>
      <c r="W1454" s="428" t="str">
        <f>VLOOKUP(H1454,'Fund Utilization Report'!$A$4:$U$1800,5,FALSE)</f>
        <v>01101101</v>
      </c>
      <c r="X1454" s="428" t="str">
        <f>VLOOKUP(H1454,'Fund Utilization Report'!$A$4:$U$1800,6,FALSE)</f>
        <v>GOP</v>
      </c>
      <c r="Y1454" s="320" t="str">
        <f>VLOOKUP(H1454,'Fund Utilization Report'!$A$4:$U$1800,7,FALSE)</f>
        <v>MOOE</v>
      </c>
      <c r="Z1454" s="425">
        <f>VLOOKUP(H1454,'Fund Utilization Report'!$A$4:$U$1800,8,FALSE)</f>
        <v>5020000000</v>
      </c>
      <c r="AA1454" s="428" t="str">
        <f>VLOOKUP(H1454,'Fund Utilization Report'!$A$4:$U$1800,14,FALSE)</f>
        <v>340100100003000</v>
      </c>
      <c r="AB1454" s="349" t="str">
        <f>VLOOKUP(H1454,'Fund Utilization Report'!$A$4:$U$1800,15,FALSE)</f>
        <v>Accreditation and Issuance of Business Licenses, Permits, registration and authorities</v>
      </c>
      <c r="AC1454" s="39"/>
      <c r="AD1454" s="34"/>
      <c r="AE1454" s="39"/>
      <c r="AF1454" s="51"/>
      <c r="AG1454" s="442"/>
      <c r="AH1454" s="442"/>
      <c r="AI1454" s="443"/>
    </row>
    <row r="1455" spans="1:35" s="32" customFormat="1" ht="27.6">
      <c r="A1455" s="434" t="s">
        <v>942</v>
      </c>
      <c r="B1455" s="457" t="s">
        <v>946</v>
      </c>
      <c r="C1455" s="233">
        <v>44280</v>
      </c>
      <c r="D1455" s="435" t="s">
        <v>1267</v>
      </c>
      <c r="E1455" s="436" t="s">
        <v>1536</v>
      </c>
      <c r="F1455" s="338">
        <v>0.36805555555555558</v>
      </c>
      <c r="G1455" s="338">
        <v>0.36874999999999997</v>
      </c>
      <c r="H1455" s="338" t="s">
        <v>977</v>
      </c>
      <c r="I1455" s="353">
        <v>783</v>
      </c>
      <c r="J1455" s="338" t="str">
        <f>IFERROR(VLOOKUP(I1455,'Chart of accounts'!A:H,2,FALSE),"")</f>
        <v>50299030 00</v>
      </c>
      <c r="K1455" s="338" t="str">
        <f>IFERROR(VLOOKUP(I1455,'Chart of accounts'!A:H,3,FALSE),"")</f>
        <v>Representation Expenses</v>
      </c>
      <c r="L1455" s="338" t="str">
        <f>IFERROR(VLOOKUP(I1455,'Chart of accounts'!A:H,4,FALSE),"")</f>
        <v>50299030 00 - Representation Expenses (783)</v>
      </c>
      <c r="M1455" s="361" t="s">
        <v>1537</v>
      </c>
      <c r="N1455" s="355" t="s">
        <v>818</v>
      </c>
      <c r="O1455" s="355" t="s">
        <v>1538</v>
      </c>
      <c r="P1455" s="355"/>
      <c r="Q1455" s="363">
        <f>170000-22500</f>
        <v>147500</v>
      </c>
      <c r="R1455" s="428">
        <f t="shared" ref="R1455:R1467" si="54">P1455-Q1455</f>
        <v>-147500</v>
      </c>
      <c r="S1455" s="428" t="str">
        <f>VLOOKUP(H1455,'Fund Utilization Report'!$A$4:$U$1800,13,FALSE)</f>
        <v>MOOE</v>
      </c>
      <c r="T1455" s="428" t="str">
        <f>VLOOKUP(H1455,'Fund Utilization Report'!$A$4:$U$1800,2,FALSE)</f>
        <v>GAA</v>
      </c>
      <c r="U1455" s="428" t="str">
        <f>VLOOKUP(H1455,'Fund Utilization Report'!$A$4:$U$1800,3,FALSE)</f>
        <v>FY2021, RA11518</v>
      </c>
      <c r="V1455" s="428" t="str">
        <f>VLOOKUP(H1455,'Fund Utilization Report'!$A$4:$U$1800,4,FALSE)</f>
        <v>OO4.1(Acc)</v>
      </c>
      <c r="W1455" s="428" t="str">
        <f>VLOOKUP(H1455,'Fund Utilization Report'!$A$4:$U$1800,5,FALSE)</f>
        <v>01101101</v>
      </c>
      <c r="X1455" s="428" t="str">
        <f>VLOOKUP(H1455,'Fund Utilization Report'!$A$4:$U$1800,6,FALSE)</f>
        <v>GOP</v>
      </c>
      <c r="Y1455" s="320" t="str">
        <f>VLOOKUP(H1455,'Fund Utilization Report'!$A$4:$U$1800,7,FALSE)</f>
        <v>MOOE</v>
      </c>
      <c r="Z1455" s="425">
        <f>VLOOKUP(H1455,'Fund Utilization Report'!$A$4:$U$1800,8,FALSE)</f>
        <v>5020000000</v>
      </c>
      <c r="AA1455" s="428" t="str">
        <f>VLOOKUP(H1455,'Fund Utilization Report'!$A$4:$U$1800,14,FALSE)</f>
        <v>340100100003000</v>
      </c>
      <c r="AB1455" s="349" t="str">
        <f>VLOOKUP(H1455,'Fund Utilization Report'!$A$4:$U$1800,15,FALSE)</f>
        <v>Accreditation and Issuance of Business Licenses, Permits, registration and authorities</v>
      </c>
      <c r="AC1455" s="39"/>
      <c r="AD1455" s="34"/>
      <c r="AE1455" s="39"/>
      <c r="AF1455" s="51"/>
      <c r="AG1455" s="442"/>
      <c r="AH1455" s="442"/>
      <c r="AI1455" s="443"/>
    </row>
    <row r="1456" spans="1:35" s="32" customFormat="1" ht="27.6">
      <c r="A1456" s="434" t="s">
        <v>942</v>
      </c>
      <c r="B1456" s="457" t="s">
        <v>946</v>
      </c>
      <c r="C1456" s="233">
        <v>44280</v>
      </c>
      <c r="D1456" s="435" t="s">
        <v>1267</v>
      </c>
      <c r="E1456" s="436" t="s">
        <v>1536</v>
      </c>
      <c r="F1456" s="338">
        <v>0.36805555555555558</v>
      </c>
      <c r="G1456" s="338">
        <v>0.36874999999999997</v>
      </c>
      <c r="H1456" s="338" t="s">
        <v>979</v>
      </c>
      <c r="I1456" s="353">
        <v>751</v>
      </c>
      <c r="J1456" s="338" t="str">
        <f>IFERROR(VLOOKUP(I1456,'Chart of accounts'!A:H,2,FALSE),"")</f>
        <v>50201010 00</v>
      </c>
      <c r="K1456" s="338" t="str">
        <f>IFERROR(VLOOKUP(I1456,'Chart of accounts'!A:H,3,FALSE),"")</f>
        <v>Traveling Expenses - Local</v>
      </c>
      <c r="L1456" s="338" t="str">
        <f>IFERROR(VLOOKUP(I1456,'Chart of accounts'!A:H,4,FALSE),"")</f>
        <v>50201010 00 - Traveling Expenses - Local (751)</v>
      </c>
      <c r="M1456" s="361" t="s">
        <v>1537</v>
      </c>
      <c r="N1456" s="355" t="s">
        <v>818</v>
      </c>
      <c r="O1456" s="355" t="s">
        <v>1538</v>
      </c>
      <c r="P1456" s="355"/>
      <c r="Q1456" s="363">
        <v>25000</v>
      </c>
      <c r="R1456" s="428">
        <f t="shared" si="54"/>
        <v>-25000</v>
      </c>
      <c r="S1456" s="428" t="str">
        <f>VLOOKUP(H1456,'Fund Utilization Report'!$A$4:$U$1800,13,FALSE)</f>
        <v>MOOE</v>
      </c>
      <c r="T1456" s="428" t="str">
        <f>VLOOKUP(H1456,'Fund Utilization Report'!$A$4:$U$1800,2,FALSE)</f>
        <v>GAA</v>
      </c>
      <c r="U1456" s="428" t="str">
        <f>VLOOKUP(H1456,'Fund Utilization Report'!$A$4:$U$1800,3,FALSE)</f>
        <v>FY2021, RA11518</v>
      </c>
      <c r="V1456" s="428" t="str">
        <f>VLOOKUP(H1456,'Fund Utilization Report'!$A$4:$U$1800,4,FALSE)</f>
        <v>OO 4.2</v>
      </c>
      <c r="W1456" s="428" t="str">
        <f>VLOOKUP(H1456,'Fund Utilization Report'!$A$4:$U$1800,5,FALSE)</f>
        <v>01101101</v>
      </c>
      <c r="X1456" s="428" t="str">
        <f>VLOOKUP(H1456,'Fund Utilization Report'!$A$4:$U$1800,6,FALSE)</f>
        <v>GOP</v>
      </c>
      <c r="Y1456" s="320" t="str">
        <f>VLOOKUP(H1456,'Fund Utilization Report'!$A$4:$U$1800,7,FALSE)</f>
        <v>MOOE</v>
      </c>
      <c r="Z1456" s="425">
        <f>VLOOKUP(H1456,'Fund Utilization Report'!$A$4:$U$1800,8,FALSE)</f>
        <v>5020000000</v>
      </c>
      <c r="AA1456" s="428" t="str">
        <f>VLOOKUP(H1456,'Fund Utilization Report'!$A$4:$U$1800,14,FALSE)</f>
        <v>340200100002000</v>
      </c>
      <c r="AB1456" s="349" t="str">
        <f>VLOOKUP(H1456,'Fund Utilization Report'!$A$4:$U$1800,15,FALSE)</f>
        <v>Implementation of Plans, projects and activities on consumer awareness, education, and advocacy</v>
      </c>
      <c r="AC1456" s="39"/>
      <c r="AD1456" s="34"/>
      <c r="AE1456" s="39"/>
      <c r="AF1456" s="51"/>
      <c r="AG1456" s="442"/>
      <c r="AH1456" s="442"/>
      <c r="AI1456" s="443"/>
    </row>
    <row r="1457" spans="1:35" s="32" customFormat="1" ht="27.6">
      <c r="A1457" s="434" t="s">
        <v>942</v>
      </c>
      <c r="B1457" s="457" t="s">
        <v>946</v>
      </c>
      <c r="C1457" s="233">
        <v>44280</v>
      </c>
      <c r="D1457" s="435" t="s">
        <v>1267</v>
      </c>
      <c r="E1457" s="436" t="s">
        <v>1536</v>
      </c>
      <c r="F1457" s="338">
        <v>0.36805555555555558</v>
      </c>
      <c r="G1457" s="338">
        <v>0.36874999999999997</v>
      </c>
      <c r="H1457" s="338" t="s">
        <v>979</v>
      </c>
      <c r="I1457" s="353">
        <v>753</v>
      </c>
      <c r="J1457" s="338" t="str">
        <f>IFERROR(VLOOKUP(I1457,'Chart of accounts'!A:H,2,FALSE),"")</f>
        <v>50202010 00</v>
      </c>
      <c r="K1457" s="338" t="str">
        <f>IFERROR(VLOOKUP(I1457,'Chart of accounts'!A:H,3,FALSE),"")</f>
        <v>Training Expenses</v>
      </c>
      <c r="L1457" s="338" t="str">
        <f>IFERROR(VLOOKUP(I1457,'Chart of accounts'!A:H,4,FALSE),"")</f>
        <v>50202010 00 - Training Expenses (753)</v>
      </c>
      <c r="M1457" s="361" t="s">
        <v>1537</v>
      </c>
      <c r="N1457" s="355" t="s">
        <v>818</v>
      </c>
      <c r="O1457" s="355" t="s">
        <v>1538</v>
      </c>
      <c r="P1457" s="355"/>
      <c r="Q1457" s="363">
        <v>40000</v>
      </c>
      <c r="R1457" s="428">
        <f t="shared" si="54"/>
        <v>-40000</v>
      </c>
      <c r="S1457" s="428" t="str">
        <f>VLOOKUP(H1457,'Fund Utilization Report'!$A$4:$U$1800,13,FALSE)</f>
        <v>MOOE</v>
      </c>
      <c r="T1457" s="428" t="str">
        <f>VLOOKUP(H1457,'Fund Utilization Report'!$A$4:$U$1800,2,FALSE)</f>
        <v>GAA</v>
      </c>
      <c r="U1457" s="428" t="str">
        <f>VLOOKUP(H1457,'Fund Utilization Report'!$A$4:$U$1800,3,FALSE)</f>
        <v>FY2021, RA11518</v>
      </c>
      <c r="V1457" s="428" t="str">
        <f>VLOOKUP(H1457,'Fund Utilization Report'!$A$4:$U$1800,4,FALSE)</f>
        <v>OO 4.2</v>
      </c>
      <c r="W1457" s="428" t="str">
        <f>VLOOKUP(H1457,'Fund Utilization Report'!$A$4:$U$1800,5,FALSE)</f>
        <v>01101101</v>
      </c>
      <c r="X1457" s="428" t="str">
        <f>VLOOKUP(H1457,'Fund Utilization Report'!$A$4:$U$1800,6,FALSE)</f>
        <v>GOP</v>
      </c>
      <c r="Y1457" s="320" t="str">
        <f>VLOOKUP(H1457,'Fund Utilization Report'!$A$4:$U$1800,7,FALSE)</f>
        <v>MOOE</v>
      </c>
      <c r="Z1457" s="425">
        <f>VLOOKUP(H1457,'Fund Utilization Report'!$A$4:$U$1800,8,FALSE)</f>
        <v>5020000000</v>
      </c>
      <c r="AA1457" s="428" t="str">
        <f>VLOOKUP(H1457,'Fund Utilization Report'!$A$4:$U$1800,14,FALSE)</f>
        <v>340200100002000</v>
      </c>
      <c r="AB1457" s="349" t="str">
        <f>VLOOKUP(H1457,'Fund Utilization Report'!$A$4:$U$1800,15,FALSE)</f>
        <v>Implementation of Plans, projects and activities on consumer awareness, education, and advocacy</v>
      </c>
      <c r="AC1457" s="39"/>
      <c r="AD1457" s="34"/>
      <c r="AE1457" s="39"/>
      <c r="AF1457" s="51"/>
      <c r="AG1457" s="442"/>
      <c r="AH1457" s="442"/>
      <c r="AI1457" s="443"/>
    </row>
    <row r="1458" spans="1:35" s="32" customFormat="1" ht="27.6">
      <c r="A1458" s="434" t="s">
        <v>942</v>
      </c>
      <c r="B1458" s="457" t="s">
        <v>946</v>
      </c>
      <c r="C1458" s="233">
        <v>44280</v>
      </c>
      <c r="D1458" s="435" t="s">
        <v>1267</v>
      </c>
      <c r="E1458" s="436" t="s">
        <v>1536</v>
      </c>
      <c r="F1458" s="338">
        <v>0.36805555555555558</v>
      </c>
      <c r="G1458" s="338">
        <v>0.36874999999999997</v>
      </c>
      <c r="H1458" s="338" t="s">
        <v>979</v>
      </c>
      <c r="I1458" s="353">
        <v>783</v>
      </c>
      <c r="J1458" s="338" t="str">
        <f>IFERROR(VLOOKUP(I1458,'Chart of accounts'!A:H,2,FALSE),"")</f>
        <v>50299030 00</v>
      </c>
      <c r="K1458" s="338" t="str">
        <f>IFERROR(VLOOKUP(I1458,'Chart of accounts'!A:H,3,FALSE),"")</f>
        <v>Representation Expenses</v>
      </c>
      <c r="L1458" s="338" t="str">
        <f>IFERROR(VLOOKUP(I1458,'Chart of accounts'!A:H,4,FALSE),"")</f>
        <v>50299030 00 - Representation Expenses (783)</v>
      </c>
      <c r="M1458" s="361" t="s">
        <v>1537</v>
      </c>
      <c r="N1458" s="355" t="s">
        <v>818</v>
      </c>
      <c r="O1458" s="355" t="s">
        <v>1538</v>
      </c>
      <c r="P1458" s="355"/>
      <c r="Q1458" s="363">
        <v>40000</v>
      </c>
      <c r="R1458" s="428">
        <f t="shared" si="54"/>
        <v>-40000</v>
      </c>
      <c r="S1458" s="428" t="str">
        <f>VLOOKUP(H1458,'Fund Utilization Report'!$A$4:$U$1800,13,FALSE)</f>
        <v>MOOE</v>
      </c>
      <c r="T1458" s="428" t="str">
        <f>VLOOKUP(H1458,'Fund Utilization Report'!$A$4:$U$1800,2,FALSE)</f>
        <v>GAA</v>
      </c>
      <c r="U1458" s="428" t="str">
        <f>VLOOKUP(H1458,'Fund Utilization Report'!$A$4:$U$1800,3,FALSE)</f>
        <v>FY2021, RA11518</v>
      </c>
      <c r="V1458" s="428" t="str">
        <f>VLOOKUP(H1458,'Fund Utilization Report'!$A$4:$U$1800,4,FALSE)</f>
        <v>OO 4.2</v>
      </c>
      <c r="W1458" s="428" t="str">
        <f>VLOOKUP(H1458,'Fund Utilization Report'!$A$4:$U$1800,5,FALSE)</f>
        <v>01101101</v>
      </c>
      <c r="X1458" s="428" t="str">
        <f>VLOOKUP(H1458,'Fund Utilization Report'!$A$4:$U$1800,6,FALSE)</f>
        <v>GOP</v>
      </c>
      <c r="Y1458" s="320" t="str">
        <f>VLOOKUP(H1458,'Fund Utilization Report'!$A$4:$U$1800,7,FALSE)</f>
        <v>MOOE</v>
      </c>
      <c r="Z1458" s="425">
        <f>VLOOKUP(H1458,'Fund Utilization Report'!$A$4:$U$1800,8,FALSE)</f>
        <v>5020000000</v>
      </c>
      <c r="AA1458" s="428" t="str">
        <f>VLOOKUP(H1458,'Fund Utilization Report'!$A$4:$U$1800,14,FALSE)</f>
        <v>340200100002000</v>
      </c>
      <c r="AB1458" s="349" t="str">
        <f>VLOOKUP(H1458,'Fund Utilization Report'!$A$4:$U$1800,15,FALSE)</f>
        <v>Implementation of Plans, projects and activities on consumer awareness, education, and advocacy</v>
      </c>
      <c r="AC1458" s="39"/>
      <c r="AD1458" s="34"/>
      <c r="AE1458" s="39"/>
      <c r="AF1458" s="51"/>
      <c r="AG1458" s="442"/>
      <c r="AH1458" s="442"/>
      <c r="AI1458" s="443"/>
    </row>
    <row r="1459" spans="1:35" s="32" customFormat="1" ht="27.6">
      <c r="A1459" s="434" t="s">
        <v>942</v>
      </c>
      <c r="B1459" s="457" t="s">
        <v>946</v>
      </c>
      <c r="C1459" s="233">
        <v>44280</v>
      </c>
      <c r="D1459" s="435" t="s">
        <v>1267</v>
      </c>
      <c r="E1459" s="436" t="s">
        <v>1541</v>
      </c>
      <c r="F1459" s="338">
        <v>0.36874999999999997</v>
      </c>
      <c r="G1459" s="338">
        <v>0.36944444444444446</v>
      </c>
      <c r="H1459" s="338" t="s">
        <v>974</v>
      </c>
      <c r="I1459" s="353">
        <v>751</v>
      </c>
      <c r="J1459" s="338" t="str">
        <f>IFERROR(VLOOKUP(I1459,'Chart of accounts'!A:H,2,FALSE),"")</f>
        <v>50201010 00</v>
      </c>
      <c r="K1459" s="338" t="str">
        <f>IFERROR(VLOOKUP(I1459,'Chart of accounts'!A:H,3,FALSE),"")</f>
        <v>Traveling Expenses - Local</v>
      </c>
      <c r="L1459" s="338" t="str">
        <f>IFERROR(VLOOKUP(I1459,'Chart of accounts'!A:H,4,FALSE),"")</f>
        <v>50201010 00 - Traveling Expenses - Local (751)</v>
      </c>
      <c r="M1459" s="361" t="s">
        <v>1537</v>
      </c>
      <c r="N1459" s="355" t="s">
        <v>1539</v>
      </c>
      <c r="O1459" s="355" t="s">
        <v>1543</v>
      </c>
      <c r="P1459" s="355"/>
      <c r="Q1459" s="363">
        <v>30000</v>
      </c>
      <c r="R1459" s="428">
        <f t="shared" si="54"/>
        <v>-30000</v>
      </c>
      <c r="S1459" s="428" t="str">
        <f>VLOOKUP(H1459,'Fund Utilization Report'!$A$4:$U$1800,13,FALSE)</f>
        <v>MOOE</v>
      </c>
      <c r="T1459" s="428" t="str">
        <f>VLOOKUP(H1459,'Fund Utilization Report'!$A$4:$U$1800,2,FALSE)</f>
        <v>GAA</v>
      </c>
      <c r="U1459" s="428" t="str">
        <f>VLOOKUP(H1459,'Fund Utilization Report'!$A$4:$U$1800,3,FALSE)</f>
        <v>FY2021, RA11518</v>
      </c>
      <c r="V1459" s="428" t="str">
        <f>VLOOKUP(H1459,'Fund Utilization Report'!$A$4:$U$1800,4,FALSE)</f>
        <v>OO4.1(FTL)</v>
      </c>
      <c r="W1459" s="428" t="str">
        <f>VLOOKUP(H1459,'Fund Utilization Report'!$A$4:$U$1800,5,FALSE)</f>
        <v>01101101</v>
      </c>
      <c r="X1459" s="428" t="str">
        <f>VLOOKUP(H1459,'Fund Utilization Report'!$A$4:$U$1800,6,FALSE)</f>
        <v>GOP</v>
      </c>
      <c r="Y1459" s="320" t="str">
        <f>VLOOKUP(H1459,'Fund Utilization Report'!$A$4:$U$1800,7,FALSE)</f>
        <v>MOOE</v>
      </c>
      <c r="Z1459" s="425">
        <f>VLOOKUP(H1459,'Fund Utilization Report'!$A$4:$U$1800,8,FALSE)</f>
        <v>5020000000</v>
      </c>
      <c r="AA1459" s="428" t="str">
        <f>VLOOKUP(H1459,'Fund Utilization Report'!$A$4:$U$1800,14,FALSE)</f>
        <v>340100100002000</v>
      </c>
      <c r="AB1459" s="349" t="str">
        <f>VLOOKUP(H1459,'Fund Utilization Report'!$A$4:$U$1800,15,FALSE)</f>
        <v>Monitoring and Enforcement of FTL including consumer complaints handling</v>
      </c>
      <c r="AC1459" s="39"/>
      <c r="AD1459" s="34"/>
      <c r="AE1459" s="39"/>
      <c r="AF1459" s="51"/>
      <c r="AG1459" s="442"/>
      <c r="AH1459" s="442"/>
      <c r="AI1459" s="443"/>
    </row>
    <row r="1460" spans="1:35" s="32" customFormat="1" ht="27.6">
      <c r="A1460" s="434" t="s">
        <v>942</v>
      </c>
      <c r="B1460" s="457" t="s">
        <v>946</v>
      </c>
      <c r="C1460" s="233">
        <v>44280</v>
      </c>
      <c r="D1460" s="435" t="s">
        <v>1267</v>
      </c>
      <c r="E1460" s="436" t="s">
        <v>1541</v>
      </c>
      <c r="F1460" s="338">
        <v>0.36874999999999997</v>
      </c>
      <c r="G1460" s="338">
        <v>0.36944444444444446</v>
      </c>
      <c r="H1460" s="338" t="s">
        <v>974</v>
      </c>
      <c r="I1460" s="353">
        <v>753</v>
      </c>
      <c r="J1460" s="338" t="str">
        <f>IFERROR(VLOOKUP(I1460,'Chart of accounts'!A:H,2,FALSE),"")</f>
        <v>50202010 00</v>
      </c>
      <c r="K1460" s="338" t="str">
        <f>IFERROR(VLOOKUP(I1460,'Chart of accounts'!A:H,3,FALSE),"")</f>
        <v>Training Expenses</v>
      </c>
      <c r="L1460" s="338" t="str">
        <f>IFERROR(VLOOKUP(I1460,'Chart of accounts'!A:H,4,FALSE),"")</f>
        <v>50202010 00 - Training Expenses (753)</v>
      </c>
      <c r="M1460" s="361" t="s">
        <v>1537</v>
      </c>
      <c r="N1460" s="355" t="s">
        <v>1539</v>
      </c>
      <c r="O1460" s="355" t="s">
        <v>1543</v>
      </c>
      <c r="P1460" s="355"/>
      <c r="Q1460" s="363">
        <v>20000</v>
      </c>
      <c r="R1460" s="428">
        <f t="shared" si="54"/>
        <v>-20000</v>
      </c>
      <c r="S1460" s="428" t="str">
        <f>VLOOKUP(H1460,'Fund Utilization Report'!$A$4:$U$1800,13,FALSE)</f>
        <v>MOOE</v>
      </c>
      <c r="T1460" s="428" t="str">
        <f>VLOOKUP(H1460,'Fund Utilization Report'!$A$4:$U$1800,2,FALSE)</f>
        <v>GAA</v>
      </c>
      <c r="U1460" s="428" t="str">
        <f>VLOOKUP(H1460,'Fund Utilization Report'!$A$4:$U$1800,3,FALSE)</f>
        <v>FY2021, RA11518</v>
      </c>
      <c r="V1460" s="428" t="str">
        <f>VLOOKUP(H1460,'Fund Utilization Report'!$A$4:$U$1800,4,FALSE)</f>
        <v>OO4.1(FTL)</v>
      </c>
      <c r="W1460" s="428" t="str">
        <f>VLOOKUP(H1460,'Fund Utilization Report'!$A$4:$U$1800,5,FALSE)</f>
        <v>01101101</v>
      </c>
      <c r="X1460" s="428" t="str">
        <f>VLOOKUP(H1460,'Fund Utilization Report'!$A$4:$U$1800,6,FALSE)</f>
        <v>GOP</v>
      </c>
      <c r="Y1460" s="320" t="str">
        <f>VLOOKUP(H1460,'Fund Utilization Report'!$A$4:$U$1800,7,FALSE)</f>
        <v>MOOE</v>
      </c>
      <c r="Z1460" s="425">
        <f>VLOOKUP(H1460,'Fund Utilization Report'!$A$4:$U$1800,8,FALSE)</f>
        <v>5020000000</v>
      </c>
      <c r="AA1460" s="428" t="str">
        <f>VLOOKUP(H1460,'Fund Utilization Report'!$A$4:$U$1800,14,FALSE)</f>
        <v>340100100002000</v>
      </c>
      <c r="AB1460" s="349" t="str">
        <f>VLOOKUP(H1460,'Fund Utilization Report'!$A$4:$U$1800,15,FALSE)</f>
        <v>Monitoring and Enforcement of FTL including consumer complaints handling</v>
      </c>
      <c r="AC1460" s="39"/>
      <c r="AD1460" s="34"/>
      <c r="AE1460" s="39"/>
      <c r="AF1460" s="51"/>
      <c r="AG1460" s="442"/>
      <c r="AH1460" s="442"/>
      <c r="AI1460" s="443"/>
    </row>
    <row r="1461" spans="1:35" s="32" customFormat="1" ht="27.6">
      <c r="A1461" s="434" t="s">
        <v>942</v>
      </c>
      <c r="B1461" s="457" t="s">
        <v>946</v>
      </c>
      <c r="C1461" s="233">
        <v>44280</v>
      </c>
      <c r="D1461" s="435" t="s">
        <v>1267</v>
      </c>
      <c r="E1461" s="436" t="s">
        <v>1541</v>
      </c>
      <c r="F1461" s="338">
        <v>0.36874999999999997</v>
      </c>
      <c r="G1461" s="338">
        <v>0.36944444444444446</v>
      </c>
      <c r="H1461" s="338" t="s">
        <v>974</v>
      </c>
      <c r="I1461" s="353">
        <v>799</v>
      </c>
      <c r="J1461" s="338" t="str">
        <f>IFERROR(VLOOKUP(I1461,'Chart of accounts'!A:H,2,FALSE),"")</f>
        <v>50211990 00</v>
      </c>
      <c r="K1461" s="338" t="str">
        <f>IFERROR(VLOOKUP(I1461,'Chart of accounts'!A:H,3,FALSE),"")</f>
        <v>Other Professional Services</v>
      </c>
      <c r="L1461" s="338" t="str">
        <f>IFERROR(VLOOKUP(I1461,'Chart of accounts'!A:H,4,FALSE),"")</f>
        <v>50211990 00 - Other Professional Services (799)</v>
      </c>
      <c r="M1461" s="361" t="s">
        <v>1537</v>
      </c>
      <c r="N1461" s="355" t="s">
        <v>1539</v>
      </c>
      <c r="O1461" s="355" t="s">
        <v>1543</v>
      </c>
      <c r="P1461" s="355"/>
      <c r="Q1461" s="363">
        <v>10000</v>
      </c>
      <c r="R1461" s="428">
        <f t="shared" si="54"/>
        <v>-10000</v>
      </c>
      <c r="S1461" s="428" t="str">
        <f>VLOOKUP(H1461,'Fund Utilization Report'!$A$4:$U$1800,13,FALSE)</f>
        <v>MOOE</v>
      </c>
      <c r="T1461" s="428" t="str">
        <f>VLOOKUP(H1461,'Fund Utilization Report'!$A$4:$U$1800,2,FALSE)</f>
        <v>GAA</v>
      </c>
      <c r="U1461" s="428" t="str">
        <f>VLOOKUP(H1461,'Fund Utilization Report'!$A$4:$U$1800,3,FALSE)</f>
        <v>FY2021, RA11518</v>
      </c>
      <c r="V1461" s="428" t="str">
        <f>VLOOKUP(H1461,'Fund Utilization Report'!$A$4:$U$1800,4,FALSE)</f>
        <v>OO4.1(FTL)</v>
      </c>
      <c r="W1461" s="428" t="str">
        <f>VLOOKUP(H1461,'Fund Utilization Report'!$A$4:$U$1800,5,FALSE)</f>
        <v>01101101</v>
      </c>
      <c r="X1461" s="428" t="str">
        <f>VLOOKUP(H1461,'Fund Utilization Report'!$A$4:$U$1800,6,FALSE)</f>
        <v>GOP</v>
      </c>
      <c r="Y1461" s="320" t="str">
        <f>VLOOKUP(H1461,'Fund Utilization Report'!$A$4:$U$1800,7,FALSE)</f>
        <v>MOOE</v>
      </c>
      <c r="Z1461" s="425">
        <f>VLOOKUP(H1461,'Fund Utilization Report'!$A$4:$U$1800,8,FALSE)</f>
        <v>5020000000</v>
      </c>
      <c r="AA1461" s="428" t="str">
        <f>VLOOKUP(H1461,'Fund Utilization Report'!$A$4:$U$1800,14,FALSE)</f>
        <v>340100100002000</v>
      </c>
      <c r="AB1461" s="349" t="str">
        <f>VLOOKUP(H1461,'Fund Utilization Report'!$A$4:$U$1800,15,FALSE)</f>
        <v>Monitoring and Enforcement of FTL including consumer complaints handling</v>
      </c>
      <c r="AC1461" s="39"/>
      <c r="AD1461" s="34"/>
      <c r="AE1461" s="39"/>
      <c r="AF1461" s="51"/>
      <c r="AG1461" s="442"/>
      <c r="AH1461" s="442"/>
      <c r="AI1461" s="443"/>
    </row>
    <row r="1462" spans="1:35" s="32" customFormat="1" ht="27.6">
      <c r="A1462" s="434" t="s">
        <v>942</v>
      </c>
      <c r="B1462" s="457" t="s">
        <v>946</v>
      </c>
      <c r="C1462" s="233">
        <v>44280</v>
      </c>
      <c r="D1462" s="435" t="s">
        <v>1267</v>
      </c>
      <c r="E1462" s="436" t="s">
        <v>1541</v>
      </c>
      <c r="F1462" s="338">
        <v>0.36874999999999997</v>
      </c>
      <c r="G1462" s="338">
        <v>0.36944444444444446</v>
      </c>
      <c r="H1462" s="338" t="s">
        <v>977</v>
      </c>
      <c r="I1462" s="353">
        <v>751</v>
      </c>
      <c r="J1462" s="338" t="str">
        <f>IFERROR(VLOOKUP(I1462,'Chart of accounts'!A:H,2,FALSE),"")</f>
        <v>50201010 00</v>
      </c>
      <c r="K1462" s="338" t="str">
        <f>IFERROR(VLOOKUP(I1462,'Chart of accounts'!A:H,3,FALSE),"")</f>
        <v>Traveling Expenses - Local</v>
      </c>
      <c r="L1462" s="338" t="str">
        <f>IFERROR(VLOOKUP(I1462,'Chart of accounts'!A:H,4,FALSE),"")</f>
        <v>50201010 00 - Traveling Expenses - Local (751)</v>
      </c>
      <c r="M1462" s="361" t="s">
        <v>1537</v>
      </c>
      <c r="N1462" s="355" t="s">
        <v>1539</v>
      </c>
      <c r="O1462" s="355" t="s">
        <v>1543</v>
      </c>
      <c r="P1462" s="355"/>
      <c r="Q1462" s="363">
        <v>25000</v>
      </c>
      <c r="R1462" s="428">
        <f t="shared" si="54"/>
        <v>-25000</v>
      </c>
      <c r="S1462" s="428" t="str">
        <f>VLOOKUP(H1462,'Fund Utilization Report'!$A$4:$U$1800,13,FALSE)</f>
        <v>MOOE</v>
      </c>
      <c r="T1462" s="428" t="str">
        <f>VLOOKUP(H1462,'Fund Utilization Report'!$A$4:$U$1800,2,FALSE)</f>
        <v>GAA</v>
      </c>
      <c r="U1462" s="428" t="str">
        <f>VLOOKUP(H1462,'Fund Utilization Report'!$A$4:$U$1800,3,FALSE)</f>
        <v>FY2021, RA11518</v>
      </c>
      <c r="V1462" s="428" t="str">
        <f>VLOOKUP(H1462,'Fund Utilization Report'!$A$4:$U$1800,4,FALSE)</f>
        <v>OO4.1(Acc)</v>
      </c>
      <c r="W1462" s="428" t="str">
        <f>VLOOKUP(H1462,'Fund Utilization Report'!$A$4:$U$1800,5,FALSE)</f>
        <v>01101101</v>
      </c>
      <c r="X1462" s="428" t="str">
        <f>VLOOKUP(H1462,'Fund Utilization Report'!$A$4:$U$1800,6,FALSE)</f>
        <v>GOP</v>
      </c>
      <c r="Y1462" s="320" t="str">
        <f>VLOOKUP(H1462,'Fund Utilization Report'!$A$4:$U$1800,7,FALSE)</f>
        <v>MOOE</v>
      </c>
      <c r="Z1462" s="425">
        <f>VLOOKUP(H1462,'Fund Utilization Report'!$A$4:$U$1800,8,FALSE)</f>
        <v>5020000000</v>
      </c>
      <c r="AA1462" s="428" t="str">
        <f>VLOOKUP(H1462,'Fund Utilization Report'!$A$4:$U$1800,14,FALSE)</f>
        <v>340100100003000</v>
      </c>
      <c r="AB1462" s="349" t="str">
        <f>VLOOKUP(H1462,'Fund Utilization Report'!$A$4:$U$1800,15,FALSE)</f>
        <v>Accreditation and Issuance of Business Licenses, Permits, registration and authorities</v>
      </c>
      <c r="AC1462" s="39"/>
      <c r="AD1462" s="34"/>
      <c r="AE1462" s="39"/>
      <c r="AF1462" s="51"/>
      <c r="AG1462" s="442"/>
      <c r="AH1462" s="442"/>
      <c r="AI1462" s="443"/>
    </row>
    <row r="1463" spans="1:35" s="32" customFormat="1" ht="27.6">
      <c r="A1463" s="434" t="s">
        <v>942</v>
      </c>
      <c r="B1463" s="457" t="s">
        <v>946</v>
      </c>
      <c r="C1463" s="233">
        <v>44280</v>
      </c>
      <c r="D1463" s="435" t="s">
        <v>1267</v>
      </c>
      <c r="E1463" s="436" t="s">
        <v>1541</v>
      </c>
      <c r="F1463" s="338">
        <v>0.36874999999999997</v>
      </c>
      <c r="G1463" s="338">
        <v>0.36944444444444446</v>
      </c>
      <c r="H1463" s="338" t="s">
        <v>977</v>
      </c>
      <c r="I1463" s="353">
        <v>753</v>
      </c>
      <c r="J1463" s="338" t="str">
        <f>IFERROR(VLOOKUP(I1463,'Chart of accounts'!A:H,2,FALSE),"")</f>
        <v>50202010 00</v>
      </c>
      <c r="K1463" s="338" t="str">
        <f>IFERROR(VLOOKUP(I1463,'Chart of accounts'!A:H,3,FALSE),"")</f>
        <v>Training Expenses</v>
      </c>
      <c r="L1463" s="338" t="str">
        <f>IFERROR(VLOOKUP(I1463,'Chart of accounts'!A:H,4,FALSE),"")</f>
        <v>50202010 00 - Training Expenses (753)</v>
      </c>
      <c r="M1463" s="361" t="s">
        <v>1537</v>
      </c>
      <c r="N1463" s="355" t="s">
        <v>1539</v>
      </c>
      <c r="O1463" s="355" t="s">
        <v>1543</v>
      </c>
      <c r="P1463" s="355"/>
      <c r="Q1463" s="363">
        <v>10000</v>
      </c>
      <c r="R1463" s="428">
        <f t="shared" si="54"/>
        <v>-10000</v>
      </c>
      <c r="S1463" s="428" t="str">
        <f>VLOOKUP(H1463,'Fund Utilization Report'!$A$4:$U$1800,13,FALSE)</f>
        <v>MOOE</v>
      </c>
      <c r="T1463" s="428" t="str">
        <f>VLOOKUP(H1463,'Fund Utilization Report'!$A$4:$U$1800,2,FALSE)</f>
        <v>GAA</v>
      </c>
      <c r="U1463" s="428" t="str">
        <f>VLOOKUP(H1463,'Fund Utilization Report'!$A$4:$U$1800,3,FALSE)</f>
        <v>FY2021, RA11518</v>
      </c>
      <c r="V1463" s="428" t="str">
        <f>VLOOKUP(H1463,'Fund Utilization Report'!$A$4:$U$1800,4,FALSE)</f>
        <v>OO4.1(Acc)</v>
      </c>
      <c r="W1463" s="428" t="str">
        <f>VLOOKUP(H1463,'Fund Utilization Report'!$A$4:$U$1800,5,FALSE)</f>
        <v>01101101</v>
      </c>
      <c r="X1463" s="428" t="str">
        <f>VLOOKUP(H1463,'Fund Utilization Report'!$A$4:$U$1800,6,FALSE)</f>
        <v>GOP</v>
      </c>
      <c r="Y1463" s="320" t="str">
        <f>VLOOKUP(H1463,'Fund Utilization Report'!$A$4:$U$1800,7,FALSE)</f>
        <v>MOOE</v>
      </c>
      <c r="Z1463" s="425">
        <f>VLOOKUP(H1463,'Fund Utilization Report'!$A$4:$U$1800,8,FALSE)</f>
        <v>5020000000</v>
      </c>
      <c r="AA1463" s="428" t="str">
        <f>VLOOKUP(H1463,'Fund Utilization Report'!$A$4:$U$1800,14,FALSE)</f>
        <v>340100100003000</v>
      </c>
      <c r="AB1463" s="349" t="str">
        <f>VLOOKUP(H1463,'Fund Utilization Report'!$A$4:$U$1800,15,FALSE)</f>
        <v>Accreditation and Issuance of Business Licenses, Permits, registration and authorities</v>
      </c>
      <c r="AC1463" s="39"/>
      <c r="AD1463" s="34"/>
      <c r="AE1463" s="39"/>
      <c r="AF1463" s="51"/>
      <c r="AG1463" s="442"/>
      <c r="AH1463" s="442"/>
      <c r="AI1463" s="443"/>
    </row>
    <row r="1464" spans="1:35" s="32" customFormat="1" ht="27.6">
      <c r="A1464" s="434" t="s">
        <v>942</v>
      </c>
      <c r="B1464" s="457" t="s">
        <v>946</v>
      </c>
      <c r="C1464" s="233">
        <v>44280</v>
      </c>
      <c r="D1464" s="435" t="s">
        <v>1267</v>
      </c>
      <c r="E1464" s="436" t="s">
        <v>1541</v>
      </c>
      <c r="F1464" s="338">
        <v>0.36874999999999997</v>
      </c>
      <c r="G1464" s="338">
        <v>0.36944444444444446</v>
      </c>
      <c r="H1464" s="338" t="s">
        <v>977</v>
      </c>
      <c r="I1464" s="353">
        <v>783</v>
      </c>
      <c r="J1464" s="338" t="str">
        <f>IFERROR(VLOOKUP(I1464,'Chart of accounts'!A:H,2,FALSE),"")</f>
        <v>50299030 00</v>
      </c>
      <c r="K1464" s="338" t="str">
        <f>IFERROR(VLOOKUP(I1464,'Chart of accounts'!A:H,3,FALSE),"")</f>
        <v>Representation Expenses</v>
      </c>
      <c r="L1464" s="338" t="str">
        <f>IFERROR(VLOOKUP(I1464,'Chart of accounts'!A:H,4,FALSE),"")</f>
        <v>50299030 00 - Representation Expenses (783)</v>
      </c>
      <c r="M1464" s="361" t="s">
        <v>1537</v>
      </c>
      <c r="N1464" s="355" t="s">
        <v>1539</v>
      </c>
      <c r="O1464" s="355" t="s">
        <v>1543</v>
      </c>
      <c r="P1464" s="355"/>
      <c r="Q1464" s="363">
        <f>251200-10000</f>
        <v>241200</v>
      </c>
      <c r="R1464" s="428">
        <f t="shared" si="54"/>
        <v>-241200</v>
      </c>
      <c r="S1464" s="428" t="str">
        <f>VLOOKUP(H1464,'Fund Utilization Report'!$A$4:$U$1800,13,FALSE)</f>
        <v>MOOE</v>
      </c>
      <c r="T1464" s="428" t="str">
        <f>VLOOKUP(H1464,'Fund Utilization Report'!$A$4:$U$1800,2,FALSE)</f>
        <v>GAA</v>
      </c>
      <c r="U1464" s="428" t="str">
        <f>VLOOKUP(H1464,'Fund Utilization Report'!$A$4:$U$1800,3,FALSE)</f>
        <v>FY2021, RA11518</v>
      </c>
      <c r="V1464" s="428" t="str">
        <f>VLOOKUP(H1464,'Fund Utilization Report'!$A$4:$U$1800,4,FALSE)</f>
        <v>OO4.1(Acc)</v>
      </c>
      <c r="W1464" s="428" t="str">
        <f>VLOOKUP(H1464,'Fund Utilization Report'!$A$4:$U$1800,5,FALSE)</f>
        <v>01101101</v>
      </c>
      <c r="X1464" s="428" t="str">
        <f>VLOOKUP(H1464,'Fund Utilization Report'!$A$4:$U$1800,6,FALSE)</f>
        <v>GOP</v>
      </c>
      <c r="Y1464" s="320" t="str">
        <f>VLOOKUP(H1464,'Fund Utilization Report'!$A$4:$U$1800,7,FALSE)</f>
        <v>MOOE</v>
      </c>
      <c r="Z1464" s="425">
        <f>VLOOKUP(H1464,'Fund Utilization Report'!$A$4:$U$1800,8,FALSE)</f>
        <v>5020000000</v>
      </c>
      <c r="AA1464" s="428" t="str">
        <f>VLOOKUP(H1464,'Fund Utilization Report'!$A$4:$U$1800,14,FALSE)</f>
        <v>340100100003000</v>
      </c>
      <c r="AB1464" s="349" t="str">
        <f>VLOOKUP(H1464,'Fund Utilization Report'!$A$4:$U$1800,15,FALSE)</f>
        <v>Accreditation and Issuance of Business Licenses, Permits, registration and authorities</v>
      </c>
      <c r="AC1464" s="39"/>
      <c r="AD1464" s="34"/>
      <c r="AE1464" s="39"/>
      <c r="AF1464" s="51"/>
      <c r="AG1464" s="442"/>
      <c r="AH1464" s="442"/>
      <c r="AI1464" s="443"/>
    </row>
    <row r="1465" spans="1:35" s="32" customFormat="1" ht="27.6">
      <c r="A1465" s="434" t="s">
        <v>942</v>
      </c>
      <c r="B1465" s="457" t="s">
        <v>946</v>
      </c>
      <c r="C1465" s="233">
        <v>44280</v>
      </c>
      <c r="D1465" s="435" t="s">
        <v>1267</v>
      </c>
      <c r="E1465" s="436" t="s">
        <v>1541</v>
      </c>
      <c r="F1465" s="338">
        <v>0.36874999999999997</v>
      </c>
      <c r="G1465" s="338">
        <v>0.36944444444444446</v>
      </c>
      <c r="H1465" s="338" t="s">
        <v>979</v>
      </c>
      <c r="I1465" s="353">
        <v>751</v>
      </c>
      <c r="J1465" s="338" t="str">
        <f>IFERROR(VLOOKUP(I1465,'Chart of accounts'!A:H,2,FALSE),"")</f>
        <v>50201010 00</v>
      </c>
      <c r="K1465" s="338" t="str">
        <f>IFERROR(VLOOKUP(I1465,'Chart of accounts'!A:H,3,FALSE),"")</f>
        <v>Traveling Expenses - Local</v>
      </c>
      <c r="L1465" s="338" t="str">
        <f>IFERROR(VLOOKUP(I1465,'Chart of accounts'!A:H,4,FALSE),"")</f>
        <v>50201010 00 - Traveling Expenses - Local (751)</v>
      </c>
      <c r="M1465" s="361" t="s">
        <v>1537</v>
      </c>
      <c r="N1465" s="355" t="s">
        <v>1539</v>
      </c>
      <c r="O1465" s="355" t="s">
        <v>1543</v>
      </c>
      <c r="P1465" s="355"/>
      <c r="Q1465" s="363">
        <v>30000</v>
      </c>
      <c r="R1465" s="428">
        <f t="shared" si="54"/>
        <v>-30000</v>
      </c>
      <c r="S1465" s="428" t="str">
        <f>VLOOKUP(H1465,'Fund Utilization Report'!$A$4:$U$1800,13,FALSE)</f>
        <v>MOOE</v>
      </c>
      <c r="T1465" s="428" t="str">
        <f>VLOOKUP(H1465,'Fund Utilization Report'!$A$4:$U$1800,2,FALSE)</f>
        <v>GAA</v>
      </c>
      <c r="U1465" s="428" t="str">
        <f>VLOOKUP(H1465,'Fund Utilization Report'!$A$4:$U$1800,3,FALSE)</f>
        <v>FY2021, RA11518</v>
      </c>
      <c r="V1465" s="428" t="str">
        <f>VLOOKUP(H1465,'Fund Utilization Report'!$A$4:$U$1800,4,FALSE)</f>
        <v>OO 4.2</v>
      </c>
      <c r="W1465" s="428" t="str">
        <f>VLOOKUP(H1465,'Fund Utilization Report'!$A$4:$U$1800,5,FALSE)</f>
        <v>01101101</v>
      </c>
      <c r="X1465" s="428" t="str">
        <f>VLOOKUP(H1465,'Fund Utilization Report'!$A$4:$U$1800,6,FALSE)</f>
        <v>GOP</v>
      </c>
      <c r="Y1465" s="320" t="str">
        <f>VLOOKUP(H1465,'Fund Utilization Report'!$A$4:$U$1800,7,FALSE)</f>
        <v>MOOE</v>
      </c>
      <c r="Z1465" s="425">
        <f>VLOOKUP(H1465,'Fund Utilization Report'!$A$4:$U$1800,8,FALSE)</f>
        <v>5020000000</v>
      </c>
      <c r="AA1465" s="428" t="str">
        <f>VLOOKUP(H1465,'Fund Utilization Report'!$A$4:$U$1800,14,FALSE)</f>
        <v>340200100002000</v>
      </c>
      <c r="AB1465" s="349" t="str">
        <f>VLOOKUP(H1465,'Fund Utilization Report'!$A$4:$U$1800,15,FALSE)</f>
        <v>Implementation of Plans, projects and activities on consumer awareness, education, and advocacy</v>
      </c>
      <c r="AC1465" s="39"/>
      <c r="AD1465" s="34"/>
      <c r="AE1465" s="39"/>
      <c r="AF1465" s="51"/>
      <c r="AG1465" s="442"/>
      <c r="AH1465" s="442"/>
      <c r="AI1465" s="443"/>
    </row>
    <row r="1466" spans="1:35" s="32" customFormat="1" ht="27.6">
      <c r="A1466" s="434" t="s">
        <v>942</v>
      </c>
      <c r="B1466" s="457" t="s">
        <v>946</v>
      </c>
      <c r="C1466" s="233">
        <v>44280</v>
      </c>
      <c r="D1466" s="435" t="s">
        <v>1267</v>
      </c>
      <c r="E1466" s="436" t="s">
        <v>1541</v>
      </c>
      <c r="F1466" s="338">
        <v>0.36874999999999997</v>
      </c>
      <c r="G1466" s="338">
        <v>0.36944444444444446</v>
      </c>
      <c r="H1466" s="338" t="s">
        <v>979</v>
      </c>
      <c r="I1466" s="353">
        <v>753</v>
      </c>
      <c r="J1466" s="338" t="str">
        <f>IFERROR(VLOOKUP(I1466,'Chart of accounts'!A:H,2,FALSE),"")</f>
        <v>50202010 00</v>
      </c>
      <c r="K1466" s="338" t="str">
        <f>IFERROR(VLOOKUP(I1466,'Chart of accounts'!A:H,3,FALSE),"")</f>
        <v>Training Expenses</v>
      </c>
      <c r="L1466" s="338" t="str">
        <f>IFERROR(VLOOKUP(I1466,'Chart of accounts'!A:H,4,FALSE),"")</f>
        <v>50202010 00 - Training Expenses (753)</v>
      </c>
      <c r="M1466" s="361" t="s">
        <v>1537</v>
      </c>
      <c r="N1466" s="355" t="s">
        <v>1539</v>
      </c>
      <c r="O1466" s="355" t="s">
        <v>1543</v>
      </c>
      <c r="P1466" s="355"/>
      <c r="Q1466" s="363">
        <v>30000</v>
      </c>
      <c r="R1466" s="428">
        <f t="shared" si="54"/>
        <v>-30000</v>
      </c>
      <c r="S1466" s="428" t="str">
        <f>VLOOKUP(H1466,'Fund Utilization Report'!$A$4:$U$1800,13,FALSE)</f>
        <v>MOOE</v>
      </c>
      <c r="T1466" s="428" t="str">
        <f>VLOOKUP(H1466,'Fund Utilization Report'!$A$4:$U$1800,2,FALSE)</f>
        <v>GAA</v>
      </c>
      <c r="U1466" s="428" t="str">
        <f>VLOOKUP(H1466,'Fund Utilization Report'!$A$4:$U$1800,3,FALSE)</f>
        <v>FY2021, RA11518</v>
      </c>
      <c r="V1466" s="428" t="str">
        <f>VLOOKUP(H1466,'Fund Utilization Report'!$A$4:$U$1800,4,FALSE)</f>
        <v>OO 4.2</v>
      </c>
      <c r="W1466" s="428" t="str">
        <f>VLOOKUP(H1466,'Fund Utilization Report'!$A$4:$U$1800,5,FALSE)</f>
        <v>01101101</v>
      </c>
      <c r="X1466" s="428" t="str">
        <f>VLOOKUP(H1466,'Fund Utilization Report'!$A$4:$U$1800,6,FALSE)</f>
        <v>GOP</v>
      </c>
      <c r="Y1466" s="320" t="str">
        <f>VLOOKUP(H1466,'Fund Utilization Report'!$A$4:$U$1800,7,FALSE)</f>
        <v>MOOE</v>
      </c>
      <c r="Z1466" s="425">
        <f>VLOOKUP(H1466,'Fund Utilization Report'!$A$4:$U$1800,8,FALSE)</f>
        <v>5020000000</v>
      </c>
      <c r="AA1466" s="428" t="str">
        <f>VLOOKUP(H1466,'Fund Utilization Report'!$A$4:$U$1800,14,FALSE)</f>
        <v>340200100002000</v>
      </c>
      <c r="AB1466" s="349" t="str">
        <f>VLOOKUP(H1466,'Fund Utilization Report'!$A$4:$U$1800,15,FALSE)</f>
        <v>Implementation of Plans, projects and activities on consumer awareness, education, and advocacy</v>
      </c>
      <c r="AC1466" s="39"/>
      <c r="AD1466" s="34"/>
      <c r="AE1466" s="39"/>
      <c r="AF1466" s="51"/>
      <c r="AG1466" s="442"/>
      <c r="AH1466" s="442"/>
      <c r="AI1466" s="443"/>
    </row>
    <row r="1467" spans="1:35" s="32" customFormat="1" ht="27.6">
      <c r="A1467" s="434" t="s">
        <v>942</v>
      </c>
      <c r="B1467" s="457" t="s">
        <v>946</v>
      </c>
      <c r="C1467" s="233">
        <v>44280</v>
      </c>
      <c r="D1467" s="435" t="s">
        <v>1267</v>
      </c>
      <c r="E1467" s="436" t="s">
        <v>1541</v>
      </c>
      <c r="F1467" s="338">
        <v>0.36874999999999997</v>
      </c>
      <c r="G1467" s="338">
        <v>0.36944444444444446</v>
      </c>
      <c r="H1467" s="338" t="s">
        <v>979</v>
      </c>
      <c r="I1467" s="353">
        <v>783</v>
      </c>
      <c r="J1467" s="338" t="str">
        <f>IFERROR(VLOOKUP(I1467,'Chart of accounts'!A:H,2,FALSE),"")</f>
        <v>50299030 00</v>
      </c>
      <c r="K1467" s="338" t="str">
        <f>IFERROR(VLOOKUP(I1467,'Chart of accounts'!A:H,3,FALSE),"")</f>
        <v>Representation Expenses</v>
      </c>
      <c r="L1467" s="338" t="str">
        <f>IFERROR(VLOOKUP(I1467,'Chart of accounts'!A:H,4,FALSE),"")</f>
        <v>50299030 00 - Representation Expenses (783)</v>
      </c>
      <c r="M1467" s="361" t="s">
        <v>1537</v>
      </c>
      <c r="N1467" s="355" t="s">
        <v>1539</v>
      </c>
      <c r="O1467" s="355" t="s">
        <v>1543</v>
      </c>
      <c r="P1467" s="355"/>
      <c r="Q1467" s="363">
        <v>70000</v>
      </c>
      <c r="R1467" s="428">
        <f t="shared" si="54"/>
        <v>-70000</v>
      </c>
      <c r="S1467" s="428" t="str">
        <f>VLOOKUP(H1467,'Fund Utilization Report'!$A$4:$U$1800,13,FALSE)</f>
        <v>MOOE</v>
      </c>
      <c r="T1467" s="428" t="str">
        <f>VLOOKUP(H1467,'Fund Utilization Report'!$A$4:$U$1800,2,FALSE)</f>
        <v>GAA</v>
      </c>
      <c r="U1467" s="428" t="str">
        <f>VLOOKUP(H1467,'Fund Utilization Report'!$A$4:$U$1800,3,FALSE)</f>
        <v>FY2021, RA11518</v>
      </c>
      <c r="V1467" s="428" t="str">
        <f>VLOOKUP(H1467,'Fund Utilization Report'!$A$4:$U$1800,4,FALSE)</f>
        <v>OO 4.2</v>
      </c>
      <c r="W1467" s="428" t="str">
        <f>VLOOKUP(H1467,'Fund Utilization Report'!$A$4:$U$1800,5,FALSE)</f>
        <v>01101101</v>
      </c>
      <c r="X1467" s="428" t="str">
        <f>VLOOKUP(H1467,'Fund Utilization Report'!$A$4:$U$1800,6,FALSE)</f>
        <v>GOP</v>
      </c>
      <c r="Y1467" s="320" t="str">
        <f>VLOOKUP(H1467,'Fund Utilization Report'!$A$4:$U$1800,7,FALSE)</f>
        <v>MOOE</v>
      </c>
      <c r="Z1467" s="425">
        <f>VLOOKUP(H1467,'Fund Utilization Report'!$A$4:$U$1800,8,FALSE)</f>
        <v>5020000000</v>
      </c>
      <c r="AA1467" s="428" t="str">
        <f>VLOOKUP(H1467,'Fund Utilization Report'!$A$4:$U$1800,14,FALSE)</f>
        <v>340200100002000</v>
      </c>
      <c r="AB1467" s="349" t="str">
        <f>VLOOKUP(H1467,'Fund Utilization Report'!$A$4:$U$1800,15,FALSE)</f>
        <v>Implementation of Plans, projects and activities on consumer awareness, education, and advocacy</v>
      </c>
      <c r="AC1467" s="39"/>
      <c r="AD1467" s="34"/>
      <c r="AE1467" s="39"/>
      <c r="AF1467" s="51"/>
      <c r="AG1467" s="442"/>
      <c r="AH1467" s="442"/>
      <c r="AI1467" s="443"/>
    </row>
    <row r="1468" spans="1:35" s="32" customFormat="1" ht="27.6">
      <c r="A1468" s="434" t="s">
        <v>942</v>
      </c>
      <c r="B1468" s="457" t="s">
        <v>946</v>
      </c>
      <c r="C1468" s="233">
        <v>44280</v>
      </c>
      <c r="D1468" s="435" t="s">
        <v>1267</v>
      </c>
      <c r="E1468" s="436" t="s">
        <v>1542</v>
      </c>
      <c r="F1468" s="338">
        <v>0.36944444444444446</v>
      </c>
      <c r="G1468" s="338">
        <v>0.37083333333333335</v>
      </c>
      <c r="H1468" s="338" t="s">
        <v>974</v>
      </c>
      <c r="I1468" s="353">
        <v>751</v>
      </c>
      <c r="J1468" s="338" t="str">
        <f>IFERROR(VLOOKUP(I1468,'Chart of accounts'!A:H,2,FALSE),"")</f>
        <v>50201010 00</v>
      </c>
      <c r="K1468" s="338" t="str">
        <f>IFERROR(VLOOKUP(I1468,'Chart of accounts'!A:H,3,FALSE),"")</f>
        <v>Traveling Expenses - Local</v>
      </c>
      <c r="L1468" s="338" t="str">
        <f>IFERROR(VLOOKUP(I1468,'Chart of accounts'!A:H,4,FALSE),"")</f>
        <v>50201010 00 - Traveling Expenses - Local (751)</v>
      </c>
      <c r="M1468" s="361" t="s">
        <v>1537</v>
      </c>
      <c r="N1468" s="355" t="s">
        <v>1540</v>
      </c>
      <c r="O1468" s="355" t="s">
        <v>1543</v>
      </c>
      <c r="P1468" s="355"/>
      <c r="Q1468" s="363">
        <v>10000</v>
      </c>
      <c r="R1468" s="428">
        <f t="shared" ref="R1468:R1481" si="55">P1468-Q1468</f>
        <v>-10000</v>
      </c>
      <c r="S1468" s="428" t="str">
        <f>VLOOKUP(H1468,'Fund Utilization Report'!$A$4:$U$1800,13,FALSE)</f>
        <v>MOOE</v>
      </c>
      <c r="T1468" s="428" t="str">
        <f>VLOOKUP(H1468,'Fund Utilization Report'!$A$4:$U$1800,2,FALSE)</f>
        <v>GAA</v>
      </c>
      <c r="U1468" s="428" t="str">
        <f>VLOOKUP(H1468,'Fund Utilization Report'!$A$4:$U$1800,3,FALSE)</f>
        <v>FY2021, RA11518</v>
      </c>
      <c r="V1468" s="428" t="str">
        <f>VLOOKUP(H1468,'Fund Utilization Report'!$A$4:$U$1800,4,FALSE)</f>
        <v>OO4.1(FTL)</v>
      </c>
      <c r="W1468" s="428" t="str">
        <f>VLOOKUP(H1468,'Fund Utilization Report'!$A$4:$U$1800,5,FALSE)</f>
        <v>01101101</v>
      </c>
      <c r="X1468" s="428" t="str">
        <f>VLOOKUP(H1468,'Fund Utilization Report'!$A$4:$U$1800,6,FALSE)</f>
        <v>GOP</v>
      </c>
      <c r="Y1468" s="320" t="str">
        <f>VLOOKUP(H1468,'Fund Utilization Report'!$A$4:$U$1800,7,FALSE)</f>
        <v>MOOE</v>
      </c>
      <c r="Z1468" s="425">
        <f>VLOOKUP(H1468,'Fund Utilization Report'!$A$4:$U$1800,8,FALSE)</f>
        <v>5020000000</v>
      </c>
      <c r="AA1468" s="428" t="str">
        <f>VLOOKUP(H1468,'Fund Utilization Report'!$A$4:$U$1800,14,FALSE)</f>
        <v>340100100002000</v>
      </c>
      <c r="AB1468" s="349" t="str">
        <f>VLOOKUP(H1468,'Fund Utilization Report'!$A$4:$U$1800,15,FALSE)</f>
        <v>Monitoring and Enforcement of FTL including consumer complaints handling</v>
      </c>
      <c r="AC1468" s="39"/>
      <c r="AD1468" s="34"/>
      <c r="AE1468" s="39"/>
      <c r="AF1468" s="51"/>
      <c r="AG1468" s="442"/>
      <c r="AH1468" s="442"/>
      <c r="AI1468" s="443"/>
    </row>
    <row r="1469" spans="1:35" s="32" customFormat="1" ht="27.6">
      <c r="A1469" s="434" t="s">
        <v>942</v>
      </c>
      <c r="B1469" s="457" t="s">
        <v>946</v>
      </c>
      <c r="C1469" s="233">
        <v>44280</v>
      </c>
      <c r="D1469" s="435" t="s">
        <v>1267</v>
      </c>
      <c r="E1469" s="436" t="s">
        <v>1542</v>
      </c>
      <c r="F1469" s="338">
        <v>0.36944444444444446</v>
      </c>
      <c r="G1469" s="338">
        <v>0.37083333333333335</v>
      </c>
      <c r="H1469" s="338" t="s">
        <v>974</v>
      </c>
      <c r="I1469" s="353">
        <v>753</v>
      </c>
      <c r="J1469" s="338" t="str">
        <f>IFERROR(VLOOKUP(I1469,'Chart of accounts'!A:H,2,FALSE),"")</f>
        <v>50202010 00</v>
      </c>
      <c r="K1469" s="338" t="str">
        <f>IFERROR(VLOOKUP(I1469,'Chart of accounts'!A:H,3,FALSE),"")</f>
        <v>Training Expenses</v>
      </c>
      <c r="L1469" s="338" t="str">
        <f>IFERROR(VLOOKUP(I1469,'Chart of accounts'!A:H,4,FALSE),"")</f>
        <v>50202010 00 - Training Expenses (753)</v>
      </c>
      <c r="M1469" s="361" t="s">
        <v>1537</v>
      </c>
      <c r="N1469" s="355" t="s">
        <v>1540</v>
      </c>
      <c r="O1469" s="355" t="s">
        <v>1543</v>
      </c>
      <c r="P1469" s="355"/>
      <c r="Q1469" s="363">
        <v>5000</v>
      </c>
      <c r="R1469" s="428">
        <f t="shared" si="55"/>
        <v>-5000</v>
      </c>
      <c r="S1469" s="428" t="str">
        <f>VLOOKUP(H1469,'Fund Utilization Report'!$A$4:$U$1800,13,FALSE)</f>
        <v>MOOE</v>
      </c>
      <c r="T1469" s="428" t="str">
        <f>VLOOKUP(H1469,'Fund Utilization Report'!$A$4:$U$1800,2,FALSE)</f>
        <v>GAA</v>
      </c>
      <c r="U1469" s="428" t="str">
        <f>VLOOKUP(H1469,'Fund Utilization Report'!$A$4:$U$1800,3,FALSE)</f>
        <v>FY2021, RA11518</v>
      </c>
      <c r="V1469" s="428" t="str">
        <f>VLOOKUP(H1469,'Fund Utilization Report'!$A$4:$U$1800,4,FALSE)</f>
        <v>OO4.1(FTL)</v>
      </c>
      <c r="W1469" s="428" t="str">
        <f>VLOOKUP(H1469,'Fund Utilization Report'!$A$4:$U$1800,5,FALSE)</f>
        <v>01101101</v>
      </c>
      <c r="X1469" s="428" t="str">
        <f>VLOOKUP(H1469,'Fund Utilization Report'!$A$4:$U$1800,6,FALSE)</f>
        <v>GOP</v>
      </c>
      <c r="Y1469" s="320" t="str">
        <f>VLOOKUP(H1469,'Fund Utilization Report'!$A$4:$U$1800,7,FALSE)</f>
        <v>MOOE</v>
      </c>
      <c r="Z1469" s="425">
        <f>VLOOKUP(H1469,'Fund Utilization Report'!$A$4:$U$1800,8,FALSE)</f>
        <v>5020000000</v>
      </c>
      <c r="AA1469" s="428" t="str">
        <f>VLOOKUP(H1469,'Fund Utilization Report'!$A$4:$U$1800,14,FALSE)</f>
        <v>340100100002000</v>
      </c>
      <c r="AB1469" s="349" t="str">
        <f>VLOOKUP(H1469,'Fund Utilization Report'!$A$4:$U$1800,15,FALSE)</f>
        <v>Monitoring and Enforcement of FTL including consumer complaints handling</v>
      </c>
      <c r="AC1469" s="39"/>
      <c r="AD1469" s="34"/>
      <c r="AE1469" s="39"/>
      <c r="AF1469" s="51"/>
      <c r="AG1469" s="442"/>
      <c r="AH1469" s="442"/>
      <c r="AI1469" s="443"/>
    </row>
    <row r="1470" spans="1:35" s="32" customFormat="1" ht="27.6">
      <c r="A1470" s="434" t="s">
        <v>942</v>
      </c>
      <c r="B1470" s="457" t="s">
        <v>946</v>
      </c>
      <c r="C1470" s="233">
        <v>44280</v>
      </c>
      <c r="D1470" s="435" t="s">
        <v>1267</v>
      </c>
      <c r="E1470" s="436" t="s">
        <v>1542</v>
      </c>
      <c r="F1470" s="338">
        <v>0.36944444444444446</v>
      </c>
      <c r="G1470" s="338">
        <v>0.37083333333333335</v>
      </c>
      <c r="H1470" s="338" t="s">
        <v>974</v>
      </c>
      <c r="I1470" s="353">
        <v>799</v>
      </c>
      <c r="J1470" s="338" t="str">
        <f>IFERROR(VLOOKUP(I1470,'Chart of accounts'!A:H,2,FALSE),"")</f>
        <v>50211990 00</v>
      </c>
      <c r="K1470" s="338" t="str">
        <f>IFERROR(VLOOKUP(I1470,'Chart of accounts'!A:H,3,FALSE),"")</f>
        <v>Other Professional Services</v>
      </c>
      <c r="L1470" s="338" t="str">
        <f>IFERROR(VLOOKUP(I1470,'Chart of accounts'!A:H,4,FALSE),"")</f>
        <v>50211990 00 - Other Professional Services (799)</v>
      </c>
      <c r="M1470" s="361" t="s">
        <v>1537</v>
      </c>
      <c r="N1470" s="355" t="s">
        <v>1540</v>
      </c>
      <c r="O1470" s="355" t="s">
        <v>1543</v>
      </c>
      <c r="P1470" s="355"/>
      <c r="Q1470" s="363">
        <v>5000</v>
      </c>
      <c r="R1470" s="428">
        <f t="shared" si="55"/>
        <v>-5000</v>
      </c>
      <c r="S1470" s="428" t="str">
        <f>VLOOKUP(H1470,'Fund Utilization Report'!$A$4:$U$1800,13,FALSE)</f>
        <v>MOOE</v>
      </c>
      <c r="T1470" s="428" t="str">
        <f>VLOOKUP(H1470,'Fund Utilization Report'!$A$4:$U$1800,2,FALSE)</f>
        <v>GAA</v>
      </c>
      <c r="U1470" s="428" t="str">
        <f>VLOOKUP(H1470,'Fund Utilization Report'!$A$4:$U$1800,3,FALSE)</f>
        <v>FY2021, RA11518</v>
      </c>
      <c r="V1470" s="428" t="str">
        <f>VLOOKUP(H1470,'Fund Utilization Report'!$A$4:$U$1800,4,FALSE)</f>
        <v>OO4.1(FTL)</v>
      </c>
      <c r="W1470" s="428" t="str">
        <f>VLOOKUP(H1470,'Fund Utilization Report'!$A$4:$U$1800,5,FALSE)</f>
        <v>01101101</v>
      </c>
      <c r="X1470" s="428" t="str">
        <f>VLOOKUP(H1470,'Fund Utilization Report'!$A$4:$U$1800,6,FALSE)</f>
        <v>GOP</v>
      </c>
      <c r="Y1470" s="320" t="str">
        <f>VLOOKUP(H1470,'Fund Utilization Report'!$A$4:$U$1800,7,FALSE)</f>
        <v>MOOE</v>
      </c>
      <c r="Z1470" s="425">
        <f>VLOOKUP(H1470,'Fund Utilization Report'!$A$4:$U$1800,8,FALSE)</f>
        <v>5020000000</v>
      </c>
      <c r="AA1470" s="428" t="str">
        <f>VLOOKUP(H1470,'Fund Utilization Report'!$A$4:$U$1800,14,FALSE)</f>
        <v>340100100002000</v>
      </c>
      <c r="AB1470" s="349" t="str">
        <f>VLOOKUP(H1470,'Fund Utilization Report'!$A$4:$U$1800,15,FALSE)</f>
        <v>Monitoring and Enforcement of FTL including consumer complaints handling</v>
      </c>
      <c r="AC1470" s="39"/>
      <c r="AD1470" s="34"/>
      <c r="AE1470" s="39"/>
      <c r="AF1470" s="51"/>
      <c r="AG1470" s="442"/>
      <c r="AH1470" s="442"/>
      <c r="AI1470" s="443"/>
    </row>
    <row r="1471" spans="1:35" s="32" customFormat="1" ht="27.6">
      <c r="A1471" s="434" t="s">
        <v>942</v>
      </c>
      <c r="B1471" s="457" t="s">
        <v>946</v>
      </c>
      <c r="C1471" s="233">
        <v>44280</v>
      </c>
      <c r="D1471" s="435" t="s">
        <v>1267</v>
      </c>
      <c r="E1471" s="436" t="s">
        <v>1542</v>
      </c>
      <c r="F1471" s="338">
        <v>0.36944444444444446</v>
      </c>
      <c r="G1471" s="338">
        <v>0.37083333333333335</v>
      </c>
      <c r="H1471" s="338" t="s">
        <v>977</v>
      </c>
      <c r="I1471" s="353">
        <v>751</v>
      </c>
      <c r="J1471" s="338" t="str">
        <f>IFERROR(VLOOKUP(I1471,'Chart of accounts'!A:H,2,FALSE),"")</f>
        <v>50201010 00</v>
      </c>
      <c r="K1471" s="338" t="str">
        <f>IFERROR(VLOOKUP(I1471,'Chart of accounts'!A:H,3,FALSE),"")</f>
        <v>Traveling Expenses - Local</v>
      </c>
      <c r="L1471" s="338" t="str">
        <f>IFERROR(VLOOKUP(I1471,'Chart of accounts'!A:H,4,FALSE),"")</f>
        <v>50201010 00 - Traveling Expenses - Local (751)</v>
      </c>
      <c r="M1471" s="361" t="s">
        <v>1537</v>
      </c>
      <c r="N1471" s="355" t="s">
        <v>1540</v>
      </c>
      <c r="O1471" s="355" t="s">
        <v>1543</v>
      </c>
      <c r="P1471" s="355"/>
      <c r="Q1471" s="363">
        <v>20000</v>
      </c>
      <c r="R1471" s="428">
        <f t="shared" si="55"/>
        <v>-20000</v>
      </c>
      <c r="S1471" s="428" t="str">
        <f>VLOOKUP(H1471,'Fund Utilization Report'!$A$4:$U$1800,13,FALSE)</f>
        <v>MOOE</v>
      </c>
      <c r="T1471" s="428" t="str">
        <f>VLOOKUP(H1471,'Fund Utilization Report'!$A$4:$U$1800,2,FALSE)</f>
        <v>GAA</v>
      </c>
      <c r="U1471" s="428" t="str">
        <f>VLOOKUP(H1471,'Fund Utilization Report'!$A$4:$U$1800,3,FALSE)</f>
        <v>FY2021, RA11518</v>
      </c>
      <c r="V1471" s="428" t="str">
        <f>VLOOKUP(H1471,'Fund Utilization Report'!$A$4:$U$1800,4,FALSE)</f>
        <v>OO4.1(Acc)</v>
      </c>
      <c r="W1471" s="428" t="str">
        <f>VLOOKUP(H1471,'Fund Utilization Report'!$A$4:$U$1800,5,FALSE)</f>
        <v>01101101</v>
      </c>
      <c r="X1471" s="428" t="str">
        <f>VLOOKUP(H1471,'Fund Utilization Report'!$A$4:$U$1800,6,FALSE)</f>
        <v>GOP</v>
      </c>
      <c r="Y1471" s="320" t="str">
        <f>VLOOKUP(H1471,'Fund Utilization Report'!$A$4:$U$1800,7,FALSE)</f>
        <v>MOOE</v>
      </c>
      <c r="Z1471" s="425">
        <f>VLOOKUP(H1471,'Fund Utilization Report'!$A$4:$U$1800,8,FALSE)</f>
        <v>5020000000</v>
      </c>
      <c r="AA1471" s="428" t="str">
        <f>VLOOKUP(H1471,'Fund Utilization Report'!$A$4:$U$1800,14,FALSE)</f>
        <v>340100100003000</v>
      </c>
      <c r="AB1471" s="349" t="str">
        <f>VLOOKUP(H1471,'Fund Utilization Report'!$A$4:$U$1800,15,FALSE)</f>
        <v>Accreditation and Issuance of Business Licenses, Permits, registration and authorities</v>
      </c>
      <c r="AC1471" s="39"/>
      <c r="AD1471" s="34"/>
      <c r="AE1471" s="39"/>
      <c r="AF1471" s="51"/>
      <c r="AG1471" s="442"/>
      <c r="AH1471" s="442"/>
      <c r="AI1471" s="443"/>
    </row>
    <row r="1472" spans="1:35" s="32" customFormat="1" ht="27.6">
      <c r="A1472" s="434" t="s">
        <v>942</v>
      </c>
      <c r="B1472" s="457" t="s">
        <v>946</v>
      </c>
      <c r="C1472" s="233">
        <v>44280</v>
      </c>
      <c r="D1472" s="435" t="s">
        <v>1267</v>
      </c>
      <c r="E1472" s="436" t="s">
        <v>1542</v>
      </c>
      <c r="F1472" s="338">
        <v>0.36944444444444446</v>
      </c>
      <c r="G1472" s="338">
        <v>0.37083333333333335</v>
      </c>
      <c r="H1472" s="338" t="s">
        <v>977</v>
      </c>
      <c r="I1472" s="353">
        <v>753</v>
      </c>
      <c r="J1472" s="338" t="str">
        <f>IFERROR(VLOOKUP(I1472,'Chart of accounts'!A:H,2,FALSE),"")</f>
        <v>50202010 00</v>
      </c>
      <c r="K1472" s="338" t="str">
        <f>IFERROR(VLOOKUP(I1472,'Chart of accounts'!A:H,3,FALSE),"")</f>
        <v>Training Expenses</v>
      </c>
      <c r="L1472" s="338" t="str">
        <f>IFERROR(VLOOKUP(I1472,'Chart of accounts'!A:H,4,FALSE),"")</f>
        <v>50202010 00 - Training Expenses (753)</v>
      </c>
      <c r="M1472" s="361" t="s">
        <v>1537</v>
      </c>
      <c r="N1472" s="355" t="s">
        <v>1540</v>
      </c>
      <c r="O1472" s="355" t="s">
        <v>1543</v>
      </c>
      <c r="P1472" s="355"/>
      <c r="Q1472" s="363">
        <v>5000</v>
      </c>
      <c r="R1472" s="428">
        <f t="shared" si="55"/>
        <v>-5000</v>
      </c>
      <c r="S1472" s="428" t="str">
        <f>VLOOKUP(H1472,'Fund Utilization Report'!$A$4:$U$1800,13,FALSE)</f>
        <v>MOOE</v>
      </c>
      <c r="T1472" s="428" t="str">
        <f>VLOOKUP(H1472,'Fund Utilization Report'!$A$4:$U$1800,2,FALSE)</f>
        <v>GAA</v>
      </c>
      <c r="U1472" s="428" t="str">
        <f>VLOOKUP(H1472,'Fund Utilization Report'!$A$4:$U$1800,3,FALSE)</f>
        <v>FY2021, RA11518</v>
      </c>
      <c r="V1472" s="428" t="str">
        <f>VLOOKUP(H1472,'Fund Utilization Report'!$A$4:$U$1800,4,FALSE)</f>
        <v>OO4.1(Acc)</v>
      </c>
      <c r="W1472" s="428" t="str">
        <f>VLOOKUP(H1472,'Fund Utilization Report'!$A$4:$U$1800,5,FALSE)</f>
        <v>01101101</v>
      </c>
      <c r="X1472" s="428" t="str">
        <f>VLOOKUP(H1472,'Fund Utilization Report'!$A$4:$U$1800,6,FALSE)</f>
        <v>GOP</v>
      </c>
      <c r="Y1472" s="320" t="str">
        <f>VLOOKUP(H1472,'Fund Utilization Report'!$A$4:$U$1800,7,FALSE)</f>
        <v>MOOE</v>
      </c>
      <c r="Z1472" s="425">
        <f>VLOOKUP(H1472,'Fund Utilization Report'!$A$4:$U$1800,8,FALSE)</f>
        <v>5020000000</v>
      </c>
      <c r="AA1472" s="428" t="str">
        <f>VLOOKUP(H1472,'Fund Utilization Report'!$A$4:$U$1800,14,FALSE)</f>
        <v>340100100003000</v>
      </c>
      <c r="AB1472" s="349" t="str">
        <f>VLOOKUP(H1472,'Fund Utilization Report'!$A$4:$U$1800,15,FALSE)</f>
        <v>Accreditation and Issuance of Business Licenses, Permits, registration and authorities</v>
      </c>
      <c r="AC1472" s="39"/>
      <c r="AD1472" s="34"/>
      <c r="AE1472" s="39"/>
      <c r="AF1472" s="51"/>
      <c r="AG1472" s="442"/>
      <c r="AH1472" s="442"/>
      <c r="AI1472" s="443"/>
    </row>
    <row r="1473" spans="1:35" s="32" customFormat="1" ht="27.6">
      <c r="A1473" s="434" t="s">
        <v>942</v>
      </c>
      <c r="B1473" s="457" t="s">
        <v>946</v>
      </c>
      <c r="C1473" s="233">
        <v>44280</v>
      </c>
      <c r="D1473" s="435" t="s">
        <v>1267</v>
      </c>
      <c r="E1473" s="436" t="s">
        <v>1542</v>
      </c>
      <c r="F1473" s="338">
        <v>0.36944444444444446</v>
      </c>
      <c r="G1473" s="338">
        <v>0.37083333333333335</v>
      </c>
      <c r="H1473" s="338" t="s">
        <v>977</v>
      </c>
      <c r="I1473" s="353">
        <v>783</v>
      </c>
      <c r="J1473" s="338" t="str">
        <f>IFERROR(VLOOKUP(I1473,'Chart of accounts'!A:H,2,FALSE),"")</f>
        <v>50299030 00</v>
      </c>
      <c r="K1473" s="338" t="str">
        <f>IFERROR(VLOOKUP(I1473,'Chart of accounts'!A:H,3,FALSE),"")</f>
        <v>Representation Expenses</v>
      </c>
      <c r="L1473" s="338" t="str">
        <f>IFERROR(VLOOKUP(I1473,'Chart of accounts'!A:H,4,FALSE),"")</f>
        <v>50299030 00 - Representation Expenses (783)</v>
      </c>
      <c r="M1473" s="361" t="s">
        <v>1537</v>
      </c>
      <c r="N1473" s="355" t="s">
        <v>1540</v>
      </c>
      <c r="O1473" s="355" t="s">
        <v>1543</v>
      </c>
      <c r="P1473" s="355"/>
      <c r="Q1473" s="363">
        <v>80000</v>
      </c>
      <c r="R1473" s="428">
        <f t="shared" si="55"/>
        <v>-80000</v>
      </c>
      <c r="S1473" s="428" t="str">
        <f>VLOOKUP(H1473,'Fund Utilization Report'!$A$4:$U$1800,13,FALSE)</f>
        <v>MOOE</v>
      </c>
      <c r="T1473" s="428" t="str">
        <f>VLOOKUP(H1473,'Fund Utilization Report'!$A$4:$U$1800,2,FALSE)</f>
        <v>GAA</v>
      </c>
      <c r="U1473" s="428" t="str">
        <f>VLOOKUP(H1473,'Fund Utilization Report'!$A$4:$U$1800,3,FALSE)</f>
        <v>FY2021, RA11518</v>
      </c>
      <c r="V1473" s="428" t="str">
        <f>VLOOKUP(H1473,'Fund Utilization Report'!$A$4:$U$1800,4,FALSE)</f>
        <v>OO4.1(Acc)</v>
      </c>
      <c r="W1473" s="428" t="str">
        <f>VLOOKUP(H1473,'Fund Utilization Report'!$A$4:$U$1800,5,FALSE)</f>
        <v>01101101</v>
      </c>
      <c r="X1473" s="428" t="str">
        <f>VLOOKUP(H1473,'Fund Utilization Report'!$A$4:$U$1800,6,FALSE)</f>
        <v>GOP</v>
      </c>
      <c r="Y1473" s="320" t="str">
        <f>VLOOKUP(H1473,'Fund Utilization Report'!$A$4:$U$1800,7,FALSE)</f>
        <v>MOOE</v>
      </c>
      <c r="Z1473" s="425">
        <f>VLOOKUP(H1473,'Fund Utilization Report'!$A$4:$U$1800,8,FALSE)</f>
        <v>5020000000</v>
      </c>
      <c r="AA1473" s="428" t="str">
        <f>VLOOKUP(H1473,'Fund Utilization Report'!$A$4:$U$1800,14,FALSE)</f>
        <v>340100100003000</v>
      </c>
      <c r="AB1473" s="349" t="str">
        <f>VLOOKUP(H1473,'Fund Utilization Report'!$A$4:$U$1800,15,FALSE)</f>
        <v>Accreditation and Issuance of Business Licenses, Permits, registration and authorities</v>
      </c>
      <c r="AC1473" s="39"/>
      <c r="AD1473" s="34"/>
      <c r="AE1473" s="39"/>
      <c r="AF1473" s="51"/>
      <c r="AG1473" s="442"/>
      <c r="AH1473" s="442"/>
      <c r="AI1473" s="443"/>
    </row>
    <row r="1474" spans="1:35" s="32" customFormat="1" ht="27.6">
      <c r="A1474" s="434" t="s">
        <v>942</v>
      </c>
      <c r="B1474" s="457" t="s">
        <v>946</v>
      </c>
      <c r="C1474" s="233">
        <v>44280</v>
      </c>
      <c r="D1474" s="435" t="s">
        <v>1267</v>
      </c>
      <c r="E1474" s="436" t="s">
        <v>1542</v>
      </c>
      <c r="F1474" s="338">
        <v>0.36944444444444446</v>
      </c>
      <c r="G1474" s="338">
        <v>0.37083333333333335</v>
      </c>
      <c r="H1474" s="338" t="s">
        <v>979</v>
      </c>
      <c r="I1474" s="353">
        <v>751</v>
      </c>
      <c r="J1474" s="338" t="str">
        <f>IFERROR(VLOOKUP(I1474,'Chart of accounts'!A:H,2,FALSE),"")</f>
        <v>50201010 00</v>
      </c>
      <c r="K1474" s="338" t="str">
        <f>IFERROR(VLOOKUP(I1474,'Chart of accounts'!A:H,3,FALSE),"")</f>
        <v>Traveling Expenses - Local</v>
      </c>
      <c r="L1474" s="338" t="str">
        <f>IFERROR(VLOOKUP(I1474,'Chart of accounts'!A:H,4,FALSE),"")</f>
        <v>50201010 00 - Traveling Expenses - Local (751)</v>
      </c>
      <c r="M1474" s="361" t="s">
        <v>1537</v>
      </c>
      <c r="N1474" s="355" t="s">
        <v>1540</v>
      </c>
      <c r="O1474" s="355" t="s">
        <v>1543</v>
      </c>
      <c r="P1474" s="355"/>
      <c r="Q1474" s="363">
        <v>20000</v>
      </c>
      <c r="R1474" s="428">
        <f t="shared" si="55"/>
        <v>-20000</v>
      </c>
      <c r="S1474" s="428" t="str">
        <f>VLOOKUP(H1474,'Fund Utilization Report'!$A$4:$U$1800,13,FALSE)</f>
        <v>MOOE</v>
      </c>
      <c r="T1474" s="428" t="str">
        <f>VLOOKUP(H1474,'Fund Utilization Report'!$A$4:$U$1800,2,FALSE)</f>
        <v>GAA</v>
      </c>
      <c r="U1474" s="428" t="str">
        <f>VLOOKUP(H1474,'Fund Utilization Report'!$A$4:$U$1800,3,FALSE)</f>
        <v>FY2021, RA11518</v>
      </c>
      <c r="V1474" s="428" t="str">
        <f>VLOOKUP(H1474,'Fund Utilization Report'!$A$4:$U$1800,4,FALSE)</f>
        <v>OO 4.2</v>
      </c>
      <c r="W1474" s="428" t="str">
        <f>VLOOKUP(H1474,'Fund Utilization Report'!$A$4:$U$1800,5,FALSE)</f>
        <v>01101101</v>
      </c>
      <c r="X1474" s="428" t="str">
        <f>VLOOKUP(H1474,'Fund Utilization Report'!$A$4:$U$1800,6,FALSE)</f>
        <v>GOP</v>
      </c>
      <c r="Y1474" s="320" t="str">
        <f>VLOOKUP(H1474,'Fund Utilization Report'!$A$4:$U$1800,7,FALSE)</f>
        <v>MOOE</v>
      </c>
      <c r="Z1474" s="425">
        <f>VLOOKUP(H1474,'Fund Utilization Report'!$A$4:$U$1800,8,FALSE)</f>
        <v>5020000000</v>
      </c>
      <c r="AA1474" s="428" t="str">
        <f>VLOOKUP(H1474,'Fund Utilization Report'!$A$4:$U$1800,14,FALSE)</f>
        <v>340200100002000</v>
      </c>
      <c r="AB1474" s="349" t="str">
        <f>VLOOKUP(H1474,'Fund Utilization Report'!$A$4:$U$1800,15,FALSE)</f>
        <v>Implementation of Plans, projects and activities on consumer awareness, education, and advocacy</v>
      </c>
      <c r="AC1474" s="39"/>
      <c r="AD1474" s="34"/>
      <c r="AE1474" s="39"/>
      <c r="AF1474" s="51"/>
      <c r="AG1474" s="442"/>
      <c r="AH1474" s="442"/>
      <c r="AI1474" s="443"/>
    </row>
    <row r="1475" spans="1:35" s="32" customFormat="1" ht="27.6">
      <c r="A1475" s="434" t="s">
        <v>942</v>
      </c>
      <c r="B1475" s="457" t="s">
        <v>946</v>
      </c>
      <c r="C1475" s="233">
        <v>44280</v>
      </c>
      <c r="D1475" s="435" t="s">
        <v>1267</v>
      </c>
      <c r="E1475" s="436" t="s">
        <v>1542</v>
      </c>
      <c r="F1475" s="338">
        <v>0.36944444444444446</v>
      </c>
      <c r="G1475" s="338">
        <v>0.37083333333333335</v>
      </c>
      <c r="H1475" s="338" t="s">
        <v>979</v>
      </c>
      <c r="I1475" s="353">
        <v>753</v>
      </c>
      <c r="J1475" s="338" t="str">
        <f>IFERROR(VLOOKUP(I1475,'Chart of accounts'!A:H,2,FALSE),"")</f>
        <v>50202010 00</v>
      </c>
      <c r="K1475" s="338" t="str">
        <f>IFERROR(VLOOKUP(I1475,'Chart of accounts'!A:H,3,FALSE),"")</f>
        <v>Training Expenses</v>
      </c>
      <c r="L1475" s="338" t="str">
        <f>IFERROR(VLOOKUP(I1475,'Chart of accounts'!A:H,4,FALSE),"")</f>
        <v>50202010 00 - Training Expenses (753)</v>
      </c>
      <c r="M1475" s="361" t="s">
        <v>1537</v>
      </c>
      <c r="N1475" s="355" t="s">
        <v>1540</v>
      </c>
      <c r="O1475" s="355" t="s">
        <v>1543</v>
      </c>
      <c r="P1475" s="355"/>
      <c r="Q1475" s="363">
        <v>20000</v>
      </c>
      <c r="R1475" s="428">
        <f t="shared" si="55"/>
        <v>-20000</v>
      </c>
      <c r="S1475" s="428" t="str">
        <f>VLOOKUP(H1475,'Fund Utilization Report'!$A$4:$U$1800,13,FALSE)</f>
        <v>MOOE</v>
      </c>
      <c r="T1475" s="428" t="str">
        <f>VLOOKUP(H1475,'Fund Utilization Report'!$A$4:$U$1800,2,FALSE)</f>
        <v>GAA</v>
      </c>
      <c r="U1475" s="428" t="str">
        <f>VLOOKUP(H1475,'Fund Utilization Report'!$A$4:$U$1800,3,FALSE)</f>
        <v>FY2021, RA11518</v>
      </c>
      <c r="V1475" s="428" t="str">
        <f>VLOOKUP(H1475,'Fund Utilization Report'!$A$4:$U$1800,4,FALSE)</f>
        <v>OO 4.2</v>
      </c>
      <c r="W1475" s="428" t="str">
        <f>VLOOKUP(H1475,'Fund Utilization Report'!$A$4:$U$1800,5,FALSE)</f>
        <v>01101101</v>
      </c>
      <c r="X1475" s="428" t="str">
        <f>VLOOKUP(H1475,'Fund Utilization Report'!$A$4:$U$1800,6,FALSE)</f>
        <v>GOP</v>
      </c>
      <c r="Y1475" s="320" t="str">
        <f>VLOOKUP(H1475,'Fund Utilization Report'!$A$4:$U$1800,7,FALSE)</f>
        <v>MOOE</v>
      </c>
      <c r="Z1475" s="425">
        <f>VLOOKUP(H1475,'Fund Utilization Report'!$A$4:$U$1800,8,FALSE)</f>
        <v>5020000000</v>
      </c>
      <c r="AA1475" s="428" t="str">
        <f>VLOOKUP(H1475,'Fund Utilization Report'!$A$4:$U$1800,14,FALSE)</f>
        <v>340200100002000</v>
      </c>
      <c r="AB1475" s="349" t="str">
        <f>VLOOKUP(H1475,'Fund Utilization Report'!$A$4:$U$1800,15,FALSE)</f>
        <v>Implementation of Plans, projects and activities on consumer awareness, education, and advocacy</v>
      </c>
      <c r="AC1475" s="39"/>
      <c r="AD1475" s="34"/>
      <c r="AE1475" s="39"/>
      <c r="AF1475" s="51"/>
      <c r="AG1475" s="442"/>
      <c r="AH1475" s="442"/>
      <c r="AI1475" s="443"/>
    </row>
    <row r="1476" spans="1:35" s="32" customFormat="1" ht="27.6">
      <c r="A1476" s="434" t="s">
        <v>942</v>
      </c>
      <c r="B1476" s="457" t="s">
        <v>946</v>
      </c>
      <c r="C1476" s="233">
        <v>44280</v>
      </c>
      <c r="D1476" s="435" t="s">
        <v>1267</v>
      </c>
      <c r="E1476" s="436" t="s">
        <v>1542</v>
      </c>
      <c r="F1476" s="338">
        <v>0.36944444444444446</v>
      </c>
      <c r="G1476" s="338">
        <v>0.37083333333333335</v>
      </c>
      <c r="H1476" s="338" t="s">
        <v>979</v>
      </c>
      <c r="I1476" s="353">
        <v>783</v>
      </c>
      <c r="J1476" s="338" t="str">
        <f>IFERROR(VLOOKUP(I1476,'Chart of accounts'!A:H,2,FALSE),"")</f>
        <v>50299030 00</v>
      </c>
      <c r="K1476" s="338" t="str">
        <f>IFERROR(VLOOKUP(I1476,'Chart of accounts'!A:H,3,FALSE),"")</f>
        <v>Representation Expenses</v>
      </c>
      <c r="L1476" s="338" t="str">
        <f>IFERROR(VLOOKUP(I1476,'Chart of accounts'!A:H,4,FALSE),"")</f>
        <v>50299030 00 - Representation Expenses (783)</v>
      </c>
      <c r="M1476" s="361" t="s">
        <v>1537</v>
      </c>
      <c r="N1476" s="355" t="s">
        <v>1540</v>
      </c>
      <c r="O1476" s="355" t="s">
        <v>1543</v>
      </c>
      <c r="P1476" s="355"/>
      <c r="Q1476" s="363">
        <v>40000</v>
      </c>
      <c r="R1476" s="428">
        <f t="shared" si="55"/>
        <v>-40000</v>
      </c>
      <c r="S1476" s="428" t="str">
        <f>VLOOKUP(H1476,'Fund Utilization Report'!$A$4:$U$1800,13,FALSE)</f>
        <v>MOOE</v>
      </c>
      <c r="T1476" s="428" t="str">
        <f>VLOOKUP(H1476,'Fund Utilization Report'!$A$4:$U$1800,2,FALSE)</f>
        <v>GAA</v>
      </c>
      <c r="U1476" s="428" t="str">
        <f>VLOOKUP(H1476,'Fund Utilization Report'!$A$4:$U$1800,3,FALSE)</f>
        <v>FY2021, RA11518</v>
      </c>
      <c r="V1476" s="428" t="str">
        <f>VLOOKUP(H1476,'Fund Utilization Report'!$A$4:$U$1800,4,FALSE)</f>
        <v>OO 4.2</v>
      </c>
      <c r="W1476" s="428" t="str">
        <f>VLOOKUP(H1476,'Fund Utilization Report'!$A$4:$U$1800,5,FALSE)</f>
        <v>01101101</v>
      </c>
      <c r="X1476" s="428" t="str">
        <f>VLOOKUP(H1476,'Fund Utilization Report'!$A$4:$U$1800,6,FALSE)</f>
        <v>GOP</v>
      </c>
      <c r="Y1476" s="320" t="str">
        <f>VLOOKUP(H1476,'Fund Utilization Report'!$A$4:$U$1800,7,FALSE)</f>
        <v>MOOE</v>
      </c>
      <c r="Z1476" s="425">
        <f>VLOOKUP(H1476,'Fund Utilization Report'!$A$4:$U$1800,8,FALSE)</f>
        <v>5020000000</v>
      </c>
      <c r="AA1476" s="428" t="str">
        <f>VLOOKUP(H1476,'Fund Utilization Report'!$A$4:$U$1800,14,FALSE)</f>
        <v>340200100002000</v>
      </c>
      <c r="AB1476" s="349" t="str">
        <f>VLOOKUP(H1476,'Fund Utilization Report'!$A$4:$U$1800,15,FALSE)</f>
        <v>Implementation of Plans, projects and activities on consumer awareness, education, and advocacy</v>
      </c>
      <c r="AC1476" s="39"/>
      <c r="AD1476" s="34"/>
      <c r="AE1476" s="39"/>
      <c r="AF1476" s="51"/>
      <c r="AG1476" s="442"/>
      <c r="AH1476" s="442"/>
      <c r="AI1476" s="443"/>
    </row>
    <row r="1477" spans="1:35" s="32" customFormat="1">
      <c r="A1477" s="434" t="s">
        <v>942</v>
      </c>
      <c r="B1477" s="457" t="s">
        <v>946</v>
      </c>
      <c r="C1477" s="233">
        <v>44280</v>
      </c>
      <c r="D1477" s="435" t="s">
        <v>1267</v>
      </c>
      <c r="E1477" s="436" t="s">
        <v>1544</v>
      </c>
      <c r="F1477" s="338">
        <v>0.41180555555555554</v>
      </c>
      <c r="G1477" s="338">
        <v>0.41319444444444442</v>
      </c>
      <c r="H1477" s="338" t="s">
        <v>983</v>
      </c>
      <c r="I1477" s="353">
        <v>751</v>
      </c>
      <c r="J1477" s="338" t="str">
        <f>IFERROR(VLOOKUP(I1477,'Chart of accounts'!A:H,2,FALSE),"")</f>
        <v>50201010 00</v>
      </c>
      <c r="K1477" s="338" t="str">
        <f>IFERROR(VLOOKUP(I1477,'Chart of accounts'!A:H,3,FALSE),"")</f>
        <v>Traveling Expenses - Local</v>
      </c>
      <c r="L1477" s="338" t="str">
        <f>IFERROR(VLOOKUP(I1477,'Chart of accounts'!A:H,4,FALSE),"")</f>
        <v>50201010 00 - Traveling Expenses - Local (751)</v>
      </c>
      <c r="M1477" s="361" t="s">
        <v>5</v>
      </c>
      <c r="N1477" s="355" t="s">
        <v>818</v>
      </c>
      <c r="O1477" s="355" t="s">
        <v>1545</v>
      </c>
      <c r="P1477" s="355"/>
      <c r="Q1477" s="363">
        <v>10000</v>
      </c>
      <c r="R1477" s="428">
        <f t="shared" si="55"/>
        <v>-10000</v>
      </c>
      <c r="S1477" s="428" t="str">
        <f>VLOOKUP(H1477,'Fund Utilization Report'!$A$4:$U$1800,13,FALSE)</f>
        <v>MOOE</v>
      </c>
      <c r="T1477" s="428" t="str">
        <f>VLOOKUP(H1477,'Fund Utilization Report'!$A$4:$U$1800,2,FALSE)</f>
        <v>GAA</v>
      </c>
      <c r="U1477" s="428" t="str">
        <f>VLOOKUP(H1477,'Fund Utilization Report'!$A$4:$U$1800,3,FALSE)</f>
        <v>FY2021, RA11518</v>
      </c>
      <c r="V1477" s="428" t="str">
        <f>VLOOKUP(H1477,'Fund Utilization Report'!$A$4:$U$1800,4,FALSE)</f>
        <v>SSF</v>
      </c>
      <c r="W1477" s="428" t="str">
        <f>VLOOKUP(H1477,'Fund Utilization Report'!$A$4:$U$1800,5,FALSE)</f>
        <v>01101101</v>
      </c>
      <c r="X1477" s="428" t="str">
        <f>VLOOKUP(H1477,'Fund Utilization Report'!$A$4:$U$1800,6,FALSE)</f>
        <v>GOP</v>
      </c>
      <c r="Y1477" s="320" t="str">
        <f>VLOOKUP(H1477,'Fund Utilization Report'!$A$4:$U$1800,7,FALSE)</f>
        <v>MOOE</v>
      </c>
      <c r="Z1477" s="425">
        <f>VLOOKUP(H1477,'Fund Utilization Report'!$A$4:$U$1800,8,FALSE)</f>
        <v>5020000000</v>
      </c>
      <c r="AA1477" s="428" t="str">
        <f>VLOOKUP(H1477,'Fund Utilization Report'!$A$4:$U$1800,14,FALSE)</f>
        <v>330100200003000</v>
      </c>
      <c r="AB1477" s="349" t="str">
        <f>VLOOKUP(H1477,'Fund Utilization Report'!$A$4:$U$1800,15,FALSE)</f>
        <v>Shared Service Facilities Project</v>
      </c>
      <c r="AC1477" s="39"/>
      <c r="AD1477" s="34"/>
      <c r="AE1477" s="39"/>
      <c r="AF1477" s="51"/>
      <c r="AG1477" s="442"/>
      <c r="AH1477" s="442"/>
      <c r="AI1477" s="443"/>
    </row>
    <row r="1478" spans="1:35" s="32" customFormat="1">
      <c r="A1478" s="434" t="s">
        <v>942</v>
      </c>
      <c r="B1478" s="457" t="s">
        <v>946</v>
      </c>
      <c r="C1478" s="233">
        <v>44280</v>
      </c>
      <c r="D1478" s="435" t="s">
        <v>1267</v>
      </c>
      <c r="E1478" s="436" t="s">
        <v>1544</v>
      </c>
      <c r="F1478" s="338">
        <v>0.41180555555555554</v>
      </c>
      <c r="G1478" s="338">
        <v>0.41319444444444442</v>
      </c>
      <c r="H1478" s="338" t="s">
        <v>983</v>
      </c>
      <c r="I1478" s="353">
        <v>753</v>
      </c>
      <c r="J1478" s="338" t="str">
        <f>IFERROR(VLOOKUP(I1478,'Chart of accounts'!A:H,2,FALSE),"")</f>
        <v>50202010 00</v>
      </c>
      <c r="K1478" s="338" t="str">
        <f>IFERROR(VLOOKUP(I1478,'Chart of accounts'!A:H,3,FALSE),"")</f>
        <v>Training Expenses</v>
      </c>
      <c r="L1478" s="338" t="str">
        <f>IFERROR(VLOOKUP(I1478,'Chart of accounts'!A:H,4,FALSE),"")</f>
        <v>50202010 00 - Training Expenses (753)</v>
      </c>
      <c r="M1478" s="361" t="s">
        <v>5</v>
      </c>
      <c r="N1478" s="355" t="s">
        <v>818</v>
      </c>
      <c r="O1478" s="355" t="s">
        <v>1545</v>
      </c>
      <c r="P1478" s="355"/>
      <c r="Q1478" s="363">
        <v>150000</v>
      </c>
      <c r="R1478" s="428">
        <f t="shared" si="55"/>
        <v>-150000</v>
      </c>
      <c r="S1478" s="428" t="str">
        <f>VLOOKUP(H1478,'Fund Utilization Report'!$A$4:$U$1800,13,FALSE)</f>
        <v>MOOE</v>
      </c>
      <c r="T1478" s="428" t="str">
        <f>VLOOKUP(H1478,'Fund Utilization Report'!$A$4:$U$1800,2,FALSE)</f>
        <v>GAA</v>
      </c>
      <c r="U1478" s="428" t="str">
        <f>VLOOKUP(H1478,'Fund Utilization Report'!$A$4:$U$1800,3,FALSE)</f>
        <v>FY2021, RA11518</v>
      </c>
      <c r="V1478" s="428" t="str">
        <f>VLOOKUP(H1478,'Fund Utilization Report'!$A$4:$U$1800,4,FALSE)</f>
        <v>SSF</v>
      </c>
      <c r="W1478" s="428" t="str">
        <f>VLOOKUP(H1478,'Fund Utilization Report'!$A$4:$U$1800,5,FALSE)</f>
        <v>01101101</v>
      </c>
      <c r="X1478" s="428" t="str">
        <f>VLOOKUP(H1478,'Fund Utilization Report'!$A$4:$U$1800,6,FALSE)</f>
        <v>GOP</v>
      </c>
      <c r="Y1478" s="320" t="str">
        <f>VLOOKUP(H1478,'Fund Utilization Report'!$A$4:$U$1800,7,FALSE)</f>
        <v>MOOE</v>
      </c>
      <c r="Z1478" s="425">
        <f>VLOOKUP(H1478,'Fund Utilization Report'!$A$4:$U$1800,8,FALSE)</f>
        <v>5020000000</v>
      </c>
      <c r="AA1478" s="428" t="str">
        <f>VLOOKUP(H1478,'Fund Utilization Report'!$A$4:$U$1800,14,FALSE)</f>
        <v>330100200003000</v>
      </c>
      <c r="AB1478" s="349" t="str">
        <f>VLOOKUP(H1478,'Fund Utilization Report'!$A$4:$U$1800,15,FALSE)</f>
        <v>Shared Service Facilities Project</v>
      </c>
      <c r="AC1478" s="39"/>
      <c r="AD1478" s="34"/>
      <c r="AE1478" s="39"/>
      <c r="AF1478" s="51"/>
      <c r="AG1478" s="442"/>
      <c r="AH1478" s="442"/>
      <c r="AI1478" s="443"/>
    </row>
    <row r="1479" spans="1:35" s="32" customFormat="1">
      <c r="A1479" s="434" t="s">
        <v>942</v>
      </c>
      <c r="B1479" s="457" t="s">
        <v>946</v>
      </c>
      <c r="C1479" s="233">
        <v>44280</v>
      </c>
      <c r="D1479" s="435" t="s">
        <v>1267</v>
      </c>
      <c r="E1479" s="436" t="s">
        <v>1544</v>
      </c>
      <c r="F1479" s="338">
        <v>0.41180555555555554</v>
      </c>
      <c r="G1479" s="338">
        <v>0.41319444444444442</v>
      </c>
      <c r="H1479" s="338" t="s">
        <v>983</v>
      </c>
      <c r="I1479" s="353">
        <v>793</v>
      </c>
      <c r="J1479" s="338" t="str">
        <f>IFERROR(VLOOKUP(I1479,'Chart of accounts'!A:H,2,FALSE),"")</f>
        <v>50211030 00</v>
      </c>
      <c r="K1479" s="338" t="str">
        <f>IFERROR(VLOOKUP(I1479,'Chart of accounts'!A:H,3,FALSE),"")</f>
        <v>Consultancy Services</v>
      </c>
      <c r="L1479" s="338" t="str">
        <f>IFERROR(VLOOKUP(I1479,'Chart of accounts'!A:H,4,FALSE),"")</f>
        <v>50211030 00 - Consultancy Services (793)</v>
      </c>
      <c r="M1479" s="361" t="s">
        <v>5</v>
      </c>
      <c r="N1479" s="355" t="s">
        <v>818</v>
      </c>
      <c r="O1479" s="355" t="s">
        <v>1545</v>
      </c>
      <c r="P1479" s="355"/>
      <c r="Q1479" s="363">
        <v>60000</v>
      </c>
      <c r="R1479" s="428">
        <f t="shared" si="55"/>
        <v>-60000</v>
      </c>
      <c r="S1479" s="428" t="str">
        <f>VLOOKUP(H1479,'Fund Utilization Report'!$A$4:$U$1800,13,FALSE)</f>
        <v>MOOE</v>
      </c>
      <c r="T1479" s="428" t="str">
        <f>VLOOKUP(H1479,'Fund Utilization Report'!$A$4:$U$1800,2,FALSE)</f>
        <v>GAA</v>
      </c>
      <c r="U1479" s="428" t="str">
        <f>VLOOKUP(H1479,'Fund Utilization Report'!$A$4:$U$1800,3,FALSE)</f>
        <v>FY2021, RA11518</v>
      </c>
      <c r="V1479" s="428" t="str">
        <f>VLOOKUP(H1479,'Fund Utilization Report'!$A$4:$U$1800,4,FALSE)</f>
        <v>SSF</v>
      </c>
      <c r="W1479" s="428" t="str">
        <f>VLOOKUP(H1479,'Fund Utilization Report'!$A$4:$U$1800,5,FALSE)</f>
        <v>01101101</v>
      </c>
      <c r="X1479" s="428" t="str">
        <f>VLOOKUP(H1479,'Fund Utilization Report'!$A$4:$U$1800,6,FALSE)</f>
        <v>GOP</v>
      </c>
      <c r="Y1479" s="320" t="str">
        <f>VLOOKUP(H1479,'Fund Utilization Report'!$A$4:$U$1800,7,FALSE)</f>
        <v>MOOE</v>
      </c>
      <c r="Z1479" s="425">
        <f>VLOOKUP(H1479,'Fund Utilization Report'!$A$4:$U$1800,8,FALSE)</f>
        <v>5020000000</v>
      </c>
      <c r="AA1479" s="428" t="str">
        <f>VLOOKUP(H1479,'Fund Utilization Report'!$A$4:$U$1800,14,FALSE)</f>
        <v>330100200003000</v>
      </c>
      <c r="AB1479" s="349" t="str">
        <f>VLOOKUP(H1479,'Fund Utilization Report'!$A$4:$U$1800,15,FALSE)</f>
        <v>Shared Service Facilities Project</v>
      </c>
      <c r="AC1479" s="39"/>
      <c r="AD1479" s="34"/>
      <c r="AE1479" s="39"/>
      <c r="AF1479" s="51"/>
      <c r="AG1479" s="442"/>
      <c r="AH1479" s="442"/>
      <c r="AI1479" s="443"/>
    </row>
    <row r="1480" spans="1:35" s="32" customFormat="1">
      <c r="A1480" s="434" t="s">
        <v>942</v>
      </c>
      <c r="B1480" s="457" t="s">
        <v>946</v>
      </c>
      <c r="C1480" s="233">
        <v>44280</v>
      </c>
      <c r="D1480" s="435" t="s">
        <v>1267</v>
      </c>
      <c r="E1480" s="436" t="s">
        <v>1544</v>
      </c>
      <c r="F1480" s="458">
        <v>0.41180555555555554</v>
      </c>
      <c r="G1480" s="458">
        <v>0.41319444444444442</v>
      </c>
      <c r="H1480" s="458" t="s">
        <v>983</v>
      </c>
      <c r="I1480" s="459">
        <v>783</v>
      </c>
      <c r="J1480" s="458" t="str">
        <f>IFERROR(VLOOKUP(I1480,'Chart of accounts'!A:H,2,FALSE),"")</f>
        <v>50299030 00</v>
      </c>
      <c r="K1480" s="458" t="str">
        <f>IFERROR(VLOOKUP(I1480,'Chart of accounts'!A:H,3,FALSE),"")</f>
        <v>Representation Expenses</v>
      </c>
      <c r="L1480" s="458" t="str">
        <f>IFERROR(VLOOKUP(I1480,'Chart of accounts'!A:H,4,FALSE),"")</f>
        <v>50299030 00 - Representation Expenses (783)</v>
      </c>
      <c r="M1480" s="467" t="s">
        <v>5</v>
      </c>
      <c r="N1480" s="463" t="s">
        <v>818</v>
      </c>
      <c r="O1480" s="463" t="s">
        <v>1545</v>
      </c>
      <c r="P1480" s="463"/>
      <c r="Q1480" s="468">
        <v>15000</v>
      </c>
      <c r="R1480" s="462">
        <f>P1480-Q1480</f>
        <v>-15000</v>
      </c>
      <c r="S1480" s="462" t="str">
        <f>VLOOKUP(H1480,'Fund Utilization Report'!$A$4:$U$1800,13,FALSE)</f>
        <v>MOOE</v>
      </c>
      <c r="T1480" s="462" t="str">
        <f>VLOOKUP(H1480,'Fund Utilization Report'!$A$4:$U$1800,2,FALSE)</f>
        <v>GAA</v>
      </c>
      <c r="U1480" s="462" t="str">
        <f>VLOOKUP(H1480,'Fund Utilization Report'!$A$4:$U$1800,3,FALSE)</f>
        <v>FY2021, RA11518</v>
      </c>
      <c r="V1480" s="462" t="str">
        <f>VLOOKUP(H1480,'Fund Utilization Report'!$A$4:$U$1800,4,FALSE)</f>
        <v>SSF</v>
      </c>
      <c r="W1480" s="462" t="str">
        <f>VLOOKUP(H1480,'Fund Utilization Report'!$A$4:$U$1800,5,FALSE)</f>
        <v>01101101</v>
      </c>
      <c r="X1480" s="462" t="str">
        <f>VLOOKUP(H1480,'Fund Utilization Report'!$A$4:$U$1800,6,FALSE)</f>
        <v>GOP</v>
      </c>
      <c r="Y1480" s="469" t="str">
        <f>VLOOKUP(H1480,'Fund Utilization Report'!$A$4:$U$1800,7,FALSE)</f>
        <v>MOOE</v>
      </c>
      <c r="Z1480" s="470">
        <f>VLOOKUP(H1480,'Fund Utilization Report'!$A$4:$U$1800,8,FALSE)</f>
        <v>5020000000</v>
      </c>
      <c r="AA1480" s="462" t="str">
        <f>VLOOKUP(H1480,'Fund Utilization Report'!$A$4:$U$1800,14,FALSE)</f>
        <v>330100200003000</v>
      </c>
      <c r="AB1480" s="471"/>
      <c r="AC1480" s="39"/>
      <c r="AD1480" s="34"/>
      <c r="AE1480" s="39"/>
      <c r="AF1480" s="51"/>
      <c r="AG1480" s="442"/>
      <c r="AH1480" s="442"/>
      <c r="AI1480" s="443"/>
    </row>
    <row r="1481" spans="1:35" s="32" customFormat="1">
      <c r="A1481" s="434" t="s">
        <v>942</v>
      </c>
      <c r="B1481" s="457" t="s">
        <v>946</v>
      </c>
      <c r="C1481" s="233">
        <v>44280</v>
      </c>
      <c r="D1481" s="435" t="s">
        <v>1267</v>
      </c>
      <c r="E1481" s="436" t="s">
        <v>1544</v>
      </c>
      <c r="F1481" s="338">
        <v>0.41180555555555554</v>
      </c>
      <c r="G1481" s="338">
        <v>0.41319444444444442</v>
      </c>
      <c r="H1481" s="338" t="s">
        <v>983</v>
      </c>
      <c r="I1481" s="353">
        <v>840</v>
      </c>
      <c r="J1481" s="338" t="str">
        <f>IFERROR(VLOOKUP(I1481,'Chart of accounts'!A:H,2,FALSE),"")</f>
        <v>50213050 99</v>
      </c>
      <c r="K1481" s="338" t="str">
        <f>IFERROR(VLOOKUP(I1481,'Chart of accounts'!A:H,3,FALSE),"")</f>
        <v>Other Machinery and Equipment</v>
      </c>
      <c r="L1481" s="338" t="str">
        <f>IFERROR(VLOOKUP(I1481,'Chart of accounts'!A:H,4,FALSE),"")</f>
        <v>50213050 99 - Other Machinery and Equipment (840)</v>
      </c>
      <c r="M1481" s="361" t="s">
        <v>5</v>
      </c>
      <c r="N1481" s="355" t="s">
        <v>818</v>
      </c>
      <c r="O1481" s="355" t="s">
        <v>1545</v>
      </c>
      <c r="P1481" s="355"/>
      <c r="Q1481" s="363">
        <v>200000</v>
      </c>
      <c r="R1481" s="428">
        <f t="shared" si="55"/>
        <v>-200000</v>
      </c>
      <c r="S1481" s="428" t="str">
        <f>VLOOKUP(H1481,'Fund Utilization Report'!$A$4:$U$1800,13,FALSE)</f>
        <v>MOOE</v>
      </c>
      <c r="T1481" s="428" t="str">
        <f>VLOOKUP(H1481,'Fund Utilization Report'!$A$4:$U$1800,2,FALSE)</f>
        <v>GAA</v>
      </c>
      <c r="U1481" s="428" t="str">
        <f>VLOOKUP(H1481,'Fund Utilization Report'!$A$4:$U$1800,3,FALSE)</f>
        <v>FY2021, RA11518</v>
      </c>
      <c r="V1481" s="428" t="str">
        <f>VLOOKUP(H1481,'Fund Utilization Report'!$A$4:$U$1800,4,FALSE)</f>
        <v>SSF</v>
      </c>
      <c r="W1481" s="428" t="str">
        <f>VLOOKUP(H1481,'Fund Utilization Report'!$A$4:$U$1800,5,FALSE)</f>
        <v>01101101</v>
      </c>
      <c r="X1481" s="428" t="str">
        <f>VLOOKUP(H1481,'Fund Utilization Report'!$A$4:$U$1800,6,FALSE)</f>
        <v>GOP</v>
      </c>
      <c r="Y1481" s="320" t="str">
        <f>VLOOKUP(H1481,'Fund Utilization Report'!$A$4:$U$1800,7,FALSE)</f>
        <v>MOOE</v>
      </c>
      <c r="Z1481" s="425">
        <f>VLOOKUP(H1481,'Fund Utilization Report'!$A$4:$U$1800,8,FALSE)</f>
        <v>5020000000</v>
      </c>
      <c r="AA1481" s="428" t="str">
        <f>VLOOKUP(H1481,'Fund Utilization Report'!$A$4:$U$1800,14,FALSE)</f>
        <v>330100200003000</v>
      </c>
      <c r="AB1481" s="349" t="str">
        <f>VLOOKUP(H1481,'Fund Utilization Report'!$A$4:$U$1800,15,FALSE)</f>
        <v>Shared Service Facilities Project</v>
      </c>
      <c r="AC1481" s="39"/>
      <c r="AD1481" s="34"/>
      <c r="AE1481" s="39"/>
      <c r="AF1481" s="51"/>
      <c r="AG1481" s="442"/>
      <c r="AH1481" s="442"/>
      <c r="AI1481" s="443"/>
    </row>
    <row r="1482" spans="1:35" s="32" customFormat="1">
      <c r="A1482" s="434" t="s">
        <v>942</v>
      </c>
      <c r="B1482" s="457" t="s">
        <v>946</v>
      </c>
      <c r="C1482" s="233">
        <v>44280</v>
      </c>
      <c r="D1482" s="435" t="s">
        <v>1267</v>
      </c>
      <c r="E1482" s="436" t="s">
        <v>1544</v>
      </c>
      <c r="F1482" s="338">
        <v>0.41180555555555554</v>
      </c>
      <c r="G1482" s="338">
        <v>0.41319444444444442</v>
      </c>
      <c r="H1482" s="338" t="s">
        <v>983</v>
      </c>
      <c r="I1482" s="353">
        <v>969</v>
      </c>
      <c r="J1482" s="338" t="str">
        <f>IFERROR(VLOOKUP(I1482,'Chart of accounts'!A:H,2,FALSE),"")</f>
        <v>50299990 99</v>
      </c>
      <c r="K1482" s="338" t="str">
        <f>IFERROR(VLOOKUP(I1482,'Chart of accounts'!A:H,3,FALSE),"")</f>
        <v>Other Maintenance and Operating Expenses</v>
      </c>
      <c r="L1482" s="338" t="str">
        <f>IFERROR(VLOOKUP(I1482,'Chart of accounts'!A:H,4,FALSE),"")</f>
        <v>50299990 99 - Other Maintenance and Operating Expenses (969)</v>
      </c>
      <c r="M1482" s="361" t="s">
        <v>5</v>
      </c>
      <c r="N1482" s="355" t="s">
        <v>818</v>
      </c>
      <c r="O1482" s="355" t="s">
        <v>1545</v>
      </c>
      <c r="P1482" s="355"/>
      <c r="Q1482" s="363">
        <v>20476.189999999999</v>
      </c>
      <c r="R1482" s="428">
        <f t="shared" ref="R1482:R1494" si="56">P1482-Q1482</f>
        <v>-20476.189999999999</v>
      </c>
      <c r="S1482" s="428" t="str">
        <f>VLOOKUP(H1482,'Fund Utilization Report'!$A$4:$U$1800,13,FALSE)</f>
        <v>MOOE</v>
      </c>
      <c r="T1482" s="428" t="str">
        <f>VLOOKUP(H1482,'Fund Utilization Report'!$A$4:$U$1800,2,FALSE)</f>
        <v>GAA</v>
      </c>
      <c r="U1482" s="428" t="str">
        <f>VLOOKUP(H1482,'Fund Utilization Report'!$A$4:$U$1800,3,FALSE)</f>
        <v>FY2021, RA11518</v>
      </c>
      <c r="V1482" s="428" t="str">
        <f>VLOOKUP(H1482,'Fund Utilization Report'!$A$4:$U$1800,4,FALSE)</f>
        <v>SSF</v>
      </c>
      <c r="W1482" s="428" t="str">
        <f>VLOOKUP(H1482,'Fund Utilization Report'!$A$4:$U$1800,5,FALSE)</f>
        <v>01101101</v>
      </c>
      <c r="X1482" s="428" t="str">
        <f>VLOOKUP(H1482,'Fund Utilization Report'!$A$4:$U$1800,6,FALSE)</f>
        <v>GOP</v>
      </c>
      <c r="Y1482" s="320" t="str">
        <f>VLOOKUP(H1482,'Fund Utilization Report'!$A$4:$U$1800,7,FALSE)</f>
        <v>MOOE</v>
      </c>
      <c r="Z1482" s="425">
        <f>VLOOKUP(H1482,'Fund Utilization Report'!$A$4:$U$1800,8,FALSE)</f>
        <v>5020000000</v>
      </c>
      <c r="AA1482" s="428" t="str">
        <f>VLOOKUP(H1482,'Fund Utilization Report'!$A$4:$U$1800,14,FALSE)</f>
        <v>330100200003000</v>
      </c>
      <c r="AB1482" s="349" t="str">
        <f>VLOOKUP(H1482,'Fund Utilization Report'!$A$4:$U$1800,15,FALSE)</f>
        <v>Shared Service Facilities Project</v>
      </c>
      <c r="AC1482" s="39"/>
      <c r="AD1482" s="34"/>
      <c r="AE1482" s="39"/>
      <c r="AF1482" s="51"/>
      <c r="AG1482" s="442"/>
      <c r="AH1482" s="442"/>
      <c r="AI1482" s="443"/>
    </row>
    <row r="1483" spans="1:35" s="32" customFormat="1">
      <c r="A1483" s="434" t="s">
        <v>942</v>
      </c>
      <c r="B1483" s="457" t="s">
        <v>946</v>
      </c>
      <c r="C1483" s="233">
        <v>44280</v>
      </c>
      <c r="D1483" s="435" t="s">
        <v>1267</v>
      </c>
      <c r="E1483" s="436" t="s">
        <v>1546</v>
      </c>
      <c r="F1483" s="338">
        <v>0.41319444444444442</v>
      </c>
      <c r="G1483" s="338">
        <v>0.4145833333333333</v>
      </c>
      <c r="H1483" s="338" t="s">
        <v>983</v>
      </c>
      <c r="I1483" s="353">
        <v>751</v>
      </c>
      <c r="J1483" s="338" t="str">
        <f>IFERROR(VLOOKUP(I1483,'Chart of accounts'!A:H,2,FALSE),"")</f>
        <v>50201010 00</v>
      </c>
      <c r="K1483" s="338" t="str">
        <f>IFERROR(VLOOKUP(I1483,'Chart of accounts'!A:H,3,FALSE),"")</f>
        <v>Traveling Expenses - Local</v>
      </c>
      <c r="L1483" s="338" t="str">
        <f>IFERROR(VLOOKUP(I1483,'Chart of accounts'!A:H,4,FALSE),"")</f>
        <v>50201010 00 - Traveling Expenses - Local (751)</v>
      </c>
      <c r="M1483" s="361" t="s">
        <v>5</v>
      </c>
      <c r="N1483" s="355" t="s">
        <v>820</v>
      </c>
      <c r="O1483" s="355" t="s">
        <v>1545</v>
      </c>
      <c r="P1483" s="355"/>
      <c r="Q1483" s="363">
        <v>30000</v>
      </c>
      <c r="R1483" s="428">
        <f t="shared" si="56"/>
        <v>-30000</v>
      </c>
      <c r="S1483" s="428" t="str">
        <f>VLOOKUP(H1483,'Fund Utilization Report'!$A$4:$U$1800,13,FALSE)</f>
        <v>MOOE</v>
      </c>
      <c r="T1483" s="428" t="str">
        <f>VLOOKUP(H1483,'Fund Utilization Report'!$A$4:$U$1800,2,FALSE)</f>
        <v>GAA</v>
      </c>
      <c r="U1483" s="428" t="str">
        <f>VLOOKUP(H1483,'Fund Utilization Report'!$A$4:$U$1800,3,FALSE)</f>
        <v>FY2021, RA11518</v>
      </c>
      <c r="V1483" s="428" t="str">
        <f>VLOOKUP(H1483,'Fund Utilization Report'!$A$4:$U$1800,4,FALSE)</f>
        <v>SSF</v>
      </c>
      <c r="W1483" s="428" t="str">
        <f>VLOOKUP(H1483,'Fund Utilization Report'!$A$4:$U$1800,5,FALSE)</f>
        <v>01101101</v>
      </c>
      <c r="X1483" s="428" t="str">
        <f>VLOOKUP(H1483,'Fund Utilization Report'!$A$4:$U$1800,6,FALSE)</f>
        <v>GOP</v>
      </c>
      <c r="Y1483" s="320" t="str">
        <f>VLOOKUP(H1483,'Fund Utilization Report'!$A$4:$U$1800,7,FALSE)</f>
        <v>MOOE</v>
      </c>
      <c r="Z1483" s="425">
        <f>VLOOKUP(H1483,'Fund Utilization Report'!$A$4:$U$1800,8,FALSE)</f>
        <v>5020000000</v>
      </c>
      <c r="AA1483" s="428" t="str">
        <f>VLOOKUP(H1483,'Fund Utilization Report'!$A$4:$U$1800,14,FALSE)</f>
        <v>330100200003000</v>
      </c>
      <c r="AB1483" s="349" t="str">
        <f>VLOOKUP(H1483,'Fund Utilization Report'!$A$4:$U$1800,15,FALSE)</f>
        <v>Shared Service Facilities Project</v>
      </c>
      <c r="AC1483" s="39"/>
      <c r="AD1483" s="34"/>
      <c r="AE1483" s="39"/>
      <c r="AF1483" s="51"/>
      <c r="AG1483" s="442"/>
      <c r="AH1483" s="442"/>
      <c r="AI1483" s="443"/>
    </row>
    <row r="1484" spans="1:35" s="32" customFormat="1">
      <c r="A1484" s="434" t="s">
        <v>942</v>
      </c>
      <c r="B1484" s="457" t="s">
        <v>946</v>
      </c>
      <c r="C1484" s="233">
        <v>44280</v>
      </c>
      <c r="D1484" s="435" t="s">
        <v>1267</v>
      </c>
      <c r="E1484" s="436" t="s">
        <v>1546</v>
      </c>
      <c r="F1484" s="338">
        <v>0.41319444444444442</v>
      </c>
      <c r="G1484" s="338">
        <v>0.4145833333333333</v>
      </c>
      <c r="H1484" s="338" t="s">
        <v>983</v>
      </c>
      <c r="I1484" s="353">
        <v>753</v>
      </c>
      <c r="J1484" s="338" t="str">
        <f>IFERROR(VLOOKUP(I1484,'Chart of accounts'!A:H,2,FALSE),"")</f>
        <v>50202010 00</v>
      </c>
      <c r="K1484" s="338" t="str">
        <f>IFERROR(VLOOKUP(I1484,'Chart of accounts'!A:H,3,FALSE),"")</f>
        <v>Training Expenses</v>
      </c>
      <c r="L1484" s="338" t="str">
        <f>IFERROR(VLOOKUP(I1484,'Chart of accounts'!A:H,4,FALSE),"")</f>
        <v>50202010 00 - Training Expenses (753)</v>
      </c>
      <c r="M1484" s="361" t="s">
        <v>5</v>
      </c>
      <c r="N1484" s="355" t="s">
        <v>820</v>
      </c>
      <c r="O1484" s="355" t="s">
        <v>1545</v>
      </c>
      <c r="P1484" s="355"/>
      <c r="Q1484" s="363">
        <v>120000</v>
      </c>
      <c r="R1484" s="428">
        <f t="shared" si="56"/>
        <v>-120000</v>
      </c>
      <c r="S1484" s="428" t="str">
        <f>VLOOKUP(H1484,'Fund Utilization Report'!$A$4:$U$1800,13,FALSE)</f>
        <v>MOOE</v>
      </c>
      <c r="T1484" s="428" t="str">
        <f>VLOOKUP(H1484,'Fund Utilization Report'!$A$4:$U$1800,2,FALSE)</f>
        <v>GAA</v>
      </c>
      <c r="U1484" s="428" t="str">
        <f>VLOOKUP(H1484,'Fund Utilization Report'!$A$4:$U$1800,3,FALSE)</f>
        <v>FY2021, RA11518</v>
      </c>
      <c r="V1484" s="428" t="str">
        <f>VLOOKUP(H1484,'Fund Utilization Report'!$A$4:$U$1800,4,FALSE)</f>
        <v>SSF</v>
      </c>
      <c r="W1484" s="428" t="str">
        <f>VLOOKUP(H1484,'Fund Utilization Report'!$A$4:$U$1800,5,FALSE)</f>
        <v>01101101</v>
      </c>
      <c r="X1484" s="428" t="str">
        <f>VLOOKUP(H1484,'Fund Utilization Report'!$A$4:$U$1800,6,FALSE)</f>
        <v>GOP</v>
      </c>
      <c r="Y1484" s="320" t="str">
        <f>VLOOKUP(H1484,'Fund Utilization Report'!$A$4:$U$1800,7,FALSE)</f>
        <v>MOOE</v>
      </c>
      <c r="Z1484" s="425">
        <f>VLOOKUP(H1484,'Fund Utilization Report'!$A$4:$U$1800,8,FALSE)</f>
        <v>5020000000</v>
      </c>
      <c r="AA1484" s="428" t="str">
        <f>VLOOKUP(H1484,'Fund Utilization Report'!$A$4:$U$1800,14,FALSE)</f>
        <v>330100200003000</v>
      </c>
      <c r="AB1484" s="349" t="str">
        <f>VLOOKUP(H1484,'Fund Utilization Report'!$A$4:$U$1800,15,FALSE)</f>
        <v>Shared Service Facilities Project</v>
      </c>
      <c r="AC1484" s="39"/>
      <c r="AD1484" s="34"/>
      <c r="AE1484" s="39"/>
      <c r="AF1484" s="51"/>
      <c r="AG1484" s="442"/>
      <c r="AH1484" s="442"/>
      <c r="AI1484" s="443"/>
    </row>
    <row r="1485" spans="1:35" s="32" customFormat="1">
      <c r="A1485" s="434" t="s">
        <v>942</v>
      </c>
      <c r="B1485" s="457" t="s">
        <v>946</v>
      </c>
      <c r="C1485" s="233">
        <v>44280</v>
      </c>
      <c r="D1485" s="435" t="s">
        <v>1267</v>
      </c>
      <c r="E1485" s="436" t="s">
        <v>1546</v>
      </c>
      <c r="F1485" s="338">
        <v>0.41319444444444442</v>
      </c>
      <c r="G1485" s="338">
        <v>0.4145833333333333</v>
      </c>
      <c r="H1485" s="338" t="s">
        <v>983</v>
      </c>
      <c r="I1485" s="459">
        <v>793</v>
      </c>
      <c r="J1485" s="338" t="str">
        <f>IFERROR(VLOOKUP(I1485,'Chart of accounts'!A:H,2,FALSE),"")</f>
        <v>50211030 00</v>
      </c>
      <c r="K1485" s="338" t="str">
        <f>IFERROR(VLOOKUP(I1485,'Chart of accounts'!A:H,3,FALSE),"")</f>
        <v>Consultancy Services</v>
      </c>
      <c r="L1485" s="338" t="str">
        <f>IFERROR(VLOOKUP(I1485,'Chart of accounts'!A:H,4,FALSE),"")</f>
        <v>50211030 00 - Consultancy Services (793)</v>
      </c>
      <c r="M1485" s="361" t="s">
        <v>5</v>
      </c>
      <c r="N1485" s="355" t="s">
        <v>820</v>
      </c>
      <c r="O1485" s="355" t="s">
        <v>1545</v>
      </c>
      <c r="P1485" s="355"/>
      <c r="Q1485" s="363">
        <v>30000</v>
      </c>
      <c r="R1485" s="428">
        <f t="shared" si="56"/>
        <v>-30000</v>
      </c>
      <c r="S1485" s="428" t="str">
        <f>VLOOKUP(H1485,'Fund Utilization Report'!$A$4:$U$1800,13,FALSE)</f>
        <v>MOOE</v>
      </c>
      <c r="T1485" s="428" t="str">
        <f>VLOOKUP(H1485,'Fund Utilization Report'!$A$4:$U$1800,2,FALSE)</f>
        <v>GAA</v>
      </c>
      <c r="U1485" s="428" t="str">
        <f>VLOOKUP(H1485,'Fund Utilization Report'!$A$4:$U$1800,3,FALSE)</f>
        <v>FY2021, RA11518</v>
      </c>
      <c r="V1485" s="428" t="str">
        <f>VLOOKUP(H1485,'Fund Utilization Report'!$A$4:$U$1800,4,FALSE)</f>
        <v>SSF</v>
      </c>
      <c r="W1485" s="428" t="str">
        <f>VLOOKUP(H1485,'Fund Utilization Report'!$A$4:$U$1800,5,FALSE)</f>
        <v>01101101</v>
      </c>
      <c r="X1485" s="428" t="str">
        <f>VLOOKUP(H1485,'Fund Utilization Report'!$A$4:$U$1800,6,FALSE)</f>
        <v>GOP</v>
      </c>
      <c r="Y1485" s="320" t="str">
        <f>VLOOKUP(H1485,'Fund Utilization Report'!$A$4:$U$1800,7,FALSE)</f>
        <v>MOOE</v>
      </c>
      <c r="Z1485" s="425">
        <f>VLOOKUP(H1485,'Fund Utilization Report'!$A$4:$U$1800,8,FALSE)</f>
        <v>5020000000</v>
      </c>
      <c r="AA1485" s="428" t="str">
        <f>VLOOKUP(H1485,'Fund Utilization Report'!$A$4:$U$1800,14,FALSE)</f>
        <v>330100200003000</v>
      </c>
      <c r="AB1485" s="349" t="str">
        <f>VLOOKUP(H1485,'Fund Utilization Report'!$A$4:$U$1800,15,FALSE)</f>
        <v>Shared Service Facilities Project</v>
      </c>
      <c r="AC1485" s="39"/>
      <c r="AD1485" s="34"/>
      <c r="AE1485" s="39"/>
      <c r="AF1485" s="51"/>
      <c r="AG1485" s="442"/>
      <c r="AH1485" s="442"/>
      <c r="AI1485" s="443"/>
    </row>
    <row r="1486" spans="1:35" s="32" customFormat="1">
      <c r="A1486" s="434" t="s">
        <v>942</v>
      </c>
      <c r="B1486" s="457" t="s">
        <v>946</v>
      </c>
      <c r="C1486" s="233">
        <v>44280</v>
      </c>
      <c r="D1486" s="435" t="s">
        <v>1267</v>
      </c>
      <c r="E1486" s="436" t="s">
        <v>1546</v>
      </c>
      <c r="F1486" s="338">
        <v>0.41319444444444442</v>
      </c>
      <c r="G1486" s="338">
        <v>0.4145833333333333</v>
      </c>
      <c r="H1486" s="338" t="s">
        <v>983</v>
      </c>
      <c r="I1486" s="353">
        <v>840</v>
      </c>
      <c r="J1486" s="338" t="str">
        <f>IFERROR(VLOOKUP(I1486,'Chart of accounts'!A:H,2,FALSE),"")</f>
        <v>50213050 99</v>
      </c>
      <c r="K1486" s="338" t="str">
        <f>IFERROR(VLOOKUP(I1486,'Chart of accounts'!A:H,3,FALSE),"")</f>
        <v>Other Machinery and Equipment</v>
      </c>
      <c r="L1486" s="338" t="str">
        <f>IFERROR(VLOOKUP(I1486,'Chart of accounts'!A:H,4,FALSE),"")</f>
        <v>50213050 99 - Other Machinery and Equipment (840)</v>
      </c>
      <c r="M1486" s="361" t="s">
        <v>5</v>
      </c>
      <c r="N1486" s="355" t="s">
        <v>820</v>
      </c>
      <c r="O1486" s="355" t="s">
        <v>1545</v>
      </c>
      <c r="P1486" s="355"/>
      <c r="Q1486" s="363">
        <v>80000</v>
      </c>
      <c r="R1486" s="428">
        <f t="shared" si="56"/>
        <v>-80000</v>
      </c>
      <c r="S1486" s="428" t="str">
        <f>VLOOKUP(H1486,'Fund Utilization Report'!$A$4:$U$1800,13,FALSE)</f>
        <v>MOOE</v>
      </c>
      <c r="T1486" s="428" t="str">
        <f>VLOOKUP(H1486,'Fund Utilization Report'!$A$4:$U$1800,2,FALSE)</f>
        <v>GAA</v>
      </c>
      <c r="U1486" s="428" t="str">
        <f>VLOOKUP(H1486,'Fund Utilization Report'!$A$4:$U$1800,3,FALSE)</f>
        <v>FY2021, RA11518</v>
      </c>
      <c r="V1486" s="428" t="str">
        <f>VLOOKUP(H1486,'Fund Utilization Report'!$A$4:$U$1800,4,FALSE)</f>
        <v>SSF</v>
      </c>
      <c r="W1486" s="428" t="str">
        <f>VLOOKUP(H1486,'Fund Utilization Report'!$A$4:$U$1800,5,FALSE)</f>
        <v>01101101</v>
      </c>
      <c r="X1486" s="428" t="str">
        <f>VLOOKUP(H1486,'Fund Utilization Report'!$A$4:$U$1800,6,FALSE)</f>
        <v>GOP</v>
      </c>
      <c r="Y1486" s="320" t="str">
        <f>VLOOKUP(H1486,'Fund Utilization Report'!$A$4:$U$1800,7,FALSE)</f>
        <v>MOOE</v>
      </c>
      <c r="Z1486" s="425">
        <f>VLOOKUP(H1486,'Fund Utilization Report'!$A$4:$U$1800,8,FALSE)</f>
        <v>5020000000</v>
      </c>
      <c r="AA1486" s="428" t="str">
        <f>VLOOKUP(H1486,'Fund Utilization Report'!$A$4:$U$1800,14,FALSE)</f>
        <v>330100200003000</v>
      </c>
      <c r="AB1486" s="349" t="str">
        <f>VLOOKUP(H1486,'Fund Utilization Report'!$A$4:$U$1800,15,FALSE)</f>
        <v>Shared Service Facilities Project</v>
      </c>
      <c r="AC1486" s="39"/>
      <c r="AD1486" s="34"/>
      <c r="AE1486" s="39"/>
      <c r="AF1486" s="51"/>
      <c r="AG1486" s="442"/>
      <c r="AH1486" s="442"/>
      <c r="AI1486" s="443"/>
    </row>
    <row r="1487" spans="1:35" s="32" customFormat="1">
      <c r="A1487" s="434" t="s">
        <v>942</v>
      </c>
      <c r="B1487" s="457" t="s">
        <v>946</v>
      </c>
      <c r="C1487" s="233">
        <v>44280</v>
      </c>
      <c r="D1487" s="435" t="s">
        <v>1267</v>
      </c>
      <c r="E1487" s="436" t="s">
        <v>1546</v>
      </c>
      <c r="F1487" s="338">
        <v>0.41319444444444442</v>
      </c>
      <c r="G1487" s="338">
        <v>0.4145833333333333</v>
      </c>
      <c r="H1487" s="338" t="s">
        <v>983</v>
      </c>
      <c r="I1487" s="353">
        <v>969</v>
      </c>
      <c r="J1487" s="338" t="str">
        <f>IFERROR(VLOOKUP(I1487,'Chart of accounts'!A:H,2,FALSE),"")</f>
        <v>50299990 99</v>
      </c>
      <c r="K1487" s="338" t="str">
        <f>IFERROR(VLOOKUP(I1487,'Chart of accounts'!A:H,3,FALSE),"")</f>
        <v>Other Maintenance and Operating Expenses</v>
      </c>
      <c r="L1487" s="338" t="str">
        <f>IFERROR(VLOOKUP(I1487,'Chart of accounts'!A:H,4,FALSE),"")</f>
        <v>50299990 99 - Other Maintenance and Operating Expenses (969)</v>
      </c>
      <c r="M1487" s="361" t="s">
        <v>5</v>
      </c>
      <c r="N1487" s="355" t="s">
        <v>820</v>
      </c>
      <c r="O1487" s="355" t="s">
        <v>1545</v>
      </c>
      <c r="P1487" s="355"/>
      <c r="Q1487" s="363">
        <v>24121.43</v>
      </c>
      <c r="R1487" s="428">
        <f t="shared" si="56"/>
        <v>-24121.43</v>
      </c>
      <c r="S1487" s="428" t="str">
        <f>VLOOKUP(H1487,'Fund Utilization Report'!$A$4:$U$1800,13,FALSE)</f>
        <v>MOOE</v>
      </c>
      <c r="T1487" s="428" t="str">
        <f>VLOOKUP(H1487,'Fund Utilization Report'!$A$4:$U$1800,2,FALSE)</f>
        <v>GAA</v>
      </c>
      <c r="U1487" s="428" t="str">
        <f>VLOOKUP(H1487,'Fund Utilization Report'!$A$4:$U$1800,3,FALSE)</f>
        <v>FY2021, RA11518</v>
      </c>
      <c r="V1487" s="428" t="str">
        <f>VLOOKUP(H1487,'Fund Utilization Report'!$A$4:$U$1800,4,FALSE)</f>
        <v>SSF</v>
      </c>
      <c r="W1487" s="428" t="str">
        <f>VLOOKUP(H1487,'Fund Utilization Report'!$A$4:$U$1800,5,FALSE)</f>
        <v>01101101</v>
      </c>
      <c r="X1487" s="428" t="str">
        <f>VLOOKUP(H1487,'Fund Utilization Report'!$A$4:$U$1800,6,FALSE)</f>
        <v>GOP</v>
      </c>
      <c r="Y1487" s="320" t="str">
        <f>VLOOKUP(H1487,'Fund Utilization Report'!$A$4:$U$1800,7,FALSE)</f>
        <v>MOOE</v>
      </c>
      <c r="Z1487" s="425">
        <f>VLOOKUP(H1487,'Fund Utilization Report'!$A$4:$U$1800,8,FALSE)</f>
        <v>5020000000</v>
      </c>
      <c r="AA1487" s="428" t="str">
        <f>VLOOKUP(H1487,'Fund Utilization Report'!$A$4:$U$1800,14,FALSE)</f>
        <v>330100200003000</v>
      </c>
      <c r="AB1487" s="349" t="str">
        <f>VLOOKUP(H1487,'Fund Utilization Report'!$A$4:$U$1800,15,FALSE)</f>
        <v>Shared Service Facilities Project</v>
      </c>
      <c r="AC1487" s="39"/>
      <c r="AD1487" s="34"/>
      <c r="AE1487" s="39"/>
      <c r="AF1487" s="51"/>
      <c r="AG1487" s="442"/>
      <c r="AH1487" s="442"/>
      <c r="AI1487" s="443"/>
    </row>
    <row r="1488" spans="1:35" s="32" customFormat="1">
      <c r="A1488" s="434" t="s">
        <v>942</v>
      </c>
      <c r="B1488" s="457" t="s">
        <v>946</v>
      </c>
      <c r="C1488" s="233">
        <v>44280</v>
      </c>
      <c r="D1488" s="435" t="s">
        <v>1267</v>
      </c>
      <c r="E1488" s="436" t="s">
        <v>1547</v>
      </c>
      <c r="F1488" s="338">
        <v>0.4145833333333333</v>
      </c>
      <c r="G1488" s="338">
        <v>0.4152777777777778</v>
      </c>
      <c r="H1488" s="338" t="s">
        <v>983</v>
      </c>
      <c r="I1488" s="353">
        <v>751</v>
      </c>
      <c r="J1488" s="338" t="str">
        <f>IFERROR(VLOOKUP(I1488,'Chart of accounts'!A:H,2,FALSE),"")</f>
        <v>50201010 00</v>
      </c>
      <c r="K1488" s="338" t="str">
        <f>IFERROR(VLOOKUP(I1488,'Chart of accounts'!A:H,3,FALSE),"")</f>
        <v>Traveling Expenses - Local</v>
      </c>
      <c r="L1488" s="338" t="str">
        <f>IFERROR(VLOOKUP(I1488,'Chart of accounts'!A:H,4,FALSE),"")</f>
        <v>50201010 00 - Traveling Expenses - Local (751)</v>
      </c>
      <c r="M1488" s="361" t="s">
        <v>5</v>
      </c>
      <c r="N1488" s="355" t="s">
        <v>1539</v>
      </c>
      <c r="O1488" s="355" t="s">
        <v>1545</v>
      </c>
      <c r="P1488" s="355"/>
      <c r="Q1488" s="363">
        <v>50000</v>
      </c>
      <c r="R1488" s="428">
        <f t="shared" si="56"/>
        <v>-50000</v>
      </c>
      <c r="S1488" s="428" t="str">
        <f>VLOOKUP(H1488,'Fund Utilization Report'!$A$4:$U$1800,13,FALSE)</f>
        <v>MOOE</v>
      </c>
      <c r="T1488" s="428" t="str">
        <f>VLOOKUP(H1488,'Fund Utilization Report'!$A$4:$U$1800,2,FALSE)</f>
        <v>GAA</v>
      </c>
      <c r="U1488" s="428" t="str">
        <f>VLOOKUP(H1488,'Fund Utilization Report'!$A$4:$U$1800,3,FALSE)</f>
        <v>FY2021, RA11518</v>
      </c>
      <c r="V1488" s="428" t="str">
        <f>VLOOKUP(H1488,'Fund Utilization Report'!$A$4:$U$1800,4,FALSE)</f>
        <v>SSF</v>
      </c>
      <c r="W1488" s="428" t="str">
        <f>VLOOKUP(H1488,'Fund Utilization Report'!$A$4:$U$1800,5,FALSE)</f>
        <v>01101101</v>
      </c>
      <c r="X1488" s="428" t="str">
        <f>VLOOKUP(H1488,'Fund Utilization Report'!$A$4:$U$1800,6,FALSE)</f>
        <v>GOP</v>
      </c>
      <c r="Y1488" s="320" t="str">
        <f>VLOOKUP(H1488,'Fund Utilization Report'!$A$4:$U$1800,7,FALSE)</f>
        <v>MOOE</v>
      </c>
      <c r="Z1488" s="425">
        <f>VLOOKUP(H1488,'Fund Utilization Report'!$A$4:$U$1800,8,FALSE)</f>
        <v>5020000000</v>
      </c>
      <c r="AA1488" s="428" t="str">
        <f>VLOOKUP(H1488,'Fund Utilization Report'!$A$4:$U$1800,14,FALSE)</f>
        <v>330100200003000</v>
      </c>
      <c r="AB1488" s="349" t="str">
        <f>VLOOKUP(H1488,'Fund Utilization Report'!$A$4:$U$1800,15,FALSE)</f>
        <v>Shared Service Facilities Project</v>
      </c>
      <c r="AC1488" s="39"/>
      <c r="AD1488" s="34"/>
      <c r="AE1488" s="39"/>
      <c r="AF1488" s="51"/>
      <c r="AG1488" s="442"/>
      <c r="AH1488" s="442"/>
      <c r="AI1488" s="443"/>
    </row>
    <row r="1489" spans="1:35" s="32" customFormat="1">
      <c r="A1489" s="434" t="s">
        <v>942</v>
      </c>
      <c r="B1489" s="457" t="s">
        <v>946</v>
      </c>
      <c r="C1489" s="233">
        <v>44280</v>
      </c>
      <c r="D1489" s="435" t="s">
        <v>1267</v>
      </c>
      <c r="E1489" s="436" t="s">
        <v>1547</v>
      </c>
      <c r="F1489" s="338">
        <v>0.4145833333333333</v>
      </c>
      <c r="G1489" s="338">
        <v>0.4152777777777778</v>
      </c>
      <c r="H1489" s="338" t="s">
        <v>983</v>
      </c>
      <c r="I1489" s="353">
        <v>753</v>
      </c>
      <c r="J1489" s="338" t="str">
        <f>IFERROR(VLOOKUP(I1489,'Chart of accounts'!A:H,2,FALSE),"")</f>
        <v>50202010 00</v>
      </c>
      <c r="K1489" s="338" t="str">
        <f>IFERROR(VLOOKUP(I1489,'Chart of accounts'!A:H,3,FALSE),"")</f>
        <v>Training Expenses</v>
      </c>
      <c r="L1489" s="338" t="str">
        <f>IFERROR(VLOOKUP(I1489,'Chart of accounts'!A:H,4,FALSE),"")</f>
        <v>50202010 00 - Training Expenses (753)</v>
      </c>
      <c r="M1489" s="361" t="s">
        <v>5</v>
      </c>
      <c r="N1489" s="355" t="s">
        <v>1539</v>
      </c>
      <c r="O1489" s="355" t="s">
        <v>1545</v>
      </c>
      <c r="P1489" s="355"/>
      <c r="Q1489" s="363">
        <v>50000</v>
      </c>
      <c r="R1489" s="428">
        <f t="shared" si="56"/>
        <v>-50000</v>
      </c>
      <c r="S1489" s="428" t="str">
        <f>VLOOKUP(H1489,'Fund Utilization Report'!$A$4:$U$1800,13,FALSE)</f>
        <v>MOOE</v>
      </c>
      <c r="T1489" s="428" t="str">
        <f>VLOOKUP(H1489,'Fund Utilization Report'!$A$4:$U$1800,2,FALSE)</f>
        <v>GAA</v>
      </c>
      <c r="U1489" s="428" t="str">
        <f>VLOOKUP(H1489,'Fund Utilization Report'!$A$4:$U$1800,3,FALSE)</f>
        <v>FY2021, RA11518</v>
      </c>
      <c r="V1489" s="428" t="str">
        <f>VLOOKUP(H1489,'Fund Utilization Report'!$A$4:$U$1800,4,FALSE)</f>
        <v>SSF</v>
      </c>
      <c r="W1489" s="428" t="str">
        <f>VLOOKUP(H1489,'Fund Utilization Report'!$A$4:$U$1800,5,FALSE)</f>
        <v>01101101</v>
      </c>
      <c r="X1489" s="428" t="str">
        <f>VLOOKUP(H1489,'Fund Utilization Report'!$A$4:$U$1800,6,FALSE)</f>
        <v>GOP</v>
      </c>
      <c r="Y1489" s="320" t="str">
        <f>VLOOKUP(H1489,'Fund Utilization Report'!$A$4:$U$1800,7,FALSE)</f>
        <v>MOOE</v>
      </c>
      <c r="Z1489" s="425">
        <f>VLOOKUP(H1489,'Fund Utilization Report'!$A$4:$U$1800,8,FALSE)</f>
        <v>5020000000</v>
      </c>
      <c r="AA1489" s="428" t="str">
        <f>VLOOKUP(H1489,'Fund Utilization Report'!$A$4:$U$1800,14,FALSE)</f>
        <v>330100200003000</v>
      </c>
      <c r="AB1489" s="349" t="str">
        <f>VLOOKUP(H1489,'Fund Utilization Report'!$A$4:$U$1800,15,FALSE)</f>
        <v>Shared Service Facilities Project</v>
      </c>
      <c r="AC1489" s="39"/>
      <c r="AD1489" s="34"/>
      <c r="AE1489" s="39"/>
      <c r="AF1489" s="51"/>
      <c r="AG1489" s="442"/>
      <c r="AH1489" s="442"/>
      <c r="AI1489" s="443"/>
    </row>
    <row r="1490" spans="1:35" s="32" customFormat="1">
      <c r="A1490" s="434" t="s">
        <v>942</v>
      </c>
      <c r="B1490" s="457" t="s">
        <v>946</v>
      </c>
      <c r="C1490" s="233">
        <v>44280</v>
      </c>
      <c r="D1490" s="435" t="s">
        <v>1267</v>
      </c>
      <c r="E1490" s="436" t="s">
        <v>1547</v>
      </c>
      <c r="F1490" s="338">
        <v>0.4145833333333333</v>
      </c>
      <c r="G1490" s="338">
        <v>0.4152777777777778</v>
      </c>
      <c r="H1490" s="338" t="s">
        <v>983</v>
      </c>
      <c r="I1490" s="459">
        <v>793</v>
      </c>
      <c r="J1490" s="338" t="str">
        <f>IFERROR(VLOOKUP(I1490,'Chart of accounts'!A:H,2,FALSE),"")</f>
        <v>50211030 00</v>
      </c>
      <c r="K1490" s="338" t="str">
        <f>IFERROR(VLOOKUP(I1490,'Chart of accounts'!A:H,3,FALSE),"")</f>
        <v>Consultancy Services</v>
      </c>
      <c r="L1490" s="338" t="str">
        <f>IFERROR(VLOOKUP(I1490,'Chart of accounts'!A:H,4,FALSE),"")</f>
        <v>50211030 00 - Consultancy Services (793)</v>
      </c>
      <c r="M1490" s="361" t="s">
        <v>5</v>
      </c>
      <c r="N1490" s="355" t="s">
        <v>1539</v>
      </c>
      <c r="O1490" s="355" t="s">
        <v>1545</v>
      </c>
      <c r="P1490" s="355"/>
      <c r="Q1490" s="363">
        <v>50000</v>
      </c>
      <c r="R1490" s="428">
        <f t="shared" si="56"/>
        <v>-50000</v>
      </c>
      <c r="S1490" s="428" t="str">
        <f>VLOOKUP(H1490,'Fund Utilization Report'!$A$4:$U$1800,13,FALSE)</f>
        <v>MOOE</v>
      </c>
      <c r="T1490" s="428" t="str">
        <f>VLOOKUP(H1490,'Fund Utilization Report'!$A$4:$U$1800,2,FALSE)</f>
        <v>GAA</v>
      </c>
      <c r="U1490" s="428" t="str">
        <f>VLOOKUP(H1490,'Fund Utilization Report'!$A$4:$U$1800,3,FALSE)</f>
        <v>FY2021, RA11518</v>
      </c>
      <c r="V1490" s="428" t="str">
        <f>VLOOKUP(H1490,'Fund Utilization Report'!$A$4:$U$1800,4,FALSE)</f>
        <v>SSF</v>
      </c>
      <c r="W1490" s="428" t="str">
        <f>VLOOKUP(H1490,'Fund Utilization Report'!$A$4:$U$1800,5,FALSE)</f>
        <v>01101101</v>
      </c>
      <c r="X1490" s="428" t="str">
        <f>VLOOKUP(H1490,'Fund Utilization Report'!$A$4:$U$1800,6,FALSE)</f>
        <v>GOP</v>
      </c>
      <c r="Y1490" s="320" t="str">
        <f>VLOOKUP(H1490,'Fund Utilization Report'!$A$4:$U$1800,7,FALSE)</f>
        <v>MOOE</v>
      </c>
      <c r="Z1490" s="425">
        <f>VLOOKUP(H1490,'Fund Utilization Report'!$A$4:$U$1800,8,FALSE)</f>
        <v>5020000000</v>
      </c>
      <c r="AA1490" s="428" t="str">
        <f>VLOOKUP(H1490,'Fund Utilization Report'!$A$4:$U$1800,14,FALSE)</f>
        <v>330100200003000</v>
      </c>
      <c r="AB1490" s="349" t="str">
        <f>VLOOKUP(H1490,'Fund Utilization Report'!$A$4:$U$1800,15,FALSE)</f>
        <v>Shared Service Facilities Project</v>
      </c>
      <c r="AC1490" s="39"/>
      <c r="AD1490" s="34"/>
      <c r="AE1490" s="39"/>
      <c r="AF1490" s="51"/>
      <c r="AG1490" s="442"/>
      <c r="AH1490" s="442"/>
      <c r="AI1490" s="443"/>
    </row>
    <row r="1491" spans="1:35" s="32" customFormat="1">
      <c r="A1491" s="434" t="s">
        <v>942</v>
      </c>
      <c r="B1491" s="457" t="s">
        <v>946</v>
      </c>
      <c r="C1491" s="233">
        <v>44280</v>
      </c>
      <c r="D1491" s="435" t="s">
        <v>1267</v>
      </c>
      <c r="E1491" s="436" t="s">
        <v>1547</v>
      </c>
      <c r="F1491" s="338">
        <v>0.4145833333333333</v>
      </c>
      <c r="G1491" s="338">
        <v>0.4152777777777778</v>
      </c>
      <c r="H1491" s="338" t="s">
        <v>983</v>
      </c>
      <c r="I1491" s="353">
        <v>840</v>
      </c>
      <c r="J1491" s="338" t="str">
        <f>IFERROR(VLOOKUP(I1491,'Chart of accounts'!A:H,2,FALSE),"")</f>
        <v>50213050 99</v>
      </c>
      <c r="K1491" s="338" t="str">
        <f>IFERROR(VLOOKUP(I1491,'Chart of accounts'!A:H,3,FALSE),"")</f>
        <v>Other Machinery and Equipment</v>
      </c>
      <c r="L1491" s="338" t="str">
        <f>IFERROR(VLOOKUP(I1491,'Chart of accounts'!A:H,4,FALSE),"")</f>
        <v>50213050 99 - Other Machinery and Equipment (840)</v>
      </c>
      <c r="M1491" s="361" t="s">
        <v>5</v>
      </c>
      <c r="N1491" s="355" t="s">
        <v>1539</v>
      </c>
      <c r="O1491" s="355" t="s">
        <v>1545</v>
      </c>
      <c r="P1491" s="355"/>
      <c r="Q1491" s="363">
        <v>67000</v>
      </c>
      <c r="R1491" s="428">
        <f t="shared" si="56"/>
        <v>-67000</v>
      </c>
      <c r="S1491" s="428" t="str">
        <f>VLOOKUP(H1491,'Fund Utilization Report'!$A$4:$U$1800,13,FALSE)</f>
        <v>MOOE</v>
      </c>
      <c r="T1491" s="428" t="str">
        <f>VLOOKUP(H1491,'Fund Utilization Report'!$A$4:$U$1800,2,FALSE)</f>
        <v>GAA</v>
      </c>
      <c r="U1491" s="428" t="str">
        <f>VLOOKUP(H1491,'Fund Utilization Report'!$A$4:$U$1800,3,FALSE)</f>
        <v>FY2021, RA11518</v>
      </c>
      <c r="V1491" s="428" t="str">
        <f>VLOOKUP(H1491,'Fund Utilization Report'!$A$4:$U$1800,4,FALSE)</f>
        <v>SSF</v>
      </c>
      <c r="W1491" s="428" t="str">
        <f>VLOOKUP(H1491,'Fund Utilization Report'!$A$4:$U$1800,5,FALSE)</f>
        <v>01101101</v>
      </c>
      <c r="X1491" s="428" t="str">
        <f>VLOOKUP(H1491,'Fund Utilization Report'!$A$4:$U$1800,6,FALSE)</f>
        <v>GOP</v>
      </c>
      <c r="Y1491" s="320" t="str">
        <f>VLOOKUP(H1491,'Fund Utilization Report'!$A$4:$U$1800,7,FALSE)</f>
        <v>MOOE</v>
      </c>
      <c r="Z1491" s="425">
        <f>VLOOKUP(H1491,'Fund Utilization Report'!$A$4:$U$1800,8,FALSE)</f>
        <v>5020000000</v>
      </c>
      <c r="AA1491" s="428" t="str">
        <f>VLOOKUP(H1491,'Fund Utilization Report'!$A$4:$U$1800,14,FALSE)</f>
        <v>330100200003000</v>
      </c>
      <c r="AB1491" s="349" t="str">
        <f>VLOOKUP(H1491,'Fund Utilization Report'!$A$4:$U$1800,15,FALSE)</f>
        <v>Shared Service Facilities Project</v>
      </c>
      <c r="AC1491" s="39"/>
      <c r="AD1491" s="34"/>
      <c r="AE1491" s="39"/>
      <c r="AF1491" s="51"/>
      <c r="AG1491" s="442"/>
      <c r="AH1491" s="442"/>
      <c r="AI1491" s="443"/>
    </row>
    <row r="1492" spans="1:35" s="32" customFormat="1">
      <c r="A1492" s="434" t="s">
        <v>942</v>
      </c>
      <c r="B1492" s="457" t="s">
        <v>946</v>
      </c>
      <c r="C1492" s="233">
        <v>44280</v>
      </c>
      <c r="D1492" s="435" t="s">
        <v>1267</v>
      </c>
      <c r="E1492" s="436" t="s">
        <v>1547</v>
      </c>
      <c r="F1492" s="338">
        <v>0.4145833333333333</v>
      </c>
      <c r="G1492" s="338">
        <v>0.4152777777777778</v>
      </c>
      <c r="H1492" s="338" t="s">
        <v>983</v>
      </c>
      <c r="I1492" s="353">
        <v>969</v>
      </c>
      <c r="J1492" s="338" t="str">
        <f>IFERROR(VLOOKUP(I1492,'Chart of accounts'!A:H,2,FALSE),"")</f>
        <v>50299990 99</v>
      </c>
      <c r="K1492" s="338" t="str">
        <f>IFERROR(VLOOKUP(I1492,'Chart of accounts'!A:H,3,FALSE),"")</f>
        <v>Other Maintenance and Operating Expenses</v>
      </c>
      <c r="L1492" s="338" t="str">
        <f>IFERROR(VLOOKUP(I1492,'Chart of accounts'!A:H,4,FALSE),"")</f>
        <v>50299990 99 - Other Maintenance and Operating Expenses (969)</v>
      </c>
      <c r="M1492" s="361" t="s">
        <v>5</v>
      </c>
      <c r="N1492" s="355" t="s">
        <v>1539</v>
      </c>
      <c r="O1492" s="355" t="s">
        <v>1545</v>
      </c>
      <c r="P1492" s="355"/>
      <c r="Q1492" s="363">
        <v>24007.14</v>
      </c>
      <c r="R1492" s="428">
        <f t="shared" si="56"/>
        <v>-24007.14</v>
      </c>
      <c r="S1492" s="428" t="str">
        <f>VLOOKUP(H1492,'Fund Utilization Report'!$A$4:$U$1800,13,FALSE)</f>
        <v>MOOE</v>
      </c>
      <c r="T1492" s="428" t="str">
        <f>VLOOKUP(H1492,'Fund Utilization Report'!$A$4:$U$1800,2,FALSE)</f>
        <v>GAA</v>
      </c>
      <c r="U1492" s="428" t="str">
        <f>VLOOKUP(H1492,'Fund Utilization Report'!$A$4:$U$1800,3,FALSE)</f>
        <v>FY2021, RA11518</v>
      </c>
      <c r="V1492" s="428" t="str">
        <f>VLOOKUP(H1492,'Fund Utilization Report'!$A$4:$U$1800,4,FALSE)</f>
        <v>SSF</v>
      </c>
      <c r="W1492" s="428" t="str">
        <f>VLOOKUP(H1492,'Fund Utilization Report'!$A$4:$U$1800,5,FALSE)</f>
        <v>01101101</v>
      </c>
      <c r="X1492" s="428" t="str">
        <f>VLOOKUP(H1492,'Fund Utilization Report'!$A$4:$U$1800,6,FALSE)</f>
        <v>GOP</v>
      </c>
      <c r="Y1492" s="320" t="str">
        <f>VLOOKUP(H1492,'Fund Utilization Report'!$A$4:$U$1800,7,FALSE)</f>
        <v>MOOE</v>
      </c>
      <c r="Z1492" s="425">
        <f>VLOOKUP(H1492,'Fund Utilization Report'!$A$4:$U$1800,8,FALSE)</f>
        <v>5020000000</v>
      </c>
      <c r="AA1492" s="428" t="str">
        <f>VLOOKUP(H1492,'Fund Utilization Report'!$A$4:$U$1800,14,FALSE)</f>
        <v>330100200003000</v>
      </c>
      <c r="AB1492" s="349" t="str">
        <f>VLOOKUP(H1492,'Fund Utilization Report'!$A$4:$U$1800,15,FALSE)</f>
        <v>Shared Service Facilities Project</v>
      </c>
      <c r="AC1492" s="39"/>
      <c r="AD1492" s="34"/>
      <c r="AE1492" s="39"/>
      <c r="AF1492" s="51"/>
      <c r="AG1492" s="442"/>
      <c r="AH1492" s="442"/>
      <c r="AI1492" s="443"/>
    </row>
    <row r="1493" spans="1:35" s="32" customFormat="1">
      <c r="A1493" s="434" t="s">
        <v>942</v>
      </c>
      <c r="B1493" s="457" t="s">
        <v>946</v>
      </c>
      <c r="C1493" s="233">
        <v>44280</v>
      </c>
      <c r="D1493" s="435" t="s">
        <v>1267</v>
      </c>
      <c r="E1493" s="436" t="s">
        <v>1548</v>
      </c>
      <c r="F1493" s="338">
        <v>0.4152777777777778</v>
      </c>
      <c r="G1493" s="338">
        <v>0.41875000000000001</v>
      </c>
      <c r="H1493" s="338" t="s">
        <v>983</v>
      </c>
      <c r="I1493" s="353">
        <v>751</v>
      </c>
      <c r="J1493" s="338" t="str">
        <f>IFERROR(VLOOKUP(I1493,'Chart of accounts'!A:H,2,FALSE),"")</f>
        <v>50201010 00</v>
      </c>
      <c r="K1493" s="338" t="str">
        <f>IFERROR(VLOOKUP(I1493,'Chart of accounts'!A:H,3,FALSE),"")</f>
        <v>Traveling Expenses - Local</v>
      </c>
      <c r="L1493" s="338" t="str">
        <f>IFERROR(VLOOKUP(I1493,'Chart of accounts'!A:H,4,FALSE),"")</f>
        <v>50201010 00 - Traveling Expenses - Local (751)</v>
      </c>
      <c r="M1493" s="361" t="s">
        <v>5</v>
      </c>
      <c r="N1493" s="355" t="s">
        <v>1540</v>
      </c>
      <c r="O1493" s="355" t="s">
        <v>1545</v>
      </c>
      <c r="P1493" s="355"/>
      <c r="Q1493" s="363">
        <v>50000</v>
      </c>
      <c r="R1493" s="428">
        <f t="shared" si="56"/>
        <v>-50000</v>
      </c>
      <c r="S1493" s="428" t="str">
        <f>VLOOKUP(H1493,'Fund Utilization Report'!$A$4:$U$1800,13,FALSE)</f>
        <v>MOOE</v>
      </c>
      <c r="T1493" s="428" t="str">
        <f>VLOOKUP(H1493,'Fund Utilization Report'!$A$4:$U$1800,2,FALSE)</f>
        <v>GAA</v>
      </c>
      <c r="U1493" s="428" t="str">
        <f>VLOOKUP(H1493,'Fund Utilization Report'!$A$4:$U$1800,3,FALSE)</f>
        <v>FY2021, RA11518</v>
      </c>
      <c r="V1493" s="428" t="str">
        <f>VLOOKUP(H1493,'Fund Utilization Report'!$A$4:$U$1800,4,FALSE)</f>
        <v>SSF</v>
      </c>
      <c r="W1493" s="428" t="str">
        <f>VLOOKUP(H1493,'Fund Utilization Report'!$A$4:$U$1800,5,FALSE)</f>
        <v>01101101</v>
      </c>
      <c r="X1493" s="428" t="str">
        <f>VLOOKUP(H1493,'Fund Utilization Report'!$A$4:$U$1800,6,FALSE)</f>
        <v>GOP</v>
      </c>
      <c r="Y1493" s="320" t="str">
        <f>VLOOKUP(H1493,'Fund Utilization Report'!$A$4:$U$1800,7,FALSE)</f>
        <v>MOOE</v>
      </c>
      <c r="Z1493" s="425">
        <f>VLOOKUP(H1493,'Fund Utilization Report'!$A$4:$U$1800,8,FALSE)</f>
        <v>5020000000</v>
      </c>
      <c r="AA1493" s="428" t="str">
        <f>VLOOKUP(H1493,'Fund Utilization Report'!$A$4:$U$1800,14,FALSE)</f>
        <v>330100200003000</v>
      </c>
      <c r="AB1493" s="349" t="str">
        <f>VLOOKUP(H1493,'Fund Utilization Report'!$A$4:$U$1800,15,FALSE)</f>
        <v>Shared Service Facilities Project</v>
      </c>
      <c r="AC1493" s="39"/>
      <c r="AD1493" s="34"/>
      <c r="AE1493" s="39"/>
      <c r="AF1493" s="51"/>
      <c r="AG1493" s="442"/>
      <c r="AH1493" s="442"/>
      <c r="AI1493" s="443"/>
    </row>
    <row r="1494" spans="1:35" s="32" customFormat="1">
      <c r="A1494" s="434" t="s">
        <v>942</v>
      </c>
      <c r="B1494" s="457" t="s">
        <v>946</v>
      </c>
      <c r="C1494" s="233">
        <v>44280</v>
      </c>
      <c r="D1494" s="435" t="s">
        <v>1267</v>
      </c>
      <c r="E1494" s="436" t="s">
        <v>1548</v>
      </c>
      <c r="F1494" s="338">
        <v>0.4152777777777778</v>
      </c>
      <c r="G1494" s="338">
        <v>0.41875000000000001</v>
      </c>
      <c r="H1494" s="338" t="s">
        <v>983</v>
      </c>
      <c r="I1494" s="353">
        <v>753</v>
      </c>
      <c r="J1494" s="338" t="str">
        <f>IFERROR(VLOOKUP(I1494,'Chart of accounts'!A:H,2,FALSE),"")</f>
        <v>50202010 00</v>
      </c>
      <c r="K1494" s="338" t="str">
        <f>IFERROR(VLOOKUP(I1494,'Chart of accounts'!A:H,3,FALSE),"")</f>
        <v>Training Expenses</v>
      </c>
      <c r="L1494" s="338" t="str">
        <f>IFERROR(VLOOKUP(I1494,'Chart of accounts'!A:H,4,FALSE),"")</f>
        <v>50202010 00 - Training Expenses (753)</v>
      </c>
      <c r="M1494" s="361" t="s">
        <v>5</v>
      </c>
      <c r="N1494" s="355" t="s">
        <v>1540</v>
      </c>
      <c r="O1494" s="355" t="s">
        <v>1545</v>
      </c>
      <c r="P1494" s="355"/>
      <c r="Q1494" s="363">
        <v>50000</v>
      </c>
      <c r="R1494" s="428">
        <f t="shared" si="56"/>
        <v>-50000</v>
      </c>
      <c r="S1494" s="428" t="str">
        <f>VLOOKUP(H1494,'Fund Utilization Report'!$A$4:$U$1800,13,FALSE)</f>
        <v>MOOE</v>
      </c>
      <c r="T1494" s="428" t="str">
        <f>VLOOKUP(H1494,'Fund Utilization Report'!$A$4:$U$1800,2,FALSE)</f>
        <v>GAA</v>
      </c>
      <c r="U1494" s="428" t="str">
        <f>VLOOKUP(H1494,'Fund Utilization Report'!$A$4:$U$1800,3,FALSE)</f>
        <v>FY2021, RA11518</v>
      </c>
      <c r="V1494" s="428" t="str">
        <f>VLOOKUP(H1494,'Fund Utilization Report'!$A$4:$U$1800,4,FALSE)</f>
        <v>SSF</v>
      </c>
      <c r="W1494" s="428" t="str">
        <f>VLOOKUP(H1494,'Fund Utilization Report'!$A$4:$U$1800,5,FALSE)</f>
        <v>01101101</v>
      </c>
      <c r="X1494" s="428" t="str">
        <f>VLOOKUP(H1494,'Fund Utilization Report'!$A$4:$U$1800,6,FALSE)</f>
        <v>GOP</v>
      </c>
      <c r="Y1494" s="320" t="str">
        <f>VLOOKUP(H1494,'Fund Utilization Report'!$A$4:$U$1800,7,FALSE)</f>
        <v>MOOE</v>
      </c>
      <c r="Z1494" s="425">
        <f>VLOOKUP(H1494,'Fund Utilization Report'!$A$4:$U$1800,8,FALSE)</f>
        <v>5020000000</v>
      </c>
      <c r="AA1494" s="428" t="str">
        <f>VLOOKUP(H1494,'Fund Utilization Report'!$A$4:$U$1800,14,FALSE)</f>
        <v>330100200003000</v>
      </c>
      <c r="AB1494" s="349" t="str">
        <f>VLOOKUP(H1494,'Fund Utilization Report'!$A$4:$U$1800,15,FALSE)</f>
        <v>Shared Service Facilities Project</v>
      </c>
      <c r="AC1494" s="39"/>
      <c r="AD1494" s="34"/>
      <c r="AE1494" s="39"/>
      <c r="AF1494" s="51"/>
      <c r="AG1494" s="442"/>
      <c r="AH1494" s="442"/>
      <c r="AI1494" s="443"/>
    </row>
    <row r="1495" spans="1:35" s="32" customFormat="1">
      <c r="A1495" s="434" t="s">
        <v>942</v>
      </c>
      <c r="B1495" s="457" t="s">
        <v>946</v>
      </c>
      <c r="C1495" s="233">
        <v>44280</v>
      </c>
      <c r="D1495" s="435" t="s">
        <v>1267</v>
      </c>
      <c r="E1495" s="436" t="s">
        <v>1548</v>
      </c>
      <c r="F1495" s="338">
        <v>0.4152777777777778</v>
      </c>
      <c r="G1495" s="338">
        <v>0.41875000000000001</v>
      </c>
      <c r="H1495" s="338" t="s">
        <v>983</v>
      </c>
      <c r="I1495" s="459">
        <v>793</v>
      </c>
      <c r="J1495" s="338" t="str">
        <f>IFERROR(VLOOKUP(I1495,'Chart of accounts'!A:H,2,FALSE),"")</f>
        <v>50211030 00</v>
      </c>
      <c r="K1495" s="338" t="str">
        <f>IFERROR(VLOOKUP(I1495,'Chart of accounts'!A:H,3,FALSE),"")</f>
        <v>Consultancy Services</v>
      </c>
      <c r="L1495" s="338" t="str">
        <f>IFERROR(VLOOKUP(I1495,'Chart of accounts'!A:H,4,FALSE),"")</f>
        <v>50211030 00 - Consultancy Services (793)</v>
      </c>
      <c r="M1495" s="361" t="s">
        <v>5</v>
      </c>
      <c r="N1495" s="355" t="s">
        <v>1540</v>
      </c>
      <c r="O1495" s="355" t="s">
        <v>1545</v>
      </c>
      <c r="P1495" s="355"/>
      <c r="Q1495" s="363">
        <v>50000</v>
      </c>
      <c r="R1495" s="428">
        <f t="shared" ref="R1495:R1507" si="57">P1495-Q1495</f>
        <v>-50000</v>
      </c>
      <c r="S1495" s="428" t="str">
        <f>VLOOKUP(H1495,'Fund Utilization Report'!$A$4:$U$1800,13,FALSE)</f>
        <v>MOOE</v>
      </c>
      <c r="T1495" s="428" t="str">
        <f>VLOOKUP(H1495,'Fund Utilization Report'!$A$4:$U$1800,2,FALSE)</f>
        <v>GAA</v>
      </c>
      <c r="U1495" s="428" t="str">
        <f>VLOOKUP(H1495,'Fund Utilization Report'!$A$4:$U$1800,3,FALSE)</f>
        <v>FY2021, RA11518</v>
      </c>
      <c r="V1495" s="428" t="str">
        <f>VLOOKUP(H1495,'Fund Utilization Report'!$A$4:$U$1800,4,FALSE)</f>
        <v>SSF</v>
      </c>
      <c r="W1495" s="428" t="str">
        <f>VLOOKUP(H1495,'Fund Utilization Report'!$A$4:$U$1800,5,FALSE)</f>
        <v>01101101</v>
      </c>
      <c r="X1495" s="428" t="str">
        <f>VLOOKUP(H1495,'Fund Utilization Report'!$A$4:$U$1800,6,FALSE)</f>
        <v>GOP</v>
      </c>
      <c r="Y1495" s="320" t="str">
        <f>VLOOKUP(H1495,'Fund Utilization Report'!$A$4:$U$1800,7,FALSE)</f>
        <v>MOOE</v>
      </c>
      <c r="Z1495" s="425">
        <f>VLOOKUP(H1495,'Fund Utilization Report'!$A$4:$U$1800,8,FALSE)</f>
        <v>5020000000</v>
      </c>
      <c r="AA1495" s="428" t="str">
        <f>VLOOKUP(H1495,'Fund Utilization Report'!$A$4:$U$1800,14,FALSE)</f>
        <v>330100200003000</v>
      </c>
      <c r="AB1495" s="349" t="str">
        <f>VLOOKUP(H1495,'Fund Utilization Report'!$A$4:$U$1800,15,FALSE)</f>
        <v>Shared Service Facilities Project</v>
      </c>
      <c r="AC1495" s="39"/>
      <c r="AD1495" s="34"/>
      <c r="AE1495" s="39"/>
      <c r="AF1495" s="51"/>
      <c r="AG1495" s="442"/>
      <c r="AH1495" s="442"/>
      <c r="AI1495" s="443"/>
    </row>
    <row r="1496" spans="1:35" s="32" customFormat="1">
      <c r="A1496" s="434" t="s">
        <v>942</v>
      </c>
      <c r="B1496" s="457" t="s">
        <v>946</v>
      </c>
      <c r="C1496" s="233">
        <v>44280</v>
      </c>
      <c r="D1496" s="435" t="s">
        <v>1267</v>
      </c>
      <c r="E1496" s="436" t="s">
        <v>1548</v>
      </c>
      <c r="F1496" s="338">
        <v>0.4152777777777778</v>
      </c>
      <c r="G1496" s="338">
        <v>0.41875000000000001</v>
      </c>
      <c r="H1496" s="338" t="s">
        <v>983</v>
      </c>
      <c r="I1496" s="353">
        <v>840</v>
      </c>
      <c r="J1496" s="338" t="str">
        <f>IFERROR(VLOOKUP(I1496,'Chart of accounts'!A:H,2,FALSE),"")</f>
        <v>50213050 99</v>
      </c>
      <c r="K1496" s="338" t="str">
        <f>IFERROR(VLOOKUP(I1496,'Chart of accounts'!A:H,3,FALSE),"")</f>
        <v>Other Machinery and Equipment</v>
      </c>
      <c r="L1496" s="338" t="str">
        <f>IFERROR(VLOOKUP(I1496,'Chart of accounts'!A:H,4,FALSE),"")</f>
        <v>50213050 99 - Other Machinery and Equipment (840)</v>
      </c>
      <c r="M1496" s="361" t="s">
        <v>5</v>
      </c>
      <c r="N1496" s="355" t="s">
        <v>1540</v>
      </c>
      <c r="O1496" s="355" t="s">
        <v>1545</v>
      </c>
      <c r="P1496" s="355"/>
      <c r="Q1496" s="363">
        <v>147000</v>
      </c>
      <c r="R1496" s="428">
        <f t="shared" si="57"/>
        <v>-147000</v>
      </c>
      <c r="S1496" s="428" t="str">
        <f>VLOOKUP(H1496,'Fund Utilization Report'!$A$4:$U$1800,13,FALSE)</f>
        <v>MOOE</v>
      </c>
      <c r="T1496" s="428" t="str">
        <f>VLOOKUP(H1496,'Fund Utilization Report'!$A$4:$U$1800,2,FALSE)</f>
        <v>GAA</v>
      </c>
      <c r="U1496" s="428" t="str">
        <f>VLOOKUP(H1496,'Fund Utilization Report'!$A$4:$U$1800,3,FALSE)</f>
        <v>FY2021, RA11518</v>
      </c>
      <c r="V1496" s="428" t="str">
        <f>VLOOKUP(H1496,'Fund Utilization Report'!$A$4:$U$1800,4,FALSE)</f>
        <v>SSF</v>
      </c>
      <c r="W1496" s="428" t="str">
        <f>VLOOKUP(H1496,'Fund Utilization Report'!$A$4:$U$1800,5,FALSE)</f>
        <v>01101101</v>
      </c>
      <c r="X1496" s="428" t="str">
        <f>VLOOKUP(H1496,'Fund Utilization Report'!$A$4:$U$1800,6,FALSE)</f>
        <v>GOP</v>
      </c>
      <c r="Y1496" s="320" t="str">
        <f>VLOOKUP(H1496,'Fund Utilization Report'!$A$4:$U$1800,7,FALSE)</f>
        <v>MOOE</v>
      </c>
      <c r="Z1496" s="425">
        <f>VLOOKUP(H1496,'Fund Utilization Report'!$A$4:$U$1800,8,FALSE)</f>
        <v>5020000000</v>
      </c>
      <c r="AA1496" s="428" t="str">
        <f>VLOOKUP(H1496,'Fund Utilization Report'!$A$4:$U$1800,14,FALSE)</f>
        <v>330100200003000</v>
      </c>
      <c r="AB1496" s="349" t="str">
        <f>VLOOKUP(H1496,'Fund Utilization Report'!$A$4:$U$1800,15,FALSE)</f>
        <v>Shared Service Facilities Project</v>
      </c>
      <c r="AC1496" s="39"/>
      <c r="AD1496" s="34"/>
      <c r="AE1496" s="39"/>
      <c r="AF1496" s="51"/>
      <c r="AG1496" s="442"/>
      <c r="AH1496" s="442"/>
      <c r="AI1496" s="443"/>
    </row>
    <row r="1497" spans="1:35" s="32" customFormat="1">
      <c r="A1497" s="434" t="s">
        <v>942</v>
      </c>
      <c r="B1497" s="457" t="s">
        <v>946</v>
      </c>
      <c r="C1497" s="233">
        <v>44280</v>
      </c>
      <c r="D1497" s="435" t="s">
        <v>1267</v>
      </c>
      <c r="E1497" s="436" t="s">
        <v>1548</v>
      </c>
      <c r="F1497" s="338">
        <v>0.4152777777777778</v>
      </c>
      <c r="G1497" s="338">
        <v>0.41875000000000001</v>
      </c>
      <c r="H1497" s="338" t="s">
        <v>983</v>
      </c>
      <c r="I1497" s="353">
        <v>969</v>
      </c>
      <c r="J1497" s="338" t="str">
        <f>IFERROR(VLOOKUP(I1497,'Chart of accounts'!A:H,2,FALSE),"")</f>
        <v>50299990 99</v>
      </c>
      <c r="K1497" s="338" t="str">
        <f>IFERROR(VLOOKUP(I1497,'Chart of accounts'!A:H,3,FALSE),"")</f>
        <v>Other Maintenance and Operating Expenses</v>
      </c>
      <c r="L1497" s="338" t="str">
        <f>IFERROR(VLOOKUP(I1497,'Chart of accounts'!A:H,4,FALSE),"")</f>
        <v>50299990 99 - Other Maintenance and Operating Expenses (969)</v>
      </c>
      <c r="M1497" s="361" t="s">
        <v>5</v>
      </c>
      <c r="N1497" s="355" t="s">
        <v>1540</v>
      </c>
      <c r="O1497" s="355" t="s">
        <v>1545</v>
      </c>
      <c r="P1497" s="355"/>
      <c r="Q1497" s="363">
        <v>24342.85</v>
      </c>
      <c r="R1497" s="428">
        <f t="shared" si="57"/>
        <v>-24342.85</v>
      </c>
      <c r="S1497" s="428" t="str">
        <f>VLOOKUP(H1497,'Fund Utilization Report'!$A$4:$U$1800,13,FALSE)</f>
        <v>MOOE</v>
      </c>
      <c r="T1497" s="428" t="str">
        <f>VLOOKUP(H1497,'Fund Utilization Report'!$A$4:$U$1800,2,FALSE)</f>
        <v>GAA</v>
      </c>
      <c r="U1497" s="428" t="str">
        <f>VLOOKUP(H1497,'Fund Utilization Report'!$A$4:$U$1800,3,FALSE)</f>
        <v>FY2021, RA11518</v>
      </c>
      <c r="V1497" s="428" t="str">
        <f>VLOOKUP(H1497,'Fund Utilization Report'!$A$4:$U$1800,4,FALSE)</f>
        <v>SSF</v>
      </c>
      <c r="W1497" s="428" t="str">
        <f>VLOOKUP(H1497,'Fund Utilization Report'!$A$4:$U$1800,5,FALSE)</f>
        <v>01101101</v>
      </c>
      <c r="X1497" s="428" t="str">
        <f>VLOOKUP(H1497,'Fund Utilization Report'!$A$4:$U$1800,6,FALSE)</f>
        <v>GOP</v>
      </c>
      <c r="Y1497" s="320" t="str">
        <f>VLOOKUP(H1497,'Fund Utilization Report'!$A$4:$U$1800,7,FALSE)</f>
        <v>MOOE</v>
      </c>
      <c r="Z1497" s="425">
        <f>VLOOKUP(H1497,'Fund Utilization Report'!$A$4:$U$1800,8,FALSE)</f>
        <v>5020000000</v>
      </c>
      <c r="AA1497" s="428" t="str">
        <f>VLOOKUP(H1497,'Fund Utilization Report'!$A$4:$U$1800,14,FALSE)</f>
        <v>330100200003000</v>
      </c>
      <c r="AB1497" s="349" t="str">
        <f>VLOOKUP(H1497,'Fund Utilization Report'!$A$4:$U$1800,15,FALSE)</f>
        <v>Shared Service Facilities Project</v>
      </c>
      <c r="AC1497" s="39"/>
      <c r="AD1497" s="34"/>
      <c r="AE1497" s="39"/>
      <c r="AF1497" s="51"/>
      <c r="AG1497" s="442"/>
      <c r="AH1497" s="442"/>
      <c r="AI1497" s="443"/>
    </row>
    <row r="1498" spans="1:35" s="32" customFormat="1">
      <c r="A1498" s="434" t="s">
        <v>942</v>
      </c>
      <c r="B1498" s="457" t="s">
        <v>946</v>
      </c>
      <c r="C1498" s="233">
        <v>44280</v>
      </c>
      <c r="D1498" s="435" t="s">
        <v>1267</v>
      </c>
      <c r="E1498" s="436" t="s">
        <v>1549</v>
      </c>
      <c r="F1498" s="338">
        <v>0.41875000000000001</v>
      </c>
      <c r="G1498" s="338">
        <v>0.42291666666666666</v>
      </c>
      <c r="H1498" s="458" t="s">
        <v>961</v>
      </c>
      <c r="I1498" s="459">
        <v>796</v>
      </c>
      <c r="J1498" s="338" t="str">
        <f>IFERROR(VLOOKUP(I1498,'Chart of accounts'!A:H,2,FALSE),"")</f>
        <v>50212020 00</v>
      </c>
      <c r="K1498" s="338" t="str">
        <f>IFERROR(VLOOKUP(I1498,'Chart of accounts'!A:H,3,FALSE),"")</f>
        <v>Janitorial Services</v>
      </c>
      <c r="L1498" s="338" t="str">
        <f>IFERROR(VLOOKUP(I1498,'Chart of accounts'!A:H,4,FALSE),"")</f>
        <v>50212020 00 - Janitorial Services (796)</v>
      </c>
      <c r="M1498" s="361" t="s">
        <v>816</v>
      </c>
      <c r="N1498" s="463" t="s">
        <v>1075</v>
      </c>
      <c r="O1498" s="463" t="s">
        <v>1551</v>
      </c>
      <c r="P1498" s="463"/>
      <c r="Q1498" s="468">
        <f>5600+4800</f>
        <v>10400</v>
      </c>
      <c r="R1498" s="428">
        <f t="shared" ref="R1498:R1503" si="58">P1466-Q1466</f>
        <v>-30000</v>
      </c>
      <c r="S1498" s="239" t="str">
        <f>VLOOKUP(H1498,'Fund Utilization Report'!$A$4:$U$1800,13,FALSE)</f>
        <v>MOOE</v>
      </c>
      <c r="T1498" s="239" t="str">
        <f>VLOOKUP(H1498,'Fund Utilization Report'!$A$4:$U$1800,2,FALSE)</f>
        <v>GAA</v>
      </c>
      <c r="U1498" s="239" t="str">
        <f>VLOOKUP(H1498,'Fund Utilization Report'!$A$4:$U$1800,3,FALSE)</f>
        <v>FY2021, RA11518</v>
      </c>
      <c r="V1498" s="239" t="str">
        <f>VLOOKUP(H1498,'Fund Utilization Report'!$A$4:$U$1800,4,FALSE)</f>
        <v>GAS(GMS)</v>
      </c>
      <c r="W1498" s="239" t="str">
        <f>VLOOKUP(H1498,'Fund Utilization Report'!$A$4:$U$1800,5,FALSE)</f>
        <v>01101101</v>
      </c>
      <c r="X1498" s="239" t="str">
        <f>VLOOKUP(H1498,'Fund Utilization Report'!$A$4:$U$1800,6,FALSE)</f>
        <v>GOP</v>
      </c>
      <c r="Y1498" s="440" t="str">
        <f>VLOOKUP(H1498,'Fund Utilization Report'!$A$4:$U$1800,7,FALSE)</f>
        <v>MOOE</v>
      </c>
      <c r="Z1498" s="441">
        <f>VLOOKUP(H1498,'Fund Utilization Report'!$A$4:$U$1800,8,FALSE)</f>
        <v>5020000000</v>
      </c>
      <c r="AA1498" s="239" t="str">
        <f>VLOOKUP(H1498,'Fund Utilization Report'!$A$4:$U$1800,14,FALSE)</f>
        <v>100000100001000</v>
      </c>
      <c r="AB1498" s="242" t="str">
        <f>VLOOKUP(H1498,'Fund Utilization Report'!$A$4:$U$1800,15,FALSE)</f>
        <v>General Administration and Supervision - General Management and Supervision</v>
      </c>
      <c r="AC1498" s="51"/>
      <c r="AD1498" s="435"/>
      <c r="AE1498" s="51"/>
      <c r="AF1498" s="51"/>
      <c r="AG1498" s="442"/>
      <c r="AH1498" s="442"/>
      <c r="AI1498" s="443"/>
    </row>
    <row r="1499" spans="1:35" s="32" customFormat="1">
      <c r="A1499" s="434" t="s">
        <v>942</v>
      </c>
      <c r="B1499" s="457" t="s">
        <v>946</v>
      </c>
      <c r="C1499" s="233">
        <v>44280</v>
      </c>
      <c r="D1499" s="435" t="s">
        <v>1267</v>
      </c>
      <c r="E1499" s="436" t="s">
        <v>1549</v>
      </c>
      <c r="F1499" s="338">
        <v>0.41875000000000001</v>
      </c>
      <c r="G1499" s="338">
        <v>0.42291666666666666</v>
      </c>
      <c r="H1499" s="458" t="s">
        <v>961</v>
      </c>
      <c r="I1499" s="459">
        <v>795</v>
      </c>
      <c r="J1499" s="338" t="str">
        <f>IFERROR(VLOOKUP(I1499,'Chart of accounts'!A:H,2,FALSE),"")</f>
        <v>50212990 00</v>
      </c>
      <c r="K1499" s="338" t="str">
        <f>IFERROR(VLOOKUP(I1499,'Chart of accounts'!A:H,3,FALSE),"")</f>
        <v>Other General Services</v>
      </c>
      <c r="L1499" s="338" t="str">
        <f>IFERROR(VLOOKUP(I1499,'Chart of accounts'!A:H,4,FALSE),"")</f>
        <v>50212990 00 - Other General Services (795)</v>
      </c>
      <c r="M1499" s="361" t="s">
        <v>816</v>
      </c>
      <c r="N1499" s="463" t="s">
        <v>1075</v>
      </c>
      <c r="O1499" s="463" t="s">
        <v>1551</v>
      </c>
      <c r="P1499" s="463"/>
      <c r="Q1499" s="468">
        <v>3720</v>
      </c>
      <c r="R1499" s="428">
        <f t="shared" si="58"/>
        <v>-70000</v>
      </c>
      <c r="S1499" s="239" t="str">
        <f>VLOOKUP(H1499,'Fund Utilization Report'!$A$4:$U$1800,13,FALSE)</f>
        <v>MOOE</v>
      </c>
      <c r="T1499" s="239" t="str">
        <f>VLOOKUP(H1499,'Fund Utilization Report'!$A$4:$U$1800,2,FALSE)</f>
        <v>GAA</v>
      </c>
      <c r="U1499" s="239" t="str">
        <f>VLOOKUP(H1499,'Fund Utilization Report'!$A$4:$U$1800,3,FALSE)</f>
        <v>FY2021, RA11518</v>
      </c>
      <c r="V1499" s="239" t="str">
        <f>VLOOKUP(H1499,'Fund Utilization Report'!$A$4:$U$1800,4,FALSE)</f>
        <v>GAS(GMS)</v>
      </c>
      <c r="W1499" s="239" t="str">
        <f>VLOOKUP(H1499,'Fund Utilization Report'!$A$4:$U$1800,5,FALSE)</f>
        <v>01101101</v>
      </c>
      <c r="X1499" s="239" t="str">
        <f>VLOOKUP(H1499,'Fund Utilization Report'!$A$4:$U$1800,6,FALSE)</f>
        <v>GOP</v>
      </c>
      <c r="Y1499" s="440" t="str">
        <f>VLOOKUP(H1499,'Fund Utilization Report'!$A$4:$U$1800,7,FALSE)</f>
        <v>MOOE</v>
      </c>
      <c r="Z1499" s="441">
        <f>VLOOKUP(H1499,'Fund Utilization Report'!$A$4:$U$1800,8,FALSE)</f>
        <v>5020000000</v>
      </c>
      <c r="AA1499" s="239" t="str">
        <f>VLOOKUP(H1499,'Fund Utilization Report'!$A$4:$U$1800,14,FALSE)</f>
        <v>100000100001000</v>
      </c>
      <c r="AB1499" s="242" t="str">
        <f>VLOOKUP(H1499,'Fund Utilization Report'!$A$4:$U$1800,15,FALSE)</f>
        <v>General Administration and Supervision - General Management and Supervision</v>
      </c>
      <c r="AC1499" s="51"/>
      <c r="AD1499" s="435"/>
      <c r="AE1499" s="51"/>
      <c r="AF1499" s="51"/>
      <c r="AG1499" s="442"/>
      <c r="AH1499" s="442"/>
      <c r="AI1499" s="443"/>
    </row>
    <row r="1500" spans="1:35" s="32" customFormat="1">
      <c r="A1500" s="434" t="s">
        <v>942</v>
      </c>
      <c r="B1500" s="457" t="s">
        <v>946</v>
      </c>
      <c r="C1500" s="233">
        <v>44280</v>
      </c>
      <c r="D1500" s="435" t="s">
        <v>1267</v>
      </c>
      <c r="E1500" s="436" t="s">
        <v>1550</v>
      </c>
      <c r="F1500" s="338">
        <v>0.42291666666666666</v>
      </c>
      <c r="G1500" s="338">
        <v>0.42569444444444443</v>
      </c>
      <c r="H1500" s="458" t="s">
        <v>983</v>
      </c>
      <c r="I1500" s="459">
        <v>799</v>
      </c>
      <c r="J1500" s="338" t="str">
        <f>IFERROR(VLOOKUP(I1500,'Chart of accounts'!A:H,2,FALSE),"")</f>
        <v>50211990 00</v>
      </c>
      <c r="K1500" s="338" t="str">
        <f>IFERROR(VLOOKUP(I1500,'Chart of accounts'!A:H,3,FALSE),"")</f>
        <v>Other Professional Services</v>
      </c>
      <c r="L1500" s="338" t="str">
        <f>IFERROR(VLOOKUP(I1500,'Chart of accounts'!A:H,4,FALSE),"")</f>
        <v>50211990 00 - Other Professional Services (799)</v>
      </c>
      <c r="M1500" s="467" t="s">
        <v>5</v>
      </c>
      <c r="N1500" s="463" t="s">
        <v>1075</v>
      </c>
      <c r="O1500" s="463" t="s">
        <v>1551</v>
      </c>
      <c r="P1500" s="463"/>
      <c r="Q1500" s="468">
        <v>5534</v>
      </c>
      <c r="R1500" s="428">
        <f t="shared" si="58"/>
        <v>-10000</v>
      </c>
      <c r="S1500" s="239" t="str">
        <f>VLOOKUP(H1500,'Fund Utilization Report'!$A$4:$U$1800,13,FALSE)</f>
        <v>MOOE</v>
      </c>
      <c r="T1500" s="239" t="str">
        <f>VLOOKUP(H1500,'Fund Utilization Report'!$A$4:$U$1800,2,FALSE)</f>
        <v>GAA</v>
      </c>
      <c r="U1500" s="239" t="str">
        <f>VLOOKUP(H1500,'Fund Utilization Report'!$A$4:$U$1800,3,FALSE)</f>
        <v>FY2021, RA11518</v>
      </c>
      <c r="V1500" s="239" t="str">
        <f>VLOOKUP(H1500,'Fund Utilization Report'!$A$4:$U$1800,4,FALSE)</f>
        <v>SSF</v>
      </c>
      <c r="W1500" s="239" t="str">
        <f>VLOOKUP(H1500,'Fund Utilization Report'!$A$4:$U$1800,5,FALSE)</f>
        <v>01101101</v>
      </c>
      <c r="X1500" s="239" t="str">
        <f>VLOOKUP(H1500,'Fund Utilization Report'!$A$4:$U$1800,6,FALSE)</f>
        <v>GOP</v>
      </c>
      <c r="Y1500" s="440" t="str">
        <f>VLOOKUP(H1500,'Fund Utilization Report'!$A$4:$U$1800,7,FALSE)</f>
        <v>MOOE</v>
      </c>
      <c r="Z1500" s="441">
        <f>VLOOKUP(H1500,'Fund Utilization Report'!$A$4:$U$1800,8,FALSE)</f>
        <v>5020000000</v>
      </c>
      <c r="AA1500" s="239" t="str">
        <f>VLOOKUP(H1500,'Fund Utilization Report'!$A$4:$U$1800,14,FALSE)</f>
        <v>330100200003000</v>
      </c>
      <c r="AB1500" s="242" t="str">
        <f>VLOOKUP(H1500,'Fund Utilization Report'!$A$4:$U$1800,15,FALSE)</f>
        <v>Shared Service Facilities Project</v>
      </c>
      <c r="AC1500" s="51"/>
      <c r="AD1500" s="435"/>
      <c r="AE1500" s="51"/>
      <c r="AF1500" s="51"/>
      <c r="AG1500" s="442"/>
      <c r="AH1500" s="442"/>
      <c r="AI1500" s="443"/>
    </row>
    <row r="1501" spans="1:35" s="32" customFormat="1">
      <c r="A1501" s="434" t="s">
        <v>942</v>
      </c>
      <c r="B1501" s="457" t="s">
        <v>946</v>
      </c>
      <c r="C1501" s="233">
        <v>44280</v>
      </c>
      <c r="D1501" s="435" t="s">
        <v>1267</v>
      </c>
      <c r="E1501" s="436" t="s">
        <v>1550</v>
      </c>
      <c r="F1501" s="338">
        <v>0.42291666666666666</v>
      </c>
      <c r="G1501" s="338">
        <v>0.42569444444444443</v>
      </c>
      <c r="H1501" s="458" t="s">
        <v>961</v>
      </c>
      <c r="I1501" s="459">
        <v>792</v>
      </c>
      <c r="J1501" s="338" t="str">
        <f>IFERROR(VLOOKUP(I1501,'Chart of accounts'!A:H,2,FALSE),"")</f>
        <v>50211020 00</v>
      </c>
      <c r="K1501" s="338" t="str">
        <f>IFERROR(VLOOKUP(I1501,'Chart of accounts'!A:H,3,FALSE),"")</f>
        <v>Auditing Services</v>
      </c>
      <c r="L1501" s="338" t="str">
        <f>IFERROR(VLOOKUP(I1501,'Chart of accounts'!A:H,4,FALSE),"")</f>
        <v>50211020 00 - Auditing Services (792)</v>
      </c>
      <c r="M1501" s="467" t="s">
        <v>1404</v>
      </c>
      <c r="N1501" s="463" t="s">
        <v>1075</v>
      </c>
      <c r="O1501" s="463" t="s">
        <v>1551</v>
      </c>
      <c r="P1501" s="463"/>
      <c r="Q1501" s="468">
        <v>5534</v>
      </c>
      <c r="R1501" s="428">
        <f t="shared" si="58"/>
        <v>-5000</v>
      </c>
      <c r="S1501" s="239" t="str">
        <f>VLOOKUP(H1501,'Fund Utilization Report'!$A$4:$U$1800,13,FALSE)</f>
        <v>MOOE</v>
      </c>
      <c r="T1501" s="239" t="str">
        <f>VLOOKUP(H1501,'Fund Utilization Report'!$A$4:$U$1800,2,FALSE)</f>
        <v>GAA</v>
      </c>
      <c r="U1501" s="239" t="str">
        <f>VLOOKUP(H1501,'Fund Utilization Report'!$A$4:$U$1800,3,FALSE)</f>
        <v>FY2021, RA11518</v>
      </c>
      <c r="V1501" s="239" t="str">
        <f>VLOOKUP(H1501,'Fund Utilization Report'!$A$4:$U$1800,4,FALSE)</f>
        <v>GAS(GMS)</v>
      </c>
      <c r="W1501" s="239" t="str">
        <f>VLOOKUP(H1501,'Fund Utilization Report'!$A$4:$U$1800,5,FALSE)</f>
        <v>01101101</v>
      </c>
      <c r="X1501" s="239" t="str">
        <f>VLOOKUP(H1501,'Fund Utilization Report'!$A$4:$U$1800,6,FALSE)</f>
        <v>GOP</v>
      </c>
      <c r="Y1501" s="440" t="str">
        <f>VLOOKUP(H1501,'Fund Utilization Report'!$A$4:$U$1800,7,FALSE)</f>
        <v>MOOE</v>
      </c>
      <c r="Z1501" s="441">
        <f>VLOOKUP(H1501,'Fund Utilization Report'!$A$4:$U$1800,8,FALSE)</f>
        <v>5020000000</v>
      </c>
      <c r="AA1501" s="239" t="str">
        <f>VLOOKUP(H1501,'Fund Utilization Report'!$A$4:$U$1800,14,FALSE)</f>
        <v>100000100001000</v>
      </c>
      <c r="AB1501" s="242" t="str">
        <f>VLOOKUP(H1501,'Fund Utilization Report'!$A$4:$U$1800,15,FALSE)</f>
        <v>General Administration and Supervision - General Management and Supervision</v>
      </c>
      <c r="AC1501" s="51"/>
      <c r="AD1501" s="435"/>
      <c r="AE1501" s="51"/>
      <c r="AF1501" s="51"/>
      <c r="AG1501" s="442"/>
      <c r="AH1501" s="442"/>
      <c r="AI1501" s="443"/>
    </row>
    <row r="1502" spans="1:35" s="32" customFormat="1">
      <c r="A1502" s="434" t="s">
        <v>942</v>
      </c>
      <c r="B1502" s="457" t="s">
        <v>946</v>
      </c>
      <c r="C1502" s="233">
        <v>44280</v>
      </c>
      <c r="D1502" s="435" t="s">
        <v>1267</v>
      </c>
      <c r="E1502" s="436" t="s">
        <v>1550</v>
      </c>
      <c r="F1502" s="338">
        <v>0.42291666666666666</v>
      </c>
      <c r="G1502" s="338">
        <v>0.42569444444444443</v>
      </c>
      <c r="H1502" s="458" t="s">
        <v>961</v>
      </c>
      <c r="I1502" s="459">
        <v>799</v>
      </c>
      <c r="J1502" s="338" t="str">
        <f>IFERROR(VLOOKUP(I1502,'Chart of accounts'!A:H,2,FALSE),"")</f>
        <v>50211990 00</v>
      </c>
      <c r="K1502" s="338" t="str">
        <f>IFERROR(VLOOKUP(I1502,'Chart of accounts'!A:H,3,FALSE),"")</f>
        <v>Other Professional Services</v>
      </c>
      <c r="L1502" s="338" t="str">
        <f>IFERROR(VLOOKUP(I1502,'Chart of accounts'!A:H,4,FALSE),"")</f>
        <v>50211990 00 - Other Professional Services (799)</v>
      </c>
      <c r="M1502" s="467" t="s">
        <v>816</v>
      </c>
      <c r="N1502" s="463" t="s">
        <v>1075</v>
      </c>
      <c r="O1502" s="463" t="s">
        <v>1551</v>
      </c>
      <c r="P1502" s="463"/>
      <c r="Q1502" s="468">
        <f>11158+5534</f>
        <v>16692</v>
      </c>
      <c r="R1502" s="428">
        <f t="shared" si="58"/>
        <v>-5000</v>
      </c>
      <c r="S1502" s="239" t="str">
        <f>VLOOKUP(H1502,'Fund Utilization Report'!$A$4:$U$1800,13,FALSE)</f>
        <v>MOOE</v>
      </c>
      <c r="T1502" s="239" t="str">
        <f>VLOOKUP(H1502,'Fund Utilization Report'!$A$4:$U$1800,2,FALSE)</f>
        <v>GAA</v>
      </c>
      <c r="U1502" s="239" t="str">
        <f>VLOOKUP(H1502,'Fund Utilization Report'!$A$4:$U$1800,3,FALSE)</f>
        <v>FY2021, RA11518</v>
      </c>
      <c r="V1502" s="239" t="str">
        <f>VLOOKUP(H1502,'Fund Utilization Report'!$A$4:$U$1800,4,FALSE)</f>
        <v>GAS(GMS)</v>
      </c>
      <c r="W1502" s="239" t="str">
        <f>VLOOKUP(H1502,'Fund Utilization Report'!$A$4:$U$1800,5,FALSE)</f>
        <v>01101101</v>
      </c>
      <c r="X1502" s="239" t="str">
        <f>VLOOKUP(H1502,'Fund Utilization Report'!$A$4:$U$1800,6,FALSE)</f>
        <v>GOP</v>
      </c>
      <c r="Y1502" s="440" t="str">
        <f>VLOOKUP(H1502,'Fund Utilization Report'!$A$4:$U$1800,7,FALSE)</f>
        <v>MOOE</v>
      </c>
      <c r="Z1502" s="441">
        <f>VLOOKUP(H1502,'Fund Utilization Report'!$A$4:$U$1800,8,FALSE)</f>
        <v>5020000000</v>
      </c>
      <c r="AA1502" s="239" t="str">
        <f>VLOOKUP(H1502,'Fund Utilization Report'!$A$4:$U$1800,14,FALSE)</f>
        <v>100000100001000</v>
      </c>
      <c r="AB1502" s="242" t="str">
        <f>VLOOKUP(H1502,'Fund Utilization Report'!$A$4:$U$1800,15,FALSE)</f>
        <v>General Administration and Supervision - General Management and Supervision</v>
      </c>
      <c r="AC1502" s="51"/>
      <c r="AD1502" s="435"/>
      <c r="AE1502" s="51"/>
      <c r="AF1502" s="51"/>
      <c r="AG1502" s="442"/>
      <c r="AH1502" s="442"/>
      <c r="AI1502" s="443"/>
    </row>
    <row r="1503" spans="1:35" s="32" customFormat="1">
      <c r="A1503" s="434" t="s">
        <v>942</v>
      </c>
      <c r="B1503" s="457" t="s">
        <v>946</v>
      </c>
      <c r="C1503" s="233">
        <v>44280</v>
      </c>
      <c r="D1503" s="435" t="s">
        <v>1267</v>
      </c>
      <c r="E1503" s="436" t="s">
        <v>1550</v>
      </c>
      <c r="F1503" s="338">
        <v>0.42291666666666666</v>
      </c>
      <c r="G1503" s="338">
        <v>0.42569444444444443</v>
      </c>
      <c r="H1503" s="458" t="s">
        <v>971</v>
      </c>
      <c r="I1503" s="459">
        <v>799</v>
      </c>
      <c r="J1503" s="338" t="str">
        <f>IFERROR(VLOOKUP(I1503,'Chart of accounts'!A:H,2,FALSE),"")</f>
        <v>50211990 00</v>
      </c>
      <c r="K1503" s="338" t="str">
        <f>IFERROR(VLOOKUP(I1503,'Chart of accounts'!A:H,3,FALSE),"")</f>
        <v>Other Professional Services</v>
      </c>
      <c r="L1503" s="338" t="str">
        <f>IFERROR(VLOOKUP(I1503,'Chart of accounts'!A:H,4,FALSE),"")</f>
        <v>50211990 00 - Other Professional Services (799)</v>
      </c>
      <c r="M1503" s="467" t="s">
        <v>816</v>
      </c>
      <c r="N1503" s="463" t="s">
        <v>1075</v>
      </c>
      <c r="O1503" s="463" t="s">
        <v>1551</v>
      </c>
      <c r="P1503" s="463"/>
      <c r="Q1503" s="468">
        <v>16026.5</v>
      </c>
      <c r="R1503" s="428">
        <f t="shared" si="58"/>
        <v>-20000</v>
      </c>
      <c r="S1503" s="239" t="str">
        <f>VLOOKUP(H1503,'Fund Utilization Report'!$A$4:$U$1800,13,FALSE)</f>
        <v>MOOE</v>
      </c>
      <c r="T1503" s="239" t="str">
        <f>VLOOKUP(H1503,'Fund Utilization Report'!$A$4:$U$1800,2,FALSE)</f>
        <v>GAA</v>
      </c>
      <c r="U1503" s="239" t="str">
        <f>VLOOKUP(H1503,'Fund Utilization Report'!$A$4:$U$1800,3,FALSE)</f>
        <v>FY2021, RA11518</v>
      </c>
      <c r="V1503" s="239" t="str">
        <f>VLOOKUP(H1503,'Fund Utilization Report'!$A$4:$U$1800,4,FALSE)</f>
        <v>OO3</v>
      </c>
      <c r="W1503" s="239" t="str">
        <f>VLOOKUP(H1503,'Fund Utilization Report'!$A$4:$U$1800,5,FALSE)</f>
        <v>01101101</v>
      </c>
      <c r="X1503" s="239" t="str">
        <f>VLOOKUP(H1503,'Fund Utilization Report'!$A$4:$U$1800,6,FALSE)</f>
        <v>GOP</v>
      </c>
      <c r="Y1503" s="440" t="str">
        <f>VLOOKUP(H1503,'Fund Utilization Report'!$A$4:$U$1800,7,FALSE)</f>
        <v>MOOE</v>
      </c>
      <c r="Z1503" s="441">
        <f>VLOOKUP(H1503,'Fund Utilization Report'!$A$4:$U$1800,8,FALSE)</f>
        <v>5020000000</v>
      </c>
      <c r="AA1503" s="239" t="str">
        <f>VLOOKUP(H1503,'Fund Utilization Report'!$A$4:$U$1800,14,FALSE)</f>
        <v>330100100002000</v>
      </c>
      <c r="AB1503" s="242" t="str">
        <f>VLOOKUP(H1503,'Fund Utilization Report'!$A$4:$U$1800,15,FALSE)</f>
        <v>Implementation of the MSME Development Plan and other initiatives to promote the growth of Micro, Small and Medium Enterprises</v>
      </c>
      <c r="AC1503" s="51"/>
      <c r="AD1503" s="435"/>
      <c r="AE1503" s="51"/>
      <c r="AF1503" s="51"/>
      <c r="AG1503" s="442"/>
      <c r="AH1503" s="442"/>
      <c r="AI1503" s="443"/>
    </row>
    <row r="1504" spans="1:35" s="32" customFormat="1">
      <c r="A1504" s="434" t="s">
        <v>942</v>
      </c>
      <c r="B1504" s="457" t="s">
        <v>946</v>
      </c>
      <c r="C1504" s="233">
        <v>44280</v>
      </c>
      <c r="D1504" s="435" t="s">
        <v>1267</v>
      </c>
      <c r="E1504" s="436" t="s">
        <v>1552</v>
      </c>
      <c r="F1504" s="338">
        <v>0.42569444444444443</v>
      </c>
      <c r="G1504" s="338">
        <v>0.42777777777777781</v>
      </c>
      <c r="H1504" s="338" t="s">
        <v>979</v>
      </c>
      <c r="I1504" s="353">
        <v>773</v>
      </c>
      <c r="J1504" s="338" t="str">
        <f>IFERROR(VLOOKUP(I1504,'Chart of accounts'!A:H,2,FALSE),"")</f>
        <v>50205020 01</v>
      </c>
      <c r="K1504" s="338" t="str">
        <f>IFERROR(VLOOKUP(I1504,'Chart of accounts'!A:H,3,FALSE),"")</f>
        <v xml:space="preserve">Telephone Expenses - Mobile </v>
      </c>
      <c r="L1504" s="338" t="str">
        <f>IFERROR(VLOOKUP(I1504,'Chart of accounts'!A:H,4,FALSE),"")</f>
        <v>50205020 01 - Telephone Expenses - Mobile  (773)</v>
      </c>
      <c r="M1504" s="361" t="s">
        <v>815</v>
      </c>
      <c r="N1504" s="355" t="s">
        <v>1102</v>
      </c>
      <c r="O1504" s="355" t="s">
        <v>1553</v>
      </c>
      <c r="P1504" s="355"/>
      <c r="Q1504" s="363">
        <v>1200</v>
      </c>
      <c r="R1504" s="428">
        <f t="shared" si="57"/>
        <v>-1200</v>
      </c>
      <c r="S1504" s="428" t="str">
        <f>VLOOKUP(H1504,'Fund Utilization Report'!$A$4:$U$1800,13,FALSE)</f>
        <v>MOOE</v>
      </c>
      <c r="T1504" s="428" t="str">
        <f>VLOOKUP(H1504,'Fund Utilization Report'!$A$4:$U$1800,2,FALSE)</f>
        <v>GAA</v>
      </c>
      <c r="U1504" s="428" t="str">
        <f>VLOOKUP(H1504,'Fund Utilization Report'!$A$4:$U$1800,3,FALSE)</f>
        <v>FY2021, RA11518</v>
      </c>
      <c r="V1504" s="428" t="str">
        <f>VLOOKUP(H1504,'Fund Utilization Report'!$A$4:$U$1800,4,FALSE)</f>
        <v>OO 4.2</v>
      </c>
      <c r="W1504" s="428" t="str">
        <f>VLOOKUP(H1504,'Fund Utilization Report'!$A$4:$U$1800,5,FALSE)</f>
        <v>01101101</v>
      </c>
      <c r="X1504" s="428" t="str">
        <f>VLOOKUP(H1504,'Fund Utilization Report'!$A$4:$U$1800,6,FALSE)</f>
        <v>GOP</v>
      </c>
      <c r="Y1504" s="320" t="str">
        <f>VLOOKUP(H1504,'Fund Utilization Report'!$A$4:$U$1800,7,FALSE)</f>
        <v>MOOE</v>
      </c>
      <c r="Z1504" s="425">
        <f>VLOOKUP(H1504,'Fund Utilization Report'!$A$4:$U$1800,8,FALSE)</f>
        <v>5020000000</v>
      </c>
      <c r="AA1504" s="428" t="str">
        <f>VLOOKUP(H1504,'Fund Utilization Report'!$A$4:$U$1800,14,FALSE)</f>
        <v>340200100002000</v>
      </c>
      <c r="AB1504" s="349" t="str">
        <f>VLOOKUP(H1504,'Fund Utilization Report'!$A$4:$U$1800,15,FALSE)</f>
        <v>Implementation of Plans, projects and activities on consumer awareness, education, and advocacy</v>
      </c>
      <c r="AC1504" s="39"/>
      <c r="AD1504" s="34"/>
      <c r="AE1504" s="39"/>
      <c r="AF1504" s="51"/>
      <c r="AG1504" s="442"/>
      <c r="AH1504" s="442"/>
      <c r="AI1504" s="443"/>
    </row>
    <row r="1505" spans="1:35" s="32" customFormat="1" ht="29.25" customHeight="1">
      <c r="A1505" s="434" t="s">
        <v>942</v>
      </c>
      <c r="B1505" s="457" t="s">
        <v>946</v>
      </c>
      <c r="C1505" s="233">
        <v>44280</v>
      </c>
      <c r="D1505" s="435" t="s">
        <v>1267</v>
      </c>
      <c r="E1505" s="436" t="s">
        <v>1554</v>
      </c>
      <c r="F1505" s="338">
        <v>0.42777777777777781</v>
      </c>
      <c r="G1505" s="338">
        <v>0.43402777777777773</v>
      </c>
      <c r="H1505" s="458" t="s">
        <v>971</v>
      </c>
      <c r="I1505" s="353">
        <v>751</v>
      </c>
      <c r="J1505" s="338" t="str">
        <f>IFERROR(VLOOKUP(I1505,'Chart of accounts'!A:H,2,FALSE),"")</f>
        <v>50201010 00</v>
      </c>
      <c r="K1505" s="338" t="str">
        <f>IFERROR(VLOOKUP(I1505,'Chart of accounts'!A:H,3,FALSE),"")</f>
        <v>Traveling Expenses - Local</v>
      </c>
      <c r="L1505" s="338" t="str">
        <f>IFERROR(VLOOKUP(I1505,'Chart of accounts'!A:H,4,FALSE),"")</f>
        <v>50201010 00 - Traveling Expenses - Local (751)</v>
      </c>
      <c r="M1505" s="361" t="s">
        <v>1555</v>
      </c>
      <c r="N1505" s="355" t="s">
        <v>818</v>
      </c>
      <c r="O1505" s="355" t="s">
        <v>1556</v>
      </c>
      <c r="P1505" s="355"/>
      <c r="Q1505" s="363">
        <v>180000</v>
      </c>
      <c r="R1505" s="428">
        <f t="shared" si="57"/>
        <v>-180000</v>
      </c>
      <c r="S1505" s="428" t="str">
        <f>VLOOKUP(H1505,'Fund Utilization Report'!$A$4:$U$1800,13,FALSE)</f>
        <v>MOOE</v>
      </c>
      <c r="T1505" s="428" t="str">
        <f>VLOOKUP(H1505,'Fund Utilization Report'!$A$4:$U$1800,2,FALSE)</f>
        <v>GAA</v>
      </c>
      <c r="U1505" s="428" t="str">
        <f>VLOOKUP(H1505,'Fund Utilization Report'!$A$4:$U$1800,3,FALSE)</f>
        <v>FY2021, RA11518</v>
      </c>
      <c r="V1505" s="428" t="str">
        <f>VLOOKUP(H1505,'Fund Utilization Report'!$A$4:$U$1800,4,FALSE)</f>
        <v>OO3</v>
      </c>
      <c r="W1505" s="428" t="str">
        <f>VLOOKUP(H1505,'Fund Utilization Report'!$A$4:$U$1800,5,FALSE)</f>
        <v>01101101</v>
      </c>
      <c r="X1505" s="428" t="str">
        <f>VLOOKUP(H1505,'Fund Utilization Report'!$A$4:$U$1800,6,FALSE)</f>
        <v>GOP</v>
      </c>
      <c r="Y1505" s="320" t="str">
        <f>VLOOKUP(H1505,'Fund Utilization Report'!$A$4:$U$1800,7,FALSE)</f>
        <v>MOOE</v>
      </c>
      <c r="Z1505" s="425">
        <f>VLOOKUP(H1505,'Fund Utilization Report'!$A$4:$U$1800,8,FALSE)</f>
        <v>5020000000</v>
      </c>
      <c r="AA1505" s="428" t="str">
        <f>VLOOKUP(H1505,'Fund Utilization Report'!$A$4:$U$1800,14,FALSE)</f>
        <v>330100100002000</v>
      </c>
      <c r="AB1505" s="349" t="str">
        <f>VLOOKUP(H1505,'Fund Utilization Report'!$A$4:$U$1800,15,FALSE)</f>
        <v>Implementation of the MSME Development Plan and other initiatives to promote the growth of Micro, Small and Medium Enterprises</v>
      </c>
      <c r="AC1505" s="39"/>
      <c r="AD1505" s="34"/>
      <c r="AE1505" s="39"/>
      <c r="AF1505" s="51"/>
      <c r="AG1505" s="442"/>
      <c r="AH1505" s="442"/>
      <c r="AI1505" s="443"/>
    </row>
    <row r="1506" spans="1:35" s="32" customFormat="1" ht="29.25" customHeight="1">
      <c r="A1506" s="434" t="s">
        <v>942</v>
      </c>
      <c r="B1506" s="457" t="s">
        <v>946</v>
      </c>
      <c r="C1506" s="233">
        <v>44280</v>
      </c>
      <c r="D1506" s="435" t="s">
        <v>1267</v>
      </c>
      <c r="E1506" s="436" t="s">
        <v>1554</v>
      </c>
      <c r="F1506" s="338">
        <v>0.42777777777777781</v>
      </c>
      <c r="G1506" s="338">
        <v>0.43402777777777773</v>
      </c>
      <c r="H1506" s="458" t="s">
        <v>971</v>
      </c>
      <c r="I1506" s="353">
        <v>755</v>
      </c>
      <c r="J1506" s="338" t="str">
        <f>IFERROR(VLOOKUP(I1506,'Chart of accounts'!A:H,2,FALSE),"")</f>
        <v>50203010 00</v>
      </c>
      <c r="K1506" s="338" t="str">
        <f>IFERROR(VLOOKUP(I1506,'Chart of accounts'!A:H,3,FALSE),"")</f>
        <v>Office Supplies Expenses</v>
      </c>
      <c r="L1506" s="338" t="str">
        <f>IFERROR(VLOOKUP(I1506,'Chart of accounts'!A:H,4,FALSE),"")</f>
        <v>50203010 00 - Office Supplies Expenses (755)</v>
      </c>
      <c r="M1506" s="361" t="s">
        <v>1555</v>
      </c>
      <c r="N1506" s="355" t="s">
        <v>818</v>
      </c>
      <c r="O1506" s="355" t="s">
        <v>1556</v>
      </c>
      <c r="P1506" s="355"/>
      <c r="Q1506" s="363">
        <v>20000</v>
      </c>
      <c r="R1506" s="428">
        <f t="shared" si="57"/>
        <v>-20000</v>
      </c>
      <c r="S1506" s="428" t="str">
        <f>VLOOKUP(H1506,'Fund Utilization Report'!$A$4:$U$1800,13,FALSE)</f>
        <v>MOOE</v>
      </c>
      <c r="T1506" s="428" t="str">
        <f>VLOOKUP(H1506,'Fund Utilization Report'!$A$4:$U$1800,2,FALSE)</f>
        <v>GAA</v>
      </c>
      <c r="U1506" s="428" t="str">
        <f>VLOOKUP(H1506,'Fund Utilization Report'!$A$4:$U$1800,3,FALSE)</f>
        <v>FY2021, RA11518</v>
      </c>
      <c r="V1506" s="428" t="str">
        <f>VLOOKUP(H1506,'Fund Utilization Report'!$A$4:$U$1800,4,FALSE)</f>
        <v>OO3</v>
      </c>
      <c r="W1506" s="428" t="str">
        <f>VLOOKUP(H1506,'Fund Utilization Report'!$A$4:$U$1800,5,FALSE)</f>
        <v>01101101</v>
      </c>
      <c r="X1506" s="428" t="str">
        <f>VLOOKUP(H1506,'Fund Utilization Report'!$A$4:$U$1800,6,FALSE)</f>
        <v>GOP</v>
      </c>
      <c r="Y1506" s="320" t="str">
        <f>VLOOKUP(H1506,'Fund Utilization Report'!$A$4:$U$1800,7,FALSE)</f>
        <v>MOOE</v>
      </c>
      <c r="Z1506" s="425">
        <f>VLOOKUP(H1506,'Fund Utilization Report'!$A$4:$U$1800,8,FALSE)</f>
        <v>5020000000</v>
      </c>
      <c r="AA1506" s="428" t="str">
        <f>VLOOKUP(H1506,'Fund Utilization Report'!$A$4:$U$1800,14,FALSE)</f>
        <v>330100100002000</v>
      </c>
      <c r="AB1506" s="349" t="str">
        <f>VLOOKUP(H1506,'Fund Utilization Report'!$A$4:$U$1800,15,FALSE)</f>
        <v>Implementation of the MSME Development Plan and other initiatives to promote the growth of Micro, Small and Medium Enterprises</v>
      </c>
      <c r="AC1506" s="39"/>
      <c r="AD1506" s="34"/>
      <c r="AE1506" s="39"/>
      <c r="AF1506" s="51"/>
      <c r="AG1506" s="442"/>
      <c r="AH1506" s="442"/>
      <c r="AI1506" s="443"/>
    </row>
    <row r="1507" spans="1:35" s="32" customFormat="1" ht="29.25" customHeight="1">
      <c r="A1507" s="434" t="s">
        <v>942</v>
      </c>
      <c r="B1507" s="457" t="s">
        <v>946</v>
      </c>
      <c r="C1507" s="233">
        <v>44280</v>
      </c>
      <c r="D1507" s="435" t="s">
        <v>1267</v>
      </c>
      <c r="E1507" s="436" t="s">
        <v>1554</v>
      </c>
      <c r="F1507" s="338">
        <v>0.42777777777777781</v>
      </c>
      <c r="G1507" s="338">
        <v>0.43402777777777773</v>
      </c>
      <c r="H1507" s="458" t="s">
        <v>971</v>
      </c>
      <c r="I1507" s="353">
        <v>771</v>
      </c>
      <c r="J1507" s="338" t="str">
        <f>IFERROR(VLOOKUP(I1507,'Chart of accounts'!A:H,2,FALSE),"")</f>
        <v>50205010 00</v>
      </c>
      <c r="K1507" s="338" t="str">
        <f>IFERROR(VLOOKUP(I1507,'Chart of accounts'!A:H,3,FALSE),"")</f>
        <v>Postage and Courier Services</v>
      </c>
      <c r="L1507" s="338" t="str">
        <f>IFERROR(VLOOKUP(I1507,'Chart of accounts'!A:H,4,FALSE),"")</f>
        <v>50205010 00 - Postage and Courier Services (771)</v>
      </c>
      <c r="M1507" s="361" t="s">
        <v>1555</v>
      </c>
      <c r="N1507" s="355" t="s">
        <v>818</v>
      </c>
      <c r="O1507" s="355" t="s">
        <v>1556</v>
      </c>
      <c r="P1507" s="355"/>
      <c r="Q1507" s="363">
        <v>6000</v>
      </c>
      <c r="R1507" s="428">
        <f t="shared" si="57"/>
        <v>-6000</v>
      </c>
      <c r="S1507" s="428" t="str">
        <f>VLOOKUP(H1507,'Fund Utilization Report'!$A$4:$U$1800,13,FALSE)</f>
        <v>MOOE</v>
      </c>
      <c r="T1507" s="428" t="str">
        <f>VLOOKUP(H1507,'Fund Utilization Report'!$A$4:$U$1800,2,FALSE)</f>
        <v>GAA</v>
      </c>
      <c r="U1507" s="428" t="str">
        <f>VLOOKUP(H1507,'Fund Utilization Report'!$A$4:$U$1800,3,FALSE)</f>
        <v>FY2021, RA11518</v>
      </c>
      <c r="V1507" s="428" t="str">
        <f>VLOOKUP(H1507,'Fund Utilization Report'!$A$4:$U$1800,4,FALSE)</f>
        <v>OO3</v>
      </c>
      <c r="W1507" s="428" t="str">
        <f>VLOOKUP(H1507,'Fund Utilization Report'!$A$4:$U$1800,5,FALSE)</f>
        <v>01101101</v>
      </c>
      <c r="X1507" s="428" t="str">
        <f>VLOOKUP(H1507,'Fund Utilization Report'!$A$4:$U$1800,6,FALSE)</f>
        <v>GOP</v>
      </c>
      <c r="Y1507" s="320" t="str">
        <f>VLOOKUP(H1507,'Fund Utilization Report'!$A$4:$U$1800,7,FALSE)</f>
        <v>MOOE</v>
      </c>
      <c r="Z1507" s="425">
        <f>VLOOKUP(H1507,'Fund Utilization Report'!$A$4:$U$1800,8,FALSE)</f>
        <v>5020000000</v>
      </c>
      <c r="AA1507" s="428" t="str">
        <f>VLOOKUP(H1507,'Fund Utilization Report'!$A$4:$U$1800,14,FALSE)</f>
        <v>330100100002000</v>
      </c>
      <c r="AB1507" s="349" t="str">
        <f>VLOOKUP(H1507,'Fund Utilization Report'!$A$4:$U$1800,15,FALSE)</f>
        <v>Implementation of the MSME Development Plan and other initiatives to promote the growth of Micro, Small and Medium Enterprises</v>
      </c>
      <c r="AC1507" s="39"/>
      <c r="AD1507" s="34"/>
      <c r="AE1507" s="39"/>
      <c r="AF1507" s="51"/>
      <c r="AG1507" s="442"/>
      <c r="AH1507" s="442"/>
      <c r="AI1507" s="443"/>
    </row>
    <row r="1508" spans="1:35" s="32" customFormat="1" ht="29.25" customHeight="1">
      <c r="A1508" s="434" t="s">
        <v>942</v>
      </c>
      <c r="B1508" s="457" t="s">
        <v>946</v>
      </c>
      <c r="C1508" s="233">
        <v>44280</v>
      </c>
      <c r="D1508" s="435" t="s">
        <v>1267</v>
      </c>
      <c r="E1508" s="436" t="s">
        <v>1554</v>
      </c>
      <c r="F1508" s="338">
        <v>0.42777777777777781</v>
      </c>
      <c r="G1508" s="338">
        <v>0.43402777777777773</v>
      </c>
      <c r="H1508" s="458" t="s">
        <v>971</v>
      </c>
      <c r="I1508" s="353">
        <v>773</v>
      </c>
      <c r="J1508" s="338" t="str">
        <f>IFERROR(VLOOKUP(I1508,'Chart of accounts'!A:H,2,FALSE),"")</f>
        <v>50205020 01</v>
      </c>
      <c r="K1508" s="338" t="str">
        <f>IFERROR(VLOOKUP(I1508,'Chart of accounts'!A:H,3,FALSE),"")</f>
        <v xml:space="preserve">Telephone Expenses - Mobile </v>
      </c>
      <c r="L1508" s="338" t="str">
        <f>IFERROR(VLOOKUP(I1508,'Chart of accounts'!A:H,4,FALSE),"")</f>
        <v>50205020 01 - Telephone Expenses - Mobile  (773)</v>
      </c>
      <c r="M1508" s="361" t="s">
        <v>1555</v>
      </c>
      <c r="N1508" s="355" t="s">
        <v>818</v>
      </c>
      <c r="O1508" s="355" t="s">
        <v>1556</v>
      </c>
      <c r="P1508" s="355"/>
      <c r="Q1508" s="363">
        <v>10000</v>
      </c>
      <c r="R1508" s="428">
        <f t="shared" ref="R1508:R1520" si="59">P1508-Q1508</f>
        <v>-10000</v>
      </c>
      <c r="S1508" s="428" t="str">
        <f>VLOOKUP(H1508,'Fund Utilization Report'!$A$4:$U$1800,13,FALSE)</f>
        <v>MOOE</v>
      </c>
      <c r="T1508" s="428" t="str">
        <f>VLOOKUP(H1508,'Fund Utilization Report'!$A$4:$U$1800,2,FALSE)</f>
        <v>GAA</v>
      </c>
      <c r="U1508" s="428" t="str">
        <f>VLOOKUP(H1508,'Fund Utilization Report'!$A$4:$U$1800,3,FALSE)</f>
        <v>FY2021, RA11518</v>
      </c>
      <c r="V1508" s="428" t="str">
        <f>VLOOKUP(H1508,'Fund Utilization Report'!$A$4:$U$1800,4,FALSE)</f>
        <v>OO3</v>
      </c>
      <c r="W1508" s="428" t="str">
        <f>VLOOKUP(H1508,'Fund Utilization Report'!$A$4:$U$1800,5,FALSE)</f>
        <v>01101101</v>
      </c>
      <c r="X1508" s="428" t="str">
        <f>VLOOKUP(H1508,'Fund Utilization Report'!$A$4:$U$1800,6,FALSE)</f>
        <v>GOP</v>
      </c>
      <c r="Y1508" s="320" t="str">
        <f>VLOOKUP(H1508,'Fund Utilization Report'!$A$4:$U$1800,7,FALSE)</f>
        <v>MOOE</v>
      </c>
      <c r="Z1508" s="425">
        <f>VLOOKUP(H1508,'Fund Utilization Report'!$A$4:$U$1800,8,FALSE)</f>
        <v>5020000000</v>
      </c>
      <c r="AA1508" s="428" t="str">
        <f>VLOOKUP(H1508,'Fund Utilization Report'!$A$4:$U$1800,14,FALSE)</f>
        <v>330100100002000</v>
      </c>
      <c r="AB1508" s="349" t="str">
        <f>VLOOKUP(H1508,'Fund Utilization Report'!$A$4:$U$1800,15,FALSE)</f>
        <v>Implementation of the MSME Development Plan and other initiatives to promote the growth of Micro, Small and Medium Enterprises</v>
      </c>
      <c r="AC1508" s="39"/>
      <c r="AD1508" s="34"/>
      <c r="AE1508" s="39"/>
      <c r="AF1508" s="51"/>
      <c r="AG1508" s="442"/>
      <c r="AH1508" s="442"/>
      <c r="AI1508" s="443"/>
    </row>
    <row r="1509" spans="1:35" s="32" customFormat="1" ht="29.25" customHeight="1">
      <c r="A1509" s="434" t="s">
        <v>942</v>
      </c>
      <c r="B1509" s="457" t="s">
        <v>946</v>
      </c>
      <c r="C1509" s="233">
        <v>44280</v>
      </c>
      <c r="D1509" s="435" t="s">
        <v>1267</v>
      </c>
      <c r="E1509" s="436" t="s">
        <v>1554</v>
      </c>
      <c r="F1509" s="338">
        <v>0.42777777777777781</v>
      </c>
      <c r="G1509" s="338">
        <v>0.43402777777777773</v>
      </c>
      <c r="H1509" s="458" t="s">
        <v>971</v>
      </c>
      <c r="I1509" s="353">
        <v>799</v>
      </c>
      <c r="J1509" s="338" t="str">
        <f>IFERROR(VLOOKUP(I1509,'Chart of accounts'!A:H,2,FALSE),"")</f>
        <v>50211990 00</v>
      </c>
      <c r="K1509" s="338" t="str">
        <f>IFERROR(VLOOKUP(I1509,'Chart of accounts'!A:H,3,FALSE),"")</f>
        <v>Other Professional Services</v>
      </c>
      <c r="L1509" s="338" t="str">
        <f>IFERROR(VLOOKUP(I1509,'Chart of accounts'!A:H,4,FALSE),"")</f>
        <v>50211990 00 - Other Professional Services (799)</v>
      </c>
      <c r="M1509" s="361" t="s">
        <v>1555</v>
      </c>
      <c r="N1509" s="355" t="s">
        <v>818</v>
      </c>
      <c r="O1509" s="355" t="s">
        <v>1556</v>
      </c>
      <c r="P1509" s="355"/>
      <c r="Q1509" s="363">
        <v>120000</v>
      </c>
      <c r="R1509" s="428">
        <f t="shared" si="59"/>
        <v>-120000</v>
      </c>
      <c r="S1509" s="428" t="str">
        <f>VLOOKUP(H1509,'Fund Utilization Report'!$A$4:$U$1800,13,FALSE)</f>
        <v>MOOE</v>
      </c>
      <c r="T1509" s="428" t="str">
        <f>VLOOKUP(H1509,'Fund Utilization Report'!$A$4:$U$1800,2,FALSE)</f>
        <v>GAA</v>
      </c>
      <c r="U1509" s="428" t="str">
        <f>VLOOKUP(H1509,'Fund Utilization Report'!$A$4:$U$1800,3,FALSE)</f>
        <v>FY2021, RA11518</v>
      </c>
      <c r="V1509" s="428" t="str">
        <f>VLOOKUP(H1509,'Fund Utilization Report'!$A$4:$U$1800,4,FALSE)</f>
        <v>OO3</v>
      </c>
      <c r="W1509" s="428" t="str">
        <f>VLOOKUP(H1509,'Fund Utilization Report'!$A$4:$U$1800,5,FALSE)</f>
        <v>01101101</v>
      </c>
      <c r="X1509" s="428" t="str">
        <f>VLOOKUP(H1509,'Fund Utilization Report'!$A$4:$U$1800,6,FALSE)</f>
        <v>GOP</v>
      </c>
      <c r="Y1509" s="320" t="str">
        <f>VLOOKUP(H1509,'Fund Utilization Report'!$A$4:$U$1800,7,FALSE)</f>
        <v>MOOE</v>
      </c>
      <c r="Z1509" s="425">
        <f>VLOOKUP(H1509,'Fund Utilization Report'!$A$4:$U$1800,8,FALSE)</f>
        <v>5020000000</v>
      </c>
      <c r="AA1509" s="428" t="str">
        <f>VLOOKUP(H1509,'Fund Utilization Report'!$A$4:$U$1800,14,FALSE)</f>
        <v>330100100002000</v>
      </c>
      <c r="AB1509" s="349" t="str">
        <f>VLOOKUP(H1509,'Fund Utilization Report'!$A$4:$U$1800,15,FALSE)</f>
        <v>Implementation of the MSME Development Plan and other initiatives to promote the growth of Micro, Small and Medium Enterprises</v>
      </c>
      <c r="AC1509" s="39"/>
      <c r="AD1509" s="34"/>
      <c r="AE1509" s="39"/>
      <c r="AF1509" s="51"/>
      <c r="AG1509" s="442"/>
      <c r="AH1509" s="442"/>
      <c r="AI1509" s="443"/>
    </row>
    <row r="1510" spans="1:35" s="32" customFormat="1" ht="29.25" customHeight="1">
      <c r="A1510" s="434" t="s">
        <v>942</v>
      </c>
      <c r="B1510" s="457" t="s">
        <v>946</v>
      </c>
      <c r="C1510" s="233">
        <v>44280</v>
      </c>
      <c r="D1510" s="435" t="s">
        <v>1267</v>
      </c>
      <c r="E1510" s="436" t="s">
        <v>1554</v>
      </c>
      <c r="F1510" s="338">
        <v>0.42777777777777781</v>
      </c>
      <c r="G1510" s="338">
        <v>0.43402777777777773</v>
      </c>
      <c r="H1510" s="458" t="s">
        <v>971</v>
      </c>
      <c r="I1510" s="353">
        <v>783</v>
      </c>
      <c r="J1510" s="338" t="str">
        <f>IFERROR(VLOOKUP(I1510,'Chart of accounts'!A:H,2,FALSE),"")</f>
        <v>50299030 00</v>
      </c>
      <c r="K1510" s="338" t="str">
        <f>IFERROR(VLOOKUP(I1510,'Chart of accounts'!A:H,3,FALSE),"")</f>
        <v>Representation Expenses</v>
      </c>
      <c r="L1510" s="338" t="str">
        <f>IFERROR(VLOOKUP(I1510,'Chart of accounts'!A:H,4,FALSE),"")</f>
        <v>50299030 00 - Representation Expenses (783)</v>
      </c>
      <c r="M1510" s="361" t="s">
        <v>1555</v>
      </c>
      <c r="N1510" s="355" t="s">
        <v>818</v>
      </c>
      <c r="O1510" s="355" t="s">
        <v>1556</v>
      </c>
      <c r="P1510" s="355"/>
      <c r="Q1510" s="363">
        <v>140000</v>
      </c>
      <c r="R1510" s="428">
        <f t="shared" si="59"/>
        <v>-140000</v>
      </c>
      <c r="S1510" s="428" t="str">
        <f>VLOOKUP(H1510,'Fund Utilization Report'!$A$4:$U$1800,13,FALSE)</f>
        <v>MOOE</v>
      </c>
      <c r="T1510" s="428" t="str">
        <f>VLOOKUP(H1510,'Fund Utilization Report'!$A$4:$U$1800,2,FALSE)</f>
        <v>GAA</v>
      </c>
      <c r="U1510" s="428" t="str">
        <f>VLOOKUP(H1510,'Fund Utilization Report'!$A$4:$U$1800,3,FALSE)</f>
        <v>FY2021, RA11518</v>
      </c>
      <c r="V1510" s="428" t="str">
        <f>VLOOKUP(H1510,'Fund Utilization Report'!$A$4:$U$1800,4,FALSE)</f>
        <v>OO3</v>
      </c>
      <c r="W1510" s="428" t="str">
        <f>VLOOKUP(H1510,'Fund Utilization Report'!$A$4:$U$1800,5,FALSE)</f>
        <v>01101101</v>
      </c>
      <c r="X1510" s="428" t="str">
        <f>VLOOKUP(H1510,'Fund Utilization Report'!$A$4:$U$1800,6,FALSE)</f>
        <v>GOP</v>
      </c>
      <c r="Y1510" s="320" t="str">
        <f>VLOOKUP(H1510,'Fund Utilization Report'!$A$4:$U$1800,7,FALSE)</f>
        <v>MOOE</v>
      </c>
      <c r="Z1510" s="425">
        <f>VLOOKUP(H1510,'Fund Utilization Report'!$A$4:$U$1800,8,FALSE)</f>
        <v>5020000000</v>
      </c>
      <c r="AA1510" s="428" t="str">
        <f>VLOOKUP(H1510,'Fund Utilization Report'!$A$4:$U$1800,14,FALSE)</f>
        <v>330100100002000</v>
      </c>
      <c r="AB1510" s="349" t="str">
        <f>VLOOKUP(H1510,'Fund Utilization Report'!$A$4:$U$1800,15,FALSE)</f>
        <v>Implementation of the MSME Development Plan and other initiatives to promote the growth of Micro, Small and Medium Enterprises</v>
      </c>
      <c r="AC1510" s="39"/>
      <c r="AD1510" s="34"/>
      <c r="AE1510" s="39"/>
      <c r="AF1510" s="51"/>
      <c r="AG1510" s="442"/>
      <c r="AH1510" s="442"/>
      <c r="AI1510" s="443"/>
    </row>
    <row r="1511" spans="1:35" s="32" customFormat="1" ht="29.25" customHeight="1">
      <c r="A1511" s="434" t="s">
        <v>942</v>
      </c>
      <c r="B1511" s="457" t="s">
        <v>946</v>
      </c>
      <c r="C1511" s="233">
        <v>44280</v>
      </c>
      <c r="D1511" s="435" t="s">
        <v>1267</v>
      </c>
      <c r="E1511" s="436" t="s">
        <v>1554</v>
      </c>
      <c r="F1511" s="338">
        <v>0.42777777777777781</v>
      </c>
      <c r="G1511" s="338">
        <v>0.43402777777777773</v>
      </c>
      <c r="H1511" s="458" t="s">
        <v>971</v>
      </c>
      <c r="I1511" s="353">
        <v>795</v>
      </c>
      <c r="J1511" s="338" t="str">
        <f>IFERROR(VLOOKUP(I1511,'Chart of accounts'!A:H,2,FALSE),"")</f>
        <v>50212990 00</v>
      </c>
      <c r="K1511" s="338" t="str">
        <f>IFERROR(VLOOKUP(I1511,'Chart of accounts'!A:H,3,FALSE),"")</f>
        <v>Other General Services</v>
      </c>
      <c r="L1511" s="338" t="str">
        <f>IFERROR(VLOOKUP(I1511,'Chart of accounts'!A:H,4,FALSE),"")</f>
        <v>50212990 00 - Other General Services (795)</v>
      </c>
      <c r="M1511" s="361" t="s">
        <v>1555</v>
      </c>
      <c r="N1511" s="355" t="s">
        <v>818</v>
      </c>
      <c r="O1511" s="355" t="s">
        <v>1556</v>
      </c>
      <c r="P1511" s="355"/>
      <c r="Q1511" s="363">
        <v>40000</v>
      </c>
      <c r="R1511" s="428">
        <f t="shared" si="59"/>
        <v>-40000</v>
      </c>
      <c r="S1511" s="428" t="str">
        <f>VLOOKUP(H1511,'Fund Utilization Report'!$A$4:$U$1800,13,FALSE)</f>
        <v>MOOE</v>
      </c>
      <c r="T1511" s="428" t="str">
        <f>VLOOKUP(H1511,'Fund Utilization Report'!$A$4:$U$1800,2,FALSE)</f>
        <v>GAA</v>
      </c>
      <c r="U1511" s="428" t="str">
        <f>VLOOKUP(H1511,'Fund Utilization Report'!$A$4:$U$1800,3,FALSE)</f>
        <v>FY2021, RA11518</v>
      </c>
      <c r="V1511" s="428" t="str">
        <f>VLOOKUP(H1511,'Fund Utilization Report'!$A$4:$U$1800,4,FALSE)</f>
        <v>OO3</v>
      </c>
      <c r="W1511" s="428" t="str">
        <f>VLOOKUP(H1511,'Fund Utilization Report'!$A$4:$U$1800,5,FALSE)</f>
        <v>01101101</v>
      </c>
      <c r="X1511" s="428" t="str">
        <f>VLOOKUP(H1511,'Fund Utilization Report'!$A$4:$U$1800,6,FALSE)</f>
        <v>GOP</v>
      </c>
      <c r="Y1511" s="320" t="str">
        <f>VLOOKUP(H1511,'Fund Utilization Report'!$A$4:$U$1800,7,FALSE)</f>
        <v>MOOE</v>
      </c>
      <c r="Z1511" s="425">
        <f>VLOOKUP(H1511,'Fund Utilization Report'!$A$4:$U$1800,8,FALSE)</f>
        <v>5020000000</v>
      </c>
      <c r="AA1511" s="428" t="str">
        <f>VLOOKUP(H1511,'Fund Utilization Report'!$A$4:$U$1800,14,FALSE)</f>
        <v>330100100002000</v>
      </c>
      <c r="AB1511" s="349" t="str">
        <f>VLOOKUP(H1511,'Fund Utilization Report'!$A$4:$U$1800,15,FALSE)</f>
        <v>Implementation of the MSME Development Plan and other initiatives to promote the growth of Micro, Small and Medium Enterprises</v>
      </c>
      <c r="AC1511" s="39"/>
      <c r="AD1511" s="34"/>
      <c r="AE1511" s="39"/>
      <c r="AF1511" s="51"/>
      <c r="AG1511" s="442"/>
      <c r="AH1511" s="442"/>
      <c r="AI1511" s="443"/>
    </row>
    <row r="1512" spans="1:35" s="32" customFormat="1" ht="29.25" customHeight="1">
      <c r="A1512" s="434" t="s">
        <v>942</v>
      </c>
      <c r="B1512" s="457" t="s">
        <v>946</v>
      </c>
      <c r="C1512" s="233">
        <v>44280</v>
      </c>
      <c r="D1512" s="435" t="s">
        <v>1267</v>
      </c>
      <c r="E1512" s="436" t="s">
        <v>1554</v>
      </c>
      <c r="F1512" s="338">
        <v>0.42777777777777781</v>
      </c>
      <c r="G1512" s="338">
        <v>0.43402777777777773</v>
      </c>
      <c r="H1512" s="458" t="s">
        <v>971</v>
      </c>
      <c r="I1512" s="353">
        <v>796</v>
      </c>
      <c r="J1512" s="338" t="str">
        <f>IFERROR(VLOOKUP(I1512,'Chart of accounts'!A:H,2,FALSE),"")</f>
        <v>50212020 00</v>
      </c>
      <c r="K1512" s="338" t="str">
        <f>IFERROR(VLOOKUP(I1512,'Chart of accounts'!A:H,3,FALSE),"")</f>
        <v>Janitorial Services</v>
      </c>
      <c r="L1512" s="338" t="str">
        <f>IFERROR(VLOOKUP(I1512,'Chart of accounts'!A:H,4,FALSE),"")</f>
        <v>50212020 00 - Janitorial Services (796)</v>
      </c>
      <c r="M1512" s="361" t="s">
        <v>1555</v>
      </c>
      <c r="N1512" s="355" t="s">
        <v>818</v>
      </c>
      <c r="O1512" s="355" t="s">
        <v>1556</v>
      </c>
      <c r="P1512" s="355"/>
      <c r="Q1512" s="363">
        <v>34000</v>
      </c>
      <c r="R1512" s="428">
        <f t="shared" si="59"/>
        <v>-34000</v>
      </c>
      <c r="S1512" s="428" t="str">
        <f>VLOOKUP(H1512,'Fund Utilization Report'!$A$4:$U$1800,13,FALSE)</f>
        <v>MOOE</v>
      </c>
      <c r="T1512" s="428" t="str">
        <f>VLOOKUP(H1512,'Fund Utilization Report'!$A$4:$U$1800,2,FALSE)</f>
        <v>GAA</v>
      </c>
      <c r="U1512" s="428" t="str">
        <f>VLOOKUP(H1512,'Fund Utilization Report'!$A$4:$U$1800,3,FALSE)</f>
        <v>FY2021, RA11518</v>
      </c>
      <c r="V1512" s="428" t="str">
        <f>VLOOKUP(H1512,'Fund Utilization Report'!$A$4:$U$1800,4,FALSE)</f>
        <v>OO3</v>
      </c>
      <c r="W1512" s="428" t="str">
        <f>VLOOKUP(H1512,'Fund Utilization Report'!$A$4:$U$1800,5,FALSE)</f>
        <v>01101101</v>
      </c>
      <c r="X1512" s="428" t="str">
        <f>VLOOKUP(H1512,'Fund Utilization Report'!$A$4:$U$1800,6,FALSE)</f>
        <v>GOP</v>
      </c>
      <c r="Y1512" s="320" t="str">
        <f>VLOOKUP(H1512,'Fund Utilization Report'!$A$4:$U$1800,7,FALSE)</f>
        <v>MOOE</v>
      </c>
      <c r="Z1512" s="425">
        <f>VLOOKUP(H1512,'Fund Utilization Report'!$A$4:$U$1800,8,FALSE)</f>
        <v>5020000000</v>
      </c>
      <c r="AA1512" s="428" t="str">
        <f>VLOOKUP(H1512,'Fund Utilization Report'!$A$4:$U$1800,14,FALSE)</f>
        <v>330100100002000</v>
      </c>
      <c r="AB1512" s="349" t="str">
        <f>VLOOKUP(H1512,'Fund Utilization Report'!$A$4:$U$1800,15,FALSE)</f>
        <v>Implementation of the MSME Development Plan and other initiatives to promote the growth of Micro, Small and Medium Enterprises</v>
      </c>
      <c r="AC1512" s="39"/>
      <c r="AD1512" s="34"/>
      <c r="AE1512" s="39"/>
      <c r="AF1512" s="51"/>
      <c r="AG1512" s="442"/>
      <c r="AH1512" s="442"/>
      <c r="AI1512" s="443"/>
    </row>
    <row r="1513" spans="1:35" s="32" customFormat="1" ht="29.25" customHeight="1">
      <c r="A1513" s="434" t="s">
        <v>942</v>
      </c>
      <c r="B1513" s="457" t="s">
        <v>946</v>
      </c>
      <c r="C1513" s="233">
        <v>44280</v>
      </c>
      <c r="D1513" s="435" t="s">
        <v>1267</v>
      </c>
      <c r="E1513" s="436" t="s">
        <v>1557</v>
      </c>
      <c r="F1513" s="338">
        <v>0.43402777777777773</v>
      </c>
      <c r="G1513" s="338">
        <v>0.45</v>
      </c>
      <c r="H1513" s="458" t="s">
        <v>971</v>
      </c>
      <c r="I1513" s="353">
        <v>751</v>
      </c>
      <c r="J1513" s="338" t="str">
        <f>IFERROR(VLOOKUP(I1513,'Chart of accounts'!A:H,2,FALSE),"")</f>
        <v>50201010 00</v>
      </c>
      <c r="K1513" s="338" t="str">
        <f>IFERROR(VLOOKUP(I1513,'Chart of accounts'!A:H,3,FALSE),"")</f>
        <v>Traveling Expenses - Local</v>
      </c>
      <c r="L1513" s="338" t="str">
        <f>IFERROR(VLOOKUP(I1513,'Chart of accounts'!A:H,4,FALSE),"")</f>
        <v>50201010 00 - Traveling Expenses - Local (751)</v>
      </c>
      <c r="M1513" s="361" t="s">
        <v>1555</v>
      </c>
      <c r="N1513" s="355" t="s">
        <v>820</v>
      </c>
      <c r="O1513" s="355" t="s">
        <v>1556</v>
      </c>
      <c r="P1513" s="355"/>
      <c r="Q1513" s="363">
        <v>190000</v>
      </c>
      <c r="R1513" s="428">
        <f t="shared" si="59"/>
        <v>-190000</v>
      </c>
      <c r="S1513" s="428" t="str">
        <f>VLOOKUP(H1513,'Fund Utilization Report'!$A$4:$U$1800,13,FALSE)</f>
        <v>MOOE</v>
      </c>
      <c r="T1513" s="428" t="str">
        <f>VLOOKUP(H1513,'Fund Utilization Report'!$A$4:$U$1800,2,FALSE)</f>
        <v>GAA</v>
      </c>
      <c r="U1513" s="428" t="str">
        <f>VLOOKUP(H1513,'Fund Utilization Report'!$A$4:$U$1800,3,FALSE)</f>
        <v>FY2021, RA11518</v>
      </c>
      <c r="V1513" s="428" t="str">
        <f>VLOOKUP(H1513,'Fund Utilization Report'!$A$4:$U$1800,4,FALSE)</f>
        <v>OO3</v>
      </c>
      <c r="W1513" s="428" t="str">
        <f>VLOOKUP(H1513,'Fund Utilization Report'!$A$4:$U$1800,5,FALSE)</f>
        <v>01101101</v>
      </c>
      <c r="X1513" s="428" t="str">
        <f>VLOOKUP(H1513,'Fund Utilization Report'!$A$4:$U$1800,6,FALSE)</f>
        <v>GOP</v>
      </c>
      <c r="Y1513" s="320" t="str">
        <f>VLOOKUP(H1513,'Fund Utilization Report'!$A$4:$U$1800,7,FALSE)</f>
        <v>MOOE</v>
      </c>
      <c r="Z1513" s="425">
        <f>VLOOKUP(H1513,'Fund Utilization Report'!$A$4:$U$1800,8,FALSE)</f>
        <v>5020000000</v>
      </c>
      <c r="AA1513" s="428" t="str">
        <f>VLOOKUP(H1513,'Fund Utilization Report'!$A$4:$U$1800,14,FALSE)</f>
        <v>330100100002000</v>
      </c>
      <c r="AB1513" s="349" t="str">
        <f>VLOOKUP(H1513,'Fund Utilization Report'!$A$4:$U$1800,15,FALSE)</f>
        <v>Implementation of the MSME Development Plan and other initiatives to promote the growth of Micro, Small and Medium Enterprises</v>
      </c>
      <c r="AC1513" s="39"/>
      <c r="AD1513" s="34"/>
      <c r="AE1513" s="39"/>
      <c r="AF1513" s="51"/>
      <c r="AG1513" s="442"/>
      <c r="AH1513" s="442"/>
      <c r="AI1513" s="443"/>
    </row>
    <row r="1514" spans="1:35" s="32" customFormat="1" ht="29.25" customHeight="1">
      <c r="A1514" s="434" t="s">
        <v>942</v>
      </c>
      <c r="B1514" s="457" t="s">
        <v>946</v>
      </c>
      <c r="C1514" s="233">
        <v>44280</v>
      </c>
      <c r="D1514" s="435" t="s">
        <v>1267</v>
      </c>
      <c r="E1514" s="436" t="s">
        <v>1557</v>
      </c>
      <c r="F1514" s="338">
        <v>0.43402777777777773</v>
      </c>
      <c r="G1514" s="338">
        <v>0.45</v>
      </c>
      <c r="H1514" s="458" t="s">
        <v>971</v>
      </c>
      <c r="I1514" s="353">
        <v>755</v>
      </c>
      <c r="J1514" s="338" t="str">
        <f>IFERROR(VLOOKUP(I1514,'Chart of accounts'!A:H,2,FALSE),"")</f>
        <v>50203010 00</v>
      </c>
      <c r="K1514" s="338" t="str">
        <f>IFERROR(VLOOKUP(I1514,'Chart of accounts'!A:H,3,FALSE),"")</f>
        <v>Office Supplies Expenses</v>
      </c>
      <c r="L1514" s="338" t="str">
        <f>IFERROR(VLOOKUP(I1514,'Chart of accounts'!A:H,4,FALSE),"")</f>
        <v>50203010 00 - Office Supplies Expenses (755)</v>
      </c>
      <c r="M1514" s="361" t="s">
        <v>1555</v>
      </c>
      <c r="N1514" s="355" t="s">
        <v>820</v>
      </c>
      <c r="O1514" s="355" t="s">
        <v>1556</v>
      </c>
      <c r="P1514" s="355"/>
      <c r="Q1514" s="363">
        <v>20000</v>
      </c>
      <c r="R1514" s="428">
        <f t="shared" si="59"/>
        <v>-20000</v>
      </c>
      <c r="S1514" s="428" t="str">
        <f>VLOOKUP(H1514,'Fund Utilization Report'!$A$4:$U$1800,13,FALSE)</f>
        <v>MOOE</v>
      </c>
      <c r="T1514" s="428" t="str">
        <f>VLOOKUP(H1514,'Fund Utilization Report'!$A$4:$U$1800,2,FALSE)</f>
        <v>GAA</v>
      </c>
      <c r="U1514" s="428" t="str">
        <f>VLOOKUP(H1514,'Fund Utilization Report'!$A$4:$U$1800,3,FALSE)</f>
        <v>FY2021, RA11518</v>
      </c>
      <c r="V1514" s="428" t="str">
        <f>VLOOKUP(H1514,'Fund Utilization Report'!$A$4:$U$1800,4,FALSE)</f>
        <v>OO3</v>
      </c>
      <c r="W1514" s="428" t="str">
        <f>VLOOKUP(H1514,'Fund Utilization Report'!$A$4:$U$1800,5,FALSE)</f>
        <v>01101101</v>
      </c>
      <c r="X1514" s="428" t="str">
        <f>VLOOKUP(H1514,'Fund Utilization Report'!$A$4:$U$1800,6,FALSE)</f>
        <v>GOP</v>
      </c>
      <c r="Y1514" s="320" t="str">
        <f>VLOOKUP(H1514,'Fund Utilization Report'!$A$4:$U$1800,7,FALSE)</f>
        <v>MOOE</v>
      </c>
      <c r="Z1514" s="425">
        <f>VLOOKUP(H1514,'Fund Utilization Report'!$A$4:$U$1800,8,FALSE)</f>
        <v>5020000000</v>
      </c>
      <c r="AA1514" s="428" t="str">
        <f>VLOOKUP(H1514,'Fund Utilization Report'!$A$4:$U$1800,14,FALSE)</f>
        <v>330100100002000</v>
      </c>
      <c r="AB1514" s="349" t="str">
        <f>VLOOKUP(H1514,'Fund Utilization Report'!$A$4:$U$1800,15,FALSE)</f>
        <v>Implementation of the MSME Development Plan and other initiatives to promote the growth of Micro, Small and Medium Enterprises</v>
      </c>
      <c r="AC1514" s="39"/>
      <c r="AD1514" s="34"/>
      <c r="AE1514" s="39"/>
      <c r="AF1514" s="51"/>
      <c r="AG1514" s="442"/>
      <c r="AH1514" s="442"/>
      <c r="AI1514" s="443"/>
    </row>
    <row r="1515" spans="1:35" s="32" customFormat="1" ht="29.25" customHeight="1">
      <c r="A1515" s="434" t="s">
        <v>942</v>
      </c>
      <c r="B1515" s="457" t="s">
        <v>946</v>
      </c>
      <c r="C1515" s="233">
        <v>44280</v>
      </c>
      <c r="D1515" s="435" t="s">
        <v>1267</v>
      </c>
      <c r="E1515" s="436" t="s">
        <v>1557</v>
      </c>
      <c r="F1515" s="338">
        <v>0.43402777777777773</v>
      </c>
      <c r="G1515" s="338">
        <v>0.45</v>
      </c>
      <c r="H1515" s="458" t="s">
        <v>971</v>
      </c>
      <c r="I1515" s="353">
        <v>771</v>
      </c>
      <c r="J1515" s="338" t="str">
        <f>IFERROR(VLOOKUP(I1515,'Chart of accounts'!A:H,2,FALSE),"")</f>
        <v>50205010 00</v>
      </c>
      <c r="K1515" s="338" t="str">
        <f>IFERROR(VLOOKUP(I1515,'Chart of accounts'!A:H,3,FALSE),"")</f>
        <v>Postage and Courier Services</v>
      </c>
      <c r="L1515" s="338" t="str">
        <f>IFERROR(VLOOKUP(I1515,'Chart of accounts'!A:H,4,FALSE),"")</f>
        <v>50205010 00 - Postage and Courier Services (771)</v>
      </c>
      <c r="M1515" s="361" t="s">
        <v>1555</v>
      </c>
      <c r="N1515" s="355" t="s">
        <v>820</v>
      </c>
      <c r="O1515" s="355" t="s">
        <v>1556</v>
      </c>
      <c r="P1515" s="355"/>
      <c r="Q1515" s="363">
        <v>6000</v>
      </c>
      <c r="R1515" s="428">
        <f t="shared" si="59"/>
        <v>-6000</v>
      </c>
      <c r="S1515" s="428" t="str">
        <f>VLOOKUP(H1515,'Fund Utilization Report'!$A$4:$U$1800,13,FALSE)</f>
        <v>MOOE</v>
      </c>
      <c r="T1515" s="428" t="str">
        <f>VLOOKUP(H1515,'Fund Utilization Report'!$A$4:$U$1800,2,FALSE)</f>
        <v>GAA</v>
      </c>
      <c r="U1515" s="428" t="str">
        <f>VLOOKUP(H1515,'Fund Utilization Report'!$A$4:$U$1800,3,FALSE)</f>
        <v>FY2021, RA11518</v>
      </c>
      <c r="V1515" s="428" t="str">
        <f>VLOOKUP(H1515,'Fund Utilization Report'!$A$4:$U$1800,4,FALSE)</f>
        <v>OO3</v>
      </c>
      <c r="W1515" s="428" t="str">
        <f>VLOOKUP(H1515,'Fund Utilization Report'!$A$4:$U$1800,5,FALSE)</f>
        <v>01101101</v>
      </c>
      <c r="X1515" s="428" t="str">
        <f>VLOOKUP(H1515,'Fund Utilization Report'!$A$4:$U$1800,6,FALSE)</f>
        <v>GOP</v>
      </c>
      <c r="Y1515" s="320" t="str">
        <f>VLOOKUP(H1515,'Fund Utilization Report'!$A$4:$U$1800,7,FALSE)</f>
        <v>MOOE</v>
      </c>
      <c r="Z1515" s="425">
        <f>VLOOKUP(H1515,'Fund Utilization Report'!$A$4:$U$1800,8,FALSE)</f>
        <v>5020000000</v>
      </c>
      <c r="AA1515" s="428" t="str">
        <f>VLOOKUP(H1515,'Fund Utilization Report'!$A$4:$U$1800,14,FALSE)</f>
        <v>330100100002000</v>
      </c>
      <c r="AB1515" s="349" t="str">
        <f>VLOOKUP(H1515,'Fund Utilization Report'!$A$4:$U$1800,15,FALSE)</f>
        <v>Implementation of the MSME Development Plan and other initiatives to promote the growth of Micro, Small and Medium Enterprises</v>
      </c>
      <c r="AC1515" s="39"/>
      <c r="AD1515" s="34"/>
      <c r="AE1515" s="39"/>
      <c r="AF1515" s="51"/>
      <c r="AG1515" s="442"/>
      <c r="AH1515" s="442"/>
      <c r="AI1515" s="443"/>
    </row>
    <row r="1516" spans="1:35" s="32" customFormat="1" ht="29.25" customHeight="1">
      <c r="A1516" s="434" t="s">
        <v>942</v>
      </c>
      <c r="B1516" s="457" t="s">
        <v>946</v>
      </c>
      <c r="C1516" s="233">
        <v>44280</v>
      </c>
      <c r="D1516" s="435" t="s">
        <v>1267</v>
      </c>
      <c r="E1516" s="436" t="s">
        <v>1557</v>
      </c>
      <c r="F1516" s="338">
        <v>0.43402777777777773</v>
      </c>
      <c r="G1516" s="338">
        <v>0.45</v>
      </c>
      <c r="H1516" s="458" t="s">
        <v>971</v>
      </c>
      <c r="I1516" s="353">
        <v>773</v>
      </c>
      <c r="J1516" s="338" t="str">
        <f>IFERROR(VLOOKUP(I1516,'Chart of accounts'!A:H,2,FALSE),"")</f>
        <v>50205020 01</v>
      </c>
      <c r="K1516" s="338" t="str">
        <f>IFERROR(VLOOKUP(I1516,'Chart of accounts'!A:H,3,FALSE),"")</f>
        <v xml:space="preserve">Telephone Expenses - Mobile </v>
      </c>
      <c r="L1516" s="338" t="str">
        <f>IFERROR(VLOOKUP(I1516,'Chart of accounts'!A:H,4,FALSE),"")</f>
        <v>50205020 01 - Telephone Expenses - Mobile  (773)</v>
      </c>
      <c r="M1516" s="361" t="s">
        <v>1555</v>
      </c>
      <c r="N1516" s="355" t="s">
        <v>820</v>
      </c>
      <c r="O1516" s="355" t="s">
        <v>1556</v>
      </c>
      <c r="P1516" s="355"/>
      <c r="Q1516" s="363">
        <v>10000</v>
      </c>
      <c r="R1516" s="428">
        <f t="shared" si="59"/>
        <v>-10000</v>
      </c>
      <c r="S1516" s="428" t="str">
        <f>VLOOKUP(H1516,'Fund Utilization Report'!$A$4:$U$1800,13,FALSE)</f>
        <v>MOOE</v>
      </c>
      <c r="T1516" s="428" t="str">
        <f>VLOOKUP(H1516,'Fund Utilization Report'!$A$4:$U$1800,2,FALSE)</f>
        <v>GAA</v>
      </c>
      <c r="U1516" s="428" t="str">
        <f>VLOOKUP(H1516,'Fund Utilization Report'!$A$4:$U$1800,3,FALSE)</f>
        <v>FY2021, RA11518</v>
      </c>
      <c r="V1516" s="428" t="str">
        <f>VLOOKUP(H1516,'Fund Utilization Report'!$A$4:$U$1800,4,FALSE)</f>
        <v>OO3</v>
      </c>
      <c r="W1516" s="428" t="str">
        <f>VLOOKUP(H1516,'Fund Utilization Report'!$A$4:$U$1800,5,FALSE)</f>
        <v>01101101</v>
      </c>
      <c r="X1516" s="428" t="str">
        <f>VLOOKUP(H1516,'Fund Utilization Report'!$A$4:$U$1800,6,FALSE)</f>
        <v>GOP</v>
      </c>
      <c r="Y1516" s="320" t="str">
        <f>VLOOKUP(H1516,'Fund Utilization Report'!$A$4:$U$1800,7,FALSE)</f>
        <v>MOOE</v>
      </c>
      <c r="Z1516" s="425">
        <f>VLOOKUP(H1516,'Fund Utilization Report'!$A$4:$U$1800,8,FALSE)</f>
        <v>5020000000</v>
      </c>
      <c r="AA1516" s="428" t="str">
        <f>VLOOKUP(H1516,'Fund Utilization Report'!$A$4:$U$1800,14,FALSE)</f>
        <v>330100100002000</v>
      </c>
      <c r="AB1516" s="349" t="str">
        <f>VLOOKUP(H1516,'Fund Utilization Report'!$A$4:$U$1800,15,FALSE)</f>
        <v>Implementation of the MSME Development Plan and other initiatives to promote the growth of Micro, Small and Medium Enterprises</v>
      </c>
      <c r="AC1516" s="39"/>
      <c r="AD1516" s="34"/>
      <c r="AE1516" s="39"/>
      <c r="AF1516" s="51"/>
      <c r="AG1516" s="442"/>
      <c r="AH1516" s="442"/>
      <c r="AI1516" s="443"/>
    </row>
    <row r="1517" spans="1:35" s="32" customFormat="1" ht="29.25" customHeight="1">
      <c r="A1517" s="434" t="s">
        <v>942</v>
      </c>
      <c r="B1517" s="457" t="s">
        <v>946</v>
      </c>
      <c r="C1517" s="233">
        <v>44280</v>
      </c>
      <c r="D1517" s="435" t="s">
        <v>1267</v>
      </c>
      <c r="E1517" s="436" t="s">
        <v>1557</v>
      </c>
      <c r="F1517" s="338">
        <v>0.43402777777777773</v>
      </c>
      <c r="G1517" s="338">
        <v>0.45</v>
      </c>
      <c r="H1517" s="458" t="s">
        <v>971</v>
      </c>
      <c r="I1517" s="353">
        <v>799</v>
      </c>
      <c r="J1517" s="338" t="str">
        <f>IFERROR(VLOOKUP(I1517,'Chart of accounts'!A:H,2,FALSE),"")</f>
        <v>50211990 00</v>
      </c>
      <c r="K1517" s="338" t="str">
        <f>IFERROR(VLOOKUP(I1517,'Chart of accounts'!A:H,3,FALSE),"")</f>
        <v>Other Professional Services</v>
      </c>
      <c r="L1517" s="338" t="str">
        <f>IFERROR(VLOOKUP(I1517,'Chart of accounts'!A:H,4,FALSE),"")</f>
        <v>50211990 00 - Other Professional Services (799)</v>
      </c>
      <c r="M1517" s="361" t="s">
        <v>1555</v>
      </c>
      <c r="N1517" s="355" t="s">
        <v>820</v>
      </c>
      <c r="O1517" s="355" t="s">
        <v>1556</v>
      </c>
      <c r="P1517" s="355"/>
      <c r="Q1517" s="363">
        <v>120000</v>
      </c>
      <c r="R1517" s="428">
        <f t="shared" si="59"/>
        <v>-120000</v>
      </c>
      <c r="S1517" s="428" t="str">
        <f>VLOOKUP(H1517,'Fund Utilization Report'!$A$4:$U$1800,13,FALSE)</f>
        <v>MOOE</v>
      </c>
      <c r="T1517" s="428" t="str">
        <f>VLOOKUP(H1517,'Fund Utilization Report'!$A$4:$U$1800,2,FALSE)</f>
        <v>GAA</v>
      </c>
      <c r="U1517" s="428" t="str">
        <f>VLOOKUP(H1517,'Fund Utilization Report'!$A$4:$U$1800,3,FALSE)</f>
        <v>FY2021, RA11518</v>
      </c>
      <c r="V1517" s="428" t="str">
        <f>VLOOKUP(H1517,'Fund Utilization Report'!$A$4:$U$1800,4,FALSE)</f>
        <v>OO3</v>
      </c>
      <c r="W1517" s="428" t="str">
        <f>VLOOKUP(H1517,'Fund Utilization Report'!$A$4:$U$1800,5,FALSE)</f>
        <v>01101101</v>
      </c>
      <c r="X1517" s="428" t="str">
        <f>VLOOKUP(H1517,'Fund Utilization Report'!$A$4:$U$1800,6,FALSE)</f>
        <v>GOP</v>
      </c>
      <c r="Y1517" s="320" t="str">
        <f>VLOOKUP(H1517,'Fund Utilization Report'!$A$4:$U$1800,7,FALSE)</f>
        <v>MOOE</v>
      </c>
      <c r="Z1517" s="425">
        <f>VLOOKUP(H1517,'Fund Utilization Report'!$A$4:$U$1800,8,FALSE)</f>
        <v>5020000000</v>
      </c>
      <c r="AA1517" s="428" t="str">
        <f>VLOOKUP(H1517,'Fund Utilization Report'!$A$4:$U$1800,14,FALSE)</f>
        <v>330100100002000</v>
      </c>
      <c r="AB1517" s="349" t="str">
        <f>VLOOKUP(H1517,'Fund Utilization Report'!$A$4:$U$1800,15,FALSE)</f>
        <v>Implementation of the MSME Development Plan and other initiatives to promote the growth of Micro, Small and Medium Enterprises</v>
      </c>
      <c r="AC1517" s="39"/>
      <c r="AD1517" s="34"/>
      <c r="AE1517" s="39"/>
      <c r="AF1517" s="51"/>
      <c r="AG1517" s="442"/>
      <c r="AH1517" s="442"/>
      <c r="AI1517" s="443"/>
    </row>
    <row r="1518" spans="1:35" s="32" customFormat="1" ht="29.25" customHeight="1">
      <c r="A1518" s="434" t="s">
        <v>942</v>
      </c>
      <c r="B1518" s="457" t="s">
        <v>946</v>
      </c>
      <c r="C1518" s="233">
        <v>44280</v>
      </c>
      <c r="D1518" s="435" t="s">
        <v>1267</v>
      </c>
      <c r="E1518" s="436" t="s">
        <v>1557</v>
      </c>
      <c r="F1518" s="338">
        <v>0.43402777777777773</v>
      </c>
      <c r="G1518" s="338">
        <v>0.45</v>
      </c>
      <c r="H1518" s="458" t="s">
        <v>971</v>
      </c>
      <c r="I1518" s="353">
        <v>783</v>
      </c>
      <c r="J1518" s="338" t="str">
        <f>IFERROR(VLOOKUP(I1518,'Chart of accounts'!A:H,2,FALSE),"")</f>
        <v>50299030 00</v>
      </c>
      <c r="K1518" s="338" t="str">
        <f>IFERROR(VLOOKUP(I1518,'Chart of accounts'!A:H,3,FALSE),"")</f>
        <v>Representation Expenses</v>
      </c>
      <c r="L1518" s="338" t="str">
        <f>IFERROR(VLOOKUP(I1518,'Chart of accounts'!A:H,4,FALSE),"")</f>
        <v>50299030 00 - Representation Expenses (783)</v>
      </c>
      <c r="M1518" s="361" t="s">
        <v>1555</v>
      </c>
      <c r="N1518" s="355" t="s">
        <v>820</v>
      </c>
      <c r="O1518" s="355" t="s">
        <v>1556</v>
      </c>
      <c r="P1518" s="355"/>
      <c r="Q1518" s="363">
        <v>140000</v>
      </c>
      <c r="R1518" s="428">
        <f t="shared" si="59"/>
        <v>-140000</v>
      </c>
      <c r="S1518" s="428" t="str">
        <f>VLOOKUP(H1518,'Fund Utilization Report'!$A$4:$U$1800,13,FALSE)</f>
        <v>MOOE</v>
      </c>
      <c r="T1518" s="428" t="str">
        <f>VLOOKUP(H1518,'Fund Utilization Report'!$A$4:$U$1800,2,FALSE)</f>
        <v>GAA</v>
      </c>
      <c r="U1518" s="428" t="str">
        <f>VLOOKUP(H1518,'Fund Utilization Report'!$A$4:$U$1800,3,FALSE)</f>
        <v>FY2021, RA11518</v>
      </c>
      <c r="V1518" s="428" t="str">
        <f>VLOOKUP(H1518,'Fund Utilization Report'!$A$4:$U$1800,4,FALSE)</f>
        <v>OO3</v>
      </c>
      <c r="W1518" s="428" t="str">
        <f>VLOOKUP(H1518,'Fund Utilization Report'!$A$4:$U$1800,5,FALSE)</f>
        <v>01101101</v>
      </c>
      <c r="X1518" s="428" t="str">
        <f>VLOOKUP(H1518,'Fund Utilization Report'!$A$4:$U$1800,6,FALSE)</f>
        <v>GOP</v>
      </c>
      <c r="Y1518" s="320" t="str">
        <f>VLOOKUP(H1518,'Fund Utilization Report'!$A$4:$U$1800,7,FALSE)</f>
        <v>MOOE</v>
      </c>
      <c r="Z1518" s="425">
        <f>VLOOKUP(H1518,'Fund Utilization Report'!$A$4:$U$1800,8,FALSE)</f>
        <v>5020000000</v>
      </c>
      <c r="AA1518" s="428" t="str">
        <f>VLOOKUP(H1518,'Fund Utilization Report'!$A$4:$U$1800,14,FALSE)</f>
        <v>330100100002000</v>
      </c>
      <c r="AB1518" s="349" t="str">
        <f>VLOOKUP(H1518,'Fund Utilization Report'!$A$4:$U$1800,15,FALSE)</f>
        <v>Implementation of the MSME Development Plan and other initiatives to promote the growth of Micro, Small and Medium Enterprises</v>
      </c>
      <c r="AC1518" s="39"/>
      <c r="AD1518" s="34"/>
      <c r="AE1518" s="39"/>
      <c r="AF1518" s="51"/>
      <c r="AG1518" s="442"/>
      <c r="AH1518" s="442"/>
      <c r="AI1518" s="443"/>
    </row>
    <row r="1519" spans="1:35" s="32" customFormat="1" ht="29.25" customHeight="1">
      <c r="A1519" s="434" t="s">
        <v>942</v>
      </c>
      <c r="B1519" s="457" t="s">
        <v>946</v>
      </c>
      <c r="C1519" s="233">
        <v>44280</v>
      </c>
      <c r="D1519" s="435" t="s">
        <v>1267</v>
      </c>
      <c r="E1519" s="436" t="s">
        <v>1557</v>
      </c>
      <c r="F1519" s="338">
        <v>0.43402777777777773</v>
      </c>
      <c r="G1519" s="338">
        <v>0.45</v>
      </c>
      <c r="H1519" s="458" t="s">
        <v>971</v>
      </c>
      <c r="I1519" s="353">
        <v>795</v>
      </c>
      <c r="J1519" s="338" t="str">
        <f>IFERROR(VLOOKUP(I1519,'Chart of accounts'!A:H,2,FALSE),"")</f>
        <v>50212990 00</v>
      </c>
      <c r="K1519" s="338" t="str">
        <f>IFERROR(VLOOKUP(I1519,'Chart of accounts'!A:H,3,FALSE),"")</f>
        <v>Other General Services</v>
      </c>
      <c r="L1519" s="338" t="str">
        <f>IFERROR(VLOOKUP(I1519,'Chart of accounts'!A:H,4,FALSE),"")</f>
        <v>50212990 00 - Other General Services (795)</v>
      </c>
      <c r="M1519" s="361" t="s">
        <v>1555</v>
      </c>
      <c r="N1519" s="355" t="s">
        <v>820</v>
      </c>
      <c r="O1519" s="355" t="s">
        <v>1556</v>
      </c>
      <c r="P1519" s="355"/>
      <c r="Q1519" s="363">
        <v>60000</v>
      </c>
      <c r="R1519" s="428">
        <f t="shared" si="59"/>
        <v>-60000</v>
      </c>
      <c r="S1519" s="428" t="str">
        <f>VLOOKUP(H1519,'Fund Utilization Report'!$A$4:$U$1800,13,FALSE)</f>
        <v>MOOE</v>
      </c>
      <c r="T1519" s="428" t="str">
        <f>VLOOKUP(H1519,'Fund Utilization Report'!$A$4:$U$1800,2,FALSE)</f>
        <v>GAA</v>
      </c>
      <c r="U1519" s="428" t="str">
        <f>VLOOKUP(H1519,'Fund Utilization Report'!$A$4:$U$1800,3,FALSE)</f>
        <v>FY2021, RA11518</v>
      </c>
      <c r="V1519" s="428" t="str">
        <f>VLOOKUP(H1519,'Fund Utilization Report'!$A$4:$U$1800,4,FALSE)</f>
        <v>OO3</v>
      </c>
      <c r="W1519" s="428" t="str">
        <f>VLOOKUP(H1519,'Fund Utilization Report'!$A$4:$U$1800,5,FALSE)</f>
        <v>01101101</v>
      </c>
      <c r="X1519" s="428" t="str">
        <f>VLOOKUP(H1519,'Fund Utilization Report'!$A$4:$U$1800,6,FALSE)</f>
        <v>GOP</v>
      </c>
      <c r="Y1519" s="320" t="str">
        <f>VLOOKUP(H1519,'Fund Utilization Report'!$A$4:$U$1800,7,FALSE)</f>
        <v>MOOE</v>
      </c>
      <c r="Z1519" s="425">
        <f>VLOOKUP(H1519,'Fund Utilization Report'!$A$4:$U$1800,8,FALSE)</f>
        <v>5020000000</v>
      </c>
      <c r="AA1519" s="428" t="str">
        <f>VLOOKUP(H1519,'Fund Utilization Report'!$A$4:$U$1800,14,FALSE)</f>
        <v>330100100002000</v>
      </c>
      <c r="AB1519" s="349" t="str">
        <f>VLOOKUP(H1519,'Fund Utilization Report'!$A$4:$U$1800,15,FALSE)</f>
        <v>Implementation of the MSME Development Plan and other initiatives to promote the growth of Micro, Small and Medium Enterprises</v>
      </c>
      <c r="AC1519" s="39"/>
      <c r="AD1519" s="34"/>
      <c r="AE1519" s="39"/>
      <c r="AF1519" s="51"/>
      <c r="AG1519" s="442"/>
      <c r="AH1519" s="442"/>
      <c r="AI1519" s="443"/>
    </row>
    <row r="1520" spans="1:35" s="32" customFormat="1" ht="29.25" customHeight="1">
      <c r="A1520" s="434" t="s">
        <v>942</v>
      </c>
      <c r="B1520" s="457" t="s">
        <v>946</v>
      </c>
      <c r="C1520" s="233">
        <v>44280</v>
      </c>
      <c r="D1520" s="435" t="s">
        <v>1267</v>
      </c>
      <c r="E1520" s="436" t="s">
        <v>1557</v>
      </c>
      <c r="F1520" s="338">
        <v>0.43402777777777773</v>
      </c>
      <c r="G1520" s="338">
        <v>0.45</v>
      </c>
      <c r="H1520" s="458" t="s">
        <v>971</v>
      </c>
      <c r="I1520" s="353">
        <v>796</v>
      </c>
      <c r="J1520" s="338" t="str">
        <f>IFERROR(VLOOKUP(I1520,'Chart of accounts'!A:H,2,FALSE),"")</f>
        <v>50212020 00</v>
      </c>
      <c r="K1520" s="338" t="str">
        <f>IFERROR(VLOOKUP(I1520,'Chart of accounts'!A:H,3,FALSE),"")</f>
        <v>Janitorial Services</v>
      </c>
      <c r="L1520" s="338" t="str">
        <f>IFERROR(VLOOKUP(I1520,'Chart of accounts'!A:H,4,FALSE),"")</f>
        <v>50212020 00 - Janitorial Services (796)</v>
      </c>
      <c r="M1520" s="361" t="s">
        <v>1555</v>
      </c>
      <c r="N1520" s="355" t="s">
        <v>820</v>
      </c>
      <c r="O1520" s="355" t="s">
        <v>1556</v>
      </c>
      <c r="P1520" s="355"/>
      <c r="Q1520" s="363">
        <v>4000</v>
      </c>
      <c r="R1520" s="428">
        <f t="shared" si="59"/>
        <v>-4000</v>
      </c>
      <c r="S1520" s="428" t="str">
        <f>VLOOKUP(H1520,'Fund Utilization Report'!$A$4:$U$1800,13,FALSE)</f>
        <v>MOOE</v>
      </c>
      <c r="T1520" s="428" t="str">
        <f>VLOOKUP(H1520,'Fund Utilization Report'!$A$4:$U$1800,2,FALSE)</f>
        <v>GAA</v>
      </c>
      <c r="U1520" s="428" t="str">
        <f>VLOOKUP(H1520,'Fund Utilization Report'!$A$4:$U$1800,3,FALSE)</f>
        <v>FY2021, RA11518</v>
      </c>
      <c r="V1520" s="428" t="str">
        <f>VLOOKUP(H1520,'Fund Utilization Report'!$A$4:$U$1800,4,FALSE)</f>
        <v>OO3</v>
      </c>
      <c r="W1520" s="428" t="str">
        <f>VLOOKUP(H1520,'Fund Utilization Report'!$A$4:$U$1800,5,FALSE)</f>
        <v>01101101</v>
      </c>
      <c r="X1520" s="428" t="str">
        <f>VLOOKUP(H1520,'Fund Utilization Report'!$A$4:$U$1800,6,FALSE)</f>
        <v>GOP</v>
      </c>
      <c r="Y1520" s="320" t="str">
        <f>VLOOKUP(H1520,'Fund Utilization Report'!$A$4:$U$1800,7,FALSE)</f>
        <v>MOOE</v>
      </c>
      <c r="Z1520" s="425">
        <f>VLOOKUP(H1520,'Fund Utilization Report'!$A$4:$U$1800,8,FALSE)</f>
        <v>5020000000</v>
      </c>
      <c r="AA1520" s="428" t="str">
        <f>VLOOKUP(H1520,'Fund Utilization Report'!$A$4:$U$1800,14,FALSE)</f>
        <v>330100100002000</v>
      </c>
      <c r="AB1520" s="349" t="str">
        <f>VLOOKUP(H1520,'Fund Utilization Report'!$A$4:$U$1800,15,FALSE)</f>
        <v>Implementation of the MSME Development Plan and other initiatives to promote the growth of Micro, Small and Medium Enterprises</v>
      </c>
      <c r="AC1520" s="39"/>
      <c r="AD1520" s="34"/>
      <c r="AE1520" s="39"/>
      <c r="AF1520" s="51"/>
      <c r="AG1520" s="442"/>
      <c r="AH1520" s="442"/>
      <c r="AI1520" s="443"/>
    </row>
    <row r="1521" spans="1:35" s="32" customFormat="1" ht="29.25" customHeight="1">
      <c r="A1521" s="434" t="s">
        <v>942</v>
      </c>
      <c r="B1521" s="457" t="s">
        <v>946</v>
      </c>
      <c r="C1521" s="233">
        <v>44280</v>
      </c>
      <c r="D1521" s="435" t="s">
        <v>1267</v>
      </c>
      <c r="E1521" s="436" t="s">
        <v>1558</v>
      </c>
      <c r="F1521" s="338">
        <v>0.45</v>
      </c>
      <c r="G1521" s="338">
        <v>0.4513888888888889</v>
      </c>
      <c r="H1521" s="458" t="s">
        <v>971</v>
      </c>
      <c r="I1521" s="353">
        <v>751</v>
      </c>
      <c r="J1521" s="338" t="str">
        <f>IFERROR(VLOOKUP(I1521,'Chart of accounts'!A:H,2,FALSE),"")</f>
        <v>50201010 00</v>
      </c>
      <c r="K1521" s="338" t="str">
        <f>IFERROR(VLOOKUP(I1521,'Chart of accounts'!A:H,3,FALSE),"")</f>
        <v>Traveling Expenses - Local</v>
      </c>
      <c r="L1521" s="338" t="str">
        <f>IFERROR(VLOOKUP(I1521,'Chart of accounts'!A:H,4,FALSE),"")</f>
        <v>50201010 00 - Traveling Expenses - Local (751)</v>
      </c>
      <c r="M1521" s="361" t="s">
        <v>1555</v>
      </c>
      <c r="N1521" s="355" t="s">
        <v>1539</v>
      </c>
      <c r="O1521" s="355" t="s">
        <v>1556</v>
      </c>
      <c r="P1521" s="355"/>
      <c r="Q1521" s="363">
        <v>200000</v>
      </c>
      <c r="R1521" s="428">
        <f>P1521-Q1521</f>
        <v>-200000</v>
      </c>
      <c r="S1521" s="428" t="str">
        <f>VLOOKUP(H1521,'Fund Utilization Report'!$A$4:$U$1800,13,FALSE)</f>
        <v>MOOE</v>
      </c>
      <c r="T1521" s="428" t="str">
        <f>VLOOKUP(H1521,'Fund Utilization Report'!$A$4:$U$1800,2,FALSE)</f>
        <v>GAA</v>
      </c>
      <c r="U1521" s="428" t="str">
        <f>VLOOKUP(H1521,'Fund Utilization Report'!$A$4:$U$1800,3,FALSE)</f>
        <v>FY2021, RA11518</v>
      </c>
      <c r="V1521" s="428" t="str">
        <f>VLOOKUP(H1521,'Fund Utilization Report'!$A$4:$U$1800,4,FALSE)</f>
        <v>OO3</v>
      </c>
      <c r="W1521" s="428" t="str">
        <f>VLOOKUP(H1521,'Fund Utilization Report'!$A$4:$U$1800,5,FALSE)</f>
        <v>01101101</v>
      </c>
      <c r="X1521" s="428" t="str">
        <f>VLOOKUP(H1521,'Fund Utilization Report'!$A$4:$U$1800,6,FALSE)</f>
        <v>GOP</v>
      </c>
      <c r="Y1521" s="320" t="str">
        <f>VLOOKUP(H1521,'Fund Utilization Report'!$A$4:$U$1800,7,FALSE)</f>
        <v>MOOE</v>
      </c>
      <c r="Z1521" s="425">
        <f>VLOOKUP(H1521,'Fund Utilization Report'!$A$4:$U$1800,8,FALSE)</f>
        <v>5020000000</v>
      </c>
      <c r="AA1521" s="428" t="str">
        <f>VLOOKUP(H1521,'Fund Utilization Report'!$A$4:$U$1800,14,FALSE)</f>
        <v>330100100002000</v>
      </c>
      <c r="AB1521" s="349" t="str">
        <f>VLOOKUP(H1521,'Fund Utilization Report'!$A$4:$U$1800,15,FALSE)</f>
        <v>Implementation of the MSME Development Plan and other initiatives to promote the growth of Micro, Small and Medium Enterprises</v>
      </c>
      <c r="AC1521" s="39"/>
      <c r="AD1521" s="34"/>
      <c r="AE1521" s="39"/>
      <c r="AF1521" s="51"/>
      <c r="AG1521" s="442"/>
      <c r="AH1521" s="442"/>
      <c r="AI1521" s="443"/>
    </row>
    <row r="1522" spans="1:35" s="32" customFormat="1" ht="29.25" customHeight="1">
      <c r="A1522" s="434" t="s">
        <v>942</v>
      </c>
      <c r="B1522" s="457" t="s">
        <v>946</v>
      </c>
      <c r="C1522" s="233">
        <v>44280</v>
      </c>
      <c r="D1522" s="435" t="s">
        <v>1267</v>
      </c>
      <c r="E1522" s="436" t="s">
        <v>1558</v>
      </c>
      <c r="F1522" s="338">
        <v>0.45</v>
      </c>
      <c r="G1522" s="338">
        <v>0.4513888888888889</v>
      </c>
      <c r="H1522" s="458" t="s">
        <v>971</v>
      </c>
      <c r="I1522" s="353">
        <v>755</v>
      </c>
      <c r="J1522" s="338" t="str">
        <f>IFERROR(VLOOKUP(I1522,'Chart of accounts'!A:H,2,FALSE),"")</f>
        <v>50203010 00</v>
      </c>
      <c r="K1522" s="338" t="str">
        <f>IFERROR(VLOOKUP(I1522,'Chart of accounts'!A:H,3,FALSE),"")</f>
        <v>Office Supplies Expenses</v>
      </c>
      <c r="L1522" s="338" t="str">
        <f>IFERROR(VLOOKUP(I1522,'Chart of accounts'!A:H,4,FALSE),"")</f>
        <v>50203010 00 - Office Supplies Expenses (755)</v>
      </c>
      <c r="M1522" s="361" t="s">
        <v>1555</v>
      </c>
      <c r="N1522" s="355" t="s">
        <v>1539</v>
      </c>
      <c r="O1522" s="355" t="s">
        <v>1556</v>
      </c>
      <c r="P1522" s="355"/>
      <c r="Q1522" s="363">
        <v>20000</v>
      </c>
      <c r="R1522" s="428">
        <f>P1522-Q1522</f>
        <v>-20000</v>
      </c>
      <c r="S1522" s="428" t="str">
        <f>VLOOKUP(H1522,'Fund Utilization Report'!$A$4:$U$1800,13,FALSE)</f>
        <v>MOOE</v>
      </c>
      <c r="T1522" s="428" t="str">
        <f>VLOOKUP(H1522,'Fund Utilization Report'!$A$4:$U$1800,2,FALSE)</f>
        <v>GAA</v>
      </c>
      <c r="U1522" s="428" t="str">
        <f>VLOOKUP(H1522,'Fund Utilization Report'!$A$4:$U$1800,3,FALSE)</f>
        <v>FY2021, RA11518</v>
      </c>
      <c r="V1522" s="428" t="str">
        <f>VLOOKUP(H1522,'Fund Utilization Report'!$A$4:$U$1800,4,FALSE)</f>
        <v>OO3</v>
      </c>
      <c r="W1522" s="428" t="str">
        <f>VLOOKUP(H1522,'Fund Utilization Report'!$A$4:$U$1800,5,FALSE)</f>
        <v>01101101</v>
      </c>
      <c r="X1522" s="428" t="str">
        <f>VLOOKUP(H1522,'Fund Utilization Report'!$A$4:$U$1800,6,FALSE)</f>
        <v>GOP</v>
      </c>
      <c r="Y1522" s="320" t="str">
        <f>VLOOKUP(H1522,'Fund Utilization Report'!$A$4:$U$1800,7,FALSE)</f>
        <v>MOOE</v>
      </c>
      <c r="Z1522" s="425">
        <f>VLOOKUP(H1522,'Fund Utilization Report'!$A$4:$U$1800,8,FALSE)</f>
        <v>5020000000</v>
      </c>
      <c r="AA1522" s="428" t="str">
        <f>VLOOKUP(H1522,'Fund Utilization Report'!$A$4:$U$1800,14,FALSE)</f>
        <v>330100100002000</v>
      </c>
      <c r="AB1522" s="349" t="str">
        <f>VLOOKUP(H1522,'Fund Utilization Report'!$A$4:$U$1800,15,FALSE)</f>
        <v>Implementation of the MSME Development Plan and other initiatives to promote the growth of Micro, Small and Medium Enterprises</v>
      </c>
      <c r="AC1522" s="39"/>
      <c r="AD1522" s="34"/>
      <c r="AE1522" s="39"/>
      <c r="AF1522" s="51"/>
      <c r="AG1522" s="442"/>
      <c r="AH1522" s="442"/>
      <c r="AI1522" s="443"/>
    </row>
    <row r="1523" spans="1:35" s="32" customFormat="1" ht="29.25" customHeight="1">
      <c r="A1523" s="434" t="s">
        <v>942</v>
      </c>
      <c r="B1523" s="457" t="s">
        <v>946</v>
      </c>
      <c r="C1523" s="233">
        <v>44280</v>
      </c>
      <c r="D1523" s="435" t="s">
        <v>1267</v>
      </c>
      <c r="E1523" s="436" t="s">
        <v>1558</v>
      </c>
      <c r="F1523" s="338">
        <v>0.45</v>
      </c>
      <c r="G1523" s="338">
        <v>0.4513888888888889</v>
      </c>
      <c r="H1523" s="458" t="s">
        <v>971</v>
      </c>
      <c r="I1523" s="353">
        <v>771</v>
      </c>
      <c r="J1523" s="338" t="str">
        <f>IFERROR(VLOOKUP(I1523,'Chart of accounts'!A:H,2,FALSE),"")</f>
        <v>50205010 00</v>
      </c>
      <c r="K1523" s="338" t="str">
        <f>IFERROR(VLOOKUP(I1523,'Chart of accounts'!A:H,3,FALSE),"")</f>
        <v>Postage and Courier Services</v>
      </c>
      <c r="L1523" s="338" t="str">
        <f>IFERROR(VLOOKUP(I1523,'Chart of accounts'!A:H,4,FALSE),"")</f>
        <v>50205010 00 - Postage and Courier Services (771)</v>
      </c>
      <c r="M1523" s="361" t="s">
        <v>1555</v>
      </c>
      <c r="N1523" s="355" t="s">
        <v>1539</v>
      </c>
      <c r="O1523" s="355" t="s">
        <v>1556</v>
      </c>
      <c r="P1523" s="355"/>
      <c r="Q1523" s="363">
        <v>6000</v>
      </c>
      <c r="R1523" s="428">
        <f t="shared" ref="R1523:R1533" si="60">P1523-Q1523</f>
        <v>-6000</v>
      </c>
      <c r="S1523" s="428" t="str">
        <f>VLOOKUP(H1523,'Fund Utilization Report'!$A$4:$U$1800,13,FALSE)</f>
        <v>MOOE</v>
      </c>
      <c r="T1523" s="428" t="str">
        <f>VLOOKUP(H1523,'Fund Utilization Report'!$A$4:$U$1800,2,FALSE)</f>
        <v>GAA</v>
      </c>
      <c r="U1523" s="428" t="str">
        <f>VLOOKUP(H1523,'Fund Utilization Report'!$A$4:$U$1800,3,FALSE)</f>
        <v>FY2021, RA11518</v>
      </c>
      <c r="V1523" s="428" t="str">
        <f>VLOOKUP(H1523,'Fund Utilization Report'!$A$4:$U$1800,4,FALSE)</f>
        <v>OO3</v>
      </c>
      <c r="W1523" s="428" t="str">
        <f>VLOOKUP(H1523,'Fund Utilization Report'!$A$4:$U$1800,5,FALSE)</f>
        <v>01101101</v>
      </c>
      <c r="X1523" s="428" t="str">
        <f>VLOOKUP(H1523,'Fund Utilization Report'!$A$4:$U$1800,6,FALSE)</f>
        <v>GOP</v>
      </c>
      <c r="Y1523" s="320" t="str">
        <f>VLOOKUP(H1523,'Fund Utilization Report'!$A$4:$U$1800,7,FALSE)</f>
        <v>MOOE</v>
      </c>
      <c r="Z1523" s="425">
        <f>VLOOKUP(H1523,'Fund Utilization Report'!$A$4:$U$1800,8,FALSE)</f>
        <v>5020000000</v>
      </c>
      <c r="AA1523" s="428" t="str">
        <f>VLOOKUP(H1523,'Fund Utilization Report'!$A$4:$U$1800,14,FALSE)</f>
        <v>330100100002000</v>
      </c>
      <c r="AB1523" s="349" t="str">
        <f>VLOOKUP(H1523,'Fund Utilization Report'!$A$4:$U$1800,15,FALSE)</f>
        <v>Implementation of the MSME Development Plan and other initiatives to promote the growth of Micro, Small and Medium Enterprises</v>
      </c>
      <c r="AC1523" s="39"/>
      <c r="AD1523" s="34"/>
      <c r="AE1523" s="39"/>
      <c r="AF1523" s="51"/>
      <c r="AG1523" s="442"/>
      <c r="AH1523" s="442"/>
      <c r="AI1523" s="443"/>
    </row>
    <row r="1524" spans="1:35" s="32" customFormat="1" ht="29.25" customHeight="1">
      <c r="A1524" s="434" t="s">
        <v>942</v>
      </c>
      <c r="B1524" s="457" t="s">
        <v>946</v>
      </c>
      <c r="C1524" s="233">
        <v>44280</v>
      </c>
      <c r="D1524" s="435" t="s">
        <v>1267</v>
      </c>
      <c r="E1524" s="436" t="s">
        <v>1558</v>
      </c>
      <c r="F1524" s="338">
        <v>0.45</v>
      </c>
      <c r="G1524" s="338">
        <v>0.4513888888888889</v>
      </c>
      <c r="H1524" s="458" t="s">
        <v>971</v>
      </c>
      <c r="I1524" s="353">
        <v>773</v>
      </c>
      <c r="J1524" s="338" t="str">
        <f>IFERROR(VLOOKUP(I1524,'Chart of accounts'!A:H,2,FALSE),"")</f>
        <v>50205020 01</v>
      </c>
      <c r="K1524" s="338" t="str">
        <f>IFERROR(VLOOKUP(I1524,'Chart of accounts'!A:H,3,FALSE),"")</f>
        <v xml:space="preserve">Telephone Expenses - Mobile </v>
      </c>
      <c r="L1524" s="338" t="str">
        <f>IFERROR(VLOOKUP(I1524,'Chart of accounts'!A:H,4,FALSE),"")</f>
        <v>50205020 01 - Telephone Expenses - Mobile  (773)</v>
      </c>
      <c r="M1524" s="361" t="s">
        <v>1555</v>
      </c>
      <c r="N1524" s="355" t="s">
        <v>1539</v>
      </c>
      <c r="O1524" s="355" t="s">
        <v>1556</v>
      </c>
      <c r="P1524" s="355"/>
      <c r="Q1524" s="363">
        <v>10000</v>
      </c>
      <c r="R1524" s="428">
        <f t="shared" si="60"/>
        <v>-10000</v>
      </c>
      <c r="S1524" s="428" t="str">
        <f>VLOOKUP(H1524,'Fund Utilization Report'!$A$4:$U$1800,13,FALSE)</f>
        <v>MOOE</v>
      </c>
      <c r="T1524" s="428" t="str">
        <f>VLOOKUP(H1524,'Fund Utilization Report'!$A$4:$U$1800,2,FALSE)</f>
        <v>GAA</v>
      </c>
      <c r="U1524" s="428" t="str">
        <f>VLOOKUP(H1524,'Fund Utilization Report'!$A$4:$U$1800,3,FALSE)</f>
        <v>FY2021, RA11518</v>
      </c>
      <c r="V1524" s="428" t="str">
        <f>VLOOKUP(H1524,'Fund Utilization Report'!$A$4:$U$1800,4,FALSE)</f>
        <v>OO3</v>
      </c>
      <c r="W1524" s="428" t="str">
        <f>VLOOKUP(H1524,'Fund Utilization Report'!$A$4:$U$1800,5,FALSE)</f>
        <v>01101101</v>
      </c>
      <c r="X1524" s="428" t="str">
        <f>VLOOKUP(H1524,'Fund Utilization Report'!$A$4:$U$1800,6,FALSE)</f>
        <v>GOP</v>
      </c>
      <c r="Y1524" s="320" t="str">
        <f>VLOOKUP(H1524,'Fund Utilization Report'!$A$4:$U$1800,7,FALSE)</f>
        <v>MOOE</v>
      </c>
      <c r="Z1524" s="425">
        <f>VLOOKUP(H1524,'Fund Utilization Report'!$A$4:$U$1800,8,FALSE)</f>
        <v>5020000000</v>
      </c>
      <c r="AA1524" s="428" t="str">
        <f>VLOOKUP(H1524,'Fund Utilization Report'!$A$4:$U$1800,14,FALSE)</f>
        <v>330100100002000</v>
      </c>
      <c r="AB1524" s="349" t="str">
        <f>VLOOKUP(H1524,'Fund Utilization Report'!$A$4:$U$1800,15,FALSE)</f>
        <v>Implementation of the MSME Development Plan and other initiatives to promote the growth of Micro, Small and Medium Enterprises</v>
      </c>
      <c r="AC1524" s="39"/>
      <c r="AD1524" s="34"/>
      <c r="AE1524" s="39"/>
      <c r="AF1524" s="51"/>
      <c r="AG1524" s="442"/>
      <c r="AH1524" s="442"/>
      <c r="AI1524" s="443"/>
    </row>
    <row r="1525" spans="1:35" s="32" customFormat="1" ht="29.25" customHeight="1">
      <c r="A1525" s="434" t="s">
        <v>942</v>
      </c>
      <c r="B1525" s="457" t="s">
        <v>946</v>
      </c>
      <c r="C1525" s="233">
        <v>44280</v>
      </c>
      <c r="D1525" s="435" t="s">
        <v>1267</v>
      </c>
      <c r="E1525" s="436" t="s">
        <v>1558</v>
      </c>
      <c r="F1525" s="338">
        <v>0.45</v>
      </c>
      <c r="G1525" s="338">
        <v>0.4513888888888889</v>
      </c>
      <c r="H1525" s="458" t="s">
        <v>971</v>
      </c>
      <c r="I1525" s="353">
        <v>799</v>
      </c>
      <c r="J1525" s="338" t="str">
        <f>IFERROR(VLOOKUP(I1525,'Chart of accounts'!A:H,2,FALSE),"")</f>
        <v>50211990 00</v>
      </c>
      <c r="K1525" s="338" t="str">
        <f>IFERROR(VLOOKUP(I1525,'Chart of accounts'!A:H,3,FALSE),"")</f>
        <v>Other Professional Services</v>
      </c>
      <c r="L1525" s="338" t="str">
        <f>IFERROR(VLOOKUP(I1525,'Chart of accounts'!A:H,4,FALSE),"")</f>
        <v>50211990 00 - Other Professional Services (799)</v>
      </c>
      <c r="M1525" s="361" t="s">
        <v>1555</v>
      </c>
      <c r="N1525" s="355" t="s">
        <v>1539</v>
      </c>
      <c r="O1525" s="355" t="s">
        <v>1556</v>
      </c>
      <c r="P1525" s="355"/>
      <c r="Q1525" s="363">
        <v>120000</v>
      </c>
      <c r="R1525" s="428">
        <f t="shared" si="60"/>
        <v>-120000</v>
      </c>
      <c r="S1525" s="428" t="str">
        <f>VLOOKUP(H1525,'Fund Utilization Report'!$A$4:$U$1800,13,FALSE)</f>
        <v>MOOE</v>
      </c>
      <c r="T1525" s="428" t="str">
        <f>VLOOKUP(H1525,'Fund Utilization Report'!$A$4:$U$1800,2,FALSE)</f>
        <v>GAA</v>
      </c>
      <c r="U1525" s="428" t="str">
        <f>VLOOKUP(H1525,'Fund Utilization Report'!$A$4:$U$1800,3,FALSE)</f>
        <v>FY2021, RA11518</v>
      </c>
      <c r="V1525" s="428" t="str">
        <f>VLOOKUP(H1525,'Fund Utilization Report'!$A$4:$U$1800,4,FALSE)</f>
        <v>OO3</v>
      </c>
      <c r="W1525" s="428" t="str">
        <f>VLOOKUP(H1525,'Fund Utilization Report'!$A$4:$U$1800,5,FALSE)</f>
        <v>01101101</v>
      </c>
      <c r="X1525" s="428" t="str">
        <f>VLOOKUP(H1525,'Fund Utilization Report'!$A$4:$U$1800,6,FALSE)</f>
        <v>GOP</v>
      </c>
      <c r="Y1525" s="320" t="str">
        <f>VLOOKUP(H1525,'Fund Utilization Report'!$A$4:$U$1800,7,FALSE)</f>
        <v>MOOE</v>
      </c>
      <c r="Z1525" s="425">
        <f>VLOOKUP(H1525,'Fund Utilization Report'!$A$4:$U$1800,8,FALSE)</f>
        <v>5020000000</v>
      </c>
      <c r="AA1525" s="428" t="str">
        <f>VLOOKUP(H1525,'Fund Utilization Report'!$A$4:$U$1800,14,FALSE)</f>
        <v>330100100002000</v>
      </c>
      <c r="AB1525" s="349" t="str">
        <f>VLOOKUP(H1525,'Fund Utilization Report'!$A$4:$U$1800,15,FALSE)</f>
        <v>Implementation of the MSME Development Plan and other initiatives to promote the growth of Micro, Small and Medium Enterprises</v>
      </c>
      <c r="AC1525" s="39"/>
      <c r="AD1525" s="34"/>
      <c r="AE1525" s="39"/>
      <c r="AF1525" s="51"/>
      <c r="AG1525" s="442"/>
      <c r="AH1525" s="442"/>
      <c r="AI1525" s="443"/>
    </row>
    <row r="1526" spans="1:35" s="32" customFormat="1" ht="29.25" customHeight="1">
      <c r="A1526" s="434" t="s">
        <v>942</v>
      </c>
      <c r="B1526" s="457" t="s">
        <v>946</v>
      </c>
      <c r="C1526" s="233">
        <v>44280</v>
      </c>
      <c r="D1526" s="435" t="s">
        <v>1267</v>
      </c>
      <c r="E1526" s="436" t="s">
        <v>1558</v>
      </c>
      <c r="F1526" s="338">
        <v>0.45</v>
      </c>
      <c r="G1526" s="338">
        <v>0.4513888888888889</v>
      </c>
      <c r="H1526" s="458" t="s">
        <v>971</v>
      </c>
      <c r="I1526" s="353">
        <v>783</v>
      </c>
      <c r="J1526" s="338" t="str">
        <f>IFERROR(VLOOKUP(I1526,'Chart of accounts'!A:H,2,FALSE),"")</f>
        <v>50299030 00</v>
      </c>
      <c r="K1526" s="338" t="str">
        <f>IFERROR(VLOOKUP(I1526,'Chart of accounts'!A:H,3,FALSE),"")</f>
        <v>Representation Expenses</v>
      </c>
      <c r="L1526" s="338" t="str">
        <f>IFERROR(VLOOKUP(I1526,'Chart of accounts'!A:H,4,FALSE),"")</f>
        <v>50299030 00 - Representation Expenses (783)</v>
      </c>
      <c r="M1526" s="361" t="s">
        <v>1555</v>
      </c>
      <c r="N1526" s="355" t="s">
        <v>1539</v>
      </c>
      <c r="O1526" s="355" t="s">
        <v>1556</v>
      </c>
      <c r="P1526" s="355"/>
      <c r="Q1526" s="363">
        <v>140000</v>
      </c>
      <c r="R1526" s="428">
        <f t="shared" si="60"/>
        <v>-140000</v>
      </c>
      <c r="S1526" s="428" t="str">
        <f>VLOOKUP(H1526,'Fund Utilization Report'!$A$4:$U$1800,13,FALSE)</f>
        <v>MOOE</v>
      </c>
      <c r="T1526" s="428" t="str">
        <f>VLOOKUP(H1526,'Fund Utilization Report'!$A$4:$U$1800,2,FALSE)</f>
        <v>GAA</v>
      </c>
      <c r="U1526" s="428" t="str">
        <f>VLOOKUP(H1526,'Fund Utilization Report'!$A$4:$U$1800,3,FALSE)</f>
        <v>FY2021, RA11518</v>
      </c>
      <c r="V1526" s="428" t="str">
        <f>VLOOKUP(H1526,'Fund Utilization Report'!$A$4:$U$1800,4,FALSE)</f>
        <v>OO3</v>
      </c>
      <c r="W1526" s="428" t="str">
        <f>VLOOKUP(H1526,'Fund Utilization Report'!$A$4:$U$1800,5,FALSE)</f>
        <v>01101101</v>
      </c>
      <c r="X1526" s="428" t="str">
        <f>VLOOKUP(H1526,'Fund Utilization Report'!$A$4:$U$1800,6,FALSE)</f>
        <v>GOP</v>
      </c>
      <c r="Y1526" s="320" t="str">
        <f>VLOOKUP(H1526,'Fund Utilization Report'!$A$4:$U$1800,7,FALSE)</f>
        <v>MOOE</v>
      </c>
      <c r="Z1526" s="425">
        <f>VLOOKUP(H1526,'Fund Utilization Report'!$A$4:$U$1800,8,FALSE)</f>
        <v>5020000000</v>
      </c>
      <c r="AA1526" s="428" t="str">
        <f>VLOOKUP(H1526,'Fund Utilization Report'!$A$4:$U$1800,14,FALSE)</f>
        <v>330100100002000</v>
      </c>
      <c r="AB1526" s="349" t="str">
        <f>VLOOKUP(H1526,'Fund Utilization Report'!$A$4:$U$1800,15,FALSE)</f>
        <v>Implementation of the MSME Development Plan and other initiatives to promote the growth of Micro, Small and Medium Enterprises</v>
      </c>
      <c r="AC1526" s="39"/>
      <c r="AD1526" s="34"/>
      <c r="AE1526" s="39"/>
      <c r="AF1526" s="51"/>
      <c r="AG1526" s="442"/>
      <c r="AH1526" s="442"/>
      <c r="AI1526" s="443"/>
    </row>
    <row r="1527" spans="1:35" s="32" customFormat="1" ht="29.25" customHeight="1">
      <c r="A1527" s="434" t="s">
        <v>942</v>
      </c>
      <c r="B1527" s="457" t="s">
        <v>946</v>
      </c>
      <c r="C1527" s="233">
        <v>44280</v>
      </c>
      <c r="D1527" s="435" t="s">
        <v>1267</v>
      </c>
      <c r="E1527" s="436" t="s">
        <v>1558</v>
      </c>
      <c r="F1527" s="338">
        <v>0.45</v>
      </c>
      <c r="G1527" s="338">
        <v>0.4513888888888889</v>
      </c>
      <c r="H1527" s="458" t="s">
        <v>971</v>
      </c>
      <c r="I1527" s="353">
        <v>795</v>
      </c>
      <c r="J1527" s="338" t="str">
        <f>IFERROR(VLOOKUP(I1527,'Chart of accounts'!A:H,2,FALSE),"")</f>
        <v>50212990 00</v>
      </c>
      <c r="K1527" s="338" t="str">
        <f>IFERROR(VLOOKUP(I1527,'Chart of accounts'!A:H,3,FALSE),"")</f>
        <v>Other General Services</v>
      </c>
      <c r="L1527" s="338" t="str">
        <f>IFERROR(VLOOKUP(I1527,'Chart of accounts'!A:H,4,FALSE),"")</f>
        <v>50212990 00 - Other General Services (795)</v>
      </c>
      <c r="M1527" s="361" t="s">
        <v>1555</v>
      </c>
      <c r="N1527" s="355" t="s">
        <v>1539</v>
      </c>
      <c r="O1527" s="355" t="s">
        <v>1556</v>
      </c>
      <c r="P1527" s="355"/>
      <c r="Q1527" s="363">
        <v>40000</v>
      </c>
      <c r="R1527" s="428">
        <f t="shared" si="60"/>
        <v>-40000</v>
      </c>
      <c r="S1527" s="428" t="str">
        <f>VLOOKUP(H1527,'Fund Utilization Report'!$A$4:$U$1800,13,FALSE)</f>
        <v>MOOE</v>
      </c>
      <c r="T1527" s="428" t="str">
        <f>VLOOKUP(H1527,'Fund Utilization Report'!$A$4:$U$1800,2,FALSE)</f>
        <v>GAA</v>
      </c>
      <c r="U1527" s="428" t="str">
        <f>VLOOKUP(H1527,'Fund Utilization Report'!$A$4:$U$1800,3,FALSE)</f>
        <v>FY2021, RA11518</v>
      </c>
      <c r="V1527" s="428" t="str">
        <f>VLOOKUP(H1527,'Fund Utilization Report'!$A$4:$U$1800,4,FALSE)</f>
        <v>OO3</v>
      </c>
      <c r="W1527" s="428" t="str">
        <f>VLOOKUP(H1527,'Fund Utilization Report'!$A$4:$U$1800,5,FALSE)</f>
        <v>01101101</v>
      </c>
      <c r="X1527" s="428" t="str">
        <f>VLOOKUP(H1527,'Fund Utilization Report'!$A$4:$U$1800,6,FALSE)</f>
        <v>GOP</v>
      </c>
      <c r="Y1527" s="320" t="str">
        <f>VLOOKUP(H1527,'Fund Utilization Report'!$A$4:$U$1800,7,FALSE)</f>
        <v>MOOE</v>
      </c>
      <c r="Z1527" s="425">
        <f>VLOOKUP(H1527,'Fund Utilization Report'!$A$4:$U$1800,8,FALSE)</f>
        <v>5020000000</v>
      </c>
      <c r="AA1527" s="428" t="str">
        <f>VLOOKUP(H1527,'Fund Utilization Report'!$A$4:$U$1800,14,FALSE)</f>
        <v>330100100002000</v>
      </c>
      <c r="AB1527" s="349" t="str">
        <f>VLOOKUP(H1527,'Fund Utilization Report'!$A$4:$U$1800,15,FALSE)</f>
        <v>Implementation of the MSME Development Plan and other initiatives to promote the growth of Micro, Small and Medium Enterprises</v>
      </c>
      <c r="AC1527" s="39"/>
      <c r="AD1527" s="34"/>
      <c r="AE1527" s="39"/>
      <c r="AF1527" s="51"/>
      <c r="AG1527" s="442"/>
      <c r="AH1527" s="442"/>
      <c r="AI1527" s="443"/>
    </row>
    <row r="1528" spans="1:35" s="32" customFormat="1" ht="29.25" customHeight="1">
      <c r="A1528" s="434" t="s">
        <v>942</v>
      </c>
      <c r="B1528" s="457" t="s">
        <v>946</v>
      </c>
      <c r="C1528" s="233">
        <v>44280</v>
      </c>
      <c r="D1528" s="435" t="s">
        <v>1267</v>
      </c>
      <c r="E1528" s="436" t="s">
        <v>1558</v>
      </c>
      <c r="F1528" s="338">
        <v>0.45</v>
      </c>
      <c r="G1528" s="338">
        <v>0.4513888888888889</v>
      </c>
      <c r="H1528" s="458" t="s">
        <v>971</v>
      </c>
      <c r="I1528" s="353">
        <v>796</v>
      </c>
      <c r="J1528" s="338" t="str">
        <f>IFERROR(VLOOKUP(I1528,'Chart of accounts'!A:H,2,FALSE),"")</f>
        <v>50212020 00</v>
      </c>
      <c r="K1528" s="338" t="str">
        <f>IFERROR(VLOOKUP(I1528,'Chart of accounts'!A:H,3,FALSE),"")</f>
        <v>Janitorial Services</v>
      </c>
      <c r="L1528" s="338" t="str">
        <f>IFERROR(VLOOKUP(I1528,'Chart of accounts'!A:H,4,FALSE),"")</f>
        <v>50212020 00 - Janitorial Services (796)</v>
      </c>
      <c r="M1528" s="361" t="s">
        <v>1555</v>
      </c>
      <c r="N1528" s="355" t="s">
        <v>1539</v>
      </c>
      <c r="O1528" s="355" t="s">
        <v>1556</v>
      </c>
      <c r="P1528" s="355"/>
      <c r="Q1528" s="363">
        <v>64000</v>
      </c>
      <c r="R1528" s="428">
        <f t="shared" si="60"/>
        <v>-64000</v>
      </c>
      <c r="S1528" s="428" t="str">
        <f>VLOOKUP(H1528,'Fund Utilization Report'!$A$4:$U$1800,13,FALSE)</f>
        <v>MOOE</v>
      </c>
      <c r="T1528" s="428" t="str">
        <f>VLOOKUP(H1528,'Fund Utilization Report'!$A$4:$U$1800,2,FALSE)</f>
        <v>GAA</v>
      </c>
      <c r="U1528" s="428" t="str">
        <f>VLOOKUP(H1528,'Fund Utilization Report'!$A$4:$U$1800,3,FALSE)</f>
        <v>FY2021, RA11518</v>
      </c>
      <c r="V1528" s="428" t="str">
        <f>VLOOKUP(H1528,'Fund Utilization Report'!$A$4:$U$1800,4,FALSE)</f>
        <v>OO3</v>
      </c>
      <c r="W1528" s="428" t="str">
        <f>VLOOKUP(H1528,'Fund Utilization Report'!$A$4:$U$1800,5,FALSE)</f>
        <v>01101101</v>
      </c>
      <c r="X1528" s="428" t="str">
        <f>VLOOKUP(H1528,'Fund Utilization Report'!$A$4:$U$1800,6,FALSE)</f>
        <v>GOP</v>
      </c>
      <c r="Y1528" s="320" t="str">
        <f>VLOOKUP(H1528,'Fund Utilization Report'!$A$4:$U$1800,7,FALSE)</f>
        <v>MOOE</v>
      </c>
      <c r="Z1528" s="425">
        <f>VLOOKUP(H1528,'Fund Utilization Report'!$A$4:$U$1800,8,FALSE)</f>
        <v>5020000000</v>
      </c>
      <c r="AA1528" s="428" t="str">
        <f>VLOOKUP(H1528,'Fund Utilization Report'!$A$4:$U$1800,14,FALSE)</f>
        <v>330100100002000</v>
      </c>
      <c r="AB1528" s="349" t="str">
        <f>VLOOKUP(H1528,'Fund Utilization Report'!$A$4:$U$1800,15,FALSE)</f>
        <v>Implementation of the MSME Development Plan and other initiatives to promote the growth of Micro, Small and Medium Enterprises</v>
      </c>
      <c r="AC1528" s="39"/>
      <c r="AD1528" s="34"/>
      <c r="AE1528" s="39"/>
      <c r="AF1528" s="51"/>
      <c r="AG1528" s="442"/>
      <c r="AH1528" s="442"/>
      <c r="AI1528" s="443"/>
    </row>
    <row r="1529" spans="1:35" s="32" customFormat="1" ht="29.25" customHeight="1">
      <c r="A1529" s="434" t="s">
        <v>942</v>
      </c>
      <c r="B1529" s="457" t="s">
        <v>946</v>
      </c>
      <c r="C1529" s="233">
        <v>44280</v>
      </c>
      <c r="D1529" s="435" t="s">
        <v>1267</v>
      </c>
      <c r="E1529" s="436" t="s">
        <v>1559</v>
      </c>
      <c r="F1529" s="338">
        <v>0.4513888888888889</v>
      </c>
      <c r="G1529" s="338">
        <v>0.45555555555555555</v>
      </c>
      <c r="H1529" s="458" t="s">
        <v>971</v>
      </c>
      <c r="I1529" s="353">
        <v>751</v>
      </c>
      <c r="J1529" s="338" t="str">
        <f>IFERROR(VLOOKUP(I1529,'Chart of accounts'!A:H,2,FALSE),"")</f>
        <v>50201010 00</v>
      </c>
      <c r="K1529" s="338" t="str">
        <f>IFERROR(VLOOKUP(I1529,'Chart of accounts'!A:H,3,FALSE),"")</f>
        <v>Traveling Expenses - Local</v>
      </c>
      <c r="L1529" s="338" t="str">
        <f>IFERROR(VLOOKUP(I1529,'Chart of accounts'!A:H,4,FALSE),"")</f>
        <v>50201010 00 - Traveling Expenses - Local (751)</v>
      </c>
      <c r="M1529" s="361" t="s">
        <v>1555</v>
      </c>
      <c r="N1529" s="355" t="s">
        <v>822</v>
      </c>
      <c r="O1529" s="355" t="s">
        <v>1556</v>
      </c>
      <c r="P1529" s="355"/>
      <c r="Q1529" s="363">
        <v>190000</v>
      </c>
      <c r="R1529" s="428">
        <f t="shared" si="60"/>
        <v>-190000</v>
      </c>
      <c r="S1529" s="428" t="str">
        <f>VLOOKUP(H1529,'Fund Utilization Report'!$A$4:$U$1800,13,FALSE)</f>
        <v>MOOE</v>
      </c>
      <c r="T1529" s="428" t="str">
        <f>VLOOKUP(H1529,'Fund Utilization Report'!$A$4:$U$1800,2,FALSE)</f>
        <v>GAA</v>
      </c>
      <c r="U1529" s="428" t="str">
        <f>VLOOKUP(H1529,'Fund Utilization Report'!$A$4:$U$1800,3,FALSE)</f>
        <v>FY2021, RA11518</v>
      </c>
      <c r="V1529" s="428" t="str">
        <f>VLOOKUP(H1529,'Fund Utilization Report'!$A$4:$U$1800,4,FALSE)</f>
        <v>OO3</v>
      </c>
      <c r="W1529" s="428" t="str">
        <f>VLOOKUP(H1529,'Fund Utilization Report'!$A$4:$U$1800,5,FALSE)</f>
        <v>01101101</v>
      </c>
      <c r="X1529" s="428" t="str">
        <f>VLOOKUP(H1529,'Fund Utilization Report'!$A$4:$U$1800,6,FALSE)</f>
        <v>GOP</v>
      </c>
      <c r="Y1529" s="320" t="str">
        <f>VLOOKUP(H1529,'Fund Utilization Report'!$A$4:$U$1800,7,FALSE)</f>
        <v>MOOE</v>
      </c>
      <c r="Z1529" s="425">
        <f>VLOOKUP(H1529,'Fund Utilization Report'!$A$4:$U$1800,8,FALSE)</f>
        <v>5020000000</v>
      </c>
      <c r="AA1529" s="428" t="str">
        <f>VLOOKUP(H1529,'Fund Utilization Report'!$A$4:$U$1800,14,FALSE)</f>
        <v>330100100002000</v>
      </c>
      <c r="AB1529" s="349" t="str">
        <f>VLOOKUP(H1529,'Fund Utilization Report'!$A$4:$U$1800,15,FALSE)</f>
        <v>Implementation of the MSME Development Plan and other initiatives to promote the growth of Micro, Small and Medium Enterprises</v>
      </c>
      <c r="AC1529" s="39"/>
      <c r="AD1529" s="34"/>
      <c r="AE1529" s="39"/>
      <c r="AF1529" s="51"/>
      <c r="AG1529" s="442"/>
      <c r="AH1529" s="442"/>
      <c r="AI1529" s="443"/>
    </row>
    <row r="1530" spans="1:35" s="32" customFormat="1" ht="29.25" customHeight="1">
      <c r="A1530" s="434" t="s">
        <v>942</v>
      </c>
      <c r="B1530" s="457" t="s">
        <v>946</v>
      </c>
      <c r="C1530" s="233">
        <v>44280</v>
      </c>
      <c r="D1530" s="435" t="s">
        <v>1267</v>
      </c>
      <c r="E1530" s="436" t="s">
        <v>1559</v>
      </c>
      <c r="F1530" s="338">
        <v>0.4513888888888889</v>
      </c>
      <c r="G1530" s="338">
        <v>0.45555555555555555</v>
      </c>
      <c r="H1530" s="458" t="s">
        <v>971</v>
      </c>
      <c r="I1530" s="353">
        <v>755</v>
      </c>
      <c r="J1530" s="338" t="str">
        <f>IFERROR(VLOOKUP(I1530,'Chart of accounts'!A:H,2,FALSE),"")</f>
        <v>50203010 00</v>
      </c>
      <c r="K1530" s="338" t="str">
        <f>IFERROR(VLOOKUP(I1530,'Chart of accounts'!A:H,3,FALSE),"")</f>
        <v>Office Supplies Expenses</v>
      </c>
      <c r="L1530" s="338" t="str">
        <f>IFERROR(VLOOKUP(I1530,'Chart of accounts'!A:H,4,FALSE),"")</f>
        <v>50203010 00 - Office Supplies Expenses (755)</v>
      </c>
      <c r="M1530" s="361" t="s">
        <v>1555</v>
      </c>
      <c r="N1530" s="355" t="s">
        <v>822</v>
      </c>
      <c r="O1530" s="355" t="s">
        <v>1556</v>
      </c>
      <c r="P1530" s="355"/>
      <c r="Q1530" s="363">
        <v>20000</v>
      </c>
      <c r="R1530" s="428">
        <f t="shared" si="60"/>
        <v>-20000</v>
      </c>
      <c r="S1530" s="428" t="str">
        <f>VLOOKUP(H1530,'Fund Utilization Report'!$A$4:$U$1800,13,FALSE)</f>
        <v>MOOE</v>
      </c>
      <c r="T1530" s="428" t="str">
        <f>VLOOKUP(H1530,'Fund Utilization Report'!$A$4:$U$1800,2,FALSE)</f>
        <v>GAA</v>
      </c>
      <c r="U1530" s="428" t="str">
        <f>VLOOKUP(H1530,'Fund Utilization Report'!$A$4:$U$1800,3,FALSE)</f>
        <v>FY2021, RA11518</v>
      </c>
      <c r="V1530" s="428" t="str">
        <f>VLOOKUP(H1530,'Fund Utilization Report'!$A$4:$U$1800,4,FALSE)</f>
        <v>OO3</v>
      </c>
      <c r="W1530" s="428" t="str">
        <f>VLOOKUP(H1530,'Fund Utilization Report'!$A$4:$U$1800,5,FALSE)</f>
        <v>01101101</v>
      </c>
      <c r="X1530" s="428" t="str">
        <f>VLOOKUP(H1530,'Fund Utilization Report'!$A$4:$U$1800,6,FALSE)</f>
        <v>GOP</v>
      </c>
      <c r="Y1530" s="320" t="str">
        <f>VLOOKUP(H1530,'Fund Utilization Report'!$A$4:$U$1800,7,FALSE)</f>
        <v>MOOE</v>
      </c>
      <c r="Z1530" s="425">
        <f>VLOOKUP(H1530,'Fund Utilization Report'!$A$4:$U$1800,8,FALSE)</f>
        <v>5020000000</v>
      </c>
      <c r="AA1530" s="428" t="str">
        <f>VLOOKUP(H1530,'Fund Utilization Report'!$A$4:$U$1800,14,FALSE)</f>
        <v>330100100002000</v>
      </c>
      <c r="AB1530" s="349" t="str">
        <f>VLOOKUP(H1530,'Fund Utilization Report'!$A$4:$U$1800,15,FALSE)</f>
        <v>Implementation of the MSME Development Plan and other initiatives to promote the growth of Micro, Small and Medium Enterprises</v>
      </c>
      <c r="AC1530" s="39"/>
      <c r="AD1530" s="34"/>
      <c r="AE1530" s="39"/>
      <c r="AF1530" s="51"/>
      <c r="AG1530" s="442"/>
      <c r="AH1530" s="442"/>
      <c r="AI1530" s="443"/>
    </row>
    <row r="1531" spans="1:35" s="32" customFormat="1" ht="29.25" customHeight="1">
      <c r="A1531" s="434" t="s">
        <v>942</v>
      </c>
      <c r="B1531" s="457" t="s">
        <v>946</v>
      </c>
      <c r="C1531" s="233">
        <v>44280</v>
      </c>
      <c r="D1531" s="435" t="s">
        <v>1267</v>
      </c>
      <c r="E1531" s="436" t="s">
        <v>1559</v>
      </c>
      <c r="F1531" s="338">
        <v>0.4513888888888889</v>
      </c>
      <c r="G1531" s="338">
        <v>0.45555555555555555</v>
      </c>
      <c r="H1531" s="458" t="s">
        <v>971</v>
      </c>
      <c r="I1531" s="353">
        <v>771</v>
      </c>
      <c r="J1531" s="338" t="str">
        <f>IFERROR(VLOOKUP(I1531,'Chart of accounts'!A:H,2,FALSE),"")</f>
        <v>50205010 00</v>
      </c>
      <c r="K1531" s="338" t="str">
        <f>IFERROR(VLOOKUP(I1531,'Chart of accounts'!A:H,3,FALSE),"")</f>
        <v>Postage and Courier Services</v>
      </c>
      <c r="L1531" s="338" t="str">
        <f>IFERROR(VLOOKUP(I1531,'Chart of accounts'!A:H,4,FALSE),"")</f>
        <v>50205010 00 - Postage and Courier Services (771)</v>
      </c>
      <c r="M1531" s="361" t="s">
        <v>1555</v>
      </c>
      <c r="N1531" s="355" t="s">
        <v>822</v>
      </c>
      <c r="O1531" s="355" t="s">
        <v>1556</v>
      </c>
      <c r="P1531" s="355"/>
      <c r="Q1531" s="363">
        <v>6000</v>
      </c>
      <c r="R1531" s="428">
        <f t="shared" si="60"/>
        <v>-6000</v>
      </c>
      <c r="S1531" s="428" t="str">
        <f>VLOOKUP(H1531,'Fund Utilization Report'!$A$4:$U$1800,13,FALSE)</f>
        <v>MOOE</v>
      </c>
      <c r="T1531" s="428" t="str">
        <f>VLOOKUP(H1531,'Fund Utilization Report'!$A$4:$U$1800,2,FALSE)</f>
        <v>GAA</v>
      </c>
      <c r="U1531" s="428" t="str">
        <f>VLOOKUP(H1531,'Fund Utilization Report'!$A$4:$U$1800,3,FALSE)</f>
        <v>FY2021, RA11518</v>
      </c>
      <c r="V1531" s="428" t="str">
        <f>VLOOKUP(H1531,'Fund Utilization Report'!$A$4:$U$1800,4,FALSE)</f>
        <v>OO3</v>
      </c>
      <c r="W1531" s="428" t="str">
        <f>VLOOKUP(H1531,'Fund Utilization Report'!$A$4:$U$1800,5,FALSE)</f>
        <v>01101101</v>
      </c>
      <c r="X1531" s="428" t="str">
        <f>VLOOKUP(H1531,'Fund Utilization Report'!$A$4:$U$1800,6,FALSE)</f>
        <v>GOP</v>
      </c>
      <c r="Y1531" s="320" t="str">
        <f>VLOOKUP(H1531,'Fund Utilization Report'!$A$4:$U$1800,7,FALSE)</f>
        <v>MOOE</v>
      </c>
      <c r="Z1531" s="425">
        <f>VLOOKUP(H1531,'Fund Utilization Report'!$A$4:$U$1800,8,FALSE)</f>
        <v>5020000000</v>
      </c>
      <c r="AA1531" s="428" t="str">
        <f>VLOOKUP(H1531,'Fund Utilization Report'!$A$4:$U$1800,14,FALSE)</f>
        <v>330100100002000</v>
      </c>
      <c r="AB1531" s="349" t="str">
        <f>VLOOKUP(H1531,'Fund Utilization Report'!$A$4:$U$1800,15,FALSE)</f>
        <v>Implementation of the MSME Development Plan and other initiatives to promote the growth of Micro, Small and Medium Enterprises</v>
      </c>
      <c r="AC1531" s="39"/>
      <c r="AD1531" s="34"/>
      <c r="AE1531" s="39"/>
      <c r="AF1531" s="51"/>
      <c r="AG1531" s="442"/>
      <c r="AH1531" s="442"/>
      <c r="AI1531" s="443"/>
    </row>
    <row r="1532" spans="1:35" s="32" customFormat="1" ht="29.25" customHeight="1">
      <c r="A1532" s="434" t="s">
        <v>942</v>
      </c>
      <c r="B1532" s="457" t="s">
        <v>946</v>
      </c>
      <c r="C1532" s="233">
        <v>44280</v>
      </c>
      <c r="D1532" s="435" t="s">
        <v>1267</v>
      </c>
      <c r="E1532" s="436" t="s">
        <v>1559</v>
      </c>
      <c r="F1532" s="338">
        <v>0.4513888888888889</v>
      </c>
      <c r="G1532" s="338">
        <v>0.45555555555555555</v>
      </c>
      <c r="H1532" s="458" t="s">
        <v>971</v>
      </c>
      <c r="I1532" s="353">
        <v>773</v>
      </c>
      <c r="J1532" s="338" t="str">
        <f>IFERROR(VLOOKUP(I1532,'Chart of accounts'!A:H,2,FALSE),"")</f>
        <v>50205020 01</v>
      </c>
      <c r="K1532" s="338" t="str">
        <f>IFERROR(VLOOKUP(I1532,'Chart of accounts'!A:H,3,FALSE),"")</f>
        <v xml:space="preserve">Telephone Expenses - Mobile </v>
      </c>
      <c r="L1532" s="338" t="str">
        <f>IFERROR(VLOOKUP(I1532,'Chart of accounts'!A:H,4,FALSE),"")</f>
        <v>50205020 01 - Telephone Expenses - Mobile  (773)</v>
      </c>
      <c r="M1532" s="361" t="s">
        <v>1555</v>
      </c>
      <c r="N1532" s="355" t="s">
        <v>822</v>
      </c>
      <c r="O1532" s="355" t="s">
        <v>1556</v>
      </c>
      <c r="P1532" s="355"/>
      <c r="Q1532" s="363">
        <v>10000</v>
      </c>
      <c r="R1532" s="428">
        <f t="shared" si="60"/>
        <v>-10000</v>
      </c>
      <c r="S1532" s="428" t="str">
        <f>VLOOKUP(H1532,'Fund Utilization Report'!$A$4:$U$1800,13,FALSE)</f>
        <v>MOOE</v>
      </c>
      <c r="T1532" s="428" t="str">
        <f>VLOOKUP(H1532,'Fund Utilization Report'!$A$4:$U$1800,2,FALSE)</f>
        <v>GAA</v>
      </c>
      <c r="U1532" s="428" t="str">
        <f>VLOOKUP(H1532,'Fund Utilization Report'!$A$4:$U$1800,3,FALSE)</f>
        <v>FY2021, RA11518</v>
      </c>
      <c r="V1532" s="428" t="str">
        <f>VLOOKUP(H1532,'Fund Utilization Report'!$A$4:$U$1800,4,FALSE)</f>
        <v>OO3</v>
      </c>
      <c r="W1532" s="428" t="str">
        <f>VLOOKUP(H1532,'Fund Utilization Report'!$A$4:$U$1800,5,FALSE)</f>
        <v>01101101</v>
      </c>
      <c r="X1532" s="428" t="str">
        <f>VLOOKUP(H1532,'Fund Utilization Report'!$A$4:$U$1800,6,FALSE)</f>
        <v>GOP</v>
      </c>
      <c r="Y1532" s="320" t="str">
        <f>VLOOKUP(H1532,'Fund Utilization Report'!$A$4:$U$1800,7,FALSE)</f>
        <v>MOOE</v>
      </c>
      <c r="Z1532" s="425">
        <f>VLOOKUP(H1532,'Fund Utilization Report'!$A$4:$U$1800,8,FALSE)</f>
        <v>5020000000</v>
      </c>
      <c r="AA1532" s="428" t="str">
        <f>VLOOKUP(H1532,'Fund Utilization Report'!$A$4:$U$1800,14,FALSE)</f>
        <v>330100100002000</v>
      </c>
      <c r="AB1532" s="349" t="str">
        <f>VLOOKUP(H1532,'Fund Utilization Report'!$A$4:$U$1800,15,FALSE)</f>
        <v>Implementation of the MSME Development Plan and other initiatives to promote the growth of Micro, Small and Medium Enterprises</v>
      </c>
      <c r="AC1532" s="39"/>
      <c r="AD1532" s="34"/>
      <c r="AE1532" s="39"/>
      <c r="AF1532" s="51"/>
      <c r="AG1532" s="442"/>
      <c r="AH1532" s="442"/>
      <c r="AI1532" s="443"/>
    </row>
    <row r="1533" spans="1:35" s="32" customFormat="1" ht="29.25" customHeight="1">
      <c r="A1533" s="434" t="s">
        <v>942</v>
      </c>
      <c r="B1533" s="457" t="s">
        <v>946</v>
      </c>
      <c r="C1533" s="233">
        <v>44280</v>
      </c>
      <c r="D1533" s="435" t="s">
        <v>1267</v>
      </c>
      <c r="E1533" s="436" t="s">
        <v>1559</v>
      </c>
      <c r="F1533" s="338">
        <v>0.4513888888888889</v>
      </c>
      <c r="G1533" s="338">
        <v>0.45555555555555555</v>
      </c>
      <c r="H1533" s="458" t="s">
        <v>971</v>
      </c>
      <c r="I1533" s="353">
        <v>799</v>
      </c>
      <c r="J1533" s="338" t="str">
        <f>IFERROR(VLOOKUP(I1533,'Chart of accounts'!A:H,2,FALSE),"")</f>
        <v>50211990 00</v>
      </c>
      <c r="K1533" s="338" t="str">
        <f>IFERROR(VLOOKUP(I1533,'Chart of accounts'!A:H,3,FALSE),"")</f>
        <v>Other Professional Services</v>
      </c>
      <c r="L1533" s="338" t="str">
        <f>IFERROR(VLOOKUP(I1533,'Chart of accounts'!A:H,4,FALSE),"")</f>
        <v>50211990 00 - Other Professional Services (799)</v>
      </c>
      <c r="M1533" s="361" t="s">
        <v>1555</v>
      </c>
      <c r="N1533" s="355" t="s">
        <v>822</v>
      </c>
      <c r="O1533" s="355" t="s">
        <v>1556</v>
      </c>
      <c r="P1533" s="355"/>
      <c r="Q1533" s="363">
        <v>120000</v>
      </c>
      <c r="R1533" s="428">
        <f t="shared" si="60"/>
        <v>-120000</v>
      </c>
      <c r="S1533" s="428" t="str">
        <f>VLOOKUP(H1533,'Fund Utilization Report'!$A$4:$U$1800,13,FALSE)</f>
        <v>MOOE</v>
      </c>
      <c r="T1533" s="428" t="str">
        <f>VLOOKUP(H1533,'Fund Utilization Report'!$A$4:$U$1800,2,FALSE)</f>
        <v>GAA</v>
      </c>
      <c r="U1533" s="428" t="str">
        <f>VLOOKUP(H1533,'Fund Utilization Report'!$A$4:$U$1800,3,FALSE)</f>
        <v>FY2021, RA11518</v>
      </c>
      <c r="V1533" s="428" t="str">
        <f>VLOOKUP(H1533,'Fund Utilization Report'!$A$4:$U$1800,4,FALSE)</f>
        <v>OO3</v>
      </c>
      <c r="W1533" s="428" t="str">
        <f>VLOOKUP(H1533,'Fund Utilization Report'!$A$4:$U$1800,5,FALSE)</f>
        <v>01101101</v>
      </c>
      <c r="X1533" s="428" t="str">
        <f>VLOOKUP(H1533,'Fund Utilization Report'!$A$4:$U$1800,6,FALSE)</f>
        <v>GOP</v>
      </c>
      <c r="Y1533" s="320" t="str">
        <f>VLOOKUP(H1533,'Fund Utilization Report'!$A$4:$U$1800,7,FALSE)</f>
        <v>MOOE</v>
      </c>
      <c r="Z1533" s="425">
        <f>VLOOKUP(H1533,'Fund Utilization Report'!$A$4:$U$1800,8,FALSE)</f>
        <v>5020000000</v>
      </c>
      <c r="AA1533" s="428" t="str">
        <f>VLOOKUP(H1533,'Fund Utilization Report'!$A$4:$U$1800,14,FALSE)</f>
        <v>330100100002000</v>
      </c>
      <c r="AB1533" s="349" t="str">
        <f>VLOOKUP(H1533,'Fund Utilization Report'!$A$4:$U$1800,15,FALSE)</f>
        <v>Implementation of the MSME Development Plan and other initiatives to promote the growth of Micro, Small and Medium Enterprises</v>
      </c>
      <c r="AC1533" s="39"/>
      <c r="AD1533" s="34"/>
      <c r="AE1533" s="39"/>
      <c r="AF1533" s="51"/>
      <c r="AG1533" s="442"/>
      <c r="AH1533" s="442"/>
      <c r="AI1533" s="443"/>
    </row>
    <row r="1534" spans="1:35" s="32" customFormat="1" ht="29.25" customHeight="1">
      <c r="A1534" s="434" t="s">
        <v>942</v>
      </c>
      <c r="B1534" s="457" t="s">
        <v>946</v>
      </c>
      <c r="C1534" s="233">
        <v>44280</v>
      </c>
      <c r="D1534" s="435" t="s">
        <v>1267</v>
      </c>
      <c r="E1534" s="436" t="s">
        <v>1559</v>
      </c>
      <c r="F1534" s="338">
        <v>0.4513888888888889</v>
      </c>
      <c r="G1534" s="338">
        <v>0.45555555555555555</v>
      </c>
      <c r="H1534" s="458" t="s">
        <v>971</v>
      </c>
      <c r="I1534" s="353">
        <v>783</v>
      </c>
      <c r="J1534" s="338" t="str">
        <f>IFERROR(VLOOKUP(I1534,'Chart of accounts'!A:H,2,FALSE),"")</f>
        <v>50299030 00</v>
      </c>
      <c r="K1534" s="338" t="str">
        <f>IFERROR(VLOOKUP(I1534,'Chart of accounts'!A:H,3,FALSE),"")</f>
        <v>Representation Expenses</v>
      </c>
      <c r="L1534" s="338" t="str">
        <f>IFERROR(VLOOKUP(I1534,'Chart of accounts'!A:H,4,FALSE),"")</f>
        <v>50299030 00 - Representation Expenses (783)</v>
      </c>
      <c r="M1534" s="361" t="s">
        <v>1555</v>
      </c>
      <c r="N1534" s="355" t="s">
        <v>822</v>
      </c>
      <c r="O1534" s="355" t="s">
        <v>1556</v>
      </c>
      <c r="P1534" s="355"/>
      <c r="Q1534" s="363">
        <v>140000</v>
      </c>
      <c r="R1534" s="428">
        <f t="shared" ref="R1534:R1544" si="61">P1534-Q1534</f>
        <v>-140000</v>
      </c>
      <c r="S1534" s="428" t="str">
        <f>VLOOKUP(H1534,'Fund Utilization Report'!$A$4:$U$1800,13,FALSE)</f>
        <v>MOOE</v>
      </c>
      <c r="T1534" s="428" t="str">
        <f>VLOOKUP(H1534,'Fund Utilization Report'!$A$4:$U$1800,2,FALSE)</f>
        <v>GAA</v>
      </c>
      <c r="U1534" s="428" t="str">
        <f>VLOOKUP(H1534,'Fund Utilization Report'!$A$4:$U$1800,3,FALSE)</f>
        <v>FY2021, RA11518</v>
      </c>
      <c r="V1534" s="428" t="str">
        <f>VLOOKUP(H1534,'Fund Utilization Report'!$A$4:$U$1800,4,FALSE)</f>
        <v>OO3</v>
      </c>
      <c r="W1534" s="428" t="str">
        <f>VLOOKUP(H1534,'Fund Utilization Report'!$A$4:$U$1800,5,FALSE)</f>
        <v>01101101</v>
      </c>
      <c r="X1534" s="428" t="str">
        <f>VLOOKUP(H1534,'Fund Utilization Report'!$A$4:$U$1800,6,FALSE)</f>
        <v>GOP</v>
      </c>
      <c r="Y1534" s="320" t="str">
        <f>VLOOKUP(H1534,'Fund Utilization Report'!$A$4:$U$1800,7,FALSE)</f>
        <v>MOOE</v>
      </c>
      <c r="Z1534" s="425">
        <f>VLOOKUP(H1534,'Fund Utilization Report'!$A$4:$U$1800,8,FALSE)</f>
        <v>5020000000</v>
      </c>
      <c r="AA1534" s="428" t="str">
        <f>VLOOKUP(H1534,'Fund Utilization Report'!$A$4:$U$1800,14,FALSE)</f>
        <v>330100100002000</v>
      </c>
      <c r="AB1534" s="349" t="str">
        <f>VLOOKUP(H1534,'Fund Utilization Report'!$A$4:$U$1800,15,FALSE)</f>
        <v>Implementation of the MSME Development Plan and other initiatives to promote the growth of Micro, Small and Medium Enterprises</v>
      </c>
      <c r="AC1534" s="39"/>
      <c r="AD1534" s="34"/>
      <c r="AE1534" s="39"/>
      <c r="AF1534" s="51"/>
      <c r="AG1534" s="442"/>
      <c r="AH1534" s="442"/>
      <c r="AI1534" s="443"/>
    </row>
    <row r="1535" spans="1:35" s="32" customFormat="1" ht="29.25" customHeight="1">
      <c r="A1535" s="434" t="s">
        <v>942</v>
      </c>
      <c r="B1535" s="457" t="s">
        <v>946</v>
      </c>
      <c r="C1535" s="233">
        <v>44280</v>
      </c>
      <c r="D1535" s="435" t="s">
        <v>1267</v>
      </c>
      <c r="E1535" s="436" t="s">
        <v>1559</v>
      </c>
      <c r="F1535" s="338">
        <v>0.4513888888888889</v>
      </c>
      <c r="G1535" s="338">
        <v>0.45555555555555555</v>
      </c>
      <c r="H1535" s="458" t="s">
        <v>971</v>
      </c>
      <c r="I1535" s="353">
        <v>795</v>
      </c>
      <c r="J1535" s="338" t="str">
        <f>IFERROR(VLOOKUP(I1535,'Chart of accounts'!A:H,2,FALSE),"")</f>
        <v>50212990 00</v>
      </c>
      <c r="K1535" s="338" t="str">
        <f>IFERROR(VLOOKUP(I1535,'Chart of accounts'!A:H,3,FALSE),"")</f>
        <v>Other General Services</v>
      </c>
      <c r="L1535" s="338" t="str">
        <f>IFERROR(VLOOKUP(I1535,'Chart of accounts'!A:H,4,FALSE),"")</f>
        <v>50212990 00 - Other General Services (795)</v>
      </c>
      <c r="M1535" s="361" t="s">
        <v>1555</v>
      </c>
      <c r="N1535" s="355" t="s">
        <v>822</v>
      </c>
      <c r="O1535" s="355" t="s">
        <v>1556</v>
      </c>
      <c r="P1535" s="355"/>
      <c r="Q1535" s="363">
        <v>40000</v>
      </c>
      <c r="R1535" s="428">
        <f t="shared" si="61"/>
        <v>-40000</v>
      </c>
      <c r="S1535" s="428" t="str">
        <f>VLOOKUP(H1535,'Fund Utilization Report'!$A$4:$U$1800,13,FALSE)</f>
        <v>MOOE</v>
      </c>
      <c r="T1535" s="428" t="str">
        <f>VLOOKUP(H1535,'Fund Utilization Report'!$A$4:$U$1800,2,FALSE)</f>
        <v>GAA</v>
      </c>
      <c r="U1535" s="428" t="str">
        <f>VLOOKUP(H1535,'Fund Utilization Report'!$A$4:$U$1800,3,FALSE)</f>
        <v>FY2021, RA11518</v>
      </c>
      <c r="V1535" s="428" t="str">
        <f>VLOOKUP(H1535,'Fund Utilization Report'!$A$4:$U$1800,4,FALSE)</f>
        <v>OO3</v>
      </c>
      <c r="W1535" s="428" t="str">
        <f>VLOOKUP(H1535,'Fund Utilization Report'!$A$4:$U$1800,5,FALSE)</f>
        <v>01101101</v>
      </c>
      <c r="X1535" s="428" t="str">
        <f>VLOOKUP(H1535,'Fund Utilization Report'!$A$4:$U$1800,6,FALSE)</f>
        <v>GOP</v>
      </c>
      <c r="Y1535" s="320" t="str">
        <f>VLOOKUP(H1535,'Fund Utilization Report'!$A$4:$U$1800,7,FALSE)</f>
        <v>MOOE</v>
      </c>
      <c r="Z1535" s="425">
        <f>VLOOKUP(H1535,'Fund Utilization Report'!$A$4:$U$1800,8,FALSE)</f>
        <v>5020000000</v>
      </c>
      <c r="AA1535" s="428" t="str">
        <f>VLOOKUP(H1535,'Fund Utilization Report'!$A$4:$U$1800,14,FALSE)</f>
        <v>330100100002000</v>
      </c>
      <c r="AB1535" s="349" t="str">
        <f>VLOOKUP(H1535,'Fund Utilization Report'!$A$4:$U$1800,15,FALSE)</f>
        <v>Implementation of the MSME Development Plan and other initiatives to promote the growth of Micro, Small and Medium Enterprises</v>
      </c>
      <c r="AC1535" s="39"/>
      <c r="AD1535" s="34"/>
      <c r="AE1535" s="39"/>
      <c r="AF1535" s="51"/>
      <c r="AG1535" s="442"/>
      <c r="AH1535" s="442"/>
      <c r="AI1535" s="443"/>
    </row>
    <row r="1536" spans="1:35" s="32" customFormat="1" ht="29.25" customHeight="1">
      <c r="A1536" s="434" t="s">
        <v>942</v>
      </c>
      <c r="B1536" s="457" t="s">
        <v>946</v>
      </c>
      <c r="C1536" s="233">
        <v>44280</v>
      </c>
      <c r="D1536" s="435" t="s">
        <v>1267</v>
      </c>
      <c r="E1536" s="436" t="s">
        <v>1559</v>
      </c>
      <c r="F1536" s="338">
        <v>0.4513888888888889</v>
      </c>
      <c r="G1536" s="338">
        <v>0.45555555555555555</v>
      </c>
      <c r="H1536" s="458" t="s">
        <v>971</v>
      </c>
      <c r="I1536" s="353">
        <v>796</v>
      </c>
      <c r="J1536" s="338" t="str">
        <f>IFERROR(VLOOKUP(I1536,'Chart of accounts'!A:H,2,FALSE),"")</f>
        <v>50212020 00</v>
      </c>
      <c r="K1536" s="338" t="str">
        <f>IFERROR(VLOOKUP(I1536,'Chart of accounts'!A:H,3,FALSE),"")</f>
        <v>Janitorial Services</v>
      </c>
      <c r="L1536" s="338" t="str">
        <f>IFERROR(VLOOKUP(I1536,'Chart of accounts'!A:H,4,FALSE),"")</f>
        <v>50212020 00 - Janitorial Services (796)</v>
      </c>
      <c r="M1536" s="361" t="s">
        <v>1555</v>
      </c>
      <c r="N1536" s="355" t="s">
        <v>822</v>
      </c>
      <c r="O1536" s="355" t="s">
        <v>1556</v>
      </c>
      <c r="P1536" s="355"/>
      <c r="Q1536" s="363">
        <v>24000</v>
      </c>
      <c r="R1536" s="428">
        <f t="shared" si="61"/>
        <v>-24000</v>
      </c>
      <c r="S1536" s="428" t="str">
        <f>VLOOKUP(H1536,'Fund Utilization Report'!$A$4:$U$1800,13,FALSE)</f>
        <v>MOOE</v>
      </c>
      <c r="T1536" s="428" t="str">
        <f>VLOOKUP(H1536,'Fund Utilization Report'!$A$4:$U$1800,2,FALSE)</f>
        <v>GAA</v>
      </c>
      <c r="U1536" s="428" t="str">
        <f>VLOOKUP(H1536,'Fund Utilization Report'!$A$4:$U$1800,3,FALSE)</f>
        <v>FY2021, RA11518</v>
      </c>
      <c r="V1536" s="428" t="str">
        <f>VLOOKUP(H1536,'Fund Utilization Report'!$A$4:$U$1800,4,FALSE)</f>
        <v>OO3</v>
      </c>
      <c r="W1536" s="428" t="str">
        <f>VLOOKUP(H1536,'Fund Utilization Report'!$A$4:$U$1800,5,FALSE)</f>
        <v>01101101</v>
      </c>
      <c r="X1536" s="428" t="str">
        <f>VLOOKUP(H1536,'Fund Utilization Report'!$A$4:$U$1800,6,FALSE)</f>
        <v>GOP</v>
      </c>
      <c r="Y1536" s="320" t="str">
        <f>VLOOKUP(H1536,'Fund Utilization Report'!$A$4:$U$1800,7,FALSE)</f>
        <v>MOOE</v>
      </c>
      <c r="Z1536" s="425">
        <f>VLOOKUP(H1536,'Fund Utilization Report'!$A$4:$U$1800,8,FALSE)</f>
        <v>5020000000</v>
      </c>
      <c r="AA1536" s="428" t="str">
        <f>VLOOKUP(H1536,'Fund Utilization Report'!$A$4:$U$1800,14,FALSE)</f>
        <v>330100100002000</v>
      </c>
      <c r="AB1536" s="349" t="str">
        <f>VLOOKUP(H1536,'Fund Utilization Report'!$A$4:$U$1800,15,FALSE)</f>
        <v>Implementation of the MSME Development Plan and other initiatives to promote the growth of Micro, Small and Medium Enterprises</v>
      </c>
      <c r="AC1536" s="39"/>
      <c r="AD1536" s="34"/>
      <c r="AE1536" s="39"/>
      <c r="AF1536" s="51"/>
      <c r="AG1536" s="442"/>
      <c r="AH1536" s="442"/>
      <c r="AI1536" s="443"/>
    </row>
    <row r="1537" spans="1:35" s="32" customFormat="1" ht="29.25" customHeight="1">
      <c r="A1537" s="434" t="s">
        <v>942</v>
      </c>
      <c r="B1537" s="457" t="s">
        <v>946</v>
      </c>
      <c r="C1537" s="233">
        <v>44280</v>
      </c>
      <c r="D1537" s="435" t="s">
        <v>1267</v>
      </c>
      <c r="E1537" s="436" t="s">
        <v>1560</v>
      </c>
      <c r="F1537" s="338">
        <v>0.45555555555555555</v>
      </c>
      <c r="G1537" s="338">
        <v>0.45694444444444443</v>
      </c>
      <c r="H1537" s="458" t="s">
        <v>971</v>
      </c>
      <c r="I1537" s="353">
        <v>751</v>
      </c>
      <c r="J1537" s="338" t="str">
        <f>IFERROR(VLOOKUP(I1537,'Chart of accounts'!A:H,2,FALSE),"")</f>
        <v>50201010 00</v>
      </c>
      <c r="K1537" s="338" t="str">
        <f>IFERROR(VLOOKUP(I1537,'Chart of accounts'!A:H,3,FALSE),"")</f>
        <v>Traveling Expenses - Local</v>
      </c>
      <c r="L1537" s="338" t="str">
        <f>IFERROR(VLOOKUP(I1537,'Chart of accounts'!A:H,4,FALSE),"")</f>
        <v>50201010 00 - Traveling Expenses - Local (751)</v>
      </c>
      <c r="M1537" s="361" t="s">
        <v>1555</v>
      </c>
      <c r="N1537" s="355" t="s">
        <v>1540</v>
      </c>
      <c r="O1537" s="355" t="s">
        <v>1556</v>
      </c>
      <c r="P1537" s="355"/>
      <c r="Q1537" s="363">
        <v>180000</v>
      </c>
      <c r="R1537" s="428">
        <f t="shared" si="61"/>
        <v>-180000</v>
      </c>
      <c r="S1537" s="428" t="str">
        <f>VLOOKUP(H1537,'Fund Utilization Report'!$A$4:$U$1800,13,FALSE)</f>
        <v>MOOE</v>
      </c>
      <c r="T1537" s="428" t="str">
        <f>VLOOKUP(H1537,'Fund Utilization Report'!$A$4:$U$1800,2,FALSE)</f>
        <v>GAA</v>
      </c>
      <c r="U1537" s="428" t="str">
        <f>VLOOKUP(H1537,'Fund Utilization Report'!$A$4:$U$1800,3,FALSE)</f>
        <v>FY2021, RA11518</v>
      </c>
      <c r="V1537" s="428" t="str">
        <f>VLOOKUP(H1537,'Fund Utilization Report'!$A$4:$U$1800,4,FALSE)</f>
        <v>OO3</v>
      </c>
      <c r="W1537" s="428" t="str">
        <f>VLOOKUP(H1537,'Fund Utilization Report'!$A$4:$U$1800,5,FALSE)</f>
        <v>01101101</v>
      </c>
      <c r="X1537" s="428" t="str">
        <f>VLOOKUP(H1537,'Fund Utilization Report'!$A$4:$U$1800,6,FALSE)</f>
        <v>GOP</v>
      </c>
      <c r="Y1537" s="320" t="str">
        <f>VLOOKUP(H1537,'Fund Utilization Report'!$A$4:$U$1800,7,FALSE)</f>
        <v>MOOE</v>
      </c>
      <c r="Z1537" s="425">
        <f>VLOOKUP(H1537,'Fund Utilization Report'!$A$4:$U$1800,8,FALSE)</f>
        <v>5020000000</v>
      </c>
      <c r="AA1537" s="428" t="str">
        <f>VLOOKUP(H1537,'Fund Utilization Report'!$A$4:$U$1800,14,FALSE)</f>
        <v>330100100002000</v>
      </c>
      <c r="AB1537" s="349" t="str">
        <f>VLOOKUP(H1537,'Fund Utilization Report'!$A$4:$U$1800,15,FALSE)</f>
        <v>Implementation of the MSME Development Plan and other initiatives to promote the growth of Micro, Small and Medium Enterprises</v>
      </c>
      <c r="AC1537" s="39"/>
      <c r="AD1537" s="34"/>
      <c r="AE1537" s="39"/>
      <c r="AF1537" s="51"/>
      <c r="AG1537" s="442"/>
      <c r="AH1537" s="442"/>
      <c r="AI1537" s="443"/>
    </row>
    <row r="1538" spans="1:35" s="32" customFormat="1" ht="29.25" customHeight="1">
      <c r="A1538" s="434" t="s">
        <v>942</v>
      </c>
      <c r="B1538" s="457" t="s">
        <v>946</v>
      </c>
      <c r="C1538" s="233">
        <v>44280</v>
      </c>
      <c r="D1538" s="435" t="s">
        <v>1267</v>
      </c>
      <c r="E1538" s="436" t="s">
        <v>1560</v>
      </c>
      <c r="F1538" s="338">
        <v>0.45555555555555555</v>
      </c>
      <c r="G1538" s="338">
        <v>0.45694444444444443</v>
      </c>
      <c r="H1538" s="458" t="s">
        <v>971</v>
      </c>
      <c r="I1538" s="353">
        <v>755</v>
      </c>
      <c r="J1538" s="338" t="str">
        <f>IFERROR(VLOOKUP(I1538,'Chart of accounts'!A:H,2,FALSE),"")</f>
        <v>50203010 00</v>
      </c>
      <c r="K1538" s="338" t="str">
        <f>IFERROR(VLOOKUP(I1538,'Chart of accounts'!A:H,3,FALSE),"")</f>
        <v>Office Supplies Expenses</v>
      </c>
      <c r="L1538" s="338" t="str">
        <f>IFERROR(VLOOKUP(I1538,'Chart of accounts'!A:H,4,FALSE),"")</f>
        <v>50203010 00 - Office Supplies Expenses (755)</v>
      </c>
      <c r="M1538" s="361" t="s">
        <v>1555</v>
      </c>
      <c r="N1538" s="355" t="s">
        <v>1540</v>
      </c>
      <c r="O1538" s="355" t="s">
        <v>1556</v>
      </c>
      <c r="P1538" s="355"/>
      <c r="Q1538" s="363">
        <v>20000</v>
      </c>
      <c r="R1538" s="428">
        <f t="shared" si="61"/>
        <v>-20000</v>
      </c>
      <c r="S1538" s="428" t="str">
        <f>VLOOKUP(H1538,'Fund Utilization Report'!$A$4:$U$1800,13,FALSE)</f>
        <v>MOOE</v>
      </c>
      <c r="T1538" s="428" t="str">
        <f>VLOOKUP(H1538,'Fund Utilization Report'!$A$4:$U$1800,2,FALSE)</f>
        <v>GAA</v>
      </c>
      <c r="U1538" s="428" t="str">
        <f>VLOOKUP(H1538,'Fund Utilization Report'!$A$4:$U$1800,3,FALSE)</f>
        <v>FY2021, RA11518</v>
      </c>
      <c r="V1538" s="428" t="str">
        <f>VLOOKUP(H1538,'Fund Utilization Report'!$A$4:$U$1800,4,FALSE)</f>
        <v>OO3</v>
      </c>
      <c r="W1538" s="428" t="str">
        <f>VLOOKUP(H1538,'Fund Utilization Report'!$A$4:$U$1800,5,FALSE)</f>
        <v>01101101</v>
      </c>
      <c r="X1538" s="428" t="str">
        <f>VLOOKUP(H1538,'Fund Utilization Report'!$A$4:$U$1800,6,FALSE)</f>
        <v>GOP</v>
      </c>
      <c r="Y1538" s="320" t="str">
        <f>VLOOKUP(H1538,'Fund Utilization Report'!$A$4:$U$1800,7,FALSE)</f>
        <v>MOOE</v>
      </c>
      <c r="Z1538" s="425">
        <f>VLOOKUP(H1538,'Fund Utilization Report'!$A$4:$U$1800,8,FALSE)</f>
        <v>5020000000</v>
      </c>
      <c r="AA1538" s="428" t="str">
        <f>VLOOKUP(H1538,'Fund Utilization Report'!$A$4:$U$1800,14,FALSE)</f>
        <v>330100100002000</v>
      </c>
      <c r="AB1538" s="349" t="str">
        <f>VLOOKUP(H1538,'Fund Utilization Report'!$A$4:$U$1800,15,FALSE)</f>
        <v>Implementation of the MSME Development Plan and other initiatives to promote the growth of Micro, Small and Medium Enterprises</v>
      </c>
      <c r="AC1538" s="39"/>
      <c r="AD1538" s="34"/>
      <c r="AE1538" s="39"/>
      <c r="AF1538" s="51"/>
      <c r="AG1538" s="442"/>
      <c r="AH1538" s="442"/>
      <c r="AI1538" s="443"/>
    </row>
    <row r="1539" spans="1:35" s="32" customFormat="1" ht="29.25" customHeight="1">
      <c r="A1539" s="434" t="s">
        <v>942</v>
      </c>
      <c r="B1539" s="457" t="s">
        <v>946</v>
      </c>
      <c r="C1539" s="233">
        <v>44280</v>
      </c>
      <c r="D1539" s="435" t="s">
        <v>1267</v>
      </c>
      <c r="E1539" s="436" t="s">
        <v>1560</v>
      </c>
      <c r="F1539" s="338">
        <v>0.45555555555555555</v>
      </c>
      <c r="G1539" s="338">
        <v>0.45694444444444443</v>
      </c>
      <c r="H1539" s="458" t="s">
        <v>971</v>
      </c>
      <c r="I1539" s="353">
        <v>771</v>
      </c>
      <c r="J1539" s="338" t="str">
        <f>IFERROR(VLOOKUP(I1539,'Chart of accounts'!A:H,2,FALSE),"")</f>
        <v>50205010 00</v>
      </c>
      <c r="K1539" s="338" t="str">
        <f>IFERROR(VLOOKUP(I1539,'Chart of accounts'!A:H,3,FALSE),"")</f>
        <v>Postage and Courier Services</v>
      </c>
      <c r="L1539" s="338" t="str">
        <f>IFERROR(VLOOKUP(I1539,'Chart of accounts'!A:H,4,FALSE),"")</f>
        <v>50205010 00 - Postage and Courier Services (771)</v>
      </c>
      <c r="M1539" s="361" t="s">
        <v>1555</v>
      </c>
      <c r="N1539" s="355" t="s">
        <v>1540</v>
      </c>
      <c r="O1539" s="355" t="s">
        <v>1556</v>
      </c>
      <c r="P1539" s="355"/>
      <c r="Q1539" s="363">
        <v>6000</v>
      </c>
      <c r="R1539" s="428">
        <f t="shared" si="61"/>
        <v>-6000</v>
      </c>
      <c r="S1539" s="428" t="str">
        <f>VLOOKUP(H1539,'Fund Utilization Report'!$A$4:$U$1800,13,FALSE)</f>
        <v>MOOE</v>
      </c>
      <c r="T1539" s="428" t="str">
        <f>VLOOKUP(H1539,'Fund Utilization Report'!$A$4:$U$1800,2,FALSE)</f>
        <v>GAA</v>
      </c>
      <c r="U1539" s="428" t="str">
        <f>VLOOKUP(H1539,'Fund Utilization Report'!$A$4:$U$1800,3,FALSE)</f>
        <v>FY2021, RA11518</v>
      </c>
      <c r="V1539" s="428" t="str">
        <f>VLOOKUP(H1539,'Fund Utilization Report'!$A$4:$U$1800,4,FALSE)</f>
        <v>OO3</v>
      </c>
      <c r="W1539" s="428" t="str">
        <f>VLOOKUP(H1539,'Fund Utilization Report'!$A$4:$U$1800,5,FALSE)</f>
        <v>01101101</v>
      </c>
      <c r="X1539" s="428" t="str">
        <f>VLOOKUP(H1539,'Fund Utilization Report'!$A$4:$U$1800,6,FALSE)</f>
        <v>GOP</v>
      </c>
      <c r="Y1539" s="320" t="str">
        <f>VLOOKUP(H1539,'Fund Utilization Report'!$A$4:$U$1800,7,FALSE)</f>
        <v>MOOE</v>
      </c>
      <c r="Z1539" s="425">
        <f>VLOOKUP(H1539,'Fund Utilization Report'!$A$4:$U$1800,8,FALSE)</f>
        <v>5020000000</v>
      </c>
      <c r="AA1539" s="428" t="str">
        <f>VLOOKUP(H1539,'Fund Utilization Report'!$A$4:$U$1800,14,FALSE)</f>
        <v>330100100002000</v>
      </c>
      <c r="AB1539" s="349" t="str">
        <f>VLOOKUP(H1539,'Fund Utilization Report'!$A$4:$U$1800,15,FALSE)</f>
        <v>Implementation of the MSME Development Plan and other initiatives to promote the growth of Micro, Small and Medium Enterprises</v>
      </c>
      <c r="AC1539" s="39"/>
      <c r="AD1539" s="34"/>
      <c r="AE1539" s="39"/>
      <c r="AF1539" s="51"/>
      <c r="AG1539" s="442"/>
      <c r="AH1539" s="442"/>
      <c r="AI1539" s="443"/>
    </row>
    <row r="1540" spans="1:35" s="32" customFormat="1" ht="29.25" customHeight="1">
      <c r="A1540" s="434" t="s">
        <v>942</v>
      </c>
      <c r="B1540" s="457" t="s">
        <v>946</v>
      </c>
      <c r="C1540" s="233">
        <v>44280</v>
      </c>
      <c r="D1540" s="435" t="s">
        <v>1267</v>
      </c>
      <c r="E1540" s="436" t="s">
        <v>1560</v>
      </c>
      <c r="F1540" s="338">
        <v>0.45555555555555555</v>
      </c>
      <c r="G1540" s="338">
        <v>0.45694444444444443</v>
      </c>
      <c r="H1540" s="458" t="s">
        <v>971</v>
      </c>
      <c r="I1540" s="353">
        <v>773</v>
      </c>
      <c r="J1540" s="338" t="str">
        <f>IFERROR(VLOOKUP(I1540,'Chart of accounts'!A:H,2,FALSE),"")</f>
        <v>50205020 01</v>
      </c>
      <c r="K1540" s="338" t="str">
        <f>IFERROR(VLOOKUP(I1540,'Chart of accounts'!A:H,3,FALSE),"")</f>
        <v xml:space="preserve">Telephone Expenses - Mobile </v>
      </c>
      <c r="L1540" s="338" t="str">
        <f>IFERROR(VLOOKUP(I1540,'Chart of accounts'!A:H,4,FALSE),"")</f>
        <v>50205020 01 - Telephone Expenses - Mobile  (773)</v>
      </c>
      <c r="M1540" s="361" t="s">
        <v>1555</v>
      </c>
      <c r="N1540" s="355" t="s">
        <v>1540</v>
      </c>
      <c r="O1540" s="355" t="s">
        <v>1556</v>
      </c>
      <c r="P1540" s="355"/>
      <c r="Q1540" s="363">
        <v>10000</v>
      </c>
      <c r="R1540" s="428">
        <f t="shared" si="61"/>
        <v>-10000</v>
      </c>
      <c r="S1540" s="428" t="str">
        <f>VLOOKUP(H1540,'Fund Utilization Report'!$A$4:$U$1800,13,FALSE)</f>
        <v>MOOE</v>
      </c>
      <c r="T1540" s="428" t="str">
        <f>VLOOKUP(H1540,'Fund Utilization Report'!$A$4:$U$1800,2,FALSE)</f>
        <v>GAA</v>
      </c>
      <c r="U1540" s="428" t="str">
        <f>VLOOKUP(H1540,'Fund Utilization Report'!$A$4:$U$1800,3,FALSE)</f>
        <v>FY2021, RA11518</v>
      </c>
      <c r="V1540" s="428" t="str">
        <f>VLOOKUP(H1540,'Fund Utilization Report'!$A$4:$U$1800,4,FALSE)</f>
        <v>OO3</v>
      </c>
      <c r="W1540" s="428" t="str">
        <f>VLOOKUP(H1540,'Fund Utilization Report'!$A$4:$U$1800,5,FALSE)</f>
        <v>01101101</v>
      </c>
      <c r="X1540" s="428" t="str">
        <f>VLOOKUP(H1540,'Fund Utilization Report'!$A$4:$U$1800,6,FALSE)</f>
        <v>GOP</v>
      </c>
      <c r="Y1540" s="320" t="str">
        <f>VLOOKUP(H1540,'Fund Utilization Report'!$A$4:$U$1800,7,FALSE)</f>
        <v>MOOE</v>
      </c>
      <c r="Z1540" s="425">
        <f>VLOOKUP(H1540,'Fund Utilization Report'!$A$4:$U$1800,8,FALSE)</f>
        <v>5020000000</v>
      </c>
      <c r="AA1540" s="428" t="str">
        <f>VLOOKUP(H1540,'Fund Utilization Report'!$A$4:$U$1800,14,FALSE)</f>
        <v>330100100002000</v>
      </c>
      <c r="AB1540" s="349" t="str">
        <f>VLOOKUP(H1540,'Fund Utilization Report'!$A$4:$U$1800,15,FALSE)</f>
        <v>Implementation of the MSME Development Plan and other initiatives to promote the growth of Micro, Small and Medium Enterprises</v>
      </c>
      <c r="AC1540" s="39"/>
      <c r="AD1540" s="34"/>
      <c r="AE1540" s="39"/>
      <c r="AF1540" s="51"/>
      <c r="AG1540" s="442"/>
      <c r="AH1540" s="442"/>
      <c r="AI1540" s="443"/>
    </row>
    <row r="1541" spans="1:35" s="32" customFormat="1" ht="29.25" customHeight="1">
      <c r="A1541" s="434" t="s">
        <v>942</v>
      </c>
      <c r="B1541" s="457" t="s">
        <v>946</v>
      </c>
      <c r="C1541" s="233">
        <v>44280</v>
      </c>
      <c r="D1541" s="435" t="s">
        <v>1267</v>
      </c>
      <c r="E1541" s="436" t="s">
        <v>1560</v>
      </c>
      <c r="F1541" s="338">
        <v>0.45555555555555555</v>
      </c>
      <c r="G1541" s="338">
        <v>0.45694444444444443</v>
      </c>
      <c r="H1541" s="458" t="s">
        <v>971</v>
      </c>
      <c r="I1541" s="353">
        <v>799</v>
      </c>
      <c r="J1541" s="338" t="str">
        <f>IFERROR(VLOOKUP(I1541,'Chart of accounts'!A:H,2,FALSE),"")</f>
        <v>50211990 00</v>
      </c>
      <c r="K1541" s="338" t="str">
        <f>IFERROR(VLOOKUP(I1541,'Chart of accounts'!A:H,3,FALSE),"")</f>
        <v>Other Professional Services</v>
      </c>
      <c r="L1541" s="338" t="str">
        <f>IFERROR(VLOOKUP(I1541,'Chart of accounts'!A:H,4,FALSE),"")</f>
        <v>50211990 00 - Other Professional Services (799)</v>
      </c>
      <c r="M1541" s="361" t="s">
        <v>1555</v>
      </c>
      <c r="N1541" s="355" t="s">
        <v>1540</v>
      </c>
      <c r="O1541" s="355" t="s">
        <v>1556</v>
      </c>
      <c r="P1541" s="355"/>
      <c r="Q1541" s="363">
        <v>120000</v>
      </c>
      <c r="R1541" s="428">
        <f t="shared" si="61"/>
        <v>-120000</v>
      </c>
      <c r="S1541" s="428" t="str">
        <f>VLOOKUP(H1541,'Fund Utilization Report'!$A$4:$U$1800,13,FALSE)</f>
        <v>MOOE</v>
      </c>
      <c r="T1541" s="428" t="str">
        <f>VLOOKUP(H1541,'Fund Utilization Report'!$A$4:$U$1800,2,FALSE)</f>
        <v>GAA</v>
      </c>
      <c r="U1541" s="428" t="str">
        <f>VLOOKUP(H1541,'Fund Utilization Report'!$A$4:$U$1800,3,FALSE)</f>
        <v>FY2021, RA11518</v>
      </c>
      <c r="V1541" s="428" t="str">
        <f>VLOOKUP(H1541,'Fund Utilization Report'!$A$4:$U$1800,4,FALSE)</f>
        <v>OO3</v>
      </c>
      <c r="W1541" s="428" t="str">
        <f>VLOOKUP(H1541,'Fund Utilization Report'!$A$4:$U$1800,5,FALSE)</f>
        <v>01101101</v>
      </c>
      <c r="X1541" s="428" t="str">
        <f>VLOOKUP(H1541,'Fund Utilization Report'!$A$4:$U$1800,6,FALSE)</f>
        <v>GOP</v>
      </c>
      <c r="Y1541" s="320" t="str">
        <f>VLOOKUP(H1541,'Fund Utilization Report'!$A$4:$U$1800,7,FALSE)</f>
        <v>MOOE</v>
      </c>
      <c r="Z1541" s="425">
        <f>VLOOKUP(H1541,'Fund Utilization Report'!$A$4:$U$1800,8,FALSE)</f>
        <v>5020000000</v>
      </c>
      <c r="AA1541" s="428" t="str">
        <f>VLOOKUP(H1541,'Fund Utilization Report'!$A$4:$U$1800,14,FALSE)</f>
        <v>330100100002000</v>
      </c>
      <c r="AB1541" s="349" t="str">
        <f>VLOOKUP(H1541,'Fund Utilization Report'!$A$4:$U$1800,15,FALSE)</f>
        <v>Implementation of the MSME Development Plan and other initiatives to promote the growth of Micro, Small and Medium Enterprises</v>
      </c>
      <c r="AC1541" s="39"/>
      <c r="AD1541" s="34"/>
      <c r="AE1541" s="39"/>
      <c r="AF1541" s="51"/>
      <c r="AG1541" s="442"/>
      <c r="AH1541" s="442"/>
      <c r="AI1541" s="443"/>
    </row>
    <row r="1542" spans="1:35" s="32" customFormat="1" ht="29.25" customHeight="1">
      <c r="A1542" s="434" t="s">
        <v>942</v>
      </c>
      <c r="B1542" s="457" t="s">
        <v>946</v>
      </c>
      <c r="C1542" s="233">
        <v>44280</v>
      </c>
      <c r="D1542" s="435" t="s">
        <v>1267</v>
      </c>
      <c r="E1542" s="436" t="s">
        <v>1560</v>
      </c>
      <c r="F1542" s="338">
        <v>0.45555555555555555</v>
      </c>
      <c r="G1542" s="338">
        <v>0.45694444444444443</v>
      </c>
      <c r="H1542" s="458" t="s">
        <v>971</v>
      </c>
      <c r="I1542" s="353">
        <v>783</v>
      </c>
      <c r="J1542" s="338" t="str">
        <f>IFERROR(VLOOKUP(I1542,'Chart of accounts'!A:H,2,FALSE),"")</f>
        <v>50299030 00</v>
      </c>
      <c r="K1542" s="338" t="str">
        <f>IFERROR(VLOOKUP(I1542,'Chart of accounts'!A:H,3,FALSE),"")</f>
        <v>Representation Expenses</v>
      </c>
      <c r="L1542" s="338" t="str">
        <f>IFERROR(VLOOKUP(I1542,'Chart of accounts'!A:H,4,FALSE),"")</f>
        <v>50299030 00 - Representation Expenses (783)</v>
      </c>
      <c r="M1542" s="361" t="s">
        <v>1555</v>
      </c>
      <c r="N1542" s="355" t="s">
        <v>1540</v>
      </c>
      <c r="O1542" s="355" t="s">
        <v>1556</v>
      </c>
      <c r="P1542" s="355"/>
      <c r="Q1542" s="363">
        <v>140000</v>
      </c>
      <c r="R1542" s="428">
        <f t="shared" si="61"/>
        <v>-140000</v>
      </c>
      <c r="S1542" s="428" t="str">
        <f>VLOOKUP(H1542,'Fund Utilization Report'!$A$4:$U$1800,13,FALSE)</f>
        <v>MOOE</v>
      </c>
      <c r="T1542" s="428" t="str">
        <f>VLOOKUP(H1542,'Fund Utilization Report'!$A$4:$U$1800,2,FALSE)</f>
        <v>GAA</v>
      </c>
      <c r="U1542" s="428" t="str">
        <f>VLOOKUP(H1542,'Fund Utilization Report'!$A$4:$U$1800,3,FALSE)</f>
        <v>FY2021, RA11518</v>
      </c>
      <c r="V1542" s="428" t="str">
        <f>VLOOKUP(H1542,'Fund Utilization Report'!$A$4:$U$1800,4,FALSE)</f>
        <v>OO3</v>
      </c>
      <c r="W1542" s="428" t="str">
        <f>VLOOKUP(H1542,'Fund Utilization Report'!$A$4:$U$1800,5,FALSE)</f>
        <v>01101101</v>
      </c>
      <c r="X1542" s="428" t="str">
        <f>VLOOKUP(H1542,'Fund Utilization Report'!$A$4:$U$1800,6,FALSE)</f>
        <v>GOP</v>
      </c>
      <c r="Y1542" s="320" t="str">
        <f>VLOOKUP(H1542,'Fund Utilization Report'!$A$4:$U$1800,7,FALSE)</f>
        <v>MOOE</v>
      </c>
      <c r="Z1542" s="425">
        <f>VLOOKUP(H1542,'Fund Utilization Report'!$A$4:$U$1800,8,FALSE)</f>
        <v>5020000000</v>
      </c>
      <c r="AA1542" s="428" t="str">
        <f>VLOOKUP(H1542,'Fund Utilization Report'!$A$4:$U$1800,14,FALSE)</f>
        <v>330100100002000</v>
      </c>
      <c r="AB1542" s="349" t="str">
        <f>VLOOKUP(H1542,'Fund Utilization Report'!$A$4:$U$1800,15,FALSE)</f>
        <v>Implementation of the MSME Development Plan and other initiatives to promote the growth of Micro, Small and Medium Enterprises</v>
      </c>
      <c r="AC1542" s="39"/>
      <c r="AD1542" s="34"/>
      <c r="AE1542" s="39"/>
      <c r="AF1542" s="51"/>
      <c r="AG1542" s="442"/>
      <c r="AH1542" s="442"/>
      <c r="AI1542" s="443"/>
    </row>
    <row r="1543" spans="1:35" s="32" customFormat="1" ht="29.25" customHeight="1">
      <c r="A1543" s="434" t="s">
        <v>942</v>
      </c>
      <c r="B1543" s="457" t="s">
        <v>946</v>
      </c>
      <c r="C1543" s="233">
        <v>44280</v>
      </c>
      <c r="D1543" s="435" t="s">
        <v>1267</v>
      </c>
      <c r="E1543" s="436" t="s">
        <v>1560</v>
      </c>
      <c r="F1543" s="338">
        <v>0.45555555555555555</v>
      </c>
      <c r="G1543" s="338">
        <v>0.45694444444444443</v>
      </c>
      <c r="H1543" s="458" t="s">
        <v>971</v>
      </c>
      <c r="I1543" s="353">
        <v>795</v>
      </c>
      <c r="J1543" s="338" t="str">
        <f>IFERROR(VLOOKUP(I1543,'Chart of accounts'!A:H,2,FALSE),"")</f>
        <v>50212990 00</v>
      </c>
      <c r="K1543" s="338" t="str">
        <f>IFERROR(VLOOKUP(I1543,'Chart of accounts'!A:H,3,FALSE),"")</f>
        <v>Other General Services</v>
      </c>
      <c r="L1543" s="338" t="str">
        <f>IFERROR(VLOOKUP(I1543,'Chart of accounts'!A:H,4,FALSE),"")</f>
        <v>50212990 00 - Other General Services (795)</v>
      </c>
      <c r="M1543" s="361" t="s">
        <v>1555</v>
      </c>
      <c r="N1543" s="355" t="s">
        <v>1540</v>
      </c>
      <c r="O1543" s="355" t="s">
        <v>1556</v>
      </c>
      <c r="P1543" s="355"/>
      <c r="Q1543" s="363">
        <v>40000</v>
      </c>
      <c r="R1543" s="428">
        <f t="shared" si="61"/>
        <v>-40000</v>
      </c>
      <c r="S1543" s="428" t="str">
        <f>VLOOKUP(H1543,'Fund Utilization Report'!$A$4:$U$1800,13,FALSE)</f>
        <v>MOOE</v>
      </c>
      <c r="T1543" s="428" t="str">
        <f>VLOOKUP(H1543,'Fund Utilization Report'!$A$4:$U$1800,2,FALSE)</f>
        <v>GAA</v>
      </c>
      <c r="U1543" s="428" t="str">
        <f>VLOOKUP(H1543,'Fund Utilization Report'!$A$4:$U$1800,3,FALSE)</f>
        <v>FY2021, RA11518</v>
      </c>
      <c r="V1543" s="428" t="str">
        <f>VLOOKUP(H1543,'Fund Utilization Report'!$A$4:$U$1800,4,FALSE)</f>
        <v>OO3</v>
      </c>
      <c r="W1543" s="428" t="str">
        <f>VLOOKUP(H1543,'Fund Utilization Report'!$A$4:$U$1800,5,FALSE)</f>
        <v>01101101</v>
      </c>
      <c r="X1543" s="428" t="str">
        <f>VLOOKUP(H1543,'Fund Utilization Report'!$A$4:$U$1800,6,FALSE)</f>
        <v>GOP</v>
      </c>
      <c r="Y1543" s="320" t="str">
        <f>VLOOKUP(H1543,'Fund Utilization Report'!$A$4:$U$1800,7,FALSE)</f>
        <v>MOOE</v>
      </c>
      <c r="Z1543" s="425">
        <f>VLOOKUP(H1543,'Fund Utilization Report'!$A$4:$U$1800,8,FALSE)</f>
        <v>5020000000</v>
      </c>
      <c r="AA1543" s="428" t="str">
        <f>VLOOKUP(H1543,'Fund Utilization Report'!$A$4:$U$1800,14,FALSE)</f>
        <v>330100100002000</v>
      </c>
      <c r="AB1543" s="349" t="str">
        <f>VLOOKUP(H1543,'Fund Utilization Report'!$A$4:$U$1800,15,FALSE)</f>
        <v>Implementation of the MSME Development Plan and other initiatives to promote the growth of Micro, Small and Medium Enterprises</v>
      </c>
      <c r="AC1543" s="39"/>
      <c r="AD1543" s="34"/>
      <c r="AE1543" s="39"/>
      <c r="AF1543" s="51"/>
      <c r="AG1543" s="442"/>
      <c r="AH1543" s="442"/>
      <c r="AI1543" s="443"/>
    </row>
    <row r="1544" spans="1:35" s="32" customFormat="1" ht="29.25" customHeight="1">
      <c r="A1544" s="434" t="s">
        <v>942</v>
      </c>
      <c r="B1544" s="457" t="s">
        <v>946</v>
      </c>
      <c r="C1544" s="233">
        <v>44280</v>
      </c>
      <c r="D1544" s="435" t="s">
        <v>1267</v>
      </c>
      <c r="E1544" s="436" t="s">
        <v>1560</v>
      </c>
      <c r="F1544" s="338">
        <v>0.45555555555555555</v>
      </c>
      <c r="G1544" s="338">
        <v>0.45694444444444443</v>
      </c>
      <c r="H1544" s="458" t="s">
        <v>971</v>
      </c>
      <c r="I1544" s="353">
        <v>796</v>
      </c>
      <c r="J1544" s="338" t="str">
        <f>IFERROR(VLOOKUP(I1544,'Chart of accounts'!A:H,2,FALSE),"")</f>
        <v>50212020 00</v>
      </c>
      <c r="K1544" s="338" t="str">
        <f>IFERROR(VLOOKUP(I1544,'Chart of accounts'!A:H,3,FALSE),"")</f>
        <v>Janitorial Services</v>
      </c>
      <c r="L1544" s="338" t="str">
        <f>IFERROR(VLOOKUP(I1544,'Chart of accounts'!A:H,4,FALSE),"")</f>
        <v>50212020 00 - Janitorial Services (796)</v>
      </c>
      <c r="M1544" s="361" t="s">
        <v>1555</v>
      </c>
      <c r="N1544" s="355" t="s">
        <v>1540</v>
      </c>
      <c r="O1544" s="355" t="s">
        <v>1556</v>
      </c>
      <c r="P1544" s="355"/>
      <c r="Q1544" s="363">
        <v>34000</v>
      </c>
      <c r="R1544" s="428">
        <f t="shared" si="61"/>
        <v>-34000</v>
      </c>
      <c r="S1544" s="428" t="str">
        <f>VLOOKUP(H1544,'Fund Utilization Report'!$A$4:$U$1800,13,FALSE)</f>
        <v>MOOE</v>
      </c>
      <c r="T1544" s="428" t="str">
        <f>VLOOKUP(H1544,'Fund Utilization Report'!$A$4:$U$1800,2,FALSE)</f>
        <v>GAA</v>
      </c>
      <c r="U1544" s="428" t="str">
        <f>VLOOKUP(H1544,'Fund Utilization Report'!$A$4:$U$1800,3,FALSE)</f>
        <v>FY2021, RA11518</v>
      </c>
      <c r="V1544" s="428" t="str">
        <f>VLOOKUP(H1544,'Fund Utilization Report'!$A$4:$U$1800,4,FALSE)</f>
        <v>OO3</v>
      </c>
      <c r="W1544" s="428" t="str">
        <f>VLOOKUP(H1544,'Fund Utilization Report'!$A$4:$U$1800,5,FALSE)</f>
        <v>01101101</v>
      </c>
      <c r="X1544" s="428" t="str">
        <f>VLOOKUP(H1544,'Fund Utilization Report'!$A$4:$U$1800,6,FALSE)</f>
        <v>GOP</v>
      </c>
      <c r="Y1544" s="320" t="str">
        <f>VLOOKUP(H1544,'Fund Utilization Report'!$A$4:$U$1800,7,FALSE)</f>
        <v>MOOE</v>
      </c>
      <c r="Z1544" s="425">
        <f>VLOOKUP(H1544,'Fund Utilization Report'!$A$4:$U$1800,8,FALSE)</f>
        <v>5020000000</v>
      </c>
      <c r="AA1544" s="428" t="str">
        <f>VLOOKUP(H1544,'Fund Utilization Report'!$A$4:$U$1800,14,FALSE)</f>
        <v>330100100002000</v>
      </c>
      <c r="AB1544" s="349" t="str">
        <f>VLOOKUP(H1544,'Fund Utilization Report'!$A$4:$U$1800,15,FALSE)</f>
        <v>Implementation of the MSME Development Plan and other initiatives to promote the growth of Micro, Small and Medium Enterprises</v>
      </c>
      <c r="AC1544" s="39"/>
      <c r="AD1544" s="34"/>
      <c r="AE1544" s="39"/>
      <c r="AF1544" s="51"/>
      <c r="AG1544" s="442"/>
      <c r="AH1544" s="442"/>
      <c r="AI1544" s="443"/>
    </row>
    <row r="1545" spans="1:35" s="32" customFormat="1" ht="41.4">
      <c r="A1545" s="434" t="s">
        <v>942</v>
      </c>
      <c r="B1545" s="457" t="s">
        <v>946</v>
      </c>
      <c r="C1545" s="233">
        <v>44280</v>
      </c>
      <c r="D1545" s="435" t="s">
        <v>1267</v>
      </c>
      <c r="E1545" s="436" t="s">
        <v>1561</v>
      </c>
      <c r="F1545" s="338">
        <v>0.45694444444444443</v>
      </c>
      <c r="G1545" s="338">
        <v>0.45902777777777781</v>
      </c>
      <c r="H1545" s="338" t="s">
        <v>987</v>
      </c>
      <c r="I1545" s="353">
        <v>753</v>
      </c>
      <c r="J1545" s="338" t="str">
        <f>IFERROR(VLOOKUP(I1545,'Chart of accounts'!A:H,2,FALSE),"")</f>
        <v>50202010 00</v>
      </c>
      <c r="K1545" s="338" t="str">
        <f>IFERROR(VLOOKUP(I1545,'Chart of accounts'!A:H,3,FALSE),"")</f>
        <v>Training Expenses</v>
      </c>
      <c r="L1545" s="338" t="str">
        <f>IFERROR(VLOOKUP(I1545,'Chart of accounts'!A:H,4,FALSE),"")</f>
        <v>50202010 00 - Training Expenses (753)</v>
      </c>
      <c r="M1545" s="361" t="s">
        <v>923</v>
      </c>
      <c r="N1545" s="355" t="s">
        <v>1562</v>
      </c>
      <c r="O1545" s="355" t="s">
        <v>1563</v>
      </c>
      <c r="P1545" s="355"/>
      <c r="Q1545" s="363">
        <v>20000</v>
      </c>
      <c r="R1545" s="428">
        <f t="shared" ref="R1545:R1555" si="62">P1545-Q1545</f>
        <v>-20000</v>
      </c>
      <c r="S1545" s="428" t="str">
        <f>VLOOKUP(H1545,'Fund Utilization Report'!$A$4:$U$1800,13,FALSE)</f>
        <v>MOOE</v>
      </c>
      <c r="T1545" s="428" t="str">
        <f>VLOOKUP(H1545,'Fund Utilization Report'!$A$4:$U$1800,2,FALSE)</f>
        <v>SAA37</v>
      </c>
      <c r="U1545" s="428" t="str">
        <f>VLOOKUP(H1545,'Fund Utilization Report'!$A$4:$U$1800,3,FALSE)</f>
        <v>2021-01-0037</v>
      </c>
      <c r="V1545" s="428" t="str">
        <f>VLOOKUP(H1545,'Fund Utilization Report'!$A$4:$U$1800,4,FALSE)</f>
        <v>CARP</v>
      </c>
      <c r="W1545" s="428" t="str">
        <f>VLOOKUP(H1545,'Fund Utilization Report'!$A$4:$U$1800,5,FALSE)</f>
        <v>01101101</v>
      </c>
      <c r="X1545" s="428" t="str">
        <f>VLOOKUP(H1545,'Fund Utilization Report'!$A$4:$U$1800,6,FALSE)</f>
        <v>GOP</v>
      </c>
      <c r="Y1545" s="320">
        <f>VLOOKUP(H1545,'Fund Utilization Report'!$A$4:$U$1800,7,FALSE)</f>
        <v>753</v>
      </c>
      <c r="Z1545" s="425" t="str">
        <f>VLOOKUP(H1545,'Fund Utilization Report'!$A$4:$U$1800,8,FALSE)</f>
        <v>50202010 00</v>
      </c>
      <c r="AA1545" s="428" t="str">
        <f>VLOOKUP(H1545,'Fund Utilization Report'!$A$4:$U$1800,14,FALSE)</f>
        <v>330100100003000</v>
      </c>
      <c r="AB1545" s="349" t="str">
        <f>VLOOKUP(H1545,'Fund Utilization Report'!$A$4:$U$1800,15,FALSE)</f>
        <v>MSME Development Program : Program Beneficiaries Development Component of the Comprehensive Agrarian Reform Program</v>
      </c>
      <c r="AC1545" s="39"/>
      <c r="AD1545" s="34"/>
      <c r="AE1545" s="39"/>
      <c r="AF1545" s="51"/>
      <c r="AG1545" s="442"/>
      <c r="AH1545" s="442"/>
      <c r="AI1545" s="443"/>
    </row>
    <row r="1546" spans="1:35" s="411" customFormat="1" ht="27.6">
      <c r="A1546" s="405" t="s">
        <v>942</v>
      </c>
      <c r="B1546" s="488" t="s">
        <v>946</v>
      </c>
      <c r="C1546" s="402">
        <v>44280</v>
      </c>
      <c r="D1546" s="403" t="s">
        <v>1267</v>
      </c>
      <c r="E1546" s="404" t="s">
        <v>1564</v>
      </c>
      <c r="F1546" s="405">
        <v>0.41944444444444445</v>
      </c>
      <c r="G1546" s="405">
        <v>0.4201388888888889</v>
      </c>
      <c r="H1546" s="405" t="s">
        <v>985</v>
      </c>
      <c r="I1546" s="416">
        <v>753</v>
      </c>
      <c r="J1546" s="405" t="str">
        <f>IFERROR(VLOOKUP(I1546,'Chart of accounts'!A:H,2,FALSE),"")</f>
        <v>50202010 00</v>
      </c>
      <c r="K1546" s="405" t="str">
        <f>IFERROR(VLOOKUP(I1546,'Chart of accounts'!A:H,3,FALSE),"")</f>
        <v>Training Expenses</v>
      </c>
      <c r="L1546" s="405" t="str">
        <f>IFERROR(VLOOKUP(I1546,'Chart of accounts'!A:H,4,FALSE),"")</f>
        <v>50202010 00 - Training Expenses (753)</v>
      </c>
      <c r="M1546" s="408" t="s">
        <v>7</v>
      </c>
      <c r="N1546" s="409" t="s">
        <v>1565</v>
      </c>
      <c r="O1546" s="409" t="s">
        <v>1566</v>
      </c>
      <c r="P1546" s="409"/>
      <c r="Q1546" s="491">
        <f>15930-15930</f>
        <v>0</v>
      </c>
      <c r="R1546" s="428">
        <f t="shared" si="62"/>
        <v>0</v>
      </c>
      <c r="S1546" s="63" t="str">
        <f>VLOOKUP(H1546,'Fund Utilization Report'!$A$4:$U$1800,13,FALSE)</f>
        <v>MOOE</v>
      </c>
      <c r="T1546" s="63" t="str">
        <f>VLOOKUP(H1546,'Fund Utilization Report'!$A$4:$U$1800,2,FALSE)</f>
        <v>GAA</v>
      </c>
      <c r="U1546" s="63" t="str">
        <f>VLOOKUP(H1546,'Fund Utilization Report'!$A$4:$U$1800,3,FALSE)</f>
        <v>FY2021, RA11518</v>
      </c>
      <c r="V1546" s="63" t="str">
        <f>VLOOKUP(H1546,'Fund Utilization Report'!$A$4:$U$1800,4,FALSE)</f>
        <v>LSP-PBG</v>
      </c>
      <c r="W1546" s="63" t="str">
        <f>VLOOKUP(H1546,'Fund Utilization Report'!$A$4:$U$1800,5,FALSE)</f>
        <v>01101101</v>
      </c>
      <c r="X1546" s="63" t="str">
        <f>VLOOKUP(H1546,'Fund Utilization Report'!$A$4:$U$1800,6,FALSE)</f>
        <v>GOP</v>
      </c>
      <c r="Y1546" s="417" t="str">
        <f>VLOOKUP(H1546,'Fund Utilization Report'!$A$4:$U$1800,7,FALSE)</f>
        <v>MOOE</v>
      </c>
      <c r="Z1546" s="418">
        <f>VLOOKUP(H1546,'Fund Utilization Report'!$A$4:$U$1800,8,FALSE)</f>
        <v>5020000000</v>
      </c>
      <c r="AA1546" s="63" t="str">
        <f>VLOOKUP(H1546,'Fund Utilization Report'!$A$4:$U$1800,14,FALSE)</f>
        <v>330100200004000</v>
      </c>
      <c r="AB1546" s="419" t="str">
        <f>VLOOKUP(H1546,'Fund Utilization Report'!$A$4:$U$1800,15,FALSE)</f>
        <v>MSME Development Program : Livelihood Seeding Program and Pangkabuhayan sa Pagbangon at Ginhawa</v>
      </c>
      <c r="AC1546" s="406"/>
      <c r="AD1546" s="403"/>
      <c r="AE1546" s="406"/>
      <c r="AF1546" s="406"/>
      <c r="AG1546" s="407"/>
      <c r="AH1546" s="407"/>
    </row>
    <row r="1547" spans="1:35" s="32" customFormat="1">
      <c r="A1547" s="434" t="s">
        <v>942</v>
      </c>
      <c r="B1547" s="457" t="s">
        <v>946</v>
      </c>
      <c r="C1547" s="233">
        <v>44280</v>
      </c>
      <c r="D1547" s="435" t="s">
        <v>1267</v>
      </c>
      <c r="E1547" s="436" t="s">
        <v>1567</v>
      </c>
      <c r="F1547" s="338">
        <v>0.4201388888888889</v>
      </c>
      <c r="G1547" s="338">
        <v>0.42222222222222222</v>
      </c>
      <c r="H1547" s="338" t="s">
        <v>965</v>
      </c>
      <c r="I1547" s="353">
        <v>767</v>
      </c>
      <c r="J1547" s="338" t="str">
        <f>IFERROR(VLOOKUP(I1547,'Chart of accounts'!A:H,2,FALSE),"")</f>
        <v>50204020 00</v>
      </c>
      <c r="K1547" s="338" t="str">
        <f>IFERROR(VLOOKUP(I1547,'Chart of accounts'!A:H,3,FALSE),"")</f>
        <v>Electricity Expense</v>
      </c>
      <c r="L1547" s="338" t="str">
        <f>IFERROR(VLOOKUP(I1547,'Chart of accounts'!A:H,4,FALSE),"")</f>
        <v>50204020 00 - Electricity Expense (767)</v>
      </c>
      <c r="M1547" s="361">
        <v>1</v>
      </c>
      <c r="N1547" s="355" t="s">
        <v>1315</v>
      </c>
      <c r="O1547" s="355" t="s">
        <v>1568</v>
      </c>
      <c r="P1547" s="355"/>
      <c r="Q1547" s="363">
        <v>101505.45</v>
      </c>
      <c r="R1547" s="428">
        <f t="shared" si="62"/>
        <v>-101505.45</v>
      </c>
      <c r="S1547" s="428" t="str">
        <f>VLOOKUP(H1547,'Fund Utilization Report'!$A$4:$U$1800,13,FALSE)</f>
        <v>MOOE</v>
      </c>
      <c r="T1547" s="428" t="str">
        <f>VLOOKUP(H1547,'Fund Utilization Report'!$A$4:$U$1800,2,FALSE)</f>
        <v>GAA</v>
      </c>
      <c r="U1547" s="428" t="str">
        <f>VLOOKUP(H1547,'Fund Utilization Report'!$A$4:$U$1800,3,FALSE)</f>
        <v>FY2021, RA11518</v>
      </c>
      <c r="V1547" s="428" t="str">
        <f>VLOOKUP(H1547,'Fund Utilization Report'!$A$4:$U$1800,4,FALSE)</f>
        <v>OO1</v>
      </c>
      <c r="W1547" s="428" t="str">
        <f>VLOOKUP(H1547,'Fund Utilization Report'!$A$4:$U$1800,5,FALSE)</f>
        <v>01101101</v>
      </c>
      <c r="X1547" s="428" t="str">
        <f>VLOOKUP(H1547,'Fund Utilization Report'!$A$4:$U$1800,6,FALSE)</f>
        <v>GOP</v>
      </c>
      <c r="Y1547" s="320" t="str">
        <f>VLOOKUP(H1547,'Fund Utilization Report'!$A$4:$U$1800,7,FALSE)</f>
        <v>MOOE</v>
      </c>
      <c r="Z1547" s="425">
        <f>VLOOKUP(H1547,'Fund Utilization Report'!$A$4:$U$1800,8,FALSE)</f>
        <v>5020000000</v>
      </c>
      <c r="AA1547" s="428" t="str">
        <f>VLOOKUP(H1547,'Fund Utilization Report'!$A$4:$U$1800,14,FALSE)</f>
        <v>310100100002000</v>
      </c>
      <c r="AB1547" s="349" t="str">
        <f>VLOOKUP(H1547,'Fund Utilization Report'!$A$4:$U$1800,15,FALSE)</f>
        <v>Development,Facilitation, and promotion of exports and investment, domestic and foreign</v>
      </c>
      <c r="AC1547" s="39"/>
      <c r="AD1547" s="34"/>
      <c r="AE1547" s="39"/>
      <c r="AF1547" s="51"/>
      <c r="AG1547" s="442"/>
      <c r="AH1547" s="442"/>
      <c r="AI1547" s="443"/>
    </row>
    <row r="1548" spans="1:35" s="32" customFormat="1">
      <c r="A1548" s="434" t="s">
        <v>942</v>
      </c>
      <c r="B1548" s="457" t="s">
        <v>946</v>
      </c>
      <c r="C1548" s="233">
        <v>44280</v>
      </c>
      <c r="D1548" s="435" t="s">
        <v>1267</v>
      </c>
      <c r="E1548" s="436" t="s">
        <v>1569</v>
      </c>
      <c r="F1548" s="338">
        <v>0.42222222222222222</v>
      </c>
      <c r="G1548" s="338">
        <v>0.42291666666666666</v>
      </c>
      <c r="H1548" s="338" t="s">
        <v>971</v>
      </c>
      <c r="I1548" s="353">
        <v>795</v>
      </c>
      <c r="J1548" s="338" t="str">
        <f>IFERROR(VLOOKUP(I1548,'Chart of accounts'!A:H,2,FALSE),"")</f>
        <v>50212990 00</v>
      </c>
      <c r="K1548" s="338" t="str">
        <f>IFERROR(VLOOKUP(I1548,'Chart of accounts'!A:H,3,FALSE),"")</f>
        <v>Other General Services</v>
      </c>
      <c r="L1548" s="338" t="str">
        <f>IFERROR(VLOOKUP(I1548,'Chart of accounts'!A:H,4,FALSE),"")</f>
        <v>50212990 00 - Other General Services (795)</v>
      </c>
      <c r="M1548" s="361" t="s">
        <v>812</v>
      </c>
      <c r="N1548" s="355" t="s">
        <v>1075</v>
      </c>
      <c r="O1548" s="355" t="s">
        <v>1570</v>
      </c>
      <c r="P1548" s="355"/>
      <c r="Q1548" s="363">
        <v>13034</v>
      </c>
      <c r="R1548" s="428">
        <f t="shared" si="62"/>
        <v>-13034</v>
      </c>
      <c r="S1548" s="428" t="str">
        <f>VLOOKUP(H1548,'Fund Utilization Report'!$A$4:$U$1800,13,FALSE)</f>
        <v>MOOE</v>
      </c>
      <c r="T1548" s="428" t="str">
        <f>VLOOKUP(H1548,'Fund Utilization Report'!$A$4:$U$1800,2,FALSE)</f>
        <v>GAA</v>
      </c>
      <c r="U1548" s="428" t="str">
        <f>VLOOKUP(H1548,'Fund Utilization Report'!$A$4:$U$1800,3,FALSE)</f>
        <v>FY2021, RA11518</v>
      </c>
      <c r="V1548" s="428" t="str">
        <f>VLOOKUP(H1548,'Fund Utilization Report'!$A$4:$U$1800,4,FALSE)</f>
        <v>OO3</v>
      </c>
      <c r="W1548" s="428" t="str">
        <f>VLOOKUP(H1548,'Fund Utilization Report'!$A$4:$U$1800,5,FALSE)</f>
        <v>01101101</v>
      </c>
      <c r="X1548" s="428" t="str">
        <f>VLOOKUP(H1548,'Fund Utilization Report'!$A$4:$U$1800,6,FALSE)</f>
        <v>GOP</v>
      </c>
      <c r="Y1548" s="320" t="str">
        <f>VLOOKUP(H1548,'Fund Utilization Report'!$A$4:$U$1800,7,FALSE)</f>
        <v>MOOE</v>
      </c>
      <c r="Z1548" s="425">
        <f>VLOOKUP(H1548,'Fund Utilization Report'!$A$4:$U$1800,8,FALSE)</f>
        <v>5020000000</v>
      </c>
      <c r="AA1548" s="428" t="str">
        <f>VLOOKUP(H1548,'Fund Utilization Report'!$A$4:$U$1800,14,FALSE)</f>
        <v>330100100002000</v>
      </c>
      <c r="AB1548" s="349" t="str">
        <f>VLOOKUP(H1548,'Fund Utilization Report'!$A$4:$U$1800,15,FALSE)</f>
        <v>Implementation of the MSME Development Plan and other initiatives to promote the growth of Micro, Small and Medium Enterprises</v>
      </c>
      <c r="AC1548" s="39"/>
      <c r="AD1548" s="34"/>
      <c r="AE1548" s="39"/>
      <c r="AF1548" s="51"/>
      <c r="AG1548" s="442"/>
      <c r="AH1548" s="442"/>
      <c r="AI1548" s="443"/>
    </row>
    <row r="1549" spans="1:35" s="32" customFormat="1">
      <c r="A1549" s="434" t="s">
        <v>942</v>
      </c>
      <c r="B1549" s="457" t="s">
        <v>946</v>
      </c>
      <c r="C1549" s="233">
        <v>44280</v>
      </c>
      <c r="D1549" s="435" t="s">
        <v>1267</v>
      </c>
      <c r="E1549" s="436" t="s">
        <v>1571</v>
      </c>
      <c r="F1549" s="338">
        <v>0.42291666666666666</v>
      </c>
      <c r="G1549" s="338">
        <v>0.42430555555555555</v>
      </c>
      <c r="H1549" s="338" t="s">
        <v>961</v>
      </c>
      <c r="I1549" s="353">
        <v>755</v>
      </c>
      <c r="J1549" s="338" t="str">
        <f>IFERROR(VLOOKUP(I1549,'Chart of accounts'!A:H,2,FALSE),"")</f>
        <v>50203010 00</v>
      </c>
      <c r="K1549" s="338" t="str">
        <f>IFERROR(VLOOKUP(I1549,'Chart of accounts'!A:H,3,FALSE),"")</f>
        <v>Office Supplies Expenses</v>
      </c>
      <c r="L1549" s="338" t="str">
        <f>IFERROR(VLOOKUP(I1549,'Chart of accounts'!A:H,4,FALSE),"")</f>
        <v>50203010 00 - Office Supplies Expenses (755)</v>
      </c>
      <c r="M1549" s="361" t="s">
        <v>812</v>
      </c>
      <c r="N1549" s="355" t="s">
        <v>1572</v>
      </c>
      <c r="O1549" s="355" t="s">
        <v>1573</v>
      </c>
      <c r="P1549" s="355"/>
      <c r="Q1549" s="363">
        <v>6850</v>
      </c>
      <c r="R1549" s="428">
        <f t="shared" si="62"/>
        <v>-6850</v>
      </c>
      <c r="S1549" s="428" t="str">
        <f>VLOOKUP(H1549,'Fund Utilization Report'!$A$4:$U$1800,13,FALSE)</f>
        <v>MOOE</v>
      </c>
      <c r="T1549" s="428" t="str">
        <f>VLOOKUP(H1549,'Fund Utilization Report'!$A$4:$U$1800,2,FALSE)</f>
        <v>GAA</v>
      </c>
      <c r="U1549" s="428" t="str">
        <f>VLOOKUP(H1549,'Fund Utilization Report'!$A$4:$U$1800,3,FALSE)</f>
        <v>FY2021, RA11518</v>
      </c>
      <c r="V1549" s="428" t="str">
        <f>VLOOKUP(H1549,'Fund Utilization Report'!$A$4:$U$1800,4,FALSE)</f>
        <v>GAS(GMS)</v>
      </c>
      <c r="W1549" s="428" t="str">
        <f>VLOOKUP(H1549,'Fund Utilization Report'!$A$4:$U$1800,5,FALSE)</f>
        <v>01101101</v>
      </c>
      <c r="X1549" s="428" t="str">
        <f>VLOOKUP(H1549,'Fund Utilization Report'!$A$4:$U$1800,6,FALSE)</f>
        <v>GOP</v>
      </c>
      <c r="Y1549" s="320" t="str">
        <f>VLOOKUP(H1549,'Fund Utilization Report'!$A$4:$U$1800,7,FALSE)</f>
        <v>MOOE</v>
      </c>
      <c r="Z1549" s="425">
        <f>VLOOKUP(H1549,'Fund Utilization Report'!$A$4:$U$1800,8,FALSE)</f>
        <v>5020000000</v>
      </c>
      <c r="AA1549" s="428" t="str">
        <f>VLOOKUP(H1549,'Fund Utilization Report'!$A$4:$U$1800,14,FALSE)</f>
        <v>100000100001000</v>
      </c>
      <c r="AB1549" s="349" t="str">
        <f>VLOOKUP(H1549,'Fund Utilization Report'!$A$4:$U$1800,15,FALSE)</f>
        <v>General Administration and Supervision - General Management and Supervision</v>
      </c>
      <c r="AC1549" s="39"/>
      <c r="AD1549" s="34"/>
      <c r="AE1549" s="39"/>
      <c r="AF1549" s="51"/>
      <c r="AG1549" s="442"/>
      <c r="AH1549" s="442"/>
      <c r="AI1549" s="443"/>
    </row>
    <row r="1550" spans="1:35" s="32" customFormat="1" ht="27.6">
      <c r="A1550" s="434" t="s">
        <v>942</v>
      </c>
      <c r="B1550" s="457" t="s">
        <v>946</v>
      </c>
      <c r="C1550" s="233">
        <v>44280</v>
      </c>
      <c r="D1550" s="435" t="s">
        <v>1267</v>
      </c>
      <c r="E1550" s="436" t="s">
        <v>1574</v>
      </c>
      <c r="F1550" s="338">
        <v>0.42430555555555555</v>
      </c>
      <c r="G1550" s="338">
        <v>0.42499999999999999</v>
      </c>
      <c r="H1550" s="338" t="s">
        <v>961</v>
      </c>
      <c r="I1550" s="353">
        <v>773</v>
      </c>
      <c r="J1550" s="338" t="str">
        <f>IFERROR(VLOOKUP(I1550,'Chart of accounts'!A:H,2,FALSE),"")</f>
        <v>50205020 01</v>
      </c>
      <c r="K1550" s="338" t="str">
        <f>IFERROR(VLOOKUP(I1550,'Chart of accounts'!A:H,3,FALSE),"")</f>
        <v xml:space="preserve">Telephone Expenses - Mobile </v>
      </c>
      <c r="L1550" s="338" t="str">
        <f>IFERROR(VLOOKUP(I1550,'Chart of accounts'!A:H,4,FALSE),"")</f>
        <v>50205020 01 - Telephone Expenses - Mobile  (773)</v>
      </c>
      <c r="M1550" s="361" t="s">
        <v>812</v>
      </c>
      <c r="N1550" s="355" t="s">
        <v>1102</v>
      </c>
      <c r="O1550" s="355" t="s">
        <v>1575</v>
      </c>
      <c r="P1550" s="355"/>
      <c r="Q1550" s="363">
        <v>2500</v>
      </c>
      <c r="R1550" s="428">
        <f t="shared" si="62"/>
        <v>-2500</v>
      </c>
      <c r="S1550" s="428" t="str">
        <f>VLOOKUP(H1550,'Fund Utilization Report'!$A$4:$U$1800,13,FALSE)</f>
        <v>MOOE</v>
      </c>
      <c r="T1550" s="428" t="str">
        <f>VLOOKUP(H1550,'Fund Utilization Report'!$A$4:$U$1800,2,FALSE)</f>
        <v>GAA</v>
      </c>
      <c r="U1550" s="428" t="str">
        <f>VLOOKUP(H1550,'Fund Utilization Report'!$A$4:$U$1800,3,FALSE)</f>
        <v>FY2021, RA11518</v>
      </c>
      <c r="V1550" s="428" t="str">
        <f>VLOOKUP(H1550,'Fund Utilization Report'!$A$4:$U$1800,4,FALSE)</f>
        <v>GAS(GMS)</v>
      </c>
      <c r="W1550" s="428" t="str">
        <f>VLOOKUP(H1550,'Fund Utilization Report'!$A$4:$U$1800,5,FALSE)</f>
        <v>01101101</v>
      </c>
      <c r="X1550" s="428" t="str">
        <f>VLOOKUP(H1550,'Fund Utilization Report'!$A$4:$U$1800,6,FALSE)</f>
        <v>GOP</v>
      </c>
      <c r="Y1550" s="320" t="str">
        <f>VLOOKUP(H1550,'Fund Utilization Report'!$A$4:$U$1800,7,FALSE)</f>
        <v>MOOE</v>
      </c>
      <c r="Z1550" s="425">
        <f>VLOOKUP(H1550,'Fund Utilization Report'!$A$4:$U$1800,8,FALSE)</f>
        <v>5020000000</v>
      </c>
      <c r="AA1550" s="428" t="str">
        <f>VLOOKUP(H1550,'Fund Utilization Report'!$A$4:$U$1800,14,FALSE)</f>
        <v>100000100001000</v>
      </c>
      <c r="AB1550" s="349" t="str">
        <f>VLOOKUP(H1550,'Fund Utilization Report'!$A$4:$U$1800,15,FALSE)</f>
        <v>General Administration and Supervision - General Management and Supervision</v>
      </c>
      <c r="AC1550" s="39"/>
      <c r="AD1550" s="34"/>
      <c r="AE1550" s="39"/>
      <c r="AF1550" s="51"/>
      <c r="AG1550" s="442"/>
      <c r="AH1550" s="442"/>
      <c r="AI1550" s="443"/>
    </row>
    <row r="1551" spans="1:35" s="32" customFormat="1">
      <c r="A1551" s="434" t="s">
        <v>942</v>
      </c>
      <c r="B1551" s="457" t="s">
        <v>946</v>
      </c>
      <c r="C1551" s="233">
        <v>44280</v>
      </c>
      <c r="D1551" s="435" t="s">
        <v>1267</v>
      </c>
      <c r="E1551" s="436" t="s">
        <v>1576</v>
      </c>
      <c r="F1551" s="338">
        <v>0.42499999999999999</v>
      </c>
      <c r="G1551" s="338">
        <v>0.42638888888888887</v>
      </c>
      <c r="H1551" s="338" t="s">
        <v>971</v>
      </c>
      <c r="I1551" s="353">
        <v>755</v>
      </c>
      <c r="J1551" s="338" t="str">
        <f>IFERROR(VLOOKUP(I1551,'Chart of accounts'!A:H,2,FALSE),"")</f>
        <v>50203010 00</v>
      </c>
      <c r="K1551" s="338" t="str">
        <f>IFERROR(VLOOKUP(I1551,'Chart of accounts'!A:H,3,FALSE),"")</f>
        <v>Office Supplies Expenses</v>
      </c>
      <c r="L1551" s="338" t="str">
        <f>IFERROR(VLOOKUP(I1551,'Chart of accounts'!A:H,4,FALSE),"")</f>
        <v>50203010 00 - Office Supplies Expenses (755)</v>
      </c>
      <c r="M1551" s="361" t="s">
        <v>813</v>
      </c>
      <c r="N1551" s="355" t="s">
        <v>1577</v>
      </c>
      <c r="O1551" s="355" t="s">
        <v>1578</v>
      </c>
      <c r="P1551" s="355"/>
      <c r="Q1551" s="363">
        <v>2511.36</v>
      </c>
      <c r="R1551" s="428">
        <f t="shared" si="62"/>
        <v>-2511.36</v>
      </c>
      <c r="S1551" s="428" t="str">
        <f>VLOOKUP(H1551,'Fund Utilization Report'!$A$4:$U$1800,13,FALSE)</f>
        <v>MOOE</v>
      </c>
      <c r="T1551" s="428" t="str">
        <f>VLOOKUP(H1551,'Fund Utilization Report'!$A$4:$U$1800,2,FALSE)</f>
        <v>GAA</v>
      </c>
      <c r="U1551" s="428" t="str">
        <f>VLOOKUP(H1551,'Fund Utilization Report'!$A$4:$U$1800,3,FALSE)</f>
        <v>FY2021, RA11518</v>
      </c>
      <c r="V1551" s="428" t="str">
        <f>VLOOKUP(H1551,'Fund Utilization Report'!$A$4:$U$1800,4,FALSE)</f>
        <v>OO3</v>
      </c>
      <c r="W1551" s="428" t="str">
        <f>VLOOKUP(H1551,'Fund Utilization Report'!$A$4:$U$1800,5,FALSE)</f>
        <v>01101101</v>
      </c>
      <c r="X1551" s="428" t="str">
        <f>VLOOKUP(H1551,'Fund Utilization Report'!$A$4:$U$1800,6,FALSE)</f>
        <v>GOP</v>
      </c>
      <c r="Y1551" s="320" t="str">
        <f>VLOOKUP(H1551,'Fund Utilization Report'!$A$4:$U$1800,7,FALSE)</f>
        <v>MOOE</v>
      </c>
      <c r="Z1551" s="425">
        <f>VLOOKUP(H1551,'Fund Utilization Report'!$A$4:$U$1800,8,FALSE)</f>
        <v>5020000000</v>
      </c>
      <c r="AA1551" s="428" t="str">
        <f>VLOOKUP(H1551,'Fund Utilization Report'!$A$4:$U$1800,14,FALSE)</f>
        <v>330100100002000</v>
      </c>
      <c r="AB1551" s="349" t="str">
        <f>VLOOKUP(H1551,'Fund Utilization Report'!$A$4:$U$1800,15,FALSE)</f>
        <v>Implementation of the MSME Development Plan and other initiatives to promote the growth of Micro, Small and Medium Enterprises</v>
      </c>
      <c r="AC1551" s="39"/>
      <c r="AD1551" s="34"/>
      <c r="AE1551" s="39"/>
      <c r="AF1551" s="51"/>
      <c r="AG1551" s="442"/>
      <c r="AH1551" s="442"/>
      <c r="AI1551" s="443"/>
    </row>
    <row r="1552" spans="1:35" s="32" customFormat="1">
      <c r="A1552" s="434" t="s">
        <v>942</v>
      </c>
      <c r="B1552" s="457" t="s">
        <v>946</v>
      </c>
      <c r="C1552" s="233">
        <v>44280</v>
      </c>
      <c r="D1552" s="435" t="s">
        <v>1267</v>
      </c>
      <c r="E1552" s="436" t="s">
        <v>1579</v>
      </c>
      <c r="F1552" s="338">
        <v>0.42638888888888887</v>
      </c>
      <c r="G1552" s="338">
        <v>0.42777777777777781</v>
      </c>
      <c r="H1552" s="338" t="s">
        <v>983</v>
      </c>
      <c r="I1552" s="353">
        <v>799</v>
      </c>
      <c r="J1552" s="338" t="str">
        <f>IFERROR(VLOOKUP(I1552,'Chart of accounts'!A:H,2,FALSE),"")</f>
        <v>50211990 00</v>
      </c>
      <c r="K1552" s="338" t="str">
        <f>IFERROR(VLOOKUP(I1552,'Chart of accounts'!A:H,3,FALSE),"")</f>
        <v>Other Professional Services</v>
      </c>
      <c r="L1552" s="338" t="str">
        <f>IFERROR(VLOOKUP(I1552,'Chart of accounts'!A:H,4,FALSE),"")</f>
        <v>50211990 00 - Other Professional Services (799)</v>
      </c>
      <c r="M1552" s="361" t="s">
        <v>5</v>
      </c>
      <c r="N1552" s="355" t="s">
        <v>1235</v>
      </c>
      <c r="O1552" s="355" t="s">
        <v>1570</v>
      </c>
      <c r="P1552" s="355"/>
      <c r="Q1552" s="363">
        <v>10000</v>
      </c>
      <c r="R1552" s="428">
        <f t="shared" si="62"/>
        <v>-10000</v>
      </c>
      <c r="S1552" s="428" t="str">
        <f>VLOOKUP(H1552,'Fund Utilization Report'!$A$4:$U$1800,13,FALSE)</f>
        <v>MOOE</v>
      </c>
      <c r="T1552" s="428" t="str">
        <f>VLOOKUP(H1552,'Fund Utilization Report'!$A$4:$U$1800,2,FALSE)</f>
        <v>GAA</v>
      </c>
      <c r="U1552" s="428" t="str">
        <f>VLOOKUP(H1552,'Fund Utilization Report'!$A$4:$U$1800,3,FALSE)</f>
        <v>FY2021, RA11518</v>
      </c>
      <c r="V1552" s="428" t="str">
        <f>VLOOKUP(H1552,'Fund Utilization Report'!$A$4:$U$1800,4,FALSE)</f>
        <v>SSF</v>
      </c>
      <c r="W1552" s="428" t="str">
        <f>VLOOKUP(H1552,'Fund Utilization Report'!$A$4:$U$1800,5,FALSE)</f>
        <v>01101101</v>
      </c>
      <c r="X1552" s="428" t="str">
        <f>VLOOKUP(H1552,'Fund Utilization Report'!$A$4:$U$1800,6,FALSE)</f>
        <v>GOP</v>
      </c>
      <c r="Y1552" s="320" t="str">
        <f>VLOOKUP(H1552,'Fund Utilization Report'!$A$4:$U$1800,7,FALSE)</f>
        <v>MOOE</v>
      </c>
      <c r="Z1552" s="425">
        <f>VLOOKUP(H1552,'Fund Utilization Report'!$A$4:$U$1800,8,FALSE)</f>
        <v>5020000000</v>
      </c>
      <c r="AA1552" s="428" t="str">
        <f>VLOOKUP(H1552,'Fund Utilization Report'!$A$4:$U$1800,14,FALSE)</f>
        <v>330100200003000</v>
      </c>
      <c r="AB1552" s="349" t="str">
        <f>VLOOKUP(H1552,'Fund Utilization Report'!$A$4:$U$1800,15,FALSE)</f>
        <v>Shared Service Facilities Project</v>
      </c>
      <c r="AC1552" s="39"/>
      <c r="AD1552" s="34"/>
      <c r="AE1552" s="39"/>
      <c r="AF1552" s="51"/>
      <c r="AG1552" s="442"/>
      <c r="AH1552" s="442"/>
      <c r="AI1552" s="443"/>
    </row>
    <row r="1553" spans="1:35" s="32" customFormat="1">
      <c r="A1553" s="434" t="s">
        <v>942</v>
      </c>
      <c r="B1553" s="457" t="s">
        <v>946</v>
      </c>
      <c r="C1553" s="233">
        <v>44280</v>
      </c>
      <c r="D1553" s="435" t="s">
        <v>1267</v>
      </c>
      <c r="E1553" s="436" t="s">
        <v>1580</v>
      </c>
      <c r="F1553" s="338">
        <v>0.42777777777777781</v>
      </c>
      <c r="G1553" s="338">
        <v>0.4284722222222222</v>
      </c>
      <c r="H1553" s="338" t="s">
        <v>961</v>
      </c>
      <c r="I1553" s="353">
        <v>782</v>
      </c>
      <c r="J1553" s="338" t="str">
        <f>IFERROR(VLOOKUP(I1553,'Chart of accounts'!A:H,2,FALSE),"")</f>
        <v>50299050 01</v>
      </c>
      <c r="K1553" s="338" t="str">
        <f>IFERROR(VLOOKUP(I1553,'Chart of accounts'!A:H,3,FALSE),"")</f>
        <v>Rent - Buildings and Structures</v>
      </c>
      <c r="L1553" s="338" t="str">
        <f>IFERROR(VLOOKUP(I1553,'Chart of accounts'!A:H,4,FALSE),"")</f>
        <v>50299050 01 - Rent - Buildings and Structures (782)</v>
      </c>
      <c r="M1553" s="361">
        <v>1</v>
      </c>
      <c r="N1553" s="355" t="s">
        <v>779</v>
      </c>
      <c r="O1553" s="355" t="s">
        <v>1581</v>
      </c>
      <c r="P1553" s="355"/>
      <c r="Q1553" s="363">
        <v>170501.47</v>
      </c>
      <c r="R1553" s="428">
        <f t="shared" si="62"/>
        <v>-170501.47</v>
      </c>
      <c r="S1553" s="428" t="str">
        <f>VLOOKUP(H1553,'Fund Utilization Report'!$A$4:$U$1800,13,FALSE)</f>
        <v>MOOE</v>
      </c>
      <c r="T1553" s="428" t="str">
        <f>VLOOKUP(H1553,'Fund Utilization Report'!$A$4:$U$1800,2,FALSE)</f>
        <v>GAA</v>
      </c>
      <c r="U1553" s="428" t="str">
        <f>VLOOKUP(H1553,'Fund Utilization Report'!$A$4:$U$1800,3,FALSE)</f>
        <v>FY2021, RA11518</v>
      </c>
      <c r="V1553" s="428" t="str">
        <f>VLOOKUP(H1553,'Fund Utilization Report'!$A$4:$U$1800,4,FALSE)</f>
        <v>GAS(GMS)</v>
      </c>
      <c r="W1553" s="428" t="str">
        <f>VLOOKUP(H1553,'Fund Utilization Report'!$A$4:$U$1800,5,FALSE)</f>
        <v>01101101</v>
      </c>
      <c r="X1553" s="428" t="str">
        <f>VLOOKUP(H1553,'Fund Utilization Report'!$A$4:$U$1800,6,FALSE)</f>
        <v>GOP</v>
      </c>
      <c r="Y1553" s="320" t="str">
        <f>VLOOKUP(H1553,'Fund Utilization Report'!$A$4:$U$1800,7,FALSE)</f>
        <v>MOOE</v>
      </c>
      <c r="Z1553" s="425">
        <f>VLOOKUP(H1553,'Fund Utilization Report'!$A$4:$U$1800,8,FALSE)</f>
        <v>5020000000</v>
      </c>
      <c r="AA1553" s="428" t="str">
        <f>VLOOKUP(H1553,'Fund Utilization Report'!$A$4:$U$1800,14,FALSE)</f>
        <v>100000100001000</v>
      </c>
      <c r="AB1553" s="349" t="str">
        <f>VLOOKUP(H1553,'Fund Utilization Report'!$A$4:$U$1800,15,FALSE)</f>
        <v>General Administration and Supervision - General Management and Supervision</v>
      </c>
      <c r="AC1553" s="39"/>
      <c r="AD1553" s="34"/>
      <c r="AE1553" s="39"/>
      <c r="AF1553" s="51"/>
      <c r="AG1553" s="442"/>
      <c r="AH1553" s="442"/>
      <c r="AI1553" s="443"/>
    </row>
    <row r="1554" spans="1:35" s="32" customFormat="1">
      <c r="A1554" s="434" t="s">
        <v>942</v>
      </c>
      <c r="B1554" s="457" t="s">
        <v>946</v>
      </c>
      <c r="C1554" s="233">
        <v>44280</v>
      </c>
      <c r="D1554" s="435" t="s">
        <v>1267</v>
      </c>
      <c r="E1554" s="436" t="s">
        <v>1582</v>
      </c>
      <c r="F1554" s="338">
        <v>0.4284722222222222</v>
      </c>
      <c r="G1554" s="338">
        <v>0.4291666666666667</v>
      </c>
      <c r="H1554" s="338" t="s">
        <v>961</v>
      </c>
      <c r="I1554" s="353">
        <v>766</v>
      </c>
      <c r="J1554" s="338" t="str">
        <f>IFERROR(VLOOKUP(I1554,'Chart of accounts'!A:H,2,FALSE),"")</f>
        <v>50204010 00</v>
      </c>
      <c r="K1554" s="338" t="str">
        <f>IFERROR(VLOOKUP(I1554,'Chart of accounts'!A:H,3,FALSE),"")</f>
        <v>Water Expenses</v>
      </c>
      <c r="L1554" s="338" t="str">
        <f>IFERROR(VLOOKUP(I1554,'Chart of accounts'!A:H,4,FALSE),"")</f>
        <v>50204010 00 - Water Expenses (766)</v>
      </c>
      <c r="M1554" s="361">
        <v>1</v>
      </c>
      <c r="N1554" s="355" t="s">
        <v>839</v>
      </c>
      <c r="O1554" s="355" t="s">
        <v>1583</v>
      </c>
      <c r="P1554" s="355"/>
      <c r="Q1554" s="363">
        <v>7712.46</v>
      </c>
      <c r="R1554" s="428">
        <f t="shared" si="62"/>
        <v>-7712.46</v>
      </c>
      <c r="S1554" s="428" t="str">
        <f>VLOOKUP(H1554,'Fund Utilization Report'!$A$4:$U$1800,13,FALSE)</f>
        <v>MOOE</v>
      </c>
      <c r="T1554" s="428" t="str">
        <f>VLOOKUP(H1554,'Fund Utilization Report'!$A$4:$U$1800,2,FALSE)</f>
        <v>GAA</v>
      </c>
      <c r="U1554" s="428" t="str">
        <f>VLOOKUP(H1554,'Fund Utilization Report'!$A$4:$U$1800,3,FALSE)</f>
        <v>FY2021, RA11518</v>
      </c>
      <c r="V1554" s="428" t="str">
        <f>VLOOKUP(H1554,'Fund Utilization Report'!$A$4:$U$1800,4,FALSE)</f>
        <v>GAS(GMS)</v>
      </c>
      <c r="W1554" s="428" t="str">
        <f>VLOOKUP(H1554,'Fund Utilization Report'!$A$4:$U$1800,5,FALSE)</f>
        <v>01101101</v>
      </c>
      <c r="X1554" s="428" t="str">
        <f>VLOOKUP(H1554,'Fund Utilization Report'!$A$4:$U$1800,6,FALSE)</f>
        <v>GOP</v>
      </c>
      <c r="Y1554" s="320" t="str">
        <f>VLOOKUP(H1554,'Fund Utilization Report'!$A$4:$U$1800,7,FALSE)</f>
        <v>MOOE</v>
      </c>
      <c r="Z1554" s="425">
        <f>VLOOKUP(H1554,'Fund Utilization Report'!$A$4:$U$1800,8,FALSE)</f>
        <v>5020000000</v>
      </c>
      <c r="AA1554" s="428" t="str">
        <f>VLOOKUP(H1554,'Fund Utilization Report'!$A$4:$U$1800,14,FALSE)</f>
        <v>100000100001000</v>
      </c>
      <c r="AB1554" s="349" t="str">
        <f>VLOOKUP(H1554,'Fund Utilization Report'!$A$4:$U$1800,15,FALSE)</f>
        <v>General Administration and Supervision - General Management and Supervision</v>
      </c>
      <c r="AC1554" s="39"/>
      <c r="AD1554" s="34"/>
      <c r="AE1554" s="39"/>
      <c r="AF1554" s="51"/>
      <c r="AG1554" s="442"/>
      <c r="AH1554" s="442"/>
      <c r="AI1554" s="443"/>
    </row>
    <row r="1555" spans="1:35" s="32" customFormat="1">
      <c r="A1555" s="434" t="s">
        <v>942</v>
      </c>
      <c r="B1555" s="457" t="s">
        <v>946</v>
      </c>
      <c r="C1555" s="233">
        <v>44280</v>
      </c>
      <c r="D1555" s="435" t="s">
        <v>1267</v>
      </c>
      <c r="E1555" s="436" t="s">
        <v>1584</v>
      </c>
      <c r="F1555" s="338">
        <v>0.4291666666666667</v>
      </c>
      <c r="G1555" s="338">
        <v>0.43055555555555558</v>
      </c>
      <c r="H1555" s="338" t="s">
        <v>965</v>
      </c>
      <c r="I1555" s="353">
        <v>767</v>
      </c>
      <c r="J1555" s="338" t="str">
        <f>IFERROR(VLOOKUP(I1555,'Chart of accounts'!A:H,2,FALSE),"")</f>
        <v>50204020 00</v>
      </c>
      <c r="K1555" s="338" t="str">
        <f>IFERROR(VLOOKUP(I1555,'Chart of accounts'!A:H,3,FALSE),"")</f>
        <v>Electricity Expense</v>
      </c>
      <c r="L1555" s="338" t="str">
        <f>IFERROR(VLOOKUP(I1555,'Chart of accounts'!A:H,4,FALSE),"")</f>
        <v>50204020 00 - Electricity Expense (767)</v>
      </c>
      <c r="M1555" s="361">
        <v>1</v>
      </c>
      <c r="N1555" s="355" t="s">
        <v>1315</v>
      </c>
      <c r="O1555" s="355" t="s">
        <v>1585</v>
      </c>
      <c r="P1555" s="355"/>
      <c r="Q1555" s="363">
        <v>9559.2900000000009</v>
      </c>
      <c r="R1555" s="428">
        <f t="shared" si="62"/>
        <v>-9559.2900000000009</v>
      </c>
      <c r="S1555" s="428" t="str">
        <f>VLOOKUP(H1555,'Fund Utilization Report'!$A$4:$U$1800,13,FALSE)</f>
        <v>MOOE</v>
      </c>
      <c r="T1555" s="428" t="str">
        <f>VLOOKUP(H1555,'Fund Utilization Report'!$A$4:$U$1800,2,FALSE)</f>
        <v>GAA</v>
      </c>
      <c r="U1555" s="428" t="str">
        <f>VLOOKUP(H1555,'Fund Utilization Report'!$A$4:$U$1800,3,FALSE)</f>
        <v>FY2021, RA11518</v>
      </c>
      <c r="V1555" s="428" t="str">
        <f>VLOOKUP(H1555,'Fund Utilization Report'!$A$4:$U$1800,4,FALSE)</f>
        <v>OO1</v>
      </c>
      <c r="W1555" s="428" t="str">
        <f>VLOOKUP(H1555,'Fund Utilization Report'!$A$4:$U$1800,5,FALSE)</f>
        <v>01101101</v>
      </c>
      <c r="X1555" s="428" t="str">
        <f>VLOOKUP(H1555,'Fund Utilization Report'!$A$4:$U$1800,6,FALSE)</f>
        <v>GOP</v>
      </c>
      <c r="Y1555" s="320" t="str">
        <f>VLOOKUP(H1555,'Fund Utilization Report'!$A$4:$U$1800,7,FALSE)</f>
        <v>MOOE</v>
      </c>
      <c r="Z1555" s="425">
        <f>VLOOKUP(H1555,'Fund Utilization Report'!$A$4:$U$1800,8,FALSE)</f>
        <v>5020000000</v>
      </c>
      <c r="AA1555" s="428" t="str">
        <f>VLOOKUP(H1555,'Fund Utilization Report'!$A$4:$U$1800,14,FALSE)</f>
        <v>310100100002000</v>
      </c>
      <c r="AB1555" s="349" t="str">
        <f>VLOOKUP(H1555,'Fund Utilization Report'!$A$4:$U$1800,15,FALSE)</f>
        <v>Development,Facilitation, and promotion of exports and investment, domestic and foreign</v>
      </c>
      <c r="AC1555" s="39"/>
      <c r="AD1555" s="34"/>
      <c r="AE1555" s="39"/>
      <c r="AF1555" s="51"/>
      <c r="AG1555" s="442"/>
      <c r="AH1555" s="442"/>
      <c r="AI1555" s="443"/>
    </row>
    <row r="1556" spans="1:35" s="32" customFormat="1">
      <c r="A1556" s="434" t="s">
        <v>942</v>
      </c>
      <c r="B1556" s="457" t="s">
        <v>946</v>
      </c>
      <c r="C1556" s="233">
        <v>44280</v>
      </c>
      <c r="D1556" s="435" t="s">
        <v>1267</v>
      </c>
      <c r="E1556" s="436" t="s">
        <v>1586</v>
      </c>
      <c r="F1556" s="338">
        <v>0.43055555555555558</v>
      </c>
      <c r="G1556" s="338">
        <v>0.43194444444444446</v>
      </c>
      <c r="H1556" s="338" t="s">
        <v>961</v>
      </c>
      <c r="I1556" s="353">
        <v>783</v>
      </c>
      <c r="J1556" s="338" t="str">
        <f>IFERROR(VLOOKUP(I1556,'Chart of accounts'!A:H,2,FALSE),"")</f>
        <v>50299030 00</v>
      </c>
      <c r="K1556" s="338" t="str">
        <f>IFERROR(VLOOKUP(I1556,'Chart of accounts'!A:H,3,FALSE),"")</f>
        <v>Representation Expenses</v>
      </c>
      <c r="L1556" s="338" t="str">
        <f>IFERROR(VLOOKUP(I1556,'Chart of accounts'!A:H,4,FALSE),"")</f>
        <v>50299030 00 - Representation Expenses (783)</v>
      </c>
      <c r="M1556" s="361" t="s">
        <v>1366</v>
      </c>
      <c r="N1556" s="355" t="s">
        <v>818</v>
      </c>
      <c r="O1556" s="355" t="s">
        <v>1587</v>
      </c>
      <c r="P1556" s="355"/>
      <c r="Q1556" s="363">
        <v>51050</v>
      </c>
      <c r="R1556" s="428">
        <f t="shared" ref="R1556:R1568" si="63">P1556-Q1556</f>
        <v>-51050</v>
      </c>
      <c r="S1556" s="428" t="str">
        <f>VLOOKUP(H1556,'Fund Utilization Report'!$A$4:$U$1800,13,FALSE)</f>
        <v>MOOE</v>
      </c>
      <c r="T1556" s="428" t="str">
        <f>VLOOKUP(H1556,'Fund Utilization Report'!$A$4:$U$1800,2,FALSE)</f>
        <v>GAA</v>
      </c>
      <c r="U1556" s="428" t="str">
        <f>VLOOKUP(H1556,'Fund Utilization Report'!$A$4:$U$1800,3,FALSE)</f>
        <v>FY2021, RA11518</v>
      </c>
      <c r="V1556" s="428" t="str">
        <f>VLOOKUP(H1556,'Fund Utilization Report'!$A$4:$U$1800,4,FALSE)</f>
        <v>GAS(GMS)</v>
      </c>
      <c r="W1556" s="428" t="str">
        <f>VLOOKUP(H1556,'Fund Utilization Report'!$A$4:$U$1800,5,FALSE)</f>
        <v>01101101</v>
      </c>
      <c r="X1556" s="428" t="str">
        <f>VLOOKUP(H1556,'Fund Utilization Report'!$A$4:$U$1800,6,FALSE)</f>
        <v>GOP</v>
      </c>
      <c r="Y1556" s="320" t="str">
        <f>VLOOKUP(H1556,'Fund Utilization Report'!$A$4:$U$1800,7,FALSE)</f>
        <v>MOOE</v>
      </c>
      <c r="Z1556" s="425">
        <f>VLOOKUP(H1556,'Fund Utilization Report'!$A$4:$U$1800,8,FALSE)</f>
        <v>5020000000</v>
      </c>
      <c r="AA1556" s="428" t="str">
        <f>VLOOKUP(H1556,'Fund Utilization Report'!$A$4:$U$1800,14,FALSE)</f>
        <v>100000100001000</v>
      </c>
      <c r="AB1556" s="349" t="str">
        <f>VLOOKUP(H1556,'Fund Utilization Report'!$A$4:$U$1800,15,FALSE)</f>
        <v>General Administration and Supervision - General Management and Supervision</v>
      </c>
      <c r="AC1556" s="39"/>
      <c r="AD1556" s="34"/>
      <c r="AE1556" s="39"/>
      <c r="AF1556" s="51"/>
      <c r="AG1556" s="442"/>
      <c r="AH1556" s="442"/>
      <c r="AI1556" s="443"/>
    </row>
    <row r="1557" spans="1:35" s="32" customFormat="1">
      <c r="A1557" s="434" t="s">
        <v>942</v>
      </c>
      <c r="B1557" s="457" t="s">
        <v>946</v>
      </c>
      <c r="C1557" s="233">
        <v>44280</v>
      </c>
      <c r="D1557" s="435" t="s">
        <v>1267</v>
      </c>
      <c r="E1557" s="436" t="s">
        <v>1588</v>
      </c>
      <c r="F1557" s="338">
        <v>0.43194444444444446</v>
      </c>
      <c r="G1557" s="338">
        <v>0.43333333333333335</v>
      </c>
      <c r="H1557" s="338" t="s">
        <v>961</v>
      </c>
      <c r="I1557" s="353">
        <v>783</v>
      </c>
      <c r="J1557" s="338" t="str">
        <f>IFERROR(VLOOKUP(I1557,'Chart of accounts'!A:H,2,FALSE),"")</f>
        <v>50299030 00</v>
      </c>
      <c r="K1557" s="338" t="str">
        <f>IFERROR(VLOOKUP(I1557,'Chart of accounts'!A:H,3,FALSE),"")</f>
        <v>Representation Expenses</v>
      </c>
      <c r="L1557" s="338" t="str">
        <f>IFERROR(VLOOKUP(I1557,'Chart of accounts'!A:H,4,FALSE),"")</f>
        <v>50299030 00 - Representation Expenses (783)</v>
      </c>
      <c r="M1557" s="361" t="s">
        <v>1366</v>
      </c>
      <c r="N1557" s="355" t="s">
        <v>820</v>
      </c>
      <c r="O1557" s="355" t="s">
        <v>1587</v>
      </c>
      <c r="P1557" s="355"/>
      <c r="Q1557" s="363">
        <v>100000</v>
      </c>
      <c r="R1557" s="428">
        <f t="shared" si="63"/>
        <v>-100000</v>
      </c>
      <c r="S1557" s="428" t="str">
        <f>VLOOKUP(H1557,'Fund Utilization Report'!$A$4:$U$1800,13,FALSE)</f>
        <v>MOOE</v>
      </c>
      <c r="T1557" s="428" t="str">
        <f>VLOOKUP(H1557,'Fund Utilization Report'!$A$4:$U$1800,2,FALSE)</f>
        <v>GAA</v>
      </c>
      <c r="U1557" s="428" t="str">
        <f>VLOOKUP(H1557,'Fund Utilization Report'!$A$4:$U$1800,3,FALSE)</f>
        <v>FY2021, RA11518</v>
      </c>
      <c r="V1557" s="428" t="str">
        <f>VLOOKUP(H1557,'Fund Utilization Report'!$A$4:$U$1800,4,FALSE)</f>
        <v>GAS(GMS)</v>
      </c>
      <c r="W1557" s="428" t="str">
        <f>VLOOKUP(H1557,'Fund Utilization Report'!$A$4:$U$1800,5,FALSE)</f>
        <v>01101101</v>
      </c>
      <c r="X1557" s="428" t="str">
        <f>VLOOKUP(H1557,'Fund Utilization Report'!$A$4:$U$1800,6,FALSE)</f>
        <v>GOP</v>
      </c>
      <c r="Y1557" s="320" t="str">
        <f>VLOOKUP(H1557,'Fund Utilization Report'!$A$4:$U$1800,7,FALSE)</f>
        <v>MOOE</v>
      </c>
      <c r="Z1557" s="425">
        <f>VLOOKUP(H1557,'Fund Utilization Report'!$A$4:$U$1800,8,FALSE)</f>
        <v>5020000000</v>
      </c>
      <c r="AA1557" s="428" t="str">
        <f>VLOOKUP(H1557,'Fund Utilization Report'!$A$4:$U$1800,14,FALSE)</f>
        <v>100000100001000</v>
      </c>
      <c r="AB1557" s="349" t="str">
        <f>VLOOKUP(H1557,'Fund Utilization Report'!$A$4:$U$1800,15,FALSE)</f>
        <v>General Administration and Supervision - General Management and Supervision</v>
      </c>
      <c r="AC1557" s="39"/>
      <c r="AD1557" s="34"/>
      <c r="AE1557" s="39"/>
      <c r="AF1557" s="51"/>
      <c r="AG1557" s="442"/>
      <c r="AH1557" s="442"/>
      <c r="AI1557" s="443"/>
    </row>
    <row r="1558" spans="1:35" s="32" customFormat="1">
      <c r="A1558" s="434" t="s">
        <v>942</v>
      </c>
      <c r="B1558" s="457" t="s">
        <v>946</v>
      </c>
      <c r="C1558" s="233">
        <v>44280</v>
      </c>
      <c r="D1558" s="435" t="s">
        <v>1267</v>
      </c>
      <c r="E1558" s="436" t="s">
        <v>1589</v>
      </c>
      <c r="F1558" s="338">
        <v>0.43333333333333335</v>
      </c>
      <c r="G1558" s="338">
        <v>0.43402777777777773</v>
      </c>
      <c r="H1558" s="338" t="s">
        <v>961</v>
      </c>
      <c r="I1558" s="353">
        <v>783</v>
      </c>
      <c r="J1558" s="338" t="str">
        <f>IFERROR(VLOOKUP(I1558,'Chart of accounts'!A:H,2,FALSE),"")</f>
        <v>50299030 00</v>
      </c>
      <c r="K1558" s="338" t="str">
        <f>IFERROR(VLOOKUP(I1558,'Chart of accounts'!A:H,3,FALSE),"")</f>
        <v>Representation Expenses</v>
      </c>
      <c r="L1558" s="338" t="str">
        <f>IFERROR(VLOOKUP(I1558,'Chart of accounts'!A:H,4,FALSE),"")</f>
        <v>50299030 00 - Representation Expenses (783)</v>
      </c>
      <c r="M1558" s="361" t="s">
        <v>1366</v>
      </c>
      <c r="N1558" s="355" t="s">
        <v>1539</v>
      </c>
      <c r="O1558" s="355" t="s">
        <v>1587</v>
      </c>
      <c r="P1558" s="355"/>
      <c r="Q1558" s="363">
        <v>99030</v>
      </c>
      <c r="R1558" s="428">
        <f t="shared" si="63"/>
        <v>-99030</v>
      </c>
      <c r="S1558" s="428" t="str">
        <f>VLOOKUP(H1558,'Fund Utilization Report'!$A$4:$U$1800,13,FALSE)</f>
        <v>MOOE</v>
      </c>
      <c r="T1558" s="428" t="str">
        <f>VLOOKUP(H1558,'Fund Utilization Report'!$A$4:$U$1800,2,FALSE)</f>
        <v>GAA</v>
      </c>
      <c r="U1558" s="428" t="str">
        <f>VLOOKUP(H1558,'Fund Utilization Report'!$A$4:$U$1800,3,FALSE)</f>
        <v>FY2021, RA11518</v>
      </c>
      <c r="V1558" s="428" t="str">
        <f>VLOOKUP(H1558,'Fund Utilization Report'!$A$4:$U$1800,4,FALSE)</f>
        <v>GAS(GMS)</v>
      </c>
      <c r="W1558" s="428" t="str">
        <f>VLOOKUP(H1558,'Fund Utilization Report'!$A$4:$U$1800,5,FALSE)</f>
        <v>01101101</v>
      </c>
      <c r="X1558" s="428" t="str">
        <f>VLOOKUP(H1558,'Fund Utilization Report'!$A$4:$U$1800,6,FALSE)</f>
        <v>GOP</v>
      </c>
      <c r="Y1558" s="320" t="str">
        <f>VLOOKUP(H1558,'Fund Utilization Report'!$A$4:$U$1800,7,FALSE)</f>
        <v>MOOE</v>
      </c>
      <c r="Z1558" s="425">
        <f>VLOOKUP(H1558,'Fund Utilization Report'!$A$4:$U$1800,8,FALSE)</f>
        <v>5020000000</v>
      </c>
      <c r="AA1558" s="428" t="str">
        <f>VLOOKUP(H1558,'Fund Utilization Report'!$A$4:$U$1800,14,FALSE)</f>
        <v>100000100001000</v>
      </c>
      <c r="AB1558" s="349" t="str">
        <f>VLOOKUP(H1558,'Fund Utilization Report'!$A$4:$U$1800,15,FALSE)</f>
        <v>General Administration and Supervision - General Management and Supervision</v>
      </c>
      <c r="AC1558" s="39"/>
      <c r="AD1558" s="34"/>
      <c r="AE1558" s="39"/>
      <c r="AF1558" s="51"/>
      <c r="AG1558" s="442"/>
      <c r="AH1558" s="442"/>
      <c r="AI1558" s="443"/>
    </row>
    <row r="1559" spans="1:35" s="32" customFormat="1">
      <c r="A1559" s="434" t="s">
        <v>942</v>
      </c>
      <c r="B1559" s="457" t="s">
        <v>946</v>
      </c>
      <c r="C1559" s="233">
        <v>44280</v>
      </c>
      <c r="D1559" s="435" t="s">
        <v>1267</v>
      </c>
      <c r="E1559" s="436" t="s">
        <v>1591</v>
      </c>
      <c r="F1559" s="338">
        <v>0.43402777777777773</v>
      </c>
      <c r="G1559" s="338">
        <v>0.43472222222222223</v>
      </c>
      <c r="H1559" s="338" t="s">
        <v>961</v>
      </c>
      <c r="I1559" s="353">
        <v>783</v>
      </c>
      <c r="J1559" s="338" t="str">
        <f>IFERROR(VLOOKUP(I1559,'Chart of accounts'!A:H,2,FALSE),"")</f>
        <v>50299030 00</v>
      </c>
      <c r="K1559" s="338" t="str">
        <f>IFERROR(VLOOKUP(I1559,'Chart of accounts'!A:H,3,FALSE),"")</f>
        <v>Representation Expenses</v>
      </c>
      <c r="L1559" s="338" t="str">
        <f>IFERROR(VLOOKUP(I1559,'Chart of accounts'!A:H,4,FALSE),"")</f>
        <v>50299030 00 - Representation Expenses (783)</v>
      </c>
      <c r="M1559" s="361" t="s">
        <v>1366</v>
      </c>
      <c r="N1559" s="355" t="s">
        <v>1540</v>
      </c>
      <c r="O1559" s="355" t="s">
        <v>1590</v>
      </c>
      <c r="P1559" s="355"/>
      <c r="Q1559" s="363">
        <v>10250</v>
      </c>
      <c r="R1559" s="428">
        <f t="shared" si="63"/>
        <v>-10250</v>
      </c>
      <c r="S1559" s="428" t="str">
        <f>VLOOKUP(H1559,'Fund Utilization Report'!$A$4:$U$1800,13,FALSE)</f>
        <v>MOOE</v>
      </c>
      <c r="T1559" s="428" t="str">
        <f>VLOOKUP(H1559,'Fund Utilization Report'!$A$4:$U$1800,2,FALSE)</f>
        <v>GAA</v>
      </c>
      <c r="U1559" s="428" t="str">
        <f>VLOOKUP(H1559,'Fund Utilization Report'!$A$4:$U$1800,3,FALSE)</f>
        <v>FY2021, RA11518</v>
      </c>
      <c r="V1559" s="428" t="str">
        <f>VLOOKUP(H1559,'Fund Utilization Report'!$A$4:$U$1800,4,FALSE)</f>
        <v>GAS(GMS)</v>
      </c>
      <c r="W1559" s="428" t="str">
        <f>VLOOKUP(H1559,'Fund Utilization Report'!$A$4:$U$1800,5,FALSE)</f>
        <v>01101101</v>
      </c>
      <c r="X1559" s="428" t="str">
        <f>VLOOKUP(H1559,'Fund Utilization Report'!$A$4:$U$1800,6,FALSE)</f>
        <v>GOP</v>
      </c>
      <c r="Y1559" s="320" t="str">
        <f>VLOOKUP(H1559,'Fund Utilization Report'!$A$4:$U$1800,7,FALSE)</f>
        <v>MOOE</v>
      </c>
      <c r="Z1559" s="425">
        <f>VLOOKUP(H1559,'Fund Utilization Report'!$A$4:$U$1800,8,FALSE)</f>
        <v>5020000000</v>
      </c>
      <c r="AA1559" s="428" t="str">
        <f>VLOOKUP(H1559,'Fund Utilization Report'!$A$4:$U$1800,14,FALSE)</f>
        <v>100000100001000</v>
      </c>
      <c r="AB1559" s="349" t="str">
        <f>VLOOKUP(H1559,'Fund Utilization Report'!$A$4:$U$1800,15,FALSE)</f>
        <v>General Administration and Supervision - General Management and Supervision</v>
      </c>
      <c r="AC1559" s="39"/>
      <c r="AD1559" s="34"/>
      <c r="AE1559" s="39"/>
      <c r="AF1559" s="51"/>
      <c r="AG1559" s="442"/>
      <c r="AH1559" s="442"/>
      <c r="AI1559" s="443"/>
    </row>
    <row r="1560" spans="1:35" s="32" customFormat="1" ht="27.6">
      <c r="A1560" s="434" t="s">
        <v>942</v>
      </c>
      <c r="B1560" s="457" t="s">
        <v>946</v>
      </c>
      <c r="C1560" s="233">
        <v>44280</v>
      </c>
      <c r="D1560" s="435" t="s">
        <v>1267</v>
      </c>
      <c r="E1560" s="436" t="s">
        <v>1592</v>
      </c>
      <c r="F1560" s="338">
        <v>0.46458333333333335</v>
      </c>
      <c r="G1560" s="338">
        <v>0.46527777777777773</v>
      </c>
      <c r="H1560" s="338" t="s">
        <v>961</v>
      </c>
      <c r="I1560" s="353">
        <v>969</v>
      </c>
      <c r="J1560" s="338" t="str">
        <f>IFERROR(VLOOKUP(I1560,'Chart of accounts'!A:H,2,FALSE),"")</f>
        <v>50299990 99</v>
      </c>
      <c r="K1560" s="338" t="str">
        <f>IFERROR(VLOOKUP(I1560,'Chart of accounts'!A:H,3,FALSE),"")</f>
        <v>Other Maintenance and Operating Expenses</v>
      </c>
      <c r="L1560" s="338" t="str">
        <f>IFERROR(VLOOKUP(I1560,'Chart of accounts'!A:H,4,FALSE),"")</f>
        <v>50299990 99 - Other Maintenance and Operating Expenses (969)</v>
      </c>
      <c r="M1560" s="361">
        <v>1</v>
      </c>
      <c r="N1560" s="355" t="s">
        <v>1030</v>
      </c>
      <c r="O1560" s="355" t="s">
        <v>1593</v>
      </c>
      <c r="P1560" s="355"/>
      <c r="Q1560" s="363">
        <f>11174.25+206</f>
        <v>11380.25</v>
      </c>
      <c r="R1560" s="428">
        <f t="shared" si="63"/>
        <v>-11380.25</v>
      </c>
      <c r="S1560" s="428" t="str">
        <f>VLOOKUP(H1560,'Fund Utilization Report'!$A$4:$U$1800,13,FALSE)</f>
        <v>MOOE</v>
      </c>
      <c r="T1560" s="428" t="str">
        <f>VLOOKUP(H1560,'Fund Utilization Report'!$A$4:$U$1800,2,FALSE)</f>
        <v>GAA</v>
      </c>
      <c r="U1560" s="428" t="str">
        <f>VLOOKUP(H1560,'Fund Utilization Report'!$A$4:$U$1800,3,FALSE)</f>
        <v>FY2021, RA11518</v>
      </c>
      <c r="V1560" s="428" t="str">
        <f>VLOOKUP(H1560,'Fund Utilization Report'!$A$4:$U$1800,4,FALSE)</f>
        <v>GAS(GMS)</v>
      </c>
      <c r="W1560" s="428" t="str">
        <f>VLOOKUP(H1560,'Fund Utilization Report'!$A$4:$U$1800,5,FALSE)</f>
        <v>01101101</v>
      </c>
      <c r="X1560" s="428" t="str">
        <f>VLOOKUP(H1560,'Fund Utilization Report'!$A$4:$U$1800,6,FALSE)</f>
        <v>GOP</v>
      </c>
      <c r="Y1560" s="320" t="str">
        <f>VLOOKUP(H1560,'Fund Utilization Report'!$A$4:$U$1800,7,FALSE)</f>
        <v>MOOE</v>
      </c>
      <c r="Z1560" s="425">
        <f>VLOOKUP(H1560,'Fund Utilization Report'!$A$4:$U$1800,8,FALSE)</f>
        <v>5020000000</v>
      </c>
      <c r="AA1560" s="428" t="str">
        <f>VLOOKUP(H1560,'Fund Utilization Report'!$A$4:$U$1800,14,FALSE)</f>
        <v>100000100001000</v>
      </c>
      <c r="AB1560" s="349" t="str">
        <f>VLOOKUP(H1560,'Fund Utilization Report'!$A$4:$U$1800,15,FALSE)</f>
        <v>General Administration and Supervision - General Management and Supervision</v>
      </c>
      <c r="AC1560" s="39"/>
      <c r="AD1560" s="34"/>
      <c r="AE1560" s="39"/>
      <c r="AF1560" s="51"/>
      <c r="AG1560" s="442"/>
      <c r="AH1560" s="442"/>
      <c r="AI1560" s="443"/>
    </row>
    <row r="1561" spans="1:35" s="32" customFormat="1" ht="27.6">
      <c r="A1561" s="434" t="s">
        <v>942</v>
      </c>
      <c r="B1561" s="457" t="s">
        <v>946</v>
      </c>
      <c r="C1561" s="233">
        <v>44280</v>
      </c>
      <c r="D1561" s="435" t="s">
        <v>1267</v>
      </c>
      <c r="E1561" s="436" t="s">
        <v>1592</v>
      </c>
      <c r="F1561" s="338">
        <v>0.46458333333333335</v>
      </c>
      <c r="G1561" s="338">
        <v>0.46527777777777773</v>
      </c>
      <c r="H1561" s="338" t="s">
        <v>974</v>
      </c>
      <c r="I1561" s="353">
        <v>783</v>
      </c>
      <c r="J1561" s="338" t="str">
        <f>IFERROR(VLOOKUP(I1561,'Chart of accounts'!A:H,2,FALSE),"")</f>
        <v>50299030 00</v>
      </c>
      <c r="K1561" s="338" t="str">
        <f>IFERROR(VLOOKUP(I1561,'Chart of accounts'!A:H,3,FALSE),"")</f>
        <v>Representation Expenses</v>
      </c>
      <c r="L1561" s="338" t="str">
        <f>IFERROR(VLOOKUP(I1561,'Chart of accounts'!A:H,4,FALSE),"")</f>
        <v>50299030 00 - Representation Expenses (783)</v>
      </c>
      <c r="M1561" s="361">
        <v>1</v>
      </c>
      <c r="N1561" s="355" t="s">
        <v>1030</v>
      </c>
      <c r="O1561" s="355" t="s">
        <v>1593</v>
      </c>
      <c r="P1561" s="355"/>
      <c r="Q1561" s="363">
        <v>75</v>
      </c>
      <c r="R1561" s="428">
        <f t="shared" si="63"/>
        <v>-75</v>
      </c>
      <c r="S1561" s="428" t="str">
        <f>VLOOKUP(H1561,'Fund Utilization Report'!$A$4:$U$1800,13,FALSE)</f>
        <v>MOOE</v>
      </c>
      <c r="T1561" s="428" t="str">
        <f>VLOOKUP(H1561,'Fund Utilization Report'!$A$4:$U$1800,2,FALSE)</f>
        <v>GAA</v>
      </c>
      <c r="U1561" s="428" t="str">
        <f>VLOOKUP(H1561,'Fund Utilization Report'!$A$4:$U$1800,3,FALSE)</f>
        <v>FY2021, RA11518</v>
      </c>
      <c r="V1561" s="428" t="str">
        <f>VLOOKUP(H1561,'Fund Utilization Report'!$A$4:$U$1800,4,FALSE)</f>
        <v>OO4.1(FTL)</v>
      </c>
      <c r="W1561" s="428" t="str">
        <f>VLOOKUP(H1561,'Fund Utilization Report'!$A$4:$U$1800,5,FALSE)</f>
        <v>01101101</v>
      </c>
      <c r="X1561" s="428" t="str">
        <f>VLOOKUP(H1561,'Fund Utilization Report'!$A$4:$U$1800,6,FALSE)</f>
        <v>GOP</v>
      </c>
      <c r="Y1561" s="320" t="str">
        <f>VLOOKUP(H1561,'Fund Utilization Report'!$A$4:$U$1800,7,FALSE)</f>
        <v>MOOE</v>
      </c>
      <c r="Z1561" s="425">
        <f>VLOOKUP(H1561,'Fund Utilization Report'!$A$4:$U$1800,8,FALSE)</f>
        <v>5020000000</v>
      </c>
      <c r="AA1561" s="428" t="str">
        <f>VLOOKUP(H1561,'Fund Utilization Report'!$A$4:$U$1800,14,FALSE)</f>
        <v>340100100002000</v>
      </c>
      <c r="AB1561" s="349" t="str">
        <f>VLOOKUP(H1561,'Fund Utilization Report'!$A$4:$U$1800,15,FALSE)</f>
        <v>Monitoring and Enforcement of FTL including consumer complaints handling</v>
      </c>
      <c r="AC1561" s="39"/>
      <c r="AD1561" s="34"/>
      <c r="AE1561" s="39"/>
      <c r="AF1561" s="51"/>
      <c r="AG1561" s="442"/>
      <c r="AH1561" s="442"/>
      <c r="AI1561" s="443"/>
    </row>
    <row r="1562" spans="1:35" s="32" customFormat="1" ht="27.6">
      <c r="A1562" s="434" t="s">
        <v>942</v>
      </c>
      <c r="B1562" s="457" t="s">
        <v>946</v>
      </c>
      <c r="C1562" s="233">
        <v>44280</v>
      </c>
      <c r="D1562" s="435" t="s">
        <v>1267</v>
      </c>
      <c r="E1562" s="436" t="s">
        <v>1594</v>
      </c>
      <c r="F1562" s="338">
        <v>0.46527777777777773</v>
      </c>
      <c r="G1562" s="338">
        <v>0.46736111111111112</v>
      </c>
      <c r="H1562" s="338" t="s">
        <v>1221</v>
      </c>
      <c r="I1562" s="353">
        <v>799</v>
      </c>
      <c r="J1562" s="338" t="str">
        <f>IFERROR(VLOOKUP(I1562,'Chart of accounts'!A:H,2,FALSE),"")</f>
        <v>50211990 00</v>
      </c>
      <c r="K1562" s="338" t="str">
        <f>IFERROR(VLOOKUP(I1562,'Chart of accounts'!A:H,3,FALSE),"")</f>
        <v>Other Professional Services</v>
      </c>
      <c r="L1562" s="338" t="str">
        <f>IFERROR(VLOOKUP(I1562,'Chart of accounts'!A:H,4,FALSE),"")</f>
        <v>50211990 00 - Other Professional Services (799)</v>
      </c>
      <c r="M1562" s="361" t="s">
        <v>1011</v>
      </c>
      <c r="N1562" s="355" t="s">
        <v>1342</v>
      </c>
      <c r="O1562" s="355" t="s">
        <v>1595</v>
      </c>
      <c r="P1562" s="355"/>
      <c r="Q1562" s="363">
        <v>8164.75</v>
      </c>
      <c r="R1562" s="428">
        <f t="shared" si="63"/>
        <v>-8164.75</v>
      </c>
      <c r="S1562" s="428" t="str">
        <f>VLOOKUP(H1562,'Fund Utilization Report'!$A$4:$U$1800,13,FALSE)</f>
        <v>MOOE</v>
      </c>
      <c r="T1562" s="428" t="str">
        <f>VLOOKUP(H1562,'Fund Utilization Report'!$A$4:$U$1800,2,FALSE)</f>
        <v>SAA040</v>
      </c>
      <c r="U1562" s="428" t="str">
        <f>VLOOKUP(H1562,'Fund Utilization Report'!$A$4:$U$1800,3,FALSE)</f>
        <v>21-02-0040</v>
      </c>
      <c r="V1562" s="428" t="str">
        <f>VLOOKUP(H1562,'Fund Utilization Report'!$A$4:$U$1800,4,FALSE)</f>
        <v>RAPID GOP</v>
      </c>
      <c r="W1562" s="428" t="str">
        <f>VLOOKUP(H1562,'Fund Utilization Report'!$A$4:$U$1800,5,FALSE)</f>
        <v>01101101</v>
      </c>
      <c r="X1562" s="428" t="str">
        <f>VLOOKUP(H1562,'Fund Utilization Report'!$A$4:$U$1800,6,FALSE)</f>
        <v>GOP</v>
      </c>
      <c r="Y1562" s="320">
        <f>VLOOKUP(H1562,'Fund Utilization Report'!$A$4:$U$1800,7,FALSE)</f>
        <v>799</v>
      </c>
      <c r="Z1562" s="425">
        <f>VLOOKUP(H1562,'Fund Utilization Report'!$A$4:$U$1800,8,FALSE)</f>
        <v>5021199000</v>
      </c>
      <c r="AA1562" s="428" t="str">
        <f>VLOOKUP(H1562,'Fund Utilization Report'!$A$4:$U$1800,14,FALSE)</f>
        <v>330100300001000</v>
      </c>
      <c r="AB1562" s="349" t="str">
        <f>VLOOKUP(H1562,'Fund Utilization Report'!$A$4:$U$1800,15,FALSE)</f>
        <v>Rural Agro Enterprise Partnership for Inclusive Development (RAPID) Growth GOP Continuing</v>
      </c>
      <c r="AC1562" s="39"/>
      <c r="AD1562" s="34"/>
      <c r="AE1562" s="39"/>
      <c r="AF1562" s="51"/>
      <c r="AG1562" s="442"/>
      <c r="AH1562" s="442"/>
      <c r="AI1562" s="443"/>
    </row>
    <row r="1563" spans="1:35" s="32" customFormat="1" ht="27.6">
      <c r="A1563" s="434" t="s">
        <v>942</v>
      </c>
      <c r="B1563" s="457" t="s">
        <v>946</v>
      </c>
      <c r="C1563" s="233">
        <v>44284</v>
      </c>
      <c r="D1563" s="435" t="s">
        <v>1267</v>
      </c>
      <c r="E1563" s="436" t="s">
        <v>1596</v>
      </c>
      <c r="F1563" s="338">
        <v>0.39930555555555558</v>
      </c>
      <c r="G1563" s="338">
        <v>0.40138888888888885</v>
      </c>
      <c r="H1563" s="338" t="s">
        <v>982</v>
      </c>
      <c r="I1563" s="353">
        <v>799</v>
      </c>
      <c r="J1563" s="338" t="str">
        <f>IFERROR(VLOOKUP(I1563,'Chart of accounts'!A:H,2,FALSE),"")</f>
        <v>50211990 00</v>
      </c>
      <c r="K1563" s="338" t="str">
        <f>IFERROR(VLOOKUP(I1563,'Chart of accounts'!A:H,3,FALSE),"")</f>
        <v>Other Professional Services</v>
      </c>
      <c r="L1563" s="338" t="str">
        <f>IFERROR(VLOOKUP(I1563,'Chart of accounts'!A:H,4,FALSE),"")</f>
        <v>50211990 00 - Other Professional Services (799)</v>
      </c>
      <c r="M1563" s="361" t="s">
        <v>905</v>
      </c>
      <c r="N1563" s="355" t="s">
        <v>1075</v>
      </c>
      <c r="O1563" s="355" t="s">
        <v>1597</v>
      </c>
      <c r="P1563" s="355"/>
      <c r="Q1563" s="363">
        <v>11158</v>
      </c>
      <c r="R1563" s="428">
        <f t="shared" si="63"/>
        <v>-11158</v>
      </c>
      <c r="S1563" s="428" t="str">
        <f>VLOOKUP(H1563,'Fund Utilization Report'!$A$4:$U$1800,13,FALSE)</f>
        <v>MOOE</v>
      </c>
      <c r="T1563" s="428" t="str">
        <f>VLOOKUP(H1563,'Fund Utilization Report'!$A$4:$U$1800,2,FALSE)</f>
        <v>GAA</v>
      </c>
      <c r="U1563" s="428" t="str">
        <f>VLOOKUP(H1563,'Fund Utilization Report'!$A$4:$U$1800,3,FALSE)</f>
        <v>FY2021, RA11518</v>
      </c>
      <c r="V1563" s="428" t="str">
        <f>VLOOKUP(H1563,'Fund Utilization Report'!$A$4:$U$1800,4,FALSE)</f>
        <v>OTOP</v>
      </c>
      <c r="W1563" s="428" t="str">
        <f>VLOOKUP(H1563,'Fund Utilization Report'!$A$4:$U$1800,5,FALSE)</f>
        <v>01101101</v>
      </c>
      <c r="X1563" s="428" t="str">
        <f>VLOOKUP(H1563,'Fund Utilization Report'!$A$4:$U$1800,6,FALSE)</f>
        <v>GOP</v>
      </c>
      <c r="Y1563" s="320" t="str">
        <f>VLOOKUP(H1563,'Fund Utilization Report'!$A$4:$U$1800,7,FALSE)</f>
        <v>MOOE</v>
      </c>
      <c r="Z1563" s="425">
        <f>VLOOKUP(H1563,'Fund Utilization Report'!$A$4:$U$1800,8,FALSE)</f>
        <v>5020000000</v>
      </c>
      <c r="AA1563" s="428" t="str">
        <f>VLOOKUP(H1563,'Fund Utilization Report'!$A$4:$U$1800,14,FALSE)</f>
        <v>330100200002000</v>
      </c>
      <c r="AB1563" s="349" t="str">
        <f>VLOOKUP(H1563,'Fund Utilization Report'!$A$4:$U$1800,15,FALSE)</f>
        <v>OTOP - Next Generation</v>
      </c>
      <c r="AC1563" s="39"/>
      <c r="AD1563" s="34"/>
      <c r="AE1563" s="39"/>
      <c r="AF1563" s="51"/>
      <c r="AG1563" s="442"/>
      <c r="AH1563" s="442"/>
      <c r="AI1563" s="443"/>
    </row>
    <row r="1564" spans="1:35" s="32" customFormat="1" ht="27.6">
      <c r="A1564" s="434" t="s">
        <v>942</v>
      </c>
      <c r="B1564" s="457" t="s">
        <v>946</v>
      </c>
      <c r="C1564" s="233">
        <v>44284</v>
      </c>
      <c r="D1564" s="435" t="s">
        <v>1267</v>
      </c>
      <c r="E1564" s="436" t="s">
        <v>1596</v>
      </c>
      <c r="F1564" s="338">
        <v>0.39930555555555558</v>
      </c>
      <c r="G1564" s="338">
        <v>0.40138888888888885</v>
      </c>
      <c r="H1564" s="338" t="s">
        <v>985</v>
      </c>
      <c r="I1564" s="353">
        <v>799</v>
      </c>
      <c r="J1564" s="338" t="str">
        <f>IFERROR(VLOOKUP(I1564,'Chart of accounts'!A:H,2,FALSE),"")</f>
        <v>50211990 00</v>
      </c>
      <c r="K1564" s="338" t="str">
        <f>IFERROR(VLOOKUP(I1564,'Chart of accounts'!A:H,3,FALSE),"")</f>
        <v>Other Professional Services</v>
      </c>
      <c r="L1564" s="338" t="str">
        <f>IFERROR(VLOOKUP(I1564,'Chart of accounts'!A:H,4,FALSE),"")</f>
        <v>50211990 00 - Other Professional Services (799)</v>
      </c>
      <c r="M1564" s="361" t="s">
        <v>7</v>
      </c>
      <c r="N1564" s="355" t="s">
        <v>1075</v>
      </c>
      <c r="O1564" s="355" t="s">
        <v>1597</v>
      </c>
      <c r="P1564" s="355"/>
      <c r="Q1564" s="363">
        <v>11158</v>
      </c>
      <c r="R1564" s="428">
        <f t="shared" si="63"/>
        <v>-11158</v>
      </c>
      <c r="S1564" s="428" t="str">
        <f>VLOOKUP(H1564,'Fund Utilization Report'!$A$4:$U$1800,13,FALSE)</f>
        <v>MOOE</v>
      </c>
      <c r="T1564" s="428" t="str">
        <f>VLOOKUP(H1564,'Fund Utilization Report'!$A$4:$U$1800,2,FALSE)</f>
        <v>GAA</v>
      </c>
      <c r="U1564" s="428" t="str">
        <f>VLOOKUP(H1564,'Fund Utilization Report'!$A$4:$U$1800,3,FALSE)</f>
        <v>FY2021, RA11518</v>
      </c>
      <c r="V1564" s="428" t="str">
        <f>VLOOKUP(H1564,'Fund Utilization Report'!$A$4:$U$1800,4,FALSE)</f>
        <v>LSP-PBG</v>
      </c>
      <c r="W1564" s="428" t="str">
        <f>VLOOKUP(H1564,'Fund Utilization Report'!$A$4:$U$1800,5,FALSE)</f>
        <v>01101101</v>
      </c>
      <c r="X1564" s="428" t="str">
        <f>VLOOKUP(H1564,'Fund Utilization Report'!$A$4:$U$1800,6,FALSE)</f>
        <v>GOP</v>
      </c>
      <c r="Y1564" s="320" t="str">
        <f>VLOOKUP(H1564,'Fund Utilization Report'!$A$4:$U$1800,7,FALSE)</f>
        <v>MOOE</v>
      </c>
      <c r="Z1564" s="425">
        <f>VLOOKUP(H1564,'Fund Utilization Report'!$A$4:$U$1800,8,FALSE)</f>
        <v>5020000000</v>
      </c>
      <c r="AA1564" s="428" t="str">
        <f>VLOOKUP(H1564,'Fund Utilization Report'!$A$4:$U$1800,14,FALSE)</f>
        <v>330100200004000</v>
      </c>
      <c r="AB1564" s="349" t="str">
        <f>VLOOKUP(H1564,'Fund Utilization Report'!$A$4:$U$1800,15,FALSE)</f>
        <v>MSME Development Program : Livelihood Seeding Program and Pangkabuhayan sa Pagbangon at Ginhawa</v>
      </c>
      <c r="AC1564" s="39"/>
      <c r="AD1564" s="34"/>
      <c r="AE1564" s="39"/>
      <c r="AF1564" s="51"/>
      <c r="AG1564" s="442"/>
      <c r="AH1564" s="442"/>
      <c r="AI1564" s="443"/>
    </row>
    <row r="1565" spans="1:35" s="443" customFormat="1" ht="27.6">
      <c r="A1565" s="434" t="s">
        <v>942</v>
      </c>
      <c r="B1565" s="457" t="s">
        <v>946</v>
      </c>
      <c r="C1565" s="233">
        <v>44284</v>
      </c>
      <c r="D1565" s="435" t="s">
        <v>1267</v>
      </c>
      <c r="E1565" s="436" t="s">
        <v>1598</v>
      </c>
      <c r="F1565" s="434">
        <v>0.40972222222222227</v>
      </c>
      <c r="G1565" s="434">
        <v>0.41666666666666669</v>
      </c>
      <c r="H1565" s="434" t="s">
        <v>986</v>
      </c>
      <c r="I1565" s="437">
        <v>751</v>
      </c>
      <c r="J1565" s="434" t="str">
        <f>IFERROR(VLOOKUP(I1565,'Chart of accounts'!A:H,2,FALSE),"")</f>
        <v>50201010 00</v>
      </c>
      <c r="K1565" s="434" t="str">
        <f>IFERROR(VLOOKUP(I1565,'Chart of accounts'!A:H,3,FALSE),"")</f>
        <v>Traveling Expenses - Local</v>
      </c>
      <c r="L1565" s="434" t="str">
        <f>IFERROR(VLOOKUP(I1565,'Chart of accounts'!A:H,4,FALSE),"")</f>
        <v>50201010 00 - Traveling Expenses - Local (751)</v>
      </c>
      <c r="M1565" s="489" t="s">
        <v>770</v>
      </c>
      <c r="N1565" s="439" t="s">
        <v>823</v>
      </c>
      <c r="O1565" s="439" t="s">
        <v>1600</v>
      </c>
      <c r="P1565" s="439"/>
      <c r="Q1565" s="50">
        <v>52700</v>
      </c>
      <c r="R1565" s="239">
        <f t="shared" si="63"/>
        <v>-52700</v>
      </c>
      <c r="S1565" s="239" t="str">
        <f>VLOOKUP(H1565,'Fund Utilization Report'!$A$4:$U$1800,13,FALSE)</f>
        <v>MOOE</v>
      </c>
      <c r="T1565" s="239" t="str">
        <f>VLOOKUP(H1565,'Fund Utilization Report'!$A$4:$U$1800,2,FALSE)</f>
        <v>SAA37</v>
      </c>
      <c r="U1565" s="239" t="str">
        <f>VLOOKUP(H1565,'Fund Utilization Report'!$A$4:$U$1800,3,FALSE)</f>
        <v>2021-01-0037</v>
      </c>
      <c r="V1565" s="239" t="str">
        <f>VLOOKUP(H1565,'Fund Utilization Report'!$A$4:$U$1800,4,FALSE)</f>
        <v>CARP</v>
      </c>
      <c r="W1565" s="239" t="str">
        <f>VLOOKUP(H1565,'Fund Utilization Report'!$A$4:$U$1800,5,FALSE)</f>
        <v>01101101</v>
      </c>
      <c r="X1565" s="239" t="str">
        <f>VLOOKUP(H1565,'Fund Utilization Report'!$A$4:$U$1800,6,FALSE)</f>
        <v>GOP</v>
      </c>
      <c r="Y1565" s="440">
        <f>VLOOKUP(H1565,'Fund Utilization Report'!$A$4:$U$1800,7,FALSE)</f>
        <v>751</v>
      </c>
      <c r="Z1565" s="441" t="str">
        <f>VLOOKUP(H1565,'Fund Utilization Report'!$A$4:$U$1800,8,FALSE)</f>
        <v>50201010 00</v>
      </c>
      <c r="AA1565" s="239" t="str">
        <f>VLOOKUP(H1565,'Fund Utilization Report'!$A$4:$U$1800,14,FALSE)</f>
        <v>330100100003000</v>
      </c>
      <c r="AB1565" s="242" t="str">
        <f>VLOOKUP(H1565,'Fund Utilization Report'!$A$4:$U$1800,15,FALSE)</f>
        <v>MSME Development Program : Program Beneficiaries Development Component of the Comprehensive Agrarian Reform Program</v>
      </c>
      <c r="AC1565" s="51"/>
      <c r="AD1565" s="435"/>
      <c r="AE1565" s="51"/>
      <c r="AF1565" s="51"/>
      <c r="AG1565" s="442"/>
      <c r="AH1565" s="442"/>
    </row>
    <row r="1566" spans="1:35" s="443" customFormat="1" ht="27.6">
      <c r="A1566" s="434" t="s">
        <v>942</v>
      </c>
      <c r="B1566" s="457" t="s">
        <v>946</v>
      </c>
      <c r="C1566" s="233">
        <v>44284</v>
      </c>
      <c r="D1566" s="435" t="s">
        <v>1267</v>
      </c>
      <c r="E1566" s="436" t="s">
        <v>1598</v>
      </c>
      <c r="F1566" s="434">
        <v>0.40972222222222227</v>
      </c>
      <c r="G1566" s="434">
        <v>0.41666666666666669</v>
      </c>
      <c r="H1566" s="434" t="s">
        <v>987</v>
      </c>
      <c r="I1566" s="437">
        <v>753</v>
      </c>
      <c r="J1566" s="434" t="str">
        <f>IFERROR(VLOOKUP(I1566,'Chart of accounts'!A:H,2,FALSE),"")</f>
        <v>50202010 00</v>
      </c>
      <c r="K1566" s="434" t="str">
        <f>IFERROR(VLOOKUP(I1566,'Chart of accounts'!A:H,3,FALSE),"")</f>
        <v>Training Expenses</v>
      </c>
      <c r="L1566" s="434" t="str">
        <f>IFERROR(VLOOKUP(I1566,'Chart of accounts'!A:H,4,FALSE),"")</f>
        <v>50202010 00 - Training Expenses (753)</v>
      </c>
      <c r="M1566" s="489" t="s">
        <v>770</v>
      </c>
      <c r="N1566" s="439" t="s">
        <v>823</v>
      </c>
      <c r="O1566" s="439" t="s">
        <v>1600</v>
      </c>
      <c r="P1566" s="439"/>
      <c r="Q1566" s="50">
        <v>86250</v>
      </c>
      <c r="R1566" s="239">
        <f t="shared" si="63"/>
        <v>-86250</v>
      </c>
      <c r="S1566" s="239" t="str">
        <f>VLOOKUP(H1566,'Fund Utilization Report'!$A$4:$U$1800,13,FALSE)</f>
        <v>MOOE</v>
      </c>
      <c r="T1566" s="239" t="str">
        <f>VLOOKUP(H1566,'Fund Utilization Report'!$A$4:$U$1800,2,FALSE)</f>
        <v>SAA37</v>
      </c>
      <c r="U1566" s="239" t="str">
        <f>VLOOKUP(H1566,'Fund Utilization Report'!$A$4:$U$1800,3,FALSE)</f>
        <v>2021-01-0037</v>
      </c>
      <c r="V1566" s="239" t="str">
        <f>VLOOKUP(H1566,'Fund Utilization Report'!$A$4:$U$1800,4,FALSE)</f>
        <v>CARP</v>
      </c>
      <c r="W1566" s="239" t="str">
        <f>VLOOKUP(H1566,'Fund Utilization Report'!$A$4:$U$1800,5,FALSE)</f>
        <v>01101101</v>
      </c>
      <c r="X1566" s="239" t="str">
        <f>VLOOKUP(H1566,'Fund Utilization Report'!$A$4:$U$1800,6,FALSE)</f>
        <v>GOP</v>
      </c>
      <c r="Y1566" s="440">
        <f>VLOOKUP(H1566,'Fund Utilization Report'!$A$4:$U$1800,7,FALSE)</f>
        <v>753</v>
      </c>
      <c r="Z1566" s="441" t="str">
        <f>VLOOKUP(H1566,'Fund Utilization Report'!$A$4:$U$1800,8,FALSE)</f>
        <v>50202010 00</v>
      </c>
      <c r="AA1566" s="239" t="str">
        <f>VLOOKUP(H1566,'Fund Utilization Report'!$A$4:$U$1800,14,FALSE)</f>
        <v>330100100003000</v>
      </c>
      <c r="AB1566" s="242" t="str">
        <f>VLOOKUP(H1566,'Fund Utilization Report'!$A$4:$U$1800,15,FALSE)</f>
        <v>MSME Development Program : Program Beneficiaries Development Component of the Comprehensive Agrarian Reform Program</v>
      </c>
      <c r="AC1566" s="51"/>
      <c r="AD1566" s="435"/>
      <c r="AE1566" s="51"/>
      <c r="AF1566" s="51"/>
      <c r="AG1566" s="442"/>
      <c r="AH1566" s="442"/>
    </row>
    <row r="1567" spans="1:35" s="443" customFormat="1" ht="27.6">
      <c r="A1567" s="434" t="s">
        <v>942</v>
      </c>
      <c r="B1567" s="457" t="s">
        <v>946</v>
      </c>
      <c r="C1567" s="233">
        <v>44284</v>
      </c>
      <c r="D1567" s="435" t="s">
        <v>1267</v>
      </c>
      <c r="E1567" s="436" t="s">
        <v>1598</v>
      </c>
      <c r="F1567" s="434">
        <v>0.40972222222222227</v>
      </c>
      <c r="G1567" s="434">
        <v>0.41666666666666669</v>
      </c>
      <c r="H1567" s="434" t="s">
        <v>988</v>
      </c>
      <c r="I1567" s="437">
        <v>755</v>
      </c>
      <c r="J1567" s="434" t="str">
        <f>IFERROR(VLOOKUP(I1567,'Chart of accounts'!A:H,2,FALSE),"")</f>
        <v>50203010 00</v>
      </c>
      <c r="K1567" s="434" t="str">
        <f>IFERROR(VLOOKUP(I1567,'Chart of accounts'!A:H,3,FALSE),"")</f>
        <v>Office Supplies Expenses</v>
      </c>
      <c r="L1567" s="434" t="str">
        <f>IFERROR(VLOOKUP(I1567,'Chart of accounts'!A:H,4,FALSE),"")</f>
        <v>50203010 00 - Office Supplies Expenses (755)</v>
      </c>
      <c r="M1567" s="489" t="s">
        <v>770</v>
      </c>
      <c r="N1567" s="439" t="s">
        <v>823</v>
      </c>
      <c r="O1567" s="439" t="s">
        <v>1600</v>
      </c>
      <c r="P1567" s="439"/>
      <c r="Q1567" s="50">
        <v>3750</v>
      </c>
      <c r="R1567" s="239">
        <f t="shared" si="63"/>
        <v>-3750</v>
      </c>
      <c r="S1567" s="239" t="str">
        <f>VLOOKUP(H1567,'Fund Utilization Report'!$A$4:$U$1800,13,FALSE)</f>
        <v>MOOE</v>
      </c>
      <c r="T1567" s="239" t="str">
        <f>VLOOKUP(H1567,'Fund Utilization Report'!$A$4:$U$1800,2,FALSE)</f>
        <v>SAA37</v>
      </c>
      <c r="U1567" s="239" t="str">
        <f>VLOOKUP(H1567,'Fund Utilization Report'!$A$4:$U$1800,3,FALSE)</f>
        <v>2021-01-0037</v>
      </c>
      <c r="V1567" s="239" t="str">
        <f>VLOOKUP(H1567,'Fund Utilization Report'!$A$4:$U$1800,4,FALSE)</f>
        <v>CARP</v>
      </c>
      <c r="W1567" s="239" t="str">
        <f>VLOOKUP(H1567,'Fund Utilization Report'!$A$4:$U$1800,5,FALSE)</f>
        <v>01101101</v>
      </c>
      <c r="X1567" s="239" t="str">
        <f>VLOOKUP(H1567,'Fund Utilization Report'!$A$4:$U$1800,6,FALSE)</f>
        <v>GOP</v>
      </c>
      <c r="Y1567" s="440">
        <f>VLOOKUP(H1567,'Fund Utilization Report'!$A$4:$U$1800,7,FALSE)</f>
        <v>755</v>
      </c>
      <c r="Z1567" s="441" t="str">
        <f>VLOOKUP(H1567,'Fund Utilization Report'!$A$4:$U$1800,8,FALSE)</f>
        <v>50203010 00</v>
      </c>
      <c r="AA1567" s="239" t="str">
        <f>VLOOKUP(H1567,'Fund Utilization Report'!$A$4:$U$1800,14,FALSE)</f>
        <v>330100100003000</v>
      </c>
      <c r="AB1567" s="242" t="str">
        <f>VLOOKUP(H1567,'Fund Utilization Report'!$A$4:$U$1800,15,FALSE)</f>
        <v>MSME Development Program : Program Beneficiaries Development Component of the Comprehensive Agrarian Reform Program</v>
      </c>
      <c r="AC1567" s="51"/>
      <c r="AD1567" s="435"/>
      <c r="AE1567" s="51"/>
      <c r="AF1567" s="51"/>
      <c r="AG1567" s="442"/>
      <c r="AH1567" s="442"/>
    </row>
    <row r="1568" spans="1:35" s="443" customFormat="1" ht="27.6">
      <c r="A1568" s="434" t="s">
        <v>942</v>
      </c>
      <c r="B1568" s="457" t="s">
        <v>946</v>
      </c>
      <c r="C1568" s="233">
        <v>44284</v>
      </c>
      <c r="D1568" s="435" t="s">
        <v>1267</v>
      </c>
      <c r="E1568" s="436" t="s">
        <v>1598</v>
      </c>
      <c r="F1568" s="434">
        <v>0.40972222222222227</v>
      </c>
      <c r="G1568" s="434">
        <v>0.41666666666666669</v>
      </c>
      <c r="H1568" s="434" t="s">
        <v>991</v>
      </c>
      <c r="I1568" s="437">
        <v>773</v>
      </c>
      <c r="J1568" s="434" t="str">
        <f>IFERROR(VLOOKUP(I1568,'Chart of accounts'!A:H,2,FALSE),"")</f>
        <v>50205020 01</v>
      </c>
      <c r="K1568" s="434" t="str">
        <f>IFERROR(VLOOKUP(I1568,'Chart of accounts'!A:H,3,FALSE),"")</f>
        <v xml:space="preserve">Telephone Expenses - Mobile </v>
      </c>
      <c r="L1568" s="434" t="str">
        <f>IFERROR(VLOOKUP(I1568,'Chart of accounts'!A:H,4,FALSE),"")</f>
        <v>50205020 01 - Telephone Expenses - Mobile  (773)</v>
      </c>
      <c r="M1568" s="489" t="s">
        <v>770</v>
      </c>
      <c r="N1568" s="439" t="s">
        <v>823</v>
      </c>
      <c r="O1568" s="439" t="s">
        <v>1600</v>
      </c>
      <c r="P1568" s="439"/>
      <c r="Q1568" s="50">
        <v>1125</v>
      </c>
      <c r="R1568" s="239">
        <f t="shared" si="63"/>
        <v>-1125</v>
      </c>
      <c r="S1568" s="239" t="str">
        <f>VLOOKUP(H1568,'Fund Utilization Report'!$A$4:$U$1800,13,FALSE)</f>
        <v>MOOE</v>
      </c>
      <c r="T1568" s="239" t="str">
        <f>VLOOKUP(H1568,'Fund Utilization Report'!$A$4:$U$1800,2,FALSE)</f>
        <v>SAA37</v>
      </c>
      <c r="U1568" s="239" t="str">
        <f>VLOOKUP(H1568,'Fund Utilization Report'!$A$4:$U$1800,3,FALSE)</f>
        <v>2021-01-0037</v>
      </c>
      <c r="V1568" s="239" t="str">
        <f>VLOOKUP(H1568,'Fund Utilization Report'!$A$4:$U$1800,4,FALSE)</f>
        <v>CARP</v>
      </c>
      <c r="W1568" s="239" t="str">
        <f>VLOOKUP(H1568,'Fund Utilization Report'!$A$4:$U$1800,5,FALSE)</f>
        <v>01101101</v>
      </c>
      <c r="X1568" s="239" t="str">
        <f>VLOOKUP(H1568,'Fund Utilization Report'!$A$4:$U$1800,6,FALSE)</f>
        <v>GOP</v>
      </c>
      <c r="Y1568" s="440">
        <f>VLOOKUP(H1568,'Fund Utilization Report'!$A$4:$U$1800,7,FALSE)</f>
        <v>773</v>
      </c>
      <c r="Z1568" s="441" t="str">
        <f>VLOOKUP(H1568,'Fund Utilization Report'!$A$4:$U$1800,8,FALSE)</f>
        <v>50205020 01</v>
      </c>
      <c r="AA1568" s="239" t="str">
        <f>VLOOKUP(H1568,'Fund Utilization Report'!$A$4:$U$1800,14,FALSE)</f>
        <v>330100100003000</v>
      </c>
      <c r="AB1568" s="242" t="str">
        <f>VLOOKUP(H1568,'Fund Utilization Report'!$A$4:$U$1800,15,FALSE)</f>
        <v>MSME Development Program : Program Beneficiaries Development Component of the Comprehensive Agrarian Reform Program</v>
      </c>
      <c r="AC1568" s="51"/>
      <c r="AD1568" s="435"/>
      <c r="AE1568" s="51"/>
      <c r="AF1568" s="51"/>
      <c r="AG1568" s="442"/>
      <c r="AH1568" s="442"/>
    </row>
    <row r="1569" spans="1:35" s="443" customFormat="1" ht="27.6">
      <c r="A1569" s="434" t="s">
        <v>942</v>
      </c>
      <c r="B1569" s="457" t="s">
        <v>946</v>
      </c>
      <c r="C1569" s="233">
        <v>44284</v>
      </c>
      <c r="D1569" s="435" t="s">
        <v>1267</v>
      </c>
      <c r="E1569" s="436" t="s">
        <v>1598</v>
      </c>
      <c r="F1569" s="434">
        <v>0.40972222222222227</v>
      </c>
      <c r="G1569" s="434">
        <v>0.41666666666666669</v>
      </c>
      <c r="H1569" s="434" t="s">
        <v>992</v>
      </c>
      <c r="I1569" s="437">
        <v>793</v>
      </c>
      <c r="J1569" s="434" t="str">
        <f>IFERROR(VLOOKUP(I1569,'Chart of accounts'!A:H,2,FALSE),"")</f>
        <v>50211030 00</v>
      </c>
      <c r="K1569" s="434" t="str">
        <f>IFERROR(VLOOKUP(I1569,'Chart of accounts'!A:H,3,FALSE),"")</f>
        <v>Consultancy Services</v>
      </c>
      <c r="L1569" s="434" t="str">
        <f>IFERROR(VLOOKUP(I1569,'Chart of accounts'!A:H,4,FALSE),"")</f>
        <v>50211030 00 - Consultancy Services (793)</v>
      </c>
      <c r="M1569" s="489" t="s">
        <v>770</v>
      </c>
      <c r="N1569" s="439" t="s">
        <v>823</v>
      </c>
      <c r="O1569" s="439" t="s">
        <v>1600</v>
      </c>
      <c r="P1569" s="439"/>
      <c r="Q1569" s="50">
        <v>400</v>
      </c>
      <c r="R1569" s="239">
        <f>P1569-Q1569</f>
        <v>-400</v>
      </c>
      <c r="S1569" s="239" t="str">
        <f>VLOOKUP(H1569,'Fund Utilization Report'!$A$4:$U$1800,13,FALSE)</f>
        <v>MOOE</v>
      </c>
      <c r="T1569" s="239" t="str">
        <f>VLOOKUP(H1569,'Fund Utilization Report'!$A$4:$U$1800,2,FALSE)</f>
        <v>SAA37</v>
      </c>
      <c r="U1569" s="239" t="str">
        <f>VLOOKUP(H1569,'Fund Utilization Report'!$A$4:$U$1800,3,FALSE)</f>
        <v>2021-01-0037</v>
      </c>
      <c r="V1569" s="239" t="str">
        <f>VLOOKUP(H1569,'Fund Utilization Report'!$A$4:$U$1800,4,FALSE)</f>
        <v>CARP</v>
      </c>
      <c r="W1569" s="239" t="str">
        <f>VLOOKUP(H1569,'Fund Utilization Report'!$A$4:$U$1800,5,FALSE)</f>
        <v>01101101</v>
      </c>
      <c r="X1569" s="239" t="str">
        <f>VLOOKUP(H1569,'Fund Utilization Report'!$A$4:$U$1800,6,FALSE)</f>
        <v>GOP</v>
      </c>
      <c r="Y1569" s="440">
        <f>VLOOKUP(H1569,'Fund Utilization Report'!$A$4:$U$1800,7,FALSE)</f>
        <v>793</v>
      </c>
      <c r="Z1569" s="441" t="str">
        <f>VLOOKUP(H1569,'Fund Utilization Report'!$A$4:$U$1800,8,FALSE)</f>
        <v>50211030 00</v>
      </c>
      <c r="AA1569" s="239" t="str">
        <f>VLOOKUP(H1569,'Fund Utilization Report'!$A$4:$U$1800,14,FALSE)</f>
        <v>330100100003000</v>
      </c>
      <c r="AB1569" s="242" t="str">
        <f>VLOOKUP(H1569,'Fund Utilization Report'!$A$4:$U$1800,15,FALSE)</f>
        <v>MSME Development Program : Program Beneficiaries Development Component of the Comprehensive Agrarian Reform Program</v>
      </c>
      <c r="AC1569" s="51"/>
      <c r="AD1569" s="435"/>
      <c r="AE1569" s="51"/>
      <c r="AF1569" s="51"/>
      <c r="AG1569" s="442"/>
      <c r="AH1569" s="442"/>
    </row>
    <row r="1570" spans="1:35" s="443" customFormat="1" ht="27.6">
      <c r="A1570" s="434" t="s">
        <v>942</v>
      </c>
      <c r="B1570" s="457" t="s">
        <v>946</v>
      </c>
      <c r="C1570" s="233">
        <v>44284</v>
      </c>
      <c r="D1570" s="435" t="s">
        <v>1267</v>
      </c>
      <c r="E1570" s="436" t="s">
        <v>1598</v>
      </c>
      <c r="F1570" s="434">
        <v>0.40972222222222227</v>
      </c>
      <c r="G1570" s="434">
        <v>0.41666666666666669</v>
      </c>
      <c r="H1570" s="434" t="s">
        <v>993</v>
      </c>
      <c r="I1570" s="437">
        <v>799</v>
      </c>
      <c r="J1570" s="434" t="str">
        <f>IFERROR(VLOOKUP(I1570,'Chart of accounts'!A:H,2,FALSE),"")</f>
        <v>50211990 00</v>
      </c>
      <c r="K1570" s="434" t="str">
        <f>IFERROR(VLOOKUP(I1570,'Chart of accounts'!A:H,3,FALSE),"")</f>
        <v>Other Professional Services</v>
      </c>
      <c r="L1570" s="434" t="str">
        <f>IFERROR(VLOOKUP(I1570,'Chart of accounts'!A:H,4,FALSE),"")</f>
        <v>50211990 00 - Other Professional Services (799)</v>
      </c>
      <c r="M1570" s="489" t="s">
        <v>770</v>
      </c>
      <c r="N1570" s="439" t="s">
        <v>823</v>
      </c>
      <c r="O1570" s="439" t="s">
        <v>1600</v>
      </c>
      <c r="P1570" s="439"/>
      <c r="Q1570" s="50">
        <v>110876</v>
      </c>
      <c r="R1570" s="239">
        <f t="shared" ref="R1570:R1576" si="64">P1570-Q1570</f>
        <v>-110876</v>
      </c>
      <c r="S1570" s="239" t="str">
        <f>VLOOKUP(H1570,'Fund Utilization Report'!$A$4:$U$1800,13,FALSE)</f>
        <v>MOOE</v>
      </c>
      <c r="T1570" s="239" t="str">
        <f>VLOOKUP(H1570,'Fund Utilization Report'!$A$4:$U$1800,2,FALSE)</f>
        <v>SAA37</v>
      </c>
      <c r="U1570" s="239" t="str">
        <f>VLOOKUP(H1570,'Fund Utilization Report'!$A$4:$U$1800,3,FALSE)</f>
        <v>2021-01-0037</v>
      </c>
      <c r="V1570" s="239" t="str">
        <f>VLOOKUP(H1570,'Fund Utilization Report'!$A$4:$U$1800,4,FALSE)</f>
        <v>CARP</v>
      </c>
      <c r="W1570" s="239" t="str">
        <f>VLOOKUP(H1570,'Fund Utilization Report'!$A$4:$U$1800,5,FALSE)</f>
        <v>01101101</v>
      </c>
      <c r="X1570" s="239" t="str">
        <f>VLOOKUP(H1570,'Fund Utilization Report'!$A$4:$U$1800,6,FALSE)</f>
        <v>GOP</v>
      </c>
      <c r="Y1570" s="440">
        <f>VLOOKUP(H1570,'Fund Utilization Report'!$A$4:$U$1800,7,FALSE)</f>
        <v>799</v>
      </c>
      <c r="Z1570" s="441" t="str">
        <f>VLOOKUP(H1570,'Fund Utilization Report'!$A$4:$U$1800,8,FALSE)</f>
        <v>50211990 00</v>
      </c>
      <c r="AA1570" s="239" t="str">
        <f>VLOOKUP(H1570,'Fund Utilization Report'!$A$4:$U$1800,14,FALSE)</f>
        <v>330100100003000</v>
      </c>
      <c r="AB1570" s="242" t="str">
        <f>VLOOKUP(H1570,'Fund Utilization Report'!$A$4:$U$1800,15,FALSE)</f>
        <v>MSME Development Program : Program Beneficiaries Development Component of the Comprehensive Agrarian Reform Program</v>
      </c>
      <c r="AC1570" s="51"/>
      <c r="AD1570" s="435"/>
      <c r="AE1570" s="51"/>
      <c r="AF1570" s="51"/>
      <c r="AG1570" s="442"/>
      <c r="AH1570" s="442"/>
    </row>
    <row r="1571" spans="1:35" s="443" customFormat="1" ht="27.6">
      <c r="A1571" s="434" t="s">
        <v>942</v>
      </c>
      <c r="B1571" s="457" t="s">
        <v>946</v>
      </c>
      <c r="C1571" s="233">
        <v>44284</v>
      </c>
      <c r="D1571" s="435" t="s">
        <v>1267</v>
      </c>
      <c r="E1571" s="436" t="s">
        <v>1598</v>
      </c>
      <c r="F1571" s="434">
        <v>0.40972222222222227</v>
      </c>
      <c r="G1571" s="434">
        <v>0.41666666666666669</v>
      </c>
      <c r="H1571" s="434" t="s">
        <v>994</v>
      </c>
      <c r="I1571" s="437">
        <v>795</v>
      </c>
      <c r="J1571" s="434" t="str">
        <f>IFERROR(VLOOKUP(I1571,'Chart of accounts'!A:H,2,FALSE),"")</f>
        <v>50212990 00</v>
      </c>
      <c r="K1571" s="434" t="str">
        <f>IFERROR(VLOOKUP(I1571,'Chart of accounts'!A:H,3,FALSE),"")</f>
        <v>Other General Services</v>
      </c>
      <c r="L1571" s="434" t="str">
        <f>IFERROR(VLOOKUP(I1571,'Chart of accounts'!A:H,4,FALSE),"")</f>
        <v>50212990 00 - Other General Services (795)</v>
      </c>
      <c r="M1571" s="489" t="s">
        <v>770</v>
      </c>
      <c r="N1571" s="439" t="s">
        <v>823</v>
      </c>
      <c r="O1571" s="439" t="s">
        <v>1600</v>
      </c>
      <c r="P1571" s="439"/>
      <c r="Q1571" s="50">
        <v>1000</v>
      </c>
      <c r="R1571" s="239">
        <f t="shared" si="64"/>
        <v>-1000</v>
      </c>
      <c r="S1571" s="239" t="str">
        <f>VLOOKUP(H1571,'Fund Utilization Report'!$A$4:$U$1800,13,FALSE)</f>
        <v>MOOE</v>
      </c>
      <c r="T1571" s="239" t="str">
        <f>VLOOKUP(H1571,'Fund Utilization Report'!$A$4:$U$1800,2,FALSE)</f>
        <v>SAA37</v>
      </c>
      <c r="U1571" s="239" t="str">
        <f>VLOOKUP(H1571,'Fund Utilization Report'!$A$4:$U$1800,3,FALSE)</f>
        <v>2021-01-0037</v>
      </c>
      <c r="V1571" s="239" t="str">
        <f>VLOOKUP(H1571,'Fund Utilization Report'!$A$4:$U$1800,4,FALSE)</f>
        <v>CARP</v>
      </c>
      <c r="W1571" s="239" t="str">
        <f>VLOOKUP(H1571,'Fund Utilization Report'!$A$4:$U$1800,5,FALSE)</f>
        <v>01101101</v>
      </c>
      <c r="X1571" s="239" t="str">
        <f>VLOOKUP(H1571,'Fund Utilization Report'!$A$4:$U$1800,6,FALSE)</f>
        <v>GOP</v>
      </c>
      <c r="Y1571" s="440">
        <f>VLOOKUP(H1571,'Fund Utilization Report'!$A$4:$U$1800,7,FALSE)</f>
        <v>795</v>
      </c>
      <c r="Z1571" s="441" t="str">
        <f>VLOOKUP(H1571,'Fund Utilization Report'!$A$4:$U$1800,8,FALSE)</f>
        <v>50212990 00</v>
      </c>
      <c r="AA1571" s="239" t="str">
        <f>VLOOKUP(H1571,'Fund Utilization Report'!$A$4:$U$1800,14,FALSE)</f>
        <v>330100100003000</v>
      </c>
      <c r="AB1571" s="242" t="str">
        <f>VLOOKUP(H1571,'Fund Utilization Report'!$A$4:$U$1800,15,FALSE)</f>
        <v>MSME Development Program : Program Beneficiaries Development Component of the Comprehensive Agrarian Reform Program</v>
      </c>
      <c r="AC1571" s="51"/>
      <c r="AD1571" s="435"/>
      <c r="AE1571" s="51"/>
      <c r="AF1571" s="51"/>
      <c r="AG1571" s="442"/>
      <c r="AH1571" s="442"/>
    </row>
    <row r="1572" spans="1:35" s="443" customFormat="1" ht="27.6">
      <c r="A1572" s="434" t="s">
        <v>942</v>
      </c>
      <c r="B1572" s="457" t="s">
        <v>946</v>
      </c>
      <c r="C1572" s="233">
        <v>44284</v>
      </c>
      <c r="D1572" s="435" t="s">
        <v>1267</v>
      </c>
      <c r="E1572" s="436" t="s">
        <v>1599</v>
      </c>
      <c r="F1572" s="434">
        <v>0.41666666666666669</v>
      </c>
      <c r="G1572" s="434">
        <v>0.41805555555555557</v>
      </c>
      <c r="H1572" s="434" t="s">
        <v>986</v>
      </c>
      <c r="I1572" s="437">
        <v>751</v>
      </c>
      <c r="J1572" s="434" t="str">
        <f>IFERROR(VLOOKUP(I1572,'Chart of accounts'!A:H,2,FALSE),"")</f>
        <v>50201010 00</v>
      </c>
      <c r="K1572" s="434" t="str">
        <f>IFERROR(VLOOKUP(I1572,'Chart of accounts'!A:H,3,FALSE),"")</f>
        <v>Traveling Expenses - Local</v>
      </c>
      <c r="L1572" s="434" t="str">
        <f>IFERROR(VLOOKUP(I1572,'Chart of accounts'!A:H,4,FALSE),"")</f>
        <v>50201010 00 - Traveling Expenses - Local (751)</v>
      </c>
      <c r="M1572" s="438">
        <v>68</v>
      </c>
      <c r="N1572" s="439" t="s">
        <v>821</v>
      </c>
      <c r="O1572" s="439" t="s">
        <v>1600</v>
      </c>
      <c r="P1572" s="439"/>
      <c r="Q1572" s="50">
        <v>37300</v>
      </c>
      <c r="R1572" s="239">
        <f t="shared" si="64"/>
        <v>-37300</v>
      </c>
      <c r="S1572" s="239" t="str">
        <f>VLOOKUP(H1572,'Fund Utilization Report'!$A$4:$U$1800,13,FALSE)</f>
        <v>MOOE</v>
      </c>
      <c r="T1572" s="239" t="str">
        <f>VLOOKUP(H1572,'Fund Utilization Report'!$A$4:$U$1800,2,FALSE)</f>
        <v>SAA37</v>
      </c>
      <c r="U1572" s="239" t="str">
        <f>VLOOKUP(H1572,'Fund Utilization Report'!$A$4:$U$1800,3,FALSE)</f>
        <v>2021-01-0037</v>
      </c>
      <c r="V1572" s="239" t="str">
        <f>VLOOKUP(H1572,'Fund Utilization Report'!$A$4:$U$1800,4,FALSE)</f>
        <v>CARP</v>
      </c>
      <c r="W1572" s="239" t="str">
        <f>VLOOKUP(H1572,'Fund Utilization Report'!$A$4:$U$1800,5,FALSE)</f>
        <v>01101101</v>
      </c>
      <c r="X1572" s="239" t="str">
        <f>VLOOKUP(H1572,'Fund Utilization Report'!$A$4:$U$1800,6,FALSE)</f>
        <v>GOP</v>
      </c>
      <c r="Y1572" s="440">
        <f>VLOOKUP(H1572,'Fund Utilization Report'!$A$4:$U$1800,7,FALSE)</f>
        <v>751</v>
      </c>
      <c r="Z1572" s="441" t="str">
        <f>VLOOKUP(H1572,'Fund Utilization Report'!$A$4:$U$1800,8,FALSE)</f>
        <v>50201010 00</v>
      </c>
      <c r="AA1572" s="239" t="str">
        <f>VLOOKUP(H1572,'Fund Utilization Report'!$A$4:$U$1800,14,FALSE)</f>
        <v>330100100003000</v>
      </c>
      <c r="AB1572" s="242" t="str">
        <f>VLOOKUP(H1572,'Fund Utilization Report'!$A$4:$U$1800,15,FALSE)</f>
        <v>MSME Development Program : Program Beneficiaries Development Component of the Comprehensive Agrarian Reform Program</v>
      </c>
      <c r="AC1572" s="51"/>
      <c r="AD1572" s="435"/>
      <c r="AE1572" s="51"/>
      <c r="AF1572" s="51"/>
      <c r="AG1572" s="442"/>
      <c r="AH1572" s="442"/>
    </row>
    <row r="1573" spans="1:35" s="443" customFormat="1" ht="27.6">
      <c r="A1573" s="434" t="s">
        <v>942</v>
      </c>
      <c r="B1573" s="457" t="s">
        <v>946</v>
      </c>
      <c r="C1573" s="233">
        <v>44284</v>
      </c>
      <c r="D1573" s="435" t="s">
        <v>1267</v>
      </c>
      <c r="E1573" s="436" t="s">
        <v>1599</v>
      </c>
      <c r="F1573" s="434">
        <v>0.41666666666666669</v>
      </c>
      <c r="G1573" s="434">
        <v>0.41805555555555557</v>
      </c>
      <c r="H1573" s="434" t="s">
        <v>987</v>
      </c>
      <c r="I1573" s="437">
        <v>753</v>
      </c>
      <c r="J1573" s="434" t="str">
        <f>IFERROR(VLOOKUP(I1573,'Chart of accounts'!A:H,2,FALSE),"")</f>
        <v>50202010 00</v>
      </c>
      <c r="K1573" s="434" t="str">
        <f>IFERROR(VLOOKUP(I1573,'Chart of accounts'!A:H,3,FALSE),"")</f>
        <v>Training Expenses</v>
      </c>
      <c r="L1573" s="434" t="str">
        <f>IFERROR(VLOOKUP(I1573,'Chart of accounts'!A:H,4,FALSE),"")</f>
        <v>50202010 00 - Training Expenses (753)</v>
      </c>
      <c r="M1573" s="438">
        <v>68</v>
      </c>
      <c r="N1573" s="439" t="s">
        <v>821</v>
      </c>
      <c r="O1573" s="439" t="s">
        <v>1600</v>
      </c>
      <c r="P1573" s="439"/>
      <c r="Q1573" s="50">
        <v>40965</v>
      </c>
      <c r="R1573" s="239">
        <f t="shared" si="64"/>
        <v>-40965</v>
      </c>
      <c r="S1573" s="239" t="str">
        <f>VLOOKUP(H1573,'Fund Utilization Report'!$A$4:$U$1800,13,FALSE)</f>
        <v>MOOE</v>
      </c>
      <c r="T1573" s="239" t="str">
        <f>VLOOKUP(H1573,'Fund Utilization Report'!$A$4:$U$1800,2,FALSE)</f>
        <v>SAA37</v>
      </c>
      <c r="U1573" s="239" t="str">
        <f>VLOOKUP(H1573,'Fund Utilization Report'!$A$4:$U$1800,3,FALSE)</f>
        <v>2021-01-0037</v>
      </c>
      <c r="V1573" s="239" t="str">
        <f>VLOOKUP(H1573,'Fund Utilization Report'!$A$4:$U$1800,4,FALSE)</f>
        <v>CARP</v>
      </c>
      <c r="W1573" s="239" t="str">
        <f>VLOOKUP(H1573,'Fund Utilization Report'!$A$4:$U$1800,5,FALSE)</f>
        <v>01101101</v>
      </c>
      <c r="X1573" s="239" t="str">
        <f>VLOOKUP(H1573,'Fund Utilization Report'!$A$4:$U$1800,6,FALSE)</f>
        <v>GOP</v>
      </c>
      <c r="Y1573" s="440">
        <f>VLOOKUP(H1573,'Fund Utilization Report'!$A$4:$U$1800,7,FALSE)</f>
        <v>753</v>
      </c>
      <c r="Z1573" s="441" t="str">
        <f>VLOOKUP(H1573,'Fund Utilization Report'!$A$4:$U$1800,8,FALSE)</f>
        <v>50202010 00</v>
      </c>
      <c r="AA1573" s="239" t="str">
        <f>VLOOKUP(H1573,'Fund Utilization Report'!$A$4:$U$1800,14,FALSE)</f>
        <v>330100100003000</v>
      </c>
      <c r="AB1573" s="242" t="str">
        <f>VLOOKUP(H1573,'Fund Utilization Report'!$A$4:$U$1800,15,FALSE)</f>
        <v>MSME Development Program : Program Beneficiaries Development Component of the Comprehensive Agrarian Reform Program</v>
      </c>
      <c r="AC1573" s="51"/>
      <c r="AD1573" s="435"/>
      <c r="AE1573" s="51"/>
      <c r="AF1573" s="51"/>
      <c r="AG1573" s="442"/>
      <c r="AH1573" s="442"/>
    </row>
    <row r="1574" spans="1:35" s="443" customFormat="1" ht="27.6">
      <c r="A1574" s="434" t="s">
        <v>942</v>
      </c>
      <c r="B1574" s="457" t="s">
        <v>946</v>
      </c>
      <c r="C1574" s="233">
        <v>44284</v>
      </c>
      <c r="D1574" s="435" t="s">
        <v>1267</v>
      </c>
      <c r="E1574" s="436" t="s">
        <v>1599</v>
      </c>
      <c r="F1574" s="434">
        <v>0.41666666666666669</v>
      </c>
      <c r="G1574" s="434">
        <v>0.41805555555555557</v>
      </c>
      <c r="H1574" s="434" t="s">
        <v>988</v>
      </c>
      <c r="I1574" s="437">
        <v>755</v>
      </c>
      <c r="J1574" s="434" t="str">
        <f>IFERROR(VLOOKUP(I1574,'Chart of accounts'!A:H,2,FALSE),"")</f>
        <v>50203010 00</v>
      </c>
      <c r="K1574" s="434" t="str">
        <f>IFERROR(VLOOKUP(I1574,'Chart of accounts'!A:H,3,FALSE),"")</f>
        <v>Office Supplies Expenses</v>
      </c>
      <c r="L1574" s="434" t="str">
        <f>IFERROR(VLOOKUP(I1574,'Chart of accounts'!A:H,4,FALSE),"")</f>
        <v>50203010 00 - Office Supplies Expenses (755)</v>
      </c>
      <c r="M1574" s="438">
        <v>68</v>
      </c>
      <c r="N1574" s="439" t="s">
        <v>821</v>
      </c>
      <c r="O1574" s="439" t="s">
        <v>1600</v>
      </c>
      <c r="P1574" s="439"/>
      <c r="Q1574" s="50">
        <v>5000</v>
      </c>
      <c r="R1574" s="239">
        <f t="shared" si="64"/>
        <v>-5000</v>
      </c>
      <c r="S1574" s="239" t="str">
        <f>VLOOKUP(H1574,'Fund Utilization Report'!$A$4:$U$1800,13,FALSE)</f>
        <v>MOOE</v>
      </c>
      <c r="T1574" s="239" t="str">
        <f>VLOOKUP(H1574,'Fund Utilization Report'!$A$4:$U$1800,2,FALSE)</f>
        <v>SAA37</v>
      </c>
      <c r="U1574" s="239" t="str">
        <f>VLOOKUP(H1574,'Fund Utilization Report'!$A$4:$U$1800,3,FALSE)</f>
        <v>2021-01-0037</v>
      </c>
      <c r="V1574" s="239" t="str">
        <f>VLOOKUP(H1574,'Fund Utilization Report'!$A$4:$U$1800,4,FALSE)</f>
        <v>CARP</v>
      </c>
      <c r="W1574" s="239" t="str">
        <f>VLOOKUP(H1574,'Fund Utilization Report'!$A$4:$U$1800,5,FALSE)</f>
        <v>01101101</v>
      </c>
      <c r="X1574" s="239" t="str">
        <f>VLOOKUP(H1574,'Fund Utilization Report'!$A$4:$U$1800,6,FALSE)</f>
        <v>GOP</v>
      </c>
      <c r="Y1574" s="440">
        <f>VLOOKUP(H1574,'Fund Utilization Report'!$A$4:$U$1800,7,FALSE)</f>
        <v>755</v>
      </c>
      <c r="Z1574" s="441" t="str">
        <f>VLOOKUP(H1574,'Fund Utilization Report'!$A$4:$U$1800,8,FALSE)</f>
        <v>50203010 00</v>
      </c>
      <c r="AA1574" s="239" t="str">
        <f>VLOOKUP(H1574,'Fund Utilization Report'!$A$4:$U$1800,14,FALSE)</f>
        <v>330100100003000</v>
      </c>
      <c r="AB1574" s="242" t="str">
        <f>VLOOKUP(H1574,'Fund Utilization Report'!$A$4:$U$1800,15,FALSE)</f>
        <v>MSME Development Program : Program Beneficiaries Development Component of the Comprehensive Agrarian Reform Program</v>
      </c>
      <c r="AC1574" s="51"/>
      <c r="AD1574" s="435"/>
      <c r="AE1574" s="51"/>
      <c r="AF1574" s="51"/>
      <c r="AG1574" s="442"/>
      <c r="AH1574" s="442"/>
    </row>
    <row r="1575" spans="1:35" s="443" customFormat="1" ht="27.6">
      <c r="A1575" s="434" t="s">
        <v>942</v>
      </c>
      <c r="B1575" s="457" t="s">
        <v>946</v>
      </c>
      <c r="C1575" s="233">
        <v>44284</v>
      </c>
      <c r="D1575" s="435" t="s">
        <v>1267</v>
      </c>
      <c r="E1575" s="436" t="s">
        <v>1599</v>
      </c>
      <c r="F1575" s="434">
        <v>0.41666666666666669</v>
      </c>
      <c r="G1575" s="434">
        <v>0.41805555555555557</v>
      </c>
      <c r="H1575" s="434" t="s">
        <v>991</v>
      </c>
      <c r="I1575" s="437">
        <v>773</v>
      </c>
      <c r="J1575" s="434" t="str">
        <f>IFERROR(VLOOKUP(I1575,'Chart of accounts'!A:H,2,FALSE),"")</f>
        <v>50205020 01</v>
      </c>
      <c r="K1575" s="434" t="str">
        <f>IFERROR(VLOOKUP(I1575,'Chart of accounts'!A:H,3,FALSE),"")</f>
        <v xml:space="preserve">Telephone Expenses - Mobile </v>
      </c>
      <c r="L1575" s="434" t="str">
        <f>IFERROR(VLOOKUP(I1575,'Chart of accounts'!A:H,4,FALSE),"")</f>
        <v>50205020 01 - Telephone Expenses - Mobile  (773)</v>
      </c>
      <c r="M1575" s="438">
        <v>68</v>
      </c>
      <c r="N1575" s="439" t="s">
        <v>821</v>
      </c>
      <c r="O1575" s="439" t="s">
        <v>1600</v>
      </c>
      <c r="P1575" s="439"/>
      <c r="Q1575" s="50">
        <v>1500</v>
      </c>
      <c r="R1575" s="239">
        <f t="shared" si="64"/>
        <v>-1500</v>
      </c>
      <c r="S1575" s="239" t="str">
        <f>VLOOKUP(H1575,'Fund Utilization Report'!$A$4:$U$1800,13,FALSE)</f>
        <v>MOOE</v>
      </c>
      <c r="T1575" s="239" t="str">
        <f>VLOOKUP(H1575,'Fund Utilization Report'!$A$4:$U$1800,2,FALSE)</f>
        <v>SAA37</v>
      </c>
      <c r="U1575" s="239" t="str">
        <f>VLOOKUP(H1575,'Fund Utilization Report'!$A$4:$U$1800,3,FALSE)</f>
        <v>2021-01-0037</v>
      </c>
      <c r="V1575" s="239" t="str">
        <f>VLOOKUP(H1575,'Fund Utilization Report'!$A$4:$U$1800,4,FALSE)</f>
        <v>CARP</v>
      </c>
      <c r="W1575" s="239" t="str">
        <f>VLOOKUP(H1575,'Fund Utilization Report'!$A$4:$U$1800,5,FALSE)</f>
        <v>01101101</v>
      </c>
      <c r="X1575" s="239" t="str">
        <f>VLOOKUP(H1575,'Fund Utilization Report'!$A$4:$U$1800,6,FALSE)</f>
        <v>GOP</v>
      </c>
      <c r="Y1575" s="440">
        <f>VLOOKUP(H1575,'Fund Utilization Report'!$A$4:$U$1800,7,FALSE)</f>
        <v>773</v>
      </c>
      <c r="Z1575" s="441" t="str">
        <f>VLOOKUP(H1575,'Fund Utilization Report'!$A$4:$U$1800,8,FALSE)</f>
        <v>50205020 01</v>
      </c>
      <c r="AA1575" s="239" t="str">
        <f>VLOOKUP(H1575,'Fund Utilization Report'!$A$4:$U$1800,14,FALSE)</f>
        <v>330100100003000</v>
      </c>
      <c r="AB1575" s="242" t="str">
        <f>VLOOKUP(H1575,'Fund Utilization Report'!$A$4:$U$1800,15,FALSE)</f>
        <v>MSME Development Program : Program Beneficiaries Development Component of the Comprehensive Agrarian Reform Program</v>
      </c>
      <c r="AC1575" s="51"/>
      <c r="AD1575" s="435"/>
      <c r="AE1575" s="51"/>
      <c r="AF1575" s="51"/>
      <c r="AG1575" s="442"/>
      <c r="AH1575" s="442"/>
    </row>
    <row r="1576" spans="1:35" s="443" customFormat="1" ht="27.6">
      <c r="A1576" s="434" t="s">
        <v>942</v>
      </c>
      <c r="B1576" s="457" t="s">
        <v>946</v>
      </c>
      <c r="C1576" s="233">
        <v>44284</v>
      </c>
      <c r="D1576" s="435" t="s">
        <v>1267</v>
      </c>
      <c r="E1576" s="436" t="s">
        <v>1599</v>
      </c>
      <c r="F1576" s="434">
        <v>0.41666666666666669</v>
      </c>
      <c r="G1576" s="434">
        <v>0.41805555555555557</v>
      </c>
      <c r="H1576" s="434" t="s">
        <v>994</v>
      </c>
      <c r="I1576" s="437">
        <v>793</v>
      </c>
      <c r="J1576" s="434" t="str">
        <f>IFERROR(VLOOKUP(I1576,'Chart of accounts'!A:H,2,FALSE),"")</f>
        <v>50211030 00</v>
      </c>
      <c r="K1576" s="434" t="str">
        <f>IFERROR(VLOOKUP(I1576,'Chart of accounts'!A:H,3,FALSE),"")</f>
        <v>Consultancy Services</v>
      </c>
      <c r="L1576" s="434" t="str">
        <f>IFERROR(VLOOKUP(I1576,'Chart of accounts'!A:H,4,FALSE),"")</f>
        <v>50211030 00 - Consultancy Services (793)</v>
      </c>
      <c r="M1576" s="438">
        <v>68</v>
      </c>
      <c r="N1576" s="439" t="s">
        <v>821</v>
      </c>
      <c r="O1576" s="439" t="s">
        <v>1600</v>
      </c>
      <c r="P1576" s="439"/>
      <c r="Q1576" s="50">
        <v>400</v>
      </c>
      <c r="R1576" s="239">
        <f t="shared" si="64"/>
        <v>-400</v>
      </c>
      <c r="S1576" s="239" t="str">
        <f>VLOOKUP(H1576,'Fund Utilization Report'!$A$4:$U$1800,13,FALSE)</f>
        <v>MOOE</v>
      </c>
      <c r="T1576" s="239" t="str">
        <f>VLOOKUP(H1576,'Fund Utilization Report'!$A$4:$U$1800,2,FALSE)</f>
        <v>SAA37</v>
      </c>
      <c r="U1576" s="239" t="str">
        <f>VLOOKUP(H1576,'Fund Utilization Report'!$A$4:$U$1800,3,FALSE)</f>
        <v>2021-01-0037</v>
      </c>
      <c r="V1576" s="239" t="str">
        <f>VLOOKUP(H1576,'Fund Utilization Report'!$A$4:$U$1800,4,FALSE)</f>
        <v>CARP</v>
      </c>
      <c r="W1576" s="239" t="str">
        <f>VLOOKUP(H1576,'Fund Utilization Report'!$A$4:$U$1800,5,FALSE)</f>
        <v>01101101</v>
      </c>
      <c r="X1576" s="239" t="str">
        <f>VLOOKUP(H1576,'Fund Utilization Report'!$A$4:$U$1800,6,FALSE)</f>
        <v>GOP</v>
      </c>
      <c r="Y1576" s="440">
        <f>VLOOKUP(H1576,'Fund Utilization Report'!$A$4:$U$1800,7,FALSE)</f>
        <v>795</v>
      </c>
      <c r="Z1576" s="441" t="str">
        <f>VLOOKUP(H1576,'Fund Utilization Report'!$A$4:$U$1800,8,FALSE)</f>
        <v>50212990 00</v>
      </c>
      <c r="AA1576" s="239" t="str">
        <f>VLOOKUP(H1576,'Fund Utilization Report'!$A$4:$U$1800,14,FALSE)</f>
        <v>330100100003000</v>
      </c>
      <c r="AB1576" s="242" t="str">
        <f>VLOOKUP(H1576,'Fund Utilization Report'!$A$4:$U$1800,15,FALSE)</f>
        <v>MSME Development Program : Program Beneficiaries Development Component of the Comprehensive Agrarian Reform Program</v>
      </c>
      <c r="AC1576" s="51"/>
      <c r="AD1576" s="435"/>
      <c r="AE1576" s="51"/>
      <c r="AF1576" s="51"/>
      <c r="AG1576" s="442"/>
      <c r="AH1576" s="442"/>
    </row>
    <row r="1577" spans="1:35" s="443" customFormat="1" ht="27.6">
      <c r="A1577" s="434" t="s">
        <v>942</v>
      </c>
      <c r="B1577" s="457" t="s">
        <v>946</v>
      </c>
      <c r="C1577" s="233">
        <v>44284</v>
      </c>
      <c r="D1577" s="435" t="s">
        <v>1267</v>
      </c>
      <c r="E1577" s="436" t="s">
        <v>1599</v>
      </c>
      <c r="F1577" s="434">
        <v>0.41666666666666669</v>
      </c>
      <c r="G1577" s="434">
        <v>0.41805555555555557</v>
      </c>
      <c r="H1577" s="434" t="s">
        <v>994</v>
      </c>
      <c r="I1577" s="437">
        <v>799</v>
      </c>
      <c r="J1577" s="434" t="str">
        <f>IFERROR(VLOOKUP(I1577,'Chart of accounts'!A:H,2,FALSE),"")</f>
        <v>50211990 00</v>
      </c>
      <c r="K1577" s="434" t="str">
        <f>IFERROR(VLOOKUP(I1577,'Chart of accounts'!A:H,3,FALSE),"")</f>
        <v>Other Professional Services</v>
      </c>
      <c r="L1577" s="434" t="str">
        <f>IFERROR(VLOOKUP(I1577,'Chart of accounts'!A:H,4,FALSE),"")</f>
        <v>50211990 00 - Other Professional Services (799)</v>
      </c>
      <c r="M1577" s="438">
        <v>68</v>
      </c>
      <c r="N1577" s="439" t="s">
        <v>821</v>
      </c>
      <c r="O1577" s="439" t="s">
        <v>1600</v>
      </c>
      <c r="P1577" s="439"/>
      <c r="Q1577" s="50">
        <v>98299</v>
      </c>
      <c r="R1577" s="239">
        <f>P1577-Q1577</f>
        <v>-98299</v>
      </c>
      <c r="S1577" s="239" t="str">
        <f>VLOOKUP(H1577,'Fund Utilization Report'!$A$4:$U$1800,13,FALSE)</f>
        <v>MOOE</v>
      </c>
      <c r="T1577" s="239" t="str">
        <f>VLOOKUP(H1577,'Fund Utilization Report'!$A$4:$U$1800,2,FALSE)</f>
        <v>SAA37</v>
      </c>
      <c r="U1577" s="239" t="str">
        <f>VLOOKUP(H1577,'Fund Utilization Report'!$A$4:$U$1800,3,FALSE)</f>
        <v>2021-01-0037</v>
      </c>
      <c r="V1577" s="239" t="str">
        <f>VLOOKUP(H1577,'Fund Utilization Report'!$A$4:$U$1800,4,FALSE)</f>
        <v>CARP</v>
      </c>
      <c r="W1577" s="239" t="str">
        <f>VLOOKUP(H1577,'Fund Utilization Report'!$A$4:$U$1800,5,FALSE)</f>
        <v>01101101</v>
      </c>
      <c r="X1577" s="239" t="str">
        <f>VLOOKUP(H1577,'Fund Utilization Report'!$A$4:$U$1800,6,FALSE)</f>
        <v>GOP</v>
      </c>
      <c r="Y1577" s="440">
        <f>VLOOKUP(H1577,'Fund Utilization Report'!$A$4:$U$1800,7,FALSE)</f>
        <v>795</v>
      </c>
      <c r="Z1577" s="441" t="str">
        <f>VLOOKUP(H1577,'Fund Utilization Report'!$A$4:$U$1800,8,FALSE)</f>
        <v>50212990 00</v>
      </c>
      <c r="AA1577" s="239" t="str">
        <f>VLOOKUP(H1577,'Fund Utilization Report'!$A$4:$U$1800,14,FALSE)</f>
        <v>330100100003000</v>
      </c>
      <c r="AB1577" s="242" t="str">
        <f>VLOOKUP(H1577,'Fund Utilization Report'!$A$4:$U$1800,15,FALSE)</f>
        <v>MSME Development Program : Program Beneficiaries Development Component of the Comprehensive Agrarian Reform Program</v>
      </c>
      <c r="AC1577" s="51"/>
      <c r="AD1577" s="435"/>
      <c r="AE1577" s="51"/>
      <c r="AF1577" s="51"/>
      <c r="AG1577" s="442"/>
      <c r="AH1577" s="442"/>
    </row>
    <row r="1578" spans="1:35" s="443" customFormat="1" ht="27.6">
      <c r="A1578" s="434" t="s">
        <v>942</v>
      </c>
      <c r="B1578" s="457" t="s">
        <v>946</v>
      </c>
      <c r="C1578" s="233">
        <v>44284</v>
      </c>
      <c r="D1578" s="435" t="s">
        <v>1267</v>
      </c>
      <c r="E1578" s="436" t="s">
        <v>1599</v>
      </c>
      <c r="F1578" s="434">
        <v>0.41666666666666669</v>
      </c>
      <c r="G1578" s="434">
        <v>0.41805555555555557</v>
      </c>
      <c r="H1578" s="434" t="s">
        <v>994</v>
      </c>
      <c r="I1578" s="437">
        <v>795</v>
      </c>
      <c r="J1578" s="434" t="str">
        <f>IFERROR(VLOOKUP(I1578,'Chart of accounts'!A:H,2,FALSE),"")</f>
        <v>50212990 00</v>
      </c>
      <c r="K1578" s="434" t="str">
        <f>IFERROR(VLOOKUP(I1578,'Chart of accounts'!A:H,3,FALSE),"")</f>
        <v>Other General Services</v>
      </c>
      <c r="L1578" s="434" t="str">
        <f>IFERROR(VLOOKUP(I1578,'Chart of accounts'!A:H,4,FALSE),"")</f>
        <v>50212990 00 - Other General Services (795)</v>
      </c>
      <c r="M1578" s="438">
        <v>68</v>
      </c>
      <c r="N1578" s="439" t="s">
        <v>821</v>
      </c>
      <c r="O1578" s="439" t="s">
        <v>1600</v>
      </c>
      <c r="P1578" s="439"/>
      <c r="Q1578" s="50">
        <v>1000</v>
      </c>
      <c r="R1578" s="239">
        <f t="shared" ref="R1578:R1588" si="65">P1578-Q1578</f>
        <v>-1000</v>
      </c>
      <c r="S1578" s="239" t="str">
        <f>VLOOKUP(H1578,'Fund Utilization Report'!$A$4:$U$1800,13,FALSE)</f>
        <v>MOOE</v>
      </c>
      <c r="T1578" s="239" t="str">
        <f>VLOOKUP(H1578,'Fund Utilization Report'!$A$4:$U$1800,2,FALSE)</f>
        <v>SAA37</v>
      </c>
      <c r="U1578" s="239" t="str">
        <f>VLOOKUP(H1578,'Fund Utilization Report'!$A$4:$U$1800,3,FALSE)</f>
        <v>2021-01-0037</v>
      </c>
      <c r="V1578" s="239" t="str">
        <f>VLOOKUP(H1578,'Fund Utilization Report'!$A$4:$U$1800,4,FALSE)</f>
        <v>CARP</v>
      </c>
      <c r="W1578" s="239" t="str">
        <f>VLOOKUP(H1578,'Fund Utilization Report'!$A$4:$U$1800,5,FALSE)</f>
        <v>01101101</v>
      </c>
      <c r="X1578" s="239" t="str">
        <f>VLOOKUP(H1578,'Fund Utilization Report'!$A$4:$U$1800,6,FALSE)</f>
        <v>GOP</v>
      </c>
      <c r="Y1578" s="440">
        <f>VLOOKUP(H1578,'Fund Utilization Report'!$A$4:$U$1800,7,FALSE)</f>
        <v>795</v>
      </c>
      <c r="Z1578" s="441" t="str">
        <f>VLOOKUP(H1578,'Fund Utilization Report'!$A$4:$U$1800,8,FALSE)</f>
        <v>50212990 00</v>
      </c>
      <c r="AA1578" s="239" t="str">
        <f>VLOOKUP(H1578,'Fund Utilization Report'!$A$4:$U$1800,14,FALSE)</f>
        <v>330100100003000</v>
      </c>
      <c r="AB1578" s="242" t="str">
        <f>VLOOKUP(H1578,'Fund Utilization Report'!$A$4:$U$1800,15,FALSE)</f>
        <v>MSME Development Program : Program Beneficiaries Development Component of the Comprehensive Agrarian Reform Program</v>
      </c>
      <c r="AC1578" s="51"/>
      <c r="AD1578" s="435"/>
      <c r="AE1578" s="51"/>
      <c r="AF1578" s="51"/>
      <c r="AG1578" s="442"/>
      <c r="AH1578" s="442"/>
    </row>
    <row r="1579" spans="1:35" s="32" customFormat="1" ht="31.5" customHeight="1">
      <c r="A1579" s="434" t="s">
        <v>942</v>
      </c>
      <c r="B1579" s="457" t="s">
        <v>946</v>
      </c>
      <c r="C1579" s="233">
        <v>44284</v>
      </c>
      <c r="D1579" s="435" t="s">
        <v>1267</v>
      </c>
      <c r="E1579" s="436" t="s">
        <v>1601</v>
      </c>
      <c r="F1579" s="338">
        <v>0.59027777777777779</v>
      </c>
      <c r="G1579" s="338">
        <v>0.59305555555555556</v>
      </c>
      <c r="H1579" s="338" t="s">
        <v>980</v>
      </c>
      <c r="I1579" s="353">
        <v>751</v>
      </c>
      <c r="J1579" s="434" t="str">
        <f>IFERROR(VLOOKUP(I1579,'Chart of accounts'!A:H,2,FALSE),"")</f>
        <v>50201010 00</v>
      </c>
      <c r="K1579" s="338" t="str">
        <f>IFERROR(VLOOKUP(I1579,'Chart of accounts'!A:H,3,FALSE),"")</f>
        <v>Traveling Expenses - Local</v>
      </c>
      <c r="L1579" s="338" t="str">
        <f>IFERROR(VLOOKUP(I1579,'Chart of accounts'!A:H,4,FALSE),"")</f>
        <v>50201010 00 - Traveling Expenses - Local (751)</v>
      </c>
      <c r="M1579" s="361" t="s">
        <v>845</v>
      </c>
      <c r="N1579" s="355" t="s">
        <v>820</v>
      </c>
      <c r="O1579" s="439" t="s">
        <v>1602</v>
      </c>
      <c r="P1579" s="355"/>
      <c r="Q1579" s="363">
        <v>100000</v>
      </c>
      <c r="R1579" s="428">
        <f t="shared" si="65"/>
        <v>-100000</v>
      </c>
      <c r="S1579" s="428" t="str">
        <f>VLOOKUP(H1579,'Fund Utilization Report'!$A$4:$U$1800,13,FALSE)</f>
        <v>MOOE</v>
      </c>
      <c r="T1579" s="428" t="str">
        <f>VLOOKUP(H1579,'Fund Utilization Report'!$A$4:$U$1800,2,FALSE)</f>
        <v>GAA</v>
      </c>
      <c r="U1579" s="428" t="str">
        <f>VLOOKUP(H1579,'Fund Utilization Report'!$A$4:$U$1800,3,FALSE)</f>
        <v>FY2021, RA11518</v>
      </c>
      <c r="V1579" s="428" t="str">
        <f>VLOOKUP(H1579,'Fund Utilization Report'!$A$4:$U$1800,4,FALSE)</f>
        <v>NC</v>
      </c>
      <c r="W1579" s="428" t="str">
        <f>VLOOKUP(H1579,'Fund Utilization Report'!$A$4:$U$1800,5,FALSE)</f>
        <v>01101101</v>
      </c>
      <c r="X1579" s="428" t="str">
        <f>VLOOKUP(H1579,'Fund Utilization Report'!$A$4:$U$1800,6,FALSE)</f>
        <v>GOP</v>
      </c>
      <c r="Y1579" s="320" t="str">
        <f>VLOOKUP(H1579,'Fund Utilization Report'!$A$4:$U$1800,7,FALSE)</f>
        <v>MOOE</v>
      </c>
      <c r="Z1579" s="425">
        <f>VLOOKUP(H1579,'Fund Utilization Report'!$A$4:$U$1800,8,FALSE)</f>
        <v>5020000000</v>
      </c>
      <c r="AA1579" s="428" t="str">
        <f>VLOOKUP(H1579,'Fund Utilization Report'!$A$4:$U$1800,14,FALSE)</f>
        <v>330100200001000</v>
      </c>
      <c r="AB1579" s="349" t="str">
        <f>VLOOKUP(H1579,'Fund Utilization Report'!$A$4:$U$1800,15,FALSE)</f>
        <v>Establishment of Negosyo Centers</v>
      </c>
      <c r="AC1579" s="39"/>
      <c r="AD1579" s="34"/>
      <c r="AE1579" s="39"/>
      <c r="AF1579" s="51"/>
      <c r="AG1579" s="442"/>
      <c r="AH1579" s="442"/>
      <c r="AI1579" s="443"/>
    </row>
    <row r="1580" spans="1:35" s="32" customFormat="1" ht="27.75" customHeight="1">
      <c r="A1580" s="434" t="s">
        <v>942</v>
      </c>
      <c r="B1580" s="457" t="s">
        <v>946</v>
      </c>
      <c r="C1580" s="233">
        <v>44284</v>
      </c>
      <c r="D1580" s="435" t="s">
        <v>1267</v>
      </c>
      <c r="E1580" s="436" t="s">
        <v>1601</v>
      </c>
      <c r="F1580" s="338">
        <v>0.59027777777777779</v>
      </c>
      <c r="G1580" s="338">
        <v>0.59305555555555556</v>
      </c>
      <c r="H1580" s="338" t="s">
        <v>980</v>
      </c>
      <c r="I1580" s="353">
        <v>753</v>
      </c>
      <c r="J1580" s="338" t="str">
        <f>IFERROR(VLOOKUP(I1580,'Chart of accounts'!A:H,2,FALSE),"")</f>
        <v>50202010 00</v>
      </c>
      <c r="K1580" s="338" t="str">
        <f>IFERROR(VLOOKUP(I1580,'Chart of accounts'!A:H,3,FALSE),"")</f>
        <v>Training Expenses</v>
      </c>
      <c r="L1580" s="338" t="str">
        <f>IFERROR(VLOOKUP(I1580,'Chart of accounts'!A:H,4,FALSE),"")</f>
        <v>50202010 00 - Training Expenses (753)</v>
      </c>
      <c r="M1580" s="361" t="s">
        <v>845</v>
      </c>
      <c r="N1580" s="355" t="s">
        <v>820</v>
      </c>
      <c r="O1580" s="355" t="s">
        <v>1602</v>
      </c>
      <c r="P1580" s="355"/>
      <c r="Q1580" s="363">
        <v>300000</v>
      </c>
      <c r="R1580" s="428">
        <f t="shared" si="65"/>
        <v>-300000</v>
      </c>
      <c r="S1580" s="428" t="str">
        <f>VLOOKUP(H1580,'Fund Utilization Report'!$A$4:$U$1800,13,FALSE)</f>
        <v>MOOE</v>
      </c>
      <c r="T1580" s="428" t="str">
        <f>VLOOKUP(H1580,'Fund Utilization Report'!$A$4:$U$1800,2,FALSE)</f>
        <v>GAA</v>
      </c>
      <c r="U1580" s="428" t="str">
        <f>VLOOKUP(H1580,'Fund Utilization Report'!$A$4:$U$1800,3,FALSE)</f>
        <v>FY2021, RA11518</v>
      </c>
      <c r="V1580" s="428" t="str">
        <f>VLOOKUP(H1580,'Fund Utilization Report'!$A$4:$U$1800,4,FALSE)</f>
        <v>NC</v>
      </c>
      <c r="W1580" s="428" t="str">
        <f>VLOOKUP(H1580,'Fund Utilization Report'!$A$4:$U$1800,5,FALSE)</f>
        <v>01101101</v>
      </c>
      <c r="X1580" s="428" t="str">
        <f>VLOOKUP(H1580,'Fund Utilization Report'!$A$4:$U$1800,6,FALSE)</f>
        <v>GOP</v>
      </c>
      <c r="Y1580" s="320" t="str">
        <f>VLOOKUP(H1580,'Fund Utilization Report'!$A$4:$U$1800,7,FALSE)</f>
        <v>MOOE</v>
      </c>
      <c r="Z1580" s="425">
        <f>VLOOKUP(H1580,'Fund Utilization Report'!$A$4:$U$1800,8,FALSE)</f>
        <v>5020000000</v>
      </c>
      <c r="AA1580" s="428" t="str">
        <f>VLOOKUP(H1580,'Fund Utilization Report'!$A$4:$U$1800,14,FALSE)</f>
        <v>330100200001000</v>
      </c>
      <c r="AB1580" s="349" t="str">
        <f>VLOOKUP(H1580,'Fund Utilization Report'!$A$4:$U$1800,15,FALSE)</f>
        <v>Establishment of Negosyo Centers</v>
      </c>
      <c r="AC1580" s="39"/>
      <c r="AD1580" s="34"/>
      <c r="AE1580" s="39"/>
      <c r="AF1580" s="51"/>
      <c r="AG1580" s="442"/>
      <c r="AH1580" s="442"/>
      <c r="AI1580" s="443"/>
    </row>
    <row r="1581" spans="1:35" s="32" customFormat="1" ht="25.5" customHeight="1">
      <c r="A1581" s="434" t="s">
        <v>942</v>
      </c>
      <c r="B1581" s="457" t="s">
        <v>946</v>
      </c>
      <c r="C1581" s="233">
        <v>44284</v>
      </c>
      <c r="D1581" s="435" t="s">
        <v>1267</v>
      </c>
      <c r="E1581" s="436" t="s">
        <v>1601</v>
      </c>
      <c r="F1581" s="338">
        <v>0.59027777777777779</v>
      </c>
      <c r="G1581" s="338">
        <v>0.59305555555555556</v>
      </c>
      <c r="H1581" s="338" t="s">
        <v>980</v>
      </c>
      <c r="I1581" s="353">
        <v>783</v>
      </c>
      <c r="J1581" s="338" t="str">
        <f>IFERROR(VLOOKUP(I1581,'Chart of accounts'!A:H,2,FALSE),"")</f>
        <v>50299030 00</v>
      </c>
      <c r="K1581" s="338" t="str">
        <f>IFERROR(VLOOKUP(I1581,'Chart of accounts'!A:H,3,FALSE),"")</f>
        <v>Representation Expenses</v>
      </c>
      <c r="L1581" s="338" t="str">
        <f>IFERROR(VLOOKUP(I1581,'Chart of accounts'!A:H,4,FALSE),"")</f>
        <v>50299030 00 - Representation Expenses (783)</v>
      </c>
      <c r="M1581" s="361" t="s">
        <v>845</v>
      </c>
      <c r="N1581" s="355" t="s">
        <v>820</v>
      </c>
      <c r="O1581" s="355" t="s">
        <v>1602</v>
      </c>
      <c r="P1581" s="355"/>
      <c r="Q1581" s="363">
        <v>50000</v>
      </c>
      <c r="R1581" s="428">
        <f t="shared" si="65"/>
        <v>-50000</v>
      </c>
      <c r="S1581" s="428" t="str">
        <f>VLOOKUP(H1581,'Fund Utilization Report'!$A$4:$U$1800,13,FALSE)</f>
        <v>MOOE</v>
      </c>
      <c r="T1581" s="428" t="str">
        <f>VLOOKUP(H1581,'Fund Utilization Report'!$A$4:$U$1800,2,FALSE)</f>
        <v>GAA</v>
      </c>
      <c r="U1581" s="428" t="str">
        <f>VLOOKUP(H1581,'Fund Utilization Report'!$A$4:$U$1800,3,FALSE)</f>
        <v>FY2021, RA11518</v>
      </c>
      <c r="V1581" s="428" t="str">
        <f>VLOOKUP(H1581,'Fund Utilization Report'!$A$4:$U$1800,4,FALSE)</f>
        <v>NC</v>
      </c>
      <c r="W1581" s="428" t="str">
        <f>VLOOKUP(H1581,'Fund Utilization Report'!$A$4:$U$1800,5,FALSE)</f>
        <v>01101101</v>
      </c>
      <c r="X1581" s="428" t="str">
        <f>VLOOKUP(H1581,'Fund Utilization Report'!$A$4:$U$1800,6,FALSE)</f>
        <v>GOP</v>
      </c>
      <c r="Y1581" s="320" t="str">
        <f>VLOOKUP(H1581,'Fund Utilization Report'!$A$4:$U$1800,7,FALSE)</f>
        <v>MOOE</v>
      </c>
      <c r="Z1581" s="425">
        <f>VLOOKUP(H1581,'Fund Utilization Report'!$A$4:$U$1800,8,FALSE)</f>
        <v>5020000000</v>
      </c>
      <c r="AA1581" s="428" t="str">
        <f>VLOOKUP(H1581,'Fund Utilization Report'!$A$4:$U$1800,14,FALSE)</f>
        <v>330100200001000</v>
      </c>
      <c r="AB1581" s="349" t="str">
        <f>VLOOKUP(H1581,'Fund Utilization Report'!$A$4:$U$1800,15,FALSE)</f>
        <v>Establishment of Negosyo Centers</v>
      </c>
      <c r="AC1581" s="39"/>
      <c r="AD1581" s="34"/>
      <c r="AE1581" s="39"/>
      <c r="AF1581" s="51"/>
      <c r="AG1581" s="442"/>
      <c r="AH1581" s="442"/>
      <c r="AI1581" s="443"/>
    </row>
    <row r="1582" spans="1:35" s="32" customFormat="1" ht="29.25" customHeight="1">
      <c r="A1582" s="434" t="s">
        <v>942</v>
      </c>
      <c r="B1582" s="457" t="s">
        <v>946</v>
      </c>
      <c r="C1582" s="233">
        <v>44284</v>
      </c>
      <c r="D1582" s="435" t="s">
        <v>1267</v>
      </c>
      <c r="E1582" s="436" t="s">
        <v>1601</v>
      </c>
      <c r="F1582" s="338">
        <v>0.59027777777777779</v>
      </c>
      <c r="G1582" s="338">
        <v>0.59305555555555556</v>
      </c>
      <c r="H1582" s="338" t="s">
        <v>980</v>
      </c>
      <c r="I1582" s="353">
        <v>799</v>
      </c>
      <c r="J1582" s="338" t="str">
        <f>IFERROR(VLOOKUP(I1582,'Chart of accounts'!A:H,2,FALSE),"")</f>
        <v>50211990 00</v>
      </c>
      <c r="K1582" s="338" t="str">
        <f>IFERROR(VLOOKUP(I1582,'Chart of accounts'!A:H,3,FALSE),"")</f>
        <v>Other Professional Services</v>
      </c>
      <c r="L1582" s="338" t="str">
        <f>IFERROR(VLOOKUP(I1582,'Chart of accounts'!A:H,4,FALSE),"")</f>
        <v>50211990 00 - Other Professional Services (799)</v>
      </c>
      <c r="M1582" s="361" t="s">
        <v>845</v>
      </c>
      <c r="N1582" s="355" t="s">
        <v>820</v>
      </c>
      <c r="O1582" s="355" t="s">
        <v>1602</v>
      </c>
      <c r="P1582" s="355"/>
      <c r="Q1582" s="363">
        <v>914950</v>
      </c>
      <c r="R1582" s="428">
        <f t="shared" si="65"/>
        <v>-914950</v>
      </c>
      <c r="S1582" s="428" t="str">
        <f>VLOOKUP(H1582,'Fund Utilization Report'!$A$4:$U$1800,13,FALSE)</f>
        <v>MOOE</v>
      </c>
      <c r="T1582" s="428" t="str">
        <f>VLOOKUP(H1582,'Fund Utilization Report'!$A$4:$U$1800,2,FALSE)</f>
        <v>GAA</v>
      </c>
      <c r="U1582" s="428" t="str">
        <f>VLOOKUP(H1582,'Fund Utilization Report'!$A$4:$U$1800,3,FALSE)</f>
        <v>FY2021, RA11518</v>
      </c>
      <c r="V1582" s="428" t="str">
        <f>VLOOKUP(H1582,'Fund Utilization Report'!$A$4:$U$1800,4,FALSE)</f>
        <v>NC</v>
      </c>
      <c r="W1582" s="428" t="str">
        <f>VLOOKUP(H1582,'Fund Utilization Report'!$A$4:$U$1800,5,FALSE)</f>
        <v>01101101</v>
      </c>
      <c r="X1582" s="428" t="str">
        <f>VLOOKUP(H1582,'Fund Utilization Report'!$A$4:$U$1800,6,FALSE)</f>
        <v>GOP</v>
      </c>
      <c r="Y1582" s="320" t="str">
        <f>VLOOKUP(H1582,'Fund Utilization Report'!$A$4:$U$1800,7,FALSE)</f>
        <v>MOOE</v>
      </c>
      <c r="Z1582" s="425">
        <f>VLOOKUP(H1582,'Fund Utilization Report'!$A$4:$U$1800,8,FALSE)</f>
        <v>5020000000</v>
      </c>
      <c r="AA1582" s="428" t="str">
        <f>VLOOKUP(H1582,'Fund Utilization Report'!$A$4:$U$1800,14,FALSE)</f>
        <v>330100200001000</v>
      </c>
      <c r="AB1582" s="349" t="str">
        <f>VLOOKUP(H1582,'Fund Utilization Report'!$A$4:$U$1800,15,FALSE)</f>
        <v>Establishment of Negosyo Centers</v>
      </c>
      <c r="AC1582" s="39"/>
      <c r="AD1582" s="34"/>
      <c r="AE1582" s="39"/>
      <c r="AF1582" s="51"/>
      <c r="AG1582" s="442"/>
      <c r="AH1582" s="442"/>
      <c r="AI1582" s="443"/>
    </row>
    <row r="1583" spans="1:35" s="32" customFormat="1" ht="29.25" customHeight="1">
      <c r="A1583" s="434" t="s">
        <v>942</v>
      </c>
      <c r="B1583" s="457" t="s">
        <v>946</v>
      </c>
      <c r="C1583" s="233">
        <v>44284</v>
      </c>
      <c r="D1583" s="435" t="s">
        <v>1267</v>
      </c>
      <c r="E1583" s="436" t="s">
        <v>1601</v>
      </c>
      <c r="F1583" s="338">
        <v>0.59027777777777779</v>
      </c>
      <c r="G1583" s="338">
        <v>0.59305555555555556</v>
      </c>
      <c r="H1583" s="338" t="s">
        <v>980</v>
      </c>
      <c r="I1583" s="353">
        <v>782</v>
      </c>
      <c r="J1583" s="338" t="str">
        <f>IFERROR(VLOOKUP(I1583,'Chart of accounts'!A:H,2,FALSE),"")</f>
        <v>50299050 01</v>
      </c>
      <c r="K1583" s="338" t="str">
        <f>IFERROR(VLOOKUP(I1583,'Chart of accounts'!A:H,3,FALSE),"")</f>
        <v>Rent - Buildings and Structures</v>
      </c>
      <c r="L1583" s="338" t="str">
        <f>IFERROR(VLOOKUP(I1583,'Chart of accounts'!A:H,4,FALSE),"")</f>
        <v>50299050 01 - Rent - Buildings and Structures (782)</v>
      </c>
      <c r="M1583" s="361" t="s">
        <v>845</v>
      </c>
      <c r="N1583" s="355" t="s">
        <v>820</v>
      </c>
      <c r="O1583" s="355" t="s">
        <v>1602</v>
      </c>
      <c r="P1583" s="355"/>
      <c r="Q1583" s="363">
        <v>100000</v>
      </c>
      <c r="R1583" s="428">
        <f t="shared" si="65"/>
        <v>-100000</v>
      </c>
      <c r="S1583" s="428" t="str">
        <f>VLOOKUP(H1583,'Fund Utilization Report'!$A$4:$U$1800,13,FALSE)</f>
        <v>MOOE</v>
      </c>
      <c r="T1583" s="428" t="str">
        <f>VLOOKUP(H1583,'Fund Utilization Report'!$A$4:$U$1800,2,FALSE)</f>
        <v>GAA</v>
      </c>
      <c r="U1583" s="428" t="str">
        <f>VLOOKUP(H1583,'Fund Utilization Report'!$A$4:$U$1800,3,FALSE)</f>
        <v>FY2021, RA11518</v>
      </c>
      <c r="V1583" s="428" t="str">
        <f>VLOOKUP(H1583,'Fund Utilization Report'!$A$4:$U$1800,4,FALSE)</f>
        <v>NC</v>
      </c>
      <c r="W1583" s="428" t="str">
        <f>VLOOKUP(H1583,'Fund Utilization Report'!$A$4:$U$1800,5,FALSE)</f>
        <v>01101101</v>
      </c>
      <c r="X1583" s="428" t="str">
        <f>VLOOKUP(H1583,'Fund Utilization Report'!$A$4:$U$1800,6,FALSE)</f>
        <v>GOP</v>
      </c>
      <c r="Y1583" s="320" t="str">
        <f>VLOOKUP(H1583,'Fund Utilization Report'!$A$4:$U$1800,7,FALSE)</f>
        <v>MOOE</v>
      </c>
      <c r="Z1583" s="425">
        <f>VLOOKUP(H1583,'Fund Utilization Report'!$A$4:$U$1800,8,FALSE)</f>
        <v>5020000000</v>
      </c>
      <c r="AA1583" s="428" t="str">
        <f>VLOOKUP(H1583,'Fund Utilization Report'!$A$4:$U$1800,14,FALSE)</f>
        <v>330100200001000</v>
      </c>
      <c r="AB1583" s="349" t="str">
        <f>VLOOKUP(H1583,'Fund Utilization Report'!$A$4:$U$1800,15,FALSE)</f>
        <v>Establishment of Negosyo Centers</v>
      </c>
      <c r="AC1583" s="39"/>
      <c r="AD1583" s="34"/>
      <c r="AE1583" s="39"/>
      <c r="AF1583" s="51"/>
      <c r="AG1583" s="442"/>
      <c r="AH1583" s="442"/>
      <c r="AI1583" s="443"/>
    </row>
    <row r="1584" spans="1:35" s="32" customFormat="1" ht="34.5" customHeight="1">
      <c r="A1584" s="434" t="s">
        <v>942</v>
      </c>
      <c r="B1584" s="457" t="s">
        <v>946</v>
      </c>
      <c r="C1584" s="233">
        <v>44284</v>
      </c>
      <c r="D1584" s="435" t="s">
        <v>1267</v>
      </c>
      <c r="E1584" s="436" t="s">
        <v>1603</v>
      </c>
      <c r="F1584" s="338">
        <v>0.59305555555555556</v>
      </c>
      <c r="G1584" s="338">
        <v>0.59444444444444444</v>
      </c>
      <c r="H1584" s="338" t="s">
        <v>980</v>
      </c>
      <c r="I1584" s="353">
        <v>751</v>
      </c>
      <c r="J1584" s="338" t="str">
        <f>IFERROR(VLOOKUP(I1584,'Chart of accounts'!A:H,2,FALSE),"")</f>
        <v>50201010 00</v>
      </c>
      <c r="K1584" s="338" t="str">
        <f>IFERROR(VLOOKUP(I1584,'Chart of accounts'!A:H,3,FALSE),"")</f>
        <v>Traveling Expenses - Local</v>
      </c>
      <c r="L1584" s="338" t="str">
        <f>IFERROR(VLOOKUP(I1584,'Chart of accounts'!A:H,4,FALSE),"")</f>
        <v>50201010 00 - Traveling Expenses - Local (751)</v>
      </c>
      <c r="M1584" s="361" t="s">
        <v>845</v>
      </c>
      <c r="N1584" s="355" t="s">
        <v>1539</v>
      </c>
      <c r="O1584" s="355" t="s">
        <v>1602</v>
      </c>
      <c r="P1584" s="355"/>
      <c r="Q1584" s="490">
        <v>50000</v>
      </c>
      <c r="R1584" s="428">
        <f t="shared" si="65"/>
        <v>-50000</v>
      </c>
      <c r="S1584" s="428" t="str">
        <f>VLOOKUP(H1584,'Fund Utilization Report'!$A$4:$U$1800,13,FALSE)</f>
        <v>MOOE</v>
      </c>
      <c r="T1584" s="428" t="str">
        <f>VLOOKUP(H1584,'Fund Utilization Report'!$A$4:$U$1800,2,FALSE)</f>
        <v>GAA</v>
      </c>
      <c r="U1584" s="428" t="str">
        <f>VLOOKUP(H1584,'Fund Utilization Report'!$A$4:$U$1800,3,FALSE)</f>
        <v>FY2021, RA11518</v>
      </c>
      <c r="V1584" s="428" t="str">
        <f>VLOOKUP(H1584,'Fund Utilization Report'!$A$4:$U$1800,4,FALSE)</f>
        <v>NC</v>
      </c>
      <c r="W1584" s="428" t="str">
        <f>VLOOKUP(H1584,'Fund Utilization Report'!$A$4:$U$1800,5,FALSE)</f>
        <v>01101101</v>
      </c>
      <c r="X1584" s="428" t="str">
        <f>VLOOKUP(H1584,'Fund Utilization Report'!$A$4:$U$1800,6,FALSE)</f>
        <v>GOP</v>
      </c>
      <c r="Y1584" s="320" t="str">
        <f>VLOOKUP(H1584,'Fund Utilization Report'!$A$4:$U$1800,7,FALSE)</f>
        <v>MOOE</v>
      </c>
      <c r="Z1584" s="425">
        <f>VLOOKUP(H1584,'Fund Utilization Report'!$A$4:$U$1800,8,FALSE)</f>
        <v>5020000000</v>
      </c>
      <c r="AA1584" s="428" t="str">
        <f>VLOOKUP(H1584,'Fund Utilization Report'!$A$4:$U$1800,14,FALSE)</f>
        <v>330100200001000</v>
      </c>
      <c r="AB1584" s="349" t="str">
        <f>VLOOKUP(H1584,'Fund Utilization Report'!$A$4:$U$1800,15,FALSE)</f>
        <v>Establishment of Negosyo Centers</v>
      </c>
      <c r="AC1584" s="39"/>
      <c r="AD1584" s="34"/>
      <c r="AE1584" s="39"/>
      <c r="AF1584" s="51"/>
      <c r="AG1584" s="442"/>
      <c r="AH1584" s="442"/>
      <c r="AI1584" s="443"/>
    </row>
    <row r="1585" spans="1:35" s="32" customFormat="1" ht="33" customHeight="1">
      <c r="A1585" s="434" t="s">
        <v>942</v>
      </c>
      <c r="B1585" s="457" t="s">
        <v>946</v>
      </c>
      <c r="C1585" s="233">
        <v>44284</v>
      </c>
      <c r="D1585" s="435" t="s">
        <v>1267</v>
      </c>
      <c r="E1585" s="436" t="s">
        <v>1603</v>
      </c>
      <c r="F1585" s="338">
        <v>0.59305555555555556</v>
      </c>
      <c r="G1585" s="338">
        <v>0.59444444444444444</v>
      </c>
      <c r="H1585" s="338" t="s">
        <v>980</v>
      </c>
      <c r="I1585" s="353">
        <v>753</v>
      </c>
      <c r="J1585" s="338" t="str">
        <f>IFERROR(VLOOKUP(I1585,'Chart of accounts'!A:H,2,FALSE),"")</f>
        <v>50202010 00</v>
      </c>
      <c r="K1585" s="338" t="str">
        <f>IFERROR(VLOOKUP(I1585,'Chart of accounts'!A:H,3,FALSE),"")</f>
        <v>Training Expenses</v>
      </c>
      <c r="L1585" s="338" t="str">
        <f>IFERROR(VLOOKUP(I1585,'Chart of accounts'!A:H,4,FALSE),"")</f>
        <v>50202010 00 - Training Expenses (753)</v>
      </c>
      <c r="M1585" s="361" t="s">
        <v>845</v>
      </c>
      <c r="N1585" s="355" t="s">
        <v>1539</v>
      </c>
      <c r="O1585" s="355" t="s">
        <v>1602</v>
      </c>
      <c r="P1585" s="355"/>
      <c r="Q1585" s="490">
        <v>150000</v>
      </c>
      <c r="R1585" s="428">
        <f t="shared" si="65"/>
        <v>-150000</v>
      </c>
      <c r="S1585" s="428" t="str">
        <f>VLOOKUP(H1585,'Fund Utilization Report'!$A$4:$U$1800,13,FALSE)</f>
        <v>MOOE</v>
      </c>
      <c r="T1585" s="428" t="str">
        <f>VLOOKUP(H1585,'Fund Utilization Report'!$A$4:$U$1800,2,FALSE)</f>
        <v>GAA</v>
      </c>
      <c r="U1585" s="428" t="str">
        <f>VLOOKUP(H1585,'Fund Utilization Report'!$A$4:$U$1800,3,FALSE)</f>
        <v>FY2021, RA11518</v>
      </c>
      <c r="V1585" s="428" t="str">
        <f>VLOOKUP(H1585,'Fund Utilization Report'!$A$4:$U$1800,4,FALSE)</f>
        <v>NC</v>
      </c>
      <c r="W1585" s="428" t="str">
        <f>VLOOKUP(H1585,'Fund Utilization Report'!$A$4:$U$1800,5,FALSE)</f>
        <v>01101101</v>
      </c>
      <c r="X1585" s="428" t="str">
        <f>VLOOKUP(H1585,'Fund Utilization Report'!$A$4:$U$1800,6,FALSE)</f>
        <v>GOP</v>
      </c>
      <c r="Y1585" s="320" t="str">
        <f>VLOOKUP(H1585,'Fund Utilization Report'!$A$4:$U$1800,7,FALSE)</f>
        <v>MOOE</v>
      </c>
      <c r="Z1585" s="425">
        <f>VLOOKUP(H1585,'Fund Utilization Report'!$A$4:$U$1800,8,FALSE)</f>
        <v>5020000000</v>
      </c>
      <c r="AA1585" s="428" t="str">
        <f>VLOOKUP(H1585,'Fund Utilization Report'!$A$4:$U$1800,14,FALSE)</f>
        <v>330100200001000</v>
      </c>
      <c r="AB1585" s="349" t="str">
        <f>VLOOKUP(H1585,'Fund Utilization Report'!$A$4:$U$1800,15,FALSE)</f>
        <v>Establishment of Negosyo Centers</v>
      </c>
      <c r="AC1585" s="39"/>
      <c r="AD1585" s="34"/>
      <c r="AE1585" s="39"/>
      <c r="AF1585" s="51"/>
      <c r="AG1585" s="442"/>
      <c r="AH1585" s="442"/>
      <c r="AI1585" s="443"/>
    </row>
    <row r="1586" spans="1:35" s="32" customFormat="1" ht="34.5" customHeight="1">
      <c r="A1586" s="434" t="s">
        <v>942</v>
      </c>
      <c r="B1586" s="457" t="s">
        <v>946</v>
      </c>
      <c r="C1586" s="233">
        <v>44284</v>
      </c>
      <c r="D1586" s="435" t="s">
        <v>1267</v>
      </c>
      <c r="E1586" s="436" t="s">
        <v>1603</v>
      </c>
      <c r="F1586" s="338">
        <v>0.59305555555555556</v>
      </c>
      <c r="G1586" s="338">
        <v>0.59444444444444444</v>
      </c>
      <c r="H1586" s="338" t="s">
        <v>980</v>
      </c>
      <c r="I1586" s="353">
        <v>783</v>
      </c>
      <c r="J1586" s="338" t="str">
        <f>IFERROR(VLOOKUP(I1586,'Chart of accounts'!A:H,2,FALSE),"")</f>
        <v>50299030 00</v>
      </c>
      <c r="K1586" s="338" t="str">
        <f>IFERROR(VLOOKUP(I1586,'Chart of accounts'!A:H,3,FALSE),"")</f>
        <v>Representation Expenses</v>
      </c>
      <c r="L1586" s="338" t="str">
        <f>IFERROR(VLOOKUP(I1586,'Chart of accounts'!A:H,4,FALSE),"")</f>
        <v>50299030 00 - Representation Expenses (783)</v>
      </c>
      <c r="M1586" s="361" t="s">
        <v>845</v>
      </c>
      <c r="N1586" s="355" t="s">
        <v>1539</v>
      </c>
      <c r="O1586" s="355" t="s">
        <v>1602</v>
      </c>
      <c r="P1586" s="355"/>
      <c r="Q1586" s="490">
        <v>25000</v>
      </c>
      <c r="R1586" s="428">
        <f t="shared" si="65"/>
        <v>-25000</v>
      </c>
      <c r="S1586" s="428" t="str">
        <f>VLOOKUP(H1586,'Fund Utilization Report'!$A$4:$U$1800,13,FALSE)</f>
        <v>MOOE</v>
      </c>
      <c r="T1586" s="428" t="str">
        <f>VLOOKUP(H1586,'Fund Utilization Report'!$A$4:$U$1800,2,FALSE)</f>
        <v>GAA</v>
      </c>
      <c r="U1586" s="428" t="str">
        <f>VLOOKUP(H1586,'Fund Utilization Report'!$A$4:$U$1800,3,FALSE)</f>
        <v>FY2021, RA11518</v>
      </c>
      <c r="V1586" s="428" t="str">
        <f>VLOOKUP(H1586,'Fund Utilization Report'!$A$4:$U$1800,4,FALSE)</f>
        <v>NC</v>
      </c>
      <c r="W1586" s="428" t="str">
        <f>VLOOKUP(H1586,'Fund Utilization Report'!$A$4:$U$1800,5,FALSE)</f>
        <v>01101101</v>
      </c>
      <c r="X1586" s="428" t="str">
        <f>VLOOKUP(H1586,'Fund Utilization Report'!$A$4:$U$1800,6,FALSE)</f>
        <v>GOP</v>
      </c>
      <c r="Y1586" s="320" t="str">
        <f>VLOOKUP(H1586,'Fund Utilization Report'!$A$4:$U$1800,7,FALSE)</f>
        <v>MOOE</v>
      </c>
      <c r="Z1586" s="425">
        <f>VLOOKUP(H1586,'Fund Utilization Report'!$A$4:$U$1800,8,FALSE)</f>
        <v>5020000000</v>
      </c>
      <c r="AA1586" s="428" t="str">
        <f>VLOOKUP(H1586,'Fund Utilization Report'!$A$4:$U$1800,14,FALSE)</f>
        <v>330100200001000</v>
      </c>
      <c r="AB1586" s="349" t="str">
        <f>VLOOKUP(H1586,'Fund Utilization Report'!$A$4:$U$1800,15,FALSE)</f>
        <v>Establishment of Negosyo Centers</v>
      </c>
      <c r="AC1586" s="39"/>
      <c r="AD1586" s="34"/>
      <c r="AE1586" s="39"/>
      <c r="AF1586" s="51"/>
      <c r="AG1586" s="442"/>
      <c r="AH1586" s="442"/>
      <c r="AI1586" s="443"/>
    </row>
    <row r="1587" spans="1:35" s="32" customFormat="1" ht="27.75" customHeight="1">
      <c r="A1587" s="434" t="s">
        <v>942</v>
      </c>
      <c r="B1587" s="457" t="s">
        <v>946</v>
      </c>
      <c r="C1587" s="233">
        <v>44284</v>
      </c>
      <c r="D1587" s="435" t="s">
        <v>1267</v>
      </c>
      <c r="E1587" s="436" t="s">
        <v>1603</v>
      </c>
      <c r="F1587" s="338">
        <v>0.59305555555555556</v>
      </c>
      <c r="G1587" s="338">
        <v>0.59444444444444444</v>
      </c>
      <c r="H1587" s="338" t="s">
        <v>980</v>
      </c>
      <c r="I1587" s="353">
        <v>799</v>
      </c>
      <c r="J1587" s="338" t="str">
        <f>IFERROR(VLOOKUP(I1587,'Chart of accounts'!A:H,2,FALSE),"")</f>
        <v>50211990 00</v>
      </c>
      <c r="K1587" s="338" t="str">
        <f>IFERROR(VLOOKUP(I1587,'Chart of accounts'!A:H,3,FALSE),"")</f>
        <v>Other Professional Services</v>
      </c>
      <c r="L1587" s="338" t="str">
        <f>IFERROR(VLOOKUP(I1587,'Chart of accounts'!A:H,4,FALSE),"")</f>
        <v>50211990 00 - Other Professional Services (799)</v>
      </c>
      <c r="M1587" s="361" t="s">
        <v>845</v>
      </c>
      <c r="N1587" s="355" t="s">
        <v>1539</v>
      </c>
      <c r="O1587" s="355" t="s">
        <v>1602</v>
      </c>
      <c r="P1587" s="355"/>
      <c r="Q1587" s="490">
        <f>703500+312531.21</f>
        <v>1016031.21</v>
      </c>
      <c r="R1587" s="428">
        <f t="shared" si="65"/>
        <v>-1016031.21</v>
      </c>
      <c r="S1587" s="428" t="str">
        <f>VLOOKUP(H1587,'Fund Utilization Report'!$A$4:$U$1800,13,FALSE)</f>
        <v>MOOE</v>
      </c>
      <c r="T1587" s="428" t="str">
        <f>VLOOKUP(H1587,'Fund Utilization Report'!$A$4:$U$1800,2,FALSE)</f>
        <v>GAA</v>
      </c>
      <c r="U1587" s="428" t="str">
        <f>VLOOKUP(H1587,'Fund Utilization Report'!$A$4:$U$1800,3,FALSE)</f>
        <v>FY2021, RA11518</v>
      </c>
      <c r="V1587" s="428" t="str">
        <f>VLOOKUP(H1587,'Fund Utilization Report'!$A$4:$U$1800,4,FALSE)</f>
        <v>NC</v>
      </c>
      <c r="W1587" s="428" t="str">
        <f>VLOOKUP(H1587,'Fund Utilization Report'!$A$4:$U$1800,5,FALSE)</f>
        <v>01101101</v>
      </c>
      <c r="X1587" s="428" t="str">
        <f>VLOOKUP(H1587,'Fund Utilization Report'!$A$4:$U$1800,6,FALSE)</f>
        <v>GOP</v>
      </c>
      <c r="Y1587" s="320" t="str">
        <f>VLOOKUP(H1587,'Fund Utilization Report'!$A$4:$U$1800,7,FALSE)</f>
        <v>MOOE</v>
      </c>
      <c r="Z1587" s="425">
        <f>VLOOKUP(H1587,'Fund Utilization Report'!$A$4:$U$1800,8,FALSE)</f>
        <v>5020000000</v>
      </c>
      <c r="AA1587" s="428" t="str">
        <f>VLOOKUP(H1587,'Fund Utilization Report'!$A$4:$U$1800,14,FALSE)</f>
        <v>330100200001000</v>
      </c>
      <c r="AB1587" s="349" t="str">
        <f>VLOOKUP(H1587,'Fund Utilization Report'!$A$4:$U$1800,15,FALSE)</f>
        <v>Establishment of Negosyo Centers</v>
      </c>
      <c r="AC1587" s="39"/>
      <c r="AD1587" s="34"/>
      <c r="AE1587" s="39"/>
      <c r="AF1587" s="51"/>
      <c r="AG1587" s="442"/>
      <c r="AH1587" s="442"/>
      <c r="AI1587" s="443"/>
    </row>
    <row r="1588" spans="1:35" s="32" customFormat="1" ht="34.5" customHeight="1">
      <c r="A1588" s="434" t="s">
        <v>942</v>
      </c>
      <c r="B1588" s="457" t="s">
        <v>946</v>
      </c>
      <c r="C1588" s="233">
        <v>44284</v>
      </c>
      <c r="D1588" s="435" t="s">
        <v>1267</v>
      </c>
      <c r="E1588" s="436" t="s">
        <v>1603</v>
      </c>
      <c r="F1588" s="338">
        <v>0.59305555555555556</v>
      </c>
      <c r="G1588" s="338">
        <v>0.59444444444444444</v>
      </c>
      <c r="H1588" s="338" t="s">
        <v>980</v>
      </c>
      <c r="I1588" s="353">
        <v>782</v>
      </c>
      <c r="J1588" s="338" t="str">
        <f>IFERROR(VLOOKUP(I1588,'Chart of accounts'!A:H,2,FALSE),"")</f>
        <v>50299050 01</v>
      </c>
      <c r="K1588" s="338" t="str">
        <f>IFERROR(VLOOKUP(I1588,'Chart of accounts'!A:H,3,FALSE),"")</f>
        <v>Rent - Buildings and Structures</v>
      </c>
      <c r="L1588" s="338" t="str">
        <f>IFERROR(VLOOKUP(I1588,'Chart of accounts'!A:H,4,FALSE),"")</f>
        <v>50299050 01 - Rent - Buildings and Structures (782)</v>
      </c>
      <c r="M1588" s="361" t="s">
        <v>845</v>
      </c>
      <c r="N1588" s="355" t="s">
        <v>1539</v>
      </c>
      <c r="O1588" s="355" t="s">
        <v>1602</v>
      </c>
      <c r="P1588" s="355"/>
      <c r="Q1588" s="490">
        <v>25000</v>
      </c>
      <c r="R1588" s="428">
        <f t="shared" si="65"/>
        <v>-25000</v>
      </c>
      <c r="S1588" s="428" t="str">
        <f>VLOOKUP(H1588,'Fund Utilization Report'!$A$4:$U$1800,13,FALSE)</f>
        <v>MOOE</v>
      </c>
      <c r="T1588" s="428" t="str">
        <f>VLOOKUP(H1588,'Fund Utilization Report'!$A$4:$U$1800,2,FALSE)</f>
        <v>GAA</v>
      </c>
      <c r="U1588" s="428" t="str">
        <f>VLOOKUP(H1588,'Fund Utilization Report'!$A$4:$U$1800,3,FALSE)</f>
        <v>FY2021, RA11518</v>
      </c>
      <c r="V1588" s="428" t="str">
        <f>VLOOKUP(H1588,'Fund Utilization Report'!$A$4:$U$1800,4,FALSE)</f>
        <v>NC</v>
      </c>
      <c r="W1588" s="428" t="str">
        <f>VLOOKUP(H1588,'Fund Utilization Report'!$A$4:$U$1800,5,FALSE)</f>
        <v>01101101</v>
      </c>
      <c r="X1588" s="428" t="str">
        <f>VLOOKUP(H1588,'Fund Utilization Report'!$A$4:$U$1800,6,FALSE)</f>
        <v>GOP</v>
      </c>
      <c r="Y1588" s="320" t="str">
        <f>VLOOKUP(H1588,'Fund Utilization Report'!$A$4:$U$1800,7,FALSE)</f>
        <v>MOOE</v>
      </c>
      <c r="Z1588" s="425">
        <f>VLOOKUP(H1588,'Fund Utilization Report'!$A$4:$U$1800,8,FALSE)</f>
        <v>5020000000</v>
      </c>
      <c r="AA1588" s="428" t="str">
        <f>VLOOKUP(H1588,'Fund Utilization Report'!$A$4:$U$1800,14,FALSE)</f>
        <v>330100200001000</v>
      </c>
      <c r="AB1588" s="349" t="str">
        <f>VLOOKUP(H1588,'Fund Utilization Report'!$A$4:$U$1800,15,FALSE)</f>
        <v>Establishment of Negosyo Centers</v>
      </c>
      <c r="AC1588" s="39"/>
      <c r="AD1588" s="34"/>
      <c r="AE1588" s="39"/>
      <c r="AF1588" s="51"/>
      <c r="AG1588" s="442"/>
      <c r="AH1588" s="442"/>
      <c r="AI1588" s="443"/>
    </row>
    <row r="1589" spans="1:35" s="32" customFormat="1">
      <c r="A1589" s="434" t="s">
        <v>942</v>
      </c>
      <c r="B1589" s="457" t="s">
        <v>946</v>
      </c>
      <c r="C1589" s="233">
        <v>44284</v>
      </c>
      <c r="D1589" s="435" t="s">
        <v>1267</v>
      </c>
      <c r="E1589" s="436" t="s">
        <v>1604</v>
      </c>
      <c r="F1589" s="338">
        <v>0.59444444444444444</v>
      </c>
      <c r="G1589" s="338">
        <v>0.59791666666666665</v>
      </c>
      <c r="H1589" s="338" t="s">
        <v>982</v>
      </c>
      <c r="I1589" s="353">
        <v>751</v>
      </c>
      <c r="J1589" s="338" t="str">
        <f>IFERROR(VLOOKUP(I1589,'Chart of accounts'!A:H,2,FALSE),"")</f>
        <v>50201010 00</v>
      </c>
      <c r="K1589" s="338" t="str">
        <f>IFERROR(VLOOKUP(I1589,'Chart of accounts'!A:H,3,FALSE),"")</f>
        <v>Traveling Expenses - Local</v>
      </c>
      <c r="L1589" s="338" t="str">
        <f>IFERROR(VLOOKUP(I1589,'Chart of accounts'!A:H,4,FALSE),"")</f>
        <v>50201010 00 - Traveling Expenses - Local (751)</v>
      </c>
      <c r="M1589" s="361" t="s">
        <v>905</v>
      </c>
      <c r="N1589" s="355" t="s">
        <v>818</v>
      </c>
      <c r="O1589" s="355" t="s">
        <v>1605</v>
      </c>
      <c r="P1589" s="355"/>
      <c r="Q1589" s="363">
        <v>70000</v>
      </c>
      <c r="R1589" s="428">
        <f t="shared" ref="R1589:R1599" si="66">P1589-Q1589</f>
        <v>-70000</v>
      </c>
      <c r="S1589" s="428" t="str">
        <f>VLOOKUP(H1589,'Fund Utilization Report'!$A$4:$U$1800,13,FALSE)</f>
        <v>MOOE</v>
      </c>
      <c r="T1589" s="428" t="str">
        <f>VLOOKUP(H1589,'Fund Utilization Report'!$A$4:$U$1800,2,FALSE)</f>
        <v>GAA</v>
      </c>
      <c r="U1589" s="428" t="str">
        <f>VLOOKUP(H1589,'Fund Utilization Report'!$A$4:$U$1800,3,FALSE)</f>
        <v>FY2021, RA11518</v>
      </c>
      <c r="V1589" s="428" t="str">
        <f>VLOOKUP(H1589,'Fund Utilization Report'!$A$4:$U$1800,4,FALSE)</f>
        <v>OTOP</v>
      </c>
      <c r="W1589" s="428" t="str">
        <f>VLOOKUP(H1589,'Fund Utilization Report'!$A$4:$U$1800,5,FALSE)</f>
        <v>01101101</v>
      </c>
      <c r="X1589" s="428" t="str">
        <f>VLOOKUP(H1589,'Fund Utilization Report'!$A$4:$U$1800,6,FALSE)</f>
        <v>GOP</v>
      </c>
      <c r="Y1589" s="320" t="str">
        <f>VLOOKUP(H1589,'Fund Utilization Report'!$A$4:$U$1800,7,FALSE)</f>
        <v>MOOE</v>
      </c>
      <c r="Z1589" s="425">
        <f>VLOOKUP(H1589,'Fund Utilization Report'!$A$4:$U$1800,8,FALSE)</f>
        <v>5020000000</v>
      </c>
      <c r="AA1589" s="428" t="str">
        <f>VLOOKUP(H1589,'Fund Utilization Report'!$A$4:$U$1800,14,FALSE)</f>
        <v>330100200002000</v>
      </c>
      <c r="AB1589" s="349" t="str">
        <f>VLOOKUP(H1589,'Fund Utilization Report'!$A$4:$U$1800,15,FALSE)</f>
        <v>OTOP - Next Generation</v>
      </c>
      <c r="AC1589" s="39"/>
      <c r="AD1589" s="34"/>
      <c r="AE1589" s="39"/>
      <c r="AF1589" s="51"/>
      <c r="AG1589" s="442"/>
      <c r="AH1589" s="442"/>
      <c r="AI1589" s="443"/>
    </row>
    <row r="1590" spans="1:35" s="32" customFormat="1">
      <c r="A1590" s="434" t="s">
        <v>942</v>
      </c>
      <c r="B1590" s="457" t="s">
        <v>946</v>
      </c>
      <c r="C1590" s="233">
        <v>44284</v>
      </c>
      <c r="D1590" s="435" t="s">
        <v>1267</v>
      </c>
      <c r="E1590" s="436" t="s">
        <v>1604</v>
      </c>
      <c r="F1590" s="338">
        <v>0.59444444444444444</v>
      </c>
      <c r="G1590" s="338">
        <v>0.59791666666666665</v>
      </c>
      <c r="H1590" s="338" t="s">
        <v>982</v>
      </c>
      <c r="I1590" s="353">
        <v>753</v>
      </c>
      <c r="J1590" s="338" t="str">
        <f>IFERROR(VLOOKUP(I1590,'Chart of accounts'!A:H,2,FALSE),"")</f>
        <v>50202010 00</v>
      </c>
      <c r="K1590" s="338" t="str">
        <f>IFERROR(VLOOKUP(I1590,'Chart of accounts'!A:H,3,FALSE),"")</f>
        <v>Training Expenses</v>
      </c>
      <c r="L1590" s="338" t="str">
        <f>IFERROR(VLOOKUP(I1590,'Chart of accounts'!A:H,4,FALSE),"")</f>
        <v>50202010 00 - Training Expenses (753)</v>
      </c>
      <c r="M1590" s="361" t="s">
        <v>905</v>
      </c>
      <c r="N1590" s="355" t="s">
        <v>818</v>
      </c>
      <c r="O1590" s="355" t="s">
        <v>1605</v>
      </c>
      <c r="P1590" s="355"/>
      <c r="Q1590" s="363">
        <v>15000</v>
      </c>
      <c r="R1590" s="428">
        <f t="shared" si="66"/>
        <v>-15000</v>
      </c>
      <c r="S1590" s="428" t="str">
        <f>VLOOKUP(H1590,'Fund Utilization Report'!$A$4:$U$1800,13,FALSE)</f>
        <v>MOOE</v>
      </c>
      <c r="T1590" s="428" t="str">
        <f>VLOOKUP(H1590,'Fund Utilization Report'!$A$4:$U$1800,2,FALSE)</f>
        <v>GAA</v>
      </c>
      <c r="U1590" s="428" t="str">
        <f>VLOOKUP(H1590,'Fund Utilization Report'!$A$4:$U$1800,3,FALSE)</f>
        <v>FY2021, RA11518</v>
      </c>
      <c r="V1590" s="428" t="str">
        <f>VLOOKUP(H1590,'Fund Utilization Report'!$A$4:$U$1800,4,FALSE)</f>
        <v>OTOP</v>
      </c>
      <c r="W1590" s="428" t="str">
        <f>VLOOKUP(H1590,'Fund Utilization Report'!$A$4:$U$1800,5,FALSE)</f>
        <v>01101101</v>
      </c>
      <c r="X1590" s="428" t="str">
        <f>VLOOKUP(H1590,'Fund Utilization Report'!$A$4:$U$1800,6,FALSE)</f>
        <v>GOP</v>
      </c>
      <c r="Y1590" s="320" t="str">
        <f>VLOOKUP(H1590,'Fund Utilization Report'!$A$4:$U$1800,7,FALSE)</f>
        <v>MOOE</v>
      </c>
      <c r="Z1590" s="425">
        <f>VLOOKUP(H1590,'Fund Utilization Report'!$A$4:$U$1800,8,FALSE)</f>
        <v>5020000000</v>
      </c>
      <c r="AA1590" s="428" t="str">
        <f>VLOOKUP(H1590,'Fund Utilization Report'!$A$4:$U$1800,14,FALSE)</f>
        <v>330100200002000</v>
      </c>
      <c r="AB1590" s="349" t="str">
        <f>VLOOKUP(H1590,'Fund Utilization Report'!$A$4:$U$1800,15,FALSE)</f>
        <v>OTOP - Next Generation</v>
      </c>
      <c r="AC1590" s="39"/>
      <c r="AD1590" s="34"/>
      <c r="AE1590" s="39"/>
      <c r="AF1590" s="51"/>
      <c r="AG1590" s="442"/>
      <c r="AH1590" s="442"/>
      <c r="AI1590" s="443"/>
    </row>
    <row r="1591" spans="1:35" s="32" customFormat="1">
      <c r="A1591" s="434" t="s">
        <v>942</v>
      </c>
      <c r="B1591" s="457" t="s">
        <v>946</v>
      </c>
      <c r="C1591" s="233">
        <v>44284</v>
      </c>
      <c r="D1591" s="435" t="s">
        <v>1267</v>
      </c>
      <c r="E1591" s="436" t="s">
        <v>1604</v>
      </c>
      <c r="F1591" s="338">
        <v>0.59444444444444444</v>
      </c>
      <c r="G1591" s="338">
        <v>0.59791666666666665</v>
      </c>
      <c r="H1591" s="338" t="s">
        <v>982</v>
      </c>
      <c r="I1591" s="353">
        <v>755</v>
      </c>
      <c r="J1591" s="338" t="str">
        <f>IFERROR(VLOOKUP(I1591,'Chart of accounts'!A:H,2,FALSE),"")</f>
        <v>50203010 00</v>
      </c>
      <c r="K1591" s="338" t="str">
        <f>IFERROR(VLOOKUP(I1591,'Chart of accounts'!A:H,3,FALSE),"")</f>
        <v>Office Supplies Expenses</v>
      </c>
      <c r="L1591" s="338" t="str">
        <f>IFERROR(VLOOKUP(I1591,'Chart of accounts'!A:H,4,FALSE),"")</f>
        <v>50203010 00 - Office Supplies Expenses (755)</v>
      </c>
      <c r="M1591" s="361" t="s">
        <v>905</v>
      </c>
      <c r="N1591" s="355" t="s">
        <v>818</v>
      </c>
      <c r="O1591" s="355" t="s">
        <v>1605</v>
      </c>
      <c r="P1591" s="355"/>
      <c r="Q1591" s="363">
        <v>10000</v>
      </c>
      <c r="R1591" s="428">
        <f t="shared" si="66"/>
        <v>-10000</v>
      </c>
      <c r="S1591" s="428" t="str">
        <f>VLOOKUP(H1591,'Fund Utilization Report'!$A$4:$U$1800,13,FALSE)</f>
        <v>MOOE</v>
      </c>
      <c r="T1591" s="428" t="str">
        <f>VLOOKUP(H1591,'Fund Utilization Report'!$A$4:$U$1800,2,FALSE)</f>
        <v>GAA</v>
      </c>
      <c r="U1591" s="428" t="str">
        <f>VLOOKUP(H1591,'Fund Utilization Report'!$A$4:$U$1800,3,FALSE)</f>
        <v>FY2021, RA11518</v>
      </c>
      <c r="V1591" s="428" t="str">
        <f>VLOOKUP(H1591,'Fund Utilization Report'!$A$4:$U$1800,4,FALSE)</f>
        <v>OTOP</v>
      </c>
      <c r="W1591" s="428" t="str">
        <f>VLOOKUP(H1591,'Fund Utilization Report'!$A$4:$U$1800,5,FALSE)</f>
        <v>01101101</v>
      </c>
      <c r="X1591" s="428" t="str">
        <f>VLOOKUP(H1591,'Fund Utilization Report'!$A$4:$U$1800,6,FALSE)</f>
        <v>GOP</v>
      </c>
      <c r="Y1591" s="320" t="str">
        <f>VLOOKUP(H1591,'Fund Utilization Report'!$A$4:$U$1800,7,FALSE)</f>
        <v>MOOE</v>
      </c>
      <c r="Z1591" s="425">
        <f>VLOOKUP(H1591,'Fund Utilization Report'!$A$4:$U$1800,8,FALSE)</f>
        <v>5020000000</v>
      </c>
      <c r="AA1591" s="428" t="str">
        <f>VLOOKUP(H1591,'Fund Utilization Report'!$A$4:$U$1800,14,FALSE)</f>
        <v>330100200002000</v>
      </c>
      <c r="AB1591" s="349" t="str">
        <f>VLOOKUP(H1591,'Fund Utilization Report'!$A$4:$U$1800,15,FALSE)</f>
        <v>OTOP - Next Generation</v>
      </c>
      <c r="AC1591" s="39"/>
      <c r="AD1591" s="34"/>
      <c r="AE1591" s="39"/>
      <c r="AF1591" s="51"/>
      <c r="AG1591" s="442"/>
      <c r="AH1591" s="442"/>
      <c r="AI1591" s="443"/>
    </row>
    <row r="1592" spans="1:35" s="32" customFormat="1">
      <c r="A1592" s="434" t="s">
        <v>942</v>
      </c>
      <c r="B1592" s="457" t="s">
        <v>946</v>
      </c>
      <c r="C1592" s="233">
        <v>44284</v>
      </c>
      <c r="D1592" s="435" t="s">
        <v>1267</v>
      </c>
      <c r="E1592" s="436" t="s">
        <v>1604</v>
      </c>
      <c r="F1592" s="338">
        <v>0.59444444444444444</v>
      </c>
      <c r="G1592" s="338">
        <v>0.59791666666666665</v>
      </c>
      <c r="H1592" s="338" t="s">
        <v>982</v>
      </c>
      <c r="I1592" s="353">
        <v>793</v>
      </c>
      <c r="J1592" s="338" t="str">
        <f>IFERROR(VLOOKUP(I1592,'Chart of accounts'!A:H,2,FALSE),"")</f>
        <v>50211030 00</v>
      </c>
      <c r="K1592" s="338" t="str">
        <f>IFERROR(VLOOKUP(I1592,'Chart of accounts'!A:H,3,FALSE),"")</f>
        <v>Consultancy Services</v>
      </c>
      <c r="L1592" s="338" t="str">
        <f>IFERROR(VLOOKUP(I1592,'Chart of accounts'!A:H,4,FALSE),"")</f>
        <v>50211030 00 - Consultancy Services (793)</v>
      </c>
      <c r="M1592" s="361" t="s">
        <v>905</v>
      </c>
      <c r="N1592" s="355" t="s">
        <v>818</v>
      </c>
      <c r="O1592" s="355" t="s">
        <v>1605</v>
      </c>
      <c r="P1592" s="355"/>
      <c r="Q1592" s="363">
        <v>50000</v>
      </c>
      <c r="R1592" s="428">
        <f t="shared" si="66"/>
        <v>-50000</v>
      </c>
      <c r="S1592" s="428" t="str">
        <f>VLOOKUP(H1592,'Fund Utilization Report'!$A$4:$U$1800,13,FALSE)</f>
        <v>MOOE</v>
      </c>
      <c r="T1592" s="428" t="str">
        <f>VLOOKUP(H1592,'Fund Utilization Report'!$A$4:$U$1800,2,FALSE)</f>
        <v>GAA</v>
      </c>
      <c r="U1592" s="428" t="str">
        <f>VLOOKUP(H1592,'Fund Utilization Report'!$A$4:$U$1800,3,FALSE)</f>
        <v>FY2021, RA11518</v>
      </c>
      <c r="V1592" s="428" t="str">
        <f>VLOOKUP(H1592,'Fund Utilization Report'!$A$4:$U$1800,4,FALSE)</f>
        <v>OTOP</v>
      </c>
      <c r="W1592" s="428" t="str">
        <f>VLOOKUP(H1592,'Fund Utilization Report'!$A$4:$U$1800,5,FALSE)</f>
        <v>01101101</v>
      </c>
      <c r="X1592" s="428" t="str">
        <f>VLOOKUP(H1592,'Fund Utilization Report'!$A$4:$U$1800,6,FALSE)</f>
        <v>GOP</v>
      </c>
      <c r="Y1592" s="320" t="str">
        <f>VLOOKUP(H1592,'Fund Utilization Report'!$A$4:$U$1800,7,FALSE)</f>
        <v>MOOE</v>
      </c>
      <c r="Z1592" s="425">
        <f>VLOOKUP(H1592,'Fund Utilization Report'!$A$4:$U$1800,8,FALSE)</f>
        <v>5020000000</v>
      </c>
      <c r="AA1592" s="428" t="str">
        <f>VLOOKUP(H1592,'Fund Utilization Report'!$A$4:$U$1800,14,FALSE)</f>
        <v>330100200002000</v>
      </c>
      <c r="AB1592" s="349" t="str">
        <f>VLOOKUP(H1592,'Fund Utilization Report'!$A$4:$U$1800,15,FALSE)</f>
        <v>OTOP - Next Generation</v>
      </c>
      <c r="AC1592" s="39"/>
      <c r="AD1592" s="34"/>
      <c r="AE1592" s="39"/>
      <c r="AF1592" s="51"/>
      <c r="AG1592" s="442"/>
      <c r="AH1592" s="442"/>
      <c r="AI1592" s="443"/>
    </row>
    <row r="1593" spans="1:35" s="32" customFormat="1">
      <c r="A1593" s="434" t="s">
        <v>942</v>
      </c>
      <c r="B1593" s="457" t="s">
        <v>946</v>
      </c>
      <c r="C1593" s="233">
        <v>44284</v>
      </c>
      <c r="D1593" s="435" t="s">
        <v>1267</v>
      </c>
      <c r="E1593" s="436" t="s">
        <v>1604</v>
      </c>
      <c r="F1593" s="338">
        <v>0.59444444444444444</v>
      </c>
      <c r="G1593" s="338">
        <v>0.59791666666666665</v>
      </c>
      <c r="H1593" s="338" t="s">
        <v>982</v>
      </c>
      <c r="I1593" s="353">
        <v>799</v>
      </c>
      <c r="J1593" s="338" t="str">
        <f>IFERROR(VLOOKUP(I1593,'Chart of accounts'!A:H,2,FALSE),"")</f>
        <v>50211990 00</v>
      </c>
      <c r="K1593" s="338" t="str">
        <f>IFERROR(VLOOKUP(I1593,'Chart of accounts'!A:H,3,FALSE),"")</f>
        <v>Other Professional Services</v>
      </c>
      <c r="L1593" s="338" t="str">
        <f>IFERROR(VLOOKUP(I1593,'Chart of accounts'!A:H,4,FALSE),"")</f>
        <v>50211990 00 - Other Professional Services (799)</v>
      </c>
      <c r="M1593" s="361" t="s">
        <v>905</v>
      </c>
      <c r="N1593" s="355" t="s">
        <v>818</v>
      </c>
      <c r="O1593" s="355" t="s">
        <v>1605</v>
      </c>
      <c r="P1593" s="355"/>
      <c r="Q1593" s="363">
        <v>40000</v>
      </c>
      <c r="R1593" s="428">
        <f t="shared" si="66"/>
        <v>-40000</v>
      </c>
      <c r="S1593" s="428" t="str">
        <f>VLOOKUP(H1593,'Fund Utilization Report'!$A$4:$U$1800,13,FALSE)</f>
        <v>MOOE</v>
      </c>
      <c r="T1593" s="428" t="str">
        <f>VLOOKUP(H1593,'Fund Utilization Report'!$A$4:$U$1800,2,FALSE)</f>
        <v>GAA</v>
      </c>
      <c r="U1593" s="428" t="str">
        <f>VLOOKUP(H1593,'Fund Utilization Report'!$A$4:$U$1800,3,FALSE)</f>
        <v>FY2021, RA11518</v>
      </c>
      <c r="V1593" s="428" t="str">
        <f>VLOOKUP(H1593,'Fund Utilization Report'!$A$4:$U$1800,4,FALSE)</f>
        <v>OTOP</v>
      </c>
      <c r="W1593" s="428" t="str">
        <f>VLOOKUP(H1593,'Fund Utilization Report'!$A$4:$U$1800,5,FALSE)</f>
        <v>01101101</v>
      </c>
      <c r="X1593" s="428" t="str">
        <f>VLOOKUP(H1593,'Fund Utilization Report'!$A$4:$U$1800,6,FALSE)</f>
        <v>GOP</v>
      </c>
      <c r="Y1593" s="320" t="str">
        <f>VLOOKUP(H1593,'Fund Utilization Report'!$A$4:$U$1800,7,FALSE)</f>
        <v>MOOE</v>
      </c>
      <c r="Z1593" s="425">
        <f>VLOOKUP(H1593,'Fund Utilization Report'!$A$4:$U$1800,8,FALSE)</f>
        <v>5020000000</v>
      </c>
      <c r="AA1593" s="428" t="str">
        <f>VLOOKUP(H1593,'Fund Utilization Report'!$A$4:$U$1800,14,FALSE)</f>
        <v>330100200002000</v>
      </c>
      <c r="AB1593" s="349" t="str">
        <f>VLOOKUP(H1593,'Fund Utilization Report'!$A$4:$U$1800,15,FALSE)</f>
        <v>OTOP - Next Generation</v>
      </c>
      <c r="AC1593" s="39"/>
      <c r="AD1593" s="34"/>
      <c r="AE1593" s="39"/>
      <c r="AF1593" s="51"/>
      <c r="AG1593" s="442"/>
      <c r="AH1593" s="442"/>
      <c r="AI1593" s="443"/>
    </row>
    <row r="1594" spans="1:35" s="32" customFormat="1">
      <c r="A1594" s="434" t="s">
        <v>942</v>
      </c>
      <c r="B1594" s="457" t="s">
        <v>946</v>
      </c>
      <c r="C1594" s="233">
        <v>44284</v>
      </c>
      <c r="D1594" s="435" t="s">
        <v>1267</v>
      </c>
      <c r="E1594" s="436" t="s">
        <v>1604</v>
      </c>
      <c r="F1594" s="338">
        <v>0.59444444444444444</v>
      </c>
      <c r="G1594" s="338">
        <v>0.59791666666666665</v>
      </c>
      <c r="H1594" s="338" t="s">
        <v>982</v>
      </c>
      <c r="I1594" s="353">
        <v>780</v>
      </c>
      <c r="J1594" s="338" t="str">
        <f>IFERROR(VLOOKUP(I1594,'Chart of accounts'!A:H,2,FALSE),"")</f>
        <v>50299010 00</v>
      </c>
      <c r="K1594" s="338" t="str">
        <f>IFERROR(VLOOKUP(I1594,'Chart of accounts'!A:H,3,FALSE),"")</f>
        <v>Advertising Expenses</v>
      </c>
      <c r="L1594" s="338" t="str">
        <f>IFERROR(VLOOKUP(I1594,'Chart of accounts'!A:H,4,FALSE),"")</f>
        <v>50299010 00 - Advertising Expenses (780)</v>
      </c>
      <c r="M1594" s="361" t="s">
        <v>905</v>
      </c>
      <c r="N1594" s="355" t="s">
        <v>818</v>
      </c>
      <c r="O1594" s="355" t="s">
        <v>1605</v>
      </c>
      <c r="P1594" s="355"/>
      <c r="Q1594" s="363">
        <v>63243.76</v>
      </c>
      <c r="R1594" s="428">
        <f t="shared" si="66"/>
        <v>-63243.76</v>
      </c>
      <c r="S1594" s="428" t="str">
        <f>VLOOKUP(H1594,'Fund Utilization Report'!$A$4:$U$1800,13,FALSE)</f>
        <v>MOOE</v>
      </c>
      <c r="T1594" s="428" t="str">
        <f>VLOOKUP(H1594,'Fund Utilization Report'!$A$4:$U$1800,2,FALSE)</f>
        <v>GAA</v>
      </c>
      <c r="U1594" s="428" t="str">
        <f>VLOOKUP(H1594,'Fund Utilization Report'!$A$4:$U$1800,3,FALSE)</f>
        <v>FY2021, RA11518</v>
      </c>
      <c r="V1594" s="428" t="str">
        <f>VLOOKUP(H1594,'Fund Utilization Report'!$A$4:$U$1800,4,FALSE)</f>
        <v>OTOP</v>
      </c>
      <c r="W1594" s="428" t="str">
        <f>VLOOKUP(H1594,'Fund Utilization Report'!$A$4:$U$1800,5,FALSE)</f>
        <v>01101101</v>
      </c>
      <c r="X1594" s="428" t="str">
        <f>VLOOKUP(H1594,'Fund Utilization Report'!$A$4:$U$1800,6,FALSE)</f>
        <v>GOP</v>
      </c>
      <c r="Y1594" s="320" t="str">
        <f>VLOOKUP(H1594,'Fund Utilization Report'!$A$4:$U$1800,7,FALSE)</f>
        <v>MOOE</v>
      </c>
      <c r="Z1594" s="425">
        <f>VLOOKUP(H1594,'Fund Utilization Report'!$A$4:$U$1800,8,FALSE)</f>
        <v>5020000000</v>
      </c>
      <c r="AA1594" s="428" t="str">
        <f>VLOOKUP(H1594,'Fund Utilization Report'!$A$4:$U$1800,14,FALSE)</f>
        <v>330100200002000</v>
      </c>
      <c r="AB1594" s="349" t="str">
        <f>VLOOKUP(H1594,'Fund Utilization Report'!$A$4:$U$1800,15,FALSE)</f>
        <v>OTOP - Next Generation</v>
      </c>
      <c r="AC1594" s="39"/>
      <c r="AD1594" s="34"/>
      <c r="AE1594" s="39"/>
      <c r="AF1594" s="51"/>
      <c r="AG1594" s="442"/>
      <c r="AH1594" s="442"/>
      <c r="AI1594" s="443"/>
    </row>
    <row r="1595" spans="1:35" s="32" customFormat="1">
      <c r="A1595" s="434" t="s">
        <v>942</v>
      </c>
      <c r="B1595" s="457" t="s">
        <v>946</v>
      </c>
      <c r="C1595" s="233">
        <v>44284</v>
      </c>
      <c r="D1595" s="435" t="s">
        <v>1267</v>
      </c>
      <c r="E1595" s="436" t="s">
        <v>1604</v>
      </c>
      <c r="F1595" s="338">
        <v>0.59444444444444444</v>
      </c>
      <c r="G1595" s="338">
        <v>0.59791666666666665</v>
      </c>
      <c r="H1595" s="338" t="s">
        <v>982</v>
      </c>
      <c r="I1595" s="353">
        <v>781</v>
      </c>
      <c r="J1595" s="338" t="str">
        <f>IFERROR(VLOOKUP(I1595,'Chart of accounts'!A:H,2,FALSE),"")</f>
        <v>50299020 00</v>
      </c>
      <c r="K1595" s="338" t="str">
        <f>IFERROR(VLOOKUP(I1595,'Chart of accounts'!A:H,3,FALSE),"")</f>
        <v>Printing and Binding Expenses</v>
      </c>
      <c r="L1595" s="338" t="str">
        <f>IFERROR(VLOOKUP(I1595,'Chart of accounts'!A:H,4,FALSE),"")</f>
        <v>50299020 00 - Printing and Binding Expenses (781)</v>
      </c>
      <c r="M1595" s="361" t="s">
        <v>905</v>
      </c>
      <c r="N1595" s="355" t="s">
        <v>818</v>
      </c>
      <c r="O1595" s="355" t="s">
        <v>1605</v>
      </c>
      <c r="P1595" s="355"/>
      <c r="Q1595" s="363">
        <v>25000</v>
      </c>
      <c r="R1595" s="428">
        <f t="shared" si="66"/>
        <v>-25000</v>
      </c>
      <c r="S1595" s="428" t="str">
        <f>VLOOKUP(H1595,'Fund Utilization Report'!$A$4:$U$1800,13,FALSE)</f>
        <v>MOOE</v>
      </c>
      <c r="T1595" s="428" t="str">
        <f>VLOOKUP(H1595,'Fund Utilization Report'!$A$4:$U$1800,2,FALSE)</f>
        <v>GAA</v>
      </c>
      <c r="U1595" s="428" t="str">
        <f>VLOOKUP(H1595,'Fund Utilization Report'!$A$4:$U$1800,3,FALSE)</f>
        <v>FY2021, RA11518</v>
      </c>
      <c r="V1595" s="428" t="str">
        <f>VLOOKUP(H1595,'Fund Utilization Report'!$A$4:$U$1800,4,FALSE)</f>
        <v>OTOP</v>
      </c>
      <c r="W1595" s="428" t="str">
        <f>VLOOKUP(H1595,'Fund Utilization Report'!$A$4:$U$1800,5,FALSE)</f>
        <v>01101101</v>
      </c>
      <c r="X1595" s="428" t="str">
        <f>VLOOKUP(H1595,'Fund Utilization Report'!$A$4:$U$1800,6,FALSE)</f>
        <v>GOP</v>
      </c>
      <c r="Y1595" s="320" t="str">
        <f>VLOOKUP(H1595,'Fund Utilization Report'!$A$4:$U$1800,7,FALSE)</f>
        <v>MOOE</v>
      </c>
      <c r="Z1595" s="425">
        <f>VLOOKUP(H1595,'Fund Utilization Report'!$A$4:$U$1800,8,FALSE)</f>
        <v>5020000000</v>
      </c>
      <c r="AA1595" s="428" t="str">
        <f>VLOOKUP(H1595,'Fund Utilization Report'!$A$4:$U$1800,14,FALSE)</f>
        <v>330100200002000</v>
      </c>
      <c r="AB1595" s="349" t="str">
        <f>VLOOKUP(H1595,'Fund Utilization Report'!$A$4:$U$1800,15,FALSE)</f>
        <v>OTOP - Next Generation</v>
      </c>
      <c r="AC1595" s="39"/>
      <c r="AD1595" s="34"/>
      <c r="AE1595" s="39"/>
      <c r="AF1595" s="51"/>
      <c r="AG1595" s="442"/>
      <c r="AH1595" s="442"/>
      <c r="AI1595" s="443"/>
    </row>
    <row r="1596" spans="1:35" s="32" customFormat="1">
      <c r="A1596" s="434" t="s">
        <v>942</v>
      </c>
      <c r="B1596" s="457" t="s">
        <v>946</v>
      </c>
      <c r="C1596" s="233">
        <v>44284</v>
      </c>
      <c r="D1596" s="435" t="s">
        <v>1267</v>
      </c>
      <c r="E1596" s="436" t="s">
        <v>1604</v>
      </c>
      <c r="F1596" s="338">
        <v>0.59444444444444444</v>
      </c>
      <c r="G1596" s="338">
        <v>0.59791666666666665</v>
      </c>
      <c r="H1596" s="338" t="s">
        <v>982</v>
      </c>
      <c r="I1596" s="353">
        <v>783</v>
      </c>
      <c r="J1596" s="338" t="str">
        <f>IFERROR(VLOOKUP(I1596,'Chart of accounts'!A:H,2,FALSE),"")</f>
        <v>50299030 00</v>
      </c>
      <c r="K1596" s="338" t="str">
        <f>IFERROR(VLOOKUP(I1596,'Chart of accounts'!A:H,3,FALSE),"")</f>
        <v>Representation Expenses</v>
      </c>
      <c r="L1596" s="338" t="str">
        <f>IFERROR(VLOOKUP(I1596,'Chart of accounts'!A:H,4,FALSE),"")</f>
        <v>50299030 00 - Representation Expenses (783)</v>
      </c>
      <c r="M1596" s="361" t="s">
        <v>905</v>
      </c>
      <c r="N1596" s="355" t="s">
        <v>818</v>
      </c>
      <c r="O1596" s="355" t="s">
        <v>1605</v>
      </c>
      <c r="P1596" s="355"/>
      <c r="Q1596" s="363">
        <v>25000</v>
      </c>
      <c r="R1596" s="428">
        <f t="shared" si="66"/>
        <v>-25000</v>
      </c>
      <c r="S1596" s="428" t="str">
        <f>VLOOKUP(H1596,'Fund Utilization Report'!$A$4:$U$1800,13,FALSE)</f>
        <v>MOOE</v>
      </c>
      <c r="T1596" s="428" t="str">
        <f>VLOOKUP(H1596,'Fund Utilization Report'!$A$4:$U$1800,2,FALSE)</f>
        <v>GAA</v>
      </c>
      <c r="U1596" s="428" t="str">
        <f>VLOOKUP(H1596,'Fund Utilization Report'!$A$4:$U$1800,3,FALSE)</f>
        <v>FY2021, RA11518</v>
      </c>
      <c r="V1596" s="428" t="str">
        <f>VLOOKUP(H1596,'Fund Utilization Report'!$A$4:$U$1800,4,FALSE)</f>
        <v>OTOP</v>
      </c>
      <c r="W1596" s="428" t="str">
        <f>VLOOKUP(H1596,'Fund Utilization Report'!$A$4:$U$1800,5,FALSE)</f>
        <v>01101101</v>
      </c>
      <c r="X1596" s="428" t="str">
        <f>VLOOKUP(H1596,'Fund Utilization Report'!$A$4:$U$1800,6,FALSE)</f>
        <v>GOP</v>
      </c>
      <c r="Y1596" s="320" t="str">
        <f>VLOOKUP(H1596,'Fund Utilization Report'!$A$4:$U$1800,7,FALSE)</f>
        <v>MOOE</v>
      </c>
      <c r="Z1596" s="425">
        <f>VLOOKUP(H1596,'Fund Utilization Report'!$A$4:$U$1800,8,FALSE)</f>
        <v>5020000000</v>
      </c>
      <c r="AA1596" s="428" t="str">
        <f>VLOOKUP(H1596,'Fund Utilization Report'!$A$4:$U$1800,14,FALSE)</f>
        <v>330100200002000</v>
      </c>
      <c r="AB1596" s="349" t="str">
        <f>VLOOKUP(H1596,'Fund Utilization Report'!$A$4:$U$1800,15,FALSE)</f>
        <v>OTOP - Next Generation</v>
      </c>
      <c r="AC1596" s="39"/>
      <c r="AD1596" s="34"/>
      <c r="AE1596" s="39"/>
      <c r="AF1596" s="51"/>
      <c r="AG1596" s="442"/>
      <c r="AH1596" s="442"/>
      <c r="AI1596" s="443"/>
    </row>
    <row r="1597" spans="1:35" s="32" customFormat="1">
      <c r="A1597" s="434" t="s">
        <v>942</v>
      </c>
      <c r="B1597" s="457" t="s">
        <v>946</v>
      </c>
      <c r="C1597" s="233">
        <v>44284</v>
      </c>
      <c r="D1597" s="435" t="s">
        <v>1267</v>
      </c>
      <c r="E1597" s="436" t="s">
        <v>1604</v>
      </c>
      <c r="F1597" s="338">
        <v>0.59444444444444444</v>
      </c>
      <c r="G1597" s="338">
        <v>0.59791666666666665</v>
      </c>
      <c r="H1597" s="338" t="s">
        <v>982</v>
      </c>
      <c r="I1597" s="353">
        <v>784</v>
      </c>
      <c r="J1597" s="338" t="str">
        <f>IFERROR(VLOOKUP(I1597,'Chart of accounts'!A:H,2,FALSE),"")</f>
        <v>50299040 00</v>
      </c>
      <c r="K1597" s="338" t="str">
        <f>IFERROR(VLOOKUP(I1597,'Chart of accounts'!A:H,3,FALSE),"")</f>
        <v>Transportation and Delivery Expenses</v>
      </c>
      <c r="L1597" s="338" t="str">
        <f>IFERROR(VLOOKUP(I1597,'Chart of accounts'!A:H,4,FALSE),"")</f>
        <v>50299040 00 - Transportation and Delivery Expenses (784)</v>
      </c>
      <c r="M1597" s="361" t="s">
        <v>905</v>
      </c>
      <c r="N1597" s="355" t="s">
        <v>818</v>
      </c>
      <c r="O1597" s="355" t="s">
        <v>1605</v>
      </c>
      <c r="P1597" s="355"/>
      <c r="Q1597" s="363">
        <v>50000</v>
      </c>
      <c r="R1597" s="428">
        <f t="shared" si="66"/>
        <v>-50000</v>
      </c>
      <c r="S1597" s="428" t="str">
        <f>VLOOKUP(H1597,'Fund Utilization Report'!$A$4:$U$1800,13,FALSE)</f>
        <v>MOOE</v>
      </c>
      <c r="T1597" s="428" t="str">
        <f>VLOOKUP(H1597,'Fund Utilization Report'!$A$4:$U$1800,2,FALSE)</f>
        <v>GAA</v>
      </c>
      <c r="U1597" s="428" t="str">
        <f>VLOOKUP(H1597,'Fund Utilization Report'!$A$4:$U$1800,3,FALSE)</f>
        <v>FY2021, RA11518</v>
      </c>
      <c r="V1597" s="428" t="str">
        <f>VLOOKUP(H1597,'Fund Utilization Report'!$A$4:$U$1800,4,FALSE)</f>
        <v>OTOP</v>
      </c>
      <c r="W1597" s="428" t="str">
        <f>VLOOKUP(H1597,'Fund Utilization Report'!$A$4:$U$1800,5,FALSE)</f>
        <v>01101101</v>
      </c>
      <c r="X1597" s="428" t="str">
        <f>VLOOKUP(H1597,'Fund Utilization Report'!$A$4:$U$1800,6,FALSE)</f>
        <v>GOP</v>
      </c>
      <c r="Y1597" s="320" t="str">
        <f>VLOOKUP(H1597,'Fund Utilization Report'!$A$4:$U$1800,7,FALSE)</f>
        <v>MOOE</v>
      </c>
      <c r="Z1597" s="425">
        <f>VLOOKUP(H1597,'Fund Utilization Report'!$A$4:$U$1800,8,FALSE)</f>
        <v>5020000000</v>
      </c>
      <c r="AA1597" s="428" t="str">
        <f>VLOOKUP(H1597,'Fund Utilization Report'!$A$4:$U$1800,14,FALSE)</f>
        <v>330100200002000</v>
      </c>
      <c r="AB1597" s="349" t="str">
        <f>VLOOKUP(H1597,'Fund Utilization Report'!$A$4:$U$1800,15,FALSE)</f>
        <v>OTOP - Next Generation</v>
      </c>
      <c r="AC1597" s="39"/>
      <c r="AD1597" s="34"/>
      <c r="AE1597" s="39"/>
      <c r="AF1597" s="51"/>
      <c r="AG1597" s="442"/>
      <c r="AH1597" s="442"/>
      <c r="AI1597" s="443"/>
    </row>
    <row r="1598" spans="1:35" s="32" customFormat="1">
      <c r="A1598" s="434" t="s">
        <v>942</v>
      </c>
      <c r="B1598" s="457" t="s">
        <v>946</v>
      </c>
      <c r="C1598" s="233">
        <v>44284</v>
      </c>
      <c r="D1598" s="435" t="s">
        <v>1267</v>
      </c>
      <c r="E1598" s="436" t="s">
        <v>1606</v>
      </c>
      <c r="F1598" s="338">
        <v>0.59791666666666665</v>
      </c>
      <c r="G1598" s="338">
        <v>0.60972222222222217</v>
      </c>
      <c r="H1598" s="338" t="s">
        <v>982</v>
      </c>
      <c r="I1598" s="353">
        <v>751</v>
      </c>
      <c r="J1598" s="338" t="str">
        <f>IFERROR(VLOOKUP(I1598,'Chart of accounts'!A:H,2,FALSE),"")</f>
        <v>50201010 00</v>
      </c>
      <c r="K1598" s="338" t="str">
        <f>IFERROR(VLOOKUP(I1598,'Chart of accounts'!A:H,3,FALSE),"")</f>
        <v>Traveling Expenses - Local</v>
      </c>
      <c r="L1598" s="338" t="str">
        <f>IFERROR(VLOOKUP(I1598,'Chart of accounts'!A:H,4,FALSE),"")</f>
        <v>50201010 00 - Traveling Expenses - Local (751)</v>
      </c>
      <c r="M1598" s="361" t="s">
        <v>905</v>
      </c>
      <c r="N1598" s="355" t="s">
        <v>1539</v>
      </c>
      <c r="O1598" s="355" t="s">
        <v>1605</v>
      </c>
      <c r="P1598" s="355"/>
      <c r="Q1598" s="363">
        <v>70000</v>
      </c>
      <c r="R1598" s="428">
        <f t="shared" si="66"/>
        <v>-70000</v>
      </c>
      <c r="S1598" s="428" t="str">
        <f>VLOOKUP(H1598,'Fund Utilization Report'!$A$4:$U$1800,13,FALSE)</f>
        <v>MOOE</v>
      </c>
      <c r="T1598" s="428" t="str">
        <f>VLOOKUP(H1598,'Fund Utilization Report'!$A$4:$U$1800,2,FALSE)</f>
        <v>GAA</v>
      </c>
      <c r="U1598" s="428" t="str">
        <f>VLOOKUP(H1598,'Fund Utilization Report'!$A$4:$U$1800,3,FALSE)</f>
        <v>FY2021, RA11518</v>
      </c>
      <c r="V1598" s="428" t="str">
        <f>VLOOKUP(H1598,'Fund Utilization Report'!$A$4:$U$1800,4,FALSE)</f>
        <v>OTOP</v>
      </c>
      <c r="W1598" s="428" t="str">
        <f>VLOOKUP(H1598,'Fund Utilization Report'!$A$4:$U$1800,5,FALSE)</f>
        <v>01101101</v>
      </c>
      <c r="X1598" s="428" t="str">
        <f>VLOOKUP(H1598,'Fund Utilization Report'!$A$4:$U$1800,6,FALSE)</f>
        <v>GOP</v>
      </c>
      <c r="Y1598" s="320" t="str">
        <f>VLOOKUP(H1598,'Fund Utilization Report'!$A$4:$U$1800,7,FALSE)</f>
        <v>MOOE</v>
      </c>
      <c r="Z1598" s="425">
        <f>VLOOKUP(H1598,'Fund Utilization Report'!$A$4:$U$1800,8,FALSE)</f>
        <v>5020000000</v>
      </c>
      <c r="AA1598" s="428" t="str">
        <f>VLOOKUP(H1598,'Fund Utilization Report'!$A$4:$U$1800,14,FALSE)</f>
        <v>330100200002000</v>
      </c>
      <c r="AB1598" s="349" t="str">
        <f>VLOOKUP(H1598,'Fund Utilization Report'!$A$4:$U$1800,15,FALSE)</f>
        <v>OTOP - Next Generation</v>
      </c>
      <c r="AC1598" s="39"/>
      <c r="AD1598" s="34"/>
      <c r="AE1598" s="39"/>
      <c r="AF1598" s="51"/>
      <c r="AG1598" s="442"/>
      <c r="AH1598" s="442"/>
      <c r="AI1598" s="443"/>
    </row>
    <row r="1599" spans="1:35" s="32" customFormat="1">
      <c r="A1599" s="434" t="s">
        <v>942</v>
      </c>
      <c r="B1599" s="457" t="s">
        <v>946</v>
      </c>
      <c r="C1599" s="233">
        <v>44284</v>
      </c>
      <c r="D1599" s="435" t="s">
        <v>1267</v>
      </c>
      <c r="E1599" s="436" t="s">
        <v>1606</v>
      </c>
      <c r="F1599" s="338">
        <v>0.59791666666666665</v>
      </c>
      <c r="G1599" s="338">
        <v>0.60972222222222217</v>
      </c>
      <c r="H1599" s="338" t="s">
        <v>982</v>
      </c>
      <c r="I1599" s="353">
        <v>753</v>
      </c>
      <c r="J1599" s="338" t="str">
        <f>IFERROR(VLOOKUP(I1599,'Chart of accounts'!A:H,2,FALSE),"")</f>
        <v>50202010 00</v>
      </c>
      <c r="K1599" s="338" t="str">
        <f>IFERROR(VLOOKUP(I1599,'Chart of accounts'!A:H,3,FALSE),"")</f>
        <v>Training Expenses</v>
      </c>
      <c r="L1599" s="338" t="str">
        <f>IFERROR(VLOOKUP(I1599,'Chart of accounts'!A:H,4,FALSE),"")</f>
        <v>50202010 00 - Training Expenses (753)</v>
      </c>
      <c r="M1599" s="361" t="s">
        <v>905</v>
      </c>
      <c r="N1599" s="355" t="s">
        <v>1539</v>
      </c>
      <c r="O1599" s="355" t="s">
        <v>1605</v>
      </c>
      <c r="P1599" s="355"/>
      <c r="Q1599" s="363">
        <v>15000</v>
      </c>
      <c r="R1599" s="428">
        <f t="shared" si="66"/>
        <v>-15000</v>
      </c>
      <c r="S1599" s="428" t="str">
        <f>VLOOKUP(H1599,'Fund Utilization Report'!$A$4:$U$1800,13,FALSE)</f>
        <v>MOOE</v>
      </c>
      <c r="T1599" s="428" t="str">
        <f>VLOOKUP(H1599,'Fund Utilization Report'!$A$4:$U$1800,2,FALSE)</f>
        <v>GAA</v>
      </c>
      <c r="U1599" s="428" t="str">
        <f>VLOOKUP(H1599,'Fund Utilization Report'!$A$4:$U$1800,3,FALSE)</f>
        <v>FY2021, RA11518</v>
      </c>
      <c r="V1599" s="428" t="str">
        <f>VLOOKUP(H1599,'Fund Utilization Report'!$A$4:$U$1800,4,FALSE)</f>
        <v>OTOP</v>
      </c>
      <c r="W1599" s="428" t="str">
        <f>VLOOKUP(H1599,'Fund Utilization Report'!$A$4:$U$1800,5,FALSE)</f>
        <v>01101101</v>
      </c>
      <c r="X1599" s="428" t="str">
        <f>VLOOKUP(H1599,'Fund Utilization Report'!$A$4:$U$1800,6,FALSE)</f>
        <v>GOP</v>
      </c>
      <c r="Y1599" s="320" t="str">
        <f>VLOOKUP(H1599,'Fund Utilization Report'!$A$4:$U$1800,7,FALSE)</f>
        <v>MOOE</v>
      </c>
      <c r="Z1599" s="425">
        <f>VLOOKUP(H1599,'Fund Utilization Report'!$A$4:$U$1800,8,FALSE)</f>
        <v>5020000000</v>
      </c>
      <c r="AA1599" s="428" t="str">
        <f>VLOOKUP(H1599,'Fund Utilization Report'!$A$4:$U$1800,14,FALSE)</f>
        <v>330100200002000</v>
      </c>
      <c r="AB1599" s="349" t="str">
        <f>VLOOKUP(H1599,'Fund Utilization Report'!$A$4:$U$1800,15,FALSE)</f>
        <v>OTOP - Next Generation</v>
      </c>
      <c r="AC1599" s="39"/>
      <c r="AD1599" s="34"/>
      <c r="AE1599" s="39"/>
      <c r="AF1599" s="51"/>
      <c r="AG1599" s="442"/>
      <c r="AH1599" s="442"/>
      <c r="AI1599" s="443"/>
    </row>
    <row r="1600" spans="1:35" s="32" customFormat="1">
      <c r="A1600" s="434" t="s">
        <v>942</v>
      </c>
      <c r="B1600" s="457" t="s">
        <v>946</v>
      </c>
      <c r="C1600" s="233">
        <v>44284</v>
      </c>
      <c r="D1600" s="435" t="s">
        <v>1267</v>
      </c>
      <c r="E1600" s="436" t="s">
        <v>1606</v>
      </c>
      <c r="F1600" s="338">
        <v>0.59791666666666665</v>
      </c>
      <c r="G1600" s="338">
        <v>0.60972222222222217</v>
      </c>
      <c r="H1600" s="338" t="s">
        <v>982</v>
      </c>
      <c r="I1600" s="353">
        <v>755</v>
      </c>
      <c r="J1600" s="338" t="str">
        <f>IFERROR(VLOOKUP(I1600,'Chart of accounts'!A:H,2,FALSE),"")</f>
        <v>50203010 00</v>
      </c>
      <c r="K1600" s="338" t="str">
        <f>IFERROR(VLOOKUP(I1600,'Chart of accounts'!A:H,3,FALSE),"")</f>
        <v>Office Supplies Expenses</v>
      </c>
      <c r="L1600" s="338" t="str">
        <f>IFERROR(VLOOKUP(I1600,'Chart of accounts'!A:H,4,FALSE),"")</f>
        <v>50203010 00 - Office Supplies Expenses (755)</v>
      </c>
      <c r="M1600" s="361" t="s">
        <v>905</v>
      </c>
      <c r="N1600" s="355" t="s">
        <v>1539</v>
      </c>
      <c r="O1600" s="355" t="s">
        <v>1605</v>
      </c>
      <c r="P1600" s="355"/>
      <c r="Q1600" s="363">
        <v>10000</v>
      </c>
      <c r="R1600" s="428">
        <f t="shared" ref="R1600:R1610" si="67">P1600-Q1600</f>
        <v>-10000</v>
      </c>
      <c r="S1600" s="428" t="str">
        <f>VLOOKUP(H1600,'Fund Utilization Report'!$A$4:$U$1800,13,FALSE)</f>
        <v>MOOE</v>
      </c>
      <c r="T1600" s="428" t="str">
        <f>VLOOKUP(H1600,'Fund Utilization Report'!$A$4:$U$1800,2,FALSE)</f>
        <v>GAA</v>
      </c>
      <c r="U1600" s="428" t="str">
        <f>VLOOKUP(H1600,'Fund Utilization Report'!$A$4:$U$1800,3,FALSE)</f>
        <v>FY2021, RA11518</v>
      </c>
      <c r="V1600" s="428" t="str">
        <f>VLOOKUP(H1600,'Fund Utilization Report'!$A$4:$U$1800,4,FALSE)</f>
        <v>OTOP</v>
      </c>
      <c r="W1600" s="428" t="str">
        <f>VLOOKUP(H1600,'Fund Utilization Report'!$A$4:$U$1800,5,FALSE)</f>
        <v>01101101</v>
      </c>
      <c r="X1600" s="428" t="str">
        <f>VLOOKUP(H1600,'Fund Utilization Report'!$A$4:$U$1800,6,FALSE)</f>
        <v>GOP</v>
      </c>
      <c r="Y1600" s="320" t="str">
        <f>VLOOKUP(H1600,'Fund Utilization Report'!$A$4:$U$1800,7,FALSE)</f>
        <v>MOOE</v>
      </c>
      <c r="Z1600" s="425">
        <f>VLOOKUP(H1600,'Fund Utilization Report'!$A$4:$U$1800,8,FALSE)</f>
        <v>5020000000</v>
      </c>
      <c r="AA1600" s="428" t="str">
        <f>VLOOKUP(H1600,'Fund Utilization Report'!$A$4:$U$1800,14,FALSE)</f>
        <v>330100200002000</v>
      </c>
      <c r="AB1600" s="349" t="str">
        <f>VLOOKUP(H1600,'Fund Utilization Report'!$A$4:$U$1800,15,FALSE)</f>
        <v>OTOP - Next Generation</v>
      </c>
      <c r="AC1600" s="39"/>
      <c r="AD1600" s="34"/>
      <c r="AE1600" s="39"/>
      <c r="AF1600" s="51"/>
      <c r="AG1600" s="442"/>
      <c r="AH1600" s="442"/>
      <c r="AI1600" s="443"/>
    </row>
    <row r="1601" spans="1:35" s="32" customFormat="1">
      <c r="A1601" s="434" t="s">
        <v>942</v>
      </c>
      <c r="B1601" s="457" t="s">
        <v>946</v>
      </c>
      <c r="C1601" s="233">
        <v>44284</v>
      </c>
      <c r="D1601" s="435" t="s">
        <v>1267</v>
      </c>
      <c r="E1601" s="436" t="s">
        <v>1606</v>
      </c>
      <c r="F1601" s="338">
        <v>0.59791666666666665</v>
      </c>
      <c r="G1601" s="338">
        <v>0.60972222222222217</v>
      </c>
      <c r="H1601" s="338" t="s">
        <v>982</v>
      </c>
      <c r="I1601" s="353">
        <v>793</v>
      </c>
      <c r="J1601" s="338" t="str">
        <f>IFERROR(VLOOKUP(I1601,'Chart of accounts'!A:H,2,FALSE),"")</f>
        <v>50211030 00</v>
      </c>
      <c r="K1601" s="338" t="str">
        <f>IFERROR(VLOOKUP(I1601,'Chart of accounts'!A:H,3,FALSE),"")</f>
        <v>Consultancy Services</v>
      </c>
      <c r="L1601" s="338" t="str">
        <f>IFERROR(VLOOKUP(I1601,'Chart of accounts'!A:H,4,FALSE),"")</f>
        <v>50211030 00 - Consultancy Services (793)</v>
      </c>
      <c r="M1601" s="361" t="s">
        <v>905</v>
      </c>
      <c r="N1601" s="355" t="s">
        <v>1539</v>
      </c>
      <c r="O1601" s="355" t="s">
        <v>1605</v>
      </c>
      <c r="P1601" s="355"/>
      <c r="Q1601" s="363">
        <v>50000</v>
      </c>
      <c r="R1601" s="428">
        <f t="shared" si="67"/>
        <v>-50000</v>
      </c>
      <c r="S1601" s="428" t="str">
        <f>VLOOKUP(H1601,'Fund Utilization Report'!$A$4:$U$1800,13,FALSE)</f>
        <v>MOOE</v>
      </c>
      <c r="T1601" s="428" t="str">
        <f>VLOOKUP(H1601,'Fund Utilization Report'!$A$4:$U$1800,2,FALSE)</f>
        <v>GAA</v>
      </c>
      <c r="U1601" s="428" t="str">
        <f>VLOOKUP(H1601,'Fund Utilization Report'!$A$4:$U$1800,3,FALSE)</f>
        <v>FY2021, RA11518</v>
      </c>
      <c r="V1601" s="428" t="str">
        <f>VLOOKUP(H1601,'Fund Utilization Report'!$A$4:$U$1800,4,FALSE)</f>
        <v>OTOP</v>
      </c>
      <c r="W1601" s="428" t="str">
        <f>VLOOKUP(H1601,'Fund Utilization Report'!$A$4:$U$1800,5,FALSE)</f>
        <v>01101101</v>
      </c>
      <c r="X1601" s="428" t="str">
        <f>VLOOKUP(H1601,'Fund Utilization Report'!$A$4:$U$1800,6,FALSE)</f>
        <v>GOP</v>
      </c>
      <c r="Y1601" s="320" t="str">
        <f>VLOOKUP(H1601,'Fund Utilization Report'!$A$4:$U$1800,7,FALSE)</f>
        <v>MOOE</v>
      </c>
      <c r="Z1601" s="425">
        <f>VLOOKUP(H1601,'Fund Utilization Report'!$A$4:$U$1800,8,FALSE)</f>
        <v>5020000000</v>
      </c>
      <c r="AA1601" s="428" t="str">
        <f>VLOOKUP(H1601,'Fund Utilization Report'!$A$4:$U$1800,14,FALSE)</f>
        <v>330100200002000</v>
      </c>
      <c r="AB1601" s="349" t="str">
        <f>VLOOKUP(H1601,'Fund Utilization Report'!$A$4:$U$1800,15,FALSE)</f>
        <v>OTOP - Next Generation</v>
      </c>
      <c r="AC1601" s="39"/>
      <c r="AD1601" s="34"/>
      <c r="AE1601" s="39"/>
      <c r="AF1601" s="51"/>
      <c r="AG1601" s="442"/>
      <c r="AH1601" s="442"/>
      <c r="AI1601" s="443"/>
    </row>
    <row r="1602" spans="1:35" s="32" customFormat="1">
      <c r="A1602" s="434" t="s">
        <v>942</v>
      </c>
      <c r="B1602" s="457" t="s">
        <v>946</v>
      </c>
      <c r="C1602" s="233">
        <v>44284</v>
      </c>
      <c r="D1602" s="435" t="s">
        <v>1267</v>
      </c>
      <c r="E1602" s="436" t="s">
        <v>1606</v>
      </c>
      <c r="F1602" s="338">
        <v>0.59791666666666665</v>
      </c>
      <c r="G1602" s="338">
        <v>0.60972222222222217</v>
      </c>
      <c r="H1602" s="338" t="s">
        <v>982</v>
      </c>
      <c r="I1602" s="353">
        <v>799</v>
      </c>
      <c r="J1602" s="338" t="str">
        <f>IFERROR(VLOOKUP(I1602,'Chart of accounts'!A:H,2,FALSE),"")</f>
        <v>50211990 00</v>
      </c>
      <c r="K1602" s="338" t="str">
        <f>IFERROR(VLOOKUP(I1602,'Chart of accounts'!A:H,3,FALSE),"")</f>
        <v>Other Professional Services</v>
      </c>
      <c r="L1602" s="338" t="str">
        <f>IFERROR(VLOOKUP(I1602,'Chart of accounts'!A:H,4,FALSE),"")</f>
        <v>50211990 00 - Other Professional Services (799)</v>
      </c>
      <c r="M1602" s="361" t="s">
        <v>905</v>
      </c>
      <c r="N1602" s="355" t="s">
        <v>1539</v>
      </c>
      <c r="O1602" s="355" t="s">
        <v>1605</v>
      </c>
      <c r="P1602" s="355"/>
      <c r="Q1602" s="363">
        <v>40000</v>
      </c>
      <c r="R1602" s="428">
        <f t="shared" si="67"/>
        <v>-40000</v>
      </c>
      <c r="S1602" s="428" t="str">
        <f>VLOOKUP(H1602,'Fund Utilization Report'!$A$4:$U$1800,13,FALSE)</f>
        <v>MOOE</v>
      </c>
      <c r="T1602" s="428" t="str">
        <f>VLOOKUP(H1602,'Fund Utilization Report'!$A$4:$U$1800,2,FALSE)</f>
        <v>GAA</v>
      </c>
      <c r="U1602" s="428" t="str">
        <f>VLOOKUP(H1602,'Fund Utilization Report'!$A$4:$U$1800,3,FALSE)</f>
        <v>FY2021, RA11518</v>
      </c>
      <c r="V1602" s="428" t="str">
        <f>VLOOKUP(H1602,'Fund Utilization Report'!$A$4:$U$1800,4,FALSE)</f>
        <v>OTOP</v>
      </c>
      <c r="W1602" s="428" t="str">
        <f>VLOOKUP(H1602,'Fund Utilization Report'!$A$4:$U$1800,5,FALSE)</f>
        <v>01101101</v>
      </c>
      <c r="X1602" s="428" t="str">
        <f>VLOOKUP(H1602,'Fund Utilization Report'!$A$4:$U$1800,6,FALSE)</f>
        <v>GOP</v>
      </c>
      <c r="Y1602" s="320" t="str">
        <f>VLOOKUP(H1602,'Fund Utilization Report'!$A$4:$U$1800,7,FALSE)</f>
        <v>MOOE</v>
      </c>
      <c r="Z1602" s="425">
        <f>VLOOKUP(H1602,'Fund Utilization Report'!$A$4:$U$1800,8,FALSE)</f>
        <v>5020000000</v>
      </c>
      <c r="AA1602" s="428" t="str">
        <f>VLOOKUP(H1602,'Fund Utilization Report'!$A$4:$U$1800,14,FALSE)</f>
        <v>330100200002000</v>
      </c>
      <c r="AB1602" s="349" t="str">
        <f>VLOOKUP(H1602,'Fund Utilization Report'!$A$4:$U$1800,15,FALSE)</f>
        <v>OTOP - Next Generation</v>
      </c>
      <c r="AC1602" s="39"/>
      <c r="AD1602" s="34"/>
      <c r="AE1602" s="39"/>
      <c r="AF1602" s="51"/>
      <c r="AG1602" s="442"/>
      <c r="AH1602" s="442"/>
      <c r="AI1602" s="443"/>
    </row>
    <row r="1603" spans="1:35" s="32" customFormat="1">
      <c r="A1603" s="434" t="s">
        <v>942</v>
      </c>
      <c r="B1603" s="457" t="s">
        <v>946</v>
      </c>
      <c r="C1603" s="233">
        <v>44284</v>
      </c>
      <c r="D1603" s="435" t="s">
        <v>1267</v>
      </c>
      <c r="E1603" s="436" t="s">
        <v>1606</v>
      </c>
      <c r="F1603" s="338">
        <v>0.59791666666666665</v>
      </c>
      <c r="G1603" s="338">
        <v>0.60972222222222217</v>
      </c>
      <c r="H1603" s="338" t="s">
        <v>982</v>
      </c>
      <c r="I1603" s="353">
        <v>780</v>
      </c>
      <c r="J1603" s="338" t="str">
        <f>IFERROR(VLOOKUP(I1603,'Chart of accounts'!A:H,2,FALSE),"")</f>
        <v>50299010 00</v>
      </c>
      <c r="K1603" s="338" t="str">
        <f>IFERROR(VLOOKUP(I1603,'Chart of accounts'!A:H,3,FALSE),"")</f>
        <v>Advertising Expenses</v>
      </c>
      <c r="L1603" s="338" t="str">
        <f>IFERROR(VLOOKUP(I1603,'Chart of accounts'!A:H,4,FALSE),"")</f>
        <v>50299010 00 - Advertising Expenses (780)</v>
      </c>
      <c r="M1603" s="361" t="s">
        <v>905</v>
      </c>
      <c r="N1603" s="355" t="s">
        <v>1539</v>
      </c>
      <c r="O1603" s="355" t="s">
        <v>1605</v>
      </c>
      <c r="P1603" s="355"/>
      <c r="Q1603" s="363">
        <v>48817.760000000002</v>
      </c>
      <c r="R1603" s="428">
        <f t="shared" si="67"/>
        <v>-48817.760000000002</v>
      </c>
      <c r="S1603" s="428" t="str">
        <f>VLOOKUP(H1603,'Fund Utilization Report'!$A$4:$U$1800,13,FALSE)</f>
        <v>MOOE</v>
      </c>
      <c r="T1603" s="428" t="str">
        <f>VLOOKUP(H1603,'Fund Utilization Report'!$A$4:$U$1800,2,FALSE)</f>
        <v>GAA</v>
      </c>
      <c r="U1603" s="428" t="str">
        <f>VLOOKUP(H1603,'Fund Utilization Report'!$A$4:$U$1800,3,FALSE)</f>
        <v>FY2021, RA11518</v>
      </c>
      <c r="V1603" s="428" t="str">
        <f>VLOOKUP(H1603,'Fund Utilization Report'!$A$4:$U$1800,4,FALSE)</f>
        <v>OTOP</v>
      </c>
      <c r="W1603" s="428" t="str">
        <f>VLOOKUP(H1603,'Fund Utilization Report'!$A$4:$U$1800,5,FALSE)</f>
        <v>01101101</v>
      </c>
      <c r="X1603" s="428" t="str">
        <f>VLOOKUP(H1603,'Fund Utilization Report'!$A$4:$U$1800,6,FALSE)</f>
        <v>GOP</v>
      </c>
      <c r="Y1603" s="320" t="str">
        <f>VLOOKUP(H1603,'Fund Utilization Report'!$A$4:$U$1800,7,FALSE)</f>
        <v>MOOE</v>
      </c>
      <c r="Z1603" s="425">
        <f>VLOOKUP(H1603,'Fund Utilization Report'!$A$4:$U$1800,8,FALSE)</f>
        <v>5020000000</v>
      </c>
      <c r="AA1603" s="428" t="str">
        <f>VLOOKUP(H1603,'Fund Utilization Report'!$A$4:$U$1800,14,FALSE)</f>
        <v>330100200002000</v>
      </c>
      <c r="AB1603" s="349" t="str">
        <f>VLOOKUP(H1603,'Fund Utilization Report'!$A$4:$U$1800,15,FALSE)</f>
        <v>OTOP - Next Generation</v>
      </c>
      <c r="AC1603" s="39"/>
      <c r="AD1603" s="34"/>
      <c r="AE1603" s="39"/>
      <c r="AF1603" s="51"/>
      <c r="AG1603" s="442"/>
      <c r="AH1603" s="442"/>
      <c r="AI1603" s="443"/>
    </row>
    <row r="1604" spans="1:35" s="32" customFormat="1">
      <c r="A1604" s="434" t="s">
        <v>942</v>
      </c>
      <c r="B1604" s="457" t="s">
        <v>946</v>
      </c>
      <c r="C1604" s="233">
        <v>44284</v>
      </c>
      <c r="D1604" s="435" t="s">
        <v>1267</v>
      </c>
      <c r="E1604" s="436" t="s">
        <v>1606</v>
      </c>
      <c r="F1604" s="338">
        <v>0.59791666666666665</v>
      </c>
      <c r="G1604" s="338">
        <v>0.60972222222222217</v>
      </c>
      <c r="H1604" s="338" t="s">
        <v>982</v>
      </c>
      <c r="I1604" s="353">
        <v>781</v>
      </c>
      <c r="J1604" s="338" t="str">
        <f>IFERROR(VLOOKUP(I1604,'Chart of accounts'!A:H,2,FALSE),"")</f>
        <v>50299020 00</v>
      </c>
      <c r="K1604" s="338" t="str">
        <f>IFERROR(VLOOKUP(I1604,'Chart of accounts'!A:H,3,FALSE),"")</f>
        <v>Printing and Binding Expenses</v>
      </c>
      <c r="L1604" s="338" t="str">
        <f>IFERROR(VLOOKUP(I1604,'Chart of accounts'!A:H,4,FALSE),"")</f>
        <v>50299020 00 - Printing and Binding Expenses (781)</v>
      </c>
      <c r="M1604" s="361" t="s">
        <v>905</v>
      </c>
      <c r="N1604" s="355" t="s">
        <v>1539</v>
      </c>
      <c r="O1604" s="355" t="s">
        <v>1605</v>
      </c>
      <c r="P1604" s="355"/>
      <c r="Q1604" s="363">
        <v>25000</v>
      </c>
      <c r="R1604" s="428">
        <f t="shared" si="67"/>
        <v>-25000</v>
      </c>
      <c r="S1604" s="428" t="str">
        <f>VLOOKUP(H1604,'Fund Utilization Report'!$A$4:$U$1800,13,FALSE)</f>
        <v>MOOE</v>
      </c>
      <c r="T1604" s="428" t="str">
        <f>VLOOKUP(H1604,'Fund Utilization Report'!$A$4:$U$1800,2,FALSE)</f>
        <v>GAA</v>
      </c>
      <c r="U1604" s="428" t="str">
        <f>VLOOKUP(H1604,'Fund Utilization Report'!$A$4:$U$1800,3,FALSE)</f>
        <v>FY2021, RA11518</v>
      </c>
      <c r="V1604" s="428" t="str">
        <f>VLOOKUP(H1604,'Fund Utilization Report'!$A$4:$U$1800,4,FALSE)</f>
        <v>OTOP</v>
      </c>
      <c r="W1604" s="428" t="str">
        <f>VLOOKUP(H1604,'Fund Utilization Report'!$A$4:$U$1800,5,FALSE)</f>
        <v>01101101</v>
      </c>
      <c r="X1604" s="428" t="str">
        <f>VLOOKUP(H1604,'Fund Utilization Report'!$A$4:$U$1800,6,FALSE)</f>
        <v>GOP</v>
      </c>
      <c r="Y1604" s="320" t="str">
        <f>VLOOKUP(H1604,'Fund Utilization Report'!$A$4:$U$1800,7,FALSE)</f>
        <v>MOOE</v>
      </c>
      <c r="Z1604" s="425">
        <f>VLOOKUP(H1604,'Fund Utilization Report'!$A$4:$U$1800,8,FALSE)</f>
        <v>5020000000</v>
      </c>
      <c r="AA1604" s="428" t="str">
        <f>VLOOKUP(H1604,'Fund Utilization Report'!$A$4:$U$1800,14,FALSE)</f>
        <v>330100200002000</v>
      </c>
      <c r="AB1604" s="349" t="str">
        <f>VLOOKUP(H1604,'Fund Utilization Report'!$A$4:$U$1800,15,FALSE)</f>
        <v>OTOP - Next Generation</v>
      </c>
      <c r="AC1604" s="39"/>
      <c r="AD1604" s="34"/>
      <c r="AE1604" s="39"/>
      <c r="AF1604" s="51"/>
      <c r="AG1604" s="442"/>
      <c r="AH1604" s="442"/>
      <c r="AI1604" s="443"/>
    </row>
    <row r="1605" spans="1:35" s="32" customFormat="1">
      <c r="A1605" s="434" t="s">
        <v>942</v>
      </c>
      <c r="B1605" s="457" t="s">
        <v>946</v>
      </c>
      <c r="C1605" s="233">
        <v>44284</v>
      </c>
      <c r="D1605" s="435" t="s">
        <v>1267</v>
      </c>
      <c r="E1605" s="436" t="s">
        <v>1606</v>
      </c>
      <c r="F1605" s="338">
        <v>0.59791666666666665</v>
      </c>
      <c r="G1605" s="338">
        <v>0.60972222222222217</v>
      </c>
      <c r="H1605" s="338" t="s">
        <v>982</v>
      </c>
      <c r="I1605" s="353">
        <v>783</v>
      </c>
      <c r="J1605" s="338" t="str">
        <f>IFERROR(VLOOKUP(I1605,'Chart of accounts'!A:H,2,FALSE),"")</f>
        <v>50299030 00</v>
      </c>
      <c r="K1605" s="338" t="str">
        <f>IFERROR(VLOOKUP(I1605,'Chart of accounts'!A:H,3,FALSE),"")</f>
        <v>Representation Expenses</v>
      </c>
      <c r="L1605" s="338" t="str">
        <f>IFERROR(VLOOKUP(I1605,'Chart of accounts'!A:H,4,FALSE),"")</f>
        <v>50299030 00 - Representation Expenses (783)</v>
      </c>
      <c r="M1605" s="361" t="s">
        <v>905</v>
      </c>
      <c r="N1605" s="355" t="s">
        <v>1539</v>
      </c>
      <c r="O1605" s="355" t="s">
        <v>1605</v>
      </c>
      <c r="P1605" s="355"/>
      <c r="Q1605" s="363">
        <v>25000</v>
      </c>
      <c r="R1605" s="428">
        <f t="shared" si="67"/>
        <v>-25000</v>
      </c>
      <c r="S1605" s="428" t="str">
        <f>VLOOKUP(H1605,'Fund Utilization Report'!$A$4:$U$1800,13,FALSE)</f>
        <v>MOOE</v>
      </c>
      <c r="T1605" s="428" t="str">
        <f>VLOOKUP(H1605,'Fund Utilization Report'!$A$4:$U$1800,2,FALSE)</f>
        <v>GAA</v>
      </c>
      <c r="U1605" s="428" t="str">
        <f>VLOOKUP(H1605,'Fund Utilization Report'!$A$4:$U$1800,3,FALSE)</f>
        <v>FY2021, RA11518</v>
      </c>
      <c r="V1605" s="428" t="str">
        <f>VLOOKUP(H1605,'Fund Utilization Report'!$A$4:$U$1800,4,FALSE)</f>
        <v>OTOP</v>
      </c>
      <c r="W1605" s="428" t="str">
        <f>VLOOKUP(H1605,'Fund Utilization Report'!$A$4:$U$1800,5,FALSE)</f>
        <v>01101101</v>
      </c>
      <c r="X1605" s="428" t="str">
        <f>VLOOKUP(H1605,'Fund Utilization Report'!$A$4:$U$1800,6,FALSE)</f>
        <v>GOP</v>
      </c>
      <c r="Y1605" s="320" t="str">
        <f>VLOOKUP(H1605,'Fund Utilization Report'!$A$4:$U$1800,7,FALSE)</f>
        <v>MOOE</v>
      </c>
      <c r="Z1605" s="425">
        <f>VLOOKUP(H1605,'Fund Utilization Report'!$A$4:$U$1800,8,FALSE)</f>
        <v>5020000000</v>
      </c>
      <c r="AA1605" s="428" t="str">
        <f>VLOOKUP(H1605,'Fund Utilization Report'!$A$4:$U$1800,14,FALSE)</f>
        <v>330100200002000</v>
      </c>
      <c r="AB1605" s="349" t="str">
        <f>VLOOKUP(H1605,'Fund Utilization Report'!$A$4:$U$1800,15,FALSE)</f>
        <v>OTOP - Next Generation</v>
      </c>
      <c r="AC1605" s="39"/>
      <c r="AD1605" s="34"/>
      <c r="AE1605" s="39"/>
      <c r="AF1605" s="51"/>
      <c r="AG1605" s="442"/>
      <c r="AH1605" s="442"/>
      <c r="AI1605" s="443"/>
    </row>
    <row r="1606" spans="1:35" s="32" customFormat="1">
      <c r="A1606" s="434" t="s">
        <v>942</v>
      </c>
      <c r="B1606" s="457" t="s">
        <v>946</v>
      </c>
      <c r="C1606" s="233">
        <v>44284</v>
      </c>
      <c r="D1606" s="435" t="s">
        <v>1267</v>
      </c>
      <c r="E1606" s="436" t="s">
        <v>1606</v>
      </c>
      <c r="F1606" s="338">
        <v>0.59791666666666665</v>
      </c>
      <c r="G1606" s="338">
        <v>0.60972222222222217</v>
      </c>
      <c r="H1606" s="338" t="s">
        <v>982</v>
      </c>
      <c r="I1606" s="353">
        <v>784</v>
      </c>
      <c r="J1606" s="338" t="str">
        <f>IFERROR(VLOOKUP(I1606,'Chart of accounts'!A:H,2,FALSE),"")</f>
        <v>50299040 00</v>
      </c>
      <c r="K1606" s="338" t="str">
        <f>IFERROR(VLOOKUP(I1606,'Chart of accounts'!A:H,3,FALSE),"")</f>
        <v>Transportation and Delivery Expenses</v>
      </c>
      <c r="L1606" s="338" t="str">
        <f>IFERROR(VLOOKUP(I1606,'Chart of accounts'!A:H,4,FALSE),"")</f>
        <v>50299040 00 - Transportation and Delivery Expenses (784)</v>
      </c>
      <c r="M1606" s="361" t="s">
        <v>905</v>
      </c>
      <c r="N1606" s="355" t="s">
        <v>1539</v>
      </c>
      <c r="O1606" s="355" t="s">
        <v>1605</v>
      </c>
      <c r="P1606" s="355"/>
      <c r="Q1606" s="363">
        <v>50000</v>
      </c>
      <c r="R1606" s="428">
        <f t="shared" si="67"/>
        <v>-50000</v>
      </c>
      <c r="S1606" s="428" t="str">
        <f>VLOOKUP(H1606,'Fund Utilization Report'!$A$4:$U$1800,13,FALSE)</f>
        <v>MOOE</v>
      </c>
      <c r="T1606" s="428" t="str">
        <f>VLOOKUP(H1606,'Fund Utilization Report'!$A$4:$U$1800,2,FALSE)</f>
        <v>GAA</v>
      </c>
      <c r="U1606" s="428" t="str">
        <f>VLOOKUP(H1606,'Fund Utilization Report'!$A$4:$U$1800,3,FALSE)</f>
        <v>FY2021, RA11518</v>
      </c>
      <c r="V1606" s="428" t="str">
        <f>VLOOKUP(H1606,'Fund Utilization Report'!$A$4:$U$1800,4,FALSE)</f>
        <v>OTOP</v>
      </c>
      <c r="W1606" s="428" t="str">
        <f>VLOOKUP(H1606,'Fund Utilization Report'!$A$4:$U$1800,5,FALSE)</f>
        <v>01101101</v>
      </c>
      <c r="X1606" s="428" t="str">
        <f>VLOOKUP(H1606,'Fund Utilization Report'!$A$4:$U$1800,6,FALSE)</f>
        <v>GOP</v>
      </c>
      <c r="Y1606" s="320" t="str">
        <f>VLOOKUP(H1606,'Fund Utilization Report'!$A$4:$U$1800,7,FALSE)</f>
        <v>MOOE</v>
      </c>
      <c r="Z1606" s="425">
        <f>VLOOKUP(H1606,'Fund Utilization Report'!$A$4:$U$1800,8,FALSE)</f>
        <v>5020000000</v>
      </c>
      <c r="AA1606" s="428" t="str">
        <f>VLOOKUP(H1606,'Fund Utilization Report'!$A$4:$U$1800,14,FALSE)</f>
        <v>330100200002000</v>
      </c>
      <c r="AB1606" s="349" t="str">
        <f>VLOOKUP(H1606,'Fund Utilization Report'!$A$4:$U$1800,15,FALSE)</f>
        <v>OTOP - Next Generation</v>
      </c>
      <c r="AC1606" s="39"/>
      <c r="AD1606" s="34"/>
      <c r="AE1606" s="39"/>
      <c r="AF1606" s="51"/>
      <c r="AG1606" s="442"/>
      <c r="AH1606" s="442"/>
      <c r="AI1606" s="443"/>
    </row>
    <row r="1607" spans="1:35" s="32" customFormat="1">
      <c r="A1607" s="434" t="s">
        <v>942</v>
      </c>
      <c r="B1607" s="457" t="s">
        <v>946</v>
      </c>
      <c r="C1607" s="233">
        <v>44284</v>
      </c>
      <c r="D1607" s="435" t="s">
        <v>1267</v>
      </c>
      <c r="E1607" s="436" t="s">
        <v>1607</v>
      </c>
      <c r="F1607" s="338">
        <v>0.60972222222222217</v>
      </c>
      <c r="G1607" s="338">
        <v>0.6118055555555556</v>
      </c>
      <c r="H1607" s="338" t="s">
        <v>982</v>
      </c>
      <c r="I1607" s="353">
        <v>751</v>
      </c>
      <c r="J1607" s="338" t="str">
        <f>IFERROR(VLOOKUP(I1607,'Chart of accounts'!A:H,2,FALSE),"")</f>
        <v>50201010 00</v>
      </c>
      <c r="K1607" s="338" t="str">
        <f>IFERROR(VLOOKUP(I1607,'Chart of accounts'!A:H,3,FALSE),"")</f>
        <v>Traveling Expenses - Local</v>
      </c>
      <c r="L1607" s="338" t="str">
        <f>IFERROR(VLOOKUP(I1607,'Chart of accounts'!A:H,4,FALSE),"")</f>
        <v>50201010 00 - Traveling Expenses - Local (751)</v>
      </c>
      <c r="M1607" s="361" t="s">
        <v>905</v>
      </c>
      <c r="N1607" s="355" t="s">
        <v>1540</v>
      </c>
      <c r="O1607" s="355" t="s">
        <v>1605</v>
      </c>
      <c r="P1607" s="355"/>
      <c r="Q1607" s="363">
        <v>70000</v>
      </c>
      <c r="R1607" s="428">
        <f t="shared" si="67"/>
        <v>-70000</v>
      </c>
      <c r="S1607" s="428" t="str">
        <f>VLOOKUP(H1607,'Fund Utilization Report'!$A$4:$U$1800,13,FALSE)</f>
        <v>MOOE</v>
      </c>
      <c r="T1607" s="428" t="str">
        <f>VLOOKUP(H1607,'Fund Utilization Report'!$A$4:$U$1800,2,FALSE)</f>
        <v>GAA</v>
      </c>
      <c r="U1607" s="428" t="str">
        <f>VLOOKUP(H1607,'Fund Utilization Report'!$A$4:$U$1800,3,FALSE)</f>
        <v>FY2021, RA11518</v>
      </c>
      <c r="V1607" s="428" t="str">
        <f>VLOOKUP(H1607,'Fund Utilization Report'!$A$4:$U$1800,4,FALSE)</f>
        <v>OTOP</v>
      </c>
      <c r="W1607" s="428" t="str">
        <f>VLOOKUP(H1607,'Fund Utilization Report'!$A$4:$U$1800,5,FALSE)</f>
        <v>01101101</v>
      </c>
      <c r="X1607" s="428" t="str">
        <f>VLOOKUP(H1607,'Fund Utilization Report'!$A$4:$U$1800,6,FALSE)</f>
        <v>GOP</v>
      </c>
      <c r="Y1607" s="320" t="str">
        <f>VLOOKUP(H1607,'Fund Utilization Report'!$A$4:$U$1800,7,FALSE)</f>
        <v>MOOE</v>
      </c>
      <c r="Z1607" s="425">
        <f>VLOOKUP(H1607,'Fund Utilization Report'!$A$4:$U$1800,8,FALSE)</f>
        <v>5020000000</v>
      </c>
      <c r="AA1607" s="428" t="str">
        <f>VLOOKUP(H1607,'Fund Utilization Report'!$A$4:$U$1800,14,FALSE)</f>
        <v>330100200002000</v>
      </c>
      <c r="AB1607" s="349" t="str">
        <f>VLOOKUP(H1607,'Fund Utilization Report'!$A$4:$U$1800,15,FALSE)</f>
        <v>OTOP - Next Generation</v>
      </c>
      <c r="AC1607" s="39"/>
      <c r="AD1607" s="34"/>
      <c r="AE1607" s="39"/>
      <c r="AF1607" s="51"/>
      <c r="AG1607" s="442"/>
      <c r="AH1607" s="442"/>
      <c r="AI1607" s="443"/>
    </row>
    <row r="1608" spans="1:35" s="32" customFormat="1">
      <c r="A1608" s="434" t="s">
        <v>942</v>
      </c>
      <c r="B1608" s="457" t="s">
        <v>946</v>
      </c>
      <c r="C1608" s="233">
        <v>44284</v>
      </c>
      <c r="D1608" s="435" t="s">
        <v>1267</v>
      </c>
      <c r="E1608" s="436" t="s">
        <v>1607</v>
      </c>
      <c r="F1608" s="338">
        <v>0.60972222222222217</v>
      </c>
      <c r="G1608" s="338">
        <v>0.6118055555555556</v>
      </c>
      <c r="H1608" s="338" t="s">
        <v>982</v>
      </c>
      <c r="I1608" s="353">
        <v>753</v>
      </c>
      <c r="J1608" s="338" t="str">
        <f>IFERROR(VLOOKUP(I1608,'Chart of accounts'!A:H,2,FALSE),"")</f>
        <v>50202010 00</v>
      </c>
      <c r="K1608" s="338" t="str">
        <f>IFERROR(VLOOKUP(I1608,'Chart of accounts'!A:H,3,FALSE),"")</f>
        <v>Training Expenses</v>
      </c>
      <c r="L1608" s="338" t="str">
        <f>IFERROR(VLOOKUP(I1608,'Chart of accounts'!A:H,4,FALSE),"")</f>
        <v>50202010 00 - Training Expenses (753)</v>
      </c>
      <c r="M1608" s="361" t="s">
        <v>905</v>
      </c>
      <c r="N1608" s="355" t="s">
        <v>1540</v>
      </c>
      <c r="O1608" s="355" t="s">
        <v>1605</v>
      </c>
      <c r="P1608" s="355"/>
      <c r="Q1608" s="363">
        <v>15000</v>
      </c>
      <c r="R1608" s="428">
        <f t="shared" si="67"/>
        <v>-15000</v>
      </c>
      <c r="S1608" s="428" t="str">
        <f>VLOOKUP(H1608,'Fund Utilization Report'!$A$4:$U$1800,13,FALSE)</f>
        <v>MOOE</v>
      </c>
      <c r="T1608" s="428" t="str">
        <f>VLOOKUP(H1608,'Fund Utilization Report'!$A$4:$U$1800,2,FALSE)</f>
        <v>GAA</v>
      </c>
      <c r="U1608" s="428" t="str">
        <f>VLOOKUP(H1608,'Fund Utilization Report'!$A$4:$U$1800,3,FALSE)</f>
        <v>FY2021, RA11518</v>
      </c>
      <c r="V1608" s="428" t="str">
        <f>VLOOKUP(H1608,'Fund Utilization Report'!$A$4:$U$1800,4,FALSE)</f>
        <v>OTOP</v>
      </c>
      <c r="W1608" s="428" t="str">
        <f>VLOOKUP(H1608,'Fund Utilization Report'!$A$4:$U$1800,5,FALSE)</f>
        <v>01101101</v>
      </c>
      <c r="X1608" s="428" t="str">
        <f>VLOOKUP(H1608,'Fund Utilization Report'!$A$4:$U$1800,6,FALSE)</f>
        <v>GOP</v>
      </c>
      <c r="Y1608" s="320" t="str">
        <f>VLOOKUP(H1608,'Fund Utilization Report'!$A$4:$U$1800,7,FALSE)</f>
        <v>MOOE</v>
      </c>
      <c r="Z1608" s="425">
        <f>VLOOKUP(H1608,'Fund Utilization Report'!$A$4:$U$1800,8,FALSE)</f>
        <v>5020000000</v>
      </c>
      <c r="AA1608" s="428" t="str">
        <f>VLOOKUP(H1608,'Fund Utilization Report'!$A$4:$U$1800,14,FALSE)</f>
        <v>330100200002000</v>
      </c>
      <c r="AB1608" s="349" t="str">
        <f>VLOOKUP(H1608,'Fund Utilization Report'!$A$4:$U$1800,15,FALSE)</f>
        <v>OTOP - Next Generation</v>
      </c>
      <c r="AC1608" s="39"/>
      <c r="AD1608" s="34"/>
      <c r="AE1608" s="39"/>
      <c r="AF1608" s="51"/>
      <c r="AG1608" s="442"/>
      <c r="AH1608" s="442"/>
      <c r="AI1608" s="443"/>
    </row>
    <row r="1609" spans="1:35" s="32" customFormat="1">
      <c r="A1609" s="434" t="s">
        <v>942</v>
      </c>
      <c r="B1609" s="457" t="s">
        <v>946</v>
      </c>
      <c r="C1609" s="233">
        <v>44284</v>
      </c>
      <c r="D1609" s="435" t="s">
        <v>1267</v>
      </c>
      <c r="E1609" s="436" t="s">
        <v>1607</v>
      </c>
      <c r="F1609" s="338">
        <v>0.60972222222222217</v>
      </c>
      <c r="G1609" s="338">
        <v>0.6118055555555556</v>
      </c>
      <c r="H1609" s="338" t="s">
        <v>982</v>
      </c>
      <c r="I1609" s="353">
        <v>755</v>
      </c>
      <c r="J1609" s="338" t="str">
        <f>IFERROR(VLOOKUP(I1609,'Chart of accounts'!A:H,2,FALSE),"")</f>
        <v>50203010 00</v>
      </c>
      <c r="K1609" s="338" t="str">
        <f>IFERROR(VLOOKUP(I1609,'Chart of accounts'!A:H,3,FALSE),"")</f>
        <v>Office Supplies Expenses</v>
      </c>
      <c r="L1609" s="338" t="str">
        <f>IFERROR(VLOOKUP(I1609,'Chart of accounts'!A:H,4,FALSE),"")</f>
        <v>50203010 00 - Office Supplies Expenses (755)</v>
      </c>
      <c r="M1609" s="361" t="s">
        <v>905</v>
      </c>
      <c r="N1609" s="355" t="s">
        <v>1540</v>
      </c>
      <c r="O1609" s="355" t="s">
        <v>1605</v>
      </c>
      <c r="P1609" s="355"/>
      <c r="Q1609" s="363">
        <v>10000</v>
      </c>
      <c r="R1609" s="428">
        <f t="shared" si="67"/>
        <v>-10000</v>
      </c>
      <c r="S1609" s="428" t="str">
        <f>VLOOKUP(H1609,'Fund Utilization Report'!$A$4:$U$1800,13,FALSE)</f>
        <v>MOOE</v>
      </c>
      <c r="T1609" s="428" t="str">
        <f>VLOOKUP(H1609,'Fund Utilization Report'!$A$4:$U$1800,2,FALSE)</f>
        <v>GAA</v>
      </c>
      <c r="U1609" s="428" t="str">
        <f>VLOOKUP(H1609,'Fund Utilization Report'!$A$4:$U$1800,3,FALSE)</f>
        <v>FY2021, RA11518</v>
      </c>
      <c r="V1609" s="428" t="str">
        <f>VLOOKUP(H1609,'Fund Utilization Report'!$A$4:$U$1800,4,FALSE)</f>
        <v>OTOP</v>
      </c>
      <c r="W1609" s="428" t="str">
        <f>VLOOKUP(H1609,'Fund Utilization Report'!$A$4:$U$1800,5,FALSE)</f>
        <v>01101101</v>
      </c>
      <c r="X1609" s="428" t="str">
        <f>VLOOKUP(H1609,'Fund Utilization Report'!$A$4:$U$1800,6,FALSE)</f>
        <v>GOP</v>
      </c>
      <c r="Y1609" s="320" t="str">
        <f>VLOOKUP(H1609,'Fund Utilization Report'!$A$4:$U$1800,7,FALSE)</f>
        <v>MOOE</v>
      </c>
      <c r="Z1609" s="425">
        <f>VLOOKUP(H1609,'Fund Utilization Report'!$A$4:$U$1800,8,FALSE)</f>
        <v>5020000000</v>
      </c>
      <c r="AA1609" s="428" t="str">
        <f>VLOOKUP(H1609,'Fund Utilization Report'!$A$4:$U$1800,14,FALSE)</f>
        <v>330100200002000</v>
      </c>
      <c r="AB1609" s="349" t="str">
        <f>VLOOKUP(H1609,'Fund Utilization Report'!$A$4:$U$1800,15,FALSE)</f>
        <v>OTOP - Next Generation</v>
      </c>
      <c r="AC1609" s="39"/>
      <c r="AD1609" s="34"/>
      <c r="AE1609" s="39"/>
      <c r="AF1609" s="51"/>
      <c r="AG1609" s="442"/>
      <c r="AH1609" s="442"/>
      <c r="AI1609" s="443"/>
    </row>
    <row r="1610" spans="1:35" s="32" customFormat="1">
      <c r="A1610" s="434" t="s">
        <v>942</v>
      </c>
      <c r="B1610" s="457" t="s">
        <v>946</v>
      </c>
      <c r="C1610" s="233">
        <v>44284</v>
      </c>
      <c r="D1610" s="435" t="s">
        <v>1267</v>
      </c>
      <c r="E1610" s="436" t="s">
        <v>1607</v>
      </c>
      <c r="F1610" s="338">
        <v>0.60972222222222217</v>
      </c>
      <c r="G1610" s="338">
        <v>0.6118055555555556</v>
      </c>
      <c r="H1610" s="338" t="s">
        <v>982</v>
      </c>
      <c r="I1610" s="353">
        <v>793</v>
      </c>
      <c r="J1610" s="338" t="str">
        <f>IFERROR(VLOOKUP(I1610,'Chart of accounts'!A:H,2,FALSE),"")</f>
        <v>50211030 00</v>
      </c>
      <c r="K1610" s="338" t="str">
        <f>IFERROR(VLOOKUP(I1610,'Chart of accounts'!A:H,3,FALSE),"")</f>
        <v>Consultancy Services</v>
      </c>
      <c r="L1610" s="338" t="str">
        <f>IFERROR(VLOOKUP(I1610,'Chart of accounts'!A:H,4,FALSE),"")</f>
        <v>50211030 00 - Consultancy Services (793)</v>
      </c>
      <c r="M1610" s="361" t="s">
        <v>905</v>
      </c>
      <c r="N1610" s="355" t="s">
        <v>1540</v>
      </c>
      <c r="O1610" s="355" t="s">
        <v>1605</v>
      </c>
      <c r="P1610" s="355"/>
      <c r="Q1610" s="363">
        <v>50000</v>
      </c>
      <c r="R1610" s="428">
        <f t="shared" si="67"/>
        <v>-50000</v>
      </c>
      <c r="S1610" s="428" t="str">
        <f>VLOOKUP(H1610,'Fund Utilization Report'!$A$4:$U$1800,13,FALSE)</f>
        <v>MOOE</v>
      </c>
      <c r="T1610" s="428" t="str">
        <f>VLOOKUP(H1610,'Fund Utilization Report'!$A$4:$U$1800,2,FALSE)</f>
        <v>GAA</v>
      </c>
      <c r="U1610" s="428" t="str">
        <f>VLOOKUP(H1610,'Fund Utilization Report'!$A$4:$U$1800,3,FALSE)</f>
        <v>FY2021, RA11518</v>
      </c>
      <c r="V1610" s="428" t="str">
        <f>VLOOKUP(H1610,'Fund Utilization Report'!$A$4:$U$1800,4,FALSE)</f>
        <v>OTOP</v>
      </c>
      <c r="W1610" s="428" t="str">
        <f>VLOOKUP(H1610,'Fund Utilization Report'!$A$4:$U$1800,5,FALSE)</f>
        <v>01101101</v>
      </c>
      <c r="X1610" s="428" t="str">
        <f>VLOOKUP(H1610,'Fund Utilization Report'!$A$4:$U$1800,6,FALSE)</f>
        <v>GOP</v>
      </c>
      <c r="Y1610" s="320" t="str">
        <f>VLOOKUP(H1610,'Fund Utilization Report'!$A$4:$U$1800,7,FALSE)</f>
        <v>MOOE</v>
      </c>
      <c r="Z1610" s="425">
        <f>VLOOKUP(H1610,'Fund Utilization Report'!$A$4:$U$1800,8,FALSE)</f>
        <v>5020000000</v>
      </c>
      <c r="AA1610" s="428" t="str">
        <f>VLOOKUP(H1610,'Fund Utilization Report'!$A$4:$U$1800,14,FALSE)</f>
        <v>330100200002000</v>
      </c>
      <c r="AB1610" s="349" t="str">
        <f>VLOOKUP(H1610,'Fund Utilization Report'!$A$4:$U$1800,15,FALSE)</f>
        <v>OTOP - Next Generation</v>
      </c>
      <c r="AC1610" s="39"/>
      <c r="AD1610" s="34"/>
      <c r="AE1610" s="39"/>
      <c r="AF1610" s="51"/>
      <c r="AG1610" s="442"/>
      <c r="AH1610" s="442"/>
      <c r="AI1610" s="443"/>
    </row>
    <row r="1611" spans="1:35" s="32" customFormat="1">
      <c r="A1611" s="434" t="s">
        <v>942</v>
      </c>
      <c r="B1611" s="457" t="s">
        <v>946</v>
      </c>
      <c r="C1611" s="233">
        <v>44284</v>
      </c>
      <c r="D1611" s="435" t="s">
        <v>1267</v>
      </c>
      <c r="E1611" s="436" t="s">
        <v>1607</v>
      </c>
      <c r="F1611" s="338">
        <v>0.60972222222222217</v>
      </c>
      <c r="G1611" s="338">
        <v>0.6118055555555556</v>
      </c>
      <c r="H1611" s="338" t="s">
        <v>982</v>
      </c>
      <c r="I1611" s="353">
        <v>799</v>
      </c>
      <c r="J1611" s="338" t="str">
        <f>IFERROR(VLOOKUP(I1611,'Chart of accounts'!A:H,2,FALSE),"")</f>
        <v>50211990 00</v>
      </c>
      <c r="K1611" s="338" t="str">
        <f>IFERROR(VLOOKUP(I1611,'Chart of accounts'!A:H,3,FALSE),"")</f>
        <v>Other Professional Services</v>
      </c>
      <c r="L1611" s="338" t="str">
        <f>IFERROR(VLOOKUP(I1611,'Chart of accounts'!A:H,4,FALSE),"")</f>
        <v>50211990 00 - Other Professional Services (799)</v>
      </c>
      <c r="M1611" s="361" t="s">
        <v>905</v>
      </c>
      <c r="N1611" s="355" t="s">
        <v>1540</v>
      </c>
      <c r="O1611" s="355" t="s">
        <v>1605</v>
      </c>
      <c r="P1611" s="355"/>
      <c r="Q1611" s="363">
        <v>40000</v>
      </c>
      <c r="R1611" s="428">
        <f t="shared" ref="R1611:R1622" si="68">P1611-Q1611</f>
        <v>-40000</v>
      </c>
      <c r="S1611" s="428" t="str">
        <f>VLOOKUP(H1611,'Fund Utilization Report'!$A$4:$U$1800,13,FALSE)</f>
        <v>MOOE</v>
      </c>
      <c r="T1611" s="428" t="str">
        <f>VLOOKUP(H1611,'Fund Utilization Report'!$A$4:$U$1800,2,FALSE)</f>
        <v>GAA</v>
      </c>
      <c r="U1611" s="428" t="str">
        <f>VLOOKUP(H1611,'Fund Utilization Report'!$A$4:$U$1800,3,FALSE)</f>
        <v>FY2021, RA11518</v>
      </c>
      <c r="V1611" s="428" t="str">
        <f>VLOOKUP(H1611,'Fund Utilization Report'!$A$4:$U$1800,4,FALSE)</f>
        <v>OTOP</v>
      </c>
      <c r="W1611" s="428" t="str">
        <f>VLOOKUP(H1611,'Fund Utilization Report'!$A$4:$U$1800,5,FALSE)</f>
        <v>01101101</v>
      </c>
      <c r="X1611" s="428" t="str">
        <f>VLOOKUP(H1611,'Fund Utilization Report'!$A$4:$U$1800,6,FALSE)</f>
        <v>GOP</v>
      </c>
      <c r="Y1611" s="320" t="str">
        <f>VLOOKUP(H1611,'Fund Utilization Report'!$A$4:$U$1800,7,FALSE)</f>
        <v>MOOE</v>
      </c>
      <c r="Z1611" s="425">
        <f>VLOOKUP(H1611,'Fund Utilization Report'!$A$4:$U$1800,8,FALSE)</f>
        <v>5020000000</v>
      </c>
      <c r="AA1611" s="428" t="str">
        <f>VLOOKUP(H1611,'Fund Utilization Report'!$A$4:$U$1800,14,FALSE)</f>
        <v>330100200002000</v>
      </c>
      <c r="AB1611" s="349" t="str">
        <f>VLOOKUP(H1611,'Fund Utilization Report'!$A$4:$U$1800,15,FALSE)</f>
        <v>OTOP - Next Generation</v>
      </c>
      <c r="AC1611" s="39"/>
      <c r="AD1611" s="34"/>
      <c r="AE1611" s="39"/>
      <c r="AF1611" s="51"/>
      <c r="AG1611" s="442"/>
      <c r="AH1611" s="442"/>
      <c r="AI1611" s="443"/>
    </row>
    <row r="1612" spans="1:35" s="32" customFormat="1">
      <c r="A1612" s="434" t="s">
        <v>942</v>
      </c>
      <c r="B1612" s="457" t="s">
        <v>946</v>
      </c>
      <c r="C1612" s="233">
        <v>44284</v>
      </c>
      <c r="D1612" s="435" t="s">
        <v>1267</v>
      </c>
      <c r="E1612" s="436" t="s">
        <v>1607</v>
      </c>
      <c r="F1612" s="338">
        <v>0.60972222222222217</v>
      </c>
      <c r="G1612" s="338">
        <v>0.6118055555555556</v>
      </c>
      <c r="H1612" s="338" t="s">
        <v>982</v>
      </c>
      <c r="I1612" s="353">
        <v>780</v>
      </c>
      <c r="J1612" s="338" t="str">
        <f>IFERROR(VLOOKUP(I1612,'Chart of accounts'!A:H,2,FALSE),"")</f>
        <v>50299010 00</v>
      </c>
      <c r="K1612" s="338" t="str">
        <f>IFERROR(VLOOKUP(I1612,'Chart of accounts'!A:H,3,FALSE),"")</f>
        <v>Advertising Expenses</v>
      </c>
      <c r="L1612" s="338" t="str">
        <f>IFERROR(VLOOKUP(I1612,'Chart of accounts'!A:H,4,FALSE),"")</f>
        <v>50299010 00 - Advertising Expenses (780)</v>
      </c>
      <c r="M1612" s="361" t="s">
        <v>905</v>
      </c>
      <c r="N1612" s="355" t="s">
        <v>1540</v>
      </c>
      <c r="O1612" s="355" t="s">
        <v>1605</v>
      </c>
      <c r="P1612" s="355"/>
      <c r="Q1612" s="363">
        <v>63243.76</v>
      </c>
      <c r="R1612" s="428">
        <f t="shared" si="68"/>
        <v>-63243.76</v>
      </c>
      <c r="S1612" s="428" t="str">
        <f>VLOOKUP(H1612,'Fund Utilization Report'!$A$4:$U$1800,13,FALSE)</f>
        <v>MOOE</v>
      </c>
      <c r="T1612" s="428" t="str">
        <f>VLOOKUP(H1612,'Fund Utilization Report'!$A$4:$U$1800,2,FALSE)</f>
        <v>GAA</v>
      </c>
      <c r="U1612" s="428" t="str">
        <f>VLOOKUP(H1612,'Fund Utilization Report'!$A$4:$U$1800,3,FALSE)</f>
        <v>FY2021, RA11518</v>
      </c>
      <c r="V1612" s="428" t="str">
        <f>VLOOKUP(H1612,'Fund Utilization Report'!$A$4:$U$1800,4,FALSE)</f>
        <v>OTOP</v>
      </c>
      <c r="W1612" s="428" t="str">
        <f>VLOOKUP(H1612,'Fund Utilization Report'!$A$4:$U$1800,5,FALSE)</f>
        <v>01101101</v>
      </c>
      <c r="X1612" s="428" t="str">
        <f>VLOOKUP(H1612,'Fund Utilization Report'!$A$4:$U$1800,6,FALSE)</f>
        <v>GOP</v>
      </c>
      <c r="Y1612" s="320" t="str">
        <f>VLOOKUP(H1612,'Fund Utilization Report'!$A$4:$U$1800,7,FALSE)</f>
        <v>MOOE</v>
      </c>
      <c r="Z1612" s="425">
        <f>VLOOKUP(H1612,'Fund Utilization Report'!$A$4:$U$1800,8,FALSE)</f>
        <v>5020000000</v>
      </c>
      <c r="AA1612" s="428" t="str">
        <f>VLOOKUP(H1612,'Fund Utilization Report'!$A$4:$U$1800,14,FALSE)</f>
        <v>330100200002000</v>
      </c>
      <c r="AB1612" s="349" t="str">
        <f>VLOOKUP(H1612,'Fund Utilization Report'!$A$4:$U$1800,15,FALSE)</f>
        <v>OTOP - Next Generation</v>
      </c>
      <c r="AC1612" s="39"/>
      <c r="AD1612" s="34"/>
      <c r="AE1612" s="39"/>
      <c r="AF1612" s="51"/>
      <c r="AG1612" s="442"/>
      <c r="AH1612" s="442"/>
      <c r="AI1612" s="443"/>
    </row>
    <row r="1613" spans="1:35" s="32" customFormat="1">
      <c r="A1613" s="434" t="s">
        <v>942</v>
      </c>
      <c r="B1613" s="457" t="s">
        <v>946</v>
      </c>
      <c r="C1613" s="233">
        <v>44284</v>
      </c>
      <c r="D1613" s="435" t="s">
        <v>1267</v>
      </c>
      <c r="E1613" s="436" t="s">
        <v>1607</v>
      </c>
      <c r="F1613" s="338">
        <v>0.60972222222222217</v>
      </c>
      <c r="G1613" s="338">
        <v>0.6118055555555556</v>
      </c>
      <c r="H1613" s="338" t="s">
        <v>982</v>
      </c>
      <c r="I1613" s="353">
        <v>781</v>
      </c>
      <c r="J1613" s="338" t="str">
        <f>IFERROR(VLOOKUP(I1613,'Chart of accounts'!A:H,2,FALSE),"")</f>
        <v>50299020 00</v>
      </c>
      <c r="K1613" s="338" t="str">
        <f>IFERROR(VLOOKUP(I1613,'Chart of accounts'!A:H,3,FALSE),"")</f>
        <v>Printing and Binding Expenses</v>
      </c>
      <c r="L1613" s="338" t="str">
        <f>IFERROR(VLOOKUP(I1613,'Chart of accounts'!A:H,4,FALSE),"")</f>
        <v>50299020 00 - Printing and Binding Expenses (781)</v>
      </c>
      <c r="M1613" s="361" t="s">
        <v>905</v>
      </c>
      <c r="N1613" s="355" t="s">
        <v>1540</v>
      </c>
      <c r="O1613" s="355" t="s">
        <v>1605</v>
      </c>
      <c r="P1613" s="355"/>
      <c r="Q1613" s="363">
        <v>25000</v>
      </c>
      <c r="R1613" s="428">
        <f t="shared" si="68"/>
        <v>-25000</v>
      </c>
      <c r="S1613" s="428" t="str">
        <f>VLOOKUP(H1613,'Fund Utilization Report'!$A$4:$U$1800,13,FALSE)</f>
        <v>MOOE</v>
      </c>
      <c r="T1613" s="428" t="str">
        <f>VLOOKUP(H1613,'Fund Utilization Report'!$A$4:$U$1800,2,FALSE)</f>
        <v>GAA</v>
      </c>
      <c r="U1613" s="428" t="str">
        <f>VLOOKUP(H1613,'Fund Utilization Report'!$A$4:$U$1800,3,FALSE)</f>
        <v>FY2021, RA11518</v>
      </c>
      <c r="V1613" s="428" t="str">
        <f>VLOOKUP(H1613,'Fund Utilization Report'!$A$4:$U$1800,4,FALSE)</f>
        <v>OTOP</v>
      </c>
      <c r="W1613" s="428" t="str">
        <f>VLOOKUP(H1613,'Fund Utilization Report'!$A$4:$U$1800,5,FALSE)</f>
        <v>01101101</v>
      </c>
      <c r="X1613" s="428" t="str">
        <f>VLOOKUP(H1613,'Fund Utilization Report'!$A$4:$U$1800,6,FALSE)</f>
        <v>GOP</v>
      </c>
      <c r="Y1613" s="320" t="str">
        <f>VLOOKUP(H1613,'Fund Utilization Report'!$A$4:$U$1800,7,FALSE)</f>
        <v>MOOE</v>
      </c>
      <c r="Z1613" s="425">
        <f>VLOOKUP(H1613,'Fund Utilization Report'!$A$4:$U$1800,8,FALSE)</f>
        <v>5020000000</v>
      </c>
      <c r="AA1613" s="428" t="str">
        <f>VLOOKUP(H1613,'Fund Utilization Report'!$A$4:$U$1800,14,FALSE)</f>
        <v>330100200002000</v>
      </c>
      <c r="AB1613" s="349" t="str">
        <f>VLOOKUP(H1613,'Fund Utilization Report'!$A$4:$U$1800,15,FALSE)</f>
        <v>OTOP - Next Generation</v>
      </c>
      <c r="AC1613" s="39"/>
      <c r="AD1613" s="34"/>
      <c r="AE1613" s="39"/>
      <c r="AF1613" s="51"/>
      <c r="AG1613" s="442"/>
      <c r="AH1613" s="442"/>
      <c r="AI1613" s="443"/>
    </row>
    <row r="1614" spans="1:35" s="32" customFormat="1">
      <c r="A1614" s="434" t="s">
        <v>942</v>
      </c>
      <c r="B1614" s="457" t="s">
        <v>946</v>
      </c>
      <c r="C1614" s="233">
        <v>44284</v>
      </c>
      <c r="D1614" s="435" t="s">
        <v>1267</v>
      </c>
      <c r="E1614" s="436" t="s">
        <v>1607</v>
      </c>
      <c r="F1614" s="338">
        <v>0.60972222222222217</v>
      </c>
      <c r="G1614" s="338">
        <v>0.6118055555555556</v>
      </c>
      <c r="H1614" s="338" t="s">
        <v>982</v>
      </c>
      <c r="I1614" s="353">
        <v>783</v>
      </c>
      <c r="J1614" s="338" t="str">
        <f>IFERROR(VLOOKUP(I1614,'Chart of accounts'!A:H,2,FALSE),"")</f>
        <v>50299030 00</v>
      </c>
      <c r="K1614" s="338" t="str">
        <f>IFERROR(VLOOKUP(I1614,'Chart of accounts'!A:H,3,FALSE),"")</f>
        <v>Representation Expenses</v>
      </c>
      <c r="L1614" s="338" t="str">
        <f>IFERROR(VLOOKUP(I1614,'Chart of accounts'!A:H,4,FALSE),"")</f>
        <v>50299030 00 - Representation Expenses (783)</v>
      </c>
      <c r="M1614" s="361" t="s">
        <v>905</v>
      </c>
      <c r="N1614" s="355" t="s">
        <v>1540</v>
      </c>
      <c r="O1614" s="355" t="s">
        <v>1605</v>
      </c>
      <c r="P1614" s="355"/>
      <c r="Q1614" s="363">
        <v>25000</v>
      </c>
      <c r="R1614" s="428">
        <f t="shared" si="68"/>
        <v>-25000</v>
      </c>
      <c r="S1614" s="428" t="str">
        <f>VLOOKUP(H1614,'Fund Utilization Report'!$A$4:$U$1800,13,FALSE)</f>
        <v>MOOE</v>
      </c>
      <c r="T1614" s="428" t="str">
        <f>VLOOKUP(H1614,'Fund Utilization Report'!$A$4:$U$1800,2,FALSE)</f>
        <v>GAA</v>
      </c>
      <c r="U1614" s="428" t="str">
        <f>VLOOKUP(H1614,'Fund Utilization Report'!$A$4:$U$1800,3,FALSE)</f>
        <v>FY2021, RA11518</v>
      </c>
      <c r="V1614" s="428" t="str">
        <f>VLOOKUP(H1614,'Fund Utilization Report'!$A$4:$U$1800,4,FALSE)</f>
        <v>OTOP</v>
      </c>
      <c r="W1614" s="428" t="str">
        <f>VLOOKUP(H1614,'Fund Utilization Report'!$A$4:$U$1800,5,FALSE)</f>
        <v>01101101</v>
      </c>
      <c r="X1614" s="428" t="str">
        <f>VLOOKUP(H1614,'Fund Utilization Report'!$A$4:$U$1800,6,FALSE)</f>
        <v>GOP</v>
      </c>
      <c r="Y1614" s="320" t="str">
        <f>VLOOKUP(H1614,'Fund Utilization Report'!$A$4:$U$1800,7,FALSE)</f>
        <v>MOOE</v>
      </c>
      <c r="Z1614" s="425">
        <f>VLOOKUP(H1614,'Fund Utilization Report'!$A$4:$U$1800,8,FALSE)</f>
        <v>5020000000</v>
      </c>
      <c r="AA1614" s="428" t="str">
        <f>VLOOKUP(H1614,'Fund Utilization Report'!$A$4:$U$1800,14,FALSE)</f>
        <v>330100200002000</v>
      </c>
      <c r="AB1614" s="349" t="str">
        <f>VLOOKUP(H1614,'Fund Utilization Report'!$A$4:$U$1800,15,FALSE)</f>
        <v>OTOP - Next Generation</v>
      </c>
      <c r="AC1614" s="39"/>
      <c r="AD1614" s="34"/>
      <c r="AE1614" s="39"/>
      <c r="AF1614" s="51"/>
      <c r="AG1614" s="442"/>
      <c r="AH1614" s="442"/>
      <c r="AI1614" s="443"/>
    </row>
    <row r="1615" spans="1:35" s="32" customFormat="1">
      <c r="A1615" s="434" t="s">
        <v>942</v>
      </c>
      <c r="B1615" s="457" t="s">
        <v>946</v>
      </c>
      <c r="C1615" s="233">
        <v>44284</v>
      </c>
      <c r="D1615" s="435" t="s">
        <v>1267</v>
      </c>
      <c r="E1615" s="436" t="s">
        <v>1607</v>
      </c>
      <c r="F1615" s="338">
        <v>0.60972222222222217</v>
      </c>
      <c r="G1615" s="338">
        <v>0.6118055555555556</v>
      </c>
      <c r="H1615" s="338" t="s">
        <v>982</v>
      </c>
      <c r="I1615" s="353">
        <v>784</v>
      </c>
      <c r="J1615" s="338" t="str">
        <f>IFERROR(VLOOKUP(I1615,'Chart of accounts'!A:H,2,FALSE),"")</f>
        <v>50299040 00</v>
      </c>
      <c r="K1615" s="338" t="str">
        <f>IFERROR(VLOOKUP(I1615,'Chart of accounts'!A:H,3,FALSE),"")</f>
        <v>Transportation and Delivery Expenses</v>
      </c>
      <c r="L1615" s="338" t="str">
        <f>IFERROR(VLOOKUP(I1615,'Chart of accounts'!A:H,4,FALSE),"")</f>
        <v>50299040 00 - Transportation and Delivery Expenses (784)</v>
      </c>
      <c r="M1615" s="361" t="s">
        <v>905</v>
      </c>
      <c r="N1615" s="355" t="s">
        <v>1540</v>
      </c>
      <c r="O1615" s="355" t="s">
        <v>1605</v>
      </c>
      <c r="P1615" s="355"/>
      <c r="Q1615" s="363">
        <v>50000</v>
      </c>
      <c r="R1615" s="428">
        <f t="shared" si="68"/>
        <v>-50000</v>
      </c>
      <c r="S1615" s="428" t="str">
        <f>VLOOKUP(H1615,'Fund Utilization Report'!$A$4:$U$1800,13,FALSE)</f>
        <v>MOOE</v>
      </c>
      <c r="T1615" s="428" t="str">
        <f>VLOOKUP(H1615,'Fund Utilization Report'!$A$4:$U$1800,2,FALSE)</f>
        <v>GAA</v>
      </c>
      <c r="U1615" s="428" t="str">
        <f>VLOOKUP(H1615,'Fund Utilization Report'!$A$4:$U$1800,3,FALSE)</f>
        <v>FY2021, RA11518</v>
      </c>
      <c r="V1615" s="428" t="str">
        <f>VLOOKUP(H1615,'Fund Utilization Report'!$A$4:$U$1800,4,FALSE)</f>
        <v>OTOP</v>
      </c>
      <c r="W1615" s="428" t="str">
        <f>VLOOKUP(H1615,'Fund Utilization Report'!$A$4:$U$1800,5,FALSE)</f>
        <v>01101101</v>
      </c>
      <c r="X1615" s="428" t="str">
        <f>VLOOKUP(H1615,'Fund Utilization Report'!$A$4:$U$1800,6,FALSE)</f>
        <v>GOP</v>
      </c>
      <c r="Y1615" s="320" t="str">
        <f>VLOOKUP(H1615,'Fund Utilization Report'!$A$4:$U$1800,7,FALSE)</f>
        <v>MOOE</v>
      </c>
      <c r="Z1615" s="425">
        <f>VLOOKUP(H1615,'Fund Utilization Report'!$A$4:$U$1800,8,FALSE)</f>
        <v>5020000000</v>
      </c>
      <c r="AA1615" s="428" t="str">
        <f>VLOOKUP(H1615,'Fund Utilization Report'!$A$4:$U$1800,14,FALSE)</f>
        <v>330100200002000</v>
      </c>
      <c r="AB1615" s="349" t="str">
        <f>VLOOKUP(H1615,'Fund Utilization Report'!$A$4:$U$1800,15,FALSE)</f>
        <v>OTOP - Next Generation</v>
      </c>
      <c r="AC1615" s="39"/>
      <c r="AD1615" s="34"/>
      <c r="AE1615" s="39"/>
      <c r="AF1615" s="51"/>
      <c r="AG1615" s="442"/>
      <c r="AH1615" s="442"/>
      <c r="AI1615" s="443"/>
    </row>
    <row r="1616" spans="1:35" s="32" customFormat="1" ht="27" customHeight="1">
      <c r="A1616" s="434" t="s">
        <v>942</v>
      </c>
      <c r="B1616" s="457" t="s">
        <v>946</v>
      </c>
      <c r="C1616" s="233">
        <v>44284</v>
      </c>
      <c r="D1616" s="435" t="s">
        <v>1267</v>
      </c>
      <c r="E1616" s="436" t="s">
        <v>1608</v>
      </c>
      <c r="F1616" s="338">
        <v>0.6118055555555556</v>
      </c>
      <c r="G1616" s="338">
        <v>0.62430555555555556</v>
      </c>
      <c r="H1616" s="338" t="s">
        <v>980</v>
      </c>
      <c r="I1616" s="353">
        <v>751</v>
      </c>
      <c r="J1616" s="434" t="str">
        <f>IFERROR(VLOOKUP(I1616,'Chart of accounts'!A:H,2,FALSE),"")</f>
        <v>50201010 00</v>
      </c>
      <c r="K1616" s="338" t="str">
        <f>IFERROR(VLOOKUP(I1616,'Chart of accounts'!A:H,3,FALSE),"")</f>
        <v>Traveling Expenses - Local</v>
      </c>
      <c r="L1616" s="338" t="str">
        <f>IFERROR(VLOOKUP(I1616,'Chart of accounts'!A:H,4,FALSE),"")</f>
        <v>50201010 00 - Traveling Expenses - Local (751)</v>
      </c>
      <c r="M1616" s="361" t="s">
        <v>845</v>
      </c>
      <c r="N1616" s="355" t="s">
        <v>822</v>
      </c>
      <c r="O1616" s="355" t="s">
        <v>1602</v>
      </c>
      <c r="P1616" s="355"/>
      <c r="Q1616" s="363">
        <v>100000</v>
      </c>
      <c r="R1616" s="428">
        <f t="shared" si="68"/>
        <v>-100000</v>
      </c>
      <c r="S1616" s="428" t="str">
        <f>VLOOKUP(H1616,'Fund Utilization Report'!$A$4:$U$1800,13,FALSE)</f>
        <v>MOOE</v>
      </c>
      <c r="T1616" s="428" t="str">
        <f>VLOOKUP(H1616,'Fund Utilization Report'!$A$4:$U$1800,2,FALSE)</f>
        <v>GAA</v>
      </c>
      <c r="U1616" s="428" t="str">
        <f>VLOOKUP(H1616,'Fund Utilization Report'!$A$4:$U$1800,3,FALSE)</f>
        <v>FY2021, RA11518</v>
      </c>
      <c r="V1616" s="428" t="str">
        <f>VLOOKUP(H1616,'Fund Utilization Report'!$A$4:$U$1800,4,FALSE)</f>
        <v>NC</v>
      </c>
      <c r="W1616" s="428" t="str">
        <f>VLOOKUP(H1616,'Fund Utilization Report'!$A$4:$U$1800,5,FALSE)</f>
        <v>01101101</v>
      </c>
      <c r="X1616" s="428" t="str">
        <f>VLOOKUP(H1616,'Fund Utilization Report'!$A$4:$U$1800,6,FALSE)</f>
        <v>GOP</v>
      </c>
      <c r="Y1616" s="320" t="str">
        <f>VLOOKUP(H1616,'Fund Utilization Report'!$A$4:$U$1800,7,FALSE)</f>
        <v>MOOE</v>
      </c>
      <c r="Z1616" s="425">
        <f>VLOOKUP(H1616,'Fund Utilization Report'!$A$4:$U$1800,8,FALSE)</f>
        <v>5020000000</v>
      </c>
      <c r="AA1616" s="428" t="str">
        <f>VLOOKUP(H1616,'Fund Utilization Report'!$A$4:$U$1800,14,FALSE)</f>
        <v>330100200001000</v>
      </c>
      <c r="AB1616" s="349" t="str">
        <f>VLOOKUP(H1616,'Fund Utilization Report'!$A$4:$U$1800,15,FALSE)</f>
        <v>Establishment of Negosyo Centers</v>
      </c>
      <c r="AC1616" s="39"/>
      <c r="AD1616" s="34"/>
      <c r="AE1616" s="39"/>
      <c r="AF1616" s="51"/>
      <c r="AG1616" s="442"/>
      <c r="AH1616" s="442"/>
      <c r="AI1616" s="443"/>
    </row>
    <row r="1617" spans="1:35" s="32" customFormat="1" ht="34.5" customHeight="1">
      <c r="A1617" s="434" t="s">
        <v>942</v>
      </c>
      <c r="B1617" s="457" t="s">
        <v>946</v>
      </c>
      <c r="C1617" s="233">
        <v>44284</v>
      </c>
      <c r="D1617" s="435" t="s">
        <v>1267</v>
      </c>
      <c r="E1617" s="436" t="s">
        <v>1608</v>
      </c>
      <c r="F1617" s="338">
        <v>0.6118055555555556</v>
      </c>
      <c r="G1617" s="338">
        <v>0.62430555555555556</v>
      </c>
      <c r="H1617" s="338" t="s">
        <v>980</v>
      </c>
      <c r="I1617" s="353">
        <v>753</v>
      </c>
      <c r="J1617" s="338" t="str">
        <f>IFERROR(VLOOKUP(I1617,'Chart of accounts'!A:H,2,FALSE),"")</f>
        <v>50202010 00</v>
      </c>
      <c r="K1617" s="338" t="str">
        <f>IFERROR(VLOOKUP(I1617,'Chart of accounts'!A:H,3,FALSE),"")</f>
        <v>Training Expenses</v>
      </c>
      <c r="L1617" s="338" t="str">
        <f>IFERROR(VLOOKUP(I1617,'Chart of accounts'!A:H,4,FALSE),"")</f>
        <v>50202010 00 - Training Expenses (753)</v>
      </c>
      <c r="M1617" s="361" t="s">
        <v>845</v>
      </c>
      <c r="N1617" s="355" t="s">
        <v>822</v>
      </c>
      <c r="O1617" s="355" t="s">
        <v>1602</v>
      </c>
      <c r="P1617" s="355"/>
      <c r="Q1617" s="363">
        <v>200000</v>
      </c>
      <c r="R1617" s="428">
        <f t="shared" si="68"/>
        <v>-200000</v>
      </c>
      <c r="S1617" s="428" t="str">
        <f>VLOOKUP(H1617,'Fund Utilization Report'!$A$4:$U$1800,13,FALSE)</f>
        <v>MOOE</v>
      </c>
      <c r="T1617" s="428" t="str">
        <f>VLOOKUP(H1617,'Fund Utilization Report'!$A$4:$U$1800,2,FALSE)</f>
        <v>GAA</v>
      </c>
      <c r="U1617" s="428" t="str">
        <f>VLOOKUP(H1617,'Fund Utilization Report'!$A$4:$U$1800,3,FALSE)</f>
        <v>FY2021, RA11518</v>
      </c>
      <c r="V1617" s="428" t="str">
        <f>VLOOKUP(H1617,'Fund Utilization Report'!$A$4:$U$1800,4,FALSE)</f>
        <v>NC</v>
      </c>
      <c r="W1617" s="428" t="str">
        <f>VLOOKUP(H1617,'Fund Utilization Report'!$A$4:$U$1800,5,FALSE)</f>
        <v>01101101</v>
      </c>
      <c r="X1617" s="428" t="str">
        <f>VLOOKUP(H1617,'Fund Utilization Report'!$A$4:$U$1800,6,FALSE)</f>
        <v>GOP</v>
      </c>
      <c r="Y1617" s="320" t="str">
        <f>VLOOKUP(H1617,'Fund Utilization Report'!$A$4:$U$1800,7,FALSE)</f>
        <v>MOOE</v>
      </c>
      <c r="Z1617" s="425">
        <f>VLOOKUP(H1617,'Fund Utilization Report'!$A$4:$U$1800,8,FALSE)</f>
        <v>5020000000</v>
      </c>
      <c r="AA1617" s="428" t="str">
        <f>VLOOKUP(H1617,'Fund Utilization Report'!$A$4:$U$1800,14,FALSE)</f>
        <v>330100200001000</v>
      </c>
      <c r="AB1617" s="349" t="str">
        <f>VLOOKUP(H1617,'Fund Utilization Report'!$A$4:$U$1800,15,FALSE)</f>
        <v>Establishment of Negosyo Centers</v>
      </c>
      <c r="AC1617" s="39"/>
      <c r="AD1617" s="34"/>
      <c r="AE1617" s="39"/>
      <c r="AF1617" s="51"/>
      <c r="AG1617" s="442"/>
      <c r="AH1617" s="442"/>
      <c r="AI1617" s="443"/>
    </row>
    <row r="1618" spans="1:35" s="32" customFormat="1" ht="30" customHeight="1">
      <c r="A1618" s="434" t="s">
        <v>942</v>
      </c>
      <c r="B1618" s="457" t="s">
        <v>946</v>
      </c>
      <c r="C1618" s="233">
        <v>44284</v>
      </c>
      <c r="D1618" s="435" t="s">
        <v>1267</v>
      </c>
      <c r="E1618" s="436" t="s">
        <v>1608</v>
      </c>
      <c r="F1618" s="338">
        <v>0.6118055555555556</v>
      </c>
      <c r="G1618" s="338">
        <v>0.62430555555555556</v>
      </c>
      <c r="H1618" s="338" t="s">
        <v>980</v>
      </c>
      <c r="I1618" s="353">
        <v>783</v>
      </c>
      <c r="J1618" s="338" t="str">
        <f>IFERROR(VLOOKUP(I1618,'Chart of accounts'!A:H,2,FALSE),"")</f>
        <v>50299030 00</v>
      </c>
      <c r="K1618" s="338" t="str">
        <f>IFERROR(VLOOKUP(I1618,'Chart of accounts'!A:H,3,FALSE),"")</f>
        <v>Representation Expenses</v>
      </c>
      <c r="L1618" s="338" t="str">
        <f>IFERROR(VLOOKUP(I1618,'Chart of accounts'!A:H,4,FALSE),"")</f>
        <v>50299030 00 - Representation Expenses (783)</v>
      </c>
      <c r="M1618" s="361" t="s">
        <v>845</v>
      </c>
      <c r="N1618" s="355" t="s">
        <v>822</v>
      </c>
      <c r="O1618" s="355" t="s">
        <v>1602</v>
      </c>
      <c r="P1618" s="355"/>
      <c r="Q1618" s="363">
        <v>50000</v>
      </c>
      <c r="R1618" s="428">
        <f t="shared" si="68"/>
        <v>-50000</v>
      </c>
      <c r="S1618" s="428" t="str">
        <f>VLOOKUP(H1618,'Fund Utilization Report'!$A$4:$U$1800,13,FALSE)</f>
        <v>MOOE</v>
      </c>
      <c r="T1618" s="428" t="str">
        <f>VLOOKUP(H1618,'Fund Utilization Report'!$A$4:$U$1800,2,FALSE)</f>
        <v>GAA</v>
      </c>
      <c r="U1618" s="428" t="str">
        <f>VLOOKUP(H1618,'Fund Utilization Report'!$A$4:$U$1800,3,FALSE)</f>
        <v>FY2021, RA11518</v>
      </c>
      <c r="V1618" s="428" t="str">
        <f>VLOOKUP(H1618,'Fund Utilization Report'!$A$4:$U$1800,4,FALSE)</f>
        <v>NC</v>
      </c>
      <c r="W1618" s="428" t="str">
        <f>VLOOKUP(H1618,'Fund Utilization Report'!$A$4:$U$1800,5,FALSE)</f>
        <v>01101101</v>
      </c>
      <c r="X1618" s="428" t="str">
        <f>VLOOKUP(H1618,'Fund Utilization Report'!$A$4:$U$1800,6,FALSE)</f>
        <v>GOP</v>
      </c>
      <c r="Y1618" s="320" t="str">
        <f>VLOOKUP(H1618,'Fund Utilization Report'!$A$4:$U$1800,7,FALSE)</f>
        <v>MOOE</v>
      </c>
      <c r="Z1618" s="425">
        <f>VLOOKUP(H1618,'Fund Utilization Report'!$A$4:$U$1800,8,FALSE)</f>
        <v>5020000000</v>
      </c>
      <c r="AA1618" s="428" t="str">
        <f>VLOOKUP(H1618,'Fund Utilization Report'!$A$4:$U$1800,14,FALSE)</f>
        <v>330100200001000</v>
      </c>
      <c r="AB1618" s="349" t="str">
        <f>VLOOKUP(H1618,'Fund Utilization Report'!$A$4:$U$1800,15,FALSE)</f>
        <v>Establishment of Negosyo Centers</v>
      </c>
      <c r="AC1618" s="39"/>
      <c r="AD1618" s="34"/>
      <c r="AE1618" s="39"/>
      <c r="AF1618" s="51"/>
      <c r="AG1618" s="442"/>
      <c r="AH1618" s="442"/>
      <c r="AI1618" s="443"/>
    </row>
    <row r="1619" spans="1:35" s="32" customFormat="1" ht="40.5" customHeight="1">
      <c r="A1619" s="434" t="s">
        <v>942</v>
      </c>
      <c r="B1619" s="457" t="s">
        <v>946</v>
      </c>
      <c r="C1619" s="233">
        <v>44284</v>
      </c>
      <c r="D1619" s="435" t="s">
        <v>1267</v>
      </c>
      <c r="E1619" s="436" t="s">
        <v>1608</v>
      </c>
      <c r="F1619" s="338">
        <v>0.6118055555555556</v>
      </c>
      <c r="G1619" s="338">
        <v>0.62430555555555556</v>
      </c>
      <c r="H1619" s="338" t="s">
        <v>980</v>
      </c>
      <c r="I1619" s="353">
        <v>799</v>
      </c>
      <c r="J1619" s="338" t="str">
        <f>IFERROR(VLOOKUP(I1619,'Chart of accounts'!A:H,2,FALSE),"")</f>
        <v>50211990 00</v>
      </c>
      <c r="K1619" s="338" t="str">
        <f>IFERROR(VLOOKUP(I1619,'Chart of accounts'!A:H,3,FALSE),"")</f>
        <v>Other Professional Services</v>
      </c>
      <c r="L1619" s="338" t="str">
        <f>IFERROR(VLOOKUP(I1619,'Chart of accounts'!A:H,4,FALSE),"")</f>
        <v>50211990 00 - Other Professional Services (799)</v>
      </c>
      <c r="M1619" s="361" t="s">
        <v>845</v>
      </c>
      <c r="N1619" s="355" t="s">
        <v>822</v>
      </c>
      <c r="O1619" s="355" t="s">
        <v>1602</v>
      </c>
      <c r="P1619" s="355"/>
      <c r="Q1619" s="363">
        <v>360350</v>
      </c>
      <c r="R1619" s="428">
        <f t="shared" si="68"/>
        <v>-360350</v>
      </c>
      <c r="S1619" s="428" t="str">
        <f>VLOOKUP(H1619,'Fund Utilization Report'!$A$4:$U$1800,13,FALSE)</f>
        <v>MOOE</v>
      </c>
      <c r="T1619" s="428" t="str">
        <f>VLOOKUP(H1619,'Fund Utilization Report'!$A$4:$U$1800,2,FALSE)</f>
        <v>GAA</v>
      </c>
      <c r="U1619" s="428" t="str">
        <f>VLOOKUP(H1619,'Fund Utilization Report'!$A$4:$U$1800,3,FALSE)</f>
        <v>FY2021, RA11518</v>
      </c>
      <c r="V1619" s="428" t="str">
        <f>VLOOKUP(H1619,'Fund Utilization Report'!$A$4:$U$1800,4,FALSE)</f>
        <v>NC</v>
      </c>
      <c r="W1619" s="428" t="str">
        <f>VLOOKUP(H1619,'Fund Utilization Report'!$A$4:$U$1800,5,FALSE)</f>
        <v>01101101</v>
      </c>
      <c r="X1619" s="428" t="str">
        <f>VLOOKUP(H1619,'Fund Utilization Report'!$A$4:$U$1800,6,FALSE)</f>
        <v>GOP</v>
      </c>
      <c r="Y1619" s="320" t="str">
        <f>VLOOKUP(H1619,'Fund Utilization Report'!$A$4:$U$1800,7,FALSE)</f>
        <v>MOOE</v>
      </c>
      <c r="Z1619" s="425">
        <f>VLOOKUP(H1619,'Fund Utilization Report'!$A$4:$U$1800,8,FALSE)</f>
        <v>5020000000</v>
      </c>
      <c r="AA1619" s="428" t="str">
        <f>VLOOKUP(H1619,'Fund Utilization Report'!$A$4:$U$1800,14,FALSE)</f>
        <v>330100200001000</v>
      </c>
      <c r="AB1619" s="349" t="str">
        <f>VLOOKUP(H1619,'Fund Utilization Report'!$A$4:$U$1800,15,FALSE)</f>
        <v>Establishment of Negosyo Centers</v>
      </c>
      <c r="AC1619" s="39"/>
      <c r="AD1619" s="34"/>
      <c r="AE1619" s="39"/>
      <c r="AF1619" s="51"/>
      <c r="AG1619" s="442"/>
      <c r="AH1619" s="442"/>
      <c r="AI1619" s="443"/>
    </row>
    <row r="1620" spans="1:35" s="32" customFormat="1" ht="38.25" customHeight="1">
      <c r="A1620" s="434" t="s">
        <v>942</v>
      </c>
      <c r="B1620" s="457" t="s">
        <v>946</v>
      </c>
      <c r="C1620" s="233">
        <v>44284</v>
      </c>
      <c r="D1620" s="435" t="s">
        <v>1267</v>
      </c>
      <c r="E1620" s="436" t="s">
        <v>1608</v>
      </c>
      <c r="F1620" s="338">
        <v>0.6118055555555556</v>
      </c>
      <c r="G1620" s="338">
        <v>0.62430555555555556</v>
      </c>
      <c r="H1620" s="338" t="s">
        <v>980</v>
      </c>
      <c r="I1620" s="353">
        <v>782</v>
      </c>
      <c r="J1620" s="338" t="str">
        <f>IFERROR(VLOOKUP(I1620,'Chart of accounts'!A:H,2,FALSE),"")</f>
        <v>50299050 01</v>
      </c>
      <c r="K1620" s="338" t="str">
        <f>IFERROR(VLOOKUP(I1620,'Chart of accounts'!A:H,3,FALSE),"")</f>
        <v>Rent - Buildings and Structures</v>
      </c>
      <c r="L1620" s="338" t="str">
        <f>IFERROR(VLOOKUP(I1620,'Chart of accounts'!A:H,4,FALSE),"")</f>
        <v>50299050 01 - Rent - Buildings and Structures (782)</v>
      </c>
      <c r="M1620" s="361" t="s">
        <v>845</v>
      </c>
      <c r="N1620" s="355" t="s">
        <v>822</v>
      </c>
      <c r="O1620" s="355" t="s">
        <v>1602</v>
      </c>
      <c r="P1620" s="355"/>
      <c r="Q1620" s="363">
        <v>50000</v>
      </c>
      <c r="R1620" s="428">
        <f t="shared" si="68"/>
        <v>-50000</v>
      </c>
      <c r="S1620" s="428" t="str">
        <f>VLOOKUP(H1620,'Fund Utilization Report'!$A$4:$U$1800,13,FALSE)</f>
        <v>MOOE</v>
      </c>
      <c r="T1620" s="428" t="str">
        <f>VLOOKUP(H1620,'Fund Utilization Report'!$A$4:$U$1800,2,FALSE)</f>
        <v>GAA</v>
      </c>
      <c r="U1620" s="428" t="str">
        <f>VLOOKUP(H1620,'Fund Utilization Report'!$A$4:$U$1800,3,FALSE)</f>
        <v>FY2021, RA11518</v>
      </c>
      <c r="V1620" s="428" t="str">
        <f>VLOOKUP(H1620,'Fund Utilization Report'!$A$4:$U$1800,4,FALSE)</f>
        <v>NC</v>
      </c>
      <c r="W1620" s="428" t="str">
        <f>VLOOKUP(H1620,'Fund Utilization Report'!$A$4:$U$1800,5,FALSE)</f>
        <v>01101101</v>
      </c>
      <c r="X1620" s="428" t="str">
        <f>VLOOKUP(H1620,'Fund Utilization Report'!$A$4:$U$1800,6,FALSE)</f>
        <v>GOP</v>
      </c>
      <c r="Y1620" s="320" t="str">
        <f>VLOOKUP(H1620,'Fund Utilization Report'!$A$4:$U$1800,7,FALSE)</f>
        <v>MOOE</v>
      </c>
      <c r="Z1620" s="425">
        <f>VLOOKUP(H1620,'Fund Utilization Report'!$A$4:$U$1800,8,FALSE)</f>
        <v>5020000000</v>
      </c>
      <c r="AA1620" s="428" t="str">
        <f>VLOOKUP(H1620,'Fund Utilization Report'!$A$4:$U$1800,14,FALSE)</f>
        <v>330100200001000</v>
      </c>
      <c r="AB1620" s="349" t="str">
        <f>VLOOKUP(H1620,'Fund Utilization Report'!$A$4:$U$1800,15,FALSE)</f>
        <v>Establishment of Negosyo Centers</v>
      </c>
      <c r="AC1620" s="39"/>
      <c r="AD1620" s="34"/>
      <c r="AE1620" s="39"/>
      <c r="AF1620" s="51"/>
      <c r="AG1620" s="442"/>
      <c r="AH1620" s="442"/>
      <c r="AI1620" s="443"/>
    </row>
    <row r="1621" spans="1:35" s="32" customFormat="1" ht="27" customHeight="1">
      <c r="A1621" s="434" t="s">
        <v>942</v>
      </c>
      <c r="B1621" s="457" t="s">
        <v>946</v>
      </c>
      <c r="C1621" s="233">
        <v>44284</v>
      </c>
      <c r="D1621" s="435" t="s">
        <v>1267</v>
      </c>
      <c r="E1621" s="436" t="s">
        <v>1609</v>
      </c>
      <c r="F1621" s="338">
        <v>0.62430555555555556</v>
      </c>
      <c r="G1621" s="338">
        <v>0.63055555555555554</v>
      </c>
      <c r="H1621" s="338" t="s">
        <v>968</v>
      </c>
      <c r="I1621" s="353">
        <v>751</v>
      </c>
      <c r="J1621" s="338" t="str">
        <f>IFERROR(VLOOKUP(I1621,'Chart of accounts'!A:H,2,FALSE),"")</f>
        <v>50201010 00</v>
      </c>
      <c r="K1621" s="338" t="str">
        <f>IFERROR(VLOOKUP(I1621,'Chart of accounts'!A:H,3,FALSE),"")</f>
        <v>Traveling Expenses - Local</v>
      </c>
      <c r="L1621" s="338" t="str">
        <f>IFERROR(VLOOKUP(I1621,'Chart of accounts'!A:H,4,FALSE),"")</f>
        <v>50201010 00 - Traveling Expenses - Local (751)</v>
      </c>
      <c r="M1621" s="360" t="s">
        <v>1613</v>
      </c>
      <c r="N1621" s="355" t="s">
        <v>818</v>
      </c>
      <c r="O1621" s="355" t="s">
        <v>1610</v>
      </c>
      <c r="P1621" s="355"/>
      <c r="Q1621" s="355">
        <v>30000</v>
      </c>
      <c r="R1621" s="428">
        <f t="shared" si="68"/>
        <v>-30000</v>
      </c>
      <c r="S1621" s="428" t="str">
        <f>VLOOKUP(H1621,'Fund Utilization Report'!$A$4:$U$1800,13,FALSE)</f>
        <v>MOOE</v>
      </c>
      <c r="T1621" s="428" t="str">
        <f>VLOOKUP(H1621,'Fund Utilization Report'!$A$4:$U$1800,2,FALSE)</f>
        <v>GAA</v>
      </c>
      <c r="U1621" s="428" t="str">
        <f>VLOOKUP(H1621,'Fund Utilization Report'!$A$4:$U$1800,3,FALSE)</f>
        <v>FY2021, RA11518</v>
      </c>
      <c r="V1621" s="428" t="str">
        <f>VLOOKUP(H1621,'Fund Utilization Report'!$A$4:$U$1800,4,FALSE)</f>
        <v>OO2</v>
      </c>
      <c r="W1621" s="428" t="str">
        <f>VLOOKUP(H1621,'Fund Utilization Report'!$A$4:$U$1800,5,FALSE)</f>
        <v>01101101</v>
      </c>
      <c r="X1621" s="428" t="str">
        <f>VLOOKUP(H1621,'Fund Utilization Report'!$A$4:$U$1800,6,FALSE)</f>
        <v>GOP</v>
      </c>
      <c r="Y1621" s="320" t="str">
        <f>VLOOKUP(H1621,'Fund Utilization Report'!$A$4:$U$1800,7,FALSE)</f>
        <v>MOOE</v>
      </c>
      <c r="Z1621" s="425">
        <f>VLOOKUP(H1621,'Fund Utilization Report'!$A$4:$U$1800,8,FALSE)</f>
        <v>5020000000</v>
      </c>
      <c r="AA1621" s="428" t="str">
        <f>VLOOKUP(H1621,'Fund Utilization Report'!$A$4:$U$1800,14,FALSE)</f>
        <v>320100100001000</v>
      </c>
      <c r="AB1621" s="349" t="str">
        <f>VLOOKUP(H1621,'Fund Utilization Report'!$A$4:$U$1800,15,FALSE)</f>
        <v>Formulation of Strategic plans,programs, and policies to develop competitve industries</v>
      </c>
      <c r="AC1621" s="39"/>
      <c r="AD1621" s="34"/>
      <c r="AE1621" s="39"/>
      <c r="AF1621" s="51"/>
      <c r="AG1621" s="442"/>
      <c r="AH1621" s="442"/>
      <c r="AI1621" s="443"/>
    </row>
    <row r="1622" spans="1:35" s="32" customFormat="1" ht="27" customHeight="1">
      <c r="A1622" s="434" t="s">
        <v>942</v>
      </c>
      <c r="B1622" s="457" t="s">
        <v>946</v>
      </c>
      <c r="C1622" s="233">
        <v>44284</v>
      </c>
      <c r="D1622" s="435" t="s">
        <v>1267</v>
      </c>
      <c r="E1622" s="436" t="s">
        <v>1609</v>
      </c>
      <c r="F1622" s="338">
        <v>0.62430555555555556</v>
      </c>
      <c r="G1622" s="338">
        <v>0.63055555555555554</v>
      </c>
      <c r="H1622" s="338" t="s">
        <v>968</v>
      </c>
      <c r="I1622" s="353">
        <v>753</v>
      </c>
      <c r="J1622" s="338" t="str">
        <f>IFERROR(VLOOKUP(I1622,'Chart of accounts'!A:H,2,FALSE),"")</f>
        <v>50202010 00</v>
      </c>
      <c r="K1622" s="338" t="str">
        <f>IFERROR(VLOOKUP(I1622,'Chart of accounts'!A:H,3,FALSE),"")</f>
        <v>Training Expenses</v>
      </c>
      <c r="L1622" s="338" t="str">
        <f>IFERROR(VLOOKUP(I1622,'Chart of accounts'!A:H,4,FALSE),"")</f>
        <v>50202010 00 - Training Expenses (753)</v>
      </c>
      <c r="M1622" s="360" t="s">
        <v>1613</v>
      </c>
      <c r="N1622" s="355" t="s">
        <v>818</v>
      </c>
      <c r="O1622" s="355" t="s">
        <v>1610</v>
      </c>
      <c r="P1622" s="355"/>
      <c r="Q1622" s="355">
        <v>50000</v>
      </c>
      <c r="R1622" s="428">
        <f t="shared" si="68"/>
        <v>-50000</v>
      </c>
      <c r="S1622" s="428" t="str">
        <f>VLOOKUP(H1622,'Fund Utilization Report'!$A$4:$U$1800,13,FALSE)</f>
        <v>MOOE</v>
      </c>
      <c r="T1622" s="428" t="str">
        <f>VLOOKUP(H1622,'Fund Utilization Report'!$A$4:$U$1800,2,FALSE)</f>
        <v>GAA</v>
      </c>
      <c r="U1622" s="428" t="str">
        <f>VLOOKUP(H1622,'Fund Utilization Report'!$A$4:$U$1800,3,FALSE)</f>
        <v>FY2021, RA11518</v>
      </c>
      <c r="V1622" s="428" t="str">
        <f>VLOOKUP(H1622,'Fund Utilization Report'!$A$4:$U$1800,4,FALSE)</f>
        <v>OO2</v>
      </c>
      <c r="W1622" s="428" t="str">
        <f>VLOOKUP(H1622,'Fund Utilization Report'!$A$4:$U$1800,5,FALSE)</f>
        <v>01101101</v>
      </c>
      <c r="X1622" s="428" t="str">
        <f>VLOOKUP(H1622,'Fund Utilization Report'!$A$4:$U$1800,6,FALSE)</f>
        <v>GOP</v>
      </c>
      <c r="Y1622" s="320" t="str">
        <f>VLOOKUP(H1622,'Fund Utilization Report'!$A$4:$U$1800,7,FALSE)</f>
        <v>MOOE</v>
      </c>
      <c r="Z1622" s="425">
        <f>VLOOKUP(H1622,'Fund Utilization Report'!$A$4:$U$1800,8,FALSE)</f>
        <v>5020000000</v>
      </c>
      <c r="AA1622" s="428" t="str">
        <f>VLOOKUP(H1622,'Fund Utilization Report'!$A$4:$U$1800,14,FALSE)</f>
        <v>320100100001000</v>
      </c>
      <c r="AB1622" s="349" t="str">
        <f>VLOOKUP(H1622,'Fund Utilization Report'!$A$4:$U$1800,15,FALSE)</f>
        <v>Formulation of Strategic plans,programs, and policies to develop competitve industries</v>
      </c>
      <c r="AC1622" s="39"/>
      <c r="AD1622" s="34"/>
      <c r="AE1622" s="39"/>
      <c r="AF1622" s="51"/>
      <c r="AG1622" s="442"/>
      <c r="AH1622" s="442"/>
      <c r="AI1622" s="443"/>
    </row>
    <row r="1623" spans="1:35" s="32" customFormat="1" ht="27" customHeight="1">
      <c r="A1623" s="434" t="s">
        <v>942</v>
      </c>
      <c r="B1623" s="457" t="s">
        <v>946</v>
      </c>
      <c r="C1623" s="233">
        <v>44284</v>
      </c>
      <c r="D1623" s="435" t="s">
        <v>1267</v>
      </c>
      <c r="E1623" s="436" t="s">
        <v>1609</v>
      </c>
      <c r="F1623" s="338">
        <v>0.62430555555555556</v>
      </c>
      <c r="G1623" s="338">
        <v>0.63055555555555554</v>
      </c>
      <c r="H1623" s="338" t="s">
        <v>968</v>
      </c>
      <c r="I1623" s="353">
        <v>755</v>
      </c>
      <c r="J1623" s="338" t="str">
        <f>IFERROR(VLOOKUP(I1623,'Chart of accounts'!A:H,2,FALSE),"")</f>
        <v>50203010 00</v>
      </c>
      <c r="K1623" s="338" t="str">
        <f>IFERROR(VLOOKUP(I1623,'Chart of accounts'!A:H,3,FALSE),"")</f>
        <v>Office Supplies Expenses</v>
      </c>
      <c r="L1623" s="338" t="str">
        <f>IFERROR(VLOOKUP(I1623,'Chart of accounts'!A:H,4,FALSE),"")</f>
        <v>50203010 00 - Office Supplies Expenses (755)</v>
      </c>
      <c r="M1623" s="360" t="s">
        <v>1613</v>
      </c>
      <c r="N1623" s="355" t="s">
        <v>818</v>
      </c>
      <c r="O1623" s="355" t="s">
        <v>1610</v>
      </c>
      <c r="P1623" s="355"/>
      <c r="Q1623" s="355">
        <v>10000</v>
      </c>
      <c r="R1623" s="428">
        <f t="shared" ref="R1623:R1633" si="69">P1623-Q1623</f>
        <v>-10000</v>
      </c>
      <c r="S1623" s="428" t="str">
        <f>VLOOKUP(H1623,'Fund Utilization Report'!$A$4:$U$1800,13,FALSE)</f>
        <v>MOOE</v>
      </c>
      <c r="T1623" s="428" t="str">
        <f>VLOOKUP(H1623,'Fund Utilization Report'!$A$4:$U$1800,2,FALSE)</f>
        <v>GAA</v>
      </c>
      <c r="U1623" s="428" t="str">
        <f>VLOOKUP(H1623,'Fund Utilization Report'!$A$4:$U$1800,3,FALSE)</f>
        <v>FY2021, RA11518</v>
      </c>
      <c r="V1623" s="428" t="str">
        <f>VLOOKUP(H1623,'Fund Utilization Report'!$A$4:$U$1800,4,FALSE)</f>
        <v>OO2</v>
      </c>
      <c r="W1623" s="428" t="str">
        <f>VLOOKUP(H1623,'Fund Utilization Report'!$A$4:$U$1800,5,FALSE)</f>
        <v>01101101</v>
      </c>
      <c r="X1623" s="428" t="str">
        <f>VLOOKUP(H1623,'Fund Utilization Report'!$A$4:$U$1800,6,FALSE)</f>
        <v>GOP</v>
      </c>
      <c r="Y1623" s="320" t="str">
        <f>VLOOKUP(H1623,'Fund Utilization Report'!$A$4:$U$1800,7,FALSE)</f>
        <v>MOOE</v>
      </c>
      <c r="Z1623" s="425">
        <f>VLOOKUP(H1623,'Fund Utilization Report'!$A$4:$U$1800,8,FALSE)</f>
        <v>5020000000</v>
      </c>
      <c r="AA1623" s="428" t="str">
        <f>VLOOKUP(H1623,'Fund Utilization Report'!$A$4:$U$1800,14,FALSE)</f>
        <v>320100100001000</v>
      </c>
      <c r="AB1623" s="349" t="str">
        <f>VLOOKUP(H1623,'Fund Utilization Report'!$A$4:$U$1800,15,FALSE)</f>
        <v>Formulation of Strategic plans,programs, and policies to develop competitve industries</v>
      </c>
      <c r="AC1623" s="39"/>
      <c r="AD1623" s="34"/>
      <c r="AE1623" s="39"/>
      <c r="AF1623" s="51"/>
      <c r="AG1623" s="442"/>
      <c r="AH1623" s="442"/>
      <c r="AI1623" s="443"/>
    </row>
    <row r="1624" spans="1:35" s="32" customFormat="1" ht="27" customHeight="1">
      <c r="A1624" s="434" t="s">
        <v>942</v>
      </c>
      <c r="B1624" s="457" t="s">
        <v>946</v>
      </c>
      <c r="C1624" s="233">
        <v>44284</v>
      </c>
      <c r="D1624" s="435" t="s">
        <v>1267</v>
      </c>
      <c r="E1624" s="436" t="s">
        <v>1609</v>
      </c>
      <c r="F1624" s="338">
        <v>0.62430555555555556</v>
      </c>
      <c r="G1624" s="338">
        <v>0.63055555555555554</v>
      </c>
      <c r="H1624" s="338" t="s">
        <v>968</v>
      </c>
      <c r="I1624" s="353">
        <v>783</v>
      </c>
      <c r="J1624" s="338" t="str">
        <f>IFERROR(VLOOKUP(I1624,'Chart of accounts'!A:H,2,FALSE),"")</f>
        <v>50299030 00</v>
      </c>
      <c r="K1624" s="338" t="str">
        <f>IFERROR(VLOOKUP(I1624,'Chart of accounts'!A:H,3,FALSE),"")</f>
        <v>Representation Expenses</v>
      </c>
      <c r="L1624" s="338" t="str">
        <f>IFERROR(VLOOKUP(I1624,'Chart of accounts'!A:H,4,FALSE),"")</f>
        <v>50299030 00 - Representation Expenses (783)</v>
      </c>
      <c r="M1624" s="360" t="s">
        <v>1613</v>
      </c>
      <c r="N1624" s="355" t="s">
        <v>818</v>
      </c>
      <c r="O1624" s="355" t="s">
        <v>1610</v>
      </c>
      <c r="P1624" s="355"/>
      <c r="Q1624" s="355">
        <f>69200+35200</f>
        <v>104400</v>
      </c>
      <c r="R1624" s="428">
        <f t="shared" si="69"/>
        <v>-104400</v>
      </c>
      <c r="S1624" s="428" t="str">
        <f>VLOOKUP(H1624,'Fund Utilization Report'!$A$4:$U$1800,13,FALSE)</f>
        <v>MOOE</v>
      </c>
      <c r="T1624" s="428" t="str">
        <f>VLOOKUP(H1624,'Fund Utilization Report'!$A$4:$U$1800,2,FALSE)</f>
        <v>GAA</v>
      </c>
      <c r="U1624" s="428" t="str">
        <f>VLOOKUP(H1624,'Fund Utilization Report'!$A$4:$U$1800,3,FALSE)</f>
        <v>FY2021, RA11518</v>
      </c>
      <c r="V1624" s="428" t="str">
        <f>VLOOKUP(H1624,'Fund Utilization Report'!$A$4:$U$1800,4,FALSE)</f>
        <v>OO2</v>
      </c>
      <c r="W1624" s="428" t="str">
        <f>VLOOKUP(H1624,'Fund Utilization Report'!$A$4:$U$1800,5,FALSE)</f>
        <v>01101101</v>
      </c>
      <c r="X1624" s="428" t="str">
        <f>VLOOKUP(H1624,'Fund Utilization Report'!$A$4:$U$1800,6,FALSE)</f>
        <v>GOP</v>
      </c>
      <c r="Y1624" s="320" t="str">
        <f>VLOOKUP(H1624,'Fund Utilization Report'!$A$4:$U$1800,7,FALSE)</f>
        <v>MOOE</v>
      </c>
      <c r="Z1624" s="425">
        <f>VLOOKUP(H1624,'Fund Utilization Report'!$A$4:$U$1800,8,FALSE)</f>
        <v>5020000000</v>
      </c>
      <c r="AA1624" s="428" t="str">
        <f>VLOOKUP(H1624,'Fund Utilization Report'!$A$4:$U$1800,14,FALSE)</f>
        <v>320100100001000</v>
      </c>
      <c r="AB1624" s="349" t="str">
        <f>VLOOKUP(H1624,'Fund Utilization Report'!$A$4:$U$1800,15,FALSE)</f>
        <v>Formulation of Strategic plans,programs, and policies to develop competitve industries</v>
      </c>
      <c r="AC1624" s="39"/>
      <c r="AD1624" s="34"/>
      <c r="AE1624" s="39"/>
      <c r="AF1624" s="51"/>
      <c r="AG1624" s="442"/>
      <c r="AH1624" s="442"/>
      <c r="AI1624" s="443"/>
    </row>
    <row r="1625" spans="1:35" s="32" customFormat="1" ht="27" customHeight="1">
      <c r="A1625" s="434" t="s">
        <v>942</v>
      </c>
      <c r="B1625" s="457" t="s">
        <v>946</v>
      </c>
      <c r="C1625" s="233">
        <v>44284</v>
      </c>
      <c r="D1625" s="435" t="s">
        <v>1267</v>
      </c>
      <c r="E1625" s="436" t="s">
        <v>1611</v>
      </c>
      <c r="F1625" s="338">
        <v>0.63055555555555554</v>
      </c>
      <c r="G1625" s="338">
        <v>0.63402777777777775</v>
      </c>
      <c r="H1625" s="338" t="s">
        <v>968</v>
      </c>
      <c r="I1625" s="353">
        <v>751</v>
      </c>
      <c r="J1625" s="338" t="str">
        <f>IFERROR(VLOOKUP(I1625,'Chart of accounts'!A:H,2,FALSE),"")</f>
        <v>50201010 00</v>
      </c>
      <c r="K1625" s="338" t="str">
        <f>IFERROR(VLOOKUP(I1625,'Chart of accounts'!A:H,3,FALSE),"")</f>
        <v>Traveling Expenses - Local</v>
      </c>
      <c r="L1625" s="338" t="str">
        <f>IFERROR(VLOOKUP(I1625,'Chart of accounts'!A:H,4,FALSE),"")</f>
        <v>50201010 00 - Traveling Expenses - Local (751)</v>
      </c>
      <c r="M1625" s="360" t="s">
        <v>1613</v>
      </c>
      <c r="N1625" s="355" t="s">
        <v>1539</v>
      </c>
      <c r="O1625" s="355" t="s">
        <v>1610</v>
      </c>
      <c r="P1625" s="355"/>
      <c r="Q1625" s="355">
        <v>30000</v>
      </c>
      <c r="R1625" s="428">
        <f t="shared" si="69"/>
        <v>-30000</v>
      </c>
      <c r="S1625" s="428" t="str">
        <f>VLOOKUP(H1625,'Fund Utilization Report'!$A$4:$U$1800,13,FALSE)</f>
        <v>MOOE</v>
      </c>
      <c r="T1625" s="428" t="str">
        <f>VLOOKUP(H1625,'Fund Utilization Report'!$A$4:$U$1800,2,FALSE)</f>
        <v>GAA</v>
      </c>
      <c r="U1625" s="428" t="str">
        <f>VLOOKUP(H1625,'Fund Utilization Report'!$A$4:$U$1800,3,FALSE)</f>
        <v>FY2021, RA11518</v>
      </c>
      <c r="V1625" s="428" t="str">
        <f>VLOOKUP(H1625,'Fund Utilization Report'!$A$4:$U$1800,4,FALSE)</f>
        <v>OO2</v>
      </c>
      <c r="W1625" s="428" t="str">
        <f>VLOOKUP(H1625,'Fund Utilization Report'!$A$4:$U$1800,5,FALSE)</f>
        <v>01101101</v>
      </c>
      <c r="X1625" s="428" t="str">
        <f>VLOOKUP(H1625,'Fund Utilization Report'!$A$4:$U$1800,6,FALSE)</f>
        <v>GOP</v>
      </c>
      <c r="Y1625" s="320" t="str">
        <f>VLOOKUP(H1625,'Fund Utilization Report'!$A$4:$U$1800,7,FALSE)</f>
        <v>MOOE</v>
      </c>
      <c r="Z1625" s="425">
        <f>VLOOKUP(H1625,'Fund Utilization Report'!$A$4:$U$1800,8,FALSE)</f>
        <v>5020000000</v>
      </c>
      <c r="AA1625" s="428" t="str">
        <f>VLOOKUP(H1625,'Fund Utilization Report'!$A$4:$U$1800,14,FALSE)</f>
        <v>320100100001000</v>
      </c>
      <c r="AB1625" s="349" t="str">
        <f>VLOOKUP(H1625,'Fund Utilization Report'!$A$4:$U$1800,15,FALSE)</f>
        <v>Formulation of Strategic plans,programs, and policies to develop competitve industries</v>
      </c>
      <c r="AC1625" s="39"/>
      <c r="AD1625" s="34"/>
      <c r="AE1625" s="39"/>
      <c r="AF1625" s="51"/>
      <c r="AG1625" s="442"/>
      <c r="AH1625" s="442"/>
      <c r="AI1625" s="443"/>
    </row>
    <row r="1626" spans="1:35" s="32" customFormat="1" ht="27" customHeight="1">
      <c r="A1626" s="434" t="s">
        <v>942</v>
      </c>
      <c r="B1626" s="457" t="s">
        <v>946</v>
      </c>
      <c r="C1626" s="233">
        <v>44284</v>
      </c>
      <c r="D1626" s="435" t="s">
        <v>1267</v>
      </c>
      <c r="E1626" s="436" t="s">
        <v>1611</v>
      </c>
      <c r="F1626" s="338">
        <v>0.63055555555555554</v>
      </c>
      <c r="G1626" s="338">
        <v>0.63402777777777775</v>
      </c>
      <c r="H1626" s="338" t="s">
        <v>968</v>
      </c>
      <c r="I1626" s="353">
        <v>753</v>
      </c>
      <c r="J1626" s="338" t="str">
        <f>IFERROR(VLOOKUP(I1626,'Chart of accounts'!A:H,2,FALSE),"")</f>
        <v>50202010 00</v>
      </c>
      <c r="K1626" s="338" t="str">
        <f>IFERROR(VLOOKUP(I1626,'Chart of accounts'!A:H,3,FALSE),"")</f>
        <v>Training Expenses</v>
      </c>
      <c r="L1626" s="338" t="str">
        <f>IFERROR(VLOOKUP(I1626,'Chart of accounts'!A:H,4,FALSE),"")</f>
        <v>50202010 00 - Training Expenses (753)</v>
      </c>
      <c r="M1626" s="360" t="s">
        <v>1613</v>
      </c>
      <c r="N1626" s="355" t="s">
        <v>1539</v>
      </c>
      <c r="O1626" s="355" t="s">
        <v>1610</v>
      </c>
      <c r="P1626" s="355"/>
      <c r="Q1626" s="355">
        <v>50000</v>
      </c>
      <c r="R1626" s="428">
        <f t="shared" si="69"/>
        <v>-50000</v>
      </c>
      <c r="S1626" s="428" t="str">
        <f>VLOOKUP(H1626,'Fund Utilization Report'!$A$4:$U$1800,13,FALSE)</f>
        <v>MOOE</v>
      </c>
      <c r="T1626" s="428" t="str">
        <f>VLOOKUP(H1626,'Fund Utilization Report'!$A$4:$U$1800,2,FALSE)</f>
        <v>GAA</v>
      </c>
      <c r="U1626" s="428" t="str">
        <f>VLOOKUP(H1626,'Fund Utilization Report'!$A$4:$U$1800,3,FALSE)</f>
        <v>FY2021, RA11518</v>
      </c>
      <c r="V1626" s="428" t="str">
        <f>VLOOKUP(H1626,'Fund Utilization Report'!$A$4:$U$1800,4,FALSE)</f>
        <v>OO2</v>
      </c>
      <c r="W1626" s="428" t="str">
        <f>VLOOKUP(H1626,'Fund Utilization Report'!$A$4:$U$1800,5,FALSE)</f>
        <v>01101101</v>
      </c>
      <c r="X1626" s="428" t="str">
        <f>VLOOKUP(H1626,'Fund Utilization Report'!$A$4:$U$1800,6,FALSE)</f>
        <v>GOP</v>
      </c>
      <c r="Y1626" s="320" t="str">
        <f>VLOOKUP(H1626,'Fund Utilization Report'!$A$4:$U$1800,7,FALSE)</f>
        <v>MOOE</v>
      </c>
      <c r="Z1626" s="425">
        <f>VLOOKUP(H1626,'Fund Utilization Report'!$A$4:$U$1800,8,FALSE)</f>
        <v>5020000000</v>
      </c>
      <c r="AA1626" s="428" t="str">
        <f>VLOOKUP(H1626,'Fund Utilization Report'!$A$4:$U$1800,14,FALSE)</f>
        <v>320100100001000</v>
      </c>
      <c r="AB1626" s="349" t="str">
        <f>VLOOKUP(H1626,'Fund Utilization Report'!$A$4:$U$1800,15,FALSE)</f>
        <v>Formulation of Strategic plans,programs, and policies to develop competitve industries</v>
      </c>
      <c r="AC1626" s="39"/>
      <c r="AD1626" s="34"/>
      <c r="AE1626" s="39"/>
      <c r="AF1626" s="51"/>
      <c r="AG1626" s="442"/>
      <c r="AH1626" s="442"/>
      <c r="AI1626" s="443"/>
    </row>
    <row r="1627" spans="1:35" s="32" customFormat="1" ht="27" customHeight="1">
      <c r="A1627" s="434" t="s">
        <v>942</v>
      </c>
      <c r="B1627" s="457" t="s">
        <v>946</v>
      </c>
      <c r="C1627" s="233">
        <v>44284</v>
      </c>
      <c r="D1627" s="435" t="s">
        <v>1267</v>
      </c>
      <c r="E1627" s="436" t="s">
        <v>1611</v>
      </c>
      <c r="F1627" s="338">
        <v>0.63055555555555554</v>
      </c>
      <c r="G1627" s="338">
        <v>0.63402777777777775</v>
      </c>
      <c r="H1627" s="338" t="s">
        <v>968</v>
      </c>
      <c r="I1627" s="353">
        <v>755</v>
      </c>
      <c r="J1627" s="338" t="str">
        <f>IFERROR(VLOOKUP(I1627,'Chart of accounts'!A:H,2,FALSE),"")</f>
        <v>50203010 00</v>
      </c>
      <c r="K1627" s="338" t="str">
        <f>IFERROR(VLOOKUP(I1627,'Chart of accounts'!A:H,3,FALSE),"")</f>
        <v>Office Supplies Expenses</v>
      </c>
      <c r="L1627" s="338" t="str">
        <f>IFERROR(VLOOKUP(I1627,'Chart of accounts'!A:H,4,FALSE),"")</f>
        <v>50203010 00 - Office Supplies Expenses (755)</v>
      </c>
      <c r="M1627" s="360" t="s">
        <v>1613</v>
      </c>
      <c r="N1627" s="355" t="s">
        <v>1539</v>
      </c>
      <c r="O1627" s="355" t="s">
        <v>1610</v>
      </c>
      <c r="P1627" s="355"/>
      <c r="Q1627" s="355">
        <v>10000</v>
      </c>
      <c r="R1627" s="428">
        <f t="shared" ref="R1627:R1632" si="70">P1627-Q1627</f>
        <v>-10000</v>
      </c>
      <c r="S1627" s="428" t="str">
        <f>VLOOKUP(H1627,'Fund Utilization Report'!$A$4:$U$1800,13,FALSE)</f>
        <v>MOOE</v>
      </c>
      <c r="T1627" s="428" t="str">
        <f>VLOOKUP(H1627,'Fund Utilization Report'!$A$4:$U$1800,2,FALSE)</f>
        <v>GAA</v>
      </c>
      <c r="U1627" s="428" t="str">
        <f>VLOOKUP(H1627,'Fund Utilization Report'!$A$4:$U$1800,3,FALSE)</f>
        <v>FY2021, RA11518</v>
      </c>
      <c r="V1627" s="428" t="str">
        <f>VLOOKUP(H1627,'Fund Utilization Report'!$A$4:$U$1800,4,FALSE)</f>
        <v>OO2</v>
      </c>
      <c r="W1627" s="428" t="str">
        <f>VLOOKUP(H1627,'Fund Utilization Report'!$A$4:$U$1800,5,FALSE)</f>
        <v>01101101</v>
      </c>
      <c r="X1627" s="428" t="str">
        <f>VLOOKUP(H1627,'Fund Utilization Report'!$A$4:$U$1800,6,FALSE)</f>
        <v>GOP</v>
      </c>
      <c r="Y1627" s="320" t="str">
        <f>VLOOKUP(H1627,'Fund Utilization Report'!$A$4:$U$1800,7,FALSE)</f>
        <v>MOOE</v>
      </c>
      <c r="Z1627" s="425">
        <f>VLOOKUP(H1627,'Fund Utilization Report'!$A$4:$U$1800,8,FALSE)</f>
        <v>5020000000</v>
      </c>
      <c r="AA1627" s="428" t="str">
        <f>VLOOKUP(H1627,'Fund Utilization Report'!$A$4:$U$1800,14,FALSE)</f>
        <v>320100100001000</v>
      </c>
      <c r="AB1627" s="349" t="str">
        <f>VLOOKUP(H1627,'Fund Utilization Report'!$A$4:$U$1800,15,FALSE)</f>
        <v>Formulation of Strategic plans,programs, and policies to develop competitve industries</v>
      </c>
      <c r="AC1627" s="39"/>
      <c r="AD1627" s="34"/>
      <c r="AE1627" s="39"/>
      <c r="AF1627" s="51"/>
      <c r="AG1627" s="442"/>
      <c r="AH1627" s="442"/>
      <c r="AI1627" s="443"/>
    </row>
    <row r="1628" spans="1:35" s="32" customFormat="1" ht="27" customHeight="1">
      <c r="A1628" s="434" t="s">
        <v>942</v>
      </c>
      <c r="B1628" s="457" t="s">
        <v>946</v>
      </c>
      <c r="C1628" s="233">
        <v>44284</v>
      </c>
      <c r="D1628" s="435" t="s">
        <v>1267</v>
      </c>
      <c r="E1628" s="436" t="s">
        <v>1611</v>
      </c>
      <c r="F1628" s="338">
        <v>0.63055555555555554</v>
      </c>
      <c r="G1628" s="338">
        <v>0.63402777777777775</v>
      </c>
      <c r="H1628" s="338" t="s">
        <v>968</v>
      </c>
      <c r="I1628" s="353">
        <v>783</v>
      </c>
      <c r="J1628" s="338" t="str">
        <f>IFERROR(VLOOKUP(I1628,'Chart of accounts'!A:H,2,FALSE),"")</f>
        <v>50299030 00</v>
      </c>
      <c r="K1628" s="338" t="str">
        <f>IFERROR(VLOOKUP(I1628,'Chart of accounts'!A:H,3,FALSE),"")</f>
        <v>Representation Expenses</v>
      </c>
      <c r="L1628" s="338" t="str">
        <f>IFERROR(VLOOKUP(I1628,'Chart of accounts'!A:H,4,FALSE),"")</f>
        <v>50299030 00 - Representation Expenses (783)</v>
      </c>
      <c r="M1628" s="360" t="s">
        <v>1613</v>
      </c>
      <c r="N1628" s="355" t="s">
        <v>1539</v>
      </c>
      <c r="O1628" s="355" t="s">
        <v>1610</v>
      </c>
      <c r="P1628" s="355"/>
      <c r="Q1628" s="355">
        <f>69200+35200</f>
        <v>104400</v>
      </c>
      <c r="R1628" s="428">
        <f t="shared" si="70"/>
        <v>-104400</v>
      </c>
      <c r="S1628" s="428" t="str">
        <f>VLOOKUP(H1628,'Fund Utilization Report'!$A$4:$U$1800,13,FALSE)</f>
        <v>MOOE</v>
      </c>
      <c r="T1628" s="428" t="str">
        <f>VLOOKUP(H1628,'Fund Utilization Report'!$A$4:$U$1800,2,FALSE)</f>
        <v>GAA</v>
      </c>
      <c r="U1628" s="428" t="str">
        <f>VLOOKUP(H1628,'Fund Utilization Report'!$A$4:$U$1800,3,FALSE)</f>
        <v>FY2021, RA11518</v>
      </c>
      <c r="V1628" s="428" t="str">
        <f>VLOOKUP(H1628,'Fund Utilization Report'!$A$4:$U$1800,4,FALSE)</f>
        <v>OO2</v>
      </c>
      <c r="W1628" s="428" t="str">
        <f>VLOOKUP(H1628,'Fund Utilization Report'!$A$4:$U$1800,5,FALSE)</f>
        <v>01101101</v>
      </c>
      <c r="X1628" s="428" t="str">
        <f>VLOOKUP(H1628,'Fund Utilization Report'!$A$4:$U$1800,6,FALSE)</f>
        <v>GOP</v>
      </c>
      <c r="Y1628" s="320" t="str">
        <f>VLOOKUP(H1628,'Fund Utilization Report'!$A$4:$U$1800,7,FALSE)</f>
        <v>MOOE</v>
      </c>
      <c r="Z1628" s="425">
        <f>VLOOKUP(H1628,'Fund Utilization Report'!$A$4:$U$1800,8,FALSE)</f>
        <v>5020000000</v>
      </c>
      <c r="AA1628" s="428" t="str">
        <f>VLOOKUP(H1628,'Fund Utilization Report'!$A$4:$U$1800,14,FALSE)</f>
        <v>320100100001000</v>
      </c>
      <c r="AB1628" s="349" t="str">
        <f>VLOOKUP(H1628,'Fund Utilization Report'!$A$4:$U$1800,15,FALSE)</f>
        <v>Formulation of Strategic plans,programs, and policies to develop competitve industries</v>
      </c>
      <c r="AC1628" s="39"/>
      <c r="AD1628" s="34"/>
      <c r="AE1628" s="39"/>
      <c r="AF1628" s="51"/>
      <c r="AG1628" s="442"/>
      <c r="AH1628" s="442"/>
      <c r="AI1628" s="443"/>
    </row>
    <row r="1629" spans="1:35" s="32" customFormat="1" ht="27" customHeight="1">
      <c r="A1629" s="434" t="s">
        <v>942</v>
      </c>
      <c r="B1629" s="457" t="s">
        <v>946</v>
      </c>
      <c r="C1629" s="233">
        <v>44284</v>
      </c>
      <c r="D1629" s="435" t="s">
        <v>1267</v>
      </c>
      <c r="E1629" s="436" t="s">
        <v>1612</v>
      </c>
      <c r="F1629" s="338">
        <v>0.63402777777777775</v>
      </c>
      <c r="G1629" s="338">
        <v>0.63541666666666663</v>
      </c>
      <c r="H1629" s="338" t="s">
        <v>968</v>
      </c>
      <c r="I1629" s="353">
        <v>751</v>
      </c>
      <c r="J1629" s="338" t="str">
        <f>IFERROR(VLOOKUP(I1629,'Chart of accounts'!A:H,2,FALSE),"")</f>
        <v>50201010 00</v>
      </c>
      <c r="K1629" s="338" t="str">
        <f>IFERROR(VLOOKUP(I1629,'Chart of accounts'!A:H,3,FALSE),"")</f>
        <v>Traveling Expenses - Local</v>
      </c>
      <c r="L1629" s="338" t="str">
        <f>IFERROR(VLOOKUP(I1629,'Chart of accounts'!A:H,4,FALSE),"")</f>
        <v>50201010 00 - Traveling Expenses - Local (751)</v>
      </c>
      <c r="M1629" s="360" t="s">
        <v>1613</v>
      </c>
      <c r="N1629" s="355" t="s">
        <v>1540</v>
      </c>
      <c r="O1629" s="355" t="s">
        <v>1610</v>
      </c>
      <c r="P1629" s="355"/>
      <c r="Q1629" s="355">
        <v>30000</v>
      </c>
      <c r="R1629" s="428">
        <f t="shared" si="70"/>
        <v>-30000</v>
      </c>
      <c r="S1629" s="428" t="str">
        <f>VLOOKUP(H1629,'Fund Utilization Report'!$A$4:$U$1800,13,FALSE)</f>
        <v>MOOE</v>
      </c>
      <c r="T1629" s="428" t="str">
        <f>VLOOKUP(H1629,'Fund Utilization Report'!$A$4:$U$1800,2,FALSE)</f>
        <v>GAA</v>
      </c>
      <c r="U1629" s="428" t="str">
        <f>VLOOKUP(H1629,'Fund Utilization Report'!$A$4:$U$1800,3,FALSE)</f>
        <v>FY2021, RA11518</v>
      </c>
      <c r="V1629" s="428" t="str">
        <f>VLOOKUP(H1629,'Fund Utilization Report'!$A$4:$U$1800,4,FALSE)</f>
        <v>OO2</v>
      </c>
      <c r="W1629" s="428" t="str">
        <f>VLOOKUP(H1629,'Fund Utilization Report'!$A$4:$U$1800,5,FALSE)</f>
        <v>01101101</v>
      </c>
      <c r="X1629" s="428" t="str">
        <f>VLOOKUP(H1629,'Fund Utilization Report'!$A$4:$U$1800,6,FALSE)</f>
        <v>GOP</v>
      </c>
      <c r="Y1629" s="320" t="str">
        <f>VLOOKUP(H1629,'Fund Utilization Report'!$A$4:$U$1800,7,FALSE)</f>
        <v>MOOE</v>
      </c>
      <c r="Z1629" s="425">
        <f>VLOOKUP(H1629,'Fund Utilization Report'!$A$4:$U$1800,8,FALSE)</f>
        <v>5020000000</v>
      </c>
      <c r="AA1629" s="428" t="str">
        <f>VLOOKUP(H1629,'Fund Utilization Report'!$A$4:$U$1800,14,FALSE)</f>
        <v>320100100001000</v>
      </c>
      <c r="AB1629" s="349" t="str">
        <f>VLOOKUP(H1629,'Fund Utilization Report'!$A$4:$U$1800,15,FALSE)</f>
        <v>Formulation of Strategic plans,programs, and policies to develop competitve industries</v>
      </c>
      <c r="AC1629" s="39"/>
      <c r="AD1629" s="34"/>
      <c r="AE1629" s="39"/>
      <c r="AF1629" s="51"/>
      <c r="AG1629" s="442"/>
      <c r="AH1629" s="442"/>
      <c r="AI1629" s="443"/>
    </row>
    <row r="1630" spans="1:35" s="32" customFormat="1" ht="27" customHeight="1">
      <c r="A1630" s="434" t="s">
        <v>942</v>
      </c>
      <c r="B1630" s="457" t="s">
        <v>946</v>
      </c>
      <c r="C1630" s="233">
        <v>44284</v>
      </c>
      <c r="D1630" s="435" t="s">
        <v>1267</v>
      </c>
      <c r="E1630" s="436" t="s">
        <v>1612</v>
      </c>
      <c r="F1630" s="338">
        <v>0.63402777777777775</v>
      </c>
      <c r="G1630" s="338">
        <v>0.63541666666666663</v>
      </c>
      <c r="H1630" s="338" t="s">
        <v>968</v>
      </c>
      <c r="I1630" s="353">
        <v>753</v>
      </c>
      <c r="J1630" s="338" t="str">
        <f>IFERROR(VLOOKUP(I1630,'Chart of accounts'!A:H,2,FALSE),"")</f>
        <v>50202010 00</v>
      </c>
      <c r="K1630" s="338" t="str">
        <f>IFERROR(VLOOKUP(I1630,'Chart of accounts'!A:H,3,FALSE),"")</f>
        <v>Training Expenses</v>
      </c>
      <c r="L1630" s="338" t="str">
        <f>IFERROR(VLOOKUP(I1630,'Chart of accounts'!A:H,4,FALSE),"")</f>
        <v>50202010 00 - Training Expenses (753)</v>
      </c>
      <c r="M1630" s="360" t="s">
        <v>1613</v>
      </c>
      <c r="N1630" s="355" t="s">
        <v>1540</v>
      </c>
      <c r="O1630" s="355" t="s">
        <v>1610</v>
      </c>
      <c r="P1630" s="355"/>
      <c r="Q1630" s="355">
        <v>50000</v>
      </c>
      <c r="R1630" s="428">
        <f t="shared" si="70"/>
        <v>-50000</v>
      </c>
      <c r="S1630" s="428" t="str">
        <f>VLOOKUP(H1630,'Fund Utilization Report'!$A$4:$U$1800,13,FALSE)</f>
        <v>MOOE</v>
      </c>
      <c r="T1630" s="428" t="str">
        <f>VLOOKUP(H1630,'Fund Utilization Report'!$A$4:$U$1800,2,FALSE)</f>
        <v>GAA</v>
      </c>
      <c r="U1630" s="428" t="str">
        <f>VLOOKUP(H1630,'Fund Utilization Report'!$A$4:$U$1800,3,FALSE)</f>
        <v>FY2021, RA11518</v>
      </c>
      <c r="V1630" s="428" t="str">
        <f>VLOOKUP(H1630,'Fund Utilization Report'!$A$4:$U$1800,4,FALSE)</f>
        <v>OO2</v>
      </c>
      <c r="W1630" s="428" t="str">
        <f>VLOOKUP(H1630,'Fund Utilization Report'!$A$4:$U$1800,5,FALSE)</f>
        <v>01101101</v>
      </c>
      <c r="X1630" s="428" t="str">
        <f>VLOOKUP(H1630,'Fund Utilization Report'!$A$4:$U$1800,6,FALSE)</f>
        <v>GOP</v>
      </c>
      <c r="Y1630" s="320" t="str">
        <f>VLOOKUP(H1630,'Fund Utilization Report'!$A$4:$U$1800,7,FALSE)</f>
        <v>MOOE</v>
      </c>
      <c r="Z1630" s="425">
        <f>VLOOKUP(H1630,'Fund Utilization Report'!$A$4:$U$1800,8,FALSE)</f>
        <v>5020000000</v>
      </c>
      <c r="AA1630" s="428" t="str">
        <f>VLOOKUP(H1630,'Fund Utilization Report'!$A$4:$U$1800,14,FALSE)</f>
        <v>320100100001000</v>
      </c>
      <c r="AB1630" s="349" t="str">
        <f>VLOOKUP(H1630,'Fund Utilization Report'!$A$4:$U$1800,15,FALSE)</f>
        <v>Formulation of Strategic plans,programs, and policies to develop competitve industries</v>
      </c>
      <c r="AC1630" s="39"/>
      <c r="AD1630" s="34"/>
      <c r="AE1630" s="39"/>
      <c r="AF1630" s="51"/>
      <c r="AG1630" s="442"/>
      <c r="AH1630" s="442"/>
      <c r="AI1630" s="443"/>
    </row>
    <row r="1631" spans="1:35" s="32" customFormat="1" ht="27" customHeight="1">
      <c r="A1631" s="434" t="s">
        <v>942</v>
      </c>
      <c r="B1631" s="457" t="s">
        <v>946</v>
      </c>
      <c r="C1631" s="233">
        <v>44284</v>
      </c>
      <c r="D1631" s="435" t="s">
        <v>1267</v>
      </c>
      <c r="E1631" s="436" t="s">
        <v>1612</v>
      </c>
      <c r="F1631" s="338">
        <v>0.63402777777777775</v>
      </c>
      <c r="G1631" s="338">
        <v>0.63541666666666663</v>
      </c>
      <c r="H1631" s="338" t="s">
        <v>968</v>
      </c>
      <c r="I1631" s="353">
        <v>755</v>
      </c>
      <c r="J1631" s="338" t="str">
        <f>IFERROR(VLOOKUP(I1631,'Chart of accounts'!A:H,2,FALSE),"")</f>
        <v>50203010 00</v>
      </c>
      <c r="K1631" s="338" t="str">
        <f>IFERROR(VLOOKUP(I1631,'Chart of accounts'!A:H,3,FALSE),"")</f>
        <v>Office Supplies Expenses</v>
      </c>
      <c r="L1631" s="338" t="str">
        <f>IFERROR(VLOOKUP(I1631,'Chart of accounts'!A:H,4,FALSE),"")</f>
        <v>50203010 00 - Office Supplies Expenses (755)</v>
      </c>
      <c r="M1631" s="360" t="s">
        <v>1613</v>
      </c>
      <c r="N1631" s="355" t="s">
        <v>1540</v>
      </c>
      <c r="O1631" s="355" t="s">
        <v>1610</v>
      </c>
      <c r="P1631" s="355"/>
      <c r="Q1631" s="355">
        <v>10000</v>
      </c>
      <c r="R1631" s="428">
        <f t="shared" si="70"/>
        <v>-10000</v>
      </c>
      <c r="S1631" s="428" t="str">
        <f>VLOOKUP(H1631,'Fund Utilization Report'!$A$4:$U$1800,13,FALSE)</f>
        <v>MOOE</v>
      </c>
      <c r="T1631" s="428" t="str">
        <f>VLOOKUP(H1631,'Fund Utilization Report'!$A$4:$U$1800,2,FALSE)</f>
        <v>GAA</v>
      </c>
      <c r="U1631" s="428" t="str">
        <f>VLOOKUP(H1631,'Fund Utilization Report'!$A$4:$U$1800,3,FALSE)</f>
        <v>FY2021, RA11518</v>
      </c>
      <c r="V1631" s="428" t="str">
        <f>VLOOKUP(H1631,'Fund Utilization Report'!$A$4:$U$1800,4,FALSE)</f>
        <v>OO2</v>
      </c>
      <c r="W1631" s="428" t="str">
        <f>VLOOKUP(H1631,'Fund Utilization Report'!$A$4:$U$1800,5,FALSE)</f>
        <v>01101101</v>
      </c>
      <c r="X1631" s="428" t="str">
        <f>VLOOKUP(H1631,'Fund Utilization Report'!$A$4:$U$1800,6,FALSE)</f>
        <v>GOP</v>
      </c>
      <c r="Y1631" s="320" t="str">
        <f>VLOOKUP(H1631,'Fund Utilization Report'!$A$4:$U$1800,7,FALSE)</f>
        <v>MOOE</v>
      </c>
      <c r="Z1631" s="425">
        <f>VLOOKUP(H1631,'Fund Utilization Report'!$A$4:$U$1800,8,FALSE)</f>
        <v>5020000000</v>
      </c>
      <c r="AA1631" s="428" t="str">
        <f>VLOOKUP(H1631,'Fund Utilization Report'!$A$4:$U$1800,14,FALSE)</f>
        <v>320100100001000</v>
      </c>
      <c r="AB1631" s="349" t="str">
        <f>VLOOKUP(H1631,'Fund Utilization Report'!$A$4:$U$1800,15,FALSE)</f>
        <v>Formulation of Strategic plans,programs, and policies to develop competitve industries</v>
      </c>
      <c r="AC1631" s="39"/>
      <c r="AD1631" s="34"/>
      <c r="AE1631" s="39"/>
      <c r="AF1631" s="51"/>
      <c r="AG1631" s="442"/>
      <c r="AH1631" s="442"/>
      <c r="AI1631" s="443"/>
    </row>
    <row r="1632" spans="1:35" s="32" customFormat="1" ht="27" customHeight="1">
      <c r="A1632" s="434" t="s">
        <v>942</v>
      </c>
      <c r="B1632" s="457" t="s">
        <v>946</v>
      </c>
      <c r="C1632" s="233">
        <v>44284</v>
      </c>
      <c r="D1632" s="435" t="s">
        <v>1267</v>
      </c>
      <c r="E1632" s="436" t="s">
        <v>1612</v>
      </c>
      <c r="F1632" s="338">
        <v>0.63402777777777775</v>
      </c>
      <c r="G1632" s="338">
        <v>0.63541666666666663</v>
      </c>
      <c r="H1632" s="338" t="s">
        <v>968</v>
      </c>
      <c r="I1632" s="353">
        <v>783</v>
      </c>
      <c r="J1632" s="338" t="str">
        <f>IFERROR(VLOOKUP(I1632,'Chart of accounts'!A:H,2,FALSE),"")</f>
        <v>50299030 00</v>
      </c>
      <c r="K1632" s="338" t="str">
        <f>IFERROR(VLOOKUP(I1632,'Chart of accounts'!A:H,3,FALSE),"")</f>
        <v>Representation Expenses</v>
      </c>
      <c r="L1632" s="338" t="str">
        <f>IFERROR(VLOOKUP(I1632,'Chart of accounts'!A:H,4,FALSE),"")</f>
        <v>50299030 00 - Representation Expenses (783)</v>
      </c>
      <c r="M1632" s="360" t="s">
        <v>1613</v>
      </c>
      <c r="N1632" s="355" t="s">
        <v>1540</v>
      </c>
      <c r="O1632" s="355" t="s">
        <v>1610</v>
      </c>
      <c r="P1632" s="355"/>
      <c r="Q1632" s="355">
        <f>69200+35200</f>
        <v>104400</v>
      </c>
      <c r="R1632" s="428">
        <f t="shared" si="70"/>
        <v>-104400</v>
      </c>
      <c r="S1632" s="428" t="str">
        <f>VLOOKUP(H1632,'Fund Utilization Report'!$A$4:$U$1800,13,FALSE)</f>
        <v>MOOE</v>
      </c>
      <c r="T1632" s="428" t="str">
        <f>VLOOKUP(H1632,'Fund Utilization Report'!$A$4:$U$1800,2,FALSE)</f>
        <v>GAA</v>
      </c>
      <c r="U1632" s="428" t="str">
        <f>VLOOKUP(H1632,'Fund Utilization Report'!$A$4:$U$1800,3,FALSE)</f>
        <v>FY2021, RA11518</v>
      </c>
      <c r="V1632" s="428" t="str">
        <f>VLOOKUP(H1632,'Fund Utilization Report'!$A$4:$U$1800,4,FALSE)</f>
        <v>OO2</v>
      </c>
      <c r="W1632" s="428" t="str">
        <f>VLOOKUP(H1632,'Fund Utilization Report'!$A$4:$U$1800,5,FALSE)</f>
        <v>01101101</v>
      </c>
      <c r="X1632" s="428" t="str">
        <f>VLOOKUP(H1632,'Fund Utilization Report'!$A$4:$U$1800,6,FALSE)</f>
        <v>GOP</v>
      </c>
      <c r="Y1632" s="320" t="str">
        <f>VLOOKUP(H1632,'Fund Utilization Report'!$A$4:$U$1800,7,FALSE)</f>
        <v>MOOE</v>
      </c>
      <c r="Z1632" s="425">
        <f>VLOOKUP(H1632,'Fund Utilization Report'!$A$4:$U$1800,8,FALSE)</f>
        <v>5020000000</v>
      </c>
      <c r="AA1632" s="428" t="str">
        <f>VLOOKUP(H1632,'Fund Utilization Report'!$A$4:$U$1800,14,FALSE)</f>
        <v>320100100001000</v>
      </c>
      <c r="AB1632" s="349" t="str">
        <f>VLOOKUP(H1632,'Fund Utilization Report'!$A$4:$U$1800,15,FALSE)</f>
        <v>Formulation of Strategic plans,programs, and policies to develop competitve industries</v>
      </c>
      <c r="AC1632" s="39"/>
      <c r="AD1632" s="34"/>
      <c r="AE1632" s="39"/>
      <c r="AF1632" s="51"/>
      <c r="AG1632" s="442"/>
      <c r="AH1632" s="442"/>
      <c r="AI1632" s="443"/>
    </row>
    <row r="1633" spans="1:35" s="32" customFormat="1" ht="27.6">
      <c r="A1633" s="434" t="s">
        <v>942</v>
      </c>
      <c r="B1633" s="457" t="s">
        <v>946</v>
      </c>
      <c r="C1633" s="358">
        <v>44285</v>
      </c>
      <c r="D1633" s="435" t="s">
        <v>1267</v>
      </c>
      <c r="E1633" s="352" t="s">
        <v>1614</v>
      </c>
      <c r="F1633" s="338">
        <v>0.39444444444444443</v>
      </c>
      <c r="G1633" s="338">
        <v>0.39513888888888887</v>
      </c>
      <c r="H1633" s="338" t="s">
        <v>985</v>
      </c>
      <c r="I1633" s="353">
        <v>751</v>
      </c>
      <c r="J1633" s="338" t="str">
        <f>IFERROR(VLOOKUP(I1633,'Chart of accounts'!A:H,2,FALSE),"")</f>
        <v>50201010 00</v>
      </c>
      <c r="K1633" s="338" t="str">
        <f>IFERROR(VLOOKUP(I1633,'Chart of accounts'!A:H,3,FALSE),"")</f>
        <v>Traveling Expenses - Local</v>
      </c>
      <c r="L1633" s="338" t="str">
        <f>IFERROR(VLOOKUP(I1633,'Chart of accounts'!A:H,4,FALSE),"")</f>
        <v>50201010 00 - Traveling Expenses - Local (751)</v>
      </c>
      <c r="M1633" s="361" t="s">
        <v>7</v>
      </c>
      <c r="N1633" s="355" t="s">
        <v>822</v>
      </c>
      <c r="O1633" s="355" t="s">
        <v>1615</v>
      </c>
      <c r="P1633" s="355"/>
      <c r="Q1633" s="363">
        <v>57498</v>
      </c>
      <c r="R1633" s="428">
        <f t="shared" si="69"/>
        <v>-57498</v>
      </c>
      <c r="S1633" s="428" t="str">
        <f>VLOOKUP(H1633,'Fund Utilization Report'!$A$4:$U$1800,13,FALSE)</f>
        <v>MOOE</v>
      </c>
      <c r="T1633" s="428" t="str">
        <f>VLOOKUP(H1633,'Fund Utilization Report'!$A$4:$U$1800,2,FALSE)</f>
        <v>GAA</v>
      </c>
      <c r="U1633" s="428" t="str">
        <f>VLOOKUP(H1633,'Fund Utilization Report'!$A$4:$U$1800,3,FALSE)</f>
        <v>FY2021, RA11518</v>
      </c>
      <c r="V1633" s="428" t="str">
        <f>VLOOKUP(H1633,'Fund Utilization Report'!$A$4:$U$1800,4,FALSE)</f>
        <v>LSP-PBG</v>
      </c>
      <c r="W1633" s="428" t="str">
        <f>VLOOKUP(H1633,'Fund Utilization Report'!$A$4:$U$1800,5,FALSE)</f>
        <v>01101101</v>
      </c>
      <c r="X1633" s="428" t="str">
        <f>VLOOKUP(H1633,'Fund Utilization Report'!$A$4:$U$1800,6,FALSE)</f>
        <v>GOP</v>
      </c>
      <c r="Y1633" s="320" t="str">
        <f>VLOOKUP(H1633,'Fund Utilization Report'!$A$4:$U$1800,7,FALSE)</f>
        <v>MOOE</v>
      </c>
      <c r="Z1633" s="425">
        <f>VLOOKUP(H1633,'Fund Utilization Report'!$A$4:$U$1800,8,FALSE)</f>
        <v>5020000000</v>
      </c>
      <c r="AA1633" s="428" t="str">
        <f>VLOOKUP(H1633,'Fund Utilization Report'!$A$4:$U$1800,14,FALSE)</f>
        <v>330100200004000</v>
      </c>
      <c r="AB1633" s="349" t="str">
        <f>VLOOKUP(H1633,'Fund Utilization Report'!$A$4:$U$1800,15,FALSE)</f>
        <v>MSME Development Program : Livelihood Seeding Program and Pangkabuhayan sa Pagbangon at Ginhawa</v>
      </c>
      <c r="AC1633" s="39"/>
      <c r="AD1633" s="34"/>
      <c r="AE1633" s="39"/>
      <c r="AF1633" s="51"/>
      <c r="AG1633" s="442"/>
      <c r="AH1633" s="442"/>
      <c r="AI1633" s="443"/>
    </row>
    <row r="1634" spans="1:35" s="32" customFormat="1" ht="27.6">
      <c r="A1634" s="434" t="s">
        <v>942</v>
      </c>
      <c r="B1634" s="457" t="s">
        <v>946</v>
      </c>
      <c r="C1634" s="358">
        <v>44285</v>
      </c>
      <c r="D1634" s="435" t="s">
        <v>1267</v>
      </c>
      <c r="E1634" s="352" t="s">
        <v>1614</v>
      </c>
      <c r="F1634" s="338">
        <v>0.39444444444444443</v>
      </c>
      <c r="G1634" s="338">
        <v>0.39513888888888887</v>
      </c>
      <c r="H1634" s="338" t="s">
        <v>985</v>
      </c>
      <c r="I1634" s="353">
        <v>753</v>
      </c>
      <c r="J1634" s="338" t="str">
        <f>IFERROR(VLOOKUP(I1634,'Chart of accounts'!A:H,2,FALSE),"")</f>
        <v>50202010 00</v>
      </c>
      <c r="K1634" s="338" t="str">
        <f>IFERROR(VLOOKUP(I1634,'Chart of accounts'!A:H,3,FALSE),"")</f>
        <v>Training Expenses</v>
      </c>
      <c r="L1634" s="338" t="str">
        <f>IFERROR(VLOOKUP(I1634,'Chart of accounts'!A:H,4,FALSE),"")</f>
        <v>50202010 00 - Training Expenses (753)</v>
      </c>
      <c r="M1634" s="467" t="s">
        <v>7</v>
      </c>
      <c r="N1634" s="355" t="s">
        <v>822</v>
      </c>
      <c r="O1634" s="355" t="s">
        <v>1615</v>
      </c>
      <c r="P1634" s="355"/>
      <c r="Q1634" s="363">
        <v>525004</v>
      </c>
      <c r="R1634" s="428">
        <f t="shared" ref="R1634:R1645" si="71">P1634-Q1634</f>
        <v>-525004</v>
      </c>
      <c r="S1634" s="428" t="str">
        <f>VLOOKUP(H1634,'Fund Utilization Report'!$A$4:$U$1800,13,FALSE)</f>
        <v>MOOE</v>
      </c>
      <c r="T1634" s="428" t="str">
        <f>VLOOKUP(H1634,'Fund Utilization Report'!$A$4:$U$1800,2,FALSE)</f>
        <v>GAA</v>
      </c>
      <c r="U1634" s="428" t="str">
        <f>VLOOKUP(H1634,'Fund Utilization Report'!$A$4:$U$1800,3,FALSE)</f>
        <v>FY2021, RA11518</v>
      </c>
      <c r="V1634" s="428" t="str">
        <f>VLOOKUP(H1634,'Fund Utilization Report'!$A$4:$U$1800,4,FALSE)</f>
        <v>LSP-PBG</v>
      </c>
      <c r="W1634" s="428" t="str">
        <f>VLOOKUP(H1634,'Fund Utilization Report'!$A$4:$U$1800,5,FALSE)</f>
        <v>01101101</v>
      </c>
      <c r="X1634" s="428" t="str">
        <f>VLOOKUP(H1634,'Fund Utilization Report'!$A$4:$U$1800,6,FALSE)</f>
        <v>GOP</v>
      </c>
      <c r="Y1634" s="320" t="str">
        <f>VLOOKUP(H1634,'Fund Utilization Report'!$A$4:$U$1800,7,FALSE)</f>
        <v>MOOE</v>
      </c>
      <c r="Z1634" s="425">
        <f>VLOOKUP(H1634,'Fund Utilization Report'!$A$4:$U$1800,8,FALSE)</f>
        <v>5020000000</v>
      </c>
      <c r="AA1634" s="428" t="str">
        <f>VLOOKUP(H1634,'Fund Utilization Report'!$A$4:$U$1800,14,FALSE)</f>
        <v>330100200004000</v>
      </c>
      <c r="AB1634" s="349" t="str">
        <f>VLOOKUP(H1634,'Fund Utilization Report'!$A$4:$U$1800,15,FALSE)</f>
        <v>MSME Development Program : Livelihood Seeding Program and Pangkabuhayan sa Pagbangon at Ginhawa</v>
      </c>
      <c r="AC1634" s="39"/>
      <c r="AD1634" s="34"/>
      <c r="AE1634" s="39"/>
      <c r="AF1634" s="51"/>
      <c r="AG1634" s="442"/>
      <c r="AH1634" s="442"/>
      <c r="AI1634" s="443"/>
    </row>
    <row r="1635" spans="1:35" s="32" customFormat="1" ht="27.6">
      <c r="A1635" s="434" t="s">
        <v>942</v>
      </c>
      <c r="B1635" s="457" t="s">
        <v>946</v>
      </c>
      <c r="C1635" s="358">
        <v>44285</v>
      </c>
      <c r="D1635" s="435" t="s">
        <v>1267</v>
      </c>
      <c r="E1635" s="352" t="s">
        <v>1614</v>
      </c>
      <c r="F1635" s="338">
        <v>0.39444444444444443</v>
      </c>
      <c r="G1635" s="338">
        <v>0.39513888888888887</v>
      </c>
      <c r="H1635" s="338" t="s">
        <v>985</v>
      </c>
      <c r="I1635" s="353">
        <v>773</v>
      </c>
      <c r="J1635" s="338" t="str">
        <f>IFERROR(VLOOKUP(I1635,'Chart of accounts'!A:H,2,FALSE),"")</f>
        <v>50205020 01</v>
      </c>
      <c r="K1635" s="338" t="str">
        <f>IFERROR(VLOOKUP(I1635,'Chart of accounts'!A:H,3,FALSE),"")</f>
        <v xml:space="preserve">Telephone Expenses - Mobile </v>
      </c>
      <c r="L1635" s="338" t="str">
        <f>IFERROR(VLOOKUP(I1635,'Chart of accounts'!A:H,4,FALSE),"")</f>
        <v>50205020 01 - Telephone Expenses - Mobile  (773)</v>
      </c>
      <c r="M1635" s="467" t="s">
        <v>7</v>
      </c>
      <c r="N1635" s="355" t="s">
        <v>822</v>
      </c>
      <c r="O1635" s="355" t="s">
        <v>1615</v>
      </c>
      <c r="P1635" s="355"/>
      <c r="Q1635" s="363">
        <v>19166</v>
      </c>
      <c r="R1635" s="428">
        <f t="shared" si="71"/>
        <v>-19166</v>
      </c>
      <c r="S1635" s="428" t="str">
        <f>VLOOKUP(H1635,'Fund Utilization Report'!$A$4:$U$1800,13,FALSE)</f>
        <v>MOOE</v>
      </c>
      <c r="T1635" s="428" t="str">
        <f>VLOOKUP(H1635,'Fund Utilization Report'!$A$4:$U$1800,2,FALSE)</f>
        <v>GAA</v>
      </c>
      <c r="U1635" s="428" t="str">
        <f>VLOOKUP(H1635,'Fund Utilization Report'!$A$4:$U$1800,3,FALSE)</f>
        <v>FY2021, RA11518</v>
      </c>
      <c r="V1635" s="428" t="str">
        <f>VLOOKUP(H1635,'Fund Utilization Report'!$A$4:$U$1800,4,FALSE)</f>
        <v>LSP-PBG</v>
      </c>
      <c r="W1635" s="428" t="str">
        <f>VLOOKUP(H1635,'Fund Utilization Report'!$A$4:$U$1800,5,FALSE)</f>
        <v>01101101</v>
      </c>
      <c r="X1635" s="428" t="str">
        <f>VLOOKUP(H1635,'Fund Utilization Report'!$A$4:$U$1800,6,FALSE)</f>
        <v>GOP</v>
      </c>
      <c r="Y1635" s="320" t="str">
        <f>VLOOKUP(H1635,'Fund Utilization Report'!$A$4:$U$1800,7,FALSE)</f>
        <v>MOOE</v>
      </c>
      <c r="Z1635" s="425">
        <f>VLOOKUP(H1635,'Fund Utilization Report'!$A$4:$U$1800,8,FALSE)</f>
        <v>5020000000</v>
      </c>
      <c r="AA1635" s="428" t="str">
        <f>VLOOKUP(H1635,'Fund Utilization Report'!$A$4:$U$1800,14,FALSE)</f>
        <v>330100200004000</v>
      </c>
      <c r="AB1635" s="349" t="str">
        <f>VLOOKUP(H1635,'Fund Utilization Report'!$A$4:$U$1800,15,FALSE)</f>
        <v>MSME Development Program : Livelihood Seeding Program and Pangkabuhayan sa Pagbangon at Ginhawa</v>
      </c>
      <c r="AC1635" s="39"/>
      <c r="AD1635" s="34"/>
      <c r="AE1635" s="39"/>
      <c r="AF1635" s="51"/>
      <c r="AG1635" s="442"/>
      <c r="AH1635" s="442"/>
      <c r="AI1635" s="443"/>
    </row>
    <row r="1636" spans="1:35" s="32" customFormat="1" ht="27.6">
      <c r="A1636" s="434" t="s">
        <v>942</v>
      </c>
      <c r="B1636" s="457" t="s">
        <v>946</v>
      </c>
      <c r="C1636" s="358">
        <v>44285</v>
      </c>
      <c r="D1636" s="435" t="s">
        <v>1267</v>
      </c>
      <c r="E1636" s="352" t="s">
        <v>1614</v>
      </c>
      <c r="F1636" s="338">
        <v>0.39444444444444443</v>
      </c>
      <c r="G1636" s="338">
        <v>0.39513888888888887</v>
      </c>
      <c r="H1636" s="338" t="s">
        <v>985</v>
      </c>
      <c r="I1636" s="353">
        <v>799</v>
      </c>
      <c r="J1636" s="338" t="str">
        <f>IFERROR(VLOOKUP(I1636,'Chart of accounts'!A:H,2,FALSE),"")</f>
        <v>50211990 00</v>
      </c>
      <c r="K1636" s="338" t="str">
        <f>IFERROR(VLOOKUP(I1636,'Chart of accounts'!A:H,3,FALSE),"")</f>
        <v>Other Professional Services</v>
      </c>
      <c r="L1636" s="338" t="str">
        <f>IFERROR(VLOOKUP(I1636,'Chart of accounts'!A:H,4,FALSE),"")</f>
        <v>50211990 00 - Other Professional Services (799)</v>
      </c>
      <c r="M1636" s="467" t="s">
        <v>7</v>
      </c>
      <c r="N1636" s="355" t="s">
        <v>822</v>
      </c>
      <c r="O1636" s="355" t="s">
        <v>1615</v>
      </c>
      <c r="P1636" s="355"/>
      <c r="Q1636" s="363">
        <v>38332</v>
      </c>
      <c r="R1636" s="428">
        <f t="shared" si="71"/>
        <v>-38332</v>
      </c>
      <c r="S1636" s="428" t="str">
        <f>VLOOKUP(H1636,'Fund Utilization Report'!$A$4:$U$1800,13,FALSE)</f>
        <v>MOOE</v>
      </c>
      <c r="T1636" s="428" t="str">
        <f>VLOOKUP(H1636,'Fund Utilization Report'!$A$4:$U$1800,2,FALSE)</f>
        <v>GAA</v>
      </c>
      <c r="U1636" s="428" t="str">
        <f>VLOOKUP(H1636,'Fund Utilization Report'!$A$4:$U$1800,3,FALSE)</f>
        <v>FY2021, RA11518</v>
      </c>
      <c r="V1636" s="428" t="str">
        <f>VLOOKUP(H1636,'Fund Utilization Report'!$A$4:$U$1800,4,FALSE)</f>
        <v>LSP-PBG</v>
      </c>
      <c r="W1636" s="428" t="str">
        <f>VLOOKUP(H1636,'Fund Utilization Report'!$A$4:$U$1800,5,FALSE)</f>
        <v>01101101</v>
      </c>
      <c r="X1636" s="428" t="str">
        <f>VLOOKUP(H1636,'Fund Utilization Report'!$A$4:$U$1800,6,FALSE)</f>
        <v>GOP</v>
      </c>
      <c r="Y1636" s="320" t="str">
        <f>VLOOKUP(H1636,'Fund Utilization Report'!$A$4:$U$1800,7,FALSE)</f>
        <v>MOOE</v>
      </c>
      <c r="Z1636" s="425">
        <f>VLOOKUP(H1636,'Fund Utilization Report'!$A$4:$U$1800,8,FALSE)</f>
        <v>5020000000</v>
      </c>
      <c r="AA1636" s="428" t="str">
        <f>VLOOKUP(H1636,'Fund Utilization Report'!$A$4:$U$1800,14,FALSE)</f>
        <v>330100200004000</v>
      </c>
      <c r="AB1636" s="349" t="str">
        <f>VLOOKUP(H1636,'Fund Utilization Report'!$A$4:$U$1800,15,FALSE)</f>
        <v>MSME Development Program : Livelihood Seeding Program and Pangkabuhayan sa Pagbangon at Ginhawa</v>
      </c>
      <c r="AC1636" s="39"/>
      <c r="AD1636" s="34"/>
      <c r="AE1636" s="39"/>
      <c r="AF1636" s="51"/>
      <c r="AG1636" s="442"/>
      <c r="AH1636" s="442"/>
      <c r="AI1636" s="443"/>
    </row>
    <row r="1637" spans="1:35" s="32" customFormat="1">
      <c r="A1637" s="434" t="s">
        <v>942</v>
      </c>
      <c r="B1637" s="457" t="s">
        <v>946</v>
      </c>
      <c r="C1637" s="358">
        <v>44285</v>
      </c>
      <c r="D1637" s="435" t="s">
        <v>1267</v>
      </c>
      <c r="E1637" s="352" t="s">
        <v>1616</v>
      </c>
      <c r="F1637" s="338">
        <v>0.39652777777777781</v>
      </c>
      <c r="G1637" s="338">
        <v>0.3979166666666667</v>
      </c>
      <c r="H1637" s="338" t="s">
        <v>983</v>
      </c>
      <c r="I1637" s="353">
        <v>751</v>
      </c>
      <c r="J1637" s="338" t="str">
        <f>IFERROR(VLOOKUP(I1637,'Chart of accounts'!A:H,2,FALSE),"")</f>
        <v>50201010 00</v>
      </c>
      <c r="K1637" s="338" t="str">
        <f>IFERROR(VLOOKUP(I1637,'Chart of accounts'!A:H,3,FALSE),"")</f>
        <v>Traveling Expenses - Local</v>
      </c>
      <c r="L1637" s="338" t="str">
        <f>IFERROR(VLOOKUP(I1637,'Chart of accounts'!A:H,4,FALSE),"")</f>
        <v>50201010 00 - Traveling Expenses - Local (751)</v>
      </c>
      <c r="M1637" s="361" t="s">
        <v>5</v>
      </c>
      <c r="N1637" s="355" t="s">
        <v>822</v>
      </c>
      <c r="O1637" s="355" t="s">
        <v>1145</v>
      </c>
      <c r="P1637" s="355"/>
      <c r="Q1637" s="363">
        <v>10000</v>
      </c>
      <c r="R1637" s="428">
        <f t="shared" si="71"/>
        <v>-10000</v>
      </c>
      <c r="S1637" s="428" t="str">
        <f>VLOOKUP(H1637,'Fund Utilization Report'!$A$4:$U$1800,13,FALSE)</f>
        <v>MOOE</v>
      </c>
      <c r="T1637" s="428" t="str">
        <f>VLOOKUP(H1637,'Fund Utilization Report'!$A$4:$U$1800,2,FALSE)</f>
        <v>GAA</v>
      </c>
      <c r="U1637" s="428" t="str">
        <f>VLOOKUP(H1637,'Fund Utilization Report'!$A$4:$U$1800,3,FALSE)</f>
        <v>FY2021, RA11518</v>
      </c>
      <c r="V1637" s="428" t="str">
        <f>VLOOKUP(H1637,'Fund Utilization Report'!$A$4:$U$1800,4,FALSE)</f>
        <v>SSF</v>
      </c>
      <c r="W1637" s="428" t="str">
        <f>VLOOKUP(H1637,'Fund Utilization Report'!$A$4:$U$1800,5,FALSE)</f>
        <v>01101101</v>
      </c>
      <c r="X1637" s="428" t="str">
        <f>VLOOKUP(H1637,'Fund Utilization Report'!$A$4:$U$1800,6,FALSE)</f>
        <v>GOP</v>
      </c>
      <c r="Y1637" s="320" t="str">
        <f>VLOOKUP(H1637,'Fund Utilization Report'!$A$4:$U$1800,7,FALSE)</f>
        <v>MOOE</v>
      </c>
      <c r="Z1637" s="425">
        <f>VLOOKUP(H1637,'Fund Utilization Report'!$A$4:$U$1800,8,FALSE)</f>
        <v>5020000000</v>
      </c>
      <c r="AA1637" s="428" t="str">
        <f>VLOOKUP(H1637,'Fund Utilization Report'!$A$4:$U$1800,14,FALSE)</f>
        <v>330100200003000</v>
      </c>
      <c r="AB1637" s="349" t="str">
        <f>VLOOKUP(H1637,'Fund Utilization Report'!$A$4:$U$1800,15,FALSE)</f>
        <v>Shared Service Facilities Project</v>
      </c>
      <c r="AC1637" s="39"/>
      <c r="AD1637" s="34"/>
      <c r="AE1637" s="39"/>
      <c r="AF1637" s="51"/>
      <c r="AG1637" s="442"/>
      <c r="AH1637" s="442"/>
      <c r="AI1637" s="443"/>
    </row>
    <row r="1638" spans="1:35" s="32" customFormat="1">
      <c r="A1638" s="434" t="s">
        <v>942</v>
      </c>
      <c r="B1638" s="457" t="s">
        <v>946</v>
      </c>
      <c r="C1638" s="358">
        <v>44285</v>
      </c>
      <c r="D1638" s="435" t="s">
        <v>1267</v>
      </c>
      <c r="E1638" s="352" t="s">
        <v>1616</v>
      </c>
      <c r="F1638" s="338">
        <v>0.39652777777777781</v>
      </c>
      <c r="G1638" s="338">
        <v>0.3979166666666667</v>
      </c>
      <c r="H1638" s="338" t="s">
        <v>983</v>
      </c>
      <c r="I1638" s="353">
        <v>753</v>
      </c>
      <c r="J1638" s="338" t="str">
        <f>IFERROR(VLOOKUP(I1638,'Chart of accounts'!A:H,2,FALSE),"")</f>
        <v>50202010 00</v>
      </c>
      <c r="K1638" s="338" t="str">
        <f>IFERROR(VLOOKUP(I1638,'Chart of accounts'!A:H,3,FALSE),"")</f>
        <v>Training Expenses</v>
      </c>
      <c r="L1638" s="338" t="str">
        <f>IFERROR(VLOOKUP(I1638,'Chart of accounts'!A:H,4,FALSE),"")</f>
        <v>50202010 00 - Training Expenses (753)</v>
      </c>
      <c r="M1638" s="467" t="s">
        <v>5</v>
      </c>
      <c r="N1638" s="355" t="s">
        <v>822</v>
      </c>
      <c r="O1638" s="355" t="s">
        <v>1145</v>
      </c>
      <c r="P1638" s="355"/>
      <c r="Q1638" s="363">
        <v>80000</v>
      </c>
      <c r="R1638" s="428">
        <f t="shared" si="71"/>
        <v>-80000</v>
      </c>
      <c r="S1638" s="428" t="str">
        <f>VLOOKUP(H1638,'Fund Utilization Report'!$A$4:$U$1800,13,FALSE)</f>
        <v>MOOE</v>
      </c>
      <c r="T1638" s="428" t="str">
        <f>VLOOKUP(H1638,'Fund Utilization Report'!$A$4:$U$1800,2,FALSE)</f>
        <v>GAA</v>
      </c>
      <c r="U1638" s="428" t="str">
        <f>VLOOKUP(H1638,'Fund Utilization Report'!$A$4:$U$1800,3,FALSE)</f>
        <v>FY2021, RA11518</v>
      </c>
      <c r="V1638" s="428" t="str">
        <f>VLOOKUP(H1638,'Fund Utilization Report'!$A$4:$U$1800,4,FALSE)</f>
        <v>SSF</v>
      </c>
      <c r="W1638" s="428" t="str">
        <f>VLOOKUP(H1638,'Fund Utilization Report'!$A$4:$U$1800,5,FALSE)</f>
        <v>01101101</v>
      </c>
      <c r="X1638" s="428" t="str">
        <f>VLOOKUP(H1638,'Fund Utilization Report'!$A$4:$U$1800,6,FALSE)</f>
        <v>GOP</v>
      </c>
      <c r="Y1638" s="320" t="str">
        <f>VLOOKUP(H1638,'Fund Utilization Report'!$A$4:$U$1800,7,FALSE)</f>
        <v>MOOE</v>
      </c>
      <c r="Z1638" s="425">
        <f>VLOOKUP(H1638,'Fund Utilization Report'!$A$4:$U$1800,8,FALSE)</f>
        <v>5020000000</v>
      </c>
      <c r="AA1638" s="428" t="str">
        <f>VLOOKUP(H1638,'Fund Utilization Report'!$A$4:$U$1800,14,FALSE)</f>
        <v>330100200003000</v>
      </c>
      <c r="AB1638" s="349" t="str">
        <f>VLOOKUP(H1638,'Fund Utilization Report'!$A$4:$U$1800,15,FALSE)</f>
        <v>Shared Service Facilities Project</v>
      </c>
      <c r="AC1638" s="39"/>
      <c r="AD1638" s="34"/>
      <c r="AE1638" s="39"/>
      <c r="AF1638" s="51"/>
      <c r="AG1638" s="442"/>
      <c r="AH1638" s="442"/>
      <c r="AI1638" s="443"/>
    </row>
    <row r="1639" spans="1:35" s="32" customFormat="1">
      <c r="A1639" s="434" t="s">
        <v>942</v>
      </c>
      <c r="B1639" s="457" t="s">
        <v>946</v>
      </c>
      <c r="C1639" s="358">
        <v>44285</v>
      </c>
      <c r="D1639" s="435" t="s">
        <v>1267</v>
      </c>
      <c r="E1639" s="352" t="s">
        <v>1616</v>
      </c>
      <c r="F1639" s="338">
        <v>0.39652777777777781</v>
      </c>
      <c r="G1639" s="338">
        <v>0.3979166666666667</v>
      </c>
      <c r="H1639" s="338" t="s">
        <v>983</v>
      </c>
      <c r="I1639" s="353">
        <v>755</v>
      </c>
      <c r="J1639" s="338" t="str">
        <f>IFERROR(VLOOKUP(I1639,'Chart of accounts'!A:H,2,FALSE),"")</f>
        <v>50203010 00</v>
      </c>
      <c r="K1639" s="338" t="str">
        <f>IFERROR(VLOOKUP(I1639,'Chart of accounts'!A:H,3,FALSE),"")</f>
        <v>Office Supplies Expenses</v>
      </c>
      <c r="L1639" s="338" t="str">
        <f>IFERROR(VLOOKUP(I1639,'Chart of accounts'!A:H,4,FALSE),"")</f>
        <v>50203010 00 - Office Supplies Expenses (755)</v>
      </c>
      <c r="M1639" s="467" t="s">
        <v>5</v>
      </c>
      <c r="N1639" s="355" t="s">
        <v>822</v>
      </c>
      <c r="O1639" s="355" t="s">
        <v>1145</v>
      </c>
      <c r="P1639" s="355"/>
      <c r="Q1639" s="363">
        <v>30000</v>
      </c>
      <c r="R1639" s="428">
        <f t="shared" si="71"/>
        <v>-30000</v>
      </c>
      <c r="S1639" s="428" t="str">
        <f>VLOOKUP(H1639,'Fund Utilization Report'!$A$4:$U$1800,13,FALSE)</f>
        <v>MOOE</v>
      </c>
      <c r="T1639" s="428" t="str">
        <f>VLOOKUP(H1639,'Fund Utilization Report'!$A$4:$U$1800,2,FALSE)</f>
        <v>GAA</v>
      </c>
      <c r="U1639" s="428" t="str">
        <f>VLOOKUP(H1639,'Fund Utilization Report'!$A$4:$U$1800,3,FALSE)</f>
        <v>FY2021, RA11518</v>
      </c>
      <c r="V1639" s="428" t="str">
        <f>VLOOKUP(H1639,'Fund Utilization Report'!$A$4:$U$1800,4,FALSE)</f>
        <v>SSF</v>
      </c>
      <c r="W1639" s="428" t="str">
        <f>VLOOKUP(H1639,'Fund Utilization Report'!$A$4:$U$1800,5,FALSE)</f>
        <v>01101101</v>
      </c>
      <c r="X1639" s="428" t="str">
        <f>VLOOKUP(H1639,'Fund Utilization Report'!$A$4:$U$1800,6,FALSE)</f>
        <v>GOP</v>
      </c>
      <c r="Y1639" s="320" t="str">
        <f>VLOOKUP(H1639,'Fund Utilization Report'!$A$4:$U$1800,7,FALSE)</f>
        <v>MOOE</v>
      </c>
      <c r="Z1639" s="425">
        <f>VLOOKUP(H1639,'Fund Utilization Report'!$A$4:$U$1800,8,FALSE)</f>
        <v>5020000000</v>
      </c>
      <c r="AA1639" s="428" t="str">
        <f>VLOOKUP(H1639,'Fund Utilization Report'!$A$4:$U$1800,14,FALSE)</f>
        <v>330100200003000</v>
      </c>
      <c r="AB1639" s="349" t="str">
        <f>VLOOKUP(H1639,'Fund Utilization Report'!$A$4:$U$1800,15,FALSE)</f>
        <v>Shared Service Facilities Project</v>
      </c>
      <c r="AC1639" s="39"/>
      <c r="AD1639" s="34"/>
      <c r="AE1639" s="39"/>
      <c r="AF1639" s="51"/>
      <c r="AG1639" s="442"/>
      <c r="AH1639" s="442"/>
      <c r="AI1639" s="443"/>
    </row>
    <row r="1640" spans="1:35" s="32" customFormat="1">
      <c r="A1640" s="434" t="s">
        <v>942</v>
      </c>
      <c r="B1640" s="457" t="s">
        <v>946</v>
      </c>
      <c r="C1640" s="464">
        <v>44285</v>
      </c>
      <c r="D1640" s="435" t="s">
        <v>1267</v>
      </c>
      <c r="E1640" s="352" t="s">
        <v>1616</v>
      </c>
      <c r="F1640" s="458">
        <v>0.39652777777777781</v>
      </c>
      <c r="G1640" s="458">
        <v>0.3979166666666667</v>
      </c>
      <c r="H1640" s="458" t="s">
        <v>983</v>
      </c>
      <c r="I1640" s="459">
        <v>783</v>
      </c>
      <c r="J1640" s="458" t="str">
        <f>IFERROR(VLOOKUP(I1640,'Chart of accounts'!A:H,2,FALSE),"")</f>
        <v>50299030 00</v>
      </c>
      <c r="K1640" s="458" t="str">
        <f>IFERROR(VLOOKUP(I1640,'Chart of accounts'!A:H,3,FALSE),"")</f>
        <v>Representation Expenses</v>
      </c>
      <c r="L1640" s="458" t="str">
        <f>IFERROR(VLOOKUP(I1640,'Chart of accounts'!A:H,4,FALSE),"")</f>
        <v>50299030 00 - Representation Expenses (783)</v>
      </c>
      <c r="M1640" s="467" t="s">
        <v>5</v>
      </c>
      <c r="N1640" s="463" t="s">
        <v>822</v>
      </c>
      <c r="O1640" s="463" t="s">
        <v>1145</v>
      </c>
      <c r="P1640" s="463"/>
      <c r="Q1640" s="468">
        <v>20000</v>
      </c>
      <c r="R1640" s="462">
        <f>P1640-Q1640</f>
        <v>-20000</v>
      </c>
      <c r="S1640" s="462" t="str">
        <f>VLOOKUP(H1640,'Fund Utilization Report'!$A$4:$U$1800,13,FALSE)</f>
        <v>MOOE</v>
      </c>
      <c r="T1640" s="462" t="str">
        <f>VLOOKUP(H1640,'Fund Utilization Report'!$A$4:$U$1800,2,FALSE)</f>
        <v>GAA</v>
      </c>
      <c r="U1640" s="462" t="str">
        <f>VLOOKUP(H1640,'Fund Utilization Report'!$A$4:$U$1800,3,FALSE)</f>
        <v>FY2021, RA11518</v>
      </c>
      <c r="V1640" s="462" t="str">
        <f>VLOOKUP(H1640,'Fund Utilization Report'!$A$4:$U$1800,4,FALSE)</f>
        <v>SSF</v>
      </c>
      <c r="W1640" s="462" t="str">
        <f>VLOOKUP(H1640,'Fund Utilization Report'!$A$4:$U$1800,5,FALSE)</f>
        <v>01101101</v>
      </c>
      <c r="X1640" s="462" t="str">
        <f>VLOOKUP(H1640,'Fund Utilization Report'!$A$4:$U$1800,6,FALSE)</f>
        <v>GOP</v>
      </c>
      <c r="Y1640" s="469" t="str">
        <f>VLOOKUP(H1640,'Fund Utilization Report'!$A$4:$U$1800,7,FALSE)</f>
        <v>MOOE</v>
      </c>
      <c r="Z1640" s="470">
        <f>VLOOKUP(H1640,'Fund Utilization Report'!$A$4:$U$1800,8,FALSE)</f>
        <v>5020000000</v>
      </c>
      <c r="AA1640" s="462" t="str">
        <f>VLOOKUP(H1640,'Fund Utilization Report'!$A$4:$U$1800,14,FALSE)</f>
        <v>330100200003000</v>
      </c>
      <c r="AB1640" s="471" t="str">
        <f>VLOOKUP(H1640,'Fund Utilization Report'!$A$4:$U$1800,15,FALSE)</f>
        <v>Shared Service Facilities Project</v>
      </c>
      <c r="AC1640" s="39"/>
      <c r="AD1640" s="34"/>
      <c r="AE1640" s="39"/>
      <c r="AF1640" s="51"/>
      <c r="AG1640" s="442"/>
      <c r="AH1640" s="442"/>
      <c r="AI1640" s="443"/>
    </row>
    <row r="1641" spans="1:35" s="32" customFormat="1">
      <c r="A1641" s="434" t="s">
        <v>942</v>
      </c>
      <c r="B1641" s="457" t="s">
        <v>946</v>
      </c>
      <c r="C1641" s="358">
        <v>44285</v>
      </c>
      <c r="D1641" s="435" t="s">
        <v>1267</v>
      </c>
      <c r="E1641" s="352" t="s">
        <v>1616</v>
      </c>
      <c r="F1641" s="338">
        <v>0.39652777777777781</v>
      </c>
      <c r="G1641" s="338">
        <v>0.3979166666666667</v>
      </c>
      <c r="H1641" s="338" t="s">
        <v>983</v>
      </c>
      <c r="I1641" s="459">
        <v>793</v>
      </c>
      <c r="J1641" s="338" t="str">
        <f>IFERROR(VLOOKUP(I1641,'Chart of accounts'!A:H,2,FALSE),"")</f>
        <v>50211030 00</v>
      </c>
      <c r="K1641" s="338" t="str">
        <f>IFERROR(VLOOKUP(I1641,'Chart of accounts'!A:H,3,FALSE),"")</f>
        <v>Consultancy Services</v>
      </c>
      <c r="L1641" s="338" t="str">
        <f>IFERROR(VLOOKUP(I1641,'Chart of accounts'!A:H,4,FALSE),"")</f>
        <v>50211030 00 - Consultancy Services (793)</v>
      </c>
      <c r="M1641" s="467" t="s">
        <v>5</v>
      </c>
      <c r="N1641" s="355" t="s">
        <v>822</v>
      </c>
      <c r="O1641" s="355" t="s">
        <v>1145</v>
      </c>
      <c r="P1641" s="355"/>
      <c r="Q1641" s="363">
        <v>147809.53</v>
      </c>
      <c r="R1641" s="428">
        <f t="shared" si="71"/>
        <v>-147809.53</v>
      </c>
      <c r="S1641" s="428" t="str">
        <f>VLOOKUP(H1641,'Fund Utilization Report'!$A$4:$U$1800,13,FALSE)</f>
        <v>MOOE</v>
      </c>
      <c r="T1641" s="428" t="str">
        <f>VLOOKUP(H1641,'Fund Utilization Report'!$A$4:$U$1800,2,FALSE)</f>
        <v>GAA</v>
      </c>
      <c r="U1641" s="428" t="str">
        <f>VLOOKUP(H1641,'Fund Utilization Report'!$A$4:$U$1800,3,FALSE)</f>
        <v>FY2021, RA11518</v>
      </c>
      <c r="V1641" s="428" t="str">
        <f>VLOOKUP(H1641,'Fund Utilization Report'!$A$4:$U$1800,4,FALSE)</f>
        <v>SSF</v>
      </c>
      <c r="W1641" s="428" t="str">
        <f>VLOOKUP(H1641,'Fund Utilization Report'!$A$4:$U$1800,5,FALSE)</f>
        <v>01101101</v>
      </c>
      <c r="X1641" s="428" t="str">
        <f>VLOOKUP(H1641,'Fund Utilization Report'!$A$4:$U$1800,6,FALSE)</f>
        <v>GOP</v>
      </c>
      <c r="Y1641" s="320" t="str">
        <f>VLOOKUP(H1641,'Fund Utilization Report'!$A$4:$U$1800,7,FALSE)</f>
        <v>MOOE</v>
      </c>
      <c r="Z1641" s="425">
        <f>VLOOKUP(H1641,'Fund Utilization Report'!$A$4:$U$1800,8,FALSE)</f>
        <v>5020000000</v>
      </c>
      <c r="AA1641" s="428" t="str">
        <f>VLOOKUP(H1641,'Fund Utilization Report'!$A$4:$U$1800,14,FALSE)</f>
        <v>330100200003000</v>
      </c>
      <c r="AB1641" s="349" t="str">
        <f>VLOOKUP(H1641,'Fund Utilization Report'!$A$4:$U$1800,15,FALSE)</f>
        <v>Shared Service Facilities Project</v>
      </c>
      <c r="AC1641" s="39"/>
      <c r="AD1641" s="34"/>
      <c r="AE1641" s="39"/>
      <c r="AF1641" s="51"/>
      <c r="AG1641" s="442"/>
      <c r="AH1641" s="442"/>
      <c r="AI1641" s="443"/>
    </row>
    <row r="1642" spans="1:35" s="32" customFormat="1" ht="41.4">
      <c r="A1642" s="434" t="s">
        <v>942</v>
      </c>
      <c r="B1642" s="457" t="s">
        <v>946</v>
      </c>
      <c r="C1642" s="358">
        <v>44285</v>
      </c>
      <c r="D1642" s="435" t="s">
        <v>1267</v>
      </c>
      <c r="E1642" s="352" t="s">
        <v>1618</v>
      </c>
      <c r="F1642" s="338">
        <v>0.42777777777777781</v>
      </c>
      <c r="G1642" s="338">
        <v>0.4284722222222222</v>
      </c>
      <c r="H1642" s="338" t="s">
        <v>961</v>
      </c>
      <c r="I1642" s="353">
        <v>773</v>
      </c>
      <c r="J1642" s="338" t="str">
        <f>IFERROR(VLOOKUP(I1642,'Chart of accounts'!A:H,2,FALSE),"")</f>
        <v>50205020 01</v>
      </c>
      <c r="K1642" s="338" t="str">
        <f>IFERROR(VLOOKUP(I1642,'Chart of accounts'!A:H,3,FALSE),"")</f>
        <v xml:space="preserve">Telephone Expenses - Mobile </v>
      </c>
      <c r="L1642" s="338" t="str">
        <f>IFERROR(VLOOKUP(I1642,'Chart of accounts'!A:H,4,FALSE),"")</f>
        <v>50205020 01 - Telephone Expenses - Mobile  (773)</v>
      </c>
      <c r="M1642" s="361">
        <v>1</v>
      </c>
      <c r="N1642" s="355" t="s">
        <v>1102</v>
      </c>
      <c r="O1642" s="355" t="s">
        <v>1617</v>
      </c>
      <c r="P1642" s="355"/>
      <c r="Q1642" s="363">
        <v>3500</v>
      </c>
      <c r="R1642" s="428">
        <f t="shared" si="71"/>
        <v>-3500</v>
      </c>
      <c r="S1642" s="428" t="str">
        <f>VLOOKUP(H1642,'Fund Utilization Report'!$A$4:$U$1800,13,FALSE)</f>
        <v>MOOE</v>
      </c>
      <c r="T1642" s="428" t="str">
        <f>VLOOKUP(H1642,'Fund Utilization Report'!$A$4:$U$1800,2,FALSE)</f>
        <v>GAA</v>
      </c>
      <c r="U1642" s="428" t="str">
        <f>VLOOKUP(H1642,'Fund Utilization Report'!$A$4:$U$1800,3,FALSE)</f>
        <v>FY2021, RA11518</v>
      </c>
      <c r="V1642" s="428" t="str">
        <f>VLOOKUP(H1642,'Fund Utilization Report'!$A$4:$U$1800,4,FALSE)</f>
        <v>GAS(GMS)</v>
      </c>
      <c r="W1642" s="428" t="str">
        <f>VLOOKUP(H1642,'Fund Utilization Report'!$A$4:$U$1800,5,FALSE)</f>
        <v>01101101</v>
      </c>
      <c r="X1642" s="428" t="str">
        <f>VLOOKUP(H1642,'Fund Utilization Report'!$A$4:$U$1800,6,FALSE)</f>
        <v>GOP</v>
      </c>
      <c r="Y1642" s="320" t="str">
        <f>VLOOKUP(H1642,'Fund Utilization Report'!$A$4:$U$1800,7,FALSE)</f>
        <v>MOOE</v>
      </c>
      <c r="Z1642" s="425">
        <f>VLOOKUP(H1642,'Fund Utilization Report'!$A$4:$U$1800,8,FALSE)</f>
        <v>5020000000</v>
      </c>
      <c r="AA1642" s="428" t="str">
        <f>VLOOKUP(H1642,'Fund Utilization Report'!$A$4:$U$1800,14,FALSE)</f>
        <v>100000100001000</v>
      </c>
      <c r="AB1642" s="349" t="str">
        <f>VLOOKUP(H1642,'Fund Utilization Report'!$A$4:$U$1800,15,FALSE)</f>
        <v>General Administration and Supervision - General Management and Supervision</v>
      </c>
      <c r="AC1642" s="39"/>
      <c r="AD1642" s="34"/>
      <c r="AE1642" s="39"/>
      <c r="AF1642" s="51"/>
      <c r="AG1642" s="442"/>
      <c r="AH1642" s="442"/>
      <c r="AI1642" s="443"/>
    </row>
    <row r="1643" spans="1:35" s="32" customFormat="1" ht="27.6">
      <c r="A1643" s="434" t="s">
        <v>942</v>
      </c>
      <c r="B1643" s="457" t="s">
        <v>946</v>
      </c>
      <c r="C1643" s="358">
        <v>44285</v>
      </c>
      <c r="D1643" s="435" t="s">
        <v>1267</v>
      </c>
      <c r="E1643" s="352" t="s">
        <v>1619</v>
      </c>
      <c r="F1643" s="338">
        <v>0.42986111111111108</v>
      </c>
      <c r="G1643" s="338">
        <v>0.43055555555555558</v>
      </c>
      <c r="H1643" s="338" t="s">
        <v>961</v>
      </c>
      <c r="I1643" s="353">
        <v>969</v>
      </c>
      <c r="J1643" s="338" t="str">
        <f>IFERROR(VLOOKUP(I1643,'Chart of accounts'!A:H,2,FALSE),"")</f>
        <v>50299990 99</v>
      </c>
      <c r="K1643" s="338" t="str">
        <f>IFERROR(VLOOKUP(I1643,'Chart of accounts'!A:H,3,FALSE),"")</f>
        <v>Other Maintenance and Operating Expenses</v>
      </c>
      <c r="L1643" s="338" t="str">
        <f>IFERROR(VLOOKUP(I1643,'Chart of accounts'!A:H,4,FALSE),"")</f>
        <v>50299990 99 - Other Maintenance and Operating Expenses (969)</v>
      </c>
      <c r="M1643" s="361">
        <v>1</v>
      </c>
      <c r="N1643" s="355" t="s">
        <v>6</v>
      </c>
      <c r="O1643" s="355" t="s">
        <v>1620</v>
      </c>
      <c r="P1643" s="355"/>
      <c r="Q1643" s="363">
        <v>12000</v>
      </c>
      <c r="R1643" s="428">
        <f t="shared" si="71"/>
        <v>-12000</v>
      </c>
      <c r="S1643" s="428" t="str">
        <f>VLOOKUP(H1643,'Fund Utilization Report'!$A$4:$U$1800,13,FALSE)</f>
        <v>MOOE</v>
      </c>
      <c r="T1643" s="428" t="str">
        <f>VLOOKUP(H1643,'Fund Utilization Report'!$A$4:$U$1800,2,FALSE)</f>
        <v>GAA</v>
      </c>
      <c r="U1643" s="428" t="str">
        <f>VLOOKUP(H1643,'Fund Utilization Report'!$A$4:$U$1800,3,FALSE)</f>
        <v>FY2021, RA11518</v>
      </c>
      <c r="V1643" s="428" t="str">
        <f>VLOOKUP(H1643,'Fund Utilization Report'!$A$4:$U$1800,4,FALSE)</f>
        <v>GAS(GMS)</v>
      </c>
      <c r="W1643" s="428" t="str">
        <f>VLOOKUP(H1643,'Fund Utilization Report'!$A$4:$U$1800,5,FALSE)</f>
        <v>01101101</v>
      </c>
      <c r="X1643" s="428" t="str">
        <f>VLOOKUP(H1643,'Fund Utilization Report'!$A$4:$U$1800,6,FALSE)</f>
        <v>GOP</v>
      </c>
      <c r="Y1643" s="320" t="str">
        <f>VLOOKUP(H1643,'Fund Utilization Report'!$A$4:$U$1800,7,FALSE)</f>
        <v>MOOE</v>
      </c>
      <c r="Z1643" s="425">
        <f>VLOOKUP(H1643,'Fund Utilization Report'!$A$4:$U$1800,8,FALSE)</f>
        <v>5020000000</v>
      </c>
      <c r="AA1643" s="428" t="str">
        <f>VLOOKUP(H1643,'Fund Utilization Report'!$A$4:$U$1800,14,FALSE)</f>
        <v>100000100001000</v>
      </c>
      <c r="AB1643" s="349" t="str">
        <f>VLOOKUP(H1643,'Fund Utilization Report'!$A$4:$U$1800,15,FALSE)</f>
        <v>General Administration and Supervision - General Management and Supervision</v>
      </c>
      <c r="AC1643" s="39"/>
      <c r="AD1643" s="34"/>
      <c r="AE1643" s="39"/>
      <c r="AF1643" s="51"/>
      <c r="AG1643" s="442"/>
      <c r="AH1643" s="442"/>
      <c r="AI1643" s="443"/>
    </row>
    <row r="1644" spans="1:35" s="32" customFormat="1" ht="31.5" customHeight="1">
      <c r="A1644" s="434" t="s">
        <v>942</v>
      </c>
      <c r="B1644" s="457" t="s">
        <v>946</v>
      </c>
      <c r="C1644" s="358">
        <v>44285</v>
      </c>
      <c r="D1644" s="435" t="s">
        <v>1267</v>
      </c>
      <c r="E1644" s="352" t="s">
        <v>1622</v>
      </c>
      <c r="F1644" s="338">
        <v>0.48125000000000001</v>
      </c>
      <c r="G1644" s="338">
        <v>0.4826388888888889</v>
      </c>
      <c r="H1644" s="338" t="s">
        <v>961</v>
      </c>
      <c r="I1644" s="353">
        <v>773</v>
      </c>
      <c r="J1644" s="338" t="str">
        <f>IFERROR(VLOOKUP(I1644,'Chart of accounts'!A:H,2,FALSE),"")</f>
        <v>50205020 01</v>
      </c>
      <c r="K1644" s="338" t="str">
        <f>IFERROR(VLOOKUP(I1644,'Chart of accounts'!A:H,3,FALSE),"")</f>
        <v xml:space="preserve">Telephone Expenses - Mobile </v>
      </c>
      <c r="L1644" s="338" t="str">
        <f>IFERROR(VLOOKUP(I1644,'Chart of accounts'!A:H,4,FALSE),"")</f>
        <v>50205020 01 - Telephone Expenses - Mobile  (773)</v>
      </c>
      <c r="M1644" s="361">
        <v>1</v>
      </c>
      <c r="N1644" s="355" t="s">
        <v>797</v>
      </c>
      <c r="O1644" s="355" t="s">
        <v>1621</v>
      </c>
      <c r="P1644" s="355"/>
      <c r="Q1644" s="363">
        <v>4800</v>
      </c>
      <c r="R1644" s="428">
        <f t="shared" si="71"/>
        <v>-4800</v>
      </c>
      <c r="S1644" s="428" t="str">
        <f>VLOOKUP(H1644,'Fund Utilization Report'!$A$4:$U$1800,13,FALSE)</f>
        <v>MOOE</v>
      </c>
      <c r="T1644" s="428" t="str">
        <f>VLOOKUP(H1644,'Fund Utilization Report'!$A$4:$U$1800,2,FALSE)</f>
        <v>GAA</v>
      </c>
      <c r="U1644" s="428" t="str">
        <f>VLOOKUP(H1644,'Fund Utilization Report'!$A$4:$U$1800,3,FALSE)</f>
        <v>FY2021, RA11518</v>
      </c>
      <c r="V1644" s="428" t="str">
        <f>VLOOKUP(H1644,'Fund Utilization Report'!$A$4:$U$1800,4,FALSE)</f>
        <v>GAS(GMS)</v>
      </c>
      <c r="W1644" s="428" t="str">
        <f>VLOOKUP(H1644,'Fund Utilization Report'!$A$4:$U$1800,5,FALSE)</f>
        <v>01101101</v>
      </c>
      <c r="X1644" s="428" t="str">
        <f>VLOOKUP(H1644,'Fund Utilization Report'!$A$4:$U$1800,6,FALSE)</f>
        <v>GOP</v>
      </c>
      <c r="Y1644" s="320" t="str">
        <f>VLOOKUP(H1644,'Fund Utilization Report'!$A$4:$U$1800,7,FALSE)</f>
        <v>MOOE</v>
      </c>
      <c r="Z1644" s="425">
        <f>VLOOKUP(H1644,'Fund Utilization Report'!$A$4:$U$1800,8,FALSE)</f>
        <v>5020000000</v>
      </c>
      <c r="AA1644" s="428" t="str">
        <f>VLOOKUP(H1644,'Fund Utilization Report'!$A$4:$U$1800,14,FALSE)</f>
        <v>100000100001000</v>
      </c>
      <c r="AB1644" s="349" t="str">
        <f>VLOOKUP(H1644,'Fund Utilization Report'!$A$4:$U$1800,15,FALSE)</f>
        <v>General Administration and Supervision - General Management and Supervision</v>
      </c>
      <c r="AC1644" s="39"/>
      <c r="AD1644" s="34"/>
      <c r="AE1644" s="39"/>
      <c r="AF1644" s="51"/>
      <c r="AG1644" s="442"/>
      <c r="AH1644" s="442"/>
      <c r="AI1644" s="443"/>
    </row>
    <row r="1645" spans="1:35" s="32" customFormat="1">
      <c r="A1645" s="338"/>
      <c r="B1645" s="338"/>
      <c r="C1645" s="358"/>
      <c r="D1645" s="351"/>
      <c r="E1645" s="366"/>
      <c r="F1645" s="338"/>
      <c r="G1645" s="338"/>
      <c r="H1645" s="338"/>
      <c r="I1645" s="353"/>
      <c r="J1645" s="338" t="str">
        <f>IFERROR(VLOOKUP(I1645,'Chart of accounts'!A:H,2,FALSE),"")</f>
        <v/>
      </c>
      <c r="K1645" s="338" t="str">
        <f>IFERROR(VLOOKUP(I1645,'Chart of accounts'!A:H,3,FALSE),"")</f>
        <v/>
      </c>
      <c r="L1645" s="338" t="str">
        <f>IFERROR(VLOOKUP(I1645,'Chart of accounts'!A:H,4,FALSE),"")</f>
        <v/>
      </c>
      <c r="M1645" s="361"/>
      <c r="N1645" s="355"/>
      <c r="O1645" s="355"/>
      <c r="P1645" s="355"/>
      <c r="Q1645" s="363"/>
      <c r="R1645" s="428">
        <f t="shared" si="71"/>
        <v>0</v>
      </c>
      <c r="S1645" s="428" t="e">
        <f>VLOOKUP(H1645,'Fund Utilization Report'!$A$4:$U$1800,13,FALSE)</f>
        <v>#N/A</v>
      </c>
      <c r="T1645" s="428" t="e">
        <f>VLOOKUP(H1645,'Fund Utilization Report'!$A$4:$U$1800,2,FALSE)</f>
        <v>#N/A</v>
      </c>
      <c r="U1645" s="428" t="e">
        <f>VLOOKUP(H1645,'Fund Utilization Report'!$A$4:$U$1800,3,FALSE)</f>
        <v>#N/A</v>
      </c>
      <c r="V1645" s="428" t="e">
        <f>VLOOKUP(H1645,'Fund Utilization Report'!$A$4:$U$1800,4,FALSE)</f>
        <v>#N/A</v>
      </c>
      <c r="W1645" s="428" t="e">
        <f>VLOOKUP(H1645,'Fund Utilization Report'!$A$4:$U$1800,5,FALSE)</f>
        <v>#N/A</v>
      </c>
      <c r="X1645" s="428" t="e">
        <f>VLOOKUP(H1645,'Fund Utilization Report'!$A$4:$U$1800,6,FALSE)</f>
        <v>#N/A</v>
      </c>
      <c r="Y1645" s="320" t="e">
        <f>VLOOKUP(H1645,'Fund Utilization Report'!$A$4:$U$1800,7,FALSE)</f>
        <v>#N/A</v>
      </c>
      <c r="Z1645" s="425" t="e">
        <f>VLOOKUP(H1645,'Fund Utilization Report'!$A$4:$U$1800,8,FALSE)</f>
        <v>#N/A</v>
      </c>
      <c r="AA1645" s="428" t="e">
        <f>VLOOKUP(H1645,'Fund Utilization Report'!$A$4:$U$1800,14,FALSE)</f>
        <v>#N/A</v>
      </c>
      <c r="AB1645" s="349" t="e">
        <f>VLOOKUP(H1645,'Fund Utilization Report'!$A$4:$U$1800,15,FALSE)</f>
        <v>#N/A</v>
      </c>
      <c r="AC1645" s="39"/>
      <c r="AD1645" s="34"/>
      <c r="AE1645" s="39"/>
      <c r="AF1645" s="51"/>
      <c r="AG1645" s="442"/>
      <c r="AH1645" s="442"/>
      <c r="AI1645" s="443"/>
    </row>
    <row r="1646" spans="1:35" s="32" customFormat="1">
      <c r="A1646" s="338"/>
      <c r="B1646" s="338"/>
      <c r="C1646" s="358"/>
      <c r="D1646" s="351"/>
      <c r="E1646" s="366"/>
      <c r="F1646" s="338"/>
      <c r="G1646" s="338"/>
      <c r="H1646" s="338"/>
      <c r="I1646" s="353"/>
      <c r="J1646" s="338" t="str">
        <f>IFERROR(VLOOKUP(I1646,'Chart of accounts'!A:H,2,FALSE),"")</f>
        <v/>
      </c>
      <c r="K1646" s="338" t="str">
        <f>IFERROR(VLOOKUP(I1646,'Chart of accounts'!A:H,3,FALSE),"")</f>
        <v/>
      </c>
      <c r="L1646" s="338" t="str">
        <f>IFERROR(VLOOKUP(I1646,'Chart of accounts'!A:H,4,FALSE),"")</f>
        <v/>
      </c>
      <c r="M1646" s="361"/>
      <c r="N1646" s="355"/>
      <c r="O1646" s="355"/>
      <c r="P1646" s="355"/>
      <c r="Q1646" s="363"/>
      <c r="R1646" s="428">
        <f t="shared" ref="R1646:R1656" si="72">P1646-Q1646</f>
        <v>0</v>
      </c>
      <c r="S1646" s="428" t="e">
        <f>VLOOKUP(H1646,'Fund Utilization Report'!$A$4:$U$1800,13,FALSE)</f>
        <v>#N/A</v>
      </c>
      <c r="T1646" s="428" t="e">
        <f>VLOOKUP(H1646,'Fund Utilization Report'!$A$4:$U$1800,2,FALSE)</f>
        <v>#N/A</v>
      </c>
      <c r="U1646" s="428" t="e">
        <f>VLOOKUP(H1646,'Fund Utilization Report'!$A$4:$U$1800,3,FALSE)</f>
        <v>#N/A</v>
      </c>
      <c r="V1646" s="428" t="e">
        <f>VLOOKUP(H1646,'Fund Utilization Report'!$A$4:$U$1800,4,FALSE)</f>
        <v>#N/A</v>
      </c>
      <c r="W1646" s="428" t="e">
        <f>VLOOKUP(H1646,'Fund Utilization Report'!$A$4:$U$1800,5,FALSE)</f>
        <v>#N/A</v>
      </c>
      <c r="X1646" s="428" t="e">
        <f>VLOOKUP(H1646,'Fund Utilization Report'!$A$4:$U$1800,6,FALSE)</f>
        <v>#N/A</v>
      </c>
      <c r="Y1646" s="320" t="e">
        <f>VLOOKUP(H1646,'Fund Utilization Report'!$A$4:$U$1800,7,FALSE)</f>
        <v>#N/A</v>
      </c>
      <c r="Z1646" s="425" t="e">
        <f>VLOOKUP(H1646,'Fund Utilization Report'!$A$4:$U$1800,8,FALSE)</f>
        <v>#N/A</v>
      </c>
      <c r="AA1646" s="428" t="e">
        <f>VLOOKUP(H1646,'Fund Utilization Report'!$A$4:$U$1800,14,FALSE)</f>
        <v>#N/A</v>
      </c>
      <c r="AB1646" s="349" t="e">
        <f>VLOOKUP(H1646,'Fund Utilization Report'!$A$4:$U$1800,15,FALSE)</f>
        <v>#N/A</v>
      </c>
      <c r="AC1646" s="39"/>
      <c r="AD1646" s="34"/>
      <c r="AE1646" s="39"/>
      <c r="AF1646" s="51"/>
      <c r="AG1646" s="442"/>
      <c r="AH1646" s="442"/>
      <c r="AI1646" s="443"/>
    </row>
    <row r="1647" spans="1:35" s="32" customFormat="1">
      <c r="A1647" s="338"/>
      <c r="B1647" s="338"/>
      <c r="C1647" s="358"/>
      <c r="D1647" s="351"/>
      <c r="E1647" s="366"/>
      <c r="F1647" s="338"/>
      <c r="G1647" s="338"/>
      <c r="H1647" s="338"/>
      <c r="I1647" s="353"/>
      <c r="J1647" s="338" t="str">
        <f>IFERROR(VLOOKUP(I1647,'Chart of accounts'!A:H,2,FALSE),"")</f>
        <v/>
      </c>
      <c r="K1647" s="338" t="str">
        <f>IFERROR(VLOOKUP(I1647,'Chart of accounts'!A:H,3,FALSE),"")</f>
        <v/>
      </c>
      <c r="L1647" s="338" t="str">
        <f>IFERROR(VLOOKUP(I1647,'Chart of accounts'!A:H,4,FALSE),"")</f>
        <v/>
      </c>
      <c r="M1647" s="361"/>
      <c r="N1647" s="355"/>
      <c r="O1647" s="355"/>
      <c r="P1647" s="355"/>
      <c r="Q1647" s="363"/>
      <c r="R1647" s="428">
        <f t="shared" si="72"/>
        <v>0</v>
      </c>
      <c r="S1647" s="428" t="e">
        <f>VLOOKUP(H1647,'Fund Utilization Report'!$A$4:$U$1800,13,FALSE)</f>
        <v>#N/A</v>
      </c>
      <c r="T1647" s="428" t="e">
        <f>VLOOKUP(H1647,'Fund Utilization Report'!$A$4:$U$1800,2,FALSE)</f>
        <v>#N/A</v>
      </c>
      <c r="U1647" s="428" t="e">
        <f>VLOOKUP(H1647,'Fund Utilization Report'!$A$4:$U$1800,3,FALSE)</f>
        <v>#N/A</v>
      </c>
      <c r="V1647" s="428" t="e">
        <f>VLOOKUP(H1647,'Fund Utilization Report'!$A$4:$U$1800,4,FALSE)</f>
        <v>#N/A</v>
      </c>
      <c r="W1647" s="428" t="e">
        <f>VLOOKUP(H1647,'Fund Utilization Report'!$A$4:$U$1800,5,FALSE)</f>
        <v>#N/A</v>
      </c>
      <c r="X1647" s="428" t="e">
        <f>VLOOKUP(H1647,'Fund Utilization Report'!$A$4:$U$1800,6,FALSE)</f>
        <v>#N/A</v>
      </c>
      <c r="Y1647" s="320" t="e">
        <f>VLOOKUP(H1647,'Fund Utilization Report'!$A$4:$U$1800,7,FALSE)</f>
        <v>#N/A</v>
      </c>
      <c r="Z1647" s="425" t="e">
        <f>VLOOKUP(H1647,'Fund Utilization Report'!$A$4:$U$1800,8,FALSE)</f>
        <v>#N/A</v>
      </c>
      <c r="AA1647" s="428" t="e">
        <f>VLOOKUP(H1647,'Fund Utilization Report'!$A$4:$U$1800,14,FALSE)</f>
        <v>#N/A</v>
      </c>
      <c r="AB1647" s="349" t="e">
        <f>VLOOKUP(H1647,'Fund Utilization Report'!$A$4:$U$1800,15,FALSE)</f>
        <v>#N/A</v>
      </c>
      <c r="AC1647" s="39"/>
      <c r="AD1647" s="34"/>
      <c r="AE1647" s="39"/>
      <c r="AF1647" s="51"/>
      <c r="AG1647" s="442"/>
      <c r="AH1647" s="442"/>
      <c r="AI1647" s="443"/>
    </row>
    <row r="1648" spans="1:35" s="32" customFormat="1">
      <c r="A1648" s="338"/>
      <c r="B1648" s="338"/>
      <c r="C1648" s="358"/>
      <c r="D1648" s="351"/>
      <c r="E1648" s="366"/>
      <c r="F1648" s="338"/>
      <c r="G1648" s="338"/>
      <c r="H1648" s="338"/>
      <c r="I1648" s="353"/>
      <c r="J1648" s="338" t="str">
        <f>IFERROR(VLOOKUP(I1648,'Chart of accounts'!A:H,2,FALSE),"")</f>
        <v/>
      </c>
      <c r="K1648" s="338" t="str">
        <f>IFERROR(VLOOKUP(I1648,'Chart of accounts'!A:H,3,FALSE),"")</f>
        <v/>
      </c>
      <c r="L1648" s="338" t="str">
        <f>IFERROR(VLOOKUP(I1648,'Chart of accounts'!A:H,4,FALSE),"")</f>
        <v/>
      </c>
      <c r="M1648" s="361"/>
      <c r="N1648" s="355"/>
      <c r="O1648" s="355"/>
      <c r="P1648" s="355"/>
      <c r="Q1648" s="363"/>
      <c r="R1648" s="428">
        <f t="shared" si="72"/>
        <v>0</v>
      </c>
      <c r="S1648" s="428" t="e">
        <f>VLOOKUP(H1648,'Fund Utilization Report'!$A$4:$U$1800,13,FALSE)</f>
        <v>#N/A</v>
      </c>
      <c r="T1648" s="428" t="e">
        <f>VLOOKUP(H1648,'Fund Utilization Report'!$A$4:$U$1800,2,FALSE)</f>
        <v>#N/A</v>
      </c>
      <c r="U1648" s="428" t="e">
        <f>VLOOKUP(H1648,'Fund Utilization Report'!$A$4:$U$1800,3,FALSE)</f>
        <v>#N/A</v>
      </c>
      <c r="V1648" s="428" t="e">
        <f>VLOOKUP(H1648,'Fund Utilization Report'!$A$4:$U$1800,4,FALSE)</f>
        <v>#N/A</v>
      </c>
      <c r="W1648" s="428" t="e">
        <f>VLOOKUP(H1648,'Fund Utilization Report'!$A$4:$U$1800,5,FALSE)</f>
        <v>#N/A</v>
      </c>
      <c r="X1648" s="428" t="e">
        <f>VLOOKUP(H1648,'Fund Utilization Report'!$A$4:$U$1800,6,FALSE)</f>
        <v>#N/A</v>
      </c>
      <c r="Y1648" s="320" t="e">
        <f>VLOOKUP(H1648,'Fund Utilization Report'!$A$4:$U$1800,7,FALSE)</f>
        <v>#N/A</v>
      </c>
      <c r="Z1648" s="425" t="e">
        <f>VLOOKUP(H1648,'Fund Utilization Report'!$A$4:$U$1800,8,FALSE)</f>
        <v>#N/A</v>
      </c>
      <c r="AA1648" s="428" t="e">
        <f>VLOOKUP(H1648,'Fund Utilization Report'!$A$4:$U$1800,14,FALSE)</f>
        <v>#N/A</v>
      </c>
      <c r="AB1648" s="349" t="e">
        <f>VLOOKUP(H1648,'Fund Utilization Report'!$A$4:$U$1800,15,FALSE)</f>
        <v>#N/A</v>
      </c>
      <c r="AC1648" s="39"/>
      <c r="AD1648" s="34"/>
      <c r="AE1648" s="39"/>
      <c r="AF1648" s="51"/>
      <c r="AG1648" s="442"/>
      <c r="AH1648" s="442"/>
      <c r="AI1648" s="443"/>
    </row>
    <row r="1649" spans="1:35" s="32" customFormat="1">
      <c r="A1649" s="338"/>
      <c r="B1649" s="338"/>
      <c r="C1649" s="358"/>
      <c r="D1649" s="351"/>
      <c r="E1649" s="366"/>
      <c r="F1649" s="338"/>
      <c r="G1649" s="338"/>
      <c r="H1649" s="338"/>
      <c r="I1649" s="353"/>
      <c r="J1649" s="338" t="str">
        <f>IFERROR(VLOOKUP(I1649,'Chart of accounts'!A:H,2,FALSE),"")</f>
        <v/>
      </c>
      <c r="K1649" s="338" t="str">
        <f>IFERROR(VLOOKUP(I1649,'Chart of accounts'!A:H,3,FALSE),"")</f>
        <v/>
      </c>
      <c r="L1649" s="338" t="str">
        <f>IFERROR(VLOOKUP(I1649,'Chart of accounts'!A:H,4,FALSE),"")</f>
        <v/>
      </c>
      <c r="M1649" s="361"/>
      <c r="N1649" s="355"/>
      <c r="O1649" s="355"/>
      <c r="P1649" s="355"/>
      <c r="Q1649" s="363"/>
      <c r="R1649" s="428">
        <f t="shared" si="72"/>
        <v>0</v>
      </c>
      <c r="S1649" s="428" t="e">
        <f>VLOOKUP(H1649,'Fund Utilization Report'!$A$4:$U$1800,13,FALSE)</f>
        <v>#N/A</v>
      </c>
      <c r="T1649" s="428" t="e">
        <f>VLOOKUP(H1649,'Fund Utilization Report'!$A$4:$U$1800,2,FALSE)</f>
        <v>#N/A</v>
      </c>
      <c r="U1649" s="428" t="e">
        <f>VLOOKUP(H1649,'Fund Utilization Report'!$A$4:$U$1800,3,FALSE)</f>
        <v>#N/A</v>
      </c>
      <c r="V1649" s="428" t="e">
        <f>VLOOKUP(H1649,'Fund Utilization Report'!$A$4:$U$1800,4,FALSE)</f>
        <v>#N/A</v>
      </c>
      <c r="W1649" s="428" t="e">
        <f>VLOOKUP(H1649,'Fund Utilization Report'!$A$4:$U$1800,5,FALSE)</f>
        <v>#N/A</v>
      </c>
      <c r="X1649" s="428" t="e">
        <f>VLOOKUP(H1649,'Fund Utilization Report'!$A$4:$U$1800,6,FALSE)</f>
        <v>#N/A</v>
      </c>
      <c r="Y1649" s="320" t="e">
        <f>VLOOKUP(H1649,'Fund Utilization Report'!$A$4:$U$1800,7,FALSE)</f>
        <v>#N/A</v>
      </c>
      <c r="Z1649" s="425" t="e">
        <f>VLOOKUP(H1649,'Fund Utilization Report'!$A$4:$U$1800,8,FALSE)</f>
        <v>#N/A</v>
      </c>
      <c r="AA1649" s="428" t="e">
        <f>VLOOKUP(H1649,'Fund Utilization Report'!$A$4:$U$1800,14,FALSE)</f>
        <v>#N/A</v>
      </c>
      <c r="AB1649" s="349" t="e">
        <f>VLOOKUP(H1649,'Fund Utilization Report'!$A$4:$U$1800,15,FALSE)</f>
        <v>#N/A</v>
      </c>
      <c r="AC1649" s="39"/>
      <c r="AD1649" s="34"/>
      <c r="AE1649" s="39"/>
      <c r="AF1649" s="51"/>
      <c r="AG1649" s="442"/>
      <c r="AH1649" s="442"/>
      <c r="AI1649" s="443"/>
    </row>
    <row r="1650" spans="1:35" s="32" customFormat="1">
      <c r="A1650" s="338"/>
      <c r="B1650" s="338"/>
      <c r="C1650" s="358"/>
      <c r="D1650" s="351"/>
      <c r="E1650" s="366"/>
      <c r="F1650" s="338"/>
      <c r="G1650" s="338"/>
      <c r="H1650" s="338"/>
      <c r="I1650" s="353"/>
      <c r="J1650" s="338" t="str">
        <f>IFERROR(VLOOKUP(I1650,'Chart of accounts'!A:H,2,FALSE),"")</f>
        <v/>
      </c>
      <c r="K1650" s="338" t="str">
        <f>IFERROR(VLOOKUP(I1650,'Chart of accounts'!A:H,3,FALSE),"")</f>
        <v/>
      </c>
      <c r="L1650" s="338" t="str">
        <f>IFERROR(VLOOKUP(I1650,'Chart of accounts'!A:H,4,FALSE),"")</f>
        <v/>
      </c>
      <c r="M1650" s="361"/>
      <c r="N1650" s="355"/>
      <c r="O1650" s="355"/>
      <c r="P1650" s="355"/>
      <c r="Q1650" s="363"/>
      <c r="R1650" s="428">
        <f t="shared" si="72"/>
        <v>0</v>
      </c>
      <c r="S1650" s="428" t="e">
        <f>VLOOKUP(H1650,'Fund Utilization Report'!$A$4:$U$1800,13,FALSE)</f>
        <v>#N/A</v>
      </c>
      <c r="T1650" s="428" t="e">
        <f>VLOOKUP(H1650,'Fund Utilization Report'!$A$4:$U$1800,2,FALSE)</f>
        <v>#N/A</v>
      </c>
      <c r="U1650" s="428" t="e">
        <f>VLOOKUP(H1650,'Fund Utilization Report'!$A$4:$U$1800,3,FALSE)</f>
        <v>#N/A</v>
      </c>
      <c r="V1650" s="428" t="e">
        <f>VLOOKUP(H1650,'Fund Utilization Report'!$A$4:$U$1800,4,FALSE)</f>
        <v>#N/A</v>
      </c>
      <c r="W1650" s="428" t="e">
        <f>VLOOKUP(H1650,'Fund Utilization Report'!$A$4:$U$1800,5,FALSE)</f>
        <v>#N/A</v>
      </c>
      <c r="X1650" s="428" t="e">
        <f>VLOOKUP(H1650,'Fund Utilization Report'!$A$4:$U$1800,6,FALSE)</f>
        <v>#N/A</v>
      </c>
      <c r="Y1650" s="320" t="e">
        <f>VLOOKUP(H1650,'Fund Utilization Report'!$A$4:$U$1800,7,FALSE)</f>
        <v>#N/A</v>
      </c>
      <c r="Z1650" s="425" t="e">
        <f>VLOOKUP(H1650,'Fund Utilization Report'!$A$4:$U$1800,8,FALSE)</f>
        <v>#N/A</v>
      </c>
      <c r="AA1650" s="428" t="e">
        <f>VLOOKUP(H1650,'Fund Utilization Report'!$A$4:$U$1800,14,FALSE)</f>
        <v>#N/A</v>
      </c>
      <c r="AB1650" s="349" t="e">
        <f>VLOOKUP(H1650,'Fund Utilization Report'!$A$4:$U$1800,15,FALSE)</f>
        <v>#N/A</v>
      </c>
      <c r="AC1650" s="39"/>
      <c r="AD1650" s="34"/>
      <c r="AE1650" s="39"/>
      <c r="AF1650" s="51"/>
      <c r="AG1650" s="442"/>
      <c r="AH1650" s="442"/>
      <c r="AI1650" s="443"/>
    </row>
    <row r="1651" spans="1:35" s="32" customFormat="1">
      <c r="A1651" s="338"/>
      <c r="B1651" s="338"/>
      <c r="C1651" s="358"/>
      <c r="D1651" s="351"/>
      <c r="E1651" s="366"/>
      <c r="F1651" s="338"/>
      <c r="G1651" s="338"/>
      <c r="H1651" s="338"/>
      <c r="I1651" s="353"/>
      <c r="J1651" s="338" t="str">
        <f>IFERROR(VLOOKUP(I1651,'Chart of accounts'!A:H,2,FALSE),"")</f>
        <v/>
      </c>
      <c r="K1651" s="338" t="str">
        <f>IFERROR(VLOOKUP(I1651,'Chart of accounts'!A:H,3,FALSE),"")</f>
        <v/>
      </c>
      <c r="L1651" s="338" t="str">
        <f>IFERROR(VLOOKUP(I1651,'Chart of accounts'!A:H,4,FALSE),"")</f>
        <v/>
      </c>
      <c r="M1651" s="361"/>
      <c r="N1651" s="355"/>
      <c r="O1651" s="355"/>
      <c r="P1651" s="355"/>
      <c r="Q1651" s="363"/>
      <c r="R1651" s="428">
        <f t="shared" si="72"/>
        <v>0</v>
      </c>
      <c r="S1651" s="428" t="e">
        <f>VLOOKUP(H1651,'Fund Utilization Report'!$A$4:$U$1800,13,FALSE)</f>
        <v>#N/A</v>
      </c>
      <c r="T1651" s="428" t="e">
        <f>VLOOKUP(H1651,'Fund Utilization Report'!$A$4:$U$1800,2,FALSE)</f>
        <v>#N/A</v>
      </c>
      <c r="U1651" s="428" t="e">
        <f>VLOOKUP(H1651,'Fund Utilization Report'!$A$4:$U$1800,3,FALSE)</f>
        <v>#N/A</v>
      </c>
      <c r="V1651" s="428" t="e">
        <f>VLOOKUP(H1651,'Fund Utilization Report'!$A$4:$U$1800,4,FALSE)</f>
        <v>#N/A</v>
      </c>
      <c r="W1651" s="428" t="e">
        <f>VLOOKUP(H1651,'Fund Utilization Report'!$A$4:$U$1800,5,FALSE)</f>
        <v>#N/A</v>
      </c>
      <c r="X1651" s="428" t="e">
        <f>VLOOKUP(H1651,'Fund Utilization Report'!$A$4:$U$1800,6,FALSE)</f>
        <v>#N/A</v>
      </c>
      <c r="Y1651" s="320" t="e">
        <f>VLOOKUP(H1651,'Fund Utilization Report'!$A$4:$U$1800,7,FALSE)</f>
        <v>#N/A</v>
      </c>
      <c r="Z1651" s="425" t="e">
        <f>VLOOKUP(H1651,'Fund Utilization Report'!$A$4:$U$1800,8,FALSE)</f>
        <v>#N/A</v>
      </c>
      <c r="AA1651" s="428" t="e">
        <f>VLOOKUP(H1651,'Fund Utilization Report'!$A$4:$U$1800,14,FALSE)</f>
        <v>#N/A</v>
      </c>
      <c r="AB1651" s="349" t="e">
        <f>VLOOKUP(H1651,'Fund Utilization Report'!$A$4:$U$1800,15,FALSE)</f>
        <v>#N/A</v>
      </c>
      <c r="AC1651" s="39"/>
      <c r="AD1651" s="34"/>
      <c r="AE1651" s="39"/>
      <c r="AF1651" s="51"/>
      <c r="AG1651" s="442"/>
      <c r="AH1651" s="442"/>
      <c r="AI1651" s="443"/>
    </row>
    <row r="1652" spans="1:35" s="32" customFormat="1">
      <c r="A1652" s="338"/>
      <c r="B1652" s="338"/>
      <c r="C1652" s="358"/>
      <c r="D1652" s="351"/>
      <c r="E1652" s="366"/>
      <c r="F1652" s="338"/>
      <c r="G1652" s="338"/>
      <c r="H1652" s="338"/>
      <c r="I1652" s="353"/>
      <c r="J1652" s="338" t="str">
        <f>IFERROR(VLOOKUP(I1652,'Chart of accounts'!A:H,2,FALSE),"")</f>
        <v/>
      </c>
      <c r="K1652" s="338" t="str">
        <f>IFERROR(VLOOKUP(I1652,'Chart of accounts'!A:H,3,FALSE),"")</f>
        <v/>
      </c>
      <c r="L1652" s="338" t="str">
        <f>IFERROR(VLOOKUP(I1652,'Chart of accounts'!A:H,4,FALSE),"")</f>
        <v/>
      </c>
      <c r="M1652" s="361"/>
      <c r="N1652" s="355"/>
      <c r="O1652" s="355"/>
      <c r="P1652" s="355"/>
      <c r="Q1652" s="363"/>
      <c r="R1652" s="428">
        <f t="shared" si="72"/>
        <v>0</v>
      </c>
      <c r="S1652" s="428" t="e">
        <f>VLOOKUP(H1652,'Fund Utilization Report'!$A$4:$U$1800,13,FALSE)</f>
        <v>#N/A</v>
      </c>
      <c r="T1652" s="428" t="e">
        <f>VLOOKUP(H1652,'Fund Utilization Report'!$A$4:$U$1800,2,FALSE)</f>
        <v>#N/A</v>
      </c>
      <c r="U1652" s="428" t="e">
        <f>VLOOKUP(H1652,'Fund Utilization Report'!$A$4:$U$1800,3,FALSE)</f>
        <v>#N/A</v>
      </c>
      <c r="V1652" s="428" t="e">
        <f>VLOOKUP(H1652,'Fund Utilization Report'!$A$4:$U$1800,4,FALSE)</f>
        <v>#N/A</v>
      </c>
      <c r="W1652" s="428" t="e">
        <f>VLOOKUP(H1652,'Fund Utilization Report'!$A$4:$U$1800,5,FALSE)</f>
        <v>#N/A</v>
      </c>
      <c r="X1652" s="428" t="e">
        <f>VLOOKUP(H1652,'Fund Utilization Report'!$A$4:$U$1800,6,FALSE)</f>
        <v>#N/A</v>
      </c>
      <c r="Y1652" s="320" t="e">
        <f>VLOOKUP(H1652,'Fund Utilization Report'!$A$4:$U$1800,7,FALSE)</f>
        <v>#N/A</v>
      </c>
      <c r="Z1652" s="425" t="e">
        <f>VLOOKUP(H1652,'Fund Utilization Report'!$A$4:$U$1800,8,FALSE)</f>
        <v>#N/A</v>
      </c>
      <c r="AA1652" s="428" t="e">
        <f>VLOOKUP(H1652,'Fund Utilization Report'!$A$4:$U$1800,14,FALSE)</f>
        <v>#N/A</v>
      </c>
      <c r="AB1652" s="349" t="e">
        <f>VLOOKUP(H1652,'Fund Utilization Report'!$A$4:$U$1800,15,FALSE)</f>
        <v>#N/A</v>
      </c>
      <c r="AC1652" s="39"/>
      <c r="AD1652" s="34"/>
      <c r="AE1652" s="39"/>
      <c r="AF1652" s="51"/>
      <c r="AG1652" s="442"/>
      <c r="AH1652" s="442"/>
      <c r="AI1652" s="443"/>
    </row>
    <row r="1653" spans="1:35" s="32" customFormat="1">
      <c r="A1653" s="338"/>
      <c r="B1653" s="338"/>
      <c r="C1653" s="358"/>
      <c r="D1653" s="351"/>
      <c r="E1653" s="366"/>
      <c r="F1653" s="338"/>
      <c r="G1653" s="338"/>
      <c r="H1653" s="338"/>
      <c r="I1653" s="353"/>
      <c r="J1653" s="338" t="str">
        <f>IFERROR(VLOOKUP(I1653,'Chart of accounts'!A:H,2,FALSE),"")</f>
        <v/>
      </c>
      <c r="K1653" s="338" t="str">
        <f>IFERROR(VLOOKUP(I1653,'Chart of accounts'!A:H,3,FALSE),"")</f>
        <v/>
      </c>
      <c r="L1653" s="338" t="str">
        <f>IFERROR(VLOOKUP(I1653,'Chart of accounts'!A:H,4,FALSE),"")</f>
        <v/>
      </c>
      <c r="M1653" s="361"/>
      <c r="N1653" s="355"/>
      <c r="O1653" s="355"/>
      <c r="P1653" s="355"/>
      <c r="Q1653" s="363"/>
      <c r="R1653" s="428">
        <f t="shared" si="72"/>
        <v>0</v>
      </c>
      <c r="S1653" s="428" t="e">
        <f>VLOOKUP(H1653,'Fund Utilization Report'!$A$4:$U$1800,13,FALSE)</f>
        <v>#N/A</v>
      </c>
      <c r="T1653" s="428" t="e">
        <f>VLOOKUP(H1653,'Fund Utilization Report'!$A$4:$U$1800,2,FALSE)</f>
        <v>#N/A</v>
      </c>
      <c r="U1653" s="428" t="e">
        <f>VLOOKUP(H1653,'Fund Utilization Report'!$A$4:$U$1800,3,FALSE)</f>
        <v>#N/A</v>
      </c>
      <c r="V1653" s="428" t="e">
        <f>VLOOKUP(H1653,'Fund Utilization Report'!$A$4:$U$1800,4,FALSE)</f>
        <v>#N/A</v>
      </c>
      <c r="W1653" s="428" t="e">
        <f>VLOOKUP(H1653,'Fund Utilization Report'!$A$4:$U$1800,5,FALSE)</f>
        <v>#N/A</v>
      </c>
      <c r="X1653" s="428" t="e">
        <f>VLOOKUP(H1653,'Fund Utilization Report'!$A$4:$U$1800,6,FALSE)</f>
        <v>#N/A</v>
      </c>
      <c r="Y1653" s="320" t="e">
        <f>VLOOKUP(H1653,'Fund Utilization Report'!$A$4:$U$1800,7,FALSE)</f>
        <v>#N/A</v>
      </c>
      <c r="Z1653" s="425" t="e">
        <f>VLOOKUP(H1653,'Fund Utilization Report'!$A$4:$U$1800,8,FALSE)</f>
        <v>#N/A</v>
      </c>
      <c r="AA1653" s="428" t="e">
        <f>VLOOKUP(H1653,'Fund Utilization Report'!$A$4:$U$1800,14,FALSE)</f>
        <v>#N/A</v>
      </c>
      <c r="AB1653" s="349" t="e">
        <f>VLOOKUP(H1653,'Fund Utilization Report'!$A$4:$U$1800,15,FALSE)</f>
        <v>#N/A</v>
      </c>
      <c r="AC1653" s="39"/>
      <c r="AD1653" s="34"/>
      <c r="AE1653" s="39"/>
      <c r="AF1653" s="51"/>
      <c r="AG1653" s="442"/>
      <c r="AH1653" s="442"/>
      <c r="AI1653" s="443"/>
    </row>
    <row r="1654" spans="1:35" s="32" customFormat="1">
      <c r="A1654" s="338"/>
      <c r="B1654" s="338"/>
      <c r="C1654" s="358"/>
      <c r="D1654" s="351"/>
      <c r="E1654" s="366"/>
      <c r="F1654" s="338"/>
      <c r="G1654" s="338"/>
      <c r="H1654" s="338"/>
      <c r="I1654" s="353"/>
      <c r="J1654" s="338" t="str">
        <f>IFERROR(VLOOKUP(I1654,'Chart of accounts'!A:H,2,FALSE),"")</f>
        <v/>
      </c>
      <c r="K1654" s="338" t="str">
        <f>IFERROR(VLOOKUP(I1654,'Chart of accounts'!A:H,3,FALSE),"")</f>
        <v/>
      </c>
      <c r="L1654" s="338" t="str">
        <f>IFERROR(VLOOKUP(I1654,'Chart of accounts'!A:H,4,FALSE),"")</f>
        <v/>
      </c>
      <c r="M1654" s="361"/>
      <c r="N1654" s="355"/>
      <c r="O1654" s="355"/>
      <c r="P1654" s="355"/>
      <c r="Q1654" s="363"/>
      <c r="R1654" s="428">
        <f t="shared" si="72"/>
        <v>0</v>
      </c>
      <c r="S1654" s="428" t="e">
        <f>VLOOKUP(H1654,'Fund Utilization Report'!$A$4:$U$1800,13,FALSE)</f>
        <v>#N/A</v>
      </c>
      <c r="T1654" s="428" t="e">
        <f>VLOOKUP(H1654,'Fund Utilization Report'!$A$4:$U$1800,2,FALSE)</f>
        <v>#N/A</v>
      </c>
      <c r="U1654" s="428" t="e">
        <f>VLOOKUP(H1654,'Fund Utilization Report'!$A$4:$U$1800,3,FALSE)</f>
        <v>#N/A</v>
      </c>
      <c r="V1654" s="428" t="e">
        <f>VLOOKUP(H1654,'Fund Utilization Report'!$A$4:$U$1800,4,FALSE)</f>
        <v>#N/A</v>
      </c>
      <c r="W1654" s="428" t="e">
        <f>VLOOKUP(H1654,'Fund Utilization Report'!$A$4:$U$1800,5,FALSE)</f>
        <v>#N/A</v>
      </c>
      <c r="X1654" s="428" t="e">
        <f>VLOOKUP(H1654,'Fund Utilization Report'!$A$4:$U$1800,6,FALSE)</f>
        <v>#N/A</v>
      </c>
      <c r="Y1654" s="320" t="e">
        <f>VLOOKUP(H1654,'Fund Utilization Report'!$A$4:$U$1800,7,FALSE)</f>
        <v>#N/A</v>
      </c>
      <c r="Z1654" s="425" t="e">
        <f>VLOOKUP(H1654,'Fund Utilization Report'!$A$4:$U$1800,8,FALSE)</f>
        <v>#N/A</v>
      </c>
      <c r="AA1654" s="428" t="e">
        <f>VLOOKUP(H1654,'Fund Utilization Report'!$A$4:$U$1800,14,FALSE)</f>
        <v>#N/A</v>
      </c>
      <c r="AB1654" s="349" t="e">
        <f>VLOOKUP(H1654,'Fund Utilization Report'!$A$4:$U$1800,15,FALSE)</f>
        <v>#N/A</v>
      </c>
      <c r="AC1654" s="39"/>
      <c r="AD1654" s="34"/>
      <c r="AE1654" s="39"/>
      <c r="AF1654" s="51"/>
      <c r="AG1654" s="442"/>
      <c r="AH1654" s="442"/>
      <c r="AI1654" s="443"/>
    </row>
    <row r="1655" spans="1:35" s="32" customFormat="1">
      <c r="A1655" s="338"/>
      <c r="B1655" s="338"/>
      <c r="C1655" s="358"/>
      <c r="D1655" s="351"/>
      <c r="E1655" s="366"/>
      <c r="F1655" s="338"/>
      <c r="G1655" s="338"/>
      <c r="H1655" s="338"/>
      <c r="I1655" s="353"/>
      <c r="J1655" s="338" t="str">
        <f>IFERROR(VLOOKUP(I1655,'Chart of accounts'!A:H,2,FALSE),"")</f>
        <v/>
      </c>
      <c r="K1655" s="338" t="str">
        <f>IFERROR(VLOOKUP(I1655,'Chart of accounts'!A:H,3,FALSE),"")</f>
        <v/>
      </c>
      <c r="L1655" s="338" t="str">
        <f>IFERROR(VLOOKUP(I1655,'Chart of accounts'!A:H,4,FALSE),"")</f>
        <v/>
      </c>
      <c r="M1655" s="361"/>
      <c r="N1655" s="355"/>
      <c r="O1655" s="355"/>
      <c r="P1655" s="355"/>
      <c r="Q1655" s="363"/>
      <c r="R1655" s="428">
        <f t="shared" si="72"/>
        <v>0</v>
      </c>
      <c r="S1655" s="428" t="e">
        <f>VLOOKUP(H1655,'Fund Utilization Report'!$A$4:$U$1800,13,FALSE)</f>
        <v>#N/A</v>
      </c>
      <c r="T1655" s="428" t="e">
        <f>VLOOKUP(H1655,'Fund Utilization Report'!$A$4:$U$1800,2,FALSE)</f>
        <v>#N/A</v>
      </c>
      <c r="U1655" s="428" t="e">
        <f>VLOOKUP(H1655,'Fund Utilization Report'!$A$4:$U$1800,3,FALSE)</f>
        <v>#N/A</v>
      </c>
      <c r="V1655" s="428" t="e">
        <f>VLOOKUP(H1655,'Fund Utilization Report'!$A$4:$U$1800,4,FALSE)</f>
        <v>#N/A</v>
      </c>
      <c r="W1655" s="428" t="e">
        <f>VLOOKUP(H1655,'Fund Utilization Report'!$A$4:$U$1800,5,FALSE)</f>
        <v>#N/A</v>
      </c>
      <c r="X1655" s="428" t="e">
        <f>VLOOKUP(H1655,'Fund Utilization Report'!$A$4:$U$1800,6,FALSE)</f>
        <v>#N/A</v>
      </c>
      <c r="Y1655" s="320" t="e">
        <f>VLOOKUP(H1655,'Fund Utilization Report'!$A$4:$U$1800,7,FALSE)</f>
        <v>#N/A</v>
      </c>
      <c r="Z1655" s="425" t="e">
        <f>VLOOKUP(H1655,'Fund Utilization Report'!$A$4:$U$1800,8,FALSE)</f>
        <v>#N/A</v>
      </c>
      <c r="AA1655" s="428" t="e">
        <f>VLOOKUP(H1655,'Fund Utilization Report'!$A$4:$U$1800,14,FALSE)</f>
        <v>#N/A</v>
      </c>
      <c r="AB1655" s="349" t="e">
        <f>VLOOKUP(H1655,'Fund Utilization Report'!$A$4:$U$1800,15,FALSE)</f>
        <v>#N/A</v>
      </c>
      <c r="AC1655" s="39"/>
      <c r="AD1655" s="34"/>
      <c r="AE1655" s="39"/>
      <c r="AF1655" s="51"/>
      <c r="AG1655" s="442"/>
      <c r="AH1655" s="442"/>
      <c r="AI1655" s="443"/>
    </row>
    <row r="1656" spans="1:35" s="32" customFormat="1">
      <c r="A1656" s="338"/>
      <c r="B1656" s="338"/>
      <c r="C1656" s="358"/>
      <c r="D1656" s="351"/>
      <c r="E1656" s="366"/>
      <c r="F1656" s="338"/>
      <c r="G1656" s="338"/>
      <c r="H1656" s="338"/>
      <c r="I1656" s="353"/>
      <c r="J1656" s="338" t="str">
        <f>IFERROR(VLOOKUP(I1656,'Chart of accounts'!A:H,2,FALSE),"")</f>
        <v/>
      </c>
      <c r="K1656" s="338" t="str">
        <f>IFERROR(VLOOKUP(I1656,'Chart of accounts'!A:H,3,FALSE),"")</f>
        <v/>
      </c>
      <c r="L1656" s="338" t="str">
        <f>IFERROR(VLOOKUP(I1656,'Chart of accounts'!A:H,4,FALSE),"")</f>
        <v/>
      </c>
      <c r="M1656" s="361"/>
      <c r="N1656" s="355"/>
      <c r="O1656" s="355"/>
      <c r="P1656" s="355"/>
      <c r="Q1656" s="363"/>
      <c r="R1656" s="428">
        <f t="shared" si="72"/>
        <v>0</v>
      </c>
      <c r="S1656" s="428" t="e">
        <f>VLOOKUP(H1656,'Fund Utilization Report'!$A$4:$U$1800,13,FALSE)</f>
        <v>#N/A</v>
      </c>
      <c r="T1656" s="428" t="e">
        <f>VLOOKUP(H1656,'Fund Utilization Report'!$A$4:$U$1800,2,FALSE)</f>
        <v>#N/A</v>
      </c>
      <c r="U1656" s="428" t="e">
        <f>VLOOKUP(H1656,'Fund Utilization Report'!$A$4:$U$1800,3,FALSE)</f>
        <v>#N/A</v>
      </c>
      <c r="V1656" s="428" t="e">
        <f>VLOOKUP(H1656,'Fund Utilization Report'!$A$4:$U$1800,4,FALSE)</f>
        <v>#N/A</v>
      </c>
      <c r="W1656" s="428" t="e">
        <f>VLOOKUP(H1656,'Fund Utilization Report'!$A$4:$U$1800,5,FALSE)</f>
        <v>#N/A</v>
      </c>
      <c r="X1656" s="428" t="e">
        <f>VLOOKUP(H1656,'Fund Utilization Report'!$A$4:$U$1800,6,FALSE)</f>
        <v>#N/A</v>
      </c>
      <c r="Y1656" s="320" t="e">
        <f>VLOOKUP(H1656,'Fund Utilization Report'!$A$4:$U$1800,7,FALSE)</f>
        <v>#N/A</v>
      </c>
      <c r="Z1656" s="425" t="e">
        <f>VLOOKUP(H1656,'Fund Utilization Report'!$A$4:$U$1800,8,FALSE)</f>
        <v>#N/A</v>
      </c>
      <c r="AA1656" s="428" t="e">
        <f>VLOOKUP(H1656,'Fund Utilization Report'!$A$4:$U$1800,14,FALSE)</f>
        <v>#N/A</v>
      </c>
      <c r="AB1656" s="349" t="e">
        <f>VLOOKUP(H1656,'Fund Utilization Report'!$A$4:$U$1800,15,FALSE)</f>
        <v>#N/A</v>
      </c>
      <c r="AC1656" s="39"/>
      <c r="AD1656" s="34"/>
      <c r="AE1656" s="39"/>
      <c r="AF1656" s="51"/>
      <c r="AG1656" s="442"/>
      <c r="AH1656" s="442"/>
      <c r="AI1656" s="443"/>
    </row>
    <row r="1657" spans="1:35" s="32" customFormat="1">
      <c r="A1657" s="338"/>
      <c r="B1657" s="338"/>
      <c r="C1657" s="358"/>
      <c r="D1657" s="351"/>
      <c r="E1657" s="366"/>
      <c r="F1657" s="338"/>
      <c r="G1657" s="338"/>
      <c r="H1657" s="338"/>
      <c r="I1657" s="353"/>
      <c r="J1657" s="338" t="str">
        <f>IFERROR(VLOOKUP(I1657,'Chart of accounts'!A:H,2,FALSE),"")</f>
        <v/>
      </c>
      <c r="K1657" s="338" t="str">
        <f>IFERROR(VLOOKUP(I1657,'Chart of accounts'!A:H,3,FALSE),"")</f>
        <v/>
      </c>
      <c r="L1657" s="338" t="str">
        <f>IFERROR(VLOOKUP(I1657,'Chart of accounts'!A:H,4,FALSE),"")</f>
        <v/>
      </c>
      <c r="M1657" s="361"/>
      <c r="N1657" s="355"/>
      <c r="O1657" s="355"/>
      <c r="P1657" s="355"/>
      <c r="Q1657" s="363"/>
      <c r="R1657" s="428">
        <f t="shared" ref="R1657:R1667" si="73">P1657-Q1657</f>
        <v>0</v>
      </c>
      <c r="S1657" s="428" t="e">
        <f>VLOOKUP(H1657,'Fund Utilization Report'!$A$4:$U$1800,13,FALSE)</f>
        <v>#N/A</v>
      </c>
      <c r="T1657" s="428" t="e">
        <f>VLOOKUP(H1657,'Fund Utilization Report'!$A$4:$U$1800,2,FALSE)</f>
        <v>#N/A</v>
      </c>
      <c r="U1657" s="428" t="e">
        <f>VLOOKUP(H1657,'Fund Utilization Report'!$A$4:$U$1800,3,FALSE)</f>
        <v>#N/A</v>
      </c>
      <c r="V1657" s="428" t="e">
        <f>VLOOKUP(H1657,'Fund Utilization Report'!$A$4:$U$1800,4,FALSE)</f>
        <v>#N/A</v>
      </c>
      <c r="W1657" s="428" t="e">
        <f>VLOOKUP(H1657,'Fund Utilization Report'!$A$4:$U$1800,5,FALSE)</f>
        <v>#N/A</v>
      </c>
      <c r="X1657" s="428" t="e">
        <f>VLOOKUP(H1657,'Fund Utilization Report'!$A$4:$U$1800,6,FALSE)</f>
        <v>#N/A</v>
      </c>
      <c r="Y1657" s="320" t="e">
        <f>VLOOKUP(H1657,'Fund Utilization Report'!$A$4:$U$1800,7,FALSE)</f>
        <v>#N/A</v>
      </c>
      <c r="Z1657" s="425" t="e">
        <f>VLOOKUP(H1657,'Fund Utilization Report'!$A$4:$U$1800,8,FALSE)</f>
        <v>#N/A</v>
      </c>
      <c r="AA1657" s="428" t="e">
        <f>VLOOKUP(H1657,'Fund Utilization Report'!$A$4:$U$1800,14,FALSE)</f>
        <v>#N/A</v>
      </c>
      <c r="AB1657" s="349" t="e">
        <f>VLOOKUP(H1657,'Fund Utilization Report'!$A$4:$U$1800,15,FALSE)</f>
        <v>#N/A</v>
      </c>
      <c r="AC1657" s="39"/>
      <c r="AD1657" s="34"/>
      <c r="AE1657" s="39"/>
      <c r="AF1657" s="51"/>
      <c r="AG1657" s="442"/>
      <c r="AH1657" s="442"/>
      <c r="AI1657" s="443"/>
    </row>
    <row r="1658" spans="1:35" s="32" customFormat="1">
      <c r="A1658" s="338"/>
      <c r="B1658" s="338"/>
      <c r="C1658" s="358"/>
      <c r="D1658" s="351"/>
      <c r="E1658" s="366"/>
      <c r="F1658" s="338"/>
      <c r="G1658" s="338"/>
      <c r="H1658" s="338"/>
      <c r="I1658" s="353"/>
      <c r="J1658" s="338" t="str">
        <f>IFERROR(VLOOKUP(I1658,'Chart of accounts'!A:H,2,FALSE),"")</f>
        <v/>
      </c>
      <c r="K1658" s="338" t="str">
        <f>IFERROR(VLOOKUP(I1658,'Chart of accounts'!A:H,3,FALSE),"")</f>
        <v/>
      </c>
      <c r="L1658" s="338" t="str">
        <f>IFERROR(VLOOKUP(I1658,'Chart of accounts'!A:H,4,FALSE),"")</f>
        <v/>
      </c>
      <c r="M1658" s="361"/>
      <c r="N1658" s="355"/>
      <c r="O1658" s="355"/>
      <c r="P1658" s="355"/>
      <c r="Q1658" s="363"/>
      <c r="R1658" s="428">
        <f t="shared" si="73"/>
        <v>0</v>
      </c>
      <c r="S1658" s="428" t="e">
        <f>VLOOKUP(H1658,'Fund Utilization Report'!$A$4:$U$1800,13,FALSE)</f>
        <v>#N/A</v>
      </c>
      <c r="T1658" s="428" t="e">
        <f>VLOOKUP(H1658,'Fund Utilization Report'!$A$4:$U$1800,2,FALSE)</f>
        <v>#N/A</v>
      </c>
      <c r="U1658" s="428" t="e">
        <f>VLOOKUP(H1658,'Fund Utilization Report'!$A$4:$U$1800,3,FALSE)</f>
        <v>#N/A</v>
      </c>
      <c r="V1658" s="428" t="e">
        <f>VLOOKUP(H1658,'Fund Utilization Report'!$A$4:$U$1800,4,FALSE)</f>
        <v>#N/A</v>
      </c>
      <c r="W1658" s="428" t="e">
        <f>VLOOKUP(H1658,'Fund Utilization Report'!$A$4:$U$1800,5,FALSE)</f>
        <v>#N/A</v>
      </c>
      <c r="X1658" s="428" t="e">
        <f>VLOOKUP(H1658,'Fund Utilization Report'!$A$4:$U$1800,6,FALSE)</f>
        <v>#N/A</v>
      </c>
      <c r="Y1658" s="320" t="e">
        <f>VLOOKUP(H1658,'Fund Utilization Report'!$A$4:$U$1800,7,FALSE)</f>
        <v>#N/A</v>
      </c>
      <c r="Z1658" s="425" t="e">
        <f>VLOOKUP(H1658,'Fund Utilization Report'!$A$4:$U$1800,8,FALSE)</f>
        <v>#N/A</v>
      </c>
      <c r="AA1658" s="428" t="e">
        <f>VLOOKUP(H1658,'Fund Utilization Report'!$A$4:$U$1800,14,FALSE)</f>
        <v>#N/A</v>
      </c>
      <c r="AB1658" s="349" t="e">
        <f>VLOOKUP(H1658,'Fund Utilization Report'!$A$4:$U$1800,15,FALSE)</f>
        <v>#N/A</v>
      </c>
      <c r="AC1658" s="39"/>
      <c r="AD1658" s="34"/>
      <c r="AE1658" s="39"/>
      <c r="AF1658" s="51"/>
      <c r="AG1658" s="442"/>
      <c r="AH1658" s="442"/>
      <c r="AI1658" s="443"/>
    </row>
    <row r="1659" spans="1:35" s="32" customFormat="1">
      <c r="A1659" s="338"/>
      <c r="B1659" s="338"/>
      <c r="C1659" s="358"/>
      <c r="D1659" s="351"/>
      <c r="E1659" s="366"/>
      <c r="F1659" s="338"/>
      <c r="G1659" s="338"/>
      <c r="H1659" s="338"/>
      <c r="I1659" s="353"/>
      <c r="J1659" s="338" t="str">
        <f>IFERROR(VLOOKUP(I1659,'Chart of accounts'!A:H,2,FALSE),"")</f>
        <v/>
      </c>
      <c r="K1659" s="338" t="str">
        <f>IFERROR(VLOOKUP(I1659,'Chart of accounts'!A:H,3,FALSE),"")</f>
        <v/>
      </c>
      <c r="L1659" s="338" t="str">
        <f>IFERROR(VLOOKUP(I1659,'Chart of accounts'!A:H,4,FALSE),"")</f>
        <v/>
      </c>
      <c r="M1659" s="361"/>
      <c r="N1659" s="355"/>
      <c r="O1659" s="355"/>
      <c r="P1659" s="355"/>
      <c r="Q1659" s="363"/>
      <c r="R1659" s="428">
        <f t="shared" si="73"/>
        <v>0</v>
      </c>
      <c r="S1659" s="428" t="e">
        <f>VLOOKUP(H1659,'Fund Utilization Report'!$A$4:$U$1800,13,FALSE)</f>
        <v>#N/A</v>
      </c>
      <c r="T1659" s="428" t="e">
        <f>VLOOKUP(H1659,'Fund Utilization Report'!$A$4:$U$1800,2,FALSE)</f>
        <v>#N/A</v>
      </c>
      <c r="U1659" s="428" t="e">
        <f>VLOOKUP(H1659,'Fund Utilization Report'!$A$4:$U$1800,3,FALSE)</f>
        <v>#N/A</v>
      </c>
      <c r="V1659" s="428" t="e">
        <f>VLOOKUP(H1659,'Fund Utilization Report'!$A$4:$U$1800,4,FALSE)</f>
        <v>#N/A</v>
      </c>
      <c r="W1659" s="428" t="e">
        <f>VLOOKUP(H1659,'Fund Utilization Report'!$A$4:$U$1800,5,FALSE)</f>
        <v>#N/A</v>
      </c>
      <c r="X1659" s="428" t="e">
        <f>VLOOKUP(H1659,'Fund Utilization Report'!$A$4:$U$1800,6,FALSE)</f>
        <v>#N/A</v>
      </c>
      <c r="Y1659" s="320" t="e">
        <f>VLOOKUP(H1659,'Fund Utilization Report'!$A$4:$U$1800,7,FALSE)</f>
        <v>#N/A</v>
      </c>
      <c r="Z1659" s="425" t="e">
        <f>VLOOKUP(H1659,'Fund Utilization Report'!$A$4:$U$1800,8,FALSE)</f>
        <v>#N/A</v>
      </c>
      <c r="AA1659" s="428" t="e">
        <f>VLOOKUP(H1659,'Fund Utilization Report'!$A$4:$U$1800,14,FALSE)</f>
        <v>#N/A</v>
      </c>
      <c r="AB1659" s="349" t="e">
        <f>VLOOKUP(H1659,'Fund Utilization Report'!$A$4:$U$1800,15,FALSE)</f>
        <v>#N/A</v>
      </c>
      <c r="AC1659" s="39"/>
      <c r="AD1659" s="34"/>
      <c r="AE1659" s="39"/>
      <c r="AF1659" s="51"/>
      <c r="AG1659" s="442"/>
      <c r="AH1659" s="442"/>
      <c r="AI1659" s="443"/>
    </row>
    <row r="1660" spans="1:35" s="32" customFormat="1">
      <c r="A1660" s="338"/>
      <c r="B1660" s="338"/>
      <c r="C1660" s="358"/>
      <c r="D1660" s="351"/>
      <c r="E1660" s="366"/>
      <c r="F1660" s="338"/>
      <c r="G1660" s="338"/>
      <c r="H1660" s="338"/>
      <c r="I1660" s="353"/>
      <c r="J1660" s="338" t="str">
        <f>IFERROR(VLOOKUP(I1660,'Chart of accounts'!A:H,2,FALSE),"")</f>
        <v/>
      </c>
      <c r="K1660" s="338" t="str">
        <f>IFERROR(VLOOKUP(I1660,'Chart of accounts'!A:H,3,FALSE),"")</f>
        <v/>
      </c>
      <c r="L1660" s="338" t="str">
        <f>IFERROR(VLOOKUP(I1660,'Chart of accounts'!A:H,4,FALSE),"")</f>
        <v/>
      </c>
      <c r="M1660" s="361"/>
      <c r="N1660" s="355"/>
      <c r="O1660" s="355"/>
      <c r="P1660" s="355"/>
      <c r="Q1660" s="363"/>
      <c r="R1660" s="428">
        <f t="shared" si="73"/>
        <v>0</v>
      </c>
      <c r="S1660" s="428" t="e">
        <f>VLOOKUP(H1660,'Fund Utilization Report'!$A$4:$U$1800,13,FALSE)</f>
        <v>#N/A</v>
      </c>
      <c r="T1660" s="428" t="e">
        <f>VLOOKUP(H1660,'Fund Utilization Report'!$A$4:$U$1800,2,FALSE)</f>
        <v>#N/A</v>
      </c>
      <c r="U1660" s="428" t="e">
        <f>VLOOKUP(H1660,'Fund Utilization Report'!$A$4:$U$1800,3,FALSE)</f>
        <v>#N/A</v>
      </c>
      <c r="V1660" s="428" t="e">
        <f>VLOOKUP(H1660,'Fund Utilization Report'!$A$4:$U$1800,4,FALSE)</f>
        <v>#N/A</v>
      </c>
      <c r="W1660" s="428" t="e">
        <f>VLOOKUP(H1660,'Fund Utilization Report'!$A$4:$U$1800,5,FALSE)</f>
        <v>#N/A</v>
      </c>
      <c r="X1660" s="428" t="e">
        <f>VLOOKUP(H1660,'Fund Utilization Report'!$A$4:$U$1800,6,FALSE)</f>
        <v>#N/A</v>
      </c>
      <c r="Y1660" s="320" t="e">
        <f>VLOOKUP(H1660,'Fund Utilization Report'!$A$4:$U$1800,7,FALSE)</f>
        <v>#N/A</v>
      </c>
      <c r="Z1660" s="425" t="e">
        <f>VLOOKUP(H1660,'Fund Utilization Report'!$A$4:$U$1800,8,FALSE)</f>
        <v>#N/A</v>
      </c>
      <c r="AA1660" s="428" t="e">
        <f>VLOOKUP(H1660,'Fund Utilization Report'!$A$4:$U$1800,14,FALSE)</f>
        <v>#N/A</v>
      </c>
      <c r="AB1660" s="349" t="e">
        <f>VLOOKUP(H1660,'Fund Utilization Report'!$A$4:$U$1800,15,FALSE)</f>
        <v>#N/A</v>
      </c>
      <c r="AC1660" s="39"/>
      <c r="AD1660" s="34"/>
      <c r="AE1660" s="39"/>
      <c r="AF1660" s="51"/>
      <c r="AG1660" s="442"/>
      <c r="AH1660" s="442"/>
      <c r="AI1660" s="443"/>
    </row>
    <row r="1661" spans="1:35" s="32" customFormat="1">
      <c r="A1661" s="338"/>
      <c r="B1661" s="338"/>
      <c r="C1661" s="358"/>
      <c r="D1661" s="351"/>
      <c r="E1661" s="366"/>
      <c r="F1661" s="338"/>
      <c r="G1661" s="338"/>
      <c r="H1661" s="338"/>
      <c r="I1661" s="353"/>
      <c r="J1661" s="338" t="str">
        <f>IFERROR(VLOOKUP(I1661,'Chart of accounts'!A:H,2,FALSE),"")</f>
        <v/>
      </c>
      <c r="K1661" s="338" t="str">
        <f>IFERROR(VLOOKUP(I1661,'Chart of accounts'!A:H,3,FALSE),"")</f>
        <v/>
      </c>
      <c r="L1661" s="338" t="str">
        <f>IFERROR(VLOOKUP(I1661,'Chart of accounts'!A:H,4,FALSE),"")</f>
        <v/>
      </c>
      <c r="M1661" s="361"/>
      <c r="N1661" s="355"/>
      <c r="O1661" s="355"/>
      <c r="P1661" s="355"/>
      <c r="Q1661" s="363"/>
      <c r="R1661" s="428">
        <f t="shared" si="73"/>
        <v>0</v>
      </c>
      <c r="S1661" s="428" t="e">
        <f>VLOOKUP(H1661,'Fund Utilization Report'!$A$4:$U$1800,13,FALSE)</f>
        <v>#N/A</v>
      </c>
      <c r="T1661" s="428" t="e">
        <f>VLOOKUP(H1661,'Fund Utilization Report'!$A$4:$U$1800,2,FALSE)</f>
        <v>#N/A</v>
      </c>
      <c r="U1661" s="428" t="e">
        <f>VLOOKUP(H1661,'Fund Utilization Report'!$A$4:$U$1800,3,FALSE)</f>
        <v>#N/A</v>
      </c>
      <c r="V1661" s="428" t="e">
        <f>VLOOKUP(H1661,'Fund Utilization Report'!$A$4:$U$1800,4,FALSE)</f>
        <v>#N/A</v>
      </c>
      <c r="W1661" s="428" t="e">
        <f>VLOOKUP(H1661,'Fund Utilization Report'!$A$4:$U$1800,5,FALSE)</f>
        <v>#N/A</v>
      </c>
      <c r="X1661" s="428" t="e">
        <f>VLOOKUP(H1661,'Fund Utilization Report'!$A$4:$U$1800,6,FALSE)</f>
        <v>#N/A</v>
      </c>
      <c r="Y1661" s="320" t="e">
        <f>VLOOKUP(H1661,'Fund Utilization Report'!$A$4:$U$1800,7,FALSE)</f>
        <v>#N/A</v>
      </c>
      <c r="Z1661" s="425" t="e">
        <f>VLOOKUP(H1661,'Fund Utilization Report'!$A$4:$U$1800,8,FALSE)</f>
        <v>#N/A</v>
      </c>
      <c r="AA1661" s="428" t="e">
        <f>VLOOKUP(H1661,'Fund Utilization Report'!$A$4:$U$1800,14,FALSE)</f>
        <v>#N/A</v>
      </c>
      <c r="AB1661" s="349" t="e">
        <f>VLOOKUP(H1661,'Fund Utilization Report'!$A$4:$U$1800,15,FALSE)</f>
        <v>#N/A</v>
      </c>
      <c r="AC1661" s="39"/>
      <c r="AD1661" s="34"/>
      <c r="AE1661" s="39"/>
      <c r="AF1661" s="51"/>
      <c r="AG1661" s="442"/>
      <c r="AH1661" s="442"/>
      <c r="AI1661" s="443"/>
    </row>
    <row r="1662" spans="1:35" s="32" customFormat="1">
      <c r="A1662" s="338"/>
      <c r="B1662" s="338"/>
      <c r="C1662" s="358"/>
      <c r="D1662" s="351"/>
      <c r="E1662" s="366"/>
      <c r="F1662" s="338"/>
      <c r="G1662" s="338"/>
      <c r="H1662" s="338"/>
      <c r="I1662" s="353"/>
      <c r="J1662" s="338" t="str">
        <f>IFERROR(VLOOKUP(I1662,'Chart of accounts'!A:H,2,FALSE),"")</f>
        <v/>
      </c>
      <c r="K1662" s="338" t="str">
        <f>IFERROR(VLOOKUP(I1662,'Chart of accounts'!A:H,3,FALSE),"")</f>
        <v/>
      </c>
      <c r="L1662" s="338" t="str">
        <f>IFERROR(VLOOKUP(I1662,'Chart of accounts'!A:H,4,FALSE),"")</f>
        <v/>
      </c>
      <c r="M1662" s="361"/>
      <c r="N1662" s="355"/>
      <c r="O1662" s="355"/>
      <c r="P1662" s="355"/>
      <c r="Q1662" s="363"/>
      <c r="R1662" s="428">
        <f t="shared" si="73"/>
        <v>0</v>
      </c>
      <c r="S1662" s="428" t="e">
        <f>VLOOKUP(H1662,'Fund Utilization Report'!$A$4:$U$1800,13,FALSE)</f>
        <v>#N/A</v>
      </c>
      <c r="T1662" s="428" t="e">
        <f>VLOOKUP(H1662,'Fund Utilization Report'!$A$4:$U$1800,2,FALSE)</f>
        <v>#N/A</v>
      </c>
      <c r="U1662" s="428" t="e">
        <f>VLOOKUP(H1662,'Fund Utilization Report'!$A$4:$U$1800,3,FALSE)</f>
        <v>#N/A</v>
      </c>
      <c r="V1662" s="428" t="e">
        <f>VLOOKUP(H1662,'Fund Utilization Report'!$A$4:$U$1800,4,FALSE)</f>
        <v>#N/A</v>
      </c>
      <c r="W1662" s="428" t="e">
        <f>VLOOKUP(H1662,'Fund Utilization Report'!$A$4:$U$1800,5,FALSE)</f>
        <v>#N/A</v>
      </c>
      <c r="X1662" s="428" t="e">
        <f>VLOOKUP(H1662,'Fund Utilization Report'!$A$4:$U$1800,6,FALSE)</f>
        <v>#N/A</v>
      </c>
      <c r="Y1662" s="320" t="e">
        <f>VLOOKUP(H1662,'Fund Utilization Report'!$A$4:$U$1800,7,FALSE)</f>
        <v>#N/A</v>
      </c>
      <c r="Z1662" s="425" t="e">
        <f>VLOOKUP(H1662,'Fund Utilization Report'!$A$4:$U$1800,8,FALSE)</f>
        <v>#N/A</v>
      </c>
      <c r="AA1662" s="428" t="e">
        <f>VLOOKUP(H1662,'Fund Utilization Report'!$A$4:$U$1800,14,FALSE)</f>
        <v>#N/A</v>
      </c>
      <c r="AB1662" s="349" t="e">
        <f>VLOOKUP(H1662,'Fund Utilization Report'!$A$4:$U$1800,15,FALSE)</f>
        <v>#N/A</v>
      </c>
      <c r="AC1662" s="39"/>
      <c r="AD1662" s="34"/>
      <c r="AE1662" s="39"/>
      <c r="AF1662" s="51"/>
      <c r="AG1662" s="442"/>
      <c r="AH1662" s="442"/>
      <c r="AI1662" s="443"/>
    </row>
    <row r="1663" spans="1:35" s="32" customFormat="1">
      <c r="A1663" s="338"/>
      <c r="B1663" s="338"/>
      <c r="C1663" s="358"/>
      <c r="D1663" s="351"/>
      <c r="E1663" s="366"/>
      <c r="F1663" s="338"/>
      <c r="G1663" s="338"/>
      <c r="H1663" s="338"/>
      <c r="I1663" s="353"/>
      <c r="J1663" s="338" t="str">
        <f>IFERROR(VLOOKUP(I1663,'Chart of accounts'!A:H,2,FALSE),"")</f>
        <v/>
      </c>
      <c r="K1663" s="338" t="str">
        <f>IFERROR(VLOOKUP(I1663,'Chart of accounts'!A:H,3,FALSE),"")</f>
        <v/>
      </c>
      <c r="L1663" s="338" t="str">
        <f>IFERROR(VLOOKUP(I1663,'Chart of accounts'!A:H,4,FALSE),"")</f>
        <v/>
      </c>
      <c r="M1663" s="361"/>
      <c r="N1663" s="355"/>
      <c r="O1663" s="355"/>
      <c r="P1663" s="355"/>
      <c r="Q1663" s="363"/>
      <c r="R1663" s="428">
        <f t="shared" si="73"/>
        <v>0</v>
      </c>
      <c r="S1663" s="428" t="e">
        <f>VLOOKUP(H1663,'Fund Utilization Report'!$A$4:$U$1800,13,FALSE)</f>
        <v>#N/A</v>
      </c>
      <c r="T1663" s="428" t="e">
        <f>VLOOKUP(H1663,'Fund Utilization Report'!$A$4:$U$1800,2,FALSE)</f>
        <v>#N/A</v>
      </c>
      <c r="U1663" s="428" t="e">
        <f>VLOOKUP(H1663,'Fund Utilization Report'!$A$4:$U$1800,3,FALSE)</f>
        <v>#N/A</v>
      </c>
      <c r="V1663" s="428" t="e">
        <f>VLOOKUP(H1663,'Fund Utilization Report'!$A$4:$U$1800,4,FALSE)</f>
        <v>#N/A</v>
      </c>
      <c r="W1663" s="428" t="e">
        <f>VLOOKUP(H1663,'Fund Utilization Report'!$A$4:$U$1800,5,FALSE)</f>
        <v>#N/A</v>
      </c>
      <c r="X1663" s="428" t="e">
        <f>VLOOKUP(H1663,'Fund Utilization Report'!$A$4:$U$1800,6,FALSE)</f>
        <v>#N/A</v>
      </c>
      <c r="Y1663" s="320" t="e">
        <f>VLOOKUP(H1663,'Fund Utilization Report'!$A$4:$U$1800,7,FALSE)</f>
        <v>#N/A</v>
      </c>
      <c r="Z1663" s="425" t="e">
        <f>VLOOKUP(H1663,'Fund Utilization Report'!$A$4:$U$1800,8,FALSE)</f>
        <v>#N/A</v>
      </c>
      <c r="AA1663" s="428" t="e">
        <f>VLOOKUP(H1663,'Fund Utilization Report'!$A$4:$U$1800,14,FALSE)</f>
        <v>#N/A</v>
      </c>
      <c r="AB1663" s="349" t="e">
        <f>VLOOKUP(H1663,'Fund Utilization Report'!$A$4:$U$1800,15,FALSE)</f>
        <v>#N/A</v>
      </c>
      <c r="AC1663" s="39"/>
      <c r="AD1663" s="34"/>
      <c r="AE1663" s="39"/>
      <c r="AF1663" s="51"/>
      <c r="AG1663" s="442"/>
      <c r="AH1663" s="442"/>
      <c r="AI1663" s="443"/>
    </row>
    <row r="1664" spans="1:35" s="32" customFormat="1">
      <c r="A1664" s="338"/>
      <c r="B1664" s="338"/>
      <c r="C1664" s="358"/>
      <c r="D1664" s="351"/>
      <c r="E1664" s="366"/>
      <c r="F1664" s="338"/>
      <c r="G1664" s="338"/>
      <c r="H1664" s="338"/>
      <c r="I1664" s="353"/>
      <c r="J1664" s="338" t="str">
        <f>IFERROR(VLOOKUP(I1664,'Chart of accounts'!A:H,2,FALSE),"")</f>
        <v/>
      </c>
      <c r="K1664" s="338" t="str">
        <f>IFERROR(VLOOKUP(I1664,'Chart of accounts'!A:H,3,FALSE),"")</f>
        <v/>
      </c>
      <c r="L1664" s="338" t="str">
        <f>IFERROR(VLOOKUP(I1664,'Chart of accounts'!A:H,4,FALSE),"")</f>
        <v/>
      </c>
      <c r="M1664" s="361"/>
      <c r="N1664" s="355"/>
      <c r="O1664" s="355"/>
      <c r="P1664" s="355"/>
      <c r="Q1664" s="363"/>
      <c r="R1664" s="428">
        <f t="shared" si="73"/>
        <v>0</v>
      </c>
      <c r="S1664" s="428" t="e">
        <f>VLOOKUP(H1664,'Fund Utilization Report'!$A$4:$U$1800,13,FALSE)</f>
        <v>#N/A</v>
      </c>
      <c r="T1664" s="428" t="e">
        <f>VLOOKUP(H1664,'Fund Utilization Report'!$A$4:$U$1800,2,FALSE)</f>
        <v>#N/A</v>
      </c>
      <c r="U1664" s="428" t="e">
        <f>VLOOKUP(H1664,'Fund Utilization Report'!$A$4:$U$1800,3,FALSE)</f>
        <v>#N/A</v>
      </c>
      <c r="V1664" s="428" t="e">
        <f>VLOOKUP(H1664,'Fund Utilization Report'!$A$4:$U$1800,4,FALSE)</f>
        <v>#N/A</v>
      </c>
      <c r="W1664" s="428" t="e">
        <f>VLOOKUP(H1664,'Fund Utilization Report'!$A$4:$U$1800,5,FALSE)</f>
        <v>#N/A</v>
      </c>
      <c r="X1664" s="428" t="e">
        <f>VLOOKUP(H1664,'Fund Utilization Report'!$A$4:$U$1800,6,FALSE)</f>
        <v>#N/A</v>
      </c>
      <c r="Y1664" s="320" t="e">
        <f>VLOOKUP(H1664,'Fund Utilization Report'!$A$4:$U$1800,7,FALSE)</f>
        <v>#N/A</v>
      </c>
      <c r="Z1664" s="425" t="e">
        <f>VLOOKUP(H1664,'Fund Utilization Report'!$A$4:$U$1800,8,FALSE)</f>
        <v>#N/A</v>
      </c>
      <c r="AA1664" s="428" t="e">
        <f>VLOOKUP(H1664,'Fund Utilization Report'!$A$4:$U$1800,14,FALSE)</f>
        <v>#N/A</v>
      </c>
      <c r="AB1664" s="349" t="e">
        <f>VLOOKUP(H1664,'Fund Utilization Report'!$A$4:$U$1800,15,FALSE)</f>
        <v>#N/A</v>
      </c>
      <c r="AC1664" s="39"/>
      <c r="AD1664" s="34"/>
      <c r="AE1664" s="39"/>
      <c r="AF1664" s="51"/>
      <c r="AG1664" s="442"/>
      <c r="AH1664" s="442"/>
      <c r="AI1664" s="443"/>
    </row>
    <row r="1665" spans="1:35" s="32" customFormat="1">
      <c r="A1665" s="338"/>
      <c r="B1665" s="338"/>
      <c r="C1665" s="358"/>
      <c r="D1665" s="351"/>
      <c r="E1665" s="366"/>
      <c r="F1665" s="338"/>
      <c r="G1665" s="338"/>
      <c r="H1665" s="338"/>
      <c r="I1665" s="353"/>
      <c r="J1665" s="338" t="str">
        <f>IFERROR(VLOOKUP(I1665,'Chart of accounts'!A:H,2,FALSE),"")</f>
        <v/>
      </c>
      <c r="K1665" s="338" t="str">
        <f>IFERROR(VLOOKUP(I1665,'Chart of accounts'!A:H,3,FALSE),"")</f>
        <v/>
      </c>
      <c r="L1665" s="338" t="str">
        <f>IFERROR(VLOOKUP(I1665,'Chart of accounts'!A:H,4,FALSE),"")</f>
        <v/>
      </c>
      <c r="M1665" s="361"/>
      <c r="N1665" s="355"/>
      <c r="O1665" s="355"/>
      <c r="P1665" s="355"/>
      <c r="Q1665" s="363"/>
      <c r="R1665" s="428">
        <f t="shared" si="73"/>
        <v>0</v>
      </c>
      <c r="S1665" s="428" t="e">
        <f>VLOOKUP(H1665,'Fund Utilization Report'!$A$4:$U$1800,13,FALSE)</f>
        <v>#N/A</v>
      </c>
      <c r="T1665" s="428" t="e">
        <f>VLOOKUP(H1665,'Fund Utilization Report'!$A$4:$U$1800,2,FALSE)</f>
        <v>#N/A</v>
      </c>
      <c r="U1665" s="428" t="e">
        <f>VLOOKUP(H1665,'Fund Utilization Report'!$A$4:$U$1800,3,FALSE)</f>
        <v>#N/A</v>
      </c>
      <c r="V1665" s="428" t="e">
        <f>VLOOKUP(H1665,'Fund Utilization Report'!$A$4:$U$1800,4,FALSE)</f>
        <v>#N/A</v>
      </c>
      <c r="W1665" s="428" t="e">
        <f>VLOOKUP(H1665,'Fund Utilization Report'!$A$4:$U$1800,5,FALSE)</f>
        <v>#N/A</v>
      </c>
      <c r="X1665" s="428" t="e">
        <f>VLOOKUP(H1665,'Fund Utilization Report'!$A$4:$U$1800,6,FALSE)</f>
        <v>#N/A</v>
      </c>
      <c r="Y1665" s="320" t="e">
        <f>VLOOKUP(H1665,'Fund Utilization Report'!$A$4:$U$1800,7,FALSE)</f>
        <v>#N/A</v>
      </c>
      <c r="Z1665" s="425" t="e">
        <f>VLOOKUP(H1665,'Fund Utilization Report'!$A$4:$U$1800,8,FALSE)</f>
        <v>#N/A</v>
      </c>
      <c r="AA1665" s="428" t="e">
        <f>VLOOKUP(H1665,'Fund Utilization Report'!$A$4:$U$1800,14,FALSE)</f>
        <v>#N/A</v>
      </c>
      <c r="AB1665" s="349" t="e">
        <f>VLOOKUP(H1665,'Fund Utilization Report'!$A$4:$U$1800,15,FALSE)</f>
        <v>#N/A</v>
      </c>
      <c r="AC1665" s="39"/>
      <c r="AD1665" s="34"/>
      <c r="AE1665" s="39"/>
      <c r="AF1665" s="51"/>
      <c r="AG1665" s="442"/>
      <c r="AH1665" s="442"/>
      <c r="AI1665" s="443"/>
    </row>
    <row r="1666" spans="1:35" s="32" customFormat="1">
      <c r="A1666" s="338"/>
      <c r="B1666" s="338"/>
      <c r="C1666" s="358"/>
      <c r="D1666" s="351"/>
      <c r="E1666" s="366"/>
      <c r="F1666" s="338"/>
      <c r="G1666" s="338"/>
      <c r="H1666" s="338"/>
      <c r="I1666" s="353"/>
      <c r="J1666" s="338" t="str">
        <f>IFERROR(VLOOKUP(I1666,'Chart of accounts'!A:H,2,FALSE),"")</f>
        <v/>
      </c>
      <c r="K1666" s="338" t="str">
        <f>IFERROR(VLOOKUP(I1666,'Chart of accounts'!A:H,3,FALSE),"")</f>
        <v/>
      </c>
      <c r="L1666" s="338" t="str">
        <f>IFERROR(VLOOKUP(I1666,'Chart of accounts'!A:H,4,FALSE),"")</f>
        <v/>
      </c>
      <c r="M1666" s="361"/>
      <c r="N1666" s="355"/>
      <c r="O1666" s="355"/>
      <c r="P1666" s="355"/>
      <c r="Q1666" s="363"/>
      <c r="R1666" s="428">
        <f t="shared" si="73"/>
        <v>0</v>
      </c>
      <c r="S1666" s="428" t="e">
        <f>VLOOKUP(H1666,'Fund Utilization Report'!$A$4:$U$1800,13,FALSE)</f>
        <v>#N/A</v>
      </c>
      <c r="T1666" s="428" t="e">
        <f>VLOOKUP(H1666,'Fund Utilization Report'!$A$4:$U$1800,2,FALSE)</f>
        <v>#N/A</v>
      </c>
      <c r="U1666" s="428" t="e">
        <f>VLOOKUP(H1666,'Fund Utilization Report'!$A$4:$U$1800,3,FALSE)</f>
        <v>#N/A</v>
      </c>
      <c r="V1666" s="428" t="e">
        <f>VLOOKUP(H1666,'Fund Utilization Report'!$A$4:$U$1800,4,FALSE)</f>
        <v>#N/A</v>
      </c>
      <c r="W1666" s="428" t="e">
        <f>VLOOKUP(H1666,'Fund Utilization Report'!$A$4:$U$1800,5,FALSE)</f>
        <v>#N/A</v>
      </c>
      <c r="X1666" s="428" t="e">
        <f>VLOOKUP(H1666,'Fund Utilization Report'!$A$4:$U$1800,6,FALSE)</f>
        <v>#N/A</v>
      </c>
      <c r="Y1666" s="320" t="e">
        <f>VLOOKUP(H1666,'Fund Utilization Report'!$A$4:$U$1800,7,FALSE)</f>
        <v>#N/A</v>
      </c>
      <c r="Z1666" s="425" t="e">
        <f>VLOOKUP(H1666,'Fund Utilization Report'!$A$4:$U$1800,8,FALSE)</f>
        <v>#N/A</v>
      </c>
      <c r="AA1666" s="428" t="e">
        <f>VLOOKUP(H1666,'Fund Utilization Report'!$A$4:$U$1800,14,FALSE)</f>
        <v>#N/A</v>
      </c>
      <c r="AB1666" s="349" t="e">
        <f>VLOOKUP(H1666,'Fund Utilization Report'!$A$4:$U$1800,15,FALSE)</f>
        <v>#N/A</v>
      </c>
      <c r="AC1666" s="39"/>
      <c r="AD1666" s="34"/>
      <c r="AE1666" s="39"/>
      <c r="AF1666" s="51"/>
      <c r="AG1666" s="442"/>
      <c r="AH1666" s="442"/>
      <c r="AI1666" s="443"/>
    </row>
    <row r="1667" spans="1:35" s="32" customFormat="1">
      <c r="A1667" s="338"/>
      <c r="B1667" s="338"/>
      <c r="C1667" s="358"/>
      <c r="D1667" s="351"/>
      <c r="E1667" s="366"/>
      <c r="F1667" s="338"/>
      <c r="G1667" s="338"/>
      <c r="H1667" s="338"/>
      <c r="I1667" s="353"/>
      <c r="J1667" s="338" t="str">
        <f>IFERROR(VLOOKUP(I1667,'Chart of accounts'!A:H,2,FALSE),"")</f>
        <v/>
      </c>
      <c r="K1667" s="338" t="str">
        <f>IFERROR(VLOOKUP(I1667,'Chart of accounts'!A:H,3,FALSE),"")</f>
        <v/>
      </c>
      <c r="L1667" s="338" t="str">
        <f>IFERROR(VLOOKUP(I1667,'Chart of accounts'!A:H,4,FALSE),"")</f>
        <v/>
      </c>
      <c r="M1667" s="361"/>
      <c r="N1667" s="355"/>
      <c r="O1667" s="355"/>
      <c r="P1667" s="355"/>
      <c r="Q1667" s="363"/>
      <c r="R1667" s="428">
        <f t="shared" si="73"/>
        <v>0</v>
      </c>
      <c r="S1667" s="428" t="e">
        <f>VLOOKUP(H1667,'Fund Utilization Report'!$A$4:$U$1800,13,FALSE)</f>
        <v>#N/A</v>
      </c>
      <c r="T1667" s="428" t="e">
        <f>VLOOKUP(H1667,'Fund Utilization Report'!$A$4:$U$1800,2,FALSE)</f>
        <v>#N/A</v>
      </c>
      <c r="U1667" s="428" t="e">
        <f>VLOOKUP(H1667,'Fund Utilization Report'!$A$4:$U$1800,3,FALSE)</f>
        <v>#N/A</v>
      </c>
      <c r="V1667" s="428" t="e">
        <f>VLOOKUP(H1667,'Fund Utilization Report'!$A$4:$U$1800,4,FALSE)</f>
        <v>#N/A</v>
      </c>
      <c r="W1667" s="428" t="e">
        <f>VLOOKUP(H1667,'Fund Utilization Report'!$A$4:$U$1800,5,FALSE)</f>
        <v>#N/A</v>
      </c>
      <c r="X1667" s="428" t="e">
        <f>VLOOKUP(H1667,'Fund Utilization Report'!$A$4:$U$1800,6,FALSE)</f>
        <v>#N/A</v>
      </c>
      <c r="Y1667" s="320" t="e">
        <f>VLOOKUP(H1667,'Fund Utilization Report'!$A$4:$U$1800,7,FALSE)</f>
        <v>#N/A</v>
      </c>
      <c r="Z1667" s="425" t="e">
        <f>VLOOKUP(H1667,'Fund Utilization Report'!$A$4:$U$1800,8,FALSE)</f>
        <v>#N/A</v>
      </c>
      <c r="AA1667" s="428" t="e">
        <f>VLOOKUP(H1667,'Fund Utilization Report'!$A$4:$U$1800,14,FALSE)</f>
        <v>#N/A</v>
      </c>
      <c r="AB1667" s="349" t="e">
        <f>VLOOKUP(H1667,'Fund Utilization Report'!$A$4:$U$1800,15,FALSE)</f>
        <v>#N/A</v>
      </c>
      <c r="AC1667" s="39"/>
      <c r="AD1667" s="34"/>
      <c r="AE1667" s="39"/>
      <c r="AF1667" s="51"/>
      <c r="AG1667" s="442"/>
      <c r="AH1667" s="442"/>
      <c r="AI1667" s="443"/>
    </row>
    <row r="1668" spans="1:35" s="32" customFormat="1">
      <c r="A1668" s="338"/>
      <c r="B1668" s="338"/>
      <c r="C1668" s="358"/>
      <c r="D1668" s="351"/>
      <c r="E1668" s="366"/>
      <c r="F1668" s="338"/>
      <c r="G1668" s="338"/>
      <c r="H1668" s="338"/>
      <c r="I1668" s="353"/>
      <c r="J1668" s="338" t="str">
        <f>IFERROR(VLOOKUP(I1668,'Chart of accounts'!A:H,2,FALSE),"")</f>
        <v/>
      </c>
      <c r="K1668" s="338" t="str">
        <f>IFERROR(VLOOKUP(I1668,'Chart of accounts'!A:H,3,FALSE),"")</f>
        <v/>
      </c>
      <c r="L1668" s="338" t="str">
        <f>IFERROR(VLOOKUP(I1668,'Chart of accounts'!A:H,4,FALSE),"")</f>
        <v/>
      </c>
      <c r="M1668" s="361"/>
      <c r="N1668" s="355"/>
      <c r="O1668" s="355"/>
      <c r="P1668" s="355"/>
      <c r="Q1668" s="363"/>
      <c r="R1668" s="428">
        <f t="shared" ref="R1668:R1678" si="74">P1668-Q1668</f>
        <v>0</v>
      </c>
      <c r="S1668" s="428" t="e">
        <f>VLOOKUP(H1668,'Fund Utilization Report'!$A$4:$U$1800,13,FALSE)</f>
        <v>#N/A</v>
      </c>
      <c r="T1668" s="428" t="e">
        <f>VLOOKUP(H1668,'Fund Utilization Report'!$A$4:$U$1800,2,FALSE)</f>
        <v>#N/A</v>
      </c>
      <c r="U1668" s="428" t="e">
        <f>VLOOKUP(H1668,'Fund Utilization Report'!$A$4:$U$1800,3,FALSE)</f>
        <v>#N/A</v>
      </c>
      <c r="V1668" s="428" t="e">
        <f>VLOOKUP(H1668,'Fund Utilization Report'!$A$4:$U$1800,4,FALSE)</f>
        <v>#N/A</v>
      </c>
      <c r="W1668" s="428" t="e">
        <f>VLOOKUP(H1668,'Fund Utilization Report'!$A$4:$U$1800,5,FALSE)</f>
        <v>#N/A</v>
      </c>
      <c r="X1668" s="428" t="e">
        <f>VLOOKUP(H1668,'Fund Utilization Report'!$A$4:$U$1800,6,FALSE)</f>
        <v>#N/A</v>
      </c>
      <c r="Y1668" s="320" t="e">
        <f>VLOOKUP(H1668,'Fund Utilization Report'!$A$4:$U$1800,7,FALSE)</f>
        <v>#N/A</v>
      </c>
      <c r="Z1668" s="425" t="e">
        <f>VLOOKUP(H1668,'Fund Utilization Report'!$A$4:$U$1800,8,FALSE)</f>
        <v>#N/A</v>
      </c>
      <c r="AA1668" s="428" t="e">
        <f>VLOOKUP(H1668,'Fund Utilization Report'!$A$4:$U$1800,14,FALSE)</f>
        <v>#N/A</v>
      </c>
      <c r="AB1668" s="349" t="e">
        <f>VLOOKUP(H1668,'Fund Utilization Report'!$A$4:$U$1800,15,FALSE)</f>
        <v>#N/A</v>
      </c>
      <c r="AC1668" s="39"/>
      <c r="AD1668" s="34"/>
      <c r="AE1668" s="39"/>
      <c r="AF1668" s="51"/>
      <c r="AG1668" s="442"/>
      <c r="AH1668" s="442"/>
      <c r="AI1668" s="443"/>
    </row>
    <row r="1669" spans="1:35" s="32" customFormat="1">
      <c r="A1669" s="338"/>
      <c r="B1669" s="338"/>
      <c r="C1669" s="358"/>
      <c r="D1669" s="351"/>
      <c r="E1669" s="366"/>
      <c r="F1669" s="338"/>
      <c r="G1669" s="338"/>
      <c r="H1669" s="338"/>
      <c r="I1669" s="353"/>
      <c r="J1669" s="338" t="str">
        <f>IFERROR(VLOOKUP(I1669,'Chart of accounts'!A:H,2,FALSE),"")</f>
        <v/>
      </c>
      <c r="K1669" s="338" t="str">
        <f>IFERROR(VLOOKUP(I1669,'Chart of accounts'!A:H,3,FALSE),"")</f>
        <v/>
      </c>
      <c r="L1669" s="338" t="str">
        <f>IFERROR(VLOOKUP(I1669,'Chart of accounts'!A:H,4,FALSE),"")</f>
        <v/>
      </c>
      <c r="M1669" s="361"/>
      <c r="N1669" s="355"/>
      <c r="O1669" s="355"/>
      <c r="P1669" s="355"/>
      <c r="Q1669" s="363"/>
      <c r="R1669" s="428">
        <f t="shared" si="74"/>
        <v>0</v>
      </c>
      <c r="S1669" s="428" t="e">
        <f>VLOOKUP(H1669,'Fund Utilization Report'!$A$4:$U$1800,13,FALSE)</f>
        <v>#N/A</v>
      </c>
      <c r="T1669" s="428" t="e">
        <f>VLOOKUP(H1669,'Fund Utilization Report'!$A$4:$U$1800,2,FALSE)</f>
        <v>#N/A</v>
      </c>
      <c r="U1669" s="428" t="e">
        <f>VLOOKUP(H1669,'Fund Utilization Report'!$A$4:$U$1800,3,FALSE)</f>
        <v>#N/A</v>
      </c>
      <c r="V1669" s="428" t="e">
        <f>VLOOKUP(H1669,'Fund Utilization Report'!$A$4:$U$1800,4,FALSE)</f>
        <v>#N/A</v>
      </c>
      <c r="W1669" s="428" t="e">
        <f>VLOOKUP(H1669,'Fund Utilization Report'!$A$4:$U$1800,5,FALSE)</f>
        <v>#N/A</v>
      </c>
      <c r="X1669" s="428" t="e">
        <f>VLOOKUP(H1669,'Fund Utilization Report'!$A$4:$U$1800,6,FALSE)</f>
        <v>#N/A</v>
      </c>
      <c r="Y1669" s="320" t="e">
        <f>VLOOKUP(H1669,'Fund Utilization Report'!$A$4:$U$1800,7,FALSE)</f>
        <v>#N/A</v>
      </c>
      <c r="Z1669" s="425" t="e">
        <f>VLOOKUP(H1669,'Fund Utilization Report'!$A$4:$U$1800,8,FALSE)</f>
        <v>#N/A</v>
      </c>
      <c r="AA1669" s="428" t="e">
        <f>VLOOKUP(H1669,'Fund Utilization Report'!$A$4:$U$1800,14,FALSE)</f>
        <v>#N/A</v>
      </c>
      <c r="AB1669" s="349" t="e">
        <f>VLOOKUP(H1669,'Fund Utilization Report'!$A$4:$U$1800,15,FALSE)</f>
        <v>#N/A</v>
      </c>
      <c r="AC1669" s="39"/>
      <c r="AD1669" s="34"/>
      <c r="AE1669" s="39"/>
      <c r="AF1669" s="51"/>
      <c r="AG1669" s="442"/>
      <c r="AH1669" s="442"/>
      <c r="AI1669" s="443"/>
    </row>
    <row r="1670" spans="1:35" s="32" customFormat="1">
      <c r="A1670" s="338"/>
      <c r="B1670" s="338"/>
      <c r="C1670" s="358"/>
      <c r="D1670" s="351"/>
      <c r="E1670" s="366"/>
      <c r="F1670" s="338"/>
      <c r="G1670" s="338"/>
      <c r="H1670" s="338"/>
      <c r="I1670" s="353"/>
      <c r="J1670" s="338" t="str">
        <f>IFERROR(VLOOKUP(I1670,'Chart of accounts'!A:H,2,FALSE),"")</f>
        <v/>
      </c>
      <c r="K1670" s="338" t="str">
        <f>IFERROR(VLOOKUP(I1670,'Chart of accounts'!A:H,3,FALSE),"")</f>
        <v/>
      </c>
      <c r="L1670" s="338" t="str">
        <f>IFERROR(VLOOKUP(I1670,'Chart of accounts'!A:H,4,FALSE),"")</f>
        <v/>
      </c>
      <c r="M1670" s="361"/>
      <c r="N1670" s="355"/>
      <c r="O1670" s="355"/>
      <c r="P1670" s="355"/>
      <c r="Q1670" s="363"/>
      <c r="R1670" s="428">
        <f t="shared" si="74"/>
        <v>0</v>
      </c>
      <c r="S1670" s="428" t="e">
        <f>VLOOKUP(H1670,'Fund Utilization Report'!$A$4:$U$1800,13,FALSE)</f>
        <v>#N/A</v>
      </c>
      <c r="T1670" s="428" t="e">
        <f>VLOOKUP(H1670,'Fund Utilization Report'!$A$4:$U$1800,2,FALSE)</f>
        <v>#N/A</v>
      </c>
      <c r="U1670" s="428" t="e">
        <f>VLOOKUP(H1670,'Fund Utilization Report'!$A$4:$U$1800,3,FALSE)</f>
        <v>#N/A</v>
      </c>
      <c r="V1670" s="428" t="e">
        <f>VLOOKUP(H1670,'Fund Utilization Report'!$A$4:$U$1800,4,FALSE)</f>
        <v>#N/A</v>
      </c>
      <c r="W1670" s="428" t="e">
        <f>VLOOKUP(H1670,'Fund Utilization Report'!$A$4:$U$1800,5,FALSE)</f>
        <v>#N/A</v>
      </c>
      <c r="X1670" s="428" t="e">
        <f>VLOOKUP(H1670,'Fund Utilization Report'!$A$4:$U$1800,6,FALSE)</f>
        <v>#N/A</v>
      </c>
      <c r="Y1670" s="320" t="e">
        <f>VLOOKUP(H1670,'Fund Utilization Report'!$A$4:$U$1800,7,FALSE)</f>
        <v>#N/A</v>
      </c>
      <c r="Z1670" s="425" t="e">
        <f>VLOOKUP(H1670,'Fund Utilization Report'!$A$4:$U$1800,8,FALSE)</f>
        <v>#N/A</v>
      </c>
      <c r="AA1670" s="428" t="e">
        <f>VLOOKUP(H1670,'Fund Utilization Report'!$A$4:$U$1800,14,FALSE)</f>
        <v>#N/A</v>
      </c>
      <c r="AB1670" s="349" t="e">
        <f>VLOOKUP(H1670,'Fund Utilization Report'!$A$4:$U$1800,15,FALSE)</f>
        <v>#N/A</v>
      </c>
      <c r="AC1670" s="39"/>
      <c r="AD1670" s="34"/>
      <c r="AE1670" s="39"/>
      <c r="AF1670" s="51"/>
      <c r="AG1670" s="442"/>
      <c r="AH1670" s="442"/>
      <c r="AI1670" s="443"/>
    </row>
    <row r="1671" spans="1:35" s="32" customFormat="1">
      <c r="A1671" s="338"/>
      <c r="B1671" s="338"/>
      <c r="C1671" s="358"/>
      <c r="D1671" s="351"/>
      <c r="E1671" s="366"/>
      <c r="F1671" s="338"/>
      <c r="G1671" s="338"/>
      <c r="H1671" s="338"/>
      <c r="I1671" s="353"/>
      <c r="J1671" s="338" t="str">
        <f>IFERROR(VLOOKUP(I1671,'Chart of accounts'!A:H,2,FALSE),"")</f>
        <v/>
      </c>
      <c r="K1671" s="338" t="str">
        <f>IFERROR(VLOOKUP(I1671,'Chart of accounts'!A:H,3,FALSE),"")</f>
        <v/>
      </c>
      <c r="L1671" s="338" t="str">
        <f>IFERROR(VLOOKUP(I1671,'Chart of accounts'!A:H,4,FALSE),"")</f>
        <v/>
      </c>
      <c r="M1671" s="361"/>
      <c r="N1671" s="355"/>
      <c r="O1671" s="355"/>
      <c r="P1671" s="355"/>
      <c r="Q1671" s="363"/>
      <c r="R1671" s="428">
        <f t="shared" si="74"/>
        <v>0</v>
      </c>
      <c r="S1671" s="428" t="e">
        <f>VLOOKUP(H1671,'Fund Utilization Report'!$A$4:$U$1800,13,FALSE)</f>
        <v>#N/A</v>
      </c>
      <c r="T1671" s="428" t="e">
        <f>VLOOKUP(H1671,'Fund Utilization Report'!$A$4:$U$1800,2,FALSE)</f>
        <v>#N/A</v>
      </c>
      <c r="U1671" s="428" t="e">
        <f>VLOOKUP(H1671,'Fund Utilization Report'!$A$4:$U$1800,3,FALSE)</f>
        <v>#N/A</v>
      </c>
      <c r="V1671" s="428" t="e">
        <f>VLOOKUP(H1671,'Fund Utilization Report'!$A$4:$U$1800,4,FALSE)</f>
        <v>#N/A</v>
      </c>
      <c r="W1671" s="428" t="e">
        <f>VLOOKUP(H1671,'Fund Utilization Report'!$A$4:$U$1800,5,FALSE)</f>
        <v>#N/A</v>
      </c>
      <c r="X1671" s="428" t="e">
        <f>VLOOKUP(H1671,'Fund Utilization Report'!$A$4:$U$1800,6,FALSE)</f>
        <v>#N/A</v>
      </c>
      <c r="Y1671" s="320" t="e">
        <f>VLOOKUP(H1671,'Fund Utilization Report'!$A$4:$U$1800,7,FALSE)</f>
        <v>#N/A</v>
      </c>
      <c r="Z1671" s="425" t="e">
        <f>VLOOKUP(H1671,'Fund Utilization Report'!$A$4:$U$1800,8,FALSE)</f>
        <v>#N/A</v>
      </c>
      <c r="AA1671" s="428" t="e">
        <f>VLOOKUP(H1671,'Fund Utilization Report'!$A$4:$U$1800,14,FALSE)</f>
        <v>#N/A</v>
      </c>
      <c r="AB1671" s="349" t="e">
        <f>VLOOKUP(H1671,'Fund Utilization Report'!$A$4:$U$1800,15,FALSE)</f>
        <v>#N/A</v>
      </c>
      <c r="AC1671" s="39"/>
      <c r="AD1671" s="34"/>
      <c r="AE1671" s="39"/>
      <c r="AF1671" s="51"/>
      <c r="AG1671" s="442"/>
      <c r="AH1671" s="442"/>
      <c r="AI1671" s="443"/>
    </row>
    <row r="1672" spans="1:35" s="32" customFormat="1">
      <c r="A1672" s="338"/>
      <c r="B1672" s="338"/>
      <c r="C1672" s="358"/>
      <c r="D1672" s="351"/>
      <c r="E1672" s="366"/>
      <c r="F1672" s="338"/>
      <c r="G1672" s="338"/>
      <c r="H1672" s="338"/>
      <c r="I1672" s="353"/>
      <c r="J1672" s="338" t="str">
        <f>IFERROR(VLOOKUP(I1672,'Chart of accounts'!A:H,2,FALSE),"")</f>
        <v/>
      </c>
      <c r="K1672" s="338" t="str">
        <f>IFERROR(VLOOKUP(I1672,'Chart of accounts'!A:H,3,FALSE),"")</f>
        <v/>
      </c>
      <c r="L1672" s="338" t="str">
        <f>IFERROR(VLOOKUP(I1672,'Chart of accounts'!A:H,4,FALSE),"")</f>
        <v/>
      </c>
      <c r="M1672" s="361"/>
      <c r="N1672" s="355"/>
      <c r="O1672" s="355"/>
      <c r="P1672" s="355"/>
      <c r="Q1672" s="363"/>
      <c r="R1672" s="428">
        <f t="shared" si="74"/>
        <v>0</v>
      </c>
      <c r="S1672" s="428" t="e">
        <f>VLOOKUP(H1672,'Fund Utilization Report'!$A$4:$U$1800,13,FALSE)</f>
        <v>#N/A</v>
      </c>
      <c r="T1672" s="428" t="e">
        <f>VLOOKUP(H1672,'Fund Utilization Report'!$A$4:$U$1800,2,FALSE)</f>
        <v>#N/A</v>
      </c>
      <c r="U1672" s="428" t="e">
        <f>VLOOKUP(H1672,'Fund Utilization Report'!$A$4:$U$1800,3,FALSE)</f>
        <v>#N/A</v>
      </c>
      <c r="V1672" s="428" t="e">
        <f>VLOOKUP(H1672,'Fund Utilization Report'!$A$4:$U$1800,4,FALSE)</f>
        <v>#N/A</v>
      </c>
      <c r="W1672" s="428" t="e">
        <f>VLOOKUP(H1672,'Fund Utilization Report'!$A$4:$U$1800,5,FALSE)</f>
        <v>#N/A</v>
      </c>
      <c r="X1672" s="428" t="e">
        <f>VLOOKUP(H1672,'Fund Utilization Report'!$A$4:$U$1800,6,FALSE)</f>
        <v>#N/A</v>
      </c>
      <c r="Y1672" s="320" t="e">
        <f>VLOOKUP(H1672,'Fund Utilization Report'!$A$4:$U$1800,7,FALSE)</f>
        <v>#N/A</v>
      </c>
      <c r="Z1672" s="425" t="e">
        <f>VLOOKUP(H1672,'Fund Utilization Report'!$A$4:$U$1800,8,FALSE)</f>
        <v>#N/A</v>
      </c>
      <c r="AA1672" s="428" t="e">
        <f>VLOOKUP(H1672,'Fund Utilization Report'!$A$4:$U$1800,14,FALSE)</f>
        <v>#N/A</v>
      </c>
      <c r="AB1672" s="349" t="e">
        <f>VLOOKUP(H1672,'Fund Utilization Report'!$A$4:$U$1800,15,FALSE)</f>
        <v>#N/A</v>
      </c>
      <c r="AC1672" s="39"/>
      <c r="AD1672" s="34"/>
      <c r="AE1672" s="39"/>
      <c r="AF1672" s="51"/>
      <c r="AG1672" s="442"/>
      <c r="AH1672" s="442"/>
      <c r="AI1672" s="443"/>
    </row>
    <row r="1673" spans="1:35" s="32" customFormat="1">
      <c r="A1673" s="338"/>
      <c r="B1673" s="338"/>
      <c r="C1673" s="358"/>
      <c r="D1673" s="351"/>
      <c r="E1673" s="366"/>
      <c r="F1673" s="338"/>
      <c r="G1673" s="338"/>
      <c r="H1673" s="338"/>
      <c r="I1673" s="353"/>
      <c r="J1673" s="338" t="str">
        <f>IFERROR(VLOOKUP(I1673,'Chart of accounts'!A:H,2,FALSE),"")</f>
        <v/>
      </c>
      <c r="K1673" s="338" t="str">
        <f>IFERROR(VLOOKUP(I1673,'Chart of accounts'!A:H,3,FALSE),"")</f>
        <v/>
      </c>
      <c r="L1673" s="338" t="str">
        <f>IFERROR(VLOOKUP(I1673,'Chart of accounts'!A:H,4,FALSE),"")</f>
        <v/>
      </c>
      <c r="M1673" s="361"/>
      <c r="N1673" s="355"/>
      <c r="O1673" s="355"/>
      <c r="P1673" s="355"/>
      <c r="Q1673" s="363"/>
      <c r="R1673" s="428">
        <f t="shared" si="74"/>
        <v>0</v>
      </c>
      <c r="S1673" s="428" t="e">
        <f>VLOOKUP(H1673,'Fund Utilization Report'!$A$4:$U$1800,13,FALSE)</f>
        <v>#N/A</v>
      </c>
      <c r="T1673" s="428" t="e">
        <f>VLOOKUP(H1673,'Fund Utilization Report'!$A$4:$U$1800,2,FALSE)</f>
        <v>#N/A</v>
      </c>
      <c r="U1673" s="428" t="e">
        <f>VLOOKUP(H1673,'Fund Utilization Report'!$A$4:$U$1800,3,FALSE)</f>
        <v>#N/A</v>
      </c>
      <c r="V1673" s="428" t="e">
        <f>VLOOKUP(H1673,'Fund Utilization Report'!$A$4:$U$1800,4,FALSE)</f>
        <v>#N/A</v>
      </c>
      <c r="W1673" s="428" t="e">
        <f>VLOOKUP(H1673,'Fund Utilization Report'!$A$4:$U$1800,5,FALSE)</f>
        <v>#N/A</v>
      </c>
      <c r="X1673" s="428" t="e">
        <f>VLOOKUP(H1673,'Fund Utilization Report'!$A$4:$U$1800,6,FALSE)</f>
        <v>#N/A</v>
      </c>
      <c r="Y1673" s="320" t="e">
        <f>VLOOKUP(H1673,'Fund Utilization Report'!$A$4:$U$1800,7,FALSE)</f>
        <v>#N/A</v>
      </c>
      <c r="Z1673" s="425" t="e">
        <f>VLOOKUP(H1673,'Fund Utilization Report'!$A$4:$U$1800,8,FALSE)</f>
        <v>#N/A</v>
      </c>
      <c r="AA1673" s="428" t="e">
        <f>VLOOKUP(H1673,'Fund Utilization Report'!$A$4:$U$1800,14,FALSE)</f>
        <v>#N/A</v>
      </c>
      <c r="AB1673" s="349" t="e">
        <f>VLOOKUP(H1673,'Fund Utilization Report'!$A$4:$U$1800,15,FALSE)</f>
        <v>#N/A</v>
      </c>
      <c r="AC1673" s="39"/>
      <c r="AD1673" s="34"/>
      <c r="AE1673" s="39"/>
      <c r="AF1673" s="51"/>
      <c r="AG1673" s="442"/>
      <c r="AH1673" s="442"/>
      <c r="AI1673" s="443"/>
    </row>
    <row r="1674" spans="1:35" s="32" customFormat="1">
      <c r="A1674" s="338"/>
      <c r="B1674" s="338"/>
      <c r="C1674" s="358"/>
      <c r="D1674" s="351"/>
      <c r="E1674" s="366"/>
      <c r="F1674" s="338"/>
      <c r="G1674" s="338"/>
      <c r="H1674" s="338"/>
      <c r="I1674" s="353"/>
      <c r="J1674" s="338" t="str">
        <f>IFERROR(VLOOKUP(I1674,'Chart of accounts'!A:H,2,FALSE),"")</f>
        <v/>
      </c>
      <c r="K1674" s="338" t="str">
        <f>IFERROR(VLOOKUP(I1674,'Chart of accounts'!A:H,3,FALSE),"")</f>
        <v/>
      </c>
      <c r="L1674" s="338" t="str">
        <f>IFERROR(VLOOKUP(I1674,'Chart of accounts'!A:H,4,FALSE),"")</f>
        <v/>
      </c>
      <c r="M1674" s="361"/>
      <c r="N1674" s="355"/>
      <c r="O1674" s="355"/>
      <c r="P1674" s="355"/>
      <c r="Q1674" s="363"/>
      <c r="R1674" s="428">
        <f t="shared" si="74"/>
        <v>0</v>
      </c>
      <c r="S1674" s="428" t="e">
        <f>VLOOKUP(H1674,'Fund Utilization Report'!$A$4:$U$1800,13,FALSE)</f>
        <v>#N/A</v>
      </c>
      <c r="T1674" s="428" t="e">
        <f>VLOOKUP(H1674,'Fund Utilization Report'!$A$4:$U$1800,2,FALSE)</f>
        <v>#N/A</v>
      </c>
      <c r="U1674" s="428" t="e">
        <f>VLOOKUP(H1674,'Fund Utilization Report'!$A$4:$U$1800,3,FALSE)</f>
        <v>#N/A</v>
      </c>
      <c r="V1674" s="428" t="e">
        <f>VLOOKUP(H1674,'Fund Utilization Report'!$A$4:$U$1800,4,FALSE)</f>
        <v>#N/A</v>
      </c>
      <c r="W1674" s="428" t="e">
        <f>VLOOKUP(H1674,'Fund Utilization Report'!$A$4:$U$1800,5,FALSE)</f>
        <v>#N/A</v>
      </c>
      <c r="X1674" s="428" t="e">
        <f>VLOOKUP(H1674,'Fund Utilization Report'!$A$4:$U$1800,6,FALSE)</f>
        <v>#N/A</v>
      </c>
      <c r="Y1674" s="320" t="e">
        <f>VLOOKUP(H1674,'Fund Utilization Report'!$A$4:$U$1800,7,FALSE)</f>
        <v>#N/A</v>
      </c>
      <c r="Z1674" s="425" t="e">
        <f>VLOOKUP(H1674,'Fund Utilization Report'!$A$4:$U$1800,8,FALSE)</f>
        <v>#N/A</v>
      </c>
      <c r="AA1674" s="428" t="e">
        <f>VLOOKUP(H1674,'Fund Utilization Report'!$A$4:$U$1800,14,FALSE)</f>
        <v>#N/A</v>
      </c>
      <c r="AB1674" s="349" t="e">
        <f>VLOOKUP(H1674,'Fund Utilization Report'!$A$4:$U$1800,15,FALSE)</f>
        <v>#N/A</v>
      </c>
      <c r="AC1674" s="39"/>
      <c r="AD1674" s="34"/>
      <c r="AE1674" s="39"/>
      <c r="AF1674" s="51"/>
      <c r="AG1674" s="442"/>
      <c r="AH1674" s="442"/>
      <c r="AI1674" s="443"/>
    </row>
    <row r="1675" spans="1:35" s="32" customFormat="1">
      <c r="A1675" s="338"/>
      <c r="B1675" s="338"/>
      <c r="C1675" s="358"/>
      <c r="D1675" s="351"/>
      <c r="E1675" s="366"/>
      <c r="F1675" s="338"/>
      <c r="G1675" s="338"/>
      <c r="H1675" s="338"/>
      <c r="I1675" s="353"/>
      <c r="J1675" s="338" t="str">
        <f>IFERROR(VLOOKUP(I1675,'Chart of accounts'!A:H,2,FALSE),"")</f>
        <v/>
      </c>
      <c r="K1675" s="338" t="str">
        <f>IFERROR(VLOOKUP(I1675,'Chart of accounts'!A:H,3,FALSE),"")</f>
        <v/>
      </c>
      <c r="L1675" s="338" t="str">
        <f>IFERROR(VLOOKUP(I1675,'Chart of accounts'!A:H,4,FALSE),"")</f>
        <v/>
      </c>
      <c r="M1675" s="361"/>
      <c r="N1675" s="355"/>
      <c r="O1675" s="355"/>
      <c r="P1675" s="355"/>
      <c r="Q1675" s="363"/>
      <c r="R1675" s="428">
        <f t="shared" si="74"/>
        <v>0</v>
      </c>
      <c r="S1675" s="428" t="e">
        <f>VLOOKUP(H1675,'Fund Utilization Report'!$A$4:$U$1800,13,FALSE)</f>
        <v>#N/A</v>
      </c>
      <c r="T1675" s="428" t="e">
        <f>VLOOKUP(H1675,'Fund Utilization Report'!$A$4:$U$1800,2,FALSE)</f>
        <v>#N/A</v>
      </c>
      <c r="U1675" s="428" t="e">
        <f>VLOOKUP(H1675,'Fund Utilization Report'!$A$4:$U$1800,3,FALSE)</f>
        <v>#N/A</v>
      </c>
      <c r="V1675" s="428" t="e">
        <f>VLOOKUP(H1675,'Fund Utilization Report'!$A$4:$U$1800,4,FALSE)</f>
        <v>#N/A</v>
      </c>
      <c r="W1675" s="428" t="e">
        <f>VLOOKUP(H1675,'Fund Utilization Report'!$A$4:$U$1800,5,FALSE)</f>
        <v>#N/A</v>
      </c>
      <c r="X1675" s="428" t="e">
        <f>VLOOKUP(H1675,'Fund Utilization Report'!$A$4:$U$1800,6,FALSE)</f>
        <v>#N/A</v>
      </c>
      <c r="Y1675" s="320" t="e">
        <f>VLOOKUP(H1675,'Fund Utilization Report'!$A$4:$U$1800,7,FALSE)</f>
        <v>#N/A</v>
      </c>
      <c r="Z1675" s="425" t="e">
        <f>VLOOKUP(H1675,'Fund Utilization Report'!$A$4:$U$1800,8,FALSE)</f>
        <v>#N/A</v>
      </c>
      <c r="AA1675" s="428" t="e">
        <f>VLOOKUP(H1675,'Fund Utilization Report'!$A$4:$U$1800,14,FALSE)</f>
        <v>#N/A</v>
      </c>
      <c r="AB1675" s="349" t="e">
        <f>VLOOKUP(H1675,'Fund Utilization Report'!$A$4:$U$1800,15,FALSE)</f>
        <v>#N/A</v>
      </c>
      <c r="AC1675" s="39"/>
      <c r="AD1675" s="34"/>
      <c r="AE1675" s="39"/>
      <c r="AF1675" s="51"/>
      <c r="AG1675" s="442"/>
      <c r="AH1675" s="442"/>
      <c r="AI1675" s="443"/>
    </row>
    <row r="1676" spans="1:35" s="32" customFormat="1">
      <c r="A1676" s="338"/>
      <c r="B1676" s="338"/>
      <c r="C1676" s="358"/>
      <c r="D1676" s="351"/>
      <c r="E1676" s="366"/>
      <c r="F1676" s="338"/>
      <c r="G1676" s="338"/>
      <c r="H1676" s="338"/>
      <c r="I1676" s="353"/>
      <c r="J1676" s="338" t="str">
        <f>IFERROR(VLOOKUP(I1676,'Chart of accounts'!A:H,2,FALSE),"")</f>
        <v/>
      </c>
      <c r="K1676" s="338" t="str">
        <f>IFERROR(VLOOKUP(I1676,'Chart of accounts'!A:H,3,FALSE),"")</f>
        <v/>
      </c>
      <c r="L1676" s="338" t="str">
        <f>IFERROR(VLOOKUP(I1676,'Chart of accounts'!A:H,4,FALSE),"")</f>
        <v/>
      </c>
      <c r="M1676" s="361"/>
      <c r="N1676" s="355"/>
      <c r="O1676" s="355"/>
      <c r="P1676" s="355"/>
      <c r="Q1676" s="363"/>
      <c r="R1676" s="428">
        <f t="shared" si="74"/>
        <v>0</v>
      </c>
      <c r="S1676" s="428" t="e">
        <f>VLOOKUP(H1676,'Fund Utilization Report'!$A$4:$U$1800,13,FALSE)</f>
        <v>#N/A</v>
      </c>
      <c r="T1676" s="428" t="e">
        <f>VLOOKUP(H1676,'Fund Utilization Report'!$A$4:$U$1800,2,FALSE)</f>
        <v>#N/A</v>
      </c>
      <c r="U1676" s="428" t="e">
        <f>VLOOKUP(H1676,'Fund Utilization Report'!$A$4:$U$1800,3,FALSE)</f>
        <v>#N/A</v>
      </c>
      <c r="V1676" s="428" t="e">
        <f>VLOOKUP(H1676,'Fund Utilization Report'!$A$4:$U$1800,4,FALSE)</f>
        <v>#N/A</v>
      </c>
      <c r="W1676" s="428" t="e">
        <f>VLOOKUP(H1676,'Fund Utilization Report'!$A$4:$U$1800,5,FALSE)</f>
        <v>#N/A</v>
      </c>
      <c r="X1676" s="428" t="e">
        <f>VLOOKUP(H1676,'Fund Utilization Report'!$A$4:$U$1800,6,FALSE)</f>
        <v>#N/A</v>
      </c>
      <c r="Y1676" s="320" t="e">
        <f>VLOOKUP(H1676,'Fund Utilization Report'!$A$4:$U$1800,7,FALSE)</f>
        <v>#N/A</v>
      </c>
      <c r="Z1676" s="425" t="e">
        <f>VLOOKUP(H1676,'Fund Utilization Report'!$A$4:$U$1800,8,FALSE)</f>
        <v>#N/A</v>
      </c>
      <c r="AA1676" s="428" t="e">
        <f>VLOOKUP(H1676,'Fund Utilization Report'!$A$4:$U$1800,14,FALSE)</f>
        <v>#N/A</v>
      </c>
      <c r="AB1676" s="349" t="e">
        <f>VLOOKUP(H1676,'Fund Utilization Report'!$A$4:$U$1800,15,FALSE)</f>
        <v>#N/A</v>
      </c>
      <c r="AC1676" s="39"/>
      <c r="AD1676" s="34"/>
      <c r="AE1676" s="39"/>
      <c r="AF1676" s="51"/>
      <c r="AG1676" s="442"/>
      <c r="AH1676" s="442"/>
      <c r="AI1676" s="443"/>
    </row>
    <row r="1677" spans="1:35" s="32" customFormat="1">
      <c r="A1677" s="338"/>
      <c r="B1677" s="338"/>
      <c r="C1677" s="358"/>
      <c r="D1677" s="351"/>
      <c r="E1677" s="366"/>
      <c r="F1677" s="338"/>
      <c r="G1677" s="338"/>
      <c r="H1677" s="338"/>
      <c r="I1677" s="353"/>
      <c r="J1677" s="338" t="str">
        <f>IFERROR(VLOOKUP(I1677,'Chart of accounts'!A:H,2,FALSE),"")</f>
        <v/>
      </c>
      <c r="K1677" s="338" t="str">
        <f>IFERROR(VLOOKUP(I1677,'Chart of accounts'!A:H,3,FALSE),"")</f>
        <v/>
      </c>
      <c r="L1677" s="338" t="str">
        <f>IFERROR(VLOOKUP(I1677,'Chart of accounts'!A:H,4,FALSE),"")</f>
        <v/>
      </c>
      <c r="M1677" s="361"/>
      <c r="N1677" s="355"/>
      <c r="O1677" s="355"/>
      <c r="P1677" s="355"/>
      <c r="Q1677" s="363"/>
      <c r="R1677" s="428">
        <f t="shared" si="74"/>
        <v>0</v>
      </c>
      <c r="S1677" s="428" t="e">
        <f>VLOOKUP(H1677,'Fund Utilization Report'!$A$4:$U$1800,13,FALSE)</f>
        <v>#N/A</v>
      </c>
      <c r="T1677" s="428" t="e">
        <f>VLOOKUP(H1677,'Fund Utilization Report'!$A$4:$U$1800,2,FALSE)</f>
        <v>#N/A</v>
      </c>
      <c r="U1677" s="428" t="e">
        <f>VLOOKUP(H1677,'Fund Utilization Report'!$A$4:$U$1800,3,FALSE)</f>
        <v>#N/A</v>
      </c>
      <c r="V1677" s="428" t="e">
        <f>VLOOKUP(H1677,'Fund Utilization Report'!$A$4:$U$1800,4,FALSE)</f>
        <v>#N/A</v>
      </c>
      <c r="W1677" s="428" t="e">
        <f>VLOOKUP(H1677,'Fund Utilization Report'!$A$4:$U$1800,5,FALSE)</f>
        <v>#N/A</v>
      </c>
      <c r="X1677" s="428" t="e">
        <f>VLOOKUP(H1677,'Fund Utilization Report'!$A$4:$U$1800,6,FALSE)</f>
        <v>#N/A</v>
      </c>
      <c r="Y1677" s="320" t="e">
        <f>VLOOKUP(H1677,'Fund Utilization Report'!$A$4:$U$1800,7,FALSE)</f>
        <v>#N/A</v>
      </c>
      <c r="Z1677" s="425" t="e">
        <f>VLOOKUP(H1677,'Fund Utilization Report'!$A$4:$U$1800,8,FALSE)</f>
        <v>#N/A</v>
      </c>
      <c r="AA1677" s="428" t="e">
        <f>VLOOKUP(H1677,'Fund Utilization Report'!$A$4:$U$1800,14,FALSE)</f>
        <v>#N/A</v>
      </c>
      <c r="AB1677" s="349" t="e">
        <f>VLOOKUP(H1677,'Fund Utilization Report'!$A$4:$U$1800,15,FALSE)</f>
        <v>#N/A</v>
      </c>
      <c r="AC1677" s="39"/>
      <c r="AD1677" s="34"/>
      <c r="AE1677" s="39"/>
      <c r="AF1677" s="51"/>
      <c r="AG1677" s="442"/>
      <c r="AH1677" s="442"/>
      <c r="AI1677" s="443"/>
    </row>
    <row r="1678" spans="1:35" s="32" customFormat="1">
      <c r="A1678" s="338"/>
      <c r="B1678" s="338"/>
      <c r="C1678" s="358"/>
      <c r="D1678" s="351"/>
      <c r="E1678" s="366"/>
      <c r="F1678" s="338"/>
      <c r="G1678" s="338"/>
      <c r="H1678" s="338"/>
      <c r="I1678" s="353"/>
      <c r="J1678" s="338" t="str">
        <f>IFERROR(VLOOKUP(I1678,'Chart of accounts'!A:H,2,FALSE),"")</f>
        <v/>
      </c>
      <c r="K1678" s="338" t="str">
        <f>IFERROR(VLOOKUP(I1678,'Chart of accounts'!A:H,3,FALSE),"")</f>
        <v/>
      </c>
      <c r="L1678" s="338" t="str">
        <f>IFERROR(VLOOKUP(I1678,'Chart of accounts'!A:H,4,FALSE),"")</f>
        <v/>
      </c>
      <c r="M1678" s="361"/>
      <c r="N1678" s="355"/>
      <c r="O1678" s="355"/>
      <c r="P1678" s="355"/>
      <c r="Q1678" s="363"/>
      <c r="R1678" s="428">
        <f t="shared" si="74"/>
        <v>0</v>
      </c>
      <c r="S1678" s="428" t="e">
        <f>VLOOKUP(H1678,'Fund Utilization Report'!$A$4:$U$1800,13,FALSE)</f>
        <v>#N/A</v>
      </c>
      <c r="T1678" s="428" t="e">
        <f>VLOOKUP(H1678,'Fund Utilization Report'!$A$4:$U$1800,2,FALSE)</f>
        <v>#N/A</v>
      </c>
      <c r="U1678" s="428" t="e">
        <f>VLOOKUP(H1678,'Fund Utilization Report'!$A$4:$U$1800,3,FALSE)</f>
        <v>#N/A</v>
      </c>
      <c r="V1678" s="428" t="e">
        <f>VLOOKUP(H1678,'Fund Utilization Report'!$A$4:$U$1800,4,FALSE)</f>
        <v>#N/A</v>
      </c>
      <c r="W1678" s="428" t="e">
        <f>VLOOKUP(H1678,'Fund Utilization Report'!$A$4:$U$1800,5,FALSE)</f>
        <v>#N/A</v>
      </c>
      <c r="X1678" s="428" t="e">
        <f>VLOOKUP(H1678,'Fund Utilization Report'!$A$4:$U$1800,6,FALSE)</f>
        <v>#N/A</v>
      </c>
      <c r="Y1678" s="320" t="e">
        <f>VLOOKUP(H1678,'Fund Utilization Report'!$A$4:$U$1800,7,FALSE)</f>
        <v>#N/A</v>
      </c>
      <c r="Z1678" s="425" t="e">
        <f>VLOOKUP(H1678,'Fund Utilization Report'!$A$4:$U$1800,8,FALSE)</f>
        <v>#N/A</v>
      </c>
      <c r="AA1678" s="428" t="e">
        <f>VLOOKUP(H1678,'Fund Utilization Report'!$A$4:$U$1800,14,FALSE)</f>
        <v>#N/A</v>
      </c>
      <c r="AB1678" s="349" t="e">
        <f>VLOOKUP(H1678,'Fund Utilization Report'!$A$4:$U$1800,15,FALSE)</f>
        <v>#N/A</v>
      </c>
      <c r="AC1678" s="39"/>
      <c r="AD1678" s="34"/>
      <c r="AE1678" s="39"/>
      <c r="AF1678" s="51"/>
      <c r="AG1678" s="442"/>
      <c r="AH1678" s="442"/>
      <c r="AI1678" s="443"/>
    </row>
    <row r="1679" spans="1:35" s="32" customFormat="1">
      <c r="A1679" s="338"/>
      <c r="B1679" s="338"/>
      <c r="C1679" s="358"/>
      <c r="D1679" s="351"/>
      <c r="E1679" s="366"/>
      <c r="F1679" s="338"/>
      <c r="G1679" s="338"/>
      <c r="H1679" s="338"/>
      <c r="I1679" s="353"/>
      <c r="J1679" s="338" t="str">
        <f>IFERROR(VLOOKUP(I1679,'Chart of accounts'!A:H,2,FALSE),"")</f>
        <v/>
      </c>
      <c r="K1679" s="338" t="str">
        <f>IFERROR(VLOOKUP(I1679,'Chart of accounts'!A:H,3,FALSE),"")</f>
        <v/>
      </c>
      <c r="L1679" s="338" t="str">
        <f>IFERROR(VLOOKUP(I1679,'Chart of accounts'!A:H,4,FALSE),"")</f>
        <v/>
      </c>
      <c r="M1679" s="361"/>
      <c r="N1679" s="355"/>
      <c r="O1679" s="355"/>
      <c r="P1679" s="355"/>
      <c r="Q1679" s="363"/>
      <c r="R1679" s="428">
        <f t="shared" ref="R1679:R1694" si="75">P1679-Q1679</f>
        <v>0</v>
      </c>
      <c r="S1679" s="428" t="e">
        <f>VLOOKUP(H1679,'Fund Utilization Report'!$A$4:$U$1800,13,FALSE)</f>
        <v>#N/A</v>
      </c>
      <c r="T1679" s="428" t="e">
        <f>VLOOKUP(H1679,'Fund Utilization Report'!$A$4:$U$1800,2,FALSE)</f>
        <v>#N/A</v>
      </c>
      <c r="U1679" s="428" t="e">
        <f>VLOOKUP(H1679,'Fund Utilization Report'!$A$4:$U$1800,3,FALSE)</f>
        <v>#N/A</v>
      </c>
      <c r="V1679" s="428" t="e">
        <f>VLOOKUP(H1679,'Fund Utilization Report'!$A$4:$U$1800,4,FALSE)</f>
        <v>#N/A</v>
      </c>
      <c r="W1679" s="428" t="e">
        <f>VLOOKUP(H1679,'Fund Utilization Report'!$A$4:$U$1800,5,FALSE)</f>
        <v>#N/A</v>
      </c>
      <c r="X1679" s="428" t="e">
        <f>VLOOKUP(H1679,'Fund Utilization Report'!$A$4:$U$1800,6,FALSE)</f>
        <v>#N/A</v>
      </c>
      <c r="Y1679" s="320" t="e">
        <f>VLOOKUP(H1679,'Fund Utilization Report'!$A$4:$U$1800,7,FALSE)</f>
        <v>#N/A</v>
      </c>
      <c r="Z1679" s="425" t="e">
        <f>VLOOKUP(H1679,'Fund Utilization Report'!$A$4:$U$1800,8,FALSE)</f>
        <v>#N/A</v>
      </c>
      <c r="AA1679" s="428" t="e">
        <f>VLOOKUP(H1679,'Fund Utilization Report'!$A$4:$U$1800,14,FALSE)</f>
        <v>#N/A</v>
      </c>
      <c r="AB1679" s="349" t="e">
        <f>VLOOKUP(H1679,'Fund Utilization Report'!$A$4:$U$1800,15,FALSE)</f>
        <v>#N/A</v>
      </c>
      <c r="AC1679" s="39"/>
      <c r="AD1679" s="34"/>
      <c r="AE1679" s="39"/>
      <c r="AF1679" s="51"/>
      <c r="AG1679" s="442"/>
      <c r="AH1679" s="442"/>
      <c r="AI1679" s="443"/>
    </row>
    <row r="1680" spans="1:35" s="32" customFormat="1">
      <c r="A1680" s="338"/>
      <c r="B1680" s="338"/>
      <c r="C1680" s="358"/>
      <c r="D1680" s="351"/>
      <c r="E1680" s="366"/>
      <c r="F1680" s="338"/>
      <c r="G1680" s="338"/>
      <c r="H1680" s="338"/>
      <c r="I1680" s="353"/>
      <c r="J1680" s="338" t="str">
        <f>IFERROR(VLOOKUP(I1680,'Chart of accounts'!A:H,2,FALSE),"")</f>
        <v/>
      </c>
      <c r="K1680" s="338" t="str">
        <f>IFERROR(VLOOKUP(I1680,'Chart of accounts'!A:H,3,FALSE),"")</f>
        <v/>
      </c>
      <c r="L1680" s="338" t="str">
        <f>IFERROR(VLOOKUP(I1680,'Chart of accounts'!A:H,4,FALSE),"")</f>
        <v/>
      </c>
      <c r="M1680" s="361"/>
      <c r="N1680" s="355"/>
      <c r="O1680" s="355"/>
      <c r="P1680" s="355"/>
      <c r="Q1680" s="363"/>
      <c r="R1680" s="428">
        <f t="shared" si="75"/>
        <v>0</v>
      </c>
      <c r="S1680" s="428" t="e">
        <f>VLOOKUP(H1680,'Fund Utilization Report'!$A$4:$U$1800,13,FALSE)</f>
        <v>#N/A</v>
      </c>
      <c r="T1680" s="428" t="e">
        <f>VLOOKUP(H1680,'Fund Utilization Report'!$A$4:$U$1800,2,FALSE)</f>
        <v>#N/A</v>
      </c>
      <c r="U1680" s="428" t="e">
        <f>VLOOKUP(H1680,'Fund Utilization Report'!$A$4:$U$1800,3,FALSE)</f>
        <v>#N/A</v>
      </c>
      <c r="V1680" s="428" t="e">
        <f>VLOOKUP(H1680,'Fund Utilization Report'!$A$4:$U$1800,4,FALSE)</f>
        <v>#N/A</v>
      </c>
      <c r="W1680" s="428" t="e">
        <f>VLOOKUP(H1680,'Fund Utilization Report'!$A$4:$U$1800,5,FALSE)</f>
        <v>#N/A</v>
      </c>
      <c r="X1680" s="428" t="e">
        <f>VLOOKUP(H1680,'Fund Utilization Report'!$A$4:$U$1800,6,FALSE)</f>
        <v>#N/A</v>
      </c>
      <c r="Y1680" s="320" t="e">
        <f>VLOOKUP(H1680,'Fund Utilization Report'!$A$4:$U$1800,7,FALSE)</f>
        <v>#N/A</v>
      </c>
      <c r="Z1680" s="425" t="e">
        <f>VLOOKUP(H1680,'Fund Utilization Report'!$A$4:$U$1800,8,FALSE)</f>
        <v>#N/A</v>
      </c>
      <c r="AA1680" s="428" t="e">
        <f>VLOOKUP(H1680,'Fund Utilization Report'!$A$4:$U$1800,14,FALSE)</f>
        <v>#N/A</v>
      </c>
      <c r="AB1680" s="349" t="e">
        <f>VLOOKUP(H1680,'Fund Utilization Report'!$A$4:$U$1800,15,FALSE)</f>
        <v>#N/A</v>
      </c>
      <c r="AC1680" s="39"/>
      <c r="AD1680" s="34"/>
      <c r="AE1680" s="39"/>
      <c r="AF1680" s="51"/>
      <c r="AG1680" s="442"/>
      <c r="AH1680" s="442"/>
      <c r="AI1680" s="443"/>
    </row>
    <row r="1681" spans="1:35" s="32" customFormat="1">
      <c r="A1681" s="338"/>
      <c r="B1681" s="338"/>
      <c r="C1681" s="358"/>
      <c r="D1681" s="351"/>
      <c r="E1681" s="366"/>
      <c r="F1681" s="338"/>
      <c r="G1681" s="338"/>
      <c r="H1681" s="338"/>
      <c r="I1681" s="353"/>
      <c r="J1681" s="338" t="str">
        <f>IFERROR(VLOOKUP(I1681,'Chart of accounts'!A:H,2,FALSE),"")</f>
        <v/>
      </c>
      <c r="K1681" s="338" t="str">
        <f>IFERROR(VLOOKUP(I1681,'Chart of accounts'!A:H,3,FALSE),"")</f>
        <v/>
      </c>
      <c r="L1681" s="338" t="str">
        <f>IFERROR(VLOOKUP(I1681,'Chart of accounts'!A:H,4,FALSE),"")</f>
        <v/>
      </c>
      <c r="M1681" s="361"/>
      <c r="N1681" s="355"/>
      <c r="O1681" s="355"/>
      <c r="P1681" s="355"/>
      <c r="Q1681" s="363"/>
      <c r="R1681" s="428">
        <f t="shared" si="75"/>
        <v>0</v>
      </c>
      <c r="S1681" s="428" t="e">
        <f>VLOOKUP(H1681,'Fund Utilization Report'!$A$4:$U$1800,13,FALSE)</f>
        <v>#N/A</v>
      </c>
      <c r="T1681" s="428" t="e">
        <f>VLOOKUP(H1681,'Fund Utilization Report'!$A$4:$U$1800,2,FALSE)</f>
        <v>#N/A</v>
      </c>
      <c r="U1681" s="428" t="e">
        <f>VLOOKUP(H1681,'Fund Utilization Report'!$A$4:$U$1800,3,FALSE)</f>
        <v>#N/A</v>
      </c>
      <c r="V1681" s="428" t="e">
        <f>VLOOKUP(H1681,'Fund Utilization Report'!$A$4:$U$1800,4,FALSE)</f>
        <v>#N/A</v>
      </c>
      <c r="W1681" s="428" t="e">
        <f>VLOOKUP(H1681,'Fund Utilization Report'!$A$4:$U$1800,5,FALSE)</f>
        <v>#N/A</v>
      </c>
      <c r="X1681" s="428" t="e">
        <f>VLOOKUP(H1681,'Fund Utilization Report'!$A$4:$U$1800,6,FALSE)</f>
        <v>#N/A</v>
      </c>
      <c r="Y1681" s="320" t="e">
        <f>VLOOKUP(H1681,'Fund Utilization Report'!$A$4:$U$1800,7,FALSE)</f>
        <v>#N/A</v>
      </c>
      <c r="Z1681" s="425" t="e">
        <f>VLOOKUP(H1681,'Fund Utilization Report'!$A$4:$U$1800,8,FALSE)</f>
        <v>#N/A</v>
      </c>
      <c r="AA1681" s="428" t="e">
        <f>VLOOKUP(H1681,'Fund Utilization Report'!$A$4:$U$1800,14,FALSE)</f>
        <v>#N/A</v>
      </c>
      <c r="AB1681" s="349" t="e">
        <f>VLOOKUP(H1681,'Fund Utilization Report'!$A$4:$U$1800,15,FALSE)</f>
        <v>#N/A</v>
      </c>
      <c r="AC1681" s="39"/>
      <c r="AD1681" s="34"/>
      <c r="AE1681" s="39"/>
      <c r="AF1681" s="51"/>
      <c r="AG1681" s="442"/>
      <c r="AH1681" s="442"/>
      <c r="AI1681" s="443"/>
    </row>
    <row r="1682" spans="1:35" s="32" customFormat="1">
      <c r="A1682" s="338"/>
      <c r="B1682" s="338"/>
      <c r="C1682" s="358"/>
      <c r="D1682" s="351"/>
      <c r="E1682" s="366"/>
      <c r="F1682" s="338"/>
      <c r="G1682" s="338"/>
      <c r="H1682" s="338"/>
      <c r="I1682" s="353"/>
      <c r="J1682" s="338" t="str">
        <f>IFERROR(VLOOKUP(I1682,'Chart of accounts'!A:H,2,FALSE),"")</f>
        <v/>
      </c>
      <c r="K1682" s="338" t="str">
        <f>IFERROR(VLOOKUP(I1682,'Chart of accounts'!A:H,3,FALSE),"")</f>
        <v/>
      </c>
      <c r="L1682" s="338" t="str">
        <f>IFERROR(VLOOKUP(I1682,'Chart of accounts'!A:H,4,FALSE),"")</f>
        <v/>
      </c>
      <c r="M1682" s="361"/>
      <c r="N1682" s="355"/>
      <c r="O1682" s="355"/>
      <c r="P1682" s="355"/>
      <c r="Q1682" s="363"/>
      <c r="R1682" s="428">
        <f t="shared" si="75"/>
        <v>0</v>
      </c>
      <c r="S1682" s="428" t="e">
        <f>VLOOKUP(H1682,'Fund Utilization Report'!$A$4:$U$1800,13,FALSE)</f>
        <v>#N/A</v>
      </c>
      <c r="T1682" s="428" t="e">
        <f>VLOOKUP(H1682,'Fund Utilization Report'!$A$4:$U$1800,2,FALSE)</f>
        <v>#N/A</v>
      </c>
      <c r="U1682" s="428" t="e">
        <f>VLOOKUP(H1682,'Fund Utilization Report'!$A$4:$U$1800,3,FALSE)</f>
        <v>#N/A</v>
      </c>
      <c r="V1682" s="428" t="e">
        <f>VLOOKUP(H1682,'Fund Utilization Report'!$A$4:$U$1800,4,FALSE)</f>
        <v>#N/A</v>
      </c>
      <c r="W1682" s="428" t="e">
        <f>VLOOKUP(H1682,'Fund Utilization Report'!$A$4:$U$1800,5,FALSE)</f>
        <v>#N/A</v>
      </c>
      <c r="X1682" s="428" t="e">
        <f>VLOOKUP(H1682,'Fund Utilization Report'!$A$4:$U$1800,6,FALSE)</f>
        <v>#N/A</v>
      </c>
      <c r="Y1682" s="320" t="e">
        <f>VLOOKUP(H1682,'Fund Utilization Report'!$A$4:$U$1800,7,FALSE)</f>
        <v>#N/A</v>
      </c>
      <c r="Z1682" s="425" t="e">
        <f>VLOOKUP(H1682,'Fund Utilization Report'!$A$4:$U$1800,8,FALSE)</f>
        <v>#N/A</v>
      </c>
      <c r="AA1682" s="428" t="e">
        <f>VLOOKUP(H1682,'Fund Utilization Report'!$A$4:$U$1800,14,FALSE)</f>
        <v>#N/A</v>
      </c>
      <c r="AB1682" s="349" t="e">
        <f>VLOOKUP(H1682,'Fund Utilization Report'!$A$4:$U$1800,15,FALSE)</f>
        <v>#N/A</v>
      </c>
      <c r="AC1682" s="39"/>
      <c r="AD1682" s="34"/>
      <c r="AE1682" s="39"/>
      <c r="AF1682" s="51"/>
      <c r="AG1682" s="442"/>
      <c r="AH1682" s="442"/>
      <c r="AI1682" s="443"/>
    </row>
    <row r="1683" spans="1:35" s="32" customFormat="1">
      <c r="A1683" s="338"/>
      <c r="B1683" s="338"/>
      <c r="C1683" s="358"/>
      <c r="D1683" s="351"/>
      <c r="E1683" s="366"/>
      <c r="F1683" s="338"/>
      <c r="G1683" s="338"/>
      <c r="H1683" s="338"/>
      <c r="I1683" s="353"/>
      <c r="J1683" s="338" t="str">
        <f>IFERROR(VLOOKUP(I1683,'Chart of accounts'!A:H,2,FALSE),"")</f>
        <v/>
      </c>
      <c r="K1683" s="338" t="str">
        <f>IFERROR(VLOOKUP(I1683,'Chart of accounts'!A:H,3,FALSE),"")</f>
        <v/>
      </c>
      <c r="L1683" s="338" t="str">
        <f>IFERROR(VLOOKUP(I1683,'Chart of accounts'!A:H,4,FALSE),"")</f>
        <v/>
      </c>
      <c r="M1683" s="361"/>
      <c r="N1683" s="355"/>
      <c r="O1683" s="355"/>
      <c r="P1683" s="355"/>
      <c r="Q1683" s="363"/>
      <c r="R1683" s="428">
        <f t="shared" si="75"/>
        <v>0</v>
      </c>
      <c r="S1683" s="428" t="e">
        <f>VLOOKUP(H1683,'Fund Utilization Report'!$A$4:$U$1800,13,FALSE)</f>
        <v>#N/A</v>
      </c>
      <c r="T1683" s="428" t="e">
        <f>VLOOKUP(H1683,'Fund Utilization Report'!$A$4:$U$1800,2,FALSE)</f>
        <v>#N/A</v>
      </c>
      <c r="U1683" s="428" t="e">
        <f>VLOOKUP(H1683,'Fund Utilization Report'!$A$4:$U$1800,3,FALSE)</f>
        <v>#N/A</v>
      </c>
      <c r="V1683" s="428" t="e">
        <f>VLOOKUP(H1683,'Fund Utilization Report'!$A$4:$U$1800,4,FALSE)</f>
        <v>#N/A</v>
      </c>
      <c r="W1683" s="428" t="e">
        <f>VLOOKUP(H1683,'Fund Utilization Report'!$A$4:$U$1800,5,FALSE)</f>
        <v>#N/A</v>
      </c>
      <c r="X1683" s="428" t="e">
        <f>VLOOKUP(H1683,'Fund Utilization Report'!$A$4:$U$1800,6,FALSE)</f>
        <v>#N/A</v>
      </c>
      <c r="Y1683" s="320" t="e">
        <f>VLOOKUP(H1683,'Fund Utilization Report'!$A$4:$U$1800,7,FALSE)</f>
        <v>#N/A</v>
      </c>
      <c r="Z1683" s="425" t="e">
        <f>VLOOKUP(H1683,'Fund Utilization Report'!$A$4:$U$1800,8,FALSE)</f>
        <v>#N/A</v>
      </c>
      <c r="AA1683" s="428" t="e">
        <f>VLOOKUP(H1683,'Fund Utilization Report'!$A$4:$U$1800,14,FALSE)</f>
        <v>#N/A</v>
      </c>
      <c r="AB1683" s="349" t="e">
        <f>VLOOKUP(H1683,'Fund Utilization Report'!$A$4:$U$1800,15,FALSE)</f>
        <v>#N/A</v>
      </c>
      <c r="AC1683" s="39"/>
      <c r="AD1683" s="34"/>
      <c r="AE1683" s="39"/>
      <c r="AF1683" s="51"/>
      <c r="AG1683" s="442"/>
      <c r="AH1683" s="442"/>
      <c r="AI1683" s="443"/>
    </row>
    <row r="1684" spans="1:35" s="32" customFormat="1">
      <c r="A1684" s="338"/>
      <c r="B1684" s="338"/>
      <c r="C1684" s="358"/>
      <c r="D1684" s="351"/>
      <c r="E1684" s="366"/>
      <c r="F1684" s="338"/>
      <c r="G1684" s="338"/>
      <c r="H1684" s="338"/>
      <c r="I1684" s="353"/>
      <c r="J1684" s="338" t="str">
        <f>IFERROR(VLOOKUP(I1684,'Chart of accounts'!A:H,2,FALSE),"")</f>
        <v/>
      </c>
      <c r="K1684" s="338" t="str">
        <f>IFERROR(VLOOKUP(I1684,'Chart of accounts'!A:H,3,FALSE),"")</f>
        <v/>
      </c>
      <c r="L1684" s="338" t="str">
        <f>IFERROR(VLOOKUP(I1684,'Chart of accounts'!A:H,4,FALSE),"")</f>
        <v/>
      </c>
      <c r="M1684" s="361"/>
      <c r="N1684" s="355"/>
      <c r="O1684" s="355"/>
      <c r="P1684" s="355"/>
      <c r="Q1684" s="363"/>
      <c r="R1684" s="428">
        <f t="shared" si="75"/>
        <v>0</v>
      </c>
      <c r="S1684" s="428" t="e">
        <f>VLOOKUP(H1684,'Fund Utilization Report'!$A$4:$U$1800,13,FALSE)</f>
        <v>#N/A</v>
      </c>
      <c r="T1684" s="428" t="e">
        <f>VLOOKUP(H1684,'Fund Utilization Report'!$A$4:$U$1800,2,FALSE)</f>
        <v>#N/A</v>
      </c>
      <c r="U1684" s="428" t="e">
        <f>VLOOKUP(H1684,'Fund Utilization Report'!$A$4:$U$1800,3,FALSE)</f>
        <v>#N/A</v>
      </c>
      <c r="V1684" s="428" t="e">
        <f>VLOOKUP(H1684,'Fund Utilization Report'!$A$4:$U$1800,4,FALSE)</f>
        <v>#N/A</v>
      </c>
      <c r="W1684" s="428" t="e">
        <f>VLOOKUP(H1684,'Fund Utilization Report'!$A$4:$U$1800,5,FALSE)</f>
        <v>#N/A</v>
      </c>
      <c r="X1684" s="428" t="e">
        <f>VLOOKUP(H1684,'Fund Utilization Report'!$A$4:$U$1800,6,FALSE)</f>
        <v>#N/A</v>
      </c>
      <c r="Y1684" s="320" t="e">
        <f>VLOOKUP(H1684,'Fund Utilization Report'!$A$4:$U$1800,7,FALSE)</f>
        <v>#N/A</v>
      </c>
      <c r="Z1684" s="425" t="e">
        <f>VLOOKUP(H1684,'Fund Utilization Report'!$A$4:$U$1800,8,FALSE)</f>
        <v>#N/A</v>
      </c>
      <c r="AA1684" s="428" t="e">
        <f>VLOOKUP(H1684,'Fund Utilization Report'!$A$4:$U$1800,14,FALSE)</f>
        <v>#N/A</v>
      </c>
      <c r="AB1684" s="349" t="e">
        <f>VLOOKUP(H1684,'Fund Utilization Report'!$A$4:$U$1800,15,FALSE)</f>
        <v>#N/A</v>
      </c>
      <c r="AC1684" s="39"/>
      <c r="AD1684" s="34"/>
      <c r="AE1684" s="39"/>
      <c r="AF1684" s="51"/>
      <c r="AG1684" s="442"/>
      <c r="AH1684" s="442"/>
      <c r="AI1684" s="443"/>
    </row>
    <row r="1685" spans="1:35" s="32" customFormat="1">
      <c r="A1685" s="338"/>
      <c r="B1685" s="338"/>
      <c r="C1685" s="358"/>
      <c r="D1685" s="351"/>
      <c r="E1685" s="366"/>
      <c r="F1685" s="338"/>
      <c r="G1685" s="338"/>
      <c r="H1685" s="338"/>
      <c r="I1685" s="353"/>
      <c r="J1685" s="338" t="str">
        <f>IFERROR(VLOOKUP(I1685,'Chart of accounts'!A:H,2,FALSE),"")</f>
        <v/>
      </c>
      <c r="K1685" s="338" t="str">
        <f>IFERROR(VLOOKUP(I1685,'Chart of accounts'!A:H,3,FALSE),"")</f>
        <v/>
      </c>
      <c r="L1685" s="338" t="str">
        <f>IFERROR(VLOOKUP(I1685,'Chart of accounts'!A:H,4,FALSE),"")</f>
        <v/>
      </c>
      <c r="M1685" s="361"/>
      <c r="N1685" s="355"/>
      <c r="O1685" s="355"/>
      <c r="P1685" s="355"/>
      <c r="Q1685" s="363"/>
      <c r="R1685" s="428">
        <f t="shared" si="75"/>
        <v>0</v>
      </c>
      <c r="S1685" s="428" t="e">
        <f>VLOOKUP(H1685,'Fund Utilization Report'!$A$4:$U$1800,13,FALSE)</f>
        <v>#N/A</v>
      </c>
      <c r="T1685" s="428" t="e">
        <f>VLOOKUP(H1685,'Fund Utilization Report'!$A$4:$U$1800,2,FALSE)</f>
        <v>#N/A</v>
      </c>
      <c r="U1685" s="428" t="e">
        <f>VLOOKUP(H1685,'Fund Utilization Report'!$A$4:$U$1800,3,FALSE)</f>
        <v>#N/A</v>
      </c>
      <c r="V1685" s="428" t="e">
        <f>VLOOKUP(H1685,'Fund Utilization Report'!$A$4:$U$1800,4,FALSE)</f>
        <v>#N/A</v>
      </c>
      <c r="W1685" s="428" t="e">
        <f>VLOOKUP(H1685,'Fund Utilization Report'!$A$4:$U$1800,5,FALSE)</f>
        <v>#N/A</v>
      </c>
      <c r="X1685" s="428" t="e">
        <f>VLOOKUP(H1685,'Fund Utilization Report'!$A$4:$U$1800,6,FALSE)</f>
        <v>#N/A</v>
      </c>
      <c r="Y1685" s="320" t="e">
        <f>VLOOKUP(H1685,'Fund Utilization Report'!$A$4:$U$1800,7,FALSE)</f>
        <v>#N/A</v>
      </c>
      <c r="Z1685" s="425" t="e">
        <f>VLOOKUP(H1685,'Fund Utilization Report'!$A$4:$U$1800,8,FALSE)</f>
        <v>#N/A</v>
      </c>
      <c r="AA1685" s="428" t="e">
        <f>VLOOKUP(H1685,'Fund Utilization Report'!$A$4:$U$1800,14,FALSE)</f>
        <v>#N/A</v>
      </c>
      <c r="AB1685" s="349" t="e">
        <f>VLOOKUP(H1685,'Fund Utilization Report'!$A$4:$U$1800,15,FALSE)</f>
        <v>#N/A</v>
      </c>
      <c r="AC1685" s="39"/>
      <c r="AD1685" s="34"/>
      <c r="AE1685" s="39"/>
      <c r="AF1685" s="51"/>
      <c r="AG1685" s="442"/>
      <c r="AH1685" s="442"/>
      <c r="AI1685" s="443"/>
    </row>
    <row r="1686" spans="1:35" s="32" customFormat="1">
      <c r="A1686" s="338"/>
      <c r="B1686" s="338"/>
      <c r="C1686" s="358"/>
      <c r="D1686" s="351"/>
      <c r="E1686" s="366"/>
      <c r="F1686" s="338"/>
      <c r="G1686" s="338"/>
      <c r="H1686" s="338"/>
      <c r="I1686" s="353"/>
      <c r="J1686" s="338" t="str">
        <f>IFERROR(VLOOKUP(I1686,'Chart of accounts'!A:H,2,FALSE),"")</f>
        <v/>
      </c>
      <c r="K1686" s="338" t="str">
        <f>IFERROR(VLOOKUP(I1686,'Chart of accounts'!A:H,3,FALSE),"")</f>
        <v/>
      </c>
      <c r="L1686" s="338" t="str">
        <f>IFERROR(VLOOKUP(I1686,'Chart of accounts'!A:H,4,FALSE),"")</f>
        <v/>
      </c>
      <c r="M1686" s="361"/>
      <c r="N1686" s="355"/>
      <c r="O1686" s="355"/>
      <c r="P1686" s="355"/>
      <c r="Q1686" s="363"/>
      <c r="R1686" s="428">
        <f t="shared" si="75"/>
        <v>0</v>
      </c>
      <c r="S1686" s="428" t="e">
        <f>VLOOKUP(H1686,'Fund Utilization Report'!$A$4:$U$1800,13,FALSE)</f>
        <v>#N/A</v>
      </c>
      <c r="T1686" s="428" t="e">
        <f>VLOOKUP(H1686,'Fund Utilization Report'!$A$4:$U$1800,2,FALSE)</f>
        <v>#N/A</v>
      </c>
      <c r="U1686" s="428" t="e">
        <f>VLOOKUP(H1686,'Fund Utilization Report'!$A$4:$U$1800,3,FALSE)</f>
        <v>#N/A</v>
      </c>
      <c r="V1686" s="428" t="e">
        <f>VLOOKUP(H1686,'Fund Utilization Report'!$A$4:$U$1800,4,FALSE)</f>
        <v>#N/A</v>
      </c>
      <c r="W1686" s="428" t="e">
        <f>VLOOKUP(H1686,'Fund Utilization Report'!$A$4:$U$1800,5,FALSE)</f>
        <v>#N/A</v>
      </c>
      <c r="X1686" s="428" t="e">
        <f>VLOOKUP(H1686,'Fund Utilization Report'!$A$4:$U$1800,6,FALSE)</f>
        <v>#N/A</v>
      </c>
      <c r="Y1686" s="320" t="e">
        <f>VLOOKUP(H1686,'Fund Utilization Report'!$A$4:$U$1800,7,FALSE)</f>
        <v>#N/A</v>
      </c>
      <c r="Z1686" s="425" t="e">
        <f>VLOOKUP(H1686,'Fund Utilization Report'!$A$4:$U$1800,8,FALSE)</f>
        <v>#N/A</v>
      </c>
      <c r="AA1686" s="428" t="e">
        <f>VLOOKUP(H1686,'Fund Utilization Report'!$A$4:$U$1800,14,FALSE)</f>
        <v>#N/A</v>
      </c>
      <c r="AB1686" s="349" t="e">
        <f>VLOOKUP(H1686,'Fund Utilization Report'!$A$4:$U$1800,15,FALSE)</f>
        <v>#N/A</v>
      </c>
      <c r="AC1686" s="39"/>
      <c r="AD1686" s="34"/>
      <c r="AE1686" s="39"/>
      <c r="AF1686" s="51"/>
      <c r="AG1686" s="442"/>
      <c r="AH1686" s="442"/>
      <c r="AI1686" s="443"/>
    </row>
    <row r="1687" spans="1:35" s="32" customFormat="1">
      <c r="A1687" s="338"/>
      <c r="B1687" s="338"/>
      <c r="C1687" s="358"/>
      <c r="D1687" s="351"/>
      <c r="E1687" s="366"/>
      <c r="F1687" s="338"/>
      <c r="G1687" s="338"/>
      <c r="H1687" s="338"/>
      <c r="I1687" s="353"/>
      <c r="J1687" s="338" t="str">
        <f>IFERROR(VLOOKUP(I1687,'Chart of accounts'!A:H,2,FALSE),"")</f>
        <v/>
      </c>
      <c r="K1687" s="338" t="str">
        <f>IFERROR(VLOOKUP(I1687,'Chart of accounts'!A:H,3,FALSE),"")</f>
        <v/>
      </c>
      <c r="L1687" s="338" t="str">
        <f>IFERROR(VLOOKUP(I1687,'Chart of accounts'!A:H,4,FALSE),"")</f>
        <v/>
      </c>
      <c r="M1687" s="361"/>
      <c r="N1687" s="355"/>
      <c r="O1687" s="355"/>
      <c r="P1687" s="355"/>
      <c r="Q1687" s="363"/>
      <c r="R1687" s="428">
        <f t="shared" si="75"/>
        <v>0</v>
      </c>
      <c r="S1687" s="428" t="e">
        <f>VLOOKUP(H1687,'Fund Utilization Report'!$A$4:$U$1800,13,FALSE)</f>
        <v>#N/A</v>
      </c>
      <c r="T1687" s="428" t="e">
        <f>VLOOKUP(H1687,'Fund Utilization Report'!$A$4:$U$1800,2,FALSE)</f>
        <v>#N/A</v>
      </c>
      <c r="U1687" s="428" t="e">
        <f>VLOOKUP(H1687,'Fund Utilization Report'!$A$4:$U$1800,3,FALSE)</f>
        <v>#N/A</v>
      </c>
      <c r="V1687" s="428" t="e">
        <f>VLOOKUP(H1687,'Fund Utilization Report'!$A$4:$U$1800,4,FALSE)</f>
        <v>#N/A</v>
      </c>
      <c r="W1687" s="428" t="e">
        <f>VLOOKUP(H1687,'Fund Utilization Report'!$A$4:$U$1800,5,FALSE)</f>
        <v>#N/A</v>
      </c>
      <c r="X1687" s="428" t="e">
        <f>VLOOKUP(H1687,'Fund Utilization Report'!$A$4:$U$1800,6,FALSE)</f>
        <v>#N/A</v>
      </c>
      <c r="Y1687" s="320" t="e">
        <f>VLOOKUP(H1687,'Fund Utilization Report'!$A$4:$U$1800,7,FALSE)</f>
        <v>#N/A</v>
      </c>
      <c r="Z1687" s="425" t="e">
        <f>VLOOKUP(H1687,'Fund Utilization Report'!$A$4:$U$1800,8,FALSE)</f>
        <v>#N/A</v>
      </c>
      <c r="AA1687" s="428" t="e">
        <f>VLOOKUP(H1687,'Fund Utilization Report'!$A$4:$U$1800,14,FALSE)</f>
        <v>#N/A</v>
      </c>
      <c r="AB1687" s="349" t="e">
        <f>VLOOKUP(H1687,'Fund Utilization Report'!$A$4:$U$1800,15,FALSE)</f>
        <v>#N/A</v>
      </c>
      <c r="AC1687" s="39"/>
      <c r="AD1687" s="34"/>
      <c r="AE1687" s="39"/>
      <c r="AF1687" s="51"/>
      <c r="AG1687" s="442"/>
      <c r="AH1687" s="442"/>
      <c r="AI1687" s="443"/>
    </row>
    <row r="1688" spans="1:35" s="32" customFormat="1">
      <c r="A1688" s="338"/>
      <c r="B1688" s="338"/>
      <c r="C1688" s="358"/>
      <c r="D1688" s="351"/>
      <c r="E1688" s="366"/>
      <c r="F1688" s="338"/>
      <c r="G1688" s="338"/>
      <c r="H1688" s="338"/>
      <c r="I1688" s="353"/>
      <c r="J1688" s="338" t="str">
        <f>IFERROR(VLOOKUP(I1688,'Chart of accounts'!A:H,2,FALSE),"")</f>
        <v/>
      </c>
      <c r="K1688" s="338" t="str">
        <f>IFERROR(VLOOKUP(I1688,'Chart of accounts'!A:H,3,FALSE),"")</f>
        <v/>
      </c>
      <c r="L1688" s="338" t="str">
        <f>IFERROR(VLOOKUP(I1688,'Chart of accounts'!A:H,4,FALSE),"")</f>
        <v/>
      </c>
      <c r="M1688" s="361"/>
      <c r="N1688" s="355"/>
      <c r="O1688" s="355"/>
      <c r="P1688" s="355"/>
      <c r="Q1688" s="363"/>
      <c r="R1688" s="428">
        <f t="shared" si="75"/>
        <v>0</v>
      </c>
      <c r="S1688" s="428" t="e">
        <f>VLOOKUP(H1688,'Fund Utilization Report'!$A$4:$U$1800,13,FALSE)</f>
        <v>#N/A</v>
      </c>
      <c r="T1688" s="428" t="e">
        <f>VLOOKUP(H1688,'Fund Utilization Report'!$A$4:$U$1800,2,FALSE)</f>
        <v>#N/A</v>
      </c>
      <c r="U1688" s="428" t="e">
        <f>VLOOKUP(H1688,'Fund Utilization Report'!$A$4:$U$1800,3,FALSE)</f>
        <v>#N/A</v>
      </c>
      <c r="V1688" s="428" t="e">
        <f>VLOOKUP(H1688,'Fund Utilization Report'!$A$4:$U$1800,4,FALSE)</f>
        <v>#N/A</v>
      </c>
      <c r="W1688" s="428" t="e">
        <f>VLOOKUP(H1688,'Fund Utilization Report'!$A$4:$U$1800,5,FALSE)</f>
        <v>#N/A</v>
      </c>
      <c r="X1688" s="428" t="e">
        <f>VLOOKUP(H1688,'Fund Utilization Report'!$A$4:$U$1800,6,FALSE)</f>
        <v>#N/A</v>
      </c>
      <c r="Y1688" s="320" t="e">
        <f>VLOOKUP(H1688,'Fund Utilization Report'!$A$4:$U$1800,7,FALSE)</f>
        <v>#N/A</v>
      </c>
      <c r="Z1688" s="425" t="e">
        <f>VLOOKUP(H1688,'Fund Utilization Report'!$A$4:$U$1800,8,FALSE)</f>
        <v>#N/A</v>
      </c>
      <c r="AA1688" s="428" t="e">
        <f>VLOOKUP(H1688,'Fund Utilization Report'!$A$4:$U$1800,14,FALSE)</f>
        <v>#N/A</v>
      </c>
      <c r="AB1688" s="349" t="e">
        <f>VLOOKUP(H1688,'Fund Utilization Report'!$A$4:$U$1800,15,FALSE)</f>
        <v>#N/A</v>
      </c>
      <c r="AC1688" s="39"/>
      <c r="AD1688" s="34"/>
      <c r="AE1688" s="39"/>
      <c r="AF1688" s="51"/>
      <c r="AG1688" s="442"/>
      <c r="AH1688" s="442"/>
      <c r="AI1688" s="443"/>
    </row>
    <row r="1689" spans="1:35" s="32" customFormat="1">
      <c r="A1689" s="338"/>
      <c r="B1689" s="338"/>
      <c r="C1689" s="358"/>
      <c r="D1689" s="351"/>
      <c r="E1689" s="366"/>
      <c r="F1689" s="338"/>
      <c r="G1689" s="338"/>
      <c r="H1689" s="338"/>
      <c r="I1689" s="353"/>
      <c r="J1689" s="338" t="str">
        <f>IFERROR(VLOOKUP(I1689,'Chart of accounts'!A:H,2,FALSE),"")</f>
        <v/>
      </c>
      <c r="K1689" s="338" t="str">
        <f>IFERROR(VLOOKUP(I1689,'Chart of accounts'!A:H,3,FALSE),"")</f>
        <v/>
      </c>
      <c r="L1689" s="338" t="str">
        <f>IFERROR(VLOOKUP(I1689,'Chart of accounts'!A:H,4,FALSE),"")</f>
        <v/>
      </c>
      <c r="M1689" s="361"/>
      <c r="N1689" s="355"/>
      <c r="O1689" s="355"/>
      <c r="P1689" s="355"/>
      <c r="Q1689" s="363"/>
      <c r="R1689" s="428">
        <f t="shared" si="75"/>
        <v>0</v>
      </c>
      <c r="S1689" s="428" t="e">
        <f>VLOOKUP(H1689,'Fund Utilization Report'!$A$4:$U$1800,13,FALSE)</f>
        <v>#N/A</v>
      </c>
      <c r="T1689" s="428" t="e">
        <f>VLOOKUP(H1689,'Fund Utilization Report'!$A$4:$U$1800,2,FALSE)</f>
        <v>#N/A</v>
      </c>
      <c r="U1689" s="428" t="e">
        <f>VLOOKUP(H1689,'Fund Utilization Report'!$A$4:$U$1800,3,FALSE)</f>
        <v>#N/A</v>
      </c>
      <c r="V1689" s="428" t="e">
        <f>VLOOKUP(H1689,'Fund Utilization Report'!$A$4:$U$1800,4,FALSE)</f>
        <v>#N/A</v>
      </c>
      <c r="W1689" s="428" t="e">
        <f>VLOOKUP(H1689,'Fund Utilization Report'!$A$4:$U$1800,5,FALSE)</f>
        <v>#N/A</v>
      </c>
      <c r="X1689" s="428" t="e">
        <f>VLOOKUP(H1689,'Fund Utilization Report'!$A$4:$U$1800,6,FALSE)</f>
        <v>#N/A</v>
      </c>
      <c r="Y1689" s="320" t="e">
        <f>VLOOKUP(H1689,'Fund Utilization Report'!$A$4:$U$1800,7,FALSE)</f>
        <v>#N/A</v>
      </c>
      <c r="Z1689" s="425" t="e">
        <f>VLOOKUP(H1689,'Fund Utilization Report'!$A$4:$U$1800,8,FALSE)</f>
        <v>#N/A</v>
      </c>
      <c r="AA1689" s="428" t="e">
        <f>VLOOKUP(H1689,'Fund Utilization Report'!$A$4:$U$1800,14,FALSE)</f>
        <v>#N/A</v>
      </c>
      <c r="AB1689" s="349" t="e">
        <f>VLOOKUP(H1689,'Fund Utilization Report'!$A$4:$U$1800,15,FALSE)</f>
        <v>#N/A</v>
      </c>
      <c r="AC1689" s="39"/>
      <c r="AD1689" s="34"/>
      <c r="AE1689" s="39"/>
      <c r="AF1689" s="51"/>
      <c r="AG1689" s="442"/>
      <c r="AH1689" s="442"/>
      <c r="AI1689" s="443"/>
    </row>
    <row r="1690" spans="1:35" s="32" customFormat="1">
      <c r="A1690" s="338"/>
      <c r="B1690" s="338"/>
      <c r="C1690" s="358"/>
      <c r="D1690" s="351"/>
      <c r="E1690" s="366"/>
      <c r="F1690" s="338"/>
      <c r="G1690" s="338"/>
      <c r="H1690" s="338"/>
      <c r="I1690" s="353"/>
      <c r="J1690" s="338" t="str">
        <f>IFERROR(VLOOKUP(I1690,'Chart of accounts'!A:H,2,FALSE),"")</f>
        <v/>
      </c>
      <c r="K1690" s="338" t="str">
        <f>IFERROR(VLOOKUP(I1690,'Chart of accounts'!A:H,3,FALSE),"")</f>
        <v/>
      </c>
      <c r="L1690" s="338" t="str">
        <f>IFERROR(VLOOKUP(I1690,'Chart of accounts'!A:H,4,FALSE),"")</f>
        <v/>
      </c>
      <c r="M1690" s="361"/>
      <c r="N1690" s="355"/>
      <c r="O1690" s="355"/>
      <c r="P1690" s="355"/>
      <c r="Q1690" s="363"/>
      <c r="R1690" s="428">
        <f t="shared" si="75"/>
        <v>0</v>
      </c>
      <c r="S1690" s="428" t="e">
        <f>VLOOKUP(H1690,'Fund Utilization Report'!$A$4:$U$1800,13,FALSE)</f>
        <v>#N/A</v>
      </c>
      <c r="T1690" s="428" t="e">
        <f>VLOOKUP(H1690,'Fund Utilization Report'!$A$4:$U$1800,2,FALSE)</f>
        <v>#N/A</v>
      </c>
      <c r="U1690" s="428" t="e">
        <f>VLOOKUP(H1690,'Fund Utilization Report'!$A$4:$U$1800,3,FALSE)</f>
        <v>#N/A</v>
      </c>
      <c r="V1690" s="428" t="e">
        <f>VLOOKUP(H1690,'Fund Utilization Report'!$A$4:$U$1800,4,FALSE)</f>
        <v>#N/A</v>
      </c>
      <c r="W1690" s="428" t="e">
        <f>VLOOKUP(H1690,'Fund Utilization Report'!$A$4:$U$1800,5,FALSE)</f>
        <v>#N/A</v>
      </c>
      <c r="X1690" s="428" t="e">
        <f>VLOOKUP(H1690,'Fund Utilization Report'!$A$4:$U$1800,6,FALSE)</f>
        <v>#N/A</v>
      </c>
      <c r="Y1690" s="320" t="e">
        <f>VLOOKUP(H1690,'Fund Utilization Report'!$A$4:$U$1800,7,FALSE)</f>
        <v>#N/A</v>
      </c>
      <c r="Z1690" s="425" t="e">
        <f>VLOOKUP(H1690,'Fund Utilization Report'!$A$4:$U$1800,8,FALSE)</f>
        <v>#N/A</v>
      </c>
      <c r="AA1690" s="428" t="e">
        <f>VLOOKUP(H1690,'Fund Utilization Report'!$A$4:$U$1800,14,FALSE)</f>
        <v>#N/A</v>
      </c>
      <c r="AB1690" s="349" t="e">
        <f>VLOOKUP(H1690,'Fund Utilization Report'!$A$4:$U$1800,15,FALSE)</f>
        <v>#N/A</v>
      </c>
      <c r="AC1690" s="39"/>
      <c r="AD1690" s="34"/>
      <c r="AE1690" s="39"/>
      <c r="AF1690" s="51"/>
      <c r="AG1690" s="442"/>
      <c r="AH1690" s="442"/>
      <c r="AI1690" s="443"/>
    </row>
    <row r="1691" spans="1:35" s="32" customFormat="1">
      <c r="A1691" s="338"/>
      <c r="B1691" s="338"/>
      <c r="C1691" s="358"/>
      <c r="D1691" s="351"/>
      <c r="E1691" s="366"/>
      <c r="F1691" s="338"/>
      <c r="G1691" s="338"/>
      <c r="H1691" s="338"/>
      <c r="I1691" s="353"/>
      <c r="J1691" s="338" t="str">
        <f>IFERROR(VLOOKUP(I1691,'Chart of accounts'!A:H,2,FALSE),"")</f>
        <v/>
      </c>
      <c r="K1691" s="338" t="str">
        <f>IFERROR(VLOOKUP(I1691,'Chart of accounts'!A:H,3,FALSE),"")</f>
        <v/>
      </c>
      <c r="L1691" s="338" t="str">
        <f>IFERROR(VLOOKUP(I1691,'Chart of accounts'!A:H,4,FALSE),"")</f>
        <v/>
      </c>
      <c r="M1691" s="361"/>
      <c r="N1691" s="355"/>
      <c r="O1691" s="355"/>
      <c r="P1691" s="355"/>
      <c r="Q1691" s="363"/>
      <c r="R1691" s="319">
        <f t="shared" si="75"/>
        <v>0</v>
      </c>
      <c r="S1691" s="428" t="e">
        <f>VLOOKUP(H1691,'Fund Utilization Report'!$A$4:$U$1800,13,FALSE)</f>
        <v>#N/A</v>
      </c>
      <c r="T1691" s="428" t="e">
        <f>VLOOKUP(H1691,'Fund Utilization Report'!$A$4:$U$1800,2,FALSE)</f>
        <v>#N/A</v>
      </c>
      <c r="U1691" s="428" t="e">
        <f>VLOOKUP(H1691,'Fund Utilization Report'!$A$4:$U$1800,3,FALSE)</f>
        <v>#N/A</v>
      </c>
      <c r="V1691" s="428" t="e">
        <f>VLOOKUP(H1691,'Fund Utilization Report'!$A$4:$U$1800,4,FALSE)</f>
        <v>#N/A</v>
      </c>
      <c r="W1691" s="428" t="e">
        <f>VLOOKUP(H1691,'Fund Utilization Report'!$A$4:$U$1800,5,FALSE)</f>
        <v>#N/A</v>
      </c>
      <c r="X1691" s="428" t="e">
        <f>VLOOKUP(H1691,'Fund Utilization Report'!$A$4:$U$1800,6,FALSE)</f>
        <v>#N/A</v>
      </c>
      <c r="Y1691" s="320" t="e">
        <f>VLOOKUP(H1691,'Fund Utilization Report'!$A$4:$U$1800,7,FALSE)</f>
        <v>#N/A</v>
      </c>
      <c r="Z1691" s="425" t="e">
        <f>VLOOKUP(H1691,'Fund Utilization Report'!$A$4:$U$1800,8,FALSE)</f>
        <v>#N/A</v>
      </c>
      <c r="AA1691" s="428" t="e">
        <f>VLOOKUP(H1691,'Fund Utilization Report'!$A$4:$U$1800,14,FALSE)</f>
        <v>#N/A</v>
      </c>
      <c r="AB1691" s="349" t="e">
        <f>VLOOKUP(H1691,'Fund Utilization Report'!$A$4:$U$1800,15,FALSE)</f>
        <v>#N/A</v>
      </c>
      <c r="AC1691" s="39"/>
      <c r="AD1691" s="34"/>
      <c r="AE1691" s="39"/>
      <c r="AF1691" s="51"/>
      <c r="AG1691" s="442"/>
      <c r="AH1691" s="442"/>
      <c r="AI1691" s="443"/>
    </row>
    <row r="1692" spans="1:35" s="32" customFormat="1">
      <c r="A1692" s="338"/>
      <c r="B1692" s="338"/>
      <c r="C1692" s="358"/>
      <c r="D1692" s="351"/>
      <c r="E1692" s="366"/>
      <c r="F1692" s="338"/>
      <c r="G1692" s="338"/>
      <c r="H1692" s="338"/>
      <c r="I1692" s="353"/>
      <c r="J1692" s="338" t="str">
        <f>IFERROR(VLOOKUP(I1692,'Chart of accounts'!A:H,2,FALSE),"")</f>
        <v/>
      </c>
      <c r="K1692" s="338" t="str">
        <f>IFERROR(VLOOKUP(I1692,'Chart of accounts'!A:H,3,FALSE),"")</f>
        <v/>
      </c>
      <c r="L1692" s="338" t="str">
        <f>IFERROR(VLOOKUP(I1692,'Chart of accounts'!A:H,4,FALSE),"")</f>
        <v/>
      </c>
      <c r="M1692" s="361"/>
      <c r="N1692" s="355"/>
      <c r="O1692" s="355"/>
      <c r="P1692" s="355"/>
      <c r="Q1692" s="363"/>
      <c r="R1692" s="319">
        <f t="shared" si="75"/>
        <v>0</v>
      </c>
      <c r="S1692" s="428" t="e">
        <f>VLOOKUP(H1692,'Fund Utilization Report'!$A$4:$U$1800,13,FALSE)</f>
        <v>#N/A</v>
      </c>
      <c r="T1692" s="428" t="e">
        <f>VLOOKUP(H1692,'Fund Utilization Report'!$A$4:$U$1800,2,FALSE)</f>
        <v>#N/A</v>
      </c>
      <c r="U1692" s="428" t="e">
        <f>VLOOKUP(H1692,'Fund Utilization Report'!$A$4:$U$1800,3,FALSE)</f>
        <v>#N/A</v>
      </c>
      <c r="V1692" s="428" t="e">
        <f>VLOOKUP(H1692,'Fund Utilization Report'!$A$4:$U$1800,4,FALSE)</f>
        <v>#N/A</v>
      </c>
      <c r="W1692" s="428" t="e">
        <f>VLOOKUP(H1692,'Fund Utilization Report'!$A$4:$U$1800,5,FALSE)</f>
        <v>#N/A</v>
      </c>
      <c r="X1692" s="428" t="e">
        <f>VLOOKUP(H1692,'Fund Utilization Report'!$A$4:$U$1800,6,FALSE)</f>
        <v>#N/A</v>
      </c>
      <c r="Y1692" s="320" t="e">
        <f>VLOOKUP(H1692,'Fund Utilization Report'!$A$4:$U$1800,7,FALSE)</f>
        <v>#N/A</v>
      </c>
      <c r="Z1692" s="425" t="e">
        <f>VLOOKUP(H1692,'Fund Utilization Report'!$A$4:$U$1800,8,FALSE)</f>
        <v>#N/A</v>
      </c>
      <c r="AA1692" s="428" t="e">
        <f>VLOOKUP(H1692,'Fund Utilization Report'!$A$4:$U$1800,14,FALSE)</f>
        <v>#N/A</v>
      </c>
      <c r="AB1692" s="349" t="e">
        <f>VLOOKUP(H1692,'Fund Utilization Report'!$A$4:$U$1800,15,FALSE)</f>
        <v>#N/A</v>
      </c>
      <c r="AC1692" s="39"/>
      <c r="AD1692" s="34"/>
      <c r="AE1692" s="39"/>
      <c r="AF1692" s="51"/>
      <c r="AG1692" s="442"/>
      <c r="AH1692" s="442"/>
      <c r="AI1692" s="443"/>
    </row>
    <row r="1693" spans="1:35" s="32" customFormat="1">
      <c r="A1693" s="338"/>
      <c r="B1693" s="338"/>
      <c r="C1693" s="358"/>
      <c r="D1693" s="351"/>
      <c r="E1693" s="366"/>
      <c r="F1693" s="338"/>
      <c r="G1693" s="338"/>
      <c r="H1693" s="338"/>
      <c r="I1693" s="353"/>
      <c r="J1693" s="338" t="str">
        <f>IFERROR(VLOOKUP(I1693,'Chart of accounts'!A:H,2,FALSE),"")</f>
        <v/>
      </c>
      <c r="K1693" s="338" t="str">
        <f>IFERROR(VLOOKUP(I1693,'Chart of accounts'!A:H,3,FALSE),"")</f>
        <v/>
      </c>
      <c r="L1693" s="338" t="str">
        <f>IFERROR(VLOOKUP(I1693,'Chart of accounts'!A:H,4,FALSE),"")</f>
        <v/>
      </c>
      <c r="M1693" s="361"/>
      <c r="N1693" s="355"/>
      <c r="O1693" s="355"/>
      <c r="P1693" s="355"/>
      <c r="Q1693" s="363"/>
      <c r="R1693" s="319">
        <f t="shared" si="75"/>
        <v>0</v>
      </c>
      <c r="S1693" s="428" t="e">
        <f>VLOOKUP(H1693,'Fund Utilization Report'!$A$4:$U$1800,13,FALSE)</f>
        <v>#N/A</v>
      </c>
      <c r="T1693" s="428" t="e">
        <f>VLOOKUP(H1693,'Fund Utilization Report'!$A$4:$U$1800,2,FALSE)</f>
        <v>#N/A</v>
      </c>
      <c r="U1693" s="428" t="e">
        <f>VLOOKUP(H1693,'Fund Utilization Report'!$A$4:$U$1800,3,FALSE)</f>
        <v>#N/A</v>
      </c>
      <c r="V1693" s="428" t="e">
        <f>VLOOKUP(H1693,'Fund Utilization Report'!$A$4:$U$1800,4,FALSE)</f>
        <v>#N/A</v>
      </c>
      <c r="W1693" s="428" t="e">
        <f>VLOOKUP(H1693,'Fund Utilization Report'!$A$4:$U$1800,5,FALSE)</f>
        <v>#N/A</v>
      </c>
      <c r="X1693" s="428" t="e">
        <f>VLOOKUP(H1693,'Fund Utilization Report'!$A$4:$U$1800,6,FALSE)</f>
        <v>#N/A</v>
      </c>
      <c r="Y1693" s="320" t="e">
        <f>VLOOKUP(H1693,'Fund Utilization Report'!$A$4:$U$1800,7,FALSE)</f>
        <v>#N/A</v>
      </c>
      <c r="Z1693" s="425" t="e">
        <f>VLOOKUP(H1693,'Fund Utilization Report'!$A$4:$U$1800,8,FALSE)</f>
        <v>#N/A</v>
      </c>
      <c r="AA1693" s="428" t="e">
        <f>VLOOKUP(H1693,'Fund Utilization Report'!$A$4:$U$1800,14,FALSE)</f>
        <v>#N/A</v>
      </c>
      <c r="AB1693" s="349" t="e">
        <f>VLOOKUP(H1693,'Fund Utilization Report'!$A$4:$U$1800,15,FALSE)</f>
        <v>#N/A</v>
      </c>
      <c r="AC1693" s="39"/>
      <c r="AD1693" s="34"/>
      <c r="AE1693" s="39"/>
      <c r="AF1693" s="51"/>
      <c r="AG1693" s="442"/>
      <c r="AH1693" s="442"/>
      <c r="AI1693" s="443"/>
    </row>
    <row r="1694" spans="1:35" s="32" customFormat="1">
      <c r="A1694" s="458"/>
      <c r="B1694" s="458"/>
      <c r="C1694" s="464"/>
      <c r="D1694" s="465"/>
      <c r="E1694" s="466"/>
      <c r="F1694" s="458"/>
      <c r="G1694" s="458"/>
      <c r="H1694" s="458"/>
      <c r="I1694" s="459"/>
      <c r="J1694" s="338" t="str">
        <f>IFERROR(VLOOKUP(I1694,'Chart of accounts'!A:H,2,FALSE),"")</f>
        <v/>
      </c>
      <c r="K1694" s="338" t="str">
        <f>IFERROR(VLOOKUP(I1694,'Chart of accounts'!A:H,3,FALSE),"")</f>
        <v/>
      </c>
      <c r="L1694" s="338" t="str">
        <f>IFERROR(VLOOKUP(I1694,'Chart of accounts'!A:H,4,FALSE),"")</f>
        <v/>
      </c>
      <c r="M1694" s="467"/>
      <c r="N1694" s="463"/>
      <c r="O1694" s="463"/>
      <c r="P1694" s="463"/>
      <c r="Q1694" s="468"/>
      <c r="R1694" s="462">
        <f t="shared" si="75"/>
        <v>0</v>
      </c>
      <c r="S1694" s="462"/>
      <c r="T1694" s="462"/>
      <c r="U1694" s="462"/>
      <c r="V1694" s="462"/>
      <c r="W1694" s="462"/>
      <c r="X1694" s="462"/>
      <c r="Y1694" s="469"/>
      <c r="Z1694" s="470"/>
      <c r="AA1694" s="462"/>
      <c r="AB1694" s="471"/>
      <c r="AC1694" s="39"/>
      <c r="AD1694" s="34"/>
      <c r="AE1694" s="39"/>
      <c r="AF1694" s="39"/>
      <c r="AG1694" s="40"/>
      <c r="AH1694" s="40"/>
    </row>
    <row r="1695" spans="1:35" s="32" customFormat="1" ht="15" thickBot="1">
      <c r="A1695" s="338"/>
      <c r="B1695" s="338"/>
      <c r="C1695" s="350"/>
      <c r="D1695" s="351"/>
      <c r="E1695" s="366"/>
      <c r="F1695" s="338"/>
      <c r="G1695" s="338"/>
      <c r="H1695" s="338"/>
      <c r="I1695" s="353"/>
      <c r="J1695" s="338"/>
      <c r="K1695" s="338"/>
      <c r="L1695" s="338"/>
      <c r="M1695" s="361"/>
      <c r="N1695" s="355"/>
      <c r="O1695" s="355"/>
      <c r="P1695" s="355"/>
      <c r="Q1695" s="367"/>
      <c r="R1695" s="363"/>
      <c r="S1695" s="363"/>
      <c r="T1695" s="363"/>
      <c r="U1695" s="363"/>
      <c r="V1695" s="363"/>
      <c r="W1695" s="363"/>
      <c r="X1695" s="363"/>
      <c r="Y1695" s="368"/>
      <c r="Z1695" s="353"/>
      <c r="AA1695" s="363"/>
      <c r="AB1695" s="363"/>
      <c r="AC1695" s="91"/>
      <c r="AD1695" s="88"/>
      <c r="AE1695" s="91"/>
      <c r="AF1695" s="91"/>
      <c r="AG1695" s="92"/>
      <c r="AH1695" s="92"/>
    </row>
    <row r="1696" spans="1:35" s="32" customFormat="1" ht="15.6" thickTop="1" thickBot="1">
      <c r="A1696" s="369"/>
      <c r="B1696" s="369"/>
      <c r="C1696" s="370"/>
      <c r="D1696" s="371"/>
      <c r="E1696" s="372"/>
      <c r="F1696" s="369"/>
      <c r="G1696" s="369"/>
      <c r="H1696" s="369"/>
      <c r="I1696" s="373"/>
      <c r="J1696" s="369"/>
      <c r="K1696" s="369"/>
      <c r="L1696" s="369"/>
      <c r="M1696" s="374"/>
      <c r="N1696" s="375"/>
      <c r="O1696" s="375"/>
      <c r="P1696" s="375"/>
      <c r="Q1696" s="376"/>
      <c r="R1696" s="376"/>
      <c r="S1696" s="376"/>
      <c r="T1696" s="376"/>
      <c r="U1696" s="376"/>
      <c r="V1696" s="376"/>
      <c r="W1696" s="376"/>
      <c r="X1696" s="376"/>
      <c r="Y1696" s="377"/>
      <c r="Z1696" s="373"/>
      <c r="AA1696" s="376"/>
      <c r="AB1696" s="376"/>
      <c r="AC1696" s="39"/>
      <c r="AD1696" s="34"/>
      <c r="AE1696" s="39"/>
      <c r="AF1696" s="39"/>
      <c r="AG1696" s="40"/>
      <c r="AH1696" s="40"/>
    </row>
    <row r="1697" spans="1:34" s="32" customFormat="1" ht="15" thickTop="1">
      <c r="A1697" s="338"/>
      <c r="B1697" s="338"/>
      <c r="C1697" s="350"/>
      <c r="D1697" s="351"/>
      <c r="E1697" s="366"/>
      <c r="F1697" s="338"/>
      <c r="G1697" s="338"/>
      <c r="H1697" s="338"/>
      <c r="I1697" s="353"/>
      <c r="J1697" s="338"/>
      <c r="K1697" s="338"/>
      <c r="L1697" s="338"/>
      <c r="M1697" s="361"/>
      <c r="N1697" s="355"/>
      <c r="O1697" s="355"/>
      <c r="P1697" s="355"/>
      <c r="Q1697" s="378"/>
      <c r="R1697" s="379"/>
      <c r="S1697" s="379"/>
      <c r="T1697" s="379"/>
      <c r="U1697" s="379"/>
      <c r="V1697" s="379"/>
      <c r="W1697" s="379"/>
      <c r="X1697" s="379"/>
      <c r="Y1697" s="380"/>
      <c r="Z1697" s="381"/>
      <c r="AA1697" s="379"/>
      <c r="AB1697" s="379"/>
      <c r="AC1697" s="103"/>
      <c r="AD1697" s="100"/>
      <c r="AE1697" s="103"/>
      <c r="AF1697" s="103"/>
      <c r="AG1697" s="104"/>
      <c r="AH1697" s="104"/>
    </row>
    <row r="1698" spans="1:34" s="32" customFormat="1">
      <c r="A1698" s="382"/>
      <c r="B1698" s="382"/>
      <c r="C1698" s="383"/>
      <c r="D1698" s="384"/>
      <c r="E1698" s="385"/>
      <c r="F1698" s="382"/>
      <c r="G1698" s="382"/>
      <c r="H1698" s="382"/>
      <c r="I1698" s="386"/>
      <c r="J1698" s="382"/>
      <c r="K1698" s="382"/>
      <c r="L1698" s="382"/>
      <c r="M1698" s="387"/>
      <c r="N1698" s="388"/>
      <c r="O1698" s="388"/>
      <c r="P1698" s="389"/>
      <c r="Q1698" s="390"/>
      <c r="R1698" s="390"/>
      <c r="S1698" s="390"/>
      <c r="T1698" s="390"/>
      <c r="U1698" s="390"/>
      <c r="V1698" s="390"/>
      <c r="W1698" s="390"/>
      <c r="X1698" s="390"/>
      <c r="Y1698" s="391"/>
      <c r="Z1698" s="392"/>
      <c r="AA1698" s="390"/>
      <c r="AB1698" s="390"/>
      <c r="AC1698" s="116"/>
      <c r="AD1698" s="113"/>
      <c r="AE1698" s="116"/>
      <c r="AF1698" s="116"/>
      <c r="AG1698" s="117"/>
      <c r="AH1698" s="117"/>
    </row>
    <row r="1699" spans="1:34">
      <c r="A1699" s="306"/>
      <c r="B1699" s="306"/>
      <c r="C1699" s="393"/>
      <c r="D1699" s="308"/>
      <c r="E1699" s="309"/>
      <c r="F1699" s="306"/>
      <c r="G1699" s="306"/>
      <c r="H1699" s="306"/>
      <c r="I1699" s="310"/>
      <c r="J1699" s="306"/>
      <c r="K1699" s="306"/>
      <c r="L1699" s="306"/>
      <c r="M1699" s="311"/>
      <c r="N1699" s="312"/>
      <c r="O1699" s="312"/>
      <c r="P1699" s="312"/>
      <c r="Q1699" s="394"/>
      <c r="R1699" s="394"/>
      <c r="S1699" s="394"/>
      <c r="T1699" s="394"/>
      <c r="U1699" s="394"/>
      <c r="V1699" s="394"/>
      <c r="W1699" s="394"/>
      <c r="X1699" s="394"/>
      <c r="Y1699" s="316"/>
      <c r="Z1699" s="310"/>
      <c r="AA1699" s="394"/>
      <c r="AB1699" s="394"/>
    </row>
    <row r="1700" spans="1:34">
      <c r="Q1700" s="398"/>
      <c r="R1700" s="398"/>
      <c r="S1700" s="398"/>
      <c r="T1700" s="398"/>
      <c r="U1700" s="398"/>
      <c r="V1700" s="398"/>
      <c r="W1700" s="398"/>
      <c r="X1700" s="398"/>
      <c r="AA1700" s="398"/>
      <c r="AB1700" s="398"/>
    </row>
    <row r="1701" spans="1:34">
      <c r="Q1701" s="398"/>
      <c r="R1701" s="398"/>
      <c r="S1701" s="398"/>
      <c r="T1701" s="398"/>
      <c r="U1701" s="398"/>
      <c r="V1701" s="398"/>
      <c r="W1701" s="398"/>
      <c r="X1701" s="398"/>
      <c r="AA1701" s="398"/>
      <c r="AB1701" s="398"/>
    </row>
    <row r="1703" spans="1:34">
      <c r="O1703" s="400"/>
      <c r="P1703" s="400"/>
      <c r="Q1703" s="400"/>
      <c r="R1703" s="400"/>
      <c r="S1703" s="400"/>
      <c r="T1703" s="400"/>
      <c r="U1703" s="400"/>
      <c r="V1703" s="400"/>
      <c r="W1703" s="400"/>
      <c r="X1703" s="400"/>
      <c r="Z1703" s="399"/>
      <c r="AA1703" s="400"/>
      <c r="AB1703" s="400"/>
    </row>
    <row r="1706" spans="1:34">
      <c r="O1706" s="400"/>
      <c r="P1706" s="400"/>
      <c r="Q1706" s="400"/>
    </row>
    <row r="1707" spans="1:34">
      <c r="O1707" s="400"/>
    </row>
    <row r="1708" spans="1:34">
      <c r="O1708" s="398"/>
    </row>
    <row r="1709" spans="1:34">
      <c r="O1709" s="400"/>
    </row>
    <row r="1710" spans="1:34">
      <c r="O1710" s="398"/>
    </row>
  </sheetData>
  <pageMargins left="0.7" right="0.7" top="0.75" bottom="0.75" header="0.3" footer="0.3"/>
  <pageSetup paperSize="9" scale="22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84433" r:id="rId4" name="ComboBox 18">
              <controlPr defaultSize="0" print="0" autoFill="0" autoLine="0" autoPict="0">
                <anchor moveWithCells="1" sizeWithCells="1">
                  <from>
                    <xdr:col>7</xdr:col>
                    <xdr:colOff>0</xdr:colOff>
                    <xdr:row>203</xdr:row>
                    <xdr:rowOff>0</xdr:rowOff>
                  </from>
                  <to>
                    <xdr:col>8</xdr:col>
                    <xdr:colOff>152400</xdr:colOff>
                    <xdr:row>203</xdr:row>
                    <xdr:rowOff>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C4DB-E5DD-4566-80F6-30C1D3714260}">
  <sheetPr filterMode="1"/>
  <dimension ref="A2:U357"/>
  <sheetViews>
    <sheetView workbookViewId="0">
      <pane ySplit="2" topLeftCell="A3" activePane="bottomLeft" state="frozen"/>
      <selection pane="bottomLeft" activeCell="E269" sqref="E269"/>
    </sheetView>
  </sheetViews>
  <sheetFormatPr defaultRowHeight="14.4"/>
  <cols>
    <col min="2" max="2" width="23.33203125" customWidth="1"/>
    <col min="3" max="3" width="32.6640625" customWidth="1"/>
    <col min="4" max="4" width="14.6640625" customWidth="1"/>
    <col min="5" max="5" width="14.5546875" bestFit="1" customWidth="1"/>
    <col min="16" max="16" width="29.6640625" customWidth="1"/>
    <col min="17" max="17" width="34.109375" customWidth="1"/>
  </cols>
  <sheetData>
    <row r="2" spans="1:20">
      <c r="A2" s="330" t="s">
        <v>1642</v>
      </c>
      <c r="B2" s="333" t="s">
        <v>155</v>
      </c>
      <c r="C2" s="333" t="s">
        <v>156</v>
      </c>
      <c r="D2" s="549"/>
      <c r="E2" s="549" t="s">
        <v>1991</v>
      </c>
      <c r="J2" t="s">
        <v>1990</v>
      </c>
    </row>
    <row r="3" spans="1:20">
      <c r="A3" s="352" t="s">
        <v>11</v>
      </c>
      <c r="B3" s="463" t="s">
        <v>1643</v>
      </c>
      <c r="C3" s="463" t="s">
        <v>760</v>
      </c>
      <c r="D3" s="550">
        <f>SUMIFS('Revised RAO'!Q:Q,'Revised RAO'!E:E,'Transactions for Import (2)'!A3)</f>
        <v>150000</v>
      </c>
      <c r="E3" s="550"/>
      <c r="F3">
        <f t="shared" ref="F3:F66" si="0">COUNTIFS($A$3:$A$357,A3)</f>
        <v>1</v>
      </c>
      <c r="J3" t="s">
        <v>1134</v>
      </c>
      <c r="O3">
        <v>2143</v>
      </c>
      <c r="P3" t="s">
        <v>1762</v>
      </c>
      <c r="Q3" t="str">
        <f>VLOOKUP(O3,[4]ExportWorksheet!$B$2:$C$54,2,FALSE)</f>
        <v>A &amp; C Yelo Submarine Corporation</v>
      </c>
      <c r="R3">
        <v>6</v>
      </c>
      <c r="S3">
        <v>2004</v>
      </c>
      <c r="T3" t="s">
        <v>1659</v>
      </c>
    </row>
    <row r="4" spans="1:20" ht="27.6" hidden="1">
      <c r="A4" s="352" t="s">
        <v>8</v>
      </c>
      <c r="B4" s="463" t="s">
        <v>6</v>
      </c>
      <c r="C4" s="463" t="s">
        <v>761</v>
      </c>
      <c r="D4" s="550">
        <f>SUMIFS('Revised RAO'!Q:Q,'Revised RAO'!E:E,'Transactions for Import (2)'!A4)</f>
        <v>10000</v>
      </c>
      <c r="E4" s="550"/>
      <c r="F4">
        <f t="shared" si="0"/>
        <v>1</v>
      </c>
      <c r="J4" t="s">
        <v>836</v>
      </c>
      <c r="N4">
        <v>145</v>
      </c>
      <c r="O4">
        <v>2143</v>
      </c>
      <c r="P4" t="s">
        <v>1762</v>
      </c>
      <c r="Q4" t="str">
        <f>VLOOKUP(O4,[4]ExportWorksheet!$B$2:$C$54,2,FALSE)</f>
        <v>A &amp; C Yelo Submarine Corporation</v>
      </c>
      <c r="R4">
        <v>107</v>
      </c>
      <c r="S4">
        <v>2105</v>
      </c>
      <c r="T4" t="s">
        <v>1730</v>
      </c>
    </row>
    <row r="5" spans="1:20" ht="41.4" hidden="1">
      <c r="A5" s="352" t="s">
        <v>4</v>
      </c>
      <c r="B5" s="463" t="s">
        <v>10</v>
      </c>
      <c r="C5" s="463" t="s">
        <v>762</v>
      </c>
      <c r="D5" s="550">
        <f>SUMIFS('Revised RAO'!Q:Q,'Revised RAO'!E:E,'Transactions for Import (2)'!A5)</f>
        <v>1935301.23</v>
      </c>
      <c r="E5" s="550"/>
      <c r="F5">
        <f t="shared" si="0"/>
        <v>1</v>
      </c>
      <c r="J5" t="s">
        <v>1342</v>
      </c>
      <c r="Q5" t="e">
        <f>VLOOKUP(O5,[4]ExportWorksheet!$B$2:$C$54,2,FALSE)</f>
        <v>#N/A</v>
      </c>
      <c r="R5">
        <v>119</v>
      </c>
      <c r="S5">
        <v>2117</v>
      </c>
      <c r="T5" t="s">
        <v>1741</v>
      </c>
    </row>
    <row r="6" spans="1:20" ht="41.4" hidden="1">
      <c r="A6" s="352" t="s">
        <v>763</v>
      </c>
      <c r="B6" s="427" t="s">
        <v>764</v>
      </c>
      <c r="C6" s="463" t="s">
        <v>762</v>
      </c>
      <c r="D6" s="550">
        <f>SUMIFS('Revised RAO'!Q:Q,'Revised RAO'!E:E,'Transactions for Import (2)'!A6)</f>
        <v>452644.64</v>
      </c>
      <c r="E6" s="550"/>
      <c r="F6">
        <f t="shared" si="0"/>
        <v>1</v>
      </c>
      <c r="J6" t="s">
        <v>1436</v>
      </c>
      <c r="Q6" t="e">
        <f>VLOOKUP(O6,[4]ExportWorksheet!$B$2:$C$54,2,FALSE)</f>
        <v>#N/A</v>
      </c>
      <c r="R6">
        <v>82</v>
      </c>
      <c r="S6">
        <v>2080</v>
      </c>
      <c r="T6" t="s">
        <v>1710</v>
      </c>
    </row>
    <row r="7" spans="1:20" ht="41.4" hidden="1">
      <c r="A7" s="352" t="s">
        <v>766</v>
      </c>
      <c r="B7" s="463" t="s">
        <v>765</v>
      </c>
      <c r="C7" s="463" t="s">
        <v>762</v>
      </c>
      <c r="D7" s="550">
        <f>SUMIFS('Revised RAO'!Q:Q,'Revised RAO'!E:E,'Transactions for Import (2)'!A7)</f>
        <v>325034.35000000003</v>
      </c>
      <c r="E7" s="550"/>
      <c r="F7">
        <f t="shared" si="0"/>
        <v>1</v>
      </c>
      <c r="J7" t="s">
        <v>1315</v>
      </c>
      <c r="N7">
        <v>88</v>
      </c>
      <c r="O7">
        <v>2086</v>
      </c>
      <c r="P7" t="s">
        <v>1315</v>
      </c>
      <c r="Q7" t="str">
        <f>VLOOKUP(O7,[4]ExportWorksheet!$B$2:$C$54,2,FALSE)</f>
        <v>ANECO, INC.</v>
      </c>
      <c r="R7">
        <v>118</v>
      </c>
      <c r="S7">
        <v>2116</v>
      </c>
      <c r="T7" t="s">
        <v>1740</v>
      </c>
    </row>
    <row r="8" spans="1:20" ht="41.4" hidden="1">
      <c r="A8" s="352" t="s">
        <v>767</v>
      </c>
      <c r="B8" s="463" t="s">
        <v>768</v>
      </c>
      <c r="C8" s="463" t="s">
        <v>762</v>
      </c>
      <c r="D8" s="550">
        <f>SUMIFS('Revised RAO'!Q:Q,'Revised RAO'!E:E,'Transactions for Import (2)'!A8)</f>
        <v>666774.09000000008</v>
      </c>
      <c r="E8" s="550"/>
      <c r="F8">
        <f t="shared" si="0"/>
        <v>1</v>
      </c>
      <c r="J8" t="s">
        <v>773</v>
      </c>
      <c r="N8">
        <v>42</v>
      </c>
      <c r="O8">
        <v>2040</v>
      </c>
      <c r="P8" t="s">
        <v>773</v>
      </c>
      <c r="Q8" t="str">
        <f>VLOOKUP(O8,[4]ExportWorksheet!$B$2:$C$54,2,FALSE)</f>
        <v>ARLEEN P. PAHAMTANG</v>
      </c>
      <c r="R8">
        <v>74</v>
      </c>
      <c r="S8">
        <v>2072</v>
      </c>
      <c r="T8" t="s">
        <v>803</v>
      </c>
    </row>
    <row r="9" spans="1:20" hidden="1">
      <c r="A9" s="352" t="s">
        <v>772</v>
      </c>
      <c r="B9" s="463" t="s">
        <v>773</v>
      </c>
      <c r="C9" s="463" t="s">
        <v>774</v>
      </c>
      <c r="D9" s="550">
        <f>SUMIFS('Revised RAO'!Q:Q,'Revised RAO'!E:E,'Transactions for Import (2)'!A9)</f>
        <v>5000</v>
      </c>
      <c r="E9" s="550"/>
      <c r="F9">
        <f t="shared" si="0"/>
        <v>1</v>
      </c>
      <c r="J9" t="s">
        <v>1290</v>
      </c>
      <c r="Q9" t="e">
        <f>VLOOKUP(O9,[4]ExportWorksheet!$B$2:$C$54,2,FALSE)</f>
        <v>#N/A</v>
      </c>
      <c r="R9">
        <v>117</v>
      </c>
      <c r="S9">
        <v>2115</v>
      </c>
      <c r="T9" t="s">
        <v>1739</v>
      </c>
    </row>
    <row r="10" spans="1:20" ht="41.4" hidden="1">
      <c r="A10" s="352" t="s">
        <v>775</v>
      </c>
      <c r="B10" s="463" t="s">
        <v>777</v>
      </c>
      <c r="C10" s="463" t="s">
        <v>762</v>
      </c>
      <c r="D10" s="550">
        <f>SUMIFS('Revised RAO'!Q:Q,'Revised RAO'!E:E,'Transactions for Import (2)'!A10)</f>
        <v>452126.62</v>
      </c>
      <c r="E10" s="550"/>
      <c r="F10">
        <f t="shared" si="0"/>
        <v>1</v>
      </c>
      <c r="J10" t="s">
        <v>1562</v>
      </c>
      <c r="Q10" t="e">
        <f>VLOOKUP(O10,[4]ExportWorksheet!$B$2:$C$54,2,FALSE)</f>
        <v>#N/A</v>
      </c>
      <c r="R10">
        <v>140</v>
      </c>
      <c r="S10">
        <v>2138</v>
      </c>
      <c r="T10" t="s">
        <v>1758</v>
      </c>
    </row>
    <row r="11" spans="1:20" ht="27.6" hidden="1">
      <c r="A11" s="365" t="s">
        <v>778</v>
      </c>
      <c r="B11" s="427" t="s">
        <v>779</v>
      </c>
      <c r="C11" s="427" t="s">
        <v>850</v>
      </c>
      <c r="D11" s="550">
        <f>SUMIFS('Revised RAO'!Q:Q,'Revised RAO'!E:E,'Transactions for Import (2)'!A11)</f>
        <v>160190.04</v>
      </c>
      <c r="E11" s="550"/>
      <c r="F11">
        <f t="shared" si="0"/>
        <v>1</v>
      </c>
      <c r="J11" t="s">
        <v>1300</v>
      </c>
      <c r="Q11" t="e">
        <f>VLOOKUP(O11,[4]ExportWorksheet!$B$2:$C$54,2,FALSE)</f>
        <v>#N/A</v>
      </c>
      <c r="R11">
        <v>93</v>
      </c>
      <c r="S11">
        <v>2091</v>
      </c>
      <c r="T11" t="s">
        <v>1717</v>
      </c>
    </row>
    <row r="12" spans="1:20" ht="27.6" hidden="1">
      <c r="A12" s="352" t="s">
        <v>849</v>
      </c>
      <c r="B12" s="463" t="s">
        <v>779</v>
      </c>
      <c r="C12" s="463" t="s">
        <v>780</v>
      </c>
      <c r="D12" s="550">
        <f>SUMIFS('Revised RAO'!Q:Q,'Revised RAO'!E:E,'Transactions for Import (2)'!A12)</f>
        <v>10311.43</v>
      </c>
      <c r="E12" s="550"/>
      <c r="F12">
        <f t="shared" si="0"/>
        <v>1</v>
      </c>
      <c r="J12" t="s">
        <v>782</v>
      </c>
      <c r="N12">
        <v>50</v>
      </c>
      <c r="O12">
        <v>2048</v>
      </c>
      <c r="P12" t="s">
        <v>782</v>
      </c>
      <c r="Q12" t="str">
        <f>VLOOKUP(O12,[4]ExportWorksheet!$B$2:$C$54,2,FALSE)</f>
        <v>BUREAU OF THE TREASURY</v>
      </c>
      <c r="R12">
        <v>56</v>
      </c>
      <c r="S12">
        <v>2054</v>
      </c>
      <c r="T12" t="s">
        <v>1693</v>
      </c>
    </row>
    <row r="13" spans="1:20" ht="41.4" hidden="1">
      <c r="A13" s="352" t="s">
        <v>781</v>
      </c>
      <c r="B13" s="463" t="s">
        <v>782</v>
      </c>
      <c r="C13" s="463" t="s">
        <v>783</v>
      </c>
      <c r="D13" s="550">
        <f>SUMIFS('Revised RAO'!Q:Q,'Revised RAO'!E:E,'Transactions for Import (2)'!A13)</f>
        <v>11250</v>
      </c>
      <c r="E13" s="550"/>
      <c r="F13">
        <f t="shared" si="0"/>
        <v>1</v>
      </c>
      <c r="J13" t="s">
        <v>1511</v>
      </c>
      <c r="Q13" t="e">
        <f>VLOOKUP(O13,[4]ExportWorksheet!$B$2:$C$54,2,FALSE)</f>
        <v>#N/A</v>
      </c>
      <c r="R13">
        <v>116</v>
      </c>
      <c r="S13">
        <v>2114</v>
      </c>
      <c r="T13" t="s">
        <v>1738</v>
      </c>
    </row>
    <row r="14" spans="1:20" ht="41.4" hidden="1">
      <c r="A14" s="352" t="s">
        <v>787</v>
      </c>
      <c r="B14" s="463" t="s">
        <v>789</v>
      </c>
      <c r="C14" s="463" t="s">
        <v>762</v>
      </c>
      <c r="D14" s="550">
        <f>SUMIFS('Revised RAO'!Q:Q,'Revised RAO'!E:E,'Transactions for Import (2)'!A14)</f>
        <v>574114.94999999995</v>
      </c>
      <c r="E14" s="550"/>
      <c r="F14">
        <f t="shared" si="0"/>
        <v>1</v>
      </c>
      <c r="J14" t="s">
        <v>1072</v>
      </c>
      <c r="N14">
        <v>29</v>
      </c>
      <c r="O14">
        <v>2027</v>
      </c>
      <c r="P14" t="s">
        <v>1677</v>
      </c>
      <c r="Q14" t="str">
        <f>VLOOKUP(O14,[4]ExportWorksheet!$B$2:$C$54,2,FALSE)</f>
        <v>Busa Interbiz Center</v>
      </c>
      <c r="R14">
        <v>89</v>
      </c>
      <c r="S14">
        <v>2087</v>
      </c>
      <c r="T14" t="s">
        <v>1715</v>
      </c>
    </row>
    <row r="15" spans="1:20" ht="41.4" hidden="1">
      <c r="A15" s="352" t="s">
        <v>790</v>
      </c>
      <c r="B15" s="463" t="s">
        <v>791</v>
      </c>
      <c r="C15" s="463" t="s">
        <v>792</v>
      </c>
      <c r="D15" s="550">
        <f>SUMIFS('Revised RAO'!Q:Q,'Revised RAO'!E:E,'Transactions for Import (2)'!A15)</f>
        <v>2500</v>
      </c>
      <c r="E15" s="550"/>
      <c r="F15">
        <f t="shared" si="0"/>
        <v>1</v>
      </c>
      <c r="J15" t="s">
        <v>839</v>
      </c>
      <c r="N15">
        <v>66</v>
      </c>
      <c r="O15">
        <v>2064</v>
      </c>
      <c r="P15" t="s">
        <v>839</v>
      </c>
      <c r="Q15" t="str">
        <f>VLOOKUP(O15,[4]ExportWorksheet!$B$2:$C$54,2,FALSE)</f>
        <v>BUTUAN CITY WATER DISTRICT</v>
      </c>
      <c r="R15">
        <v>103</v>
      </c>
      <c r="S15">
        <v>2101</v>
      </c>
      <c r="T15" t="s">
        <v>1726</v>
      </c>
    </row>
    <row r="16" spans="1:20" ht="27.6" hidden="1">
      <c r="A16" s="352" t="s">
        <v>793</v>
      </c>
      <c r="B16" s="463" t="s">
        <v>794</v>
      </c>
      <c r="C16" s="463" t="s">
        <v>795</v>
      </c>
      <c r="D16" s="550">
        <f>SUMIFS('Revised RAO'!Q:Q,'Revised RAO'!E:E,'Transactions for Import (2)'!A16)</f>
        <v>0</v>
      </c>
      <c r="E16" s="550"/>
      <c r="F16">
        <f t="shared" si="0"/>
        <v>1</v>
      </c>
      <c r="J16" t="s">
        <v>1349</v>
      </c>
      <c r="Q16" t="e">
        <f>VLOOKUP(O16,[4]ExportWorksheet!$B$2:$C$54,2,FALSE)</f>
        <v>#N/A</v>
      </c>
      <c r="R16">
        <v>7</v>
      </c>
      <c r="S16">
        <v>2005</v>
      </c>
      <c r="T16" t="s">
        <v>1660</v>
      </c>
    </row>
    <row r="17" spans="1:20" hidden="1">
      <c r="A17" s="352" t="s">
        <v>807</v>
      </c>
      <c r="B17" s="463" t="s">
        <v>773</v>
      </c>
      <c r="C17" s="463" t="s">
        <v>808</v>
      </c>
      <c r="D17" s="550">
        <f>SUMIFS('Revised RAO'!Q:Q,'Revised RAO'!E:E,'Transactions for Import (2)'!A17)</f>
        <v>4313.25</v>
      </c>
      <c r="E17" s="550"/>
      <c r="F17">
        <f t="shared" si="0"/>
        <v>1</v>
      </c>
      <c r="J17" t="s">
        <v>1174</v>
      </c>
      <c r="Q17" t="e">
        <f>VLOOKUP(O17,[4]ExportWorksheet!$B$2:$C$54,2,FALSE)</f>
        <v>#N/A</v>
      </c>
      <c r="R17">
        <v>102</v>
      </c>
      <c r="S17">
        <v>2100</v>
      </c>
      <c r="T17" t="s">
        <v>1725</v>
      </c>
    </row>
    <row r="18" spans="1:20" ht="27.6" hidden="1">
      <c r="A18" s="352" t="s">
        <v>809</v>
      </c>
      <c r="B18" s="463" t="s">
        <v>810</v>
      </c>
      <c r="C18" s="463" t="s">
        <v>811</v>
      </c>
      <c r="D18" s="550">
        <f>SUMIFS('Revised RAO'!Q:Q,'Revised RAO'!E:E,'Transactions for Import (2)'!A18)</f>
        <v>22550.49</v>
      </c>
      <c r="E18" s="550"/>
      <c r="F18">
        <f t="shared" si="0"/>
        <v>1</v>
      </c>
      <c r="J18" t="s">
        <v>1506</v>
      </c>
      <c r="N18">
        <v>95</v>
      </c>
      <c r="O18">
        <v>2093</v>
      </c>
      <c r="P18" t="s">
        <v>1719</v>
      </c>
      <c r="Q18" t="e">
        <f>VLOOKUP(O18,[4]ExportWorksheet!$B$2:$C$54,2,FALSE)</f>
        <v>#N/A</v>
      </c>
      <c r="R18">
        <v>123</v>
      </c>
      <c r="S18">
        <v>2121</v>
      </c>
      <c r="T18" t="s">
        <v>1745</v>
      </c>
    </row>
    <row r="19" spans="1:20" ht="27.6" hidden="1">
      <c r="A19" s="352" t="s">
        <v>817</v>
      </c>
      <c r="B19" s="463" t="s">
        <v>818</v>
      </c>
      <c r="C19" s="463" t="s">
        <v>819</v>
      </c>
      <c r="D19" s="550">
        <f>SUMIFS('Revised RAO'!Q:Q,'Revised RAO'!E:E,'Transactions for Import (2)'!A19)</f>
        <v>7800</v>
      </c>
      <c r="E19" s="550"/>
      <c r="F19">
        <f t="shared" si="0"/>
        <v>1</v>
      </c>
      <c r="J19" t="s">
        <v>1325</v>
      </c>
      <c r="N19">
        <v>99</v>
      </c>
      <c r="O19">
        <v>2097</v>
      </c>
      <c r="P19" t="s">
        <v>1325</v>
      </c>
      <c r="Q19" t="str">
        <f>VLOOKUP(O19,[4]ExportWorksheet!$B$2:$C$54,2,FALSE)</f>
        <v>COMPAÑERO COMMERCIAL</v>
      </c>
      <c r="R19">
        <v>121</v>
      </c>
      <c r="S19">
        <v>2119</v>
      </c>
      <c r="T19" t="s">
        <v>1743</v>
      </c>
    </row>
    <row r="20" spans="1:20" ht="27.6" hidden="1">
      <c r="A20" s="352" t="s">
        <v>824</v>
      </c>
      <c r="B20" s="463" t="s">
        <v>820</v>
      </c>
      <c r="C20" s="463" t="s">
        <v>819</v>
      </c>
      <c r="D20" s="550">
        <f>SUMIFS('Revised RAO'!Q:Q,'Revised RAO'!E:E,'Transactions for Import (2)'!A20)</f>
        <v>7800</v>
      </c>
      <c r="E20" s="550"/>
      <c r="F20">
        <f t="shared" si="0"/>
        <v>1</v>
      </c>
      <c r="J20" t="s">
        <v>1480</v>
      </c>
      <c r="Q20" t="e">
        <f>VLOOKUP(O20,[4]ExportWorksheet!$B$2:$C$54,2,FALSE)</f>
        <v>#N/A</v>
      </c>
      <c r="R20">
        <v>8</v>
      </c>
      <c r="S20">
        <v>2006</v>
      </c>
      <c r="T20" t="s">
        <v>1661</v>
      </c>
    </row>
    <row r="21" spans="1:20" ht="27.6" hidden="1">
      <c r="A21" s="352" t="s">
        <v>825</v>
      </c>
      <c r="B21" s="463" t="s">
        <v>821</v>
      </c>
      <c r="C21" s="463" t="s">
        <v>819</v>
      </c>
      <c r="D21" s="550">
        <f>SUMIFS('Revised RAO'!Q:Q,'Revised RAO'!E:E,'Transactions for Import (2)'!A21)</f>
        <v>7800</v>
      </c>
      <c r="E21" s="550"/>
      <c r="F21">
        <f t="shared" si="0"/>
        <v>1</v>
      </c>
      <c r="J21" t="s">
        <v>1382</v>
      </c>
      <c r="Q21" t="e">
        <f>VLOOKUP(O21,[4]ExportWorksheet!$B$2:$C$54,2,FALSE)</f>
        <v>#N/A</v>
      </c>
      <c r="R21">
        <v>21</v>
      </c>
      <c r="S21">
        <v>2019</v>
      </c>
      <c r="T21" t="s">
        <v>1671</v>
      </c>
    </row>
    <row r="22" spans="1:20" ht="27.6" hidden="1">
      <c r="A22" s="352" t="s">
        <v>826</v>
      </c>
      <c r="B22" s="463" t="s">
        <v>822</v>
      </c>
      <c r="C22" s="463" t="s">
        <v>819</v>
      </c>
      <c r="D22" s="550">
        <f>SUMIFS('Revised RAO'!Q:Q,'Revised RAO'!E:E,'Transactions for Import (2)'!A22)</f>
        <v>7800</v>
      </c>
      <c r="E22" s="550"/>
      <c r="F22">
        <f t="shared" si="0"/>
        <v>1</v>
      </c>
      <c r="J22" t="s">
        <v>1344</v>
      </c>
      <c r="Q22" t="e">
        <f>VLOOKUP(O22,[4]ExportWorksheet!$B$2:$C$54,2,FALSE)</f>
        <v>#N/A</v>
      </c>
      <c r="R22">
        <v>22</v>
      </c>
      <c r="S22">
        <v>2020</v>
      </c>
      <c r="T22" t="s">
        <v>1672</v>
      </c>
    </row>
    <row r="23" spans="1:20" ht="27.6" hidden="1">
      <c r="A23" s="352" t="s">
        <v>827</v>
      </c>
      <c r="B23" s="463" t="s">
        <v>823</v>
      </c>
      <c r="C23" s="463" t="s">
        <v>819</v>
      </c>
      <c r="D23" s="550">
        <f>SUMIFS('Revised RAO'!Q:Q,'Revised RAO'!E:E,'Transactions for Import (2)'!A23)</f>
        <v>7800</v>
      </c>
      <c r="E23" s="550"/>
      <c r="F23">
        <f t="shared" si="0"/>
        <v>1</v>
      </c>
      <c r="J23" t="s">
        <v>1362</v>
      </c>
      <c r="N23">
        <v>108</v>
      </c>
      <c r="O23">
        <v>2106</v>
      </c>
      <c r="P23" t="s">
        <v>1362</v>
      </c>
      <c r="Q23" t="e">
        <f>VLOOKUP(O23,[4]ExportWorksheet!$B$2:$C$54,2,FALSE)</f>
        <v>#N/A</v>
      </c>
      <c r="R23">
        <v>23</v>
      </c>
      <c r="S23">
        <v>2021</v>
      </c>
      <c r="T23" t="s">
        <v>1673</v>
      </c>
    </row>
    <row r="24" spans="1:20" ht="27.6" hidden="1">
      <c r="A24" s="352" t="s">
        <v>829</v>
      </c>
      <c r="B24" s="463" t="s">
        <v>830</v>
      </c>
      <c r="C24" s="463" t="s">
        <v>831</v>
      </c>
      <c r="D24" s="550">
        <f>SUMIFS('Revised RAO'!Q:Q,'Revised RAO'!E:E,'Transactions for Import (2)'!A24)</f>
        <v>59500</v>
      </c>
      <c r="E24" s="550"/>
      <c r="F24">
        <f t="shared" si="0"/>
        <v>1</v>
      </c>
      <c r="J24" t="s">
        <v>779</v>
      </c>
      <c r="N24">
        <v>108</v>
      </c>
      <c r="O24">
        <v>2106</v>
      </c>
      <c r="P24" t="s">
        <v>1362</v>
      </c>
      <c r="Q24" t="e">
        <f>VLOOKUP(O24,[4]ExportWorksheet!$B$2:$C$54,2,FALSE)</f>
        <v>#N/A</v>
      </c>
      <c r="R24">
        <v>65</v>
      </c>
      <c r="S24">
        <v>2063</v>
      </c>
      <c r="T24" t="s">
        <v>1697</v>
      </c>
    </row>
    <row r="25" spans="1:20" ht="27.6" hidden="1">
      <c r="A25" s="352" t="s">
        <v>832</v>
      </c>
      <c r="B25" s="463" t="s">
        <v>833</v>
      </c>
      <c r="C25" s="463" t="s">
        <v>834</v>
      </c>
      <c r="D25" s="550">
        <f>SUMIFS('Revised RAO'!Q:Q,'Revised RAO'!E:E,'Transactions for Import (2)'!A25)</f>
        <v>18046.37</v>
      </c>
      <c r="E25" s="550"/>
      <c r="F25">
        <f t="shared" si="0"/>
        <v>1</v>
      </c>
      <c r="J25" t="s">
        <v>1337</v>
      </c>
      <c r="Q25" t="e">
        <f>VLOOKUP(O25,[4]ExportWorksheet!$B$2:$C$54,2,FALSE)</f>
        <v>#N/A</v>
      </c>
      <c r="R25">
        <v>85</v>
      </c>
      <c r="S25">
        <v>2083</v>
      </c>
      <c r="T25" t="s">
        <v>1712</v>
      </c>
    </row>
    <row r="26" spans="1:20" ht="27.6" hidden="1">
      <c r="A26" s="352" t="s">
        <v>835</v>
      </c>
      <c r="B26" s="463" t="s">
        <v>836</v>
      </c>
      <c r="C26" s="463" t="s">
        <v>837</v>
      </c>
      <c r="D26" s="550">
        <f>SUMIFS('Revised RAO'!Q:Q,'Revised RAO'!E:E,'Transactions for Import (2)'!A26)</f>
        <v>3675</v>
      </c>
      <c r="E26" s="550"/>
      <c r="F26">
        <f t="shared" si="0"/>
        <v>1</v>
      </c>
      <c r="J26" t="s">
        <v>6</v>
      </c>
      <c r="N26">
        <v>125</v>
      </c>
      <c r="O26">
        <v>2123</v>
      </c>
      <c r="P26" t="s">
        <v>6</v>
      </c>
      <c r="Q26" t="str">
        <f>VLOOKUP(O26,[4]ExportWorksheet!$B$2:$C$54,2,FALSE)</f>
        <v>EDWIN O. BANQUERIGO</v>
      </c>
      <c r="R26">
        <v>71</v>
      </c>
      <c r="S26">
        <v>2069</v>
      </c>
      <c r="T26" t="s">
        <v>1702</v>
      </c>
    </row>
    <row r="27" spans="1:20" ht="41.4" hidden="1">
      <c r="A27" s="352" t="s">
        <v>838</v>
      </c>
      <c r="B27" s="463" t="s">
        <v>839</v>
      </c>
      <c r="C27" s="463" t="s">
        <v>840</v>
      </c>
      <c r="D27" s="550">
        <f>SUMIFS('Revised RAO'!Q:Q,'Revised RAO'!E:E,'Transactions for Import (2)'!A27)</f>
        <v>10895.41</v>
      </c>
      <c r="E27" s="550"/>
      <c r="F27">
        <f t="shared" si="0"/>
        <v>1</v>
      </c>
      <c r="J27" t="s">
        <v>1339</v>
      </c>
      <c r="N27">
        <v>124</v>
      </c>
      <c r="O27">
        <v>2122</v>
      </c>
      <c r="P27" t="s">
        <v>1339</v>
      </c>
      <c r="Q27" t="e">
        <f>VLOOKUP(O27,[4]ExportWorksheet!$B$2:$C$54,2,FALSE)</f>
        <v>#N/A</v>
      </c>
      <c r="R27">
        <v>133</v>
      </c>
      <c r="S27">
        <v>2131</v>
      </c>
      <c r="T27" t="s">
        <v>1752</v>
      </c>
    </row>
    <row r="28" spans="1:20" ht="27.6" hidden="1">
      <c r="A28" s="352" t="s">
        <v>841</v>
      </c>
      <c r="B28" s="463" t="s">
        <v>843</v>
      </c>
      <c r="C28" s="463" t="s">
        <v>855</v>
      </c>
      <c r="D28" s="550">
        <f>SUMIFS('Revised RAO'!Q:Q,'Revised RAO'!E:E,'Transactions for Import (2)'!A28)</f>
        <v>14080</v>
      </c>
      <c r="E28" s="550"/>
      <c r="F28">
        <f t="shared" si="0"/>
        <v>1</v>
      </c>
      <c r="J28" t="s">
        <v>1172</v>
      </c>
      <c r="Q28" t="e">
        <f>VLOOKUP(O28,[4]ExportWorksheet!$B$2:$C$54,2,FALSE)</f>
        <v>#N/A</v>
      </c>
      <c r="R28">
        <v>134</v>
      </c>
      <c r="S28">
        <v>2132</v>
      </c>
      <c r="T28" t="s">
        <v>1753</v>
      </c>
    </row>
    <row r="29" spans="1:20" ht="55.2" hidden="1">
      <c r="A29" s="352" t="s">
        <v>846</v>
      </c>
      <c r="B29" s="463" t="s">
        <v>847</v>
      </c>
      <c r="C29" s="463" t="s">
        <v>848</v>
      </c>
      <c r="D29" s="550">
        <f>SUMIFS('Revised RAO'!Q:Q,'Revised RAO'!E:E,'Transactions for Import (2)'!A29)</f>
        <v>1880</v>
      </c>
      <c r="E29" s="550"/>
      <c r="F29">
        <f t="shared" si="0"/>
        <v>1</v>
      </c>
      <c r="J29" t="s">
        <v>797</v>
      </c>
      <c r="N29">
        <v>64</v>
      </c>
      <c r="O29">
        <v>2062</v>
      </c>
      <c r="P29" t="s">
        <v>797</v>
      </c>
      <c r="Q29" t="e">
        <f>VLOOKUP(O29,[4]ExportWorksheet!$B$2:$C$54,2,FALSE)</f>
        <v>#N/A</v>
      </c>
      <c r="R29">
        <v>67</v>
      </c>
      <c r="S29">
        <v>2065</v>
      </c>
      <c r="T29" t="s">
        <v>1698</v>
      </c>
    </row>
    <row r="30" spans="1:20" ht="27.6" hidden="1">
      <c r="A30" s="404" t="s">
        <v>851</v>
      </c>
      <c r="B30" s="409" t="s">
        <v>852</v>
      </c>
      <c r="C30" s="409" t="s">
        <v>853</v>
      </c>
      <c r="D30" s="550">
        <f>SUMIFS('Revised RAO'!Q:Q,'Revised RAO'!E:E,'Transactions for Import (2)'!A30)</f>
        <v>0</v>
      </c>
      <c r="E30" s="550"/>
      <c r="F30">
        <f t="shared" si="0"/>
        <v>1</v>
      </c>
      <c r="J30" t="s">
        <v>1418</v>
      </c>
      <c r="Q30" t="e">
        <f>VLOOKUP(O30,[4]ExportWorksheet!$B$2:$C$54,2,FALSE)</f>
        <v>#N/A</v>
      </c>
      <c r="R30">
        <v>130</v>
      </c>
      <c r="S30">
        <v>2128</v>
      </c>
      <c r="T30" t="s">
        <v>1750</v>
      </c>
    </row>
    <row r="31" spans="1:20" ht="27.6" hidden="1">
      <c r="A31" s="352" t="s">
        <v>854</v>
      </c>
      <c r="B31" s="463" t="s">
        <v>843</v>
      </c>
      <c r="C31" s="463" t="s">
        <v>855</v>
      </c>
      <c r="D31" s="550">
        <f>SUMIFS('Revised RAO'!Q:Q,'Revised RAO'!E:E,'Transactions for Import (2)'!A31)</f>
        <v>20061.82</v>
      </c>
      <c r="E31" s="550"/>
      <c r="F31">
        <f t="shared" si="0"/>
        <v>1</v>
      </c>
      <c r="J31" t="s">
        <v>1131</v>
      </c>
      <c r="N31">
        <v>131</v>
      </c>
      <c r="O31">
        <v>2129</v>
      </c>
      <c r="P31" t="s">
        <v>1131</v>
      </c>
      <c r="Q31" t="e">
        <f>VLOOKUP(O31,[4]ExportWorksheet!$B$2:$C$54,2,FALSE)</f>
        <v>#N/A</v>
      </c>
      <c r="R31">
        <v>49</v>
      </c>
      <c r="S31">
        <v>2047</v>
      </c>
      <c r="T31" t="s">
        <v>1690</v>
      </c>
    </row>
    <row r="32" spans="1:20" ht="27.6" hidden="1">
      <c r="A32" s="352" t="s">
        <v>856</v>
      </c>
      <c r="B32" s="463" t="s">
        <v>843</v>
      </c>
      <c r="C32" s="463" t="s">
        <v>855</v>
      </c>
      <c r="D32" s="550">
        <f>SUMIFS('Revised RAO'!Q:Q,'Revised RAO'!E:E,'Transactions for Import (2)'!A32)</f>
        <v>33474</v>
      </c>
      <c r="E32" s="550"/>
      <c r="F32">
        <f t="shared" si="0"/>
        <v>1</v>
      </c>
      <c r="J32" s="548" t="s">
        <v>1462</v>
      </c>
      <c r="Q32" t="e">
        <f>VLOOKUP(O32,[4]ExportWorksheet!$B$2:$C$54,2,FALSE)</f>
        <v>#N/A</v>
      </c>
      <c r="R32">
        <v>142</v>
      </c>
      <c r="S32">
        <v>2140</v>
      </c>
      <c r="T32" t="s">
        <v>1759</v>
      </c>
    </row>
    <row r="33" spans="1:20" ht="27.6" hidden="1">
      <c r="A33" s="404" t="s">
        <v>858</v>
      </c>
      <c r="B33" s="409" t="s">
        <v>859</v>
      </c>
      <c r="C33" s="409" t="s">
        <v>860</v>
      </c>
      <c r="D33" s="550">
        <f>SUMIFS('Revised RAO'!Q:Q,'Revised RAO'!E:E,'Transactions for Import (2)'!A33)</f>
        <v>0</v>
      </c>
      <c r="E33" s="550"/>
      <c r="F33">
        <f t="shared" si="0"/>
        <v>1</v>
      </c>
      <c r="J33" s="548" t="s">
        <v>1235</v>
      </c>
      <c r="Q33" t="e">
        <f>VLOOKUP(O33,[4]ExportWorksheet!$B$2:$C$54,2,FALSE)</f>
        <v>#N/A</v>
      </c>
      <c r="R33">
        <v>35</v>
      </c>
      <c r="S33">
        <v>2033</v>
      </c>
      <c r="T33" t="s">
        <v>1681</v>
      </c>
    </row>
    <row r="34" spans="1:20" ht="41.4" hidden="1">
      <c r="A34" s="352" t="s">
        <v>861</v>
      </c>
      <c r="B34" s="463" t="s">
        <v>863</v>
      </c>
      <c r="C34" s="463" t="s">
        <v>864</v>
      </c>
      <c r="D34" s="550">
        <f>SUMIFS('Revised RAO'!Q:Q,'Revised RAO'!E:E,'Transactions for Import (2)'!A34)</f>
        <v>51777.94</v>
      </c>
      <c r="E34" s="550"/>
      <c r="F34">
        <f t="shared" si="0"/>
        <v>1</v>
      </c>
      <c r="J34" t="s">
        <v>794</v>
      </c>
      <c r="N34">
        <v>28</v>
      </c>
      <c r="O34">
        <v>2026</v>
      </c>
      <c r="P34" t="s">
        <v>1676</v>
      </c>
      <c r="Q34" t="str">
        <f>VLOOKUP(O34,[4]ExportWorksheet!$B$2:$C$54,2,FALSE)</f>
        <v>Fil Products Service TV Butuan, Inc.</v>
      </c>
      <c r="R34">
        <v>122</v>
      </c>
      <c r="S34">
        <v>2120</v>
      </c>
      <c r="T34" t="s">
        <v>1744</v>
      </c>
    </row>
    <row r="35" spans="1:20" ht="41.4" hidden="1">
      <c r="A35" s="352" t="s">
        <v>865</v>
      </c>
      <c r="B35" s="463" t="s">
        <v>789</v>
      </c>
      <c r="C35" s="463" t="s">
        <v>864</v>
      </c>
      <c r="D35" s="550">
        <f>SUMIFS('Revised RAO'!Q:Q,'Revised RAO'!E:E,'Transactions for Import (2)'!A35)</f>
        <v>92085.57</v>
      </c>
      <c r="E35" s="550"/>
      <c r="F35">
        <f t="shared" si="0"/>
        <v>1</v>
      </c>
      <c r="J35" t="s">
        <v>1062</v>
      </c>
      <c r="Q35" t="e">
        <f>VLOOKUP(O35,[4]ExportWorksheet!$B$2:$C$54,2,FALSE)</f>
        <v>#N/A</v>
      </c>
      <c r="R35">
        <v>105</v>
      </c>
      <c r="S35">
        <v>2103</v>
      </c>
      <c r="T35" t="s">
        <v>1728</v>
      </c>
    </row>
    <row r="36" spans="1:20" ht="41.4" hidden="1">
      <c r="A36" s="352" t="s">
        <v>866</v>
      </c>
      <c r="B36" s="463" t="s">
        <v>867</v>
      </c>
      <c r="C36" s="463" t="s">
        <v>864</v>
      </c>
      <c r="D36" s="550">
        <f>SUMIFS('Revised RAO'!Q:Q,'Revised RAO'!E:E,'Transactions for Import (2)'!A36)</f>
        <v>40307.629999999997</v>
      </c>
      <c r="E36" s="550"/>
      <c r="F36">
        <f t="shared" si="0"/>
        <v>1</v>
      </c>
      <c r="J36" s="548" t="s">
        <v>791</v>
      </c>
      <c r="Q36" t="e">
        <f>VLOOKUP(O36,[4]ExportWorksheet!$B$2:$C$54,2,FALSE)</f>
        <v>#N/A</v>
      </c>
      <c r="R36">
        <v>114</v>
      </c>
      <c r="S36">
        <v>2112</v>
      </c>
      <c r="T36" t="s">
        <v>1736</v>
      </c>
    </row>
    <row r="37" spans="1:20" ht="41.4" hidden="1">
      <c r="A37" s="352" t="s">
        <v>868</v>
      </c>
      <c r="B37" s="463" t="s">
        <v>869</v>
      </c>
      <c r="C37" s="463" t="s">
        <v>864</v>
      </c>
      <c r="D37" s="550">
        <f>SUMIFS('Revised RAO'!Q:Q,'Revised RAO'!E:E,'Transactions for Import (2)'!A37)</f>
        <v>40307.629999999997</v>
      </c>
      <c r="E37" s="550"/>
      <c r="F37">
        <f t="shared" si="0"/>
        <v>1</v>
      </c>
      <c r="J37" s="548" t="s">
        <v>796</v>
      </c>
      <c r="Q37" t="e">
        <f>VLOOKUP(O37,[4]ExportWorksheet!$B$2:$C$54,2,FALSE)</f>
        <v>#N/A</v>
      </c>
      <c r="R37">
        <v>104</v>
      </c>
      <c r="S37">
        <v>2102</v>
      </c>
      <c r="T37" t="s">
        <v>1727</v>
      </c>
    </row>
    <row r="38" spans="1:20" ht="41.4" hidden="1">
      <c r="A38" s="352" t="s">
        <v>870</v>
      </c>
      <c r="B38" s="463" t="s">
        <v>768</v>
      </c>
      <c r="C38" s="463" t="s">
        <v>864</v>
      </c>
      <c r="D38" s="550">
        <f>SUMIFS('Revised RAO'!Q:Q,'Revised RAO'!E:E,'Transactions for Import (2)'!A38)</f>
        <v>92085.57</v>
      </c>
      <c r="E38" s="550"/>
      <c r="F38">
        <f t="shared" si="0"/>
        <v>1</v>
      </c>
      <c r="J38" t="s">
        <v>1102</v>
      </c>
      <c r="N38">
        <v>5</v>
      </c>
      <c r="O38">
        <v>2003</v>
      </c>
      <c r="P38" t="s">
        <v>1102</v>
      </c>
      <c r="Q38" t="str">
        <f>VLOOKUP(O38,[4]ExportWorksheet!$B$2:$C$54,2,FALSE)</f>
        <v>GLOBE TELECOM, INC.</v>
      </c>
      <c r="R38">
        <v>115</v>
      </c>
      <c r="S38">
        <v>2113</v>
      </c>
      <c r="T38" t="s">
        <v>1737</v>
      </c>
    </row>
    <row r="39" spans="1:20" ht="41.4" hidden="1">
      <c r="A39" s="352" t="s">
        <v>871</v>
      </c>
      <c r="B39" s="463" t="s">
        <v>872</v>
      </c>
      <c r="C39" s="463" t="s">
        <v>864</v>
      </c>
      <c r="D39" s="550">
        <f>SUMIFS('Revised RAO'!Q:Q,'Revised RAO'!E:E,'Transactions for Import (2)'!A39)</f>
        <v>40307.629999999997</v>
      </c>
      <c r="E39" s="550"/>
      <c r="F39">
        <f t="shared" si="0"/>
        <v>1</v>
      </c>
      <c r="J39" t="s">
        <v>1105</v>
      </c>
      <c r="N39">
        <v>32</v>
      </c>
      <c r="O39">
        <v>2030</v>
      </c>
      <c r="P39" t="s">
        <v>1105</v>
      </c>
      <c r="Q39" t="e">
        <f>VLOOKUP(O39,[4]ExportWorksheet!$B$2:$C$54,2,FALSE)</f>
        <v>#N/A</v>
      </c>
      <c r="R39">
        <v>70</v>
      </c>
      <c r="S39">
        <v>2068</v>
      </c>
      <c r="T39" t="s">
        <v>1701</v>
      </c>
    </row>
    <row r="40" spans="1:20" ht="27.6">
      <c r="A40" s="352" t="s">
        <v>1029</v>
      </c>
      <c r="B40" s="463" t="s">
        <v>1030</v>
      </c>
      <c r="C40" s="463" t="s">
        <v>1031</v>
      </c>
      <c r="D40" s="550">
        <f>SUMIFS('Revised RAO'!Q:Q,'Revised RAO'!E:E,'Transactions for Import (2)'!A40)</f>
        <v>150000</v>
      </c>
      <c r="E40" s="550"/>
      <c r="F40">
        <f t="shared" si="0"/>
        <v>1</v>
      </c>
      <c r="J40" t="s">
        <v>1275</v>
      </c>
      <c r="Q40" t="e">
        <f>VLOOKUP(O40,[4]ExportWorksheet!$B$2:$C$54,2,FALSE)</f>
        <v>#N/A</v>
      </c>
      <c r="R40">
        <v>98</v>
      </c>
      <c r="S40">
        <v>2096</v>
      </c>
      <c r="T40" t="s">
        <v>1722</v>
      </c>
    </row>
    <row r="41" spans="1:20" ht="27.6" hidden="1">
      <c r="A41" s="352" t="s">
        <v>1032</v>
      </c>
      <c r="B41" s="463" t="s">
        <v>6</v>
      </c>
      <c r="C41" s="463" t="s">
        <v>1033</v>
      </c>
      <c r="D41" s="550">
        <f>SUMIFS('Revised RAO'!Q:Q,'Revised RAO'!E:E,'Transactions for Import (2)'!A41)</f>
        <v>10000</v>
      </c>
      <c r="E41" s="550"/>
      <c r="F41">
        <f t="shared" si="0"/>
        <v>1</v>
      </c>
      <c r="J41" t="s">
        <v>1433</v>
      </c>
      <c r="N41">
        <v>41</v>
      </c>
      <c r="O41">
        <v>2039</v>
      </c>
      <c r="P41" t="s">
        <v>1433</v>
      </c>
      <c r="Q41" t="str">
        <f>VLOOKUP(O41,[4]ExportWorksheet!$B$2:$C$54,2,FALSE)</f>
        <v>HI-5 SIGNAGES FABRICATOR</v>
      </c>
      <c r="R41">
        <v>113</v>
      </c>
      <c r="S41">
        <v>2111</v>
      </c>
      <c r="T41" t="s">
        <v>1735</v>
      </c>
    </row>
    <row r="42" spans="1:20" ht="27.6">
      <c r="A42" s="352" t="s">
        <v>1034</v>
      </c>
      <c r="B42" s="463" t="s">
        <v>1030</v>
      </c>
      <c r="C42" s="463" t="s">
        <v>1035</v>
      </c>
      <c r="D42" s="550">
        <f>SUMIFS('Revised RAO'!Q:Q,'Revised RAO'!E:E,'Transactions for Import (2)'!A42)</f>
        <v>28636.36</v>
      </c>
      <c r="E42" s="550"/>
      <c r="F42">
        <f t="shared" si="0"/>
        <v>1</v>
      </c>
      <c r="J42" t="s">
        <v>1329</v>
      </c>
      <c r="Q42" t="e">
        <f>VLOOKUP(O42,[4]ExportWorksheet!$B$2:$C$54,2,FALSE)</f>
        <v>#N/A</v>
      </c>
      <c r="R42">
        <v>128</v>
      </c>
      <c r="S42">
        <v>2126</v>
      </c>
      <c r="T42" t="s">
        <v>1748</v>
      </c>
    </row>
    <row r="43" spans="1:20" ht="27.6" hidden="1">
      <c r="A43" s="352" t="s">
        <v>1046</v>
      </c>
      <c r="B43" s="463" t="s">
        <v>1036</v>
      </c>
      <c r="C43" s="463" t="s">
        <v>1037</v>
      </c>
      <c r="D43" s="550">
        <f>SUMIFS('Revised RAO'!Q:Q,'Revised RAO'!E:E,'Transactions for Import (2)'!A43)</f>
        <v>2073.09</v>
      </c>
      <c r="E43" s="550"/>
      <c r="F43">
        <f t="shared" si="0"/>
        <v>1</v>
      </c>
      <c r="J43" t="s">
        <v>1042</v>
      </c>
      <c r="Q43" t="e">
        <f>VLOOKUP(O43,[4]ExportWorksheet!$B$2:$C$54,2,FALSE)</f>
        <v>#N/A</v>
      </c>
      <c r="R43">
        <v>96</v>
      </c>
      <c r="S43">
        <v>2094</v>
      </c>
      <c r="T43" t="s">
        <v>1720</v>
      </c>
    </row>
    <row r="44" spans="1:20" ht="27.6" hidden="1">
      <c r="A44" s="404" t="s">
        <v>1047</v>
      </c>
      <c r="B44" s="409" t="s">
        <v>1038</v>
      </c>
      <c r="C44" s="409" t="s">
        <v>1039</v>
      </c>
      <c r="D44" s="550">
        <f>SUMIFS('Revised RAO'!Q:Q,'Revised RAO'!E:E,'Transactions for Import (2)'!A44)</f>
        <v>0</v>
      </c>
      <c r="E44" s="550"/>
      <c r="F44">
        <f t="shared" si="0"/>
        <v>1</v>
      </c>
      <c r="J44" t="s">
        <v>1189</v>
      </c>
      <c r="Q44" t="e">
        <f>VLOOKUP(O44,[4]ExportWorksheet!$B$2:$C$54,2,FALSE)</f>
        <v>#N/A</v>
      </c>
      <c r="R44">
        <v>94</v>
      </c>
      <c r="S44">
        <v>2092</v>
      </c>
      <c r="T44" t="s">
        <v>1718</v>
      </c>
    </row>
    <row r="45" spans="1:20" ht="27.6" hidden="1">
      <c r="A45" s="436" t="s">
        <v>1264</v>
      </c>
      <c r="B45" s="439" t="s">
        <v>852</v>
      </c>
      <c r="C45" s="439" t="s">
        <v>853</v>
      </c>
      <c r="D45" s="550">
        <f>SUMIFS('Revised RAO'!Q:Q,'Revised RAO'!E:E,'Transactions for Import (2)'!A45)</f>
        <v>17600</v>
      </c>
      <c r="E45" s="550"/>
      <c r="F45">
        <f t="shared" si="0"/>
        <v>1</v>
      </c>
      <c r="J45" t="s">
        <v>798</v>
      </c>
      <c r="N45">
        <v>43</v>
      </c>
      <c r="O45">
        <v>2041</v>
      </c>
      <c r="P45" t="s">
        <v>798</v>
      </c>
      <c r="Q45" t="e">
        <f>VLOOKUP(O45,[4]ExportWorksheet!$B$2:$C$54,2,FALSE)</f>
        <v>#N/A</v>
      </c>
      <c r="R45">
        <v>90</v>
      </c>
      <c r="S45">
        <v>2088</v>
      </c>
      <c r="T45" t="s">
        <v>1716</v>
      </c>
    </row>
    <row r="46" spans="1:20" ht="41.4" hidden="1">
      <c r="A46" s="352" t="s">
        <v>1048</v>
      </c>
      <c r="B46" s="463" t="s">
        <v>818</v>
      </c>
      <c r="C46" s="463" t="s">
        <v>1040</v>
      </c>
      <c r="D46" s="550">
        <f>SUMIFS('Revised RAO'!Q:Q,'Revised RAO'!E:E,'Transactions for Import (2)'!A46)</f>
        <v>80000</v>
      </c>
      <c r="E46" s="550"/>
      <c r="F46">
        <f t="shared" si="0"/>
        <v>1</v>
      </c>
      <c r="J46" t="s">
        <v>1245</v>
      </c>
      <c r="N46">
        <v>4</v>
      </c>
      <c r="O46">
        <v>2002</v>
      </c>
      <c r="P46" t="s">
        <v>1245</v>
      </c>
      <c r="Q46" t="str">
        <f>VLOOKUP(O46,[4]ExportWorksheet!$B$2:$C$54,2,FALSE)</f>
        <v>JMN MULTIMEDIA SALES AND SERVICES</v>
      </c>
      <c r="R46">
        <v>86</v>
      </c>
      <c r="S46">
        <v>2084</v>
      </c>
      <c r="T46" t="s">
        <v>1713</v>
      </c>
    </row>
    <row r="47" spans="1:20" ht="55.2" hidden="1">
      <c r="A47" s="352" t="s">
        <v>1049</v>
      </c>
      <c r="B47" s="463" t="s">
        <v>1062</v>
      </c>
      <c r="C47" s="463" t="s">
        <v>1041</v>
      </c>
      <c r="D47" s="550">
        <f>SUMIFS('Revised RAO'!Q:Q,'Revised RAO'!E:E,'Transactions for Import (2)'!A47)</f>
        <v>750</v>
      </c>
      <c r="E47" s="550"/>
      <c r="F47">
        <f t="shared" si="0"/>
        <v>1</v>
      </c>
      <c r="J47" t="s">
        <v>852</v>
      </c>
      <c r="N47">
        <v>55</v>
      </c>
      <c r="O47">
        <v>2053</v>
      </c>
      <c r="P47" t="s">
        <v>852</v>
      </c>
      <c r="Q47" t="e">
        <f>VLOOKUP(O47,[4]ExportWorksheet!$B$2:$C$54,2,FALSE)</f>
        <v>#N/A</v>
      </c>
      <c r="R47">
        <v>126</v>
      </c>
      <c r="S47">
        <v>2124</v>
      </c>
      <c r="T47" t="s">
        <v>1746</v>
      </c>
    </row>
    <row r="48" spans="1:20" ht="55.2" hidden="1">
      <c r="A48" s="352" t="s">
        <v>1050</v>
      </c>
      <c r="B48" s="463" t="s">
        <v>1042</v>
      </c>
      <c r="C48" s="463" t="s">
        <v>1041</v>
      </c>
      <c r="D48" s="550">
        <f>SUMIFS('Revised RAO'!Q:Q,'Revised RAO'!E:E,'Transactions for Import (2)'!A48)</f>
        <v>750</v>
      </c>
      <c r="E48" s="550"/>
      <c r="F48">
        <f t="shared" si="0"/>
        <v>1</v>
      </c>
      <c r="J48" t="s">
        <v>863</v>
      </c>
      <c r="N48">
        <v>81</v>
      </c>
      <c r="O48">
        <v>2079</v>
      </c>
      <c r="P48" t="s">
        <v>863</v>
      </c>
      <c r="Q48" t="str">
        <f>VLOOKUP(O48,[4]ExportWorksheet!$B$2:$C$54,2,FALSE)</f>
        <v>JOSELITO B. PALER</v>
      </c>
      <c r="R48">
        <v>97</v>
      </c>
      <c r="S48">
        <v>2095</v>
      </c>
      <c r="T48" t="s">
        <v>1721</v>
      </c>
    </row>
    <row r="49" spans="1:20" ht="55.2" hidden="1">
      <c r="A49" s="352" t="s">
        <v>1051</v>
      </c>
      <c r="B49" s="463" t="s">
        <v>1043</v>
      </c>
      <c r="C49" s="463" t="s">
        <v>1041</v>
      </c>
      <c r="D49" s="550">
        <f>SUMIFS('Revised RAO'!Q:Q,'Revised RAO'!E:E,'Transactions for Import (2)'!A49)</f>
        <v>750</v>
      </c>
      <c r="E49" s="550"/>
      <c r="F49">
        <f t="shared" si="0"/>
        <v>1</v>
      </c>
      <c r="J49" t="s">
        <v>1359</v>
      </c>
      <c r="N49">
        <v>92</v>
      </c>
      <c r="O49">
        <v>2090</v>
      </c>
      <c r="P49" t="s">
        <v>1359</v>
      </c>
      <c r="Q49" t="str">
        <f>VLOOKUP(O49,[4]ExportWorksheet!$B$2:$C$54,2,FALSE)</f>
        <v>JRS BUSINESS CORPORATION</v>
      </c>
      <c r="R49">
        <v>87</v>
      </c>
      <c r="S49">
        <v>2085</v>
      </c>
      <c r="T49" t="s">
        <v>1714</v>
      </c>
    </row>
    <row r="50" spans="1:20" ht="27.6" hidden="1">
      <c r="A50" s="352" t="s">
        <v>1052</v>
      </c>
      <c r="B50" s="463" t="s">
        <v>818</v>
      </c>
      <c r="C50" s="463" t="s">
        <v>1044</v>
      </c>
      <c r="D50" s="550">
        <f>SUMIFS('Revised RAO'!Q:Q,'Revised RAO'!E:E,'Transactions for Import (2)'!A50)</f>
        <v>97200</v>
      </c>
      <c r="E50" s="550"/>
      <c r="F50">
        <f t="shared" si="0"/>
        <v>1</v>
      </c>
      <c r="J50" t="s">
        <v>1523</v>
      </c>
      <c r="N50">
        <v>39</v>
      </c>
      <c r="O50">
        <v>2037</v>
      </c>
      <c r="P50" t="s">
        <v>1523</v>
      </c>
      <c r="Q50" t="e">
        <f>VLOOKUP(O50,[4]ExportWorksheet!$B$2:$C$54,2,FALSE)</f>
        <v>#N/A</v>
      </c>
      <c r="R50">
        <v>33</v>
      </c>
      <c r="S50">
        <v>2031</v>
      </c>
      <c r="T50" t="s">
        <v>1679</v>
      </c>
    </row>
    <row r="51" spans="1:20" ht="27.6" hidden="1">
      <c r="A51" s="352" t="s">
        <v>1053</v>
      </c>
      <c r="B51" s="463" t="s">
        <v>820</v>
      </c>
      <c r="C51" s="463" t="s">
        <v>1044</v>
      </c>
      <c r="D51" s="550">
        <f>SUMIFS('Revised RAO'!Q:Q,'Revised RAO'!E:E,'Transactions for Import (2)'!A51)</f>
        <v>97200</v>
      </c>
      <c r="E51" s="550"/>
      <c r="F51">
        <f t="shared" si="0"/>
        <v>1</v>
      </c>
      <c r="J51" t="s">
        <v>1257</v>
      </c>
      <c r="Q51" t="e">
        <f>VLOOKUP(O51,[4]ExportWorksheet!$B$2:$C$54,2,FALSE)</f>
        <v>#N/A</v>
      </c>
      <c r="R51">
        <v>112</v>
      </c>
      <c r="S51">
        <v>2110</v>
      </c>
      <c r="T51" t="s">
        <v>1734</v>
      </c>
    </row>
    <row r="52" spans="1:20" ht="27.6" hidden="1">
      <c r="A52" s="352" t="s">
        <v>1054</v>
      </c>
      <c r="B52" s="463" t="s">
        <v>821</v>
      </c>
      <c r="C52" s="463" t="s">
        <v>1044</v>
      </c>
      <c r="D52" s="550">
        <f>SUMIFS('Revised RAO'!Q:Q,'Revised RAO'!E:E,'Transactions for Import (2)'!A52)</f>
        <v>97200</v>
      </c>
      <c r="E52" s="550"/>
      <c r="F52">
        <f t="shared" si="0"/>
        <v>1</v>
      </c>
      <c r="J52" t="s">
        <v>872</v>
      </c>
      <c r="N52">
        <v>139</v>
      </c>
      <c r="O52">
        <v>2137</v>
      </c>
      <c r="P52" t="s">
        <v>1757</v>
      </c>
      <c r="Q52" t="str">
        <f>VLOOKUP(O52,[4]ExportWorksheet!$B$2:$C$54,2,FALSE)</f>
        <v>Jumar H. Llorente</v>
      </c>
    </row>
    <row r="53" spans="1:20" ht="27.6" hidden="1">
      <c r="A53" s="352" t="s">
        <v>1055</v>
      </c>
      <c r="B53" s="463" t="s">
        <v>822</v>
      </c>
      <c r="C53" s="463" t="s">
        <v>1044</v>
      </c>
      <c r="D53" s="550">
        <f>SUMIFS('Revised RAO'!Q:Q,'Revised RAO'!E:E,'Transactions for Import (2)'!A53)</f>
        <v>97200</v>
      </c>
      <c r="E53" s="550"/>
      <c r="F53">
        <f t="shared" si="0"/>
        <v>1</v>
      </c>
      <c r="J53" t="s">
        <v>810</v>
      </c>
      <c r="N53">
        <v>10</v>
      </c>
      <c r="O53">
        <v>2008</v>
      </c>
      <c r="P53" t="s">
        <v>1663</v>
      </c>
      <c r="Q53" t="str">
        <f>VLOOKUP(O53,[4]ExportWorksheet!$B$2:$C$54,2,FALSE)</f>
        <v>JWL Sourcing Group, Inc.</v>
      </c>
    </row>
    <row r="54" spans="1:20" ht="27.6" hidden="1">
      <c r="A54" s="352" t="s">
        <v>1056</v>
      </c>
      <c r="B54" s="463" t="s">
        <v>823</v>
      </c>
      <c r="C54" s="463" t="s">
        <v>1044</v>
      </c>
      <c r="D54" s="550">
        <f>SUMIFS('Revised RAO'!Q:Q,'Revised RAO'!E:E,'Transactions for Import (2)'!A54)</f>
        <v>97200</v>
      </c>
      <c r="E54" s="550"/>
      <c r="F54">
        <f t="shared" si="0"/>
        <v>1</v>
      </c>
      <c r="J54" t="s">
        <v>1323</v>
      </c>
      <c r="N54">
        <v>52</v>
      </c>
      <c r="O54">
        <v>2050</v>
      </c>
      <c r="P54" t="s">
        <v>1323</v>
      </c>
      <c r="Q54" t="str">
        <f>VLOOKUP(O54,[4]ExportWorksheet!$B$2:$C$54,2,FALSE)</f>
        <v>KIMSON COMMERCIAL</v>
      </c>
    </row>
    <row r="55" spans="1:20" ht="27.6" hidden="1">
      <c r="A55" s="352" t="s">
        <v>1057</v>
      </c>
      <c r="B55" s="463" t="s">
        <v>818</v>
      </c>
      <c r="C55" s="463" t="s">
        <v>1045</v>
      </c>
      <c r="D55" s="550">
        <f>SUMIFS('Revised RAO'!Q:Q,'Revised RAO'!E:E,'Transactions for Import (2)'!A55)</f>
        <v>62500</v>
      </c>
      <c r="E55" s="550"/>
      <c r="F55">
        <f t="shared" si="0"/>
        <v>1</v>
      </c>
      <c r="J55" t="s">
        <v>1030</v>
      </c>
      <c r="N55">
        <v>68</v>
      </c>
      <c r="O55">
        <v>2066</v>
      </c>
      <c r="P55" t="s">
        <v>1699</v>
      </c>
      <c r="Q55" t="str">
        <f>VLOOKUP(O55,[4]ExportWorksheet!$B$2:$C$54,2,FALSE)</f>
        <v>LANDBANK OF THE PHILIPPINES</v>
      </c>
    </row>
    <row r="56" spans="1:20" ht="27.6" hidden="1">
      <c r="A56" s="352" t="s">
        <v>1058</v>
      </c>
      <c r="B56" s="463" t="s">
        <v>820</v>
      </c>
      <c r="C56" s="463" t="s">
        <v>1045</v>
      </c>
      <c r="D56" s="550">
        <f>SUMIFS('Revised RAO'!Q:Q,'Revised RAO'!E:E,'Transactions for Import (2)'!A56)</f>
        <v>50000</v>
      </c>
      <c r="E56" s="550"/>
      <c r="F56">
        <f t="shared" si="0"/>
        <v>1</v>
      </c>
      <c r="J56" t="s">
        <v>1643</v>
      </c>
      <c r="Q56" t="e">
        <f>VLOOKUP(O56,[4]ExportWorksheet!$B$2:$C$54,2,FALSE)</f>
        <v>#N/A</v>
      </c>
    </row>
    <row r="57" spans="1:20" ht="27.6" hidden="1">
      <c r="A57" s="352" t="s">
        <v>1059</v>
      </c>
      <c r="B57" s="463" t="s">
        <v>821</v>
      </c>
      <c r="C57" s="463" t="s">
        <v>1045</v>
      </c>
      <c r="D57" s="550">
        <f>SUMIFS('Revised RAO'!Q:Q,'Revised RAO'!E:E,'Transactions for Import (2)'!A57)</f>
        <v>50000</v>
      </c>
      <c r="E57" s="550"/>
      <c r="F57">
        <f t="shared" si="0"/>
        <v>1</v>
      </c>
      <c r="J57" t="s">
        <v>1307</v>
      </c>
      <c r="Q57" t="e">
        <f>VLOOKUP(O57,[4]ExportWorksheet!$B$2:$C$54,2,FALSE)</f>
        <v>#N/A</v>
      </c>
    </row>
    <row r="58" spans="1:20" ht="27.6" hidden="1">
      <c r="A58" s="352" t="s">
        <v>1060</v>
      </c>
      <c r="B58" s="463" t="s">
        <v>822</v>
      </c>
      <c r="C58" s="463" t="s">
        <v>1045</v>
      </c>
      <c r="D58" s="550">
        <f>SUMIFS('Revised RAO'!Q:Q,'Revised RAO'!E:E,'Transactions for Import (2)'!A58)</f>
        <v>50000</v>
      </c>
      <c r="E58" s="550"/>
      <c r="F58">
        <f t="shared" si="0"/>
        <v>1</v>
      </c>
      <c r="J58" t="s">
        <v>1499</v>
      </c>
      <c r="N58">
        <v>80</v>
      </c>
      <c r="O58">
        <v>2078</v>
      </c>
      <c r="P58" t="s">
        <v>1709</v>
      </c>
      <c r="Q58" t="e">
        <f>VLOOKUP(O58,[4]ExportWorksheet!$B$2:$C$54,2,FALSE)</f>
        <v>#N/A</v>
      </c>
    </row>
    <row r="59" spans="1:20" ht="27.6" hidden="1">
      <c r="A59" s="352" t="s">
        <v>1061</v>
      </c>
      <c r="B59" s="463" t="s">
        <v>823</v>
      </c>
      <c r="C59" s="463" t="s">
        <v>1045</v>
      </c>
      <c r="D59" s="550">
        <f>SUMIFS('Revised RAO'!Q:Q,'Revised RAO'!E:E,'Transactions for Import (2)'!A59)</f>
        <v>50000</v>
      </c>
      <c r="E59" s="550"/>
      <c r="F59">
        <f t="shared" si="0"/>
        <v>1</v>
      </c>
      <c r="J59" t="s">
        <v>789</v>
      </c>
      <c r="N59">
        <v>76</v>
      </c>
      <c r="O59">
        <v>2074</v>
      </c>
      <c r="P59" t="s">
        <v>1705</v>
      </c>
      <c r="Q59" t="str">
        <f>VLOOKUP(O59,[4]ExportWorksheet!$B$2:$C$54,2,FALSE)</f>
        <v>LBP, F/O DTI-ADN</v>
      </c>
    </row>
    <row r="60" spans="1:20" ht="27.6" hidden="1">
      <c r="A60" s="352" t="s">
        <v>1063</v>
      </c>
      <c r="B60" s="463" t="s">
        <v>773</v>
      </c>
      <c r="C60" s="463" t="s">
        <v>1064</v>
      </c>
      <c r="D60" s="550">
        <f>SUMIFS('Revised RAO'!Q:Q,'Revised RAO'!E:E,'Transactions for Import (2)'!A60)</f>
        <v>4734.25</v>
      </c>
      <c r="E60" s="550"/>
      <c r="F60">
        <f t="shared" si="0"/>
        <v>1</v>
      </c>
      <c r="J60" t="s">
        <v>777</v>
      </c>
      <c r="N60">
        <v>77</v>
      </c>
      <c r="O60">
        <v>2075</v>
      </c>
      <c r="P60" t="s">
        <v>1706</v>
      </c>
      <c r="Q60" t="str">
        <f>VLOOKUP(O60,[4]ExportWorksheet!$B$2:$C$54,2,FALSE)</f>
        <v>LBP, F/O DTI-ADS</v>
      </c>
    </row>
    <row r="61" spans="1:20" ht="27.6" hidden="1">
      <c r="A61" s="352" t="s">
        <v>1077</v>
      </c>
      <c r="B61" s="463" t="s">
        <v>1072</v>
      </c>
      <c r="C61" s="463" t="s">
        <v>1073</v>
      </c>
      <c r="D61" s="550">
        <f>SUMIFS('Revised RAO'!Q:Q,'Revised RAO'!E:E,'Transactions for Import (2)'!A61)</f>
        <v>1350</v>
      </c>
      <c r="E61" s="550"/>
      <c r="F61">
        <f t="shared" si="0"/>
        <v>1</v>
      </c>
      <c r="J61" t="s">
        <v>1075</v>
      </c>
      <c r="N61">
        <v>111</v>
      </c>
      <c r="O61">
        <v>2109</v>
      </c>
      <c r="P61" t="s">
        <v>1733</v>
      </c>
      <c r="Q61" t="str">
        <f>VLOOKUP(O61,[4]ExportWorksheet!$B$2:$C$54,2,FALSE)</f>
        <v>LBP, F/O DTI- Job Orders</v>
      </c>
    </row>
    <row r="62" spans="1:20" ht="27.6" hidden="1">
      <c r="A62" s="352" t="s">
        <v>1078</v>
      </c>
      <c r="B62" s="460" t="s">
        <v>818</v>
      </c>
      <c r="C62" s="460" t="s">
        <v>1074</v>
      </c>
      <c r="D62" s="550">
        <f>SUMIFS('Revised RAO'!Q:Q,'Revised RAO'!E:E,'Transactions for Import (2)'!A62)</f>
        <v>528841.48</v>
      </c>
      <c r="E62" s="550"/>
      <c r="F62">
        <f t="shared" si="0"/>
        <v>1</v>
      </c>
      <c r="J62" t="s">
        <v>765</v>
      </c>
      <c r="N62">
        <v>79</v>
      </c>
      <c r="O62">
        <v>2077</v>
      </c>
      <c r="P62" t="s">
        <v>1708</v>
      </c>
      <c r="Q62" t="str">
        <f>VLOOKUP(O62,[4]ExportWorksheet!$B$2:$C$54,2,FALSE)</f>
        <v>LBP, F/O DTI-PDI</v>
      </c>
    </row>
    <row r="63" spans="1:20" ht="27.6" hidden="1">
      <c r="A63" s="352" t="s">
        <v>1079</v>
      </c>
      <c r="B63" s="460" t="s">
        <v>820</v>
      </c>
      <c r="C63" s="460" t="s">
        <v>1074</v>
      </c>
      <c r="D63" s="550">
        <f>SUMIFS('Revised RAO'!Q:Q,'Revised RAO'!E:E,'Transactions for Import (2)'!A63)</f>
        <v>241528.69</v>
      </c>
      <c r="E63" s="550"/>
      <c r="F63">
        <f t="shared" si="0"/>
        <v>1</v>
      </c>
      <c r="J63" t="s">
        <v>10</v>
      </c>
      <c r="N63">
        <v>75</v>
      </c>
      <c r="O63">
        <v>2073</v>
      </c>
      <c r="P63" t="s">
        <v>1704</v>
      </c>
      <c r="Q63" t="str">
        <f>VLOOKUP(O63,[4]ExportWorksheet!$B$2:$C$54,2,FALSE)</f>
        <v>LBP, F/O DTI-RO</v>
      </c>
    </row>
    <row r="64" spans="1:20" ht="27.6" hidden="1">
      <c r="A64" s="352" t="s">
        <v>1080</v>
      </c>
      <c r="B64" s="460" t="s">
        <v>821</v>
      </c>
      <c r="C64" s="460" t="s">
        <v>1074</v>
      </c>
      <c r="D64" s="550">
        <f>SUMIFS('Revised RAO'!Q:Q,'Revised RAO'!E:E,'Transactions for Import (2)'!A64)</f>
        <v>337586.4</v>
      </c>
      <c r="E64" s="550"/>
      <c r="F64">
        <f t="shared" si="0"/>
        <v>1</v>
      </c>
      <c r="J64" t="s">
        <v>764</v>
      </c>
      <c r="N64">
        <v>132</v>
      </c>
      <c r="O64">
        <v>2130</v>
      </c>
      <c r="P64" t="s">
        <v>1751</v>
      </c>
      <c r="Q64" t="str">
        <f>VLOOKUP(O64,[4]ExportWorksheet!$B$2:$C$54,2,FALSE)</f>
        <v>LBP, F/O DTI-SDN</v>
      </c>
    </row>
    <row r="65" spans="1:17" ht="27.6" hidden="1">
      <c r="A65" s="352" t="s">
        <v>1081</v>
      </c>
      <c r="B65" s="460" t="s">
        <v>822</v>
      </c>
      <c r="C65" s="460" t="s">
        <v>1074</v>
      </c>
      <c r="D65" s="550">
        <f>SUMIFS('Revised RAO'!Q:Q,'Revised RAO'!E:E,'Transactions for Import (2)'!A65)</f>
        <v>355426.3600000001</v>
      </c>
      <c r="E65" s="550"/>
      <c r="F65">
        <f t="shared" si="0"/>
        <v>1</v>
      </c>
      <c r="J65" t="s">
        <v>768</v>
      </c>
      <c r="N65">
        <v>78</v>
      </c>
      <c r="O65">
        <v>2076</v>
      </c>
      <c r="P65" t="s">
        <v>1707</v>
      </c>
      <c r="Q65" t="str">
        <f>VLOOKUP(O65,[4]ExportWorksheet!$B$2:$C$54,2,FALSE)</f>
        <v>LBP, F/O DTI-SDS</v>
      </c>
    </row>
    <row r="66" spans="1:17" ht="27.6" hidden="1">
      <c r="A66" s="352" t="s">
        <v>1082</v>
      </c>
      <c r="B66" s="460" t="s">
        <v>823</v>
      </c>
      <c r="C66" s="460" t="s">
        <v>1074</v>
      </c>
      <c r="D66" s="550">
        <f>SUMIFS('Revised RAO'!Q:Q,'Revised RAO'!E:E,'Transactions for Import (2)'!A66)</f>
        <v>230967.52</v>
      </c>
      <c r="E66" s="550"/>
      <c r="F66">
        <f t="shared" si="0"/>
        <v>1</v>
      </c>
      <c r="J66" t="s">
        <v>843</v>
      </c>
      <c r="N66">
        <v>111</v>
      </c>
      <c r="O66">
        <v>2109</v>
      </c>
      <c r="P66" t="s">
        <v>1733</v>
      </c>
      <c r="Q66" t="str">
        <f>VLOOKUP(O66,[4]ExportWorksheet!$B$2:$C$54,2,FALSE)</f>
        <v>LBP, F/O DTI- Job Orders</v>
      </c>
    </row>
    <row r="67" spans="1:17" ht="27.6" hidden="1">
      <c r="A67" s="352" t="s">
        <v>1083</v>
      </c>
      <c r="B67" s="463" t="s">
        <v>1075</v>
      </c>
      <c r="C67" s="463" t="s">
        <v>1076</v>
      </c>
      <c r="D67" s="550">
        <f>SUMIFS('Revised RAO'!Q:Q,'Revised RAO'!E:E,'Transactions for Import (2)'!A67)</f>
        <v>65016.91</v>
      </c>
      <c r="E67" s="550"/>
      <c r="F67">
        <f t="shared" ref="F67:F130" si="1">COUNTIFS($A$3:$A$357,A67)</f>
        <v>1</v>
      </c>
      <c r="J67" t="s">
        <v>1272</v>
      </c>
      <c r="N67">
        <v>111</v>
      </c>
      <c r="O67">
        <v>2109</v>
      </c>
      <c r="P67" t="s">
        <v>1733</v>
      </c>
      <c r="Q67" t="str">
        <f>VLOOKUP(O67,[4]ExportWorksheet!$B$2:$C$54,2,FALSE)</f>
        <v>LBP, F/O DTI- Job Orders</v>
      </c>
    </row>
    <row r="68" spans="1:17" ht="27.6" hidden="1">
      <c r="A68" s="352" t="s">
        <v>1084</v>
      </c>
      <c r="B68" s="463" t="s">
        <v>1075</v>
      </c>
      <c r="C68" s="463" t="s">
        <v>1076</v>
      </c>
      <c r="D68" s="550">
        <f>SUMIFS('Revised RAO'!Q:Q,'Revised RAO'!E:E,'Transactions for Import (2)'!A68)</f>
        <v>16881.330000000002</v>
      </c>
      <c r="E68" s="550"/>
      <c r="F68">
        <f t="shared" si="1"/>
        <v>1</v>
      </c>
      <c r="J68" t="s">
        <v>867</v>
      </c>
      <c r="N68">
        <v>138</v>
      </c>
      <c r="O68">
        <v>2136</v>
      </c>
      <c r="P68" t="s">
        <v>867</v>
      </c>
      <c r="Q68" t="str">
        <f>VLOOKUP(O68,[4]ExportWorksheet!$B$2:$C$54,2,FALSE)</f>
        <v>LEMUEL D. ROBOCA</v>
      </c>
    </row>
    <row r="69" spans="1:17" ht="41.4" hidden="1">
      <c r="A69" s="352" t="s">
        <v>1085</v>
      </c>
      <c r="B69" s="463" t="s">
        <v>796</v>
      </c>
      <c r="C69" s="463" t="s">
        <v>1086</v>
      </c>
      <c r="D69" s="550">
        <f>SUMIFS('Revised RAO'!Q:Q,'Revised RAO'!E:E,'Transactions for Import (2)'!A69)</f>
        <v>4194.7300000000005</v>
      </c>
      <c r="E69" s="550"/>
      <c r="F69">
        <f t="shared" si="1"/>
        <v>1</v>
      </c>
      <c r="J69" t="s">
        <v>830</v>
      </c>
      <c r="N69">
        <v>141</v>
      </c>
      <c r="O69">
        <v>2139</v>
      </c>
      <c r="P69" t="s">
        <v>830</v>
      </c>
      <c r="Q69" t="str">
        <f>VLOOKUP(O69,[4]ExportWorksheet!$B$2:$C$54,2,FALSE)</f>
        <v>LG SUPPLIES AND GENERAL MERCHANDISE</v>
      </c>
    </row>
    <row r="70" spans="1:17" ht="27.6" hidden="1">
      <c r="A70" s="352" t="s">
        <v>1087</v>
      </c>
      <c r="B70" s="463" t="s">
        <v>843</v>
      </c>
      <c r="C70" s="463" t="s">
        <v>1076</v>
      </c>
      <c r="D70" s="550">
        <f>SUMIFS('Revised RAO'!Q:Q,'Revised RAO'!E:E,'Transactions for Import (2)'!A70)</f>
        <v>36158</v>
      </c>
      <c r="E70" s="550"/>
      <c r="F70">
        <f t="shared" si="1"/>
        <v>1</v>
      </c>
      <c r="J70" t="s">
        <v>1230</v>
      </c>
      <c r="N70">
        <v>72</v>
      </c>
      <c r="O70">
        <v>2070</v>
      </c>
      <c r="P70" t="s">
        <v>1230</v>
      </c>
      <c r="Q70" t="str">
        <f>VLOOKUP(O70,[4]ExportWorksheet!$B$2:$C$54,2,FALSE)</f>
        <v>LIME AND ZEST KITCHEN</v>
      </c>
    </row>
    <row r="71" spans="1:17" ht="27.6" hidden="1">
      <c r="A71" s="352" t="s">
        <v>1088</v>
      </c>
      <c r="B71" s="463" t="s">
        <v>818</v>
      </c>
      <c r="C71" s="463" t="s">
        <v>1089</v>
      </c>
      <c r="D71" s="550">
        <f>SUMIFS('Revised RAO'!Q:Q,'Revised RAO'!E:E,'Transactions for Import (2)'!A71)</f>
        <v>1046300</v>
      </c>
      <c r="E71" s="550"/>
      <c r="F71">
        <f t="shared" si="1"/>
        <v>1</v>
      </c>
      <c r="J71" t="s">
        <v>1165</v>
      </c>
      <c r="Q71" t="e">
        <f>VLOOKUP(O71,[4]ExportWorksheet!$B$2:$C$54,2,FALSE)</f>
        <v>#N/A</v>
      </c>
    </row>
    <row r="72" spans="1:17" ht="27.6" hidden="1">
      <c r="A72" s="352" t="s">
        <v>1090</v>
      </c>
      <c r="B72" s="463" t="s">
        <v>820</v>
      </c>
      <c r="C72" s="463" t="s">
        <v>1089</v>
      </c>
      <c r="D72" s="550">
        <f>SUMIFS('Revised RAO'!Q:Q,'Revised RAO'!E:E,'Transactions for Import (2)'!A72)</f>
        <v>535050</v>
      </c>
      <c r="E72" s="550"/>
      <c r="F72">
        <f t="shared" si="1"/>
        <v>1</v>
      </c>
      <c r="J72" t="s">
        <v>799</v>
      </c>
      <c r="N72">
        <v>91</v>
      </c>
      <c r="O72">
        <v>2089</v>
      </c>
      <c r="P72" t="s">
        <v>799</v>
      </c>
      <c r="Q72" t="e">
        <f>VLOOKUP(O72,[4]ExportWorksheet!$B$2:$C$54,2,FALSE)</f>
        <v>#N/A</v>
      </c>
    </row>
    <row r="73" spans="1:17" ht="27.6" hidden="1">
      <c r="A73" s="352" t="s">
        <v>1091</v>
      </c>
      <c r="B73" s="463" t="s">
        <v>821</v>
      </c>
      <c r="C73" s="463" t="s">
        <v>1089</v>
      </c>
      <c r="D73" s="550">
        <f>SUMIFS('Revised RAO'!Q:Q,'Revised RAO'!E:E,'Transactions for Import (2)'!A73)</f>
        <v>963500</v>
      </c>
      <c r="E73" s="550"/>
      <c r="F73">
        <f t="shared" si="1"/>
        <v>1</v>
      </c>
      <c r="J73" t="s">
        <v>1565</v>
      </c>
      <c r="Q73" t="e">
        <f>VLOOKUP(O73,[4]ExportWorksheet!$B$2:$C$54,2,FALSE)</f>
        <v>#N/A</v>
      </c>
    </row>
    <row r="74" spans="1:17" ht="27.6" hidden="1">
      <c r="A74" s="352" t="s">
        <v>1092</v>
      </c>
      <c r="B74" s="463" t="s">
        <v>822</v>
      </c>
      <c r="C74" s="463" t="s">
        <v>1089</v>
      </c>
      <c r="D74" s="550">
        <f>SUMIFS('Revised RAO'!Q:Q,'Revised RAO'!E:E,'Transactions for Import (2)'!A74)</f>
        <v>870350</v>
      </c>
      <c r="E74" s="550"/>
      <c r="F74">
        <f t="shared" si="1"/>
        <v>1</v>
      </c>
      <c r="J74" t="s">
        <v>869</v>
      </c>
      <c r="N74">
        <v>137</v>
      </c>
      <c r="O74">
        <v>2135</v>
      </c>
      <c r="P74" t="s">
        <v>1756</v>
      </c>
      <c r="Q74" t="e">
        <f>VLOOKUP(O74,[4]ExportWorksheet!$B$2:$C$54,2,FALSE)</f>
        <v>#N/A</v>
      </c>
    </row>
    <row r="75" spans="1:17" ht="27.6" hidden="1">
      <c r="A75" s="352" t="s">
        <v>1093</v>
      </c>
      <c r="B75" s="463" t="s">
        <v>823</v>
      </c>
      <c r="C75" s="463" t="s">
        <v>1089</v>
      </c>
      <c r="D75" s="550">
        <f>SUMIFS('Revised RAO'!Q:Q,'Revised RAO'!E:E,'Transactions for Import (2)'!A75)</f>
        <v>815900</v>
      </c>
      <c r="E75" s="550"/>
      <c r="F75">
        <f t="shared" si="1"/>
        <v>1</v>
      </c>
      <c r="J75" t="s">
        <v>1572</v>
      </c>
      <c r="Q75" t="e">
        <f>VLOOKUP(O75,[4]ExportWorksheet!$B$2:$C$54,2,FALSE)</f>
        <v>#N/A</v>
      </c>
    </row>
    <row r="76" spans="1:17" ht="27.6" hidden="1">
      <c r="A76" s="352" t="s">
        <v>1094</v>
      </c>
      <c r="B76" s="463" t="s">
        <v>10</v>
      </c>
      <c r="C76" s="463" t="s">
        <v>1095</v>
      </c>
      <c r="D76" s="550">
        <f>SUMIFS('Revised RAO'!Q:Q,'Revised RAO'!E:E,'Transactions for Import (2)'!A76)</f>
        <v>62014.22</v>
      </c>
      <c r="E76" s="550"/>
      <c r="F76">
        <f t="shared" si="1"/>
        <v>1</v>
      </c>
      <c r="J76" t="s">
        <v>1192</v>
      </c>
      <c r="Q76" t="e">
        <f>VLOOKUP(O76,[4]ExportWorksheet!$B$2:$C$54,2,FALSE)</f>
        <v>#N/A</v>
      </c>
    </row>
    <row r="77" spans="1:17" ht="27.6" hidden="1">
      <c r="A77" s="352" t="s">
        <v>1096</v>
      </c>
      <c r="B77" s="463" t="s">
        <v>789</v>
      </c>
      <c r="C77" s="463" t="s">
        <v>1095</v>
      </c>
      <c r="D77" s="550">
        <f>SUMIFS('Revised RAO'!Q:Q,'Revised RAO'!E:E,'Transactions for Import (2)'!A77)</f>
        <v>17167.73</v>
      </c>
      <c r="E77" s="550"/>
      <c r="F77">
        <f t="shared" si="1"/>
        <v>1</v>
      </c>
      <c r="J77" t="s">
        <v>1119</v>
      </c>
      <c r="Q77" t="e">
        <f>VLOOKUP(O77,[4]ExportWorksheet!$B$2:$C$54,2,FALSE)</f>
        <v>#N/A</v>
      </c>
    </row>
    <row r="78" spans="1:17" ht="27.6" hidden="1">
      <c r="A78" s="352" t="s">
        <v>1097</v>
      </c>
      <c r="B78" s="463" t="s">
        <v>777</v>
      </c>
      <c r="C78" s="463" t="s">
        <v>1095</v>
      </c>
      <c r="D78" s="550">
        <f>SUMIFS('Revised RAO'!Q:Q,'Revised RAO'!E:E,'Transactions for Import (2)'!A78)</f>
        <v>17698.68</v>
      </c>
      <c r="E78" s="550"/>
      <c r="F78">
        <f t="shared" si="1"/>
        <v>1</v>
      </c>
      <c r="J78" t="s">
        <v>833</v>
      </c>
      <c r="N78">
        <v>144</v>
      </c>
      <c r="O78">
        <v>2142</v>
      </c>
      <c r="P78" t="s">
        <v>1761</v>
      </c>
      <c r="Q78" t="str">
        <f>VLOOKUP(O78,[4]ExportWorksheet!$B$2:$C$54,2,FALSE)</f>
        <v>Maribel P. Timogan</v>
      </c>
    </row>
    <row r="79" spans="1:17" ht="27.6" hidden="1">
      <c r="A79" s="352" t="s">
        <v>1098</v>
      </c>
      <c r="B79" s="463" t="s">
        <v>764</v>
      </c>
      <c r="C79" s="463" t="s">
        <v>1095</v>
      </c>
      <c r="D79" s="550">
        <f>SUMIFS('Revised RAO'!Q:Q,'Revised RAO'!E:E,'Transactions for Import (2)'!A79)</f>
        <v>18167.440000000002</v>
      </c>
      <c r="E79" s="550"/>
      <c r="F79">
        <f t="shared" si="1"/>
        <v>1</v>
      </c>
      <c r="J79" t="s">
        <v>847</v>
      </c>
      <c r="N79">
        <v>63</v>
      </c>
      <c r="O79">
        <v>2061</v>
      </c>
      <c r="P79" t="s">
        <v>847</v>
      </c>
      <c r="Q79" t="str">
        <f>VLOOKUP(O79,[4]ExportWorksheet!$B$2:$C$54,2,FALSE)</f>
        <v>MARRY ANN L. PASCUAL</v>
      </c>
    </row>
    <row r="80" spans="1:17" ht="27.6" hidden="1">
      <c r="A80" s="352" t="s">
        <v>1099</v>
      </c>
      <c r="B80" s="463" t="s">
        <v>768</v>
      </c>
      <c r="C80" s="463" t="s">
        <v>1095</v>
      </c>
      <c r="D80" s="550">
        <f>SUMIFS('Revised RAO'!Q:Q,'Revised RAO'!E:E,'Transactions for Import (2)'!A80)</f>
        <v>21594.01</v>
      </c>
      <c r="E80" s="550"/>
      <c r="F80">
        <f t="shared" si="1"/>
        <v>1</v>
      </c>
      <c r="J80" t="s">
        <v>800</v>
      </c>
      <c r="Q80" t="e">
        <f>VLOOKUP(O80,[4]ExportWorksheet!$B$2:$C$54,2,FALSE)</f>
        <v>#N/A</v>
      </c>
    </row>
    <row r="81" spans="1:17" ht="27.6" hidden="1">
      <c r="A81" s="352" t="s">
        <v>1100</v>
      </c>
      <c r="B81" s="463" t="s">
        <v>765</v>
      </c>
      <c r="C81" s="463" t="s">
        <v>1095</v>
      </c>
      <c r="D81" s="550">
        <f>SUMIFS('Revised RAO'!Q:Q,'Revised RAO'!E:E,'Transactions for Import (2)'!A81)</f>
        <v>12904.51</v>
      </c>
      <c r="E81" s="550"/>
      <c r="F81">
        <f t="shared" si="1"/>
        <v>1</v>
      </c>
      <c r="J81" t="s">
        <v>1352</v>
      </c>
      <c r="N81">
        <v>69</v>
      </c>
      <c r="O81">
        <v>2067</v>
      </c>
      <c r="P81" t="s">
        <v>1700</v>
      </c>
      <c r="Q81" t="e">
        <f>VLOOKUP(O81,[4]ExportWorksheet!$B$2:$C$54,2,FALSE)</f>
        <v>#N/A</v>
      </c>
    </row>
    <row r="82" spans="1:17" ht="41.4" hidden="1">
      <c r="A82" s="352" t="s">
        <v>1101</v>
      </c>
      <c r="B82" s="463" t="s">
        <v>1102</v>
      </c>
      <c r="C82" s="463" t="s">
        <v>1103</v>
      </c>
      <c r="D82" s="550">
        <f>SUMIFS('Revised RAO'!Q:Q,'Revised RAO'!E:E,'Transactions for Import (2)'!A82)</f>
        <v>1200</v>
      </c>
      <c r="E82" s="550"/>
      <c r="F82">
        <f t="shared" si="1"/>
        <v>1</v>
      </c>
      <c r="J82" t="s">
        <v>1303</v>
      </c>
      <c r="Q82" t="e">
        <f>VLOOKUP(O82,[4]ExportWorksheet!$B$2:$C$54,2,FALSE)</f>
        <v>#N/A</v>
      </c>
    </row>
    <row r="83" spans="1:17" ht="41.4" hidden="1">
      <c r="A83" s="352" t="s">
        <v>1104</v>
      </c>
      <c r="B83" s="463" t="s">
        <v>1105</v>
      </c>
      <c r="C83" s="463" t="s">
        <v>1106</v>
      </c>
      <c r="D83" s="550">
        <f>SUMIFS('Revised RAO'!Q:Q,'Revised RAO'!E:E,'Transactions for Import (2)'!A83)</f>
        <v>8885.08</v>
      </c>
      <c r="E83" s="550"/>
      <c r="F83">
        <f t="shared" si="1"/>
        <v>1</v>
      </c>
      <c r="J83" t="s">
        <v>1467</v>
      </c>
      <c r="Q83" t="e">
        <f>VLOOKUP(O83,[4]ExportWorksheet!$B$2:$C$54,2,FALSE)</f>
        <v>#N/A</v>
      </c>
    </row>
    <row r="84" spans="1:17" ht="27.6" hidden="1">
      <c r="A84" s="352" t="s">
        <v>1107</v>
      </c>
      <c r="B84" s="463" t="s">
        <v>1108</v>
      </c>
      <c r="C84" s="463" t="s">
        <v>1109</v>
      </c>
      <c r="D84" s="550">
        <f>SUMIFS('Revised RAO'!Q:Q,'Revised RAO'!E:E,'Transactions for Import (2)'!A84)</f>
        <v>10600</v>
      </c>
      <c r="E84" s="550"/>
      <c r="F84">
        <f t="shared" si="1"/>
        <v>1</v>
      </c>
      <c r="J84" t="s">
        <v>1380</v>
      </c>
      <c r="Q84" t="e">
        <f>VLOOKUP(O84,[4]ExportWorksheet!$B$2:$C$54,2,FALSE)</f>
        <v>#N/A</v>
      </c>
    </row>
    <row r="85" spans="1:17" ht="55.2" hidden="1">
      <c r="A85" s="352" t="s">
        <v>1110</v>
      </c>
      <c r="B85" s="463" t="s">
        <v>1102</v>
      </c>
      <c r="C85" s="463" t="s">
        <v>1111</v>
      </c>
      <c r="D85" s="550">
        <f>SUMIFS('Revised RAO'!Q:Q,'Revised RAO'!E:E,'Transactions for Import (2)'!A85)</f>
        <v>2400</v>
      </c>
      <c r="E85" s="550"/>
      <c r="F85">
        <f t="shared" si="1"/>
        <v>1</v>
      </c>
      <c r="J85" t="s">
        <v>1214</v>
      </c>
      <c r="N85">
        <v>34</v>
      </c>
      <c r="O85">
        <v>2032</v>
      </c>
      <c r="P85" t="s">
        <v>1680</v>
      </c>
      <c r="Q85" t="e">
        <f>VLOOKUP(O85,[4]ExportWorksheet!$B$2:$C$54,2,FALSE)</f>
        <v>#N/A</v>
      </c>
    </row>
    <row r="86" spans="1:17" ht="41.4" hidden="1">
      <c r="A86" s="352" t="s">
        <v>1112</v>
      </c>
      <c r="B86" s="463" t="s">
        <v>10</v>
      </c>
      <c r="C86" s="463" t="s">
        <v>1113</v>
      </c>
      <c r="D86" s="550">
        <f>SUMIFS('Revised RAO'!Q:Q,'Revised RAO'!E:E,'Transactions for Import (2)'!A86)</f>
        <v>2049964.0999999999</v>
      </c>
      <c r="E86" s="550"/>
      <c r="F86">
        <f t="shared" si="1"/>
        <v>1</v>
      </c>
      <c r="J86" t="s">
        <v>1157</v>
      </c>
      <c r="Q86" t="e">
        <f>VLOOKUP(O86,[4]ExportWorksheet!$B$2:$C$54,2,FALSE)</f>
        <v>#N/A</v>
      </c>
    </row>
    <row r="87" spans="1:17" ht="41.4" hidden="1">
      <c r="A87" s="352" t="s">
        <v>1114</v>
      </c>
      <c r="B87" s="463" t="s">
        <v>777</v>
      </c>
      <c r="C87" s="463" t="s">
        <v>1113</v>
      </c>
      <c r="D87" s="550">
        <f>SUMIFS('Revised RAO'!Q:Q,'Revised RAO'!E:E,'Transactions for Import (2)'!A87)</f>
        <v>429402.37</v>
      </c>
      <c r="E87" s="550"/>
      <c r="F87">
        <f t="shared" si="1"/>
        <v>1</v>
      </c>
      <c r="J87" t="s">
        <v>1354</v>
      </c>
      <c r="N87">
        <v>110</v>
      </c>
      <c r="O87">
        <v>2108</v>
      </c>
      <c r="P87" t="s">
        <v>1732</v>
      </c>
      <c r="Q87" t="e">
        <f>VLOOKUP(O87,[4]ExportWorksheet!$B$2:$C$54,2,FALSE)</f>
        <v>#N/A</v>
      </c>
    </row>
    <row r="88" spans="1:17" ht="41.4" hidden="1">
      <c r="A88" s="352" t="s">
        <v>1115</v>
      </c>
      <c r="B88" s="463" t="s">
        <v>765</v>
      </c>
      <c r="C88" s="463" t="s">
        <v>1113</v>
      </c>
      <c r="D88" s="550">
        <f>SUMIFS('Revised RAO'!Q:Q,'Revised RAO'!E:E,'Transactions for Import (2)'!A88)</f>
        <v>389716.8</v>
      </c>
      <c r="E88" s="550"/>
      <c r="F88">
        <f t="shared" si="1"/>
        <v>1</v>
      </c>
      <c r="J88" t="s">
        <v>1297</v>
      </c>
      <c r="N88">
        <v>47</v>
      </c>
      <c r="O88">
        <v>2045</v>
      </c>
      <c r="P88" t="s">
        <v>1297</v>
      </c>
      <c r="Q88" t="e">
        <f>VLOOKUP(O88,[4]ExportWorksheet!$B$2:$C$54,2,FALSE)</f>
        <v>#N/A</v>
      </c>
    </row>
    <row r="89" spans="1:17" ht="27.6" hidden="1">
      <c r="A89" s="352" t="s">
        <v>1116</v>
      </c>
      <c r="B89" s="463" t="s">
        <v>847</v>
      </c>
      <c r="C89" s="463" t="s">
        <v>1117</v>
      </c>
      <c r="D89" s="550">
        <f>SUMIFS('Revised RAO'!Q:Q,'Revised RAO'!E:E,'Transactions for Import (2)'!A89)</f>
        <v>457.27</v>
      </c>
      <c r="E89" s="550"/>
      <c r="F89">
        <f t="shared" si="1"/>
        <v>1</v>
      </c>
      <c r="J89" t="s">
        <v>820</v>
      </c>
      <c r="O89">
        <v>2144</v>
      </c>
      <c r="P89" t="s">
        <v>1763</v>
      </c>
      <c r="Q89" t="e">
        <f>VLOOKUP(O89,[4]ExportWorksheet!$B$2:$C$54,2,FALSE)</f>
        <v>#N/A</v>
      </c>
    </row>
    <row r="90" spans="1:17" ht="27.6" hidden="1">
      <c r="A90" s="352" t="s">
        <v>1118</v>
      </c>
      <c r="B90" s="463" t="s">
        <v>1119</v>
      </c>
      <c r="C90" s="463" t="s">
        <v>1117</v>
      </c>
      <c r="D90" s="550">
        <f>SUMIFS('Revised RAO'!Q:Q,'Revised RAO'!E:E,'Transactions for Import (2)'!A90)</f>
        <v>258.18000000000006</v>
      </c>
      <c r="E90" s="550"/>
      <c r="F90">
        <f t="shared" si="1"/>
        <v>1</v>
      </c>
      <c r="J90" t="s">
        <v>1540</v>
      </c>
      <c r="N90">
        <v>3</v>
      </c>
      <c r="O90">
        <v>2001</v>
      </c>
      <c r="P90" t="s">
        <v>823</v>
      </c>
      <c r="Q90" t="str">
        <f>VLOOKUP(O90,[4]ExportWorksheet!$B$2:$C$54,2,FALSE)</f>
        <v>PD, DTI-PDI</v>
      </c>
    </row>
    <row r="91" spans="1:17" ht="27.6" hidden="1">
      <c r="A91" s="352" t="s">
        <v>1120</v>
      </c>
      <c r="B91" s="463" t="s">
        <v>833</v>
      </c>
      <c r="C91" s="463" t="s">
        <v>1121</v>
      </c>
      <c r="D91" s="550">
        <f>SUMIFS('Revised RAO'!Q:Q,'Revised RAO'!E:E,'Transactions for Import (2)'!A91)</f>
        <v>614.54999999999995</v>
      </c>
      <c r="E91" s="550"/>
      <c r="F91">
        <f t="shared" si="1"/>
        <v>1</v>
      </c>
      <c r="J91" t="s">
        <v>821</v>
      </c>
      <c r="O91">
        <v>2145</v>
      </c>
      <c r="P91" t="s">
        <v>1539</v>
      </c>
      <c r="Q91" t="e">
        <f>VLOOKUP(O91,[4]ExportWorksheet!$B$2:$C$54,2,FALSE)</f>
        <v>#N/A</v>
      </c>
    </row>
    <row r="92" spans="1:17" ht="27.6">
      <c r="A92" s="352" t="s">
        <v>1122</v>
      </c>
      <c r="B92" s="463" t="s">
        <v>1030</v>
      </c>
      <c r="C92" s="463" t="s">
        <v>1123</v>
      </c>
      <c r="D92" s="550">
        <f>SUMIFS('Revised RAO'!Q:Q,'Revised RAO'!E:E,'Transactions for Import (2)'!A92)</f>
        <v>105049.54</v>
      </c>
      <c r="E92" s="550"/>
      <c r="F92">
        <f t="shared" si="1"/>
        <v>1</v>
      </c>
      <c r="J92" t="s">
        <v>1176</v>
      </c>
      <c r="Q92" t="e">
        <f>VLOOKUP(O92,[4]ExportWorksheet!$B$2:$C$54,2,FALSE)</f>
        <v>#N/A</v>
      </c>
    </row>
    <row r="93" spans="1:17" ht="27.6" hidden="1">
      <c r="A93" s="352" t="s">
        <v>1124</v>
      </c>
      <c r="B93" s="463" t="s">
        <v>872</v>
      </c>
      <c r="C93" s="463" t="s">
        <v>1125</v>
      </c>
      <c r="D93" s="550">
        <f>SUMIFS('Revised RAO'!Q:Q,'Revised RAO'!E:E,'Transactions for Import (2)'!A93)</f>
        <v>40307.629999999997</v>
      </c>
      <c r="E93" s="550"/>
      <c r="F93">
        <f t="shared" si="1"/>
        <v>1</v>
      </c>
      <c r="J93" t="s">
        <v>818</v>
      </c>
      <c r="N93">
        <v>16</v>
      </c>
      <c r="O93">
        <v>2014</v>
      </c>
      <c r="P93" t="s">
        <v>818</v>
      </c>
      <c r="Q93" t="str">
        <f>VLOOKUP(O93,[4]ExportWorksheet!$B$2:$C$54,2,FALSE)</f>
        <v>PD, DTI-ADN</v>
      </c>
    </row>
    <row r="94" spans="1:17" ht="27.6" hidden="1">
      <c r="A94" s="352" t="s">
        <v>1126</v>
      </c>
      <c r="B94" s="463" t="s">
        <v>863</v>
      </c>
      <c r="C94" s="463" t="s">
        <v>1125</v>
      </c>
      <c r="D94" s="550">
        <f>SUMIFS('Revised RAO'!Q:Q,'Revised RAO'!E:E,'Transactions for Import (2)'!A94)</f>
        <v>51777.93</v>
      </c>
      <c r="E94" s="550"/>
      <c r="F94">
        <f t="shared" si="1"/>
        <v>1</v>
      </c>
      <c r="J94" t="s">
        <v>823</v>
      </c>
      <c r="N94">
        <v>15</v>
      </c>
      <c r="O94">
        <v>2013</v>
      </c>
      <c r="P94" t="s">
        <v>822</v>
      </c>
      <c r="Q94" t="str">
        <f>VLOOKUP(O94,[4]ExportWorksheet!$B$2:$C$54,2,FALSE)</f>
        <v>PD, DTI-SDS</v>
      </c>
    </row>
    <row r="95" spans="1:17" ht="27.6" hidden="1">
      <c r="A95" s="404" t="s">
        <v>1127</v>
      </c>
      <c r="B95" s="409" t="s">
        <v>1128</v>
      </c>
      <c r="C95" s="409" t="s">
        <v>1129</v>
      </c>
      <c r="D95" s="550">
        <f>SUMIFS('Revised RAO'!Q:Q,'Revised RAO'!E:E,'Transactions for Import (2)'!A95)</f>
        <v>0</v>
      </c>
      <c r="E95" s="550"/>
      <c r="F95">
        <f t="shared" si="1"/>
        <v>1</v>
      </c>
      <c r="J95" t="s">
        <v>1539</v>
      </c>
      <c r="O95">
        <v>2145</v>
      </c>
      <c r="P95" t="s">
        <v>1539</v>
      </c>
      <c r="Q95" t="e">
        <f>VLOOKUP(O95,[4]ExportWorksheet!$B$2:$C$54,2,FALSE)</f>
        <v>#N/A</v>
      </c>
    </row>
    <row r="96" spans="1:17" ht="27.6" hidden="1">
      <c r="A96" s="352" t="s">
        <v>1130</v>
      </c>
      <c r="B96" s="463" t="s">
        <v>1131</v>
      </c>
      <c r="C96" s="463" t="s">
        <v>1132</v>
      </c>
      <c r="D96" s="550">
        <f>SUMIFS('Revised RAO'!Q:Q,'Revised RAO'!E:E,'Transactions for Import (2)'!A96)</f>
        <v>25000</v>
      </c>
      <c r="E96" s="550"/>
      <c r="F96">
        <f t="shared" si="1"/>
        <v>1</v>
      </c>
      <c r="J96" t="s">
        <v>822</v>
      </c>
      <c r="N96">
        <v>15</v>
      </c>
      <c r="O96">
        <v>2013</v>
      </c>
      <c r="P96" t="s">
        <v>822</v>
      </c>
      <c r="Q96" t="str">
        <f>VLOOKUP(O96,[4]ExportWorksheet!$B$2:$C$54,2,FALSE)</f>
        <v>PD, DTI-SDS</v>
      </c>
    </row>
    <row r="97" spans="1:21" ht="27.6" hidden="1">
      <c r="A97" s="352" t="s">
        <v>1133</v>
      </c>
      <c r="B97" s="463" t="s">
        <v>1134</v>
      </c>
      <c r="C97" s="463" t="s">
        <v>1135</v>
      </c>
      <c r="D97" s="550">
        <f>SUMIFS('Revised RAO'!Q:Q,'Revised RAO'!E:E,'Transactions for Import (2)'!A97)</f>
        <v>1990</v>
      </c>
      <c r="E97" s="550"/>
      <c r="F97">
        <f t="shared" si="1"/>
        <v>1</v>
      </c>
      <c r="J97" t="s">
        <v>1180</v>
      </c>
      <c r="N97">
        <v>73</v>
      </c>
      <c r="O97">
        <v>2071</v>
      </c>
      <c r="P97" t="s">
        <v>1703</v>
      </c>
      <c r="Q97" t="e">
        <f>VLOOKUP(O97,[4]ExportWorksheet!$B$2:$C$54,2,FALSE)</f>
        <v>#N/A</v>
      </c>
    </row>
    <row r="98" spans="1:21" ht="27.6" hidden="1">
      <c r="A98" s="352" t="s">
        <v>1136</v>
      </c>
      <c r="B98" s="463" t="s">
        <v>779</v>
      </c>
      <c r="C98" s="463" t="s">
        <v>1137</v>
      </c>
      <c r="D98" s="550">
        <f>SUMIFS('Revised RAO'!Q:Q,'Revised RAO'!E:E,'Transactions for Import (2)'!A98)</f>
        <v>170501.47</v>
      </c>
      <c r="E98" s="550"/>
      <c r="F98">
        <f t="shared" si="1"/>
        <v>1</v>
      </c>
      <c r="J98" t="s">
        <v>1449</v>
      </c>
      <c r="Q98" t="e">
        <f>VLOOKUP(O98,[4]ExportWorksheet!$B$2:$C$54,2,FALSE)</f>
        <v>#N/A</v>
      </c>
    </row>
    <row r="99" spans="1:21" ht="27.6" hidden="1">
      <c r="A99" s="404" t="s">
        <v>1138</v>
      </c>
      <c r="B99" s="409" t="s">
        <v>818</v>
      </c>
      <c r="C99" s="409" t="s">
        <v>1139</v>
      </c>
      <c r="D99" s="550">
        <f>SUMIFS('Revised RAO'!Q:Q,'Revised RAO'!E:E,'Transactions for Import (2)'!A99)</f>
        <v>0</v>
      </c>
      <c r="E99" s="550"/>
      <c r="F99">
        <f t="shared" si="1"/>
        <v>1</v>
      </c>
      <c r="J99" t="s">
        <v>1036</v>
      </c>
      <c r="N99">
        <v>58</v>
      </c>
      <c r="O99">
        <v>2056</v>
      </c>
      <c r="P99" t="s">
        <v>1036</v>
      </c>
      <c r="Q99" t="e">
        <f>VLOOKUP(O99,[4]ExportWorksheet!$B$2:$C$54,2,FALSE)</f>
        <v>#N/A</v>
      </c>
    </row>
    <row r="100" spans="1:21" ht="27.6" hidden="1">
      <c r="A100" s="352" t="s">
        <v>1140</v>
      </c>
      <c r="B100" s="463" t="s">
        <v>820</v>
      </c>
      <c r="C100" s="463" t="s">
        <v>1139</v>
      </c>
      <c r="D100" s="550">
        <f>SUMIFS('Revised RAO'!Q:Q,'Revised RAO'!E:E,'Transactions for Import (2)'!A100)</f>
        <v>640000</v>
      </c>
      <c r="E100" s="550"/>
      <c r="F100">
        <f t="shared" si="1"/>
        <v>1</v>
      </c>
      <c r="J100" t="s">
        <v>1577</v>
      </c>
      <c r="N100">
        <v>58</v>
      </c>
      <c r="O100">
        <v>2056</v>
      </c>
      <c r="P100" t="s">
        <v>1036</v>
      </c>
      <c r="Q100" t="e">
        <f>VLOOKUP(O100,[4]ExportWorksheet!$B$2:$C$54,2,FALSE)</f>
        <v>#N/A</v>
      </c>
      <c r="S100">
        <v>60</v>
      </c>
      <c r="T100">
        <v>2058</v>
      </c>
      <c r="U100" t="s">
        <v>1695</v>
      </c>
    </row>
    <row r="101" spans="1:21" ht="27.6" hidden="1">
      <c r="A101" s="404" t="s">
        <v>1141</v>
      </c>
      <c r="B101" s="409" t="s">
        <v>821</v>
      </c>
      <c r="C101" s="409" t="s">
        <v>1139</v>
      </c>
      <c r="D101" s="550">
        <f>SUMIFS('Revised RAO'!Q:Q,'Revised RAO'!E:E,'Transactions for Import (2)'!A101)</f>
        <v>0</v>
      </c>
      <c r="E101" s="550"/>
      <c r="F101">
        <f t="shared" si="1"/>
        <v>1</v>
      </c>
      <c r="J101" t="s">
        <v>859</v>
      </c>
      <c r="N101">
        <v>62</v>
      </c>
      <c r="O101">
        <v>2060</v>
      </c>
      <c r="P101" t="s">
        <v>859</v>
      </c>
      <c r="Q101" t="e">
        <f>VLOOKUP(O101,[4]ExportWorksheet!$B$2:$C$54,2,FALSE)</f>
        <v>#N/A</v>
      </c>
      <c r="S101">
        <v>109</v>
      </c>
      <c r="T101">
        <v>2107</v>
      </c>
      <c r="U101" t="s">
        <v>1731</v>
      </c>
    </row>
    <row r="102" spans="1:21" ht="27.6" hidden="1">
      <c r="A102" s="404" t="s">
        <v>1142</v>
      </c>
      <c r="B102" s="409" t="s">
        <v>822</v>
      </c>
      <c r="C102" s="409" t="s">
        <v>1139</v>
      </c>
      <c r="D102" s="550">
        <f>SUMIFS('Revised RAO'!Q:Q,'Revised RAO'!E:E,'Transactions for Import (2)'!A102)</f>
        <v>0</v>
      </c>
      <c r="E102" s="550"/>
      <c r="F102">
        <f t="shared" si="1"/>
        <v>1</v>
      </c>
      <c r="J102" s="548" t="s">
        <v>1195</v>
      </c>
      <c r="Q102" t="e">
        <f>VLOOKUP(O102,[4]ExportWorksheet!$B$2:$C$54,2,FALSE)</f>
        <v>#N/A</v>
      </c>
      <c r="S102">
        <v>136</v>
      </c>
      <c r="T102">
        <v>2134</v>
      </c>
      <c r="U102" t="s">
        <v>1755</v>
      </c>
    </row>
    <row r="103" spans="1:21" ht="27.6" hidden="1">
      <c r="A103" s="404" t="s">
        <v>1143</v>
      </c>
      <c r="B103" s="409" t="s">
        <v>823</v>
      </c>
      <c r="C103" s="409" t="s">
        <v>1139</v>
      </c>
      <c r="D103" s="550">
        <f>SUMIFS('Revised RAO'!Q:Q,'Revised RAO'!E:E,'Transactions for Import (2)'!A103)</f>
        <v>0</v>
      </c>
      <c r="E103" s="550"/>
      <c r="F103">
        <f t="shared" si="1"/>
        <v>1</v>
      </c>
      <c r="J103" s="548" t="s">
        <v>1043</v>
      </c>
      <c r="Q103" t="e">
        <f>VLOOKUP(O103,[4]ExportWorksheet!$B$2:$C$54,2,FALSE)</f>
        <v>#N/A</v>
      </c>
      <c r="S103">
        <v>120</v>
      </c>
      <c r="T103">
        <v>2118</v>
      </c>
      <c r="U103" t="s">
        <v>1742</v>
      </c>
    </row>
    <row r="104" spans="1:21" hidden="1">
      <c r="A104" s="404" t="s">
        <v>1144</v>
      </c>
      <c r="B104" s="409" t="s">
        <v>818</v>
      </c>
      <c r="C104" s="409" t="s">
        <v>1145</v>
      </c>
      <c r="D104" s="550">
        <f>SUMIFS('Revised RAO'!Q:Q,'Revised RAO'!E:E,'Transactions for Import (2)'!A104)</f>
        <v>0</v>
      </c>
      <c r="E104" s="550"/>
      <c r="F104">
        <f t="shared" si="1"/>
        <v>1</v>
      </c>
      <c r="J104" t="s">
        <v>1242</v>
      </c>
      <c r="Q104" t="e">
        <f>VLOOKUP(O104,[4]ExportWorksheet!$B$2:$C$54,2,FALSE)</f>
        <v>#N/A</v>
      </c>
      <c r="S104">
        <v>48</v>
      </c>
      <c r="T104">
        <v>2046</v>
      </c>
      <c r="U104" t="s">
        <v>1689</v>
      </c>
    </row>
    <row r="105" spans="1:21" hidden="1">
      <c r="A105" s="404" t="s">
        <v>1146</v>
      </c>
      <c r="B105" s="409" t="s">
        <v>820</v>
      </c>
      <c r="C105" s="409" t="s">
        <v>1145</v>
      </c>
      <c r="D105" s="550">
        <f>SUMIFS('Revised RAO'!Q:Q,'Revised RAO'!E:E,'Transactions for Import (2)'!A105)</f>
        <v>0</v>
      </c>
      <c r="E105" s="550"/>
      <c r="F105">
        <f t="shared" si="1"/>
        <v>1</v>
      </c>
      <c r="J105" t="s">
        <v>1170</v>
      </c>
      <c r="Q105" t="e">
        <f>VLOOKUP(O105,[4]ExportWorksheet!$B$2:$C$54,2,FALSE)</f>
        <v>#N/A</v>
      </c>
      <c r="S105">
        <v>100</v>
      </c>
      <c r="T105">
        <v>2098</v>
      </c>
      <c r="U105" t="s">
        <v>1723</v>
      </c>
    </row>
    <row r="106" spans="1:21" hidden="1">
      <c r="A106" s="352" t="s">
        <v>1147</v>
      </c>
      <c r="B106" s="463" t="s">
        <v>821</v>
      </c>
      <c r="C106" s="463" t="s">
        <v>1145</v>
      </c>
      <c r="D106" s="550">
        <f>SUMIFS('Revised RAO'!Q:Q,'Revised RAO'!E:E,'Transactions for Import (2)'!A106)</f>
        <v>80335.709999999992</v>
      </c>
      <c r="E106" s="550"/>
      <c r="F106">
        <f t="shared" si="1"/>
        <v>1</v>
      </c>
      <c r="J106" t="s">
        <v>1334</v>
      </c>
      <c r="Q106" t="e">
        <f>VLOOKUP(O106,[4]ExportWorksheet!$B$2:$C$54,2,FALSE)</f>
        <v>#N/A</v>
      </c>
      <c r="S106">
        <v>9</v>
      </c>
      <c r="T106">
        <v>2007</v>
      </c>
      <c r="U106" t="s">
        <v>1662</v>
      </c>
    </row>
    <row r="107" spans="1:21" hidden="1">
      <c r="A107" s="404" t="s">
        <v>1148</v>
      </c>
      <c r="B107" s="409" t="s">
        <v>822</v>
      </c>
      <c r="C107" s="409" t="s">
        <v>1145</v>
      </c>
      <c r="D107" s="550">
        <f>SUMIFS('Revised RAO'!Q:Q,'Revised RAO'!E:E,'Transactions for Import (2)'!A107)</f>
        <v>0</v>
      </c>
      <c r="E107" s="550"/>
      <c r="F107">
        <f t="shared" si="1"/>
        <v>1</v>
      </c>
      <c r="J107" t="s">
        <v>1038</v>
      </c>
      <c r="Q107" t="e">
        <f>VLOOKUP(O107,[4]ExportWorksheet!$B$2:$C$54,2,FALSE)</f>
        <v>#N/A</v>
      </c>
      <c r="S107">
        <v>17</v>
      </c>
      <c r="T107">
        <v>2015</v>
      </c>
      <c r="U107" t="s">
        <v>1667</v>
      </c>
    </row>
    <row r="108" spans="1:21" hidden="1">
      <c r="A108" s="404" t="s">
        <v>1149</v>
      </c>
      <c r="B108" s="409" t="s">
        <v>823</v>
      </c>
      <c r="C108" s="409" t="s">
        <v>1145</v>
      </c>
      <c r="D108" s="550">
        <f>SUMIFS('Revised RAO'!Q:Q,'Revised RAO'!E:E,'Transactions for Import (2)'!A108)</f>
        <v>0</v>
      </c>
      <c r="E108" s="550"/>
      <c r="F108">
        <f t="shared" si="1"/>
        <v>1</v>
      </c>
      <c r="J108" t="s">
        <v>1327</v>
      </c>
      <c r="N108">
        <v>101</v>
      </c>
      <c r="O108">
        <v>2099</v>
      </c>
      <c r="P108" t="s">
        <v>1327</v>
      </c>
      <c r="Q108" t="e">
        <f>VLOOKUP(O108,[4]ExportWorksheet!$B$2:$C$54,2,FALSE)</f>
        <v>#N/A</v>
      </c>
      <c r="S108">
        <v>20</v>
      </c>
      <c r="T108">
        <v>2018</v>
      </c>
      <c r="U108" t="s">
        <v>1670</v>
      </c>
    </row>
    <row r="109" spans="1:21" ht="27.6" hidden="1">
      <c r="A109" s="404" t="s">
        <v>1151</v>
      </c>
      <c r="B109" s="409" t="s">
        <v>818</v>
      </c>
      <c r="C109" s="409" t="s">
        <v>1150</v>
      </c>
      <c r="D109" s="550">
        <f>SUMIFS('Revised RAO'!Q:Q,'Revised RAO'!E:E,'Transactions for Import (2)'!A109)</f>
        <v>0</v>
      </c>
      <c r="E109" s="550"/>
      <c r="F109">
        <f t="shared" si="1"/>
        <v>1</v>
      </c>
      <c r="J109" t="s">
        <v>1128</v>
      </c>
      <c r="Q109" t="e">
        <f>VLOOKUP(O109,[4]ExportWorksheet!$B$2:$C$54,2,FALSE)</f>
        <v>#N/A</v>
      </c>
      <c r="S109">
        <v>135</v>
      </c>
      <c r="T109">
        <v>2133</v>
      </c>
      <c r="U109" t="s">
        <v>1754</v>
      </c>
    </row>
    <row r="110" spans="1:21" ht="27.6" hidden="1">
      <c r="A110" s="352" t="s">
        <v>1152</v>
      </c>
      <c r="B110" s="463" t="s">
        <v>820</v>
      </c>
      <c r="C110" s="463" t="s">
        <v>1150</v>
      </c>
      <c r="D110" s="550">
        <f>SUMIFS('Revised RAO'!Q:Q,'Revised RAO'!E:E,'Transactions for Import (2)'!A110)</f>
        <v>31356</v>
      </c>
      <c r="E110" s="550"/>
      <c r="F110">
        <f t="shared" si="1"/>
        <v>1</v>
      </c>
      <c r="J110" t="s">
        <v>1108</v>
      </c>
      <c r="N110">
        <v>30</v>
      </c>
      <c r="O110">
        <v>2028</v>
      </c>
      <c r="P110" t="s">
        <v>1108</v>
      </c>
      <c r="Q110" t="str">
        <f>VLOOKUP(O110,[4]ExportWorksheet!$B$2:$C$54,2,FALSE)</f>
        <v>TRUE BREW GOURMET COFFEE SHOP</v>
      </c>
      <c r="S110">
        <v>143</v>
      </c>
      <c r="T110">
        <v>2141</v>
      </c>
      <c r="U110" t="s">
        <v>1760</v>
      </c>
    </row>
    <row r="111" spans="1:21" ht="27.6" hidden="1">
      <c r="A111" s="404" t="s">
        <v>1153</v>
      </c>
      <c r="B111" s="409" t="s">
        <v>823</v>
      </c>
      <c r="C111" s="409" t="s">
        <v>1150</v>
      </c>
      <c r="D111" s="550">
        <f>SUMIFS('Revised RAO'!Q:Q,'Revised RAO'!E:E,'Transactions for Import (2)'!A111)</f>
        <v>0</v>
      </c>
      <c r="E111" s="550"/>
      <c r="F111">
        <f t="shared" si="1"/>
        <v>1</v>
      </c>
      <c r="S111">
        <v>127</v>
      </c>
      <c r="T111">
        <v>2125</v>
      </c>
      <c r="U111" t="s">
        <v>1747</v>
      </c>
    </row>
    <row r="112" spans="1:21" ht="27.6" hidden="1">
      <c r="A112" s="404" t="s">
        <v>1154</v>
      </c>
      <c r="B112" s="409" t="s">
        <v>821</v>
      </c>
      <c r="C112" s="409" t="s">
        <v>1150</v>
      </c>
      <c r="D112" s="550">
        <f>SUMIFS('Revised RAO'!Q:Q,'Revised RAO'!E:E,'Transactions for Import (2)'!A112)</f>
        <v>0</v>
      </c>
      <c r="E112" s="550"/>
      <c r="F112">
        <f t="shared" si="1"/>
        <v>1</v>
      </c>
      <c r="S112">
        <v>129</v>
      </c>
      <c r="T112">
        <v>2127</v>
      </c>
      <c r="U112" t="s">
        <v>1749</v>
      </c>
    </row>
    <row r="113" spans="1:21" ht="27.6" hidden="1">
      <c r="A113" s="404" t="s">
        <v>1155</v>
      </c>
      <c r="B113" s="409" t="s">
        <v>822</v>
      </c>
      <c r="C113" s="409" t="s">
        <v>1150</v>
      </c>
      <c r="D113" s="550">
        <f>SUMIFS('Revised RAO'!Q:Q,'Revised RAO'!E:E,'Transactions for Import (2)'!A113)</f>
        <v>0</v>
      </c>
      <c r="E113" s="550"/>
      <c r="F113">
        <f t="shared" si="1"/>
        <v>1</v>
      </c>
      <c r="S113">
        <v>106</v>
      </c>
      <c r="T113">
        <v>2104</v>
      </c>
      <c r="U113" t="s">
        <v>1729</v>
      </c>
    </row>
    <row r="114" spans="1:21" ht="41.4" hidden="1">
      <c r="A114" s="352" t="s">
        <v>1156</v>
      </c>
      <c r="B114" s="463" t="s">
        <v>1157</v>
      </c>
      <c r="C114" s="463" t="s">
        <v>1158</v>
      </c>
      <c r="D114" s="550">
        <f>SUMIFS('Revised RAO'!Q:Q,'Revised RAO'!E:E,'Transactions for Import (2)'!A114)</f>
        <v>11500</v>
      </c>
      <c r="E114" s="550"/>
      <c r="F114">
        <f t="shared" si="1"/>
        <v>1</v>
      </c>
      <c r="S114">
        <v>84</v>
      </c>
      <c r="T114">
        <v>2082</v>
      </c>
      <c r="U114" t="s">
        <v>1711</v>
      </c>
    </row>
    <row r="115" spans="1:21" ht="41.4" hidden="1">
      <c r="A115" s="352" t="s">
        <v>1159</v>
      </c>
      <c r="B115" s="463" t="s">
        <v>789</v>
      </c>
      <c r="C115" s="463" t="s">
        <v>1113</v>
      </c>
      <c r="D115" s="550">
        <f>SUMIFS('Revised RAO'!Q:Q,'Revised RAO'!E:E,'Transactions for Import (2)'!A115)</f>
        <v>666486.65999999992</v>
      </c>
      <c r="E115" s="550"/>
      <c r="F115">
        <f t="shared" si="1"/>
        <v>1</v>
      </c>
      <c r="S115">
        <v>61</v>
      </c>
      <c r="T115">
        <v>2059</v>
      </c>
      <c r="U115" t="s">
        <v>1696</v>
      </c>
    </row>
    <row r="116" spans="1:21" ht="27.6" hidden="1">
      <c r="A116" s="352" t="s">
        <v>1160</v>
      </c>
      <c r="B116" s="463" t="s">
        <v>789</v>
      </c>
      <c r="C116" s="463" t="s">
        <v>1125</v>
      </c>
      <c r="D116" s="550">
        <f>SUMIFS('Revised RAO'!Q:Q,'Revised RAO'!E:E,'Transactions for Import (2)'!A116)</f>
        <v>92085.57</v>
      </c>
      <c r="E116" s="550"/>
      <c r="F116">
        <f t="shared" si="1"/>
        <v>1</v>
      </c>
    </row>
    <row r="117" spans="1:21" ht="41.4" hidden="1">
      <c r="A117" s="352" t="s">
        <v>1161</v>
      </c>
      <c r="B117" s="463" t="s">
        <v>768</v>
      </c>
      <c r="C117" s="463" t="s">
        <v>1113</v>
      </c>
      <c r="D117" s="550">
        <f>SUMIFS('Revised RAO'!Q:Q,'Revised RAO'!E:E,'Transactions for Import (2)'!A117)</f>
        <v>688368.09</v>
      </c>
      <c r="E117" s="550"/>
      <c r="F117">
        <f t="shared" si="1"/>
        <v>1</v>
      </c>
    </row>
    <row r="118" spans="1:21" ht="27.6" hidden="1">
      <c r="A118" s="352" t="s">
        <v>1162</v>
      </c>
      <c r="B118" s="463" t="s">
        <v>768</v>
      </c>
      <c r="C118" s="463" t="s">
        <v>1125</v>
      </c>
      <c r="D118" s="550">
        <f>SUMIFS('Revised RAO'!Q:Q,'Revised RAO'!E:E,'Transactions for Import (2)'!A118)</f>
        <v>92085.57</v>
      </c>
      <c r="E118" s="550"/>
      <c r="F118">
        <f t="shared" si="1"/>
        <v>1</v>
      </c>
    </row>
    <row r="119" spans="1:21" ht="27.6" hidden="1">
      <c r="A119" s="352" t="s">
        <v>1163</v>
      </c>
      <c r="B119" s="463" t="s">
        <v>867</v>
      </c>
      <c r="C119" s="463" t="s">
        <v>1125</v>
      </c>
      <c r="D119" s="550">
        <f>SUMIFS('Revised RAO'!Q:Q,'Revised RAO'!E:E,'Transactions for Import (2)'!A119)</f>
        <v>40307.629999999997</v>
      </c>
      <c r="E119" s="550"/>
      <c r="F119">
        <f t="shared" si="1"/>
        <v>1</v>
      </c>
    </row>
    <row r="120" spans="1:21" ht="41.4" hidden="1">
      <c r="A120" s="352" t="s">
        <v>1164</v>
      </c>
      <c r="B120" s="463" t="s">
        <v>764</v>
      </c>
      <c r="C120" s="463" t="s">
        <v>1113</v>
      </c>
      <c r="D120" s="550">
        <f>SUMIFS('Revised RAO'!Q:Q,'Revised RAO'!E:E,'Transactions for Import (2)'!A120)</f>
        <v>470812.07</v>
      </c>
      <c r="E120" s="550"/>
      <c r="F120">
        <f t="shared" si="1"/>
        <v>1</v>
      </c>
    </row>
    <row r="121" spans="1:21" ht="27.6" hidden="1">
      <c r="A121" s="352" t="s">
        <v>1167</v>
      </c>
      <c r="B121" s="463" t="s">
        <v>869</v>
      </c>
      <c r="C121" s="463" t="s">
        <v>1125</v>
      </c>
      <c r="D121" s="550">
        <f>SUMIFS('Revised RAO'!Q:Q,'Revised RAO'!E:E,'Transactions for Import (2)'!A121)</f>
        <v>40307.629999999997</v>
      </c>
      <c r="E121" s="550"/>
      <c r="F121">
        <f t="shared" si="1"/>
        <v>1</v>
      </c>
    </row>
    <row r="122" spans="1:21" ht="27.6" hidden="1">
      <c r="A122" s="352" t="s">
        <v>1168</v>
      </c>
      <c r="B122" s="463" t="s">
        <v>1165</v>
      </c>
      <c r="C122" s="463" t="s">
        <v>1166</v>
      </c>
      <c r="D122" s="550">
        <f>SUMIFS('Revised RAO'!Q:Q,'Revised RAO'!E:E,'Transactions for Import (2)'!A122)</f>
        <v>13614.41</v>
      </c>
      <c r="E122" s="550"/>
      <c r="F122">
        <f t="shared" si="1"/>
        <v>1</v>
      </c>
    </row>
    <row r="123" spans="1:21" ht="27.6" hidden="1">
      <c r="A123" s="352" t="s">
        <v>1169</v>
      </c>
      <c r="B123" s="463" t="s">
        <v>1170</v>
      </c>
      <c r="C123" s="463" t="s">
        <v>1166</v>
      </c>
      <c r="D123" s="550">
        <f>SUMIFS('Revised RAO'!Q:Q,'Revised RAO'!E:E,'Transactions for Import (2)'!A123)</f>
        <v>13614.41</v>
      </c>
      <c r="E123" s="550"/>
      <c r="F123">
        <f t="shared" si="1"/>
        <v>1</v>
      </c>
    </row>
    <row r="124" spans="1:21" ht="27.6" hidden="1">
      <c r="A124" s="352" t="s">
        <v>1171</v>
      </c>
      <c r="B124" s="463" t="s">
        <v>1172</v>
      </c>
      <c r="C124" s="463" t="s">
        <v>1166</v>
      </c>
      <c r="D124" s="550">
        <f>SUMIFS('Revised RAO'!Q:Q,'Revised RAO'!E:E,'Transactions for Import (2)'!A124)</f>
        <v>13614.41</v>
      </c>
      <c r="E124" s="550"/>
      <c r="F124">
        <f t="shared" si="1"/>
        <v>1</v>
      </c>
    </row>
    <row r="125" spans="1:21" ht="27.6" hidden="1">
      <c r="A125" s="352" t="s">
        <v>1173</v>
      </c>
      <c r="B125" s="463" t="s">
        <v>1174</v>
      </c>
      <c r="C125" s="463" t="s">
        <v>1166</v>
      </c>
      <c r="D125" s="550">
        <f>SUMIFS('Revised RAO'!Q:Q,'Revised RAO'!E:E,'Transactions for Import (2)'!A125)</f>
        <v>13614.41</v>
      </c>
      <c r="E125" s="550"/>
      <c r="F125">
        <f t="shared" si="1"/>
        <v>1</v>
      </c>
    </row>
    <row r="126" spans="1:21" ht="27.6" hidden="1">
      <c r="A126" s="352" t="s">
        <v>1175</v>
      </c>
      <c r="B126" s="463" t="s">
        <v>1176</v>
      </c>
      <c r="C126" s="463" t="s">
        <v>1166</v>
      </c>
      <c r="D126" s="550">
        <f>SUMIFS('Revised RAO'!Q:Q,'Revised RAO'!E:E,'Transactions for Import (2)'!A126)</f>
        <v>13614.41</v>
      </c>
      <c r="E126" s="550"/>
      <c r="F126">
        <f t="shared" si="1"/>
        <v>1</v>
      </c>
    </row>
    <row r="127" spans="1:21" ht="27.6" hidden="1">
      <c r="A127" s="352" t="s">
        <v>1177</v>
      </c>
      <c r="B127" s="463" t="s">
        <v>1165</v>
      </c>
      <c r="C127" s="463" t="s">
        <v>1178</v>
      </c>
      <c r="D127" s="550">
        <f>SUMIFS('Revised RAO'!Q:Q,'Revised RAO'!E:E,'Transactions for Import (2)'!A127)</f>
        <v>29300.399999999998</v>
      </c>
      <c r="E127" s="550"/>
      <c r="F127">
        <f t="shared" si="1"/>
        <v>1</v>
      </c>
    </row>
    <row r="128" spans="1:21" ht="41.4" hidden="1">
      <c r="A128" s="352" t="s">
        <v>1179</v>
      </c>
      <c r="B128" s="463" t="s">
        <v>1180</v>
      </c>
      <c r="C128" s="463" t="s">
        <v>1181</v>
      </c>
      <c r="D128" s="550">
        <f>SUMIFS('Revised RAO'!Q:Q,'Revised RAO'!E:E,'Transactions for Import (2)'!A128)</f>
        <v>28839.81</v>
      </c>
      <c r="E128" s="550"/>
      <c r="F128">
        <f t="shared" si="1"/>
        <v>1</v>
      </c>
    </row>
    <row r="129" spans="1:6" ht="41.4" hidden="1">
      <c r="A129" s="352" t="s">
        <v>1182</v>
      </c>
      <c r="B129" s="463" t="s">
        <v>1180</v>
      </c>
      <c r="C129" s="463" t="s">
        <v>1183</v>
      </c>
      <c r="D129" s="550">
        <f>SUMIFS('Revised RAO'!Q:Q,'Revised RAO'!E:E,'Transactions for Import (2)'!A129)</f>
        <v>18000</v>
      </c>
      <c r="E129" s="550"/>
      <c r="F129">
        <f t="shared" si="1"/>
        <v>1</v>
      </c>
    </row>
    <row r="130" spans="1:6" ht="41.4" hidden="1">
      <c r="A130" s="352" t="s">
        <v>1184</v>
      </c>
      <c r="B130" s="463" t="s">
        <v>1180</v>
      </c>
      <c r="C130" s="463" t="s">
        <v>1185</v>
      </c>
      <c r="D130" s="550">
        <f>SUMIFS('Revised RAO'!Q:Q,'Revised RAO'!E:E,'Transactions for Import (2)'!A130)</f>
        <v>560</v>
      </c>
      <c r="E130" s="550"/>
      <c r="F130">
        <f t="shared" si="1"/>
        <v>1</v>
      </c>
    </row>
    <row r="131" spans="1:6" ht="41.4" hidden="1">
      <c r="A131" s="352" t="s">
        <v>1186</v>
      </c>
      <c r="B131" s="463" t="s">
        <v>1180</v>
      </c>
      <c r="C131" s="463" t="s">
        <v>1187</v>
      </c>
      <c r="D131" s="550">
        <f>SUMIFS('Revised RAO'!Q:Q,'Revised RAO'!E:E,'Transactions for Import (2)'!A131)</f>
        <v>918.4</v>
      </c>
      <c r="E131" s="550"/>
      <c r="F131">
        <f t="shared" ref="F131:F194" si="2">COUNTIFS($A$3:$A$357,A131)</f>
        <v>1</v>
      </c>
    </row>
    <row r="132" spans="1:6" ht="55.2" hidden="1">
      <c r="A132" s="352" t="s">
        <v>1188</v>
      </c>
      <c r="B132" s="463" t="s">
        <v>1189</v>
      </c>
      <c r="C132" s="463" t="s">
        <v>1190</v>
      </c>
      <c r="D132" s="550">
        <f>SUMIFS('Revised RAO'!Q:Q,'Revised RAO'!E:E,'Transactions for Import (2)'!A132)</f>
        <v>14000</v>
      </c>
      <c r="E132" s="550"/>
      <c r="F132">
        <f t="shared" si="2"/>
        <v>1</v>
      </c>
    </row>
    <row r="133" spans="1:6" ht="27.6" hidden="1">
      <c r="A133" s="352" t="s">
        <v>1191</v>
      </c>
      <c r="B133" s="463" t="s">
        <v>1192</v>
      </c>
      <c r="C133" s="463" t="s">
        <v>1193</v>
      </c>
      <c r="D133" s="550">
        <f>SUMIFS('Revised RAO'!Q:Q,'Revised RAO'!E:E,'Transactions for Import (2)'!A133)</f>
        <v>8774</v>
      </c>
      <c r="E133" s="550"/>
      <c r="F133">
        <f t="shared" si="2"/>
        <v>1</v>
      </c>
    </row>
    <row r="134" spans="1:6" ht="55.2" hidden="1">
      <c r="A134" s="352" t="s">
        <v>1194</v>
      </c>
      <c r="B134" s="463" t="s">
        <v>1195</v>
      </c>
      <c r="C134" s="463" t="s">
        <v>1196</v>
      </c>
      <c r="D134" s="550">
        <f>SUMIFS('Revised RAO'!Q:Q,'Revised RAO'!E:E,'Transactions for Import (2)'!A134)</f>
        <v>2850</v>
      </c>
      <c r="E134" s="550"/>
      <c r="F134">
        <f t="shared" si="2"/>
        <v>1</v>
      </c>
    </row>
    <row r="135" spans="1:6" ht="55.2" hidden="1">
      <c r="A135" s="352" t="s">
        <v>1197</v>
      </c>
      <c r="B135" s="463" t="s">
        <v>1195</v>
      </c>
      <c r="C135" s="463" t="s">
        <v>1205</v>
      </c>
      <c r="D135" s="550">
        <f>SUMIFS('Revised RAO'!Q:Q,'Revised RAO'!E:E,'Transactions for Import (2)'!A135)</f>
        <v>500</v>
      </c>
      <c r="E135" s="550"/>
      <c r="F135">
        <f t="shared" si="2"/>
        <v>1</v>
      </c>
    </row>
    <row r="136" spans="1:6" ht="27.6" hidden="1">
      <c r="A136" s="352" t="s">
        <v>1198</v>
      </c>
      <c r="B136" s="463" t="s">
        <v>823</v>
      </c>
      <c r="C136" s="463" t="s">
        <v>1206</v>
      </c>
      <c r="D136" s="550">
        <f>SUMIFS('Revised RAO'!Q:Q,'Revised RAO'!E:E,'Transactions for Import (2)'!A136)</f>
        <v>100000</v>
      </c>
      <c r="E136" s="550"/>
      <c r="F136">
        <f t="shared" si="2"/>
        <v>1</v>
      </c>
    </row>
    <row r="137" spans="1:6" ht="27.6" hidden="1">
      <c r="A137" s="404" t="s">
        <v>1199</v>
      </c>
      <c r="B137" s="409" t="s">
        <v>822</v>
      </c>
      <c r="C137" s="409" t="s">
        <v>1206</v>
      </c>
      <c r="D137" s="550">
        <f>SUMIFS('Revised RAO'!Q:Q,'Revised RAO'!E:E,'Transactions for Import (2)'!A137)</f>
        <v>0</v>
      </c>
      <c r="E137" s="550"/>
      <c r="F137">
        <f t="shared" si="2"/>
        <v>1</v>
      </c>
    </row>
    <row r="138" spans="1:6" ht="27.6" hidden="1">
      <c r="A138" s="404" t="s">
        <v>1200</v>
      </c>
      <c r="B138" s="409" t="s">
        <v>821</v>
      </c>
      <c r="C138" s="409" t="s">
        <v>1206</v>
      </c>
      <c r="D138" s="550">
        <f>SUMIFS('Revised RAO'!Q:Q,'Revised RAO'!E:E,'Transactions for Import (2)'!A138)</f>
        <v>0</v>
      </c>
      <c r="E138" s="550"/>
      <c r="F138">
        <f t="shared" si="2"/>
        <v>1</v>
      </c>
    </row>
    <row r="139" spans="1:6" ht="27.6" hidden="1">
      <c r="A139" s="352" t="s">
        <v>1201</v>
      </c>
      <c r="B139" s="463" t="s">
        <v>820</v>
      </c>
      <c r="C139" s="463" t="s">
        <v>1206</v>
      </c>
      <c r="D139" s="550">
        <f>SUMIFS('Revised RAO'!Q:Q,'Revised RAO'!E:E,'Transactions for Import (2)'!A139)</f>
        <v>135125</v>
      </c>
      <c r="E139" s="550"/>
      <c r="F139">
        <f t="shared" si="2"/>
        <v>1</v>
      </c>
    </row>
    <row r="140" spans="1:6" ht="27.6" hidden="1">
      <c r="A140" s="404" t="s">
        <v>1202</v>
      </c>
      <c r="B140" s="409" t="s">
        <v>818</v>
      </c>
      <c r="C140" s="409" t="s">
        <v>1206</v>
      </c>
      <c r="D140" s="550">
        <f>SUMIFS('Revised RAO'!Q:Q,'Revised RAO'!E:E,'Transactions for Import (2)'!A140)</f>
        <v>0</v>
      </c>
      <c r="E140" s="550"/>
      <c r="F140">
        <f t="shared" si="2"/>
        <v>1</v>
      </c>
    </row>
    <row r="141" spans="1:6" ht="27.6" hidden="1">
      <c r="A141" s="404" t="s">
        <v>1203</v>
      </c>
      <c r="B141" s="409" t="s">
        <v>1036</v>
      </c>
      <c r="C141" s="409" t="s">
        <v>1207</v>
      </c>
      <c r="D141" s="550">
        <f>SUMIFS('Revised RAO'!Q:Q,'Revised RAO'!E:E,'Transactions for Import (2)'!A141)</f>
        <v>0</v>
      </c>
      <c r="E141" s="550"/>
      <c r="F141">
        <f t="shared" si="2"/>
        <v>1</v>
      </c>
    </row>
    <row r="142" spans="1:6" ht="27.6" hidden="1">
      <c r="A142" s="404" t="s">
        <v>1204</v>
      </c>
      <c r="B142" s="409" t="s">
        <v>823</v>
      </c>
      <c r="C142" s="409" t="s">
        <v>1213</v>
      </c>
      <c r="D142" s="550">
        <f>SUMIFS('Revised RAO'!Q:Q,'Revised RAO'!E:E,'Transactions for Import (2)'!A142)</f>
        <v>0</v>
      </c>
      <c r="E142" s="550"/>
      <c r="F142">
        <f t="shared" si="2"/>
        <v>1</v>
      </c>
    </row>
    <row r="143" spans="1:6" ht="27.6" hidden="1">
      <c r="A143" s="404" t="s">
        <v>1208</v>
      </c>
      <c r="B143" s="409" t="s">
        <v>822</v>
      </c>
      <c r="C143" s="409" t="s">
        <v>1213</v>
      </c>
      <c r="D143" s="550">
        <f>SUMIFS('Revised RAO'!Q:Q,'Revised RAO'!E:E,'Transactions for Import (2)'!A143)</f>
        <v>0</v>
      </c>
      <c r="E143" s="550"/>
      <c r="F143">
        <f t="shared" si="2"/>
        <v>1</v>
      </c>
    </row>
    <row r="144" spans="1:6" ht="27.6" hidden="1">
      <c r="A144" s="404" t="s">
        <v>1209</v>
      </c>
      <c r="B144" s="409" t="s">
        <v>821</v>
      </c>
      <c r="C144" s="409" t="s">
        <v>1213</v>
      </c>
      <c r="D144" s="550">
        <f>SUMIFS('Revised RAO'!Q:Q,'Revised RAO'!E:E,'Transactions for Import (2)'!A144)</f>
        <v>0</v>
      </c>
      <c r="E144" s="550"/>
      <c r="F144">
        <f t="shared" si="2"/>
        <v>1</v>
      </c>
    </row>
    <row r="145" spans="1:6" ht="27.6" hidden="1">
      <c r="A145" s="404" t="s">
        <v>1210</v>
      </c>
      <c r="B145" s="409" t="s">
        <v>820</v>
      </c>
      <c r="C145" s="409" t="s">
        <v>1213</v>
      </c>
      <c r="D145" s="550">
        <f>SUMIFS('Revised RAO'!Q:Q,'Revised RAO'!E:E,'Transactions for Import (2)'!A145)</f>
        <v>0</v>
      </c>
      <c r="E145" s="550"/>
      <c r="F145">
        <f t="shared" si="2"/>
        <v>1</v>
      </c>
    </row>
    <row r="146" spans="1:6" ht="27.6" hidden="1">
      <c r="A146" s="404" t="s">
        <v>1211</v>
      </c>
      <c r="B146" s="409" t="s">
        <v>818</v>
      </c>
      <c r="C146" s="409" t="s">
        <v>1213</v>
      </c>
      <c r="D146" s="550">
        <f>SUMIFS('Revised RAO'!Q:Q,'Revised RAO'!E:E,'Transactions for Import (2)'!A146)</f>
        <v>0</v>
      </c>
      <c r="E146" s="550"/>
      <c r="F146">
        <f t="shared" si="2"/>
        <v>1</v>
      </c>
    </row>
    <row r="147" spans="1:6" ht="27.6" hidden="1">
      <c r="A147" s="352" t="s">
        <v>1212</v>
      </c>
      <c r="B147" s="463" t="s">
        <v>1214</v>
      </c>
      <c r="C147" s="463" t="s">
        <v>1215</v>
      </c>
      <c r="D147" s="550">
        <f>SUMIFS('Revised RAO'!Q:Q,'Revised RAO'!E:E,'Transactions for Import (2)'!A147)</f>
        <v>22320</v>
      </c>
      <c r="E147" s="550"/>
      <c r="F147">
        <f t="shared" si="2"/>
        <v>1</v>
      </c>
    </row>
    <row r="148" spans="1:6" ht="27.6">
      <c r="A148" s="352" t="s">
        <v>1222</v>
      </c>
      <c r="B148" s="463" t="s">
        <v>1030</v>
      </c>
      <c r="C148" s="463" t="s">
        <v>1223</v>
      </c>
      <c r="D148" s="550">
        <f>SUMIFS('Revised RAO'!Q:Q,'Revised RAO'!E:E,'Transactions for Import (2)'!A148)</f>
        <v>144603.29</v>
      </c>
      <c r="E148" s="550"/>
      <c r="F148">
        <f t="shared" si="2"/>
        <v>1</v>
      </c>
    </row>
    <row r="149" spans="1:6" ht="27.6">
      <c r="A149" s="352" t="s">
        <v>1224</v>
      </c>
      <c r="B149" s="463" t="s">
        <v>1030</v>
      </c>
      <c r="C149" s="463" t="s">
        <v>1225</v>
      </c>
      <c r="D149" s="550">
        <f>SUMIFS('Revised RAO'!Q:Q,'Revised RAO'!E:E,'Transactions for Import (2)'!A149)</f>
        <v>119889.07</v>
      </c>
      <c r="E149" s="550"/>
      <c r="F149">
        <f t="shared" si="2"/>
        <v>1</v>
      </c>
    </row>
    <row r="150" spans="1:6" ht="27.6">
      <c r="A150" s="352" t="s">
        <v>1226</v>
      </c>
      <c r="B150" s="463" t="s">
        <v>1030</v>
      </c>
      <c r="C150" s="463" t="s">
        <v>1227</v>
      </c>
      <c r="D150" s="550">
        <f>SUMIFS('Revised RAO'!Q:Q,'Revised RAO'!E:E,'Transactions for Import (2)'!A150)</f>
        <v>83142.720000000001</v>
      </c>
      <c r="E150" s="550"/>
      <c r="F150">
        <f t="shared" si="2"/>
        <v>1</v>
      </c>
    </row>
    <row r="151" spans="1:6" ht="27.6">
      <c r="A151" s="352" t="s">
        <v>1228</v>
      </c>
      <c r="B151" s="463" t="s">
        <v>1030</v>
      </c>
      <c r="C151" s="463" t="s">
        <v>1227</v>
      </c>
      <c r="D151" s="550">
        <f>SUMIFS('Revised RAO'!Q:Q,'Revised RAO'!E:E,'Transactions for Import (2)'!A151)</f>
        <v>106531.33</v>
      </c>
      <c r="E151" s="550"/>
      <c r="F151">
        <f t="shared" si="2"/>
        <v>1</v>
      </c>
    </row>
    <row r="152" spans="1:6" ht="27.6" hidden="1">
      <c r="A152" s="404" t="s">
        <v>1229</v>
      </c>
      <c r="B152" s="409" t="s">
        <v>1230</v>
      </c>
      <c r="C152" s="409" t="s">
        <v>1231</v>
      </c>
      <c r="D152" s="550">
        <f>SUMIFS('Revised RAO'!Q:Q,'Revised RAO'!E:E,'Transactions for Import (2)'!A152)</f>
        <v>0</v>
      </c>
      <c r="E152" s="550"/>
      <c r="F152">
        <f t="shared" si="2"/>
        <v>1</v>
      </c>
    </row>
    <row r="153" spans="1:6" ht="27.6" hidden="1">
      <c r="A153" s="404" t="s">
        <v>1232</v>
      </c>
      <c r="B153" s="409" t="s">
        <v>1102</v>
      </c>
      <c r="C153" s="409" t="s">
        <v>1233</v>
      </c>
      <c r="D153" s="550">
        <f>SUMIFS('Revised RAO'!Q:Q,'Revised RAO'!E:E,'Transactions for Import (2)'!A153)</f>
        <v>0</v>
      </c>
      <c r="E153" s="550"/>
      <c r="F153">
        <f t="shared" si="2"/>
        <v>1</v>
      </c>
    </row>
    <row r="154" spans="1:6" ht="27.6" hidden="1">
      <c r="A154" s="352" t="s">
        <v>1234</v>
      </c>
      <c r="B154" s="463" t="s">
        <v>1235</v>
      </c>
      <c r="C154" s="463" t="s">
        <v>1236</v>
      </c>
      <c r="D154" s="550">
        <f>SUMIFS('Revised RAO'!Q:Q,'Revised RAO'!E:E,'Transactions for Import (2)'!A154)</f>
        <v>10000</v>
      </c>
      <c r="E154" s="550"/>
      <c r="F154">
        <f t="shared" si="2"/>
        <v>1</v>
      </c>
    </row>
    <row r="155" spans="1:6" ht="27.6" hidden="1">
      <c r="A155" s="352" t="s">
        <v>1237</v>
      </c>
      <c r="B155" s="463" t="s">
        <v>1075</v>
      </c>
      <c r="C155" s="463" t="s">
        <v>1236</v>
      </c>
      <c r="D155" s="550">
        <f>SUMIFS('Revised RAO'!Q:Q,'Revised RAO'!E:E,'Transactions for Import (2)'!A155)</f>
        <v>10790</v>
      </c>
      <c r="E155" s="550"/>
      <c r="F155">
        <f t="shared" si="2"/>
        <v>1</v>
      </c>
    </row>
    <row r="156" spans="1:6" ht="27.6" hidden="1">
      <c r="A156" s="352" t="s">
        <v>1238</v>
      </c>
      <c r="B156" s="463" t="s">
        <v>1075</v>
      </c>
      <c r="C156" s="463" t="s">
        <v>1236</v>
      </c>
      <c r="D156" s="550">
        <f>SUMIFS('Revised RAO'!Q:Q,'Revised RAO'!E:E,'Transactions for Import (2)'!A156)</f>
        <v>12352.18</v>
      </c>
      <c r="E156" s="550"/>
      <c r="F156">
        <f t="shared" si="2"/>
        <v>1</v>
      </c>
    </row>
    <row r="157" spans="1:6" ht="27.6" hidden="1">
      <c r="A157" s="352" t="s">
        <v>1239</v>
      </c>
      <c r="B157" s="463" t="s">
        <v>1075</v>
      </c>
      <c r="C157" s="463" t="s">
        <v>1236</v>
      </c>
      <c r="D157" s="550">
        <f>SUMIFS('Revised RAO'!Q:Q,'Revised RAO'!E:E,'Transactions for Import (2)'!A157)</f>
        <v>23474</v>
      </c>
      <c r="E157" s="550"/>
      <c r="F157">
        <f t="shared" si="2"/>
        <v>1</v>
      </c>
    </row>
    <row r="158" spans="1:6" ht="27.6" hidden="1">
      <c r="A158" s="352" t="s">
        <v>1240</v>
      </c>
      <c r="B158" s="463" t="s">
        <v>1075</v>
      </c>
      <c r="C158" s="463" t="s">
        <v>1236</v>
      </c>
      <c r="D158" s="550">
        <f>SUMIFS('Revised RAO'!Q:Q,'Revised RAO'!E:E,'Transactions for Import (2)'!A158)</f>
        <v>27256.91</v>
      </c>
      <c r="E158" s="550"/>
      <c r="F158">
        <f t="shared" si="2"/>
        <v>1</v>
      </c>
    </row>
    <row r="159" spans="1:6" ht="27.6" hidden="1">
      <c r="A159" s="352" t="s">
        <v>1241</v>
      </c>
      <c r="B159" s="463" t="s">
        <v>1242</v>
      </c>
      <c r="C159" s="463" t="s">
        <v>1243</v>
      </c>
      <c r="D159" s="550">
        <f>SUMIFS('Revised RAO'!Q:Q,'Revised RAO'!E:E,'Transactions for Import (2)'!A159)</f>
        <v>7321.62</v>
      </c>
      <c r="E159" s="550"/>
      <c r="F159">
        <f t="shared" si="2"/>
        <v>1</v>
      </c>
    </row>
    <row r="160" spans="1:6" ht="27.6" hidden="1">
      <c r="A160" s="404" t="s">
        <v>1244</v>
      </c>
      <c r="B160" s="409" t="s">
        <v>1245</v>
      </c>
      <c r="C160" s="409" t="s">
        <v>1246</v>
      </c>
      <c r="D160" s="550">
        <f>SUMIFS('Revised RAO'!Q:Q,'Revised RAO'!E:E,'Transactions for Import (2)'!A160)</f>
        <v>0</v>
      </c>
      <c r="E160" s="550"/>
      <c r="F160">
        <f t="shared" si="2"/>
        <v>1</v>
      </c>
    </row>
    <row r="161" spans="1:6" ht="27.6" hidden="1">
      <c r="A161" s="404" t="s">
        <v>1247</v>
      </c>
      <c r="B161" s="409" t="s">
        <v>1245</v>
      </c>
      <c r="C161" s="409" t="s">
        <v>1248</v>
      </c>
      <c r="D161" s="550">
        <f>SUMIFS('Revised RAO'!Q:Q,'Revised RAO'!E:E,'Transactions for Import (2)'!A161)</f>
        <v>0</v>
      </c>
      <c r="E161" s="550"/>
      <c r="F161">
        <f t="shared" si="2"/>
        <v>1</v>
      </c>
    </row>
    <row r="162" spans="1:6" ht="27.6" hidden="1">
      <c r="A162" s="352" t="s">
        <v>1249</v>
      </c>
      <c r="B162" s="463" t="s">
        <v>863</v>
      </c>
      <c r="C162" s="463" t="s">
        <v>1250</v>
      </c>
      <c r="D162" s="550">
        <f>SUMIFS('Revised RAO'!Q:Q,'Revised RAO'!E:E,'Transactions for Import (2)'!A162)</f>
        <v>0.01</v>
      </c>
      <c r="E162" s="550"/>
      <c r="F162">
        <f t="shared" si="2"/>
        <v>1</v>
      </c>
    </row>
    <row r="163" spans="1:6" ht="41.4" hidden="1">
      <c r="A163" s="404" t="s">
        <v>1251</v>
      </c>
      <c r="B163" s="409" t="s">
        <v>818</v>
      </c>
      <c r="C163" s="409" t="s">
        <v>1252</v>
      </c>
      <c r="D163" s="550">
        <f>SUMIFS('Revised RAO'!Q:Q,'Revised RAO'!E:E,'Transactions for Import (2)'!A163)</f>
        <v>0</v>
      </c>
      <c r="E163" s="550"/>
      <c r="F163">
        <f t="shared" si="2"/>
        <v>1</v>
      </c>
    </row>
    <row r="164" spans="1:6" ht="41.4" hidden="1">
      <c r="A164" s="404" t="s">
        <v>1253</v>
      </c>
      <c r="B164" s="409" t="s">
        <v>820</v>
      </c>
      <c r="C164" s="409" t="s">
        <v>1252</v>
      </c>
      <c r="D164" s="550">
        <f>SUMIFS('Revised RAO'!Q:Q,'Revised RAO'!E:E,'Transactions for Import (2)'!A164)</f>
        <v>0</v>
      </c>
      <c r="E164" s="550"/>
      <c r="F164">
        <f t="shared" si="2"/>
        <v>1</v>
      </c>
    </row>
    <row r="165" spans="1:6" ht="41.4" hidden="1">
      <c r="A165" s="404" t="s">
        <v>1254</v>
      </c>
      <c r="B165" s="409" t="s">
        <v>822</v>
      </c>
      <c r="C165" s="409" t="s">
        <v>1252</v>
      </c>
      <c r="D165" s="550">
        <f>SUMIFS('Revised RAO'!Q:Q,'Revised RAO'!E:E,'Transactions for Import (2)'!A165)</f>
        <v>0</v>
      </c>
      <c r="E165" s="550"/>
      <c r="F165">
        <f t="shared" si="2"/>
        <v>1</v>
      </c>
    </row>
    <row r="166" spans="1:6" ht="69" hidden="1">
      <c r="A166" s="404" t="s">
        <v>1255</v>
      </c>
      <c r="B166" s="409" t="s">
        <v>1257</v>
      </c>
      <c r="C166" s="409" t="s">
        <v>1258</v>
      </c>
      <c r="D166" s="550">
        <f>SUMIFS('Revised RAO'!Q:Q,'Revised RAO'!E:E,'Transactions for Import (2)'!A166)</f>
        <v>0</v>
      </c>
      <c r="E166" s="550"/>
      <c r="F166">
        <f t="shared" si="2"/>
        <v>1</v>
      </c>
    </row>
    <row r="167" spans="1:6" ht="27.6" hidden="1">
      <c r="A167" s="404" t="s">
        <v>1259</v>
      </c>
      <c r="B167" s="409" t="s">
        <v>1172</v>
      </c>
      <c r="C167" s="409" t="s">
        <v>1260</v>
      </c>
      <c r="D167" s="550">
        <f>SUMIFS('Revised RAO'!Q:Q,'Revised RAO'!E:E,'Transactions for Import (2)'!A167)</f>
        <v>0</v>
      </c>
      <c r="E167" s="550"/>
      <c r="F167">
        <f t="shared" si="2"/>
        <v>1</v>
      </c>
    </row>
    <row r="168" spans="1:6" ht="27.6" hidden="1">
      <c r="A168" s="404" t="s">
        <v>1261</v>
      </c>
      <c r="B168" s="409" t="s">
        <v>1174</v>
      </c>
      <c r="C168" s="409" t="s">
        <v>1260</v>
      </c>
      <c r="D168" s="550">
        <f>SUMIFS('Revised RAO'!Q:Q,'Revised RAO'!E:E,'Transactions for Import (2)'!A168)</f>
        <v>0</v>
      </c>
      <c r="E168" s="550"/>
      <c r="F168">
        <f t="shared" si="2"/>
        <v>1</v>
      </c>
    </row>
    <row r="169" spans="1:6" ht="27.6">
      <c r="A169" s="404" t="s">
        <v>1262</v>
      </c>
      <c r="B169" s="409" t="s">
        <v>1030</v>
      </c>
      <c r="C169" s="409" t="s">
        <v>1263</v>
      </c>
      <c r="D169" s="550">
        <f>SUMIFS('Revised RAO'!Q:Q,'Revised RAO'!E:E,'Transactions for Import (2)'!A169)</f>
        <v>0</v>
      </c>
      <c r="E169" s="550"/>
      <c r="F169">
        <f t="shared" si="2"/>
        <v>1</v>
      </c>
    </row>
    <row r="170" spans="1:6" ht="27.6">
      <c r="A170" s="436" t="s">
        <v>1268</v>
      </c>
      <c r="B170" s="439" t="s">
        <v>1030</v>
      </c>
      <c r="C170" s="439" t="s">
        <v>1263</v>
      </c>
      <c r="D170" s="550">
        <f>SUMIFS('Revised RAO'!Q:Q,'Revised RAO'!E:E,'Transactions for Import (2)'!A170)</f>
        <v>83842.210000000006</v>
      </c>
      <c r="E170" s="550"/>
      <c r="F170">
        <f t="shared" si="2"/>
        <v>1</v>
      </c>
    </row>
    <row r="171" spans="1:6" ht="27.6">
      <c r="A171" s="436" t="s">
        <v>1269</v>
      </c>
      <c r="B171" s="439" t="s">
        <v>1030</v>
      </c>
      <c r="C171" s="439" t="s">
        <v>1263</v>
      </c>
      <c r="D171" s="550">
        <f>SUMIFS('Revised RAO'!Q:Q,'Revised RAO'!E:E,'Transactions for Import (2)'!A171)</f>
        <v>83842.210000000006</v>
      </c>
      <c r="E171" s="550"/>
      <c r="F171">
        <f t="shared" si="2"/>
        <v>1</v>
      </c>
    </row>
    <row r="172" spans="1:6" ht="27.6" hidden="1">
      <c r="A172" s="436" t="s">
        <v>1270</v>
      </c>
      <c r="B172" s="463" t="s">
        <v>1176</v>
      </c>
      <c r="C172" s="463" t="s">
        <v>1260</v>
      </c>
      <c r="D172" s="550">
        <f>SUMIFS('Revised RAO'!Q:Q,'Revised RAO'!E:E,'Transactions for Import (2)'!A172)</f>
        <v>29300.399999999998</v>
      </c>
      <c r="E172" s="550"/>
      <c r="F172">
        <f t="shared" si="2"/>
        <v>1</v>
      </c>
    </row>
    <row r="173" spans="1:6" ht="27.6" hidden="1">
      <c r="A173" s="436" t="s">
        <v>1271</v>
      </c>
      <c r="B173" s="463" t="s">
        <v>1272</v>
      </c>
      <c r="C173" s="463" t="s">
        <v>1273</v>
      </c>
      <c r="D173" s="550">
        <f>SUMIFS('Revised RAO'!Q:Q,'Revised RAO'!E:E,'Transactions for Import (2)'!A173)</f>
        <v>9170</v>
      </c>
      <c r="E173" s="550"/>
      <c r="F173">
        <f t="shared" si="2"/>
        <v>1</v>
      </c>
    </row>
    <row r="174" spans="1:6" ht="41.4" hidden="1">
      <c r="A174" s="436" t="s">
        <v>1274</v>
      </c>
      <c r="B174" s="463" t="s">
        <v>1275</v>
      </c>
      <c r="C174" s="463" t="s">
        <v>1276</v>
      </c>
      <c r="D174" s="550">
        <f>SUMIFS('Revised RAO'!Q:Q,'Revised RAO'!E:E,'Transactions for Import (2)'!A174)</f>
        <v>1200</v>
      </c>
      <c r="E174" s="550"/>
      <c r="F174">
        <f t="shared" si="2"/>
        <v>1</v>
      </c>
    </row>
    <row r="175" spans="1:6" ht="27.6" hidden="1">
      <c r="A175" s="436" t="s">
        <v>1277</v>
      </c>
      <c r="B175" s="463" t="s">
        <v>1036</v>
      </c>
      <c r="C175" s="463" t="s">
        <v>1207</v>
      </c>
      <c r="D175" s="550">
        <f>SUMIFS('Revised RAO'!Q:Q,'Revised RAO'!E:E,'Transactions for Import (2)'!A175)</f>
        <v>2404.7800000000002</v>
      </c>
      <c r="E175" s="550"/>
      <c r="F175">
        <f t="shared" si="2"/>
        <v>1</v>
      </c>
    </row>
    <row r="176" spans="1:6" ht="69" hidden="1">
      <c r="A176" s="436" t="s">
        <v>1278</v>
      </c>
      <c r="B176" s="439" t="s">
        <v>1257</v>
      </c>
      <c r="C176" s="439" t="s">
        <v>1258</v>
      </c>
      <c r="D176" s="550">
        <f>SUMIFS('Revised RAO'!Q:Q,'Revised RAO'!E:E,'Transactions for Import (2)'!A176)</f>
        <v>2800</v>
      </c>
      <c r="E176" s="550"/>
      <c r="F176">
        <f t="shared" si="2"/>
        <v>1</v>
      </c>
    </row>
    <row r="177" spans="1:6" ht="27.6" hidden="1">
      <c r="A177" s="436" t="s">
        <v>1279</v>
      </c>
      <c r="B177" s="439" t="s">
        <v>1172</v>
      </c>
      <c r="C177" s="439" t="s">
        <v>1260</v>
      </c>
      <c r="D177" s="550">
        <f>SUMIFS('Revised RAO'!Q:Q,'Revised RAO'!E:E,'Transactions for Import (2)'!A177)</f>
        <v>29300.399999999998</v>
      </c>
      <c r="E177" s="550"/>
      <c r="F177">
        <f t="shared" si="2"/>
        <v>1</v>
      </c>
    </row>
    <row r="178" spans="1:6" ht="27.6" hidden="1">
      <c r="A178" s="436" t="s">
        <v>1280</v>
      </c>
      <c r="B178" s="439" t="s">
        <v>1174</v>
      </c>
      <c r="C178" s="439" t="s">
        <v>1260</v>
      </c>
      <c r="D178" s="550">
        <f>SUMIFS('Revised RAO'!Q:Q,'Revised RAO'!E:E,'Transactions for Import (2)'!A178)</f>
        <v>29300.399999999998</v>
      </c>
      <c r="E178" s="550"/>
      <c r="F178">
        <f t="shared" si="2"/>
        <v>1</v>
      </c>
    </row>
    <row r="179" spans="1:6" ht="27.6" hidden="1">
      <c r="A179" s="436" t="s">
        <v>1281</v>
      </c>
      <c r="B179" s="439" t="s">
        <v>1230</v>
      </c>
      <c r="C179" s="439" t="s">
        <v>1231</v>
      </c>
      <c r="D179" s="550">
        <f>SUMIFS('Revised RAO'!Q:Q,'Revised RAO'!E:E,'Transactions for Import (2)'!A179)</f>
        <v>11000</v>
      </c>
      <c r="E179" s="550"/>
      <c r="F179">
        <f t="shared" si="2"/>
        <v>1</v>
      </c>
    </row>
    <row r="180" spans="1:6" ht="41.4" hidden="1">
      <c r="A180" s="436" t="s">
        <v>1282</v>
      </c>
      <c r="B180" s="439" t="s">
        <v>1102</v>
      </c>
      <c r="C180" s="439" t="s">
        <v>1283</v>
      </c>
      <c r="D180" s="550">
        <f>SUMIFS('Revised RAO'!Q:Q,'Revised RAO'!E:E,'Transactions for Import (2)'!A180)</f>
        <v>2500</v>
      </c>
      <c r="E180" s="550"/>
      <c r="F180">
        <f t="shared" si="2"/>
        <v>1</v>
      </c>
    </row>
    <row r="181" spans="1:6" ht="27.6" hidden="1">
      <c r="A181" s="436" t="s">
        <v>1284</v>
      </c>
      <c r="B181" s="463" t="s">
        <v>773</v>
      </c>
      <c r="C181" s="463" t="s">
        <v>1285</v>
      </c>
      <c r="D181" s="550">
        <f>SUMIFS('Revised RAO'!Q:Q,'Revised RAO'!E:E,'Transactions for Import (2)'!A181)</f>
        <v>4223.5</v>
      </c>
      <c r="E181" s="550"/>
      <c r="F181">
        <f t="shared" si="2"/>
        <v>1</v>
      </c>
    </row>
    <row r="182" spans="1:6" ht="27.6" hidden="1">
      <c r="A182" s="436" t="s">
        <v>1286</v>
      </c>
      <c r="B182" s="463" t="s">
        <v>1235</v>
      </c>
      <c r="C182" s="463" t="s">
        <v>1288</v>
      </c>
      <c r="D182" s="550">
        <f>SUMIFS('Revised RAO'!Q:Q,'Revised RAO'!E:E,'Transactions for Import (2)'!A182)</f>
        <v>10000</v>
      </c>
      <c r="E182" s="550"/>
      <c r="F182">
        <f t="shared" si="2"/>
        <v>1</v>
      </c>
    </row>
    <row r="183" spans="1:6" ht="27.6" hidden="1">
      <c r="A183" s="436" t="s">
        <v>1287</v>
      </c>
      <c r="B183" s="463" t="s">
        <v>1075</v>
      </c>
      <c r="C183" s="463" t="s">
        <v>1288</v>
      </c>
      <c r="D183" s="550">
        <f>SUMIFS('Revised RAO'!Q:Q,'Revised RAO'!E:E,'Transactions for Import (2)'!A183)</f>
        <v>27760</v>
      </c>
      <c r="E183" s="550"/>
      <c r="F183">
        <f t="shared" si="2"/>
        <v>1</v>
      </c>
    </row>
    <row r="184" spans="1:6" ht="27.6" hidden="1">
      <c r="A184" s="436" t="s">
        <v>1289</v>
      </c>
      <c r="B184" s="463" t="s">
        <v>1290</v>
      </c>
      <c r="C184" s="463" t="s">
        <v>1291</v>
      </c>
      <c r="D184" s="550">
        <f>SUMIFS('Revised RAO'!Q:Q,'Revised RAO'!E:E,'Transactions for Import (2)'!A184)</f>
        <v>16332.5</v>
      </c>
      <c r="E184" s="550"/>
      <c r="F184">
        <f t="shared" si="2"/>
        <v>1</v>
      </c>
    </row>
    <row r="185" spans="1:6" ht="27.6" hidden="1">
      <c r="A185" s="436" t="s">
        <v>1292</v>
      </c>
      <c r="B185" s="463" t="s">
        <v>1075</v>
      </c>
      <c r="C185" s="463" t="s">
        <v>1288</v>
      </c>
      <c r="D185" s="550">
        <f>SUMIFS('Revised RAO'!Q:Q,'Revised RAO'!E:E,'Transactions for Import (2)'!A185)</f>
        <v>22316</v>
      </c>
      <c r="E185" s="550"/>
      <c r="F185">
        <f t="shared" si="2"/>
        <v>1</v>
      </c>
    </row>
    <row r="186" spans="1:6" ht="27.6" hidden="1">
      <c r="A186" s="436" t="s">
        <v>1293</v>
      </c>
      <c r="B186" s="463" t="s">
        <v>1075</v>
      </c>
      <c r="C186" s="463" t="s">
        <v>1288</v>
      </c>
      <c r="D186" s="550">
        <f>SUMIFS('Revised RAO'!Q:Q,'Revised RAO'!E:E,'Transactions for Import (2)'!A186)</f>
        <v>13034</v>
      </c>
      <c r="E186" s="550"/>
      <c r="F186">
        <f t="shared" si="2"/>
        <v>1</v>
      </c>
    </row>
    <row r="187" spans="1:6">
      <c r="A187" s="436" t="s">
        <v>1294</v>
      </c>
      <c r="B187" s="463" t="s">
        <v>1643</v>
      </c>
      <c r="C187" s="463" t="s">
        <v>1295</v>
      </c>
      <c r="D187" s="550">
        <f>SUMIFS('Revised RAO'!Q:Q,'Revised RAO'!E:E,'Transactions for Import (2)'!A187)</f>
        <v>150000</v>
      </c>
      <c r="E187" s="550"/>
      <c r="F187">
        <f t="shared" si="2"/>
        <v>1</v>
      </c>
    </row>
    <row r="188" spans="1:6" ht="27.6" hidden="1">
      <c r="A188" s="436" t="s">
        <v>1296</v>
      </c>
      <c r="B188" s="463" t="s">
        <v>1297</v>
      </c>
      <c r="C188" s="463" t="s">
        <v>1298</v>
      </c>
      <c r="D188" s="550">
        <f>SUMIFS('Revised RAO'!Q:Q,'Revised RAO'!E:E,'Transactions for Import (2)'!A188)</f>
        <v>64106</v>
      </c>
      <c r="E188" s="550"/>
      <c r="F188">
        <f t="shared" si="2"/>
        <v>1</v>
      </c>
    </row>
    <row r="189" spans="1:6" ht="27.6" hidden="1">
      <c r="A189" s="436" t="s">
        <v>1299</v>
      </c>
      <c r="B189" s="463" t="s">
        <v>1300</v>
      </c>
      <c r="C189" s="463" t="s">
        <v>1301</v>
      </c>
      <c r="D189" s="550">
        <f>SUMIFS('Revised RAO'!Q:Q,'Revised RAO'!E:E,'Transactions for Import (2)'!A189)</f>
        <v>16332.5</v>
      </c>
      <c r="E189" s="550"/>
      <c r="F189">
        <f t="shared" si="2"/>
        <v>1</v>
      </c>
    </row>
    <row r="190" spans="1:6" ht="41.4" hidden="1">
      <c r="A190" s="436" t="s">
        <v>1302</v>
      </c>
      <c r="B190" s="463" t="s">
        <v>1303</v>
      </c>
      <c r="C190" s="463" t="s">
        <v>1304</v>
      </c>
      <c r="D190" s="550">
        <f>SUMIFS('Revised RAO'!Q:Q,'Revised RAO'!E:E,'Transactions for Import (2)'!A190)</f>
        <v>9900</v>
      </c>
      <c r="E190" s="550"/>
      <c r="F190">
        <f t="shared" si="2"/>
        <v>1</v>
      </c>
    </row>
    <row r="191" spans="1:6" ht="27.6" hidden="1">
      <c r="A191" s="436" t="s">
        <v>1305</v>
      </c>
      <c r="B191" s="463" t="s">
        <v>1105</v>
      </c>
      <c r="C191" s="463" t="s">
        <v>1309</v>
      </c>
      <c r="D191" s="550">
        <f>SUMIFS('Revised RAO'!Q:Q,'Revised RAO'!E:E,'Transactions for Import (2)'!A191)</f>
        <v>6617.76</v>
      </c>
      <c r="E191" s="550"/>
      <c r="F191">
        <f t="shared" si="2"/>
        <v>1</v>
      </c>
    </row>
    <row r="192" spans="1:6" ht="27.6" hidden="1">
      <c r="A192" s="436" t="s">
        <v>1306</v>
      </c>
      <c r="B192" s="463" t="s">
        <v>1307</v>
      </c>
      <c r="C192" s="463" t="s">
        <v>1308</v>
      </c>
      <c r="D192" s="550">
        <f>SUMIFS('Revised RAO'!Q:Q,'Revised RAO'!E:E,'Transactions for Import (2)'!A192)</f>
        <v>2179.06</v>
      </c>
      <c r="E192" s="550"/>
      <c r="F192">
        <f t="shared" si="2"/>
        <v>1</v>
      </c>
    </row>
    <row r="193" spans="1:6" ht="27.6" hidden="1">
      <c r="A193" s="436" t="s">
        <v>1310</v>
      </c>
      <c r="B193" s="463" t="s">
        <v>1038</v>
      </c>
      <c r="C193" s="463" t="s">
        <v>1311</v>
      </c>
      <c r="D193" s="550">
        <f>SUMIFS('Revised RAO'!Q:Q,'Revised RAO'!E:E,'Transactions for Import (2)'!A193)</f>
        <v>3075</v>
      </c>
      <c r="E193" s="550"/>
      <c r="F193">
        <f t="shared" si="2"/>
        <v>1</v>
      </c>
    </row>
    <row r="194" spans="1:6" ht="27.6" hidden="1">
      <c r="A194" s="436" t="s">
        <v>1312</v>
      </c>
      <c r="B194" s="463" t="s">
        <v>1245</v>
      </c>
      <c r="C194" s="463" t="s">
        <v>1313</v>
      </c>
      <c r="D194" s="550">
        <f>SUMIFS('Revised RAO'!Q:Q,'Revised RAO'!E:E,'Transactions for Import (2)'!A194)</f>
        <v>3048</v>
      </c>
      <c r="E194" s="550"/>
      <c r="F194">
        <f t="shared" si="2"/>
        <v>1</v>
      </c>
    </row>
    <row r="195" spans="1:6" ht="27.6" hidden="1">
      <c r="A195" s="404" t="s">
        <v>1314</v>
      </c>
      <c r="B195" s="409" t="s">
        <v>1315</v>
      </c>
      <c r="C195" s="409" t="s">
        <v>1316</v>
      </c>
      <c r="D195" s="550">
        <f>SUMIFS('Revised RAO'!Q:Q,'Revised RAO'!E:E,'Transactions for Import (2)'!A195)</f>
        <v>0</v>
      </c>
      <c r="E195" s="550"/>
      <c r="F195">
        <f t="shared" ref="F195:F258" si="3">COUNTIFS($A$3:$A$357,A195)</f>
        <v>1</v>
      </c>
    </row>
    <row r="196" spans="1:6" ht="27.6" hidden="1">
      <c r="A196" s="436" t="s">
        <v>1317</v>
      </c>
      <c r="B196" s="463" t="s">
        <v>794</v>
      </c>
      <c r="C196" s="463" t="s">
        <v>1318</v>
      </c>
      <c r="D196" s="550">
        <f>SUMIFS('Revised RAO'!Q:Q,'Revised RAO'!E:E,'Transactions for Import (2)'!A196)</f>
        <v>1080</v>
      </c>
      <c r="E196" s="550"/>
      <c r="F196">
        <f t="shared" si="3"/>
        <v>1</v>
      </c>
    </row>
    <row r="197" spans="1:6" ht="27.6" hidden="1">
      <c r="A197" s="436" t="s">
        <v>1319</v>
      </c>
      <c r="B197" s="463" t="s">
        <v>852</v>
      </c>
      <c r="C197" s="463" t="s">
        <v>1320</v>
      </c>
      <c r="D197" s="550">
        <f>SUMIFS('Revised RAO'!Q:Q,'Revised RAO'!E:E,'Transactions for Import (2)'!A197)</f>
        <v>8800</v>
      </c>
      <c r="E197" s="550"/>
      <c r="F197">
        <f t="shared" si="3"/>
        <v>1</v>
      </c>
    </row>
    <row r="198" spans="1:6" ht="27.6">
      <c r="A198" s="436" t="s">
        <v>1321</v>
      </c>
      <c r="B198" s="463" t="s">
        <v>1030</v>
      </c>
      <c r="C198" s="463" t="s">
        <v>1031</v>
      </c>
      <c r="D198" s="550">
        <f>SUMIFS('Revised RAO'!Q:Q,'Revised RAO'!E:E,'Transactions for Import (2)'!A198)</f>
        <v>29318.18</v>
      </c>
      <c r="E198" s="550"/>
      <c r="F198">
        <f t="shared" si="3"/>
        <v>1</v>
      </c>
    </row>
    <row r="199" spans="1:6" ht="27.6" hidden="1">
      <c r="A199" s="436" t="s">
        <v>1322</v>
      </c>
      <c r="B199" s="463" t="s">
        <v>1323</v>
      </c>
      <c r="C199" s="463" t="s">
        <v>1207</v>
      </c>
      <c r="D199" s="550">
        <f>SUMIFS('Revised RAO'!Q:Q,'Revised RAO'!E:E,'Transactions for Import (2)'!A199)</f>
        <v>9565</v>
      </c>
      <c r="E199" s="550"/>
      <c r="F199">
        <f t="shared" si="3"/>
        <v>1</v>
      </c>
    </row>
    <row r="200" spans="1:6" ht="27.6" hidden="1">
      <c r="A200" s="436" t="s">
        <v>1324</v>
      </c>
      <c r="B200" s="463" t="s">
        <v>1325</v>
      </c>
      <c r="C200" s="463" t="s">
        <v>1207</v>
      </c>
      <c r="D200" s="550">
        <f>SUMIFS('Revised RAO'!Q:Q,'Revised RAO'!E:E,'Transactions for Import (2)'!A200)</f>
        <v>1560</v>
      </c>
      <c r="E200" s="550"/>
      <c r="F200">
        <f t="shared" si="3"/>
        <v>1</v>
      </c>
    </row>
    <row r="201" spans="1:6" ht="27.6" hidden="1">
      <c r="A201" s="436" t="s">
        <v>1326</v>
      </c>
      <c r="B201" s="463" t="s">
        <v>1327</v>
      </c>
      <c r="C201" s="463" t="s">
        <v>1207</v>
      </c>
      <c r="D201" s="550">
        <f>SUMIFS('Revised RAO'!Q:Q,'Revised RAO'!E:E,'Transactions for Import (2)'!A201)</f>
        <v>17820</v>
      </c>
      <c r="E201" s="550"/>
      <c r="F201">
        <f t="shared" si="3"/>
        <v>1</v>
      </c>
    </row>
    <row r="202" spans="1:6" ht="27.6" hidden="1">
      <c r="A202" s="436" t="s">
        <v>1328</v>
      </c>
      <c r="B202" s="463" t="s">
        <v>1329</v>
      </c>
      <c r="C202" s="463" t="s">
        <v>1330</v>
      </c>
      <c r="D202" s="550">
        <f>SUMIFS('Revised RAO'!Q:Q,'Revised RAO'!E:E,'Transactions for Import (2)'!A202)</f>
        <v>11547.23</v>
      </c>
      <c r="E202" s="550"/>
      <c r="F202">
        <f t="shared" si="3"/>
        <v>1</v>
      </c>
    </row>
    <row r="203" spans="1:6" ht="27.6" hidden="1">
      <c r="A203" s="436" t="s">
        <v>1331</v>
      </c>
      <c r="B203" s="463" t="s">
        <v>859</v>
      </c>
      <c r="C203" s="463" t="s">
        <v>1332</v>
      </c>
      <c r="D203" s="550">
        <f>SUMIFS('Revised RAO'!Q:Q,'Revised RAO'!E:E,'Transactions for Import (2)'!A203)</f>
        <v>1840</v>
      </c>
      <c r="E203" s="550"/>
      <c r="F203">
        <f t="shared" si="3"/>
        <v>1</v>
      </c>
    </row>
    <row r="204" spans="1:6" ht="27.6" hidden="1">
      <c r="A204" s="436" t="s">
        <v>1333</v>
      </c>
      <c r="B204" s="463" t="s">
        <v>1334</v>
      </c>
      <c r="C204" s="463" t="s">
        <v>1335</v>
      </c>
      <c r="D204" s="550">
        <f>SUMIFS('Revised RAO'!Q:Q,'Revised RAO'!E:E,'Transactions for Import (2)'!A204)</f>
        <v>17500</v>
      </c>
      <c r="E204" s="550"/>
      <c r="F204">
        <f t="shared" si="3"/>
        <v>1</v>
      </c>
    </row>
    <row r="205" spans="1:6" ht="41.4" hidden="1">
      <c r="A205" s="436" t="s">
        <v>1336</v>
      </c>
      <c r="B205" s="463" t="s">
        <v>1337</v>
      </c>
      <c r="C205" s="463" t="s">
        <v>1276</v>
      </c>
      <c r="D205" s="550">
        <f>SUMIFS('Revised RAO'!Q:Q,'Revised RAO'!E:E,'Transactions for Import (2)'!A205)</f>
        <v>1800</v>
      </c>
      <c r="E205" s="550"/>
      <c r="F205">
        <f t="shared" si="3"/>
        <v>1</v>
      </c>
    </row>
    <row r="206" spans="1:6" ht="27.6" hidden="1">
      <c r="A206" s="436" t="s">
        <v>1338</v>
      </c>
      <c r="B206" s="463" t="s">
        <v>1339</v>
      </c>
      <c r="C206" s="463" t="s">
        <v>1340</v>
      </c>
      <c r="D206" s="550">
        <f>SUMIFS('Revised RAO'!Q:Q,'Revised RAO'!E:E,'Transactions for Import (2)'!A206)</f>
        <v>20626.73</v>
      </c>
      <c r="E206" s="550"/>
      <c r="F206">
        <f t="shared" si="3"/>
        <v>1</v>
      </c>
    </row>
    <row r="207" spans="1:6" ht="27.6" hidden="1">
      <c r="A207" s="436" t="s">
        <v>1341</v>
      </c>
      <c r="B207" s="463" t="s">
        <v>1342</v>
      </c>
      <c r="C207" s="463" t="s">
        <v>1301</v>
      </c>
      <c r="D207" s="550">
        <f>SUMIFS('Revised RAO'!Q:Q,'Revised RAO'!E:E,'Transactions for Import (2)'!A207)</f>
        <v>16308.47</v>
      </c>
      <c r="E207" s="550"/>
      <c r="F207">
        <f t="shared" si="3"/>
        <v>1</v>
      </c>
    </row>
    <row r="208" spans="1:6" ht="55.2" hidden="1">
      <c r="A208" s="436" t="s">
        <v>1343</v>
      </c>
      <c r="B208" s="463" t="s">
        <v>1344</v>
      </c>
      <c r="C208" s="463" t="s">
        <v>1345</v>
      </c>
      <c r="D208" s="550">
        <f>SUMIFS('Revised RAO'!Q:Q,'Revised RAO'!E:E,'Transactions for Import (2)'!A208)</f>
        <v>7200</v>
      </c>
      <c r="E208" s="550"/>
      <c r="F208">
        <f t="shared" si="3"/>
        <v>1</v>
      </c>
    </row>
    <row r="209" spans="1:6" ht="27.6" hidden="1">
      <c r="A209" s="436" t="s">
        <v>1364</v>
      </c>
      <c r="B209" s="463" t="s">
        <v>1108</v>
      </c>
      <c r="C209" s="463" t="s">
        <v>1346</v>
      </c>
      <c r="D209" s="550">
        <f>SUMIFS('Revised RAO'!Q:Q,'Revised RAO'!E:E,'Transactions for Import (2)'!A209)</f>
        <v>12900</v>
      </c>
      <c r="E209" s="550"/>
      <c r="F209">
        <f t="shared" si="3"/>
        <v>1</v>
      </c>
    </row>
    <row r="210" spans="1:6" ht="41.4" hidden="1">
      <c r="A210" s="436" t="s">
        <v>1365</v>
      </c>
      <c r="B210" s="463" t="s">
        <v>1108</v>
      </c>
      <c r="C210" s="463" t="s">
        <v>1347</v>
      </c>
      <c r="D210" s="550">
        <f>SUMIFS('Revised RAO'!Q:Q,'Revised RAO'!E:E,'Transactions for Import (2)'!A210)</f>
        <v>4950</v>
      </c>
      <c r="E210" s="550"/>
      <c r="F210">
        <f t="shared" si="3"/>
        <v>1</v>
      </c>
    </row>
    <row r="211" spans="1:6" ht="27.6" hidden="1">
      <c r="A211" s="436" t="s">
        <v>1367</v>
      </c>
      <c r="B211" s="463" t="s">
        <v>1327</v>
      </c>
      <c r="C211" s="463" t="s">
        <v>1037</v>
      </c>
      <c r="D211" s="550">
        <f>SUMIFS('Revised RAO'!Q:Q,'Revised RAO'!E:E,'Transactions for Import (2)'!A211)</f>
        <v>7830</v>
      </c>
      <c r="E211" s="550"/>
      <c r="F211">
        <f t="shared" si="3"/>
        <v>1</v>
      </c>
    </row>
    <row r="212" spans="1:6" ht="27.6" hidden="1">
      <c r="A212" s="436" t="s">
        <v>1368</v>
      </c>
      <c r="B212" s="463" t="s">
        <v>1214</v>
      </c>
      <c r="C212" s="463" t="s">
        <v>1348</v>
      </c>
      <c r="D212" s="550">
        <f>SUMIFS('Revised RAO'!Q:Q,'Revised RAO'!E:E,'Transactions for Import (2)'!A212)</f>
        <v>27000</v>
      </c>
      <c r="E212" s="550"/>
      <c r="F212">
        <f t="shared" si="3"/>
        <v>1</v>
      </c>
    </row>
    <row r="213" spans="1:6" ht="27.6" hidden="1">
      <c r="A213" s="436" t="s">
        <v>1370</v>
      </c>
      <c r="B213" s="463" t="s">
        <v>1349</v>
      </c>
      <c r="C213" s="463" t="s">
        <v>1350</v>
      </c>
      <c r="D213" s="550">
        <f>SUMIFS('Revised RAO'!Q:Q,'Revised RAO'!E:E,'Transactions for Import (2)'!A213)</f>
        <v>3400</v>
      </c>
      <c r="E213" s="550"/>
      <c r="F213">
        <f t="shared" si="3"/>
        <v>1</v>
      </c>
    </row>
    <row r="214" spans="1:6" ht="55.2" hidden="1">
      <c r="A214" s="436" t="s">
        <v>1371</v>
      </c>
      <c r="B214" s="463" t="s">
        <v>1038</v>
      </c>
      <c r="C214" s="463" t="s">
        <v>1351</v>
      </c>
      <c r="D214" s="550">
        <f>SUMIFS('Revised RAO'!Q:Q,'Revised RAO'!E:E,'Transactions for Import (2)'!A214)</f>
        <v>1800</v>
      </c>
      <c r="E214" s="550"/>
      <c r="F214">
        <f t="shared" si="3"/>
        <v>1</v>
      </c>
    </row>
    <row r="215" spans="1:6" ht="27.6" hidden="1">
      <c r="A215" s="436" t="s">
        <v>1372</v>
      </c>
      <c r="B215" s="463" t="s">
        <v>1352</v>
      </c>
      <c r="C215" s="463" t="s">
        <v>1353</v>
      </c>
      <c r="D215" s="550">
        <f>SUMIFS('Revised RAO'!Q:Q,'Revised RAO'!E:E,'Transactions for Import (2)'!A215)</f>
        <v>39600</v>
      </c>
      <c r="E215" s="550"/>
      <c r="F215">
        <f t="shared" si="3"/>
        <v>1</v>
      </c>
    </row>
    <row r="216" spans="1:6" ht="41.4" hidden="1">
      <c r="A216" s="436" t="s">
        <v>1373</v>
      </c>
      <c r="B216" s="463" t="s">
        <v>1354</v>
      </c>
      <c r="C216" s="463" t="s">
        <v>1355</v>
      </c>
      <c r="D216" s="550">
        <f>SUMIFS('Revised RAO'!Q:Q,'Revised RAO'!E:E,'Transactions for Import (2)'!A216)</f>
        <v>5600</v>
      </c>
      <c r="E216" s="550"/>
      <c r="F216">
        <f t="shared" si="3"/>
        <v>1</v>
      </c>
    </row>
    <row r="217" spans="1:6" ht="27.6" hidden="1">
      <c r="A217" s="436" t="s">
        <v>1374</v>
      </c>
      <c r="B217" s="463" t="s">
        <v>1245</v>
      </c>
      <c r="C217" s="463" t="s">
        <v>1356</v>
      </c>
      <c r="D217" s="550">
        <f>SUMIFS('Revised RAO'!Q:Q,'Revised RAO'!E:E,'Transactions for Import (2)'!A217)</f>
        <v>4032</v>
      </c>
      <c r="E217" s="550"/>
      <c r="F217">
        <f t="shared" si="3"/>
        <v>1</v>
      </c>
    </row>
    <row r="218" spans="1:6" ht="27.6" hidden="1">
      <c r="A218" s="436" t="s">
        <v>1375</v>
      </c>
      <c r="B218" s="463" t="s">
        <v>810</v>
      </c>
      <c r="C218" s="463" t="s">
        <v>1357</v>
      </c>
      <c r="D218" s="550">
        <f>SUMIFS('Revised RAO'!Q:Q,'Revised RAO'!E:E,'Transactions for Import (2)'!A218)</f>
        <v>22882.229999999996</v>
      </c>
      <c r="E218" s="550"/>
      <c r="F218">
        <f t="shared" si="3"/>
        <v>1</v>
      </c>
    </row>
    <row r="219" spans="1:6" ht="27.6" hidden="1">
      <c r="A219" s="436" t="s">
        <v>1376</v>
      </c>
      <c r="B219" s="463" t="s">
        <v>836</v>
      </c>
      <c r="C219" s="463" t="s">
        <v>1358</v>
      </c>
      <c r="D219" s="550">
        <f>SUMIFS('Revised RAO'!Q:Q,'Revised RAO'!E:E,'Transactions for Import (2)'!A219)</f>
        <v>2275</v>
      </c>
      <c r="E219" s="550"/>
      <c r="F219">
        <f t="shared" si="3"/>
        <v>1</v>
      </c>
    </row>
    <row r="220" spans="1:6" ht="27.6" hidden="1">
      <c r="A220" s="436" t="s">
        <v>1377</v>
      </c>
      <c r="B220" s="463" t="s">
        <v>1359</v>
      </c>
      <c r="C220" s="463" t="s">
        <v>1360</v>
      </c>
      <c r="D220" s="550">
        <f>SUMIFS('Revised RAO'!Q:Q,'Revised RAO'!E:E,'Transactions for Import (2)'!A220)</f>
        <v>6323</v>
      </c>
      <c r="E220" s="550"/>
      <c r="F220">
        <f t="shared" si="3"/>
        <v>1</v>
      </c>
    </row>
    <row r="221" spans="1:6" ht="27.6" hidden="1">
      <c r="A221" s="436" t="s">
        <v>1378</v>
      </c>
      <c r="B221" s="463" t="s">
        <v>1072</v>
      </c>
      <c r="C221" s="463" t="s">
        <v>1361</v>
      </c>
      <c r="D221" s="550">
        <f>SUMIFS('Revised RAO'!Q:Q,'Revised RAO'!E:E,'Transactions for Import (2)'!A221)</f>
        <v>1242</v>
      </c>
      <c r="E221" s="550"/>
      <c r="F221">
        <f t="shared" si="3"/>
        <v>1</v>
      </c>
    </row>
    <row r="222" spans="1:6" ht="27.6" hidden="1">
      <c r="A222" s="436" t="s">
        <v>1379</v>
      </c>
      <c r="B222" s="463" t="s">
        <v>1362</v>
      </c>
      <c r="C222" s="463" t="s">
        <v>1363</v>
      </c>
      <c r="D222" s="550">
        <f>SUMIFS('Revised RAO'!Q:Q,'Revised RAO'!E:E,'Transactions for Import (2)'!A222)</f>
        <v>170501.47</v>
      </c>
      <c r="E222" s="550"/>
      <c r="F222">
        <f t="shared" si="3"/>
        <v>1</v>
      </c>
    </row>
    <row r="223" spans="1:6" ht="41.4" hidden="1">
      <c r="A223" s="436" t="s">
        <v>1383</v>
      </c>
      <c r="B223" s="463" t="s">
        <v>1380</v>
      </c>
      <c r="C223" s="463" t="s">
        <v>1381</v>
      </c>
      <c r="D223" s="550">
        <f>SUMIFS('Revised RAO'!Q:Q,'Revised RAO'!E:E,'Transactions for Import (2)'!A223)</f>
        <v>7635</v>
      </c>
      <c r="E223" s="550"/>
      <c r="F223">
        <f t="shared" si="3"/>
        <v>1</v>
      </c>
    </row>
    <row r="224" spans="1:6" ht="41.4" hidden="1">
      <c r="A224" s="436" t="s">
        <v>1385</v>
      </c>
      <c r="B224" s="463" t="s">
        <v>777</v>
      </c>
      <c r="C224" s="463" t="s">
        <v>1384</v>
      </c>
      <c r="D224" s="550">
        <f>SUMIFS('Revised RAO'!Q:Q,'Revised RAO'!E:E,'Transactions for Import (2)'!A224)</f>
        <v>429402.37</v>
      </c>
      <c r="E224" s="550"/>
      <c r="F224">
        <f t="shared" si="3"/>
        <v>1</v>
      </c>
    </row>
    <row r="225" spans="1:6" ht="41.4" hidden="1">
      <c r="A225" s="436" t="s">
        <v>1386</v>
      </c>
      <c r="B225" s="463" t="s">
        <v>768</v>
      </c>
      <c r="C225" s="463" t="s">
        <v>1384</v>
      </c>
      <c r="D225" s="550">
        <f>SUMIFS('Revised RAO'!Q:Q,'Revised RAO'!E:E,'Transactions for Import (2)'!A225)</f>
        <v>688368.09</v>
      </c>
      <c r="E225" s="550"/>
      <c r="F225">
        <f t="shared" si="3"/>
        <v>1</v>
      </c>
    </row>
    <row r="226" spans="1:6" ht="41.4" hidden="1">
      <c r="A226" s="436" t="s">
        <v>1387</v>
      </c>
      <c r="B226" s="463" t="s">
        <v>765</v>
      </c>
      <c r="C226" s="463" t="s">
        <v>1384</v>
      </c>
      <c r="D226" s="550">
        <f>SUMIFS('Revised RAO'!Q:Q,'Revised RAO'!E:E,'Transactions for Import (2)'!A226)</f>
        <v>389716.8</v>
      </c>
      <c r="E226" s="550"/>
      <c r="F226">
        <f t="shared" si="3"/>
        <v>1</v>
      </c>
    </row>
    <row r="227" spans="1:6" ht="27.6" hidden="1">
      <c r="A227" s="436" t="s">
        <v>1388</v>
      </c>
      <c r="B227" s="463" t="s">
        <v>872</v>
      </c>
      <c r="C227" s="463" t="s">
        <v>1390</v>
      </c>
      <c r="D227" s="550">
        <f>SUMIFS('Revised RAO'!Q:Q,'Revised RAO'!E:E,'Transactions for Import (2)'!A227)</f>
        <v>40307.629999999997</v>
      </c>
      <c r="E227" s="550"/>
      <c r="F227">
        <f t="shared" si="3"/>
        <v>1</v>
      </c>
    </row>
    <row r="228" spans="1:6" ht="27.6" hidden="1">
      <c r="A228" s="436" t="s">
        <v>1389</v>
      </c>
      <c r="B228" s="463" t="s">
        <v>863</v>
      </c>
      <c r="C228" s="463" t="s">
        <v>1390</v>
      </c>
      <c r="D228" s="550">
        <f>SUMIFS('Revised RAO'!Q:Q,'Revised RAO'!E:E,'Transactions for Import (2)'!A228)</f>
        <v>51777.94</v>
      </c>
      <c r="E228" s="550"/>
      <c r="F228">
        <f t="shared" si="3"/>
        <v>1</v>
      </c>
    </row>
    <row r="229" spans="1:6" ht="27.6" hidden="1">
      <c r="A229" s="436" t="s">
        <v>1391</v>
      </c>
      <c r="B229" s="463" t="s">
        <v>768</v>
      </c>
      <c r="C229" s="463" t="s">
        <v>1390</v>
      </c>
      <c r="D229" s="550">
        <f>SUMIFS('Revised RAO'!Q:Q,'Revised RAO'!E:E,'Transactions for Import (2)'!A229)</f>
        <v>92085.57</v>
      </c>
      <c r="E229" s="550"/>
      <c r="F229">
        <f t="shared" si="3"/>
        <v>1</v>
      </c>
    </row>
    <row r="230" spans="1:6" ht="27.6" hidden="1">
      <c r="A230" s="436" t="s">
        <v>1392</v>
      </c>
      <c r="B230" s="463" t="s">
        <v>867</v>
      </c>
      <c r="C230" s="463" t="s">
        <v>1390</v>
      </c>
      <c r="D230" s="550">
        <f>SUMIFS('Revised RAO'!Q:Q,'Revised RAO'!E:E,'Transactions for Import (2)'!A230)</f>
        <v>40307.629999999997</v>
      </c>
      <c r="E230" s="550"/>
      <c r="F230">
        <f t="shared" si="3"/>
        <v>1</v>
      </c>
    </row>
    <row r="231" spans="1:6" ht="41.4" hidden="1">
      <c r="A231" s="436" t="s">
        <v>1393</v>
      </c>
      <c r="B231" s="463" t="s">
        <v>1165</v>
      </c>
      <c r="C231" s="463" t="s">
        <v>1394</v>
      </c>
      <c r="D231" s="550">
        <f>SUMIFS('Revised RAO'!Q:Q,'Revised RAO'!E:E,'Transactions for Import (2)'!A231)</f>
        <v>29300.399999999998</v>
      </c>
      <c r="E231" s="550"/>
      <c r="F231">
        <f t="shared" si="3"/>
        <v>1</v>
      </c>
    </row>
    <row r="232" spans="1:6" ht="41.4" hidden="1">
      <c r="A232" s="436" t="s">
        <v>1395</v>
      </c>
      <c r="B232" s="463" t="s">
        <v>1170</v>
      </c>
      <c r="C232" s="463" t="s">
        <v>1394</v>
      </c>
      <c r="D232" s="550">
        <f>SUMIFS('Revised RAO'!Q:Q,'Revised RAO'!E:E,'Transactions for Import (2)'!A232)</f>
        <v>29300.399999999998</v>
      </c>
      <c r="E232" s="550"/>
      <c r="F232">
        <f t="shared" si="3"/>
        <v>1</v>
      </c>
    </row>
    <row r="233" spans="1:6" ht="41.4" hidden="1">
      <c r="A233" s="436" t="s">
        <v>1396</v>
      </c>
      <c r="B233" s="463" t="s">
        <v>1174</v>
      </c>
      <c r="C233" s="463" t="s">
        <v>1394</v>
      </c>
      <c r="D233" s="550">
        <f>SUMIFS('Revised RAO'!Q:Q,'Revised RAO'!E:E,'Transactions for Import (2)'!A233)</f>
        <v>29300.399999999998</v>
      </c>
      <c r="E233" s="550"/>
      <c r="F233">
        <f t="shared" si="3"/>
        <v>1</v>
      </c>
    </row>
    <row r="234" spans="1:6" ht="41.4" hidden="1">
      <c r="A234" s="436" t="s">
        <v>1397</v>
      </c>
      <c r="B234" s="463" t="s">
        <v>1176</v>
      </c>
      <c r="C234" s="463" t="s">
        <v>1394</v>
      </c>
      <c r="D234" s="550">
        <f>SUMIFS('Revised RAO'!Q:Q,'Revised RAO'!E:E,'Transactions for Import (2)'!A234)</f>
        <v>29300.399999999998</v>
      </c>
      <c r="E234" s="550"/>
      <c r="F234">
        <f t="shared" si="3"/>
        <v>1</v>
      </c>
    </row>
    <row r="235" spans="1:6" ht="41.4" hidden="1">
      <c r="A235" s="436" t="s">
        <v>1398</v>
      </c>
      <c r="B235" s="463" t="s">
        <v>1382</v>
      </c>
      <c r="C235" s="463" t="s">
        <v>1399</v>
      </c>
      <c r="D235" s="550">
        <f>SUMIFS('Revised RAO'!Q:Q,'Revised RAO'!E:E,'Transactions for Import (2)'!A235)</f>
        <v>29300.399999999998</v>
      </c>
      <c r="E235" s="550"/>
      <c r="F235">
        <f t="shared" si="3"/>
        <v>1</v>
      </c>
    </row>
    <row r="236" spans="1:6" ht="41.4" hidden="1">
      <c r="A236" s="436" t="s">
        <v>1400</v>
      </c>
      <c r="B236" s="463" t="s">
        <v>1382</v>
      </c>
      <c r="C236" s="463" t="s">
        <v>1394</v>
      </c>
      <c r="D236" s="550">
        <f>SUMIFS('Revised RAO'!Q:Q,'Revised RAO'!E:E,'Transactions for Import (2)'!A236)</f>
        <v>29300.399999999998</v>
      </c>
      <c r="E236" s="550"/>
      <c r="F236">
        <f t="shared" si="3"/>
        <v>1</v>
      </c>
    </row>
    <row r="237" spans="1:6" ht="41.4" hidden="1">
      <c r="A237" s="436" t="s">
        <v>1401</v>
      </c>
      <c r="B237" s="463" t="s">
        <v>10</v>
      </c>
      <c r="C237" s="463" t="s">
        <v>1384</v>
      </c>
      <c r="D237" s="550">
        <f>SUMIFS('Revised RAO'!Q:Q,'Revised RAO'!E:E,'Transactions for Import (2)'!A237)</f>
        <v>2049964.0999999999</v>
      </c>
      <c r="E237" s="550"/>
      <c r="F237">
        <f t="shared" si="3"/>
        <v>1</v>
      </c>
    </row>
    <row r="238" spans="1:6" ht="41.4" hidden="1">
      <c r="A238" s="436" t="s">
        <v>1402</v>
      </c>
      <c r="B238" s="463" t="s">
        <v>764</v>
      </c>
      <c r="C238" s="463" t="s">
        <v>1384</v>
      </c>
      <c r="D238" s="550">
        <f>SUMIFS('Revised RAO'!Q:Q,'Revised RAO'!E:E,'Transactions for Import (2)'!A238)</f>
        <v>470812.07</v>
      </c>
      <c r="E238" s="550"/>
      <c r="F238">
        <f t="shared" si="3"/>
        <v>1</v>
      </c>
    </row>
    <row r="239" spans="1:6" ht="27.6" hidden="1">
      <c r="A239" s="436" t="s">
        <v>1403</v>
      </c>
      <c r="B239" s="463" t="s">
        <v>869</v>
      </c>
      <c r="C239" s="463" t="s">
        <v>1390</v>
      </c>
      <c r="D239" s="550">
        <f>SUMIFS('Revised RAO'!Q:Q,'Revised RAO'!E:E,'Transactions for Import (2)'!A239)</f>
        <v>40307.629999999997</v>
      </c>
      <c r="E239" s="550"/>
      <c r="F239">
        <f t="shared" si="3"/>
        <v>1</v>
      </c>
    </row>
    <row r="240" spans="1:6" ht="41.4" hidden="1">
      <c r="A240" s="436" t="s">
        <v>1405</v>
      </c>
      <c r="B240" s="463" t="s">
        <v>1170</v>
      </c>
      <c r="C240" s="463" t="s">
        <v>1406</v>
      </c>
      <c r="D240" s="550">
        <f>SUMIFS('Revised RAO'!Q:Q,'Revised RAO'!E:E,'Transactions for Import (2)'!A240)</f>
        <v>29300.399999999998</v>
      </c>
      <c r="E240" s="550"/>
      <c r="F240">
        <f t="shared" si="3"/>
        <v>1</v>
      </c>
    </row>
    <row r="241" spans="1:6" ht="27.6" hidden="1">
      <c r="A241" s="436" t="s">
        <v>1407</v>
      </c>
      <c r="B241" s="463" t="s">
        <v>1245</v>
      </c>
      <c r="C241" s="463" t="s">
        <v>1408</v>
      </c>
      <c r="D241" s="550">
        <f>SUMIFS('Revised RAO'!Q:Q,'Revised RAO'!E:E,'Transactions for Import (2)'!A241)</f>
        <v>2016</v>
      </c>
      <c r="E241" s="550"/>
      <c r="F241">
        <f t="shared" si="3"/>
        <v>1</v>
      </c>
    </row>
    <row r="242" spans="1:6" ht="27.6" hidden="1">
      <c r="A242" s="436" t="s">
        <v>1409</v>
      </c>
      <c r="B242" s="463" t="s">
        <v>1245</v>
      </c>
      <c r="C242" s="463" t="s">
        <v>1248</v>
      </c>
      <c r="D242" s="550">
        <f>SUMIFS('Revised RAO'!Q:Q,'Revised RAO'!E:E,'Transactions for Import (2)'!A242)</f>
        <v>1344</v>
      </c>
      <c r="E242" s="550"/>
      <c r="F242">
        <f t="shared" si="3"/>
        <v>1</v>
      </c>
    </row>
    <row r="243" spans="1:6" ht="27.6" hidden="1">
      <c r="A243" s="436" t="s">
        <v>1410</v>
      </c>
      <c r="B243" s="463" t="s">
        <v>1036</v>
      </c>
      <c r="C243" s="463" t="s">
        <v>1411</v>
      </c>
      <c r="D243" s="550">
        <f>SUMIFS('Revised RAO'!Q:Q,'Revised RAO'!E:E,'Transactions for Import (2)'!A243)</f>
        <v>1651.12</v>
      </c>
      <c r="E243" s="550"/>
      <c r="F243">
        <f t="shared" si="3"/>
        <v>1</v>
      </c>
    </row>
    <row r="244" spans="1:6" ht="41.4" hidden="1">
      <c r="A244" s="436" t="s">
        <v>1412</v>
      </c>
      <c r="B244" s="463" t="s">
        <v>1172</v>
      </c>
      <c r="C244" s="463" t="s">
        <v>1394</v>
      </c>
      <c r="D244" s="550">
        <f>SUMIFS('Revised RAO'!Q:Q,'Revised RAO'!E:E,'Transactions for Import (2)'!A244)</f>
        <v>29300.399999999998</v>
      </c>
      <c r="E244" s="550"/>
      <c r="F244">
        <f t="shared" si="3"/>
        <v>1</v>
      </c>
    </row>
    <row r="245" spans="1:6" ht="27.6" hidden="1">
      <c r="A245" s="436" t="s">
        <v>1413</v>
      </c>
      <c r="B245" s="463" t="s">
        <v>789</v>
      </c>
      <c r="C245" s="463" t="s">
        <v>1390</v>
      </c>
      <c r="D245" s="550">
        <f>SUMIFS('Revised RAO'!Q:Q,'Revised RAO'!E:E,'Transactions for Import (2)'!A245)</f>
        <v>92085.57</v>
      </c>
      <c r="E245" s="550"/>
      <c r="F245">
        <f t="shared" si="3"/>
        <v>1</v>
      </c>
    </row>
    <row r="246" spans="1:6" ht="41.4" hidden="1">
      <c r="A246" s="436" t="s">
        <v>1414</v>
      </c>
      <c r="B246" s="463" t="s">
        <v>789</v>
      </c>
      <c r="C246" s="463" t="s">
        <v>1384</v>
      </c>
      <c r="D246" s="550">
        <f>SUMIFS('Revised RAO'!Q:Q,'Revised RAO'!E:E,'Transactions for Import (2)'!A246)</f>
        <v>666486.65999999992</v>
      </c>
      <c r="E246" s="550"/>
      <c r="F246">
        <f t="shared" si="3"/>
        <v>1</v>
      </c>
    </row>
    <row r="247" spans="1:6" ht="27.6" hidden="1">
      <c r="A247" s="404" t="s">
        <v>1415</v>
      </c>
      <c r="B247" s="409" t="s">
        <v>822</v>
      </c>
      <c r="C247" s="409" t="s">
        <v>1416</v>
      </c>
      <c r="D247" s="550">
        <f>SUMIFS('Revised RAO'!Q:Q,'Revised RAO'!E:E,'Transactions for Import (2)'!A247)</f>
        <v>0</v>
      </c>
      <c r="E247" s="550"/>
      <c r="F247">
        <f t="shared" si="3"/>
        <v>1</v>
      </c>
    </row>
    <row r="248" spans="1:6" ht="27.6" hidden="1">
      <c r="A248" s="436" t="s">
        <v>1417</v>
      </c>
      <c r="B248" s="463" t="s">
        <v>1418</v>
      </c>
      <c r="C248" s="463" t="s">
        <v>1419</v>
      </c>
      <c r="D248" s="550">
        <f>SUMIFS('Revised RAO'!Q:Q,'Revised RAO'!E:E,'Transactions for Import (2)'!A248)</f>
        <v>22000</v>
      </c>
      <c r="E248" s="550"/>
      <c r="F248">
        <f t="shared" si="3"/>
        <v>1</v>
      </c>
    </row>
    <row r="249" spans="1:6" ht="41.4" hidden="1">
      <c r="A249" s="436" t="s">
        <v>1420</v>
      </c>
      <c r="B249" s="463" t="s">
        <v>1344</v>
      </c>
      <c r="C249" s="463" t="s">
        <v>1421</v>
      </c>
      <c r="D249" s="550">
        <f>SUMIFS('Revised RAO'!Q:Q,'Revised RAO'!E:E,'Transactions for Import (2)'!A249)</f>
        <v>14000</v>
      </c>
      <c r="E249" s="550"/>
      <c r="F249">
        <f t="shared" si="3"/>
        <v>1</v>
      </c>
    </row>
    <row r="250" spans="1:6" ht="27.6" hidden="1">
      <c r="A250" s="436" t="s">
        <v>1422</v>
      </c>
      <c r="B250" s="463" t="s">
        <v>1359</v>
      </c>
      <c r="C250" s="463" t="s">
        <v>1423</v>
      </c>
      <c r="D250" s="550">
        <f>SUMIFS('Revised RAO'!Q:Q,'Revised RAO'!E:E,'Transactions for Import (2)'!A250)</f>
        <v>7873</v>
      </c>
      <c r="E250" s="550"/>
      <c r="F250">
        <f t="shared" si="3"/>
        <v>1</v>
      </c>
    </row>
    <row r="251" spans="1:6" ht="27.6" hidden="1">
      <c r="A251" s="436" t="s">
        <v>1424</v>
      </c>
      <c r="B251" s="439" t="s">
        <v>823</v>
      </c>
      <c r="C251" s="439" t="s">
        <v>1139</v>
      </c>
      <c r="D251" s="550">
        <f>SUMIFS('Revised RAO'!Q:Q,'Revised RAO'!E:E,'Transactions for Import (2)'!A251)</f>
        <v>640000</v>
      </c>
      <c r="E251" s="550"/>
      <c r="F251">
        <f t="shared" si="3"/>
        <v>1</v>
      </c>
    </row>
    <row r="252" spans="1:6" ht="27.6" hidden="1">
      <c r="A252" s="436" t="s">
        <v>1425</v>
      </c>
      <c r="B252" s="439" t="s">
        <v>818</v>
      </c>
      <c r="C252" s="439" t="s">
        <v>1206</v>
      </c>
      <c r="D252" s="550">
        <f>SUMIFS('Revised RAO'!Q:Q,'Revised RAO'!E:E,'Transactions for Import (2)'!A252)</f>
        <v>160000</v>
      </c>
      <c r="E252" s="550"/>
      <c r="F252">
        <f t="shared" si="3"/>
        <v>1</v>
      </c>
    </row>
    <row r="253" spans="1:6" ht="27.6" hidden="1">
      <c r="A253" s="436" t="s">
        <v>1426</v>
      </c>
      <c r="B253" s="439" t="s">
        <v>818</v>
      </c>
      <c r="C253" s="439" t="s">
        <v>1150</v>
      </c>
      <c r="D253" s="550">
        <f>SUMIFS('Revised RAO'!Q:Q,'Revised RAO'!E:E,'Transactions for Import (2)'!A253)</f>
        <v>119634</v>
      </c>
      <c r="E253" s="550"/>
      <c r="F253">
        <f t="shared" si="3"/>
        <v>1</v>
      </c>
    </row>
    <row r="254" spans="1:6" hidden="1">
      <c r="A254" s="436" t="s">
        <v>1427</v>
      </c>
      <c r="B254" s="439" t="s">
        <v>820</v>
      </c>
      <c r="C254" s="439" t="s">
        <v>1145</v>
      </c>
      <c r="D254" s="550">
        <f>SUMIFS('Revised RAO'!Q:Q,'Revised RAO'!E:E,'Transactions for Import (2)'!A254)</f>
        <v>94707.14</v>
      </c>
      <c r="E254" s="550"/>
      <c r="F254">
        <f t="shared" si="3"/>
        <v>1</v>
      </c>
    </row>
    <row r="255" spans="1:6" ht="27.6" hidden="1">
      <c r="A255" s="436" t="s">
        <v>1428</v>
      </c>
      <c r="B255" s="439" t="s">
        <v>1189</v>
      </c>
      <c r="C255" s="439" t="s">
        <v>1429</v>
      </c>
      <c r="D255" s="550">
        <f>SUMIFS('Revised RAO'!Q:Q,'Revised RAO'!E:E,'Transactions for Import (2)'!A255)</f>
        <v>11000</v>
      </c>
      <c r="E255" s="550"/>
      <c r="F255">
        <f t="shared" si="3"/>
        <v>1</v>
      </c>
    </row>
    <row r="256" spans="1:6" ht="41.4" hidden="1">
      <c r="A256" s="436" t="s">
        <v>1430</v>
      </c>
      <c r="B256" s="439" t="s">
        <v>1325</v>
      </c>
      <c r="C256" s="439" t="s">
        <v>1431</v>
      </c>
      <c r="D256" s="550">
        <f>SUMIFS('Revised RAO'!Q:Q,'Revised RAO'!E:E,'Transactions for Import (2)'!A256)</f>
        <v>3760</v>
      </c>
      <c r="E256" s="550"/>
      <c r="F256">
        <f t="shared" si="3"/>
        <v>1</v>
      </c>
    </row>
    <row r="257" spans="1:6" ht="27.6" hidden="1">
      <c r="A257" s="436" t="s">
        <v>1432</v>
      </c>
      <c r="B257" s="439" t="s">
        <v>1433</v>
      </c>
      <c r="C257" s="439" t="s">
        <v>1434</v>
      </c>
      <c r="D257" s="550">
        <f>SUMIFS('Revised RAO'!Q:Q,'Revised RAO'!E:E,'Transactions for Import (2)'!A257)</f>
        <v>800</v>
      </c>
      <c r="E257" s="550"/>
      <c r="F257">
        <f t="shared" si="3"/>
        <v>1</v>
      </c>
    </row>
    <row r="258" spans="1:6" ht="27.6" hidden="1">
      <c r="A258" s="436" t="s">
        <v>1435</v>
      </c>
      <c r="B258" s="463" t="s">
        <v>1436</v>
      </c>
      <c r="C258" s="439" t="s">
        <v>1437</v>
      </c>
      <c r="D258" s="550">
        <f>SUMIFS('Revised RAO'!Q:Q,'Revised RAO'!E:E,'Transactions for Import (2)'!A258)</f>
        <v>30000</v>
      </c>
      <c r="E258" s="550"/>
      <c r="F258">
        <f t="shared" si="3"/>
        <v>1</v>
      </c>
    </row>
    <row r="259" spans="1:6" hidden="1">
      <c r="A259" s="436" t="s">
        <v>1438</v>
      </c>
      <c r="B259" s="463" t="s">
        <v>10</v>
      </c>
      <c r="C259" s="463" t="s">
        <v>1439</v>
      </c>
      <c r="D259" s="550">
        <f>SUMIFS('Revised RAO'!Q:Q,'Revised RAO'!E:E,'Transactions for Import (2)'!A259)</f>
        <v>216000</v>
      </c>
      <c r="E259" s="550"/>
      <c r="F259">
        <f t="shared" ref="F259:F322" si="4">COUNTIFS($A$3:$A$357,A259)</f>
        <v>1</v>
      </c>
    </row>
    <row r="260" spans="1:6" hidden="1">
      <c r="A260" s="436" t="s">
        <v>1440</v>
      </c>
      <c r="B260" s="463" t="s">
        <v>789</v>
      </c>
      <c r="C260" s="463" t="s">
        <v>1439</v>
      </c>
      <c r="D260" s="550">
        <f>SUMIFS('Revised RAO'!Q:Q,'Revised RAO'!E:E,'Transactions for Import (2)'!A260)</f>
        <v>60000</v>
      </c>
      <c r="E260" s="550"/>
      <c r="F260">
        <f t="shared" si="4"/>
        <v>1</v>
      </c>
    </row>
    <row r="261" spans="1:6" hidden="1">
      <c r="A261" s="436" t="s">
        <v>1441</v>
      </c>
      <c r="B261" s="463" t="s">
        <v>777</v>
      </c>
      <c r="C261" s="463" t="s">
        <v>1439</v>
      </c>
      <c r="D261" s="550">
        <f>SUMIFS('Revised RAO'!Q:Q,'Revised RAO'!E:E,'Transactions for Import (2)'!A261)</f>
        <v>60000</v>
      </c>
      <c r="E261" s="550"/>
      <c r="F261">
        <f t="shared" si="4"/>
        <v>1</v>
      </c>
    </row>
    <row r="262" spans="1:6" hidden="1">
      <c r="A262" s="436" t="s">
        <v>1442</v>
      </c>
      <c r="B262" s="463" t="s">
        <v>764</v>
      </c>
      <c r="C262" s="463" t="s">
        <v>1439</v>
      </c>
      <c r="D262" s="550">
        <f>SUMIFS('Revised RAO'!Q:Q,'Revised RAO'!E:E,'Transactions for Import (2)'!A262)</f>
        <v>66000</v>
      </c>
      <c r="E262" s="550"/>
      <c r="F262">
        <f t="shared" si="4"/>
        <v>1</v>
      </c>
    </row>
    <row r="263" spans="1:6" hidden="1">
      <c r="A263" s="436" t="s">
        <v>1443</v>
      </c>
      <c r="B263" s="463" t="s">
        <v>768</v>
      </c>
      <c r="C263" s="463" t="s">
        <v>1439</v>
      </c>
      <c r="D263" s="550">
        <f>SUMIFS('Revised RAO'!Q:Q,'Revised RAO'!E:E,'Transactions for Import (2)'!A263)</f>
        <v>72000</v>
      </c>
      <c r="E263" s="550"/>
      <c r="F263">
        <f t="shared" si="4"/>
        <v>1</v>
      </c>
    </row>
    <row r="264" spans="1:6" hidden="1">
      <c r="A264" s="436" t="s">
        <v>1444</v>
      </c>
      <c r="B264" s="463" t="s">
        <v>765</v>
      </c>
      <c r="C264" s="463" t="s">
        <v>1439</v>
      </c>
      <c r="D264" s="550">
        <f>SUMIFS('Revised RAO'!Q:Q,'Revised RAO'!E:E,'Transactions for Import (2)'!A264)</f>
        <v>48000</v>
      </c>
      <c r="E264" s="550"/>
      <c r="F264">
        <f t="shared" si="4"/>
        <v>1</v>
      </c>
    </row>
    <row r="265" spans="1:6" ht="27.6" hidden="1">
      <c r="A265" s="436" t="s">
        <v>1445</v>
      </c>
      <c r="B265" s="463" t="s">
        <v>1102</v>
      </c>
      <c r="C265" s="463" t="s">
        <v>1446</v>
      </c>
      <c r="D265" s="550">
        <f>SUMIFS('Revised RAO'!Q:Q,'Revised RAO'!E:E,'Transactions for Import (2)'!A265)</f>
        <v>3500</v>
      </c>
      <c r="E265" s="550"/>
      <c r="F265">
        <f t="shared" si="4"/>
        <v>1</v>
      </c>
    </row>
    <row r="266" spans="1:6" ht="27.6" hidden="1">
      <c r="A266" s="436" t="s">
        <v>1448</v>
      </c>
      <c r="B266" s="463" t="s">
        <v>1449</v>
      </c>
      <c r="C266" s="463" t="s">
        <v>1450</v>
      </c>
      <c r="D266" s="550">
        <f>SUMIFS('Revised RAO'!Q:Q,'Revised RAO'!E:E,'Transactions for Import (2)'!A266)</f>
        <v>976560</v>
      </c>
      <c r="E266" s="550"/>
      <c r="F266">
        <f t="shared" si="4"/>
        <v>1</v>
      </c>
    </row>
    <row r="267" spans="1:6" ht="27.6" hidden="1">
      <c r="A267" s="436" t="s">
        <v>1451</v>
      </c>
      <c r="B267" s="463" t="s">
        <v>859</v>
      </c>
      <c r="C267" s="463" t="s">
        <v>1452</v>
      </c>
      <c r="D267" s="550">
        <f>SUMIFS('Revised RAO'!Q:Q,'Revised RAO'!E:E,'Transactions for Import (2)'!A267)</f>
        <v>2000</v>
      </c>
      <c r="E267" s="550"/>
      <c r="F267">
        <f t="shared" si="4"/>
        <v>1</v>
      </c>
    </row>
    <row r="268" spans="1:6" ht="27.6">
      <c r="A268" s="436" t="s">
        <v>1453</v>
      </c>
      <c r="B268" s="463" t="s">
        <v>1030</v>
      </c>
      <c r="C268" s="463" t="s">
        <v>1454</v>
      </c>
      <c r="D268" s="550">
        <f>SUMIFS('Revised RAO'!Q:Q,'Revised RAO'!E:E,'Transactions for Import (2)'!A268)</f>
        <v>70905.22</v>
      </c>
      <c r="E268" s="550"/>
      <c r="F268">
        <f t="shared" si="4"/>
        <v>1</v>
      </c>
    </row>
    <row r="269" spans="1:6" ht="27.6">
      <c r="A269" s="436" t="s">
        <v>1455</v>
      </c>
      <c r="B269" s="463" t="s">
        <v>1030</v>
      </c>
      <c r="C269" s="463" t="s">
        <v>1456</v>
      </c>
      <c r="D269" s="550">
        <f>SUMIFS('Revised RAO'!Q:Q,'Revised RAO'!E:E,'Transactions for Import (2)'!A269)</f>
        <v>82098.38</v>
      </c>
      <c r="E269" s="550"/>
      <c r="F269">
        <f t="shared" si="4"/>
        <v>1</v>
      </c>
    </row>
    <row r="270" spans="1:6" ht="41.4" hidden="1">
      <c r="A270" s="436" t="s">
        <v>1457</v>
      </c>
      <c r="B270" s="463" t="s">
        <v>1344</v>
      </c>
      <c r="C270" s="463" t="s">
        <v>1458</v>
      </c>
      <c r="D270" s="550">
        <f>SUMIFS('Revised RAO'!Q:Q,'Revised RAO'!E:E,'Transactions for Import (2)'!A270)</f>
        <v>9600</v>
      </c>
      <c r="E270" s="550"/>
      <c r="F270">
        <f t="shared" si="4"/>
        <v>1</v>
      </c>
    </row>
    <row r="271" spans="1:6" ht="27.6" hidden="1">
      <c r="A271" s="436" t="s">
        <v>1459</v>
      </c>
      <c r="B271" s="463" t="s">
        <v>6</v>
      </c>
      <c r="C271" s="463" t="s">
        <v>1460</v>
      </c>
      <c r="D271" s="550">
        <f>SUMIFS('Revised RAO'!Q:Q,'Revised RAO'!E:E,'Transactions for Import (2)'!A271)</f>
        <v>10000</v>
      </c>
      <c r="E271" s="550"/>
      <c r="F271">
        <f t="shared" si="4"/>
        <v>1</v>
      </c>
    </row>
    <row r="272" spans="1:6" hidden="1">
      <c r="A272" s="436" t="s">
        <v>1461</v>
      </c>
      <c r="B272" s="463" t="s">
        <v>1462</v>
      </c>
      <c r="C272" s="472" t="s">
        <v>1463</v>
      </c>
      <c r="D272" s="550">
        <f>SUMIFS('Revised RAO'!Q:Q,'Revised RAO'!E:E,'Transactions for Import (2)'!A272)</f>
        <v>10000</v>
      </c>
      <c r="E272" s="550"/>
      <c r="F272">
        <f t="shared" si="4"/>
        <v>1</v>
      </c>
    </row>
    <row r="273" spans="1:6" ht="27.6" hidden="1">
      <c r="A273" s="436" t="s">
        <v>1464</v>
      </c>
      <c r="B273" s="463" t="s">
        <v>1245</v>
      </c>
      <c r="C273" s="463" t="s">
        <v>1465</v>
      </c>
      <c r="D273" s="550">
        <f>SUMIFS('Revised RAO'!Q:Q,'Revised RAO'!E:E,'Transactions for Import (2)'!A273)</f>
        <v>6320</v>
      </c>
      <c r="E273" s="550"/>
      <c r="F273">
        <f t="shared" si="4"/>
        <v>1</v>
      </c>
    </row>
    <row r="274" spans="1:6" ht="27.6" hidden="1">
      <c r="A274" s="436" t="s">
        <v>1466</v>
      </c>
      <c r="B274" s="463" t="s">
        <v>1467</v>
      </c>
      <c r="C274" s="463" t="s">
        <v>1465</v>
      </c>
      <c r="D274" s="550">
        <f>SUMIFS('Revised RAO'!Q:Q,'Revised RAO'!E:E,'Transactions for Import (2)'!A274)</f>
        <v>2800</v>
      </c>
      <c r="E274" s="550"/>
      <c r="F274">
        <f t="shared" si="4"/>
        <v>1</v>
      </c>
    </row>
    <row r="275" spans="1:6" ht="41.4" hidden="1">
      <c r="A275" s="436" t="s">
        <v>1468</v>
      </c>
      <c r="B275" s="463" t="s">
        <v>1102</v>
      </c>
      <c r="C275" s="463" t="s">
        <v>1474</v>
      </c>
      <c r="D275" s="550">
        <f>SUMIFS('Revised RAO'!Q:Q,'Revised RAO'!E:E,'Transactions for Import (2)'!A275)</f>
        <v>5390.81</v>
      </c>
      <c r="E275" s="550"/>
      <c r="F275">
        <f t="shared" si="4"/>
        <v>1</v>
      </c>
    </row>
    <row r="276" spans="1:6" ht="27.6" hidden="1">
      <c r="A276" s="436" t="s">
        <v>1469</v>
      </c>
      <c r="B276" s="463" t="s">
        <v>1325</v>
      </c>
      <c r="C276" s="463" t="s">
        <v>1475</v>
      </c>
      <c r="D276" s="550">
        <f>SUMIFS('Revised RAO'!Q:Q,'Revised RAO'!E:E,'Transactions for Import (2)'!A276)</f>
        <v>13600</v>
      </c>
      <c r="E276" s="550"/>
      <c r="F276">
        <f t="shared" si="4"/>
        <v>1</v>
      </c>
    </row>
    <row r="277" spans="1:6" ht="27.6" hidden="1">
      <c r="A277" s="436" t="s">
        <v>1470</v>
      </c>
      <c r="B277" s="463" t="s">
        <v>1075</v>
      </c>
      <c r="C277" s="463" t="s">
        <v>1476</v>
      </c>
      <c r="D277" s="550">
        <f>SUMIFS('Revised RAO'!Q:Q,'Revised RAO'!E:E,'Transactions for Import (2)'!A277)</f>
        <v>40369.5</v>
      </c>
      <c r="E277" s="550"/>
      <c r="F277">
        <f t="shared" si="4"/>
        <v>1</v>
      </c>
    </row>
    <row r="278" spans="1:6" ht="27.6" hidden="1">
      <c r="A278" s="436" t="s">
        <v>1471</v>
      </c>
      <c r="B278" s="463" t="s">
        <v>1075</v>
      </c>
      <c r="C278" s="463" t="s">
        <v>1476</v>
      </c>
      <c r="D278" s="550">
        <f>SUMIFS('Revised RAO'!Q:Q,'Revised RAO'!E:E,'Transactions for Import (2)'!A278)</f>
        <v>12300</v>
      </c>
      <c r="E278" s="550"/>
      <c r="F278">
        <f t="shared" si="4"/>
        <v>1</v>
      </c>
    </row>
    <row r="279" spans="1:6" hidden="1">
      <c r="A279" s="436" t="s">
        <v>1472</v>
      </c>
      <c r="B279" s="463" t="s">
        <v>810</v>
      </c>
      <c r="C279" s="463" t="s">
        <v>1477</v>
      </c>
      <c r="D279" s="550">
        <f>SUMIFS('Revised RAO'!Q:Q,'Revised RAO'!E:E,'Transactions for Import (2)'!A279)</f>
        <v>18421.129999999997</v>
      </c>
      <c r="E279" s="550"/>
      <c r="F279">
        <f t="shared" si="4"/>
        <v>1</v>
      </c>
    </row>
    <row r="280" spans="1:6" ht="27.6" hidden="1">
      <c r="A280" s="436" t="s">
        <v>1473</v>
      </c>
      <c r="B280" s="463" t="s">
        <v>1433</v>
      </c>
      <c r="C280" s="463" t="s">
        <v>1478</v>
      </c>
      <c r="D280" s="550">
        <f>SUMIFS('Revised RAO'!Q:Q,'Revised RAO'!E:E,'Transactions for Import (2)'!A280)</f>
        <v>920</v>
      </c>
      <c r="E280" s="550"/>
      <c r="F280">
        <f t="shared" si="4"/>
        <v>1</v>
      </c>
    </row>
    <row r="281" spans="1:6" ht="27.6" hidden="1">
      <c r="A281" s="436" t="s">
        <v>1479</v>
      </c>
      <c r="B281" s="463" t="s">
        <v>1480</v>
      </c>
      <c r="C281" s="463" t="s">
        <v>1481</v>
      </c>
      <c r="D281" s="550">
        <f>SUMIFS('Revised RAO'!Q:Q,'Revised RAO'!E:E,'Transactions for Import (2)'!A281)</f>
        <v>2486</v>
      </c>
      <c r="E281" s="550"/>
      <c r="F281">
        <f t="shared" si="4"/>
        <v>1</v>
      </c>
    </row>
    <row r="282" spans="1:6" ht="41.4" hidden="1">
      <c r="A282" s="436" t="s">
        <v>1482</v>
      </c>
      <c r="B282" s="463" t="s">
        <v>1102</v>
      </c>
      <c r="C282" s="463" t="s">
        <v>1483</v>
      </c>
      <c r="D282" s="550">
        <f>SUMIFS('Revised RAO'!Q:Q,'Revised RAO'!E:E,'Transactions for Import (2)'!A282)</f>
        <v>1200</v>
      </c>
      <c r="E282" s="550"/>
      <c r="F282">
        <f t="shared" si="4"/>
        <v>1</v>
      </c>
    </row>
    <row r="283" spans="1:6" ht="27.6" hidden="1">
      <c r="A283" s="436" t="s">
        <v>1484</v>
      </c>
      <c r="B283" s="463" t="s">
        <v>1075</v>
      </c>
      <c r="C283" s="463" t="s">
        <v>1476</v>
      </c>
      <c r="D283" s="550">
        <f>SUMIFS('Revised RAO'!Q:Q,'Revised RAO'!E:E,'Transactions for Import (2)'!A283)</f>
        <v>13034</v>
      </c>
      <c r="E283" s="550"/>
      <c r="F283">
        <f t="shared" si="4"/>
        <v>1</v>
      </c>
    </row>
    <row r="284" spans="1:6" ht="27.6" hidden="1">
      <c r="A284" s="436" t="s">
        <v>1485</v>
      </c>
      <c r="B284" s="463" t="s">
        <v>1075</v>
      </c>
      <c r="C284" s="463" t="s">
        <v>1476</v>
      </c>
      <c r="D284" s="550">
        <f>SUMIFS('Revised RAO'!Q:Q,'Revised RAO'!E:E,'Transactions for Import (2)'!A284)</f>
        <v>21301.64</v>
      </c>
      <c r="E284" s="550"/>
      <c r="F284">
        <f t="shared" si="4"/>
        <v>1</v>
      </c>
    </row>
    <row r="285" spans="1:6" ht="41.4" hidden="1">
      <c r="A285" s="436" t="s">
        <v>1486</v>
      </c>
      <c r="B285" s="463" t="s">
        <v>1102</v>
      </c>
      <c r="C285" s="463" t="s">
        <v>1487</v>
      </c>
      <c r="D285" s="550">
        <f>SUMIFS('Revised RAO'!Q:Q,'Revised RAO'!E:E,'Transactions for Import (2)'!A285)</f>
        <v>1200</v>
      </c>
      <c r="E285" s="550"/>
      <c r="F285">
        <f t="shared" si="4"/>
        <v>1</v>
      </c>
    </row>
    <row r="286" spans="1:6" ht="27.6" hidden="1">
      <c r="A286" s="436" t="s">
        <v>1488</v>
      </c>
      <c r="B286" s="463" t="s">
        <v>800</v>
      </c>
      <c r="C286" s="463" t="s">
        <v>1489</v>
      </c>
      <c r="D286" s="550">
        <f>SUMIFS('Revised RAO'!Q:Q,'Revised RAO'!E:E,'Transactions for Import (2)'!A286)</f>
        <v>1500</v>
      </c>
      <c r="E286" s="550"/>
      <c r="F286">
        <f t="shared" si="4"/>
        <v>1</v>
      </c>
    </row>
    <row r="287" spans="1:6" ht="27.6" hidden="1">
      <c r="A287" s="436" t="s">
        <v>1490</v>
      </c>
      <c r="B287" s="463" t="s">
        <v>798</v>
      </c>
      <c r="C287" s="463" t="s">
        <v>1491</v>
      </c>
      <c r="D287" s="550">
        <f>SUMIFS('Revised RAO'!Q:Q,'Revised RAO'!E:E,'Transactions for Import (2)'!A287)</f>
        <v>350</v>
      </c>
      <c r="E287" s="550"/>
      <c r="F287">
        <f t="shared" si="4"/>
        <v>1</v>
      </c>
    </row>
    <row r="288" spans="1:6" ht="27.6" hidden="1">
      <c r="A288" s="436" t="s">
        <v>1492</v>
      </c>
      <c r="B288" s="463" t="s">
        <v>1433</v>
      </c>
      <c r="C288" s="463" t="s">
        <v>1493</v>
      </c>
      <c r="D288" s="550">
        <f>SUMIFS('Revised RAO'!Q:Q,'Revised RAO'!E:E,'Transactions for Import (2)'!A288)</f>
        <v>3800</v>
      </c>
      <c r="E288" s="550"/>
      <c r="F288">
        <f t="shared" si="4"/>
        <v>1</v>
      </c>
    </row>
    <row r="289" spans="1:6" ht="27.6" hidden="1">
      <c r="A289" s="436" t="s">
        <v>1494</v>
      </c>
      <c r="B289" s="463" t="s">
        <v>1108</v>
      </c>
      <c r="C289" s="463" t="s">
        <v>1495</v>
      </c>
      <c r="D289" s="550">
        <f>SUMIFS('Revised RAO'!Q:Q,'Revised RAO'!E:E,'Transactions for Import (2)'!A289)</f>
        <v>31800</v>
      </c>
      <c r="E289" s="550"/>
      <c r="F289">
        <f t="shared" si="4"/>
        <v>1</v>
      </c>
    </row>
    <row r="290" spans="1:6" ht="27.6" hidden="1">
      <c r="A290" s="436" t="s">
        <v>1496</v>
      </c>
      <c r="B290" s="463" t="s">
        <v>1433</v>
      </c>
      <c r="C290" s="463" t="s">
        <v>1497</v>
      </c>
      <c r="D290" s="550">
        <f>SUMIFS('Revised RAO'!Q:Q,'Revised RAO'!E:E,'Transactions for Import (2)'!A290)</f>
        <v>480</v>
      </c>
      <c r="E290" s="550"/>
      <c r="F290">
        <f t="shared" si="4"/>
        <v>1</v>
      </c>
    </row>
    <row r="291" spans="1:6" hidden="1">
      <c r="A291" s="436" t="s">
        <v>1498</v>
      </c>
      <c r="B291" s="463" t="s">
        <v>1499</v>
      </c>
      <c r="C291" s="463" t="s">
        <v>1500</v>
      </c>
      <c r="D291" s="550">
        <f>SUMIFS('Revised RAO'!Q:Q,'Revised RAO'!E:E,'Transactions for Import (2)'!A291)</f>
        <v>48000</v>
      </c>
      <c r="E291" s="550"/>
      <c r="F291">
        <f t="shared" si="4"/>
        <v>1</v>
      </c>
    </row>
    <row r="292" spans="1:6" ht="27.6">
      <c r="A292" s="436" t="s">
        <v>1501</v>
      </c>
      <c r="B292" s="463" t="s">
        <v>1030</v>
      </c>
      <c r="C292" s="463" t="s">
        <v>1502</v>
      </c>
      <c r="D292" s="550">
        <f>SUMIFS('Revised RAO'!Q:Q,'Revised RAO'!E:E,'Transactions for Import (2)'!A292)</f>
        <v>45808.9</v>
      </c>
      <c r="E292" s="550"/>
      <c r="F292">
        <f t="shared" si="4"/>
        <v>1</v>
      </c>
    </row>
    <row r="293" spans="1:6" ht="27.6">
      <c r="A293" s="436" t="s">
        <v>1503</v>
      </c>
      <c r="B293" s="463" t="s">
        <v>1030</v>
      </c>
      <c r="C293" s="463" t="s">
        <v>1504</v>
      </c>
      <c r="D293" s="550">
        <f>SUMIFS('Revised RAO'!Q:Q,'Revised RAO'!E:E,'Transactions for Import (2)'!A293)</f>
        <v>41497.269999999997</v>
      </c>
      <c r="E293" s="550"/>
      <c r="F293">
        <f t="shared" si="4"/>
        <v>1</v>
      </c>
    </row>
    <row r="294" spans="1:6" ht="27.6" hidden="1">
      <c r="A294" s="436" t="s">
        <v>1505</v>
      </c>
      <c r="B294" s="463" t="s">
        <v>1506</v>
      </c>
      <c r="C294" s="463" t="s">
        <v>1507</v>
      </c>
      <c r="D294" s="550">
        <f>SUMIFS('Revised RAO'!Q:Q,'Revised RAO'!E:E,'Transactions for Import (2)'!A294)</f>
        <v>76000</v>
      </c>
      <c r="E294" s="550"/>
      <c r="F294">
        <f t="shared" si="4"/>
        <v>1</v>
      </c>
    </row>
    <row r="295" spans="1:6" hidden="1">
      <c r="A295" s="436" t="s">
        <v>1508</v>
      </c>
      <c r="B295" s="463" t="s">
        <v>859</v>
      </c>
      <c r="C295" s="463" t="s">
        <v>1509</v>
      </c>
      <c r="D295" s="550">
        <f>SUMIFS('Revised RAO'!Q:Q,'Revised RAO'!E:E,'Transactions for Import (2)'!A295)</f>
        <v>2130</v>
      </c>
      <c r="E295" s="550"/>
      <c r="F295">
        <f t="shared" si="4"/>
        <v>1</v>
      </c>
    </row>
    <row r="296" spans="1:6" ht="41.4" hidden="1">
      <c r="A296" s="436" t="s">
        <v>1510</v>
      </c>
      <c r="B296" s="463" t="s">
        <v>1511</v>
      </c>
      <c r="C296" s="463" t="s">
        <v>1512</v>
      </c>
      <c r="D296" s="550">
        <f>SUMIFS('Revised RAO'!Q:Q,'Revised RAO'!E:E,'Transactions for Import (2)'!A296)</f>
        <v>5175</v>
      </c>
      <c r="E296" s="550"/>
      <c r="F296">
        <f t="shared" si="4"/>
        <v>1</v>
      </c>
    </row>
    <row r="297" spans="1:6" ht="41.4" hidden="1">
      <c r="A297" s="436" t="s">
        <v>1513</v>
      </c>
      <c r="B297" s="463" t="s">
        <v>799</v>
      </c>
      <c r="C297" s="463" t="s">
        <v>1515</v>
      </c>
      <c r="D297" s="550">
        <f>SUMIFS('Revised RAO'!Q:Q,'Revised RAO'!E:E,'Transactions for Import (2)'!A297)</f>
        <v>4200</v>
      </c>
      <c r="E297" s="550"/>
      <c r="F297">
        <f t="shared" si="4"/>
        <v>1</v>
      </c>
    </row>
    <row r="298" spans="1:6" ht="27.6" hidden="1">
      <c r="A298" s="436" t="s">
        <v>1516</v>
      </c>
      <c r="B298" s="463" t="s">
        <v>1245</v>
      </c>
      <c r="C298" s="463" t="s">
        <v>1517</v>
      </c>
      <c r="D298" s="550">
        <f>SUMIFS('Revised RAO'!Q:Q,'Revised RAO'!E:E,'Transactions for Import (2)'!A298)</f>
        <v>2688</v>
      </c>
      <c r="E298" s="550"/>
      <c r="F298">
        <f t="shared" si="4"/>
        <v>1</v>
      </c>
    </row>
    <row r="299" spans="1:6" ht="27.6" hidden="1">
      <c r="A299" s="436" t="s">
        <v>1518</v>
      </c>
      <c r="B299" s="463" t="s">
        <v>1354</v>
      </c>
      <c r="C299" s="463" t="s">
        <v>1519</v>
      </c>
      <c r="D299" s="550">
        <f>SUMIFS('Revised RAO'!Q:Q,'Revised RAO'!E:E,'Transactions for Import (2)'!A299)</f>
        <v>2500</v>
      </c>
      <c r="E299" s="550"/>
      <c r="F299">
        <f t="shared" si="4"/>
        <v>1</v>
      </c>
    </row>
    <row r="300" spans="1:6" ht="27.6" hidden="1">
      <c r="A300" s="436" t="s">
        <v>1520</v>
      </c>
      <c r="B300" s="463" t="s">
        <v>1433</v>
      </c>
      <c r="C300" s="463" t="s">
        <v>1521</v>
      </c>
      <c r="D300" s="550">
        <f>SUMIFS('Revised RAO'!Q:Q,'Revised RAO'!E:E,'Transactions for Import (2)'!A300)</f>
        <v>640</v>
      </c>
      <c r="E300" s="550"/>
      <c r="F300">
        <f t="shared" si="4"/>
        <v>1</v>
      </c>
    </row>
    <row r="301" spans="1:6" ht="27.6" hidden="1">
      <c r="A301" s="436" t="s">
        <v>1522</v>
      </c>
      <c r="B301" s="463" t="s">
        <v>1523</v>
      </c>
      <c r="C301" s="463" t="s">
        <v>1524</v>
      </c>
      <c r="D301" s="550">
        <f>SUMIFS('Revised RAO'!Q:Q,'Revised RAO'!E:E,'Transactions for Import (2)'!A301)</f>
        <v>33180</v>
      </c>
      <c r="E301" s="550"/>
      <c r="F301">
        <f t="shared" si="4"/>
        <v>1</v>
      </c>
    </row>
    <row r="302" spans="1:6" ht="27.6" hidden="1">
      <c r="A302" s="436" t="s">
        <v>1525</v>
      </c>
      <c r="B302" s="463" t="s">
        <v>773</v>
      </c>
      <c r="C302" s="463" t="s">
        <v>1526</v>
      </c>
      <c r="D302" s="550">
        <f>SUMIFS('Revised RAO'!Q:Q,'Revised RAO'!E:E,'Transactions for Import (2)'!A302)</f>
        <v>4355.8500000000004</v>
      </c>
      <c r="E302" s="550"/>
      <c r="F302">
        <f t="shared" si="4"/>
        <v>1</v>
      </c>
    </row>
    <row r="303" spans="1:6" ht="27.6" hidden="1">
      <c r="A303" s="436" t="s">
        <v>1527</v>
      </c>
      <c r="B303" s="460" t="s">
        <v>818</v>
      </c>
      <c r="C303" s="460" t="s">
        <v>1532</v>
      </c>
      <c r="D303" s="550">
        <f>SUMIFS('Revised RAO'!Q:Q,'Revised RAO'!E:E,'Transactions for Import (2)'!A303)</f>
        <v>792144.86</v>
      </c>
      <c r="E303" s="550"/>
      <c r="F303">
        <f t="shared" si="4"/>
        <v>1</v>
      </c>
    </row>
    <row r="304" spans="1:6" ht="27.6" hidden="1">
      <c r="A304" s="436" t="s">
        <v>1528</v>
      </c>
      <c r="B304" s="460" t="s">
        <v>820</v>
      </c>
      <c r="C304" s="460" t="s">
        <v>1532</v>
      </c>
      <c r="D304" s="550">
        <f>SUMIFS('Revised RAO'!Q:Q,'Revised RAO'!E:E,'Transactions for Import (2)'!A304)</f>
        <v>361782.69999999995</v>
      </c>
      <c r="E304" s="550"/>
      <c r="F304">
        <f t="shared" si="4"/>
        <v>1</v>
      </c>
    </row>
    <row r="305" spans="1:6" ht="27.6" hidden="1">
      <c r="A305" s="436" t="s">
        <v>1529</v>
      </c>
      <c r="B305" s="460" t="s">
        <v>821</v>
      </c>
      <c r="C305" s="460" t="s">
        <v>1532</v>
      </c>
      <c r="D305" s="550">
        <f>SUMIFS('Revised RAO'!Q:Q,'Revised RAO'!E:E,'Transactions for Import (2)'!A305)</f>
        <v>505666.32</v>
      </c>
      <c r="E305" s="550"/>
      <c r="F305">
        <f t="shared" si="4"/>
        <v>1</v>
      </c>
    </row>
    <row r="306" spans="1:6" ht="27.6" hidden="1">
      <c r="A306" s="436" t="s">
        <v>1530</v>
      </c>
      <c r="B306" s="460" t="s">
        <v>822</v>
      </c>
      <c r="C306" s="460" t="s">
        <v>1532</v>
      </c>
      <c r="D306" s="550">
        <f>SUMIFS('Revised RAO'!Q:Q,'Revised RAO'!E:E,'Transactions for Import (2)'!A306)</f>
        <v>532388.56000000006</v>
      </c>
      <c r="E306" s="550"/>
      <c r="F306">
        <f t="shared" si="4"/>
        <v>1</v>
      </c>
    </row>
    <row r="307" spans="1:6" ht="27.6" hidden="1">
      <c r="A307" s="436" t="s">
        <v>1531</v>
      </c>
      <c r="B307" s="460" t="s">
        <v>823</v>
      </c>
      <c r="C307" s="460" t="s">
        <v>1532</v>
      </c>
      <c r="D307" s="550">
        <f>SUMIFS('Revised RAO'!Q:Q,'Revised RAO'!E:E,'Transactions for Import (2)'!A307)</f>
        <v>345963.3</v>
      </c>
      <c r="E307" s="550"/>
      <c r="F307">
        <f t="shared" si="4"/>
        <v>1</v>
      </c>
    </row>
    <row r="308" spans="1:6" ht="27.6" hidden="1">
      <c r="A308" s="436" t="s">
        <v>1534</v>
      </c>
      <c r="B308" s="439" t="s">
        <v>821</v>
      </c>
      <c r="C308" s="439" t="s">
        <v>1535</v>
      </c>
      <c r="D308" s="550">
        <f>SUMIFS('Revised RAO'!Q:Q,'Revised RAO'!E:E,'Transactions for Import (2)'!A308)</f>
        <v>900000</v>
      </c>
      <c r="E308" s="550"/>
      <c r="F308">
        <f t="shared" si="4"/>
        <v>1</v>
      </c>
    </row>
    <row r="309" spans="1:6" ht="27.6" hidden="1">
      <c r="A309" s="436" t="s">
        <v>1536</v>
      </c>
      <c r="B309" s="463" t="s">
        <v>818</v>
      </c>
      <c r="C309" s="463" t="s">
        <v>1538</v>
      </c>
      <c r="D309" s="550">
        <f>SUMIFS('Revised RAO'!Q:Q,'Revised RAO'!E:E,'Transactions for Import (2)'!A309)</f>
        <v>345500</v>
      </c>
      <c r="E309" s="550"/>
      <c r="F309">
        <f t="shared" si="4"/>
        <v>1</v>
      </c>
    </row>
    <row r="310" spans="1:6" ht="27.6" hidden="1">
      <c r="A310" s="436" t="s">
        <v>1541</v>
      </c>
      <c r="B310" s="463" t="s">
        <v>1539</v>
      </c>
      <c r="C310" s="463" t="s">
        <v>1543</v>
      </c>
      <c r="D310" s="550">
        <f>SUMIFS('Revised RAO'!Q:Q,'Revised RAO'!E:E,'Transactions for Import (2)'!A310)</f>
        <v>466200</v>
      </c>
      <c r="E310" s="550"/>
      <c r="F310">
        <f t="shared" si="4"/>
        <v>1</v>
      </c>
    </row>
    <row r="311" spans="1:6" ht="27.6" hidden="1">
      <c r="A311" s="436" t="s">
        <v>1542</v>
      </c>
      <c r="B311" s="463" t="s">
        <v>1540</v>
      </c>
      <c r="C311" s="463" t="s">
        <v>1543</v>
      </c>
      <c r="D311" s="550">
        <f>SUMIFS('Revised RAO'!Q:Q,'Revised RAO'!E:E,'Transactions for Import (2)'!A311)</f>
        <v>205000</v>
      </c>
      <c r="E311" s="550"/>
      <c r="F311">
        <f t="shared" si="4"/>
        <v>1</v>
      </c>
    </row>
    <row r="312" spans="1:6" ht="27.6" hidden="1">
      <c r="A312" s="436" t="s">
        <v>1544</v>
      </c>
      <c r="B312" s="463" t="s">
        <v>818</v>
      </c>
      <c r="C312" s="463" t="s">
        <v>1545</v>
      </c>
      <c r="D312" s="550">
        <f>SUMIFS('Revised RAO'!Q:Q,'Revised RAO'!E:E,'Transactions for Import (2)'!A312)</f>
        <v>455476.19</v>
      </c>
      <c r="E312" s="550"/>
      <c r="F312">
        <f t="shared" si="4"/>
        <v>1</v>
      </c>
    </row>
    <row r="313" spans="1:6" ht="27.6" hidden="1">
      <c r="A313" s="436" t="s">
        <v>1546</v>
      </c>
      <c r="B313" s="463" t="s">
        <v>820</v>
      </c>
      <c r="C313" s="463" t="s">
        <v>1545</v>
      </c>
      <c r="D313" s="550">
        <f>SUMIFS('Revised RAO'!Q:Q,'Revised RAO'!E:E,'Transactions for Import (2)'!A313)</f>
        <v>284121.43</v>
      </c>
      <c r="E313" s="550"/>
      <c r="F313">
        <f t="shared" si="4"/>
        <v>1</v>
      </c>
    </row>
    <row r="314" spans="1:6" ht="27.6" hidden="1">
      <c r="A314" s="436" t="s">
        <v>1547</v>
      </c>
      <c r="B314" s="463" t="s">
        <v>1539</v>
      </c>
      <c r="C314" s="463" t="s">
        <v>1545</v>
      </c>
      <c r="D314" s="550">
        <f>SUMIFS('Revised RAO'!Q:Q,'Revised RAO'!E:E,'Transactions for Import (2)'!A314)</f>
        <v>241007.14</v>
      </c>
      <c r="E314" s="550"/>
      <c r="F314">
        <f t="shared" si="4"/>
        <v>1</v>
      </c>
    </row>
    <row r="315" spans="1:6" ht="27.6" hidden="1">
      <c r="A315" s="436" t="s">
        <v>1548</v>
      </c>
      <c r="B315" s="463" t="s">
        <v>1540</v>
      </c>
      <c r="C315" s="463" t="s">
        <v>1545</v>
      </c>
      <c r="D315" s="550">
        <f>SUMIFS('Revised RAO'!Q:Q,'Revised RAO'!E:E,'Transactions for Import (2)'!A315)</f>
        <v>321342.84999999998</v>
      </c>
      <c r="E315" s="550"/>
      <c r="F315">
        <f t="shared" si="4"/>
        <v>1</v>
      </c>
    </row>
    <row r="316" spans="1:6" ht="27.6" hidden="1">
      <c r="A316" s="436" t="s">
        <v>1549</v>
      </c>
      <c r="B316" s="463" t="s">
        <v>1075</v>
      </c>
      <c r="C316" s="463" t="s">
        <v>1551</v>
      </c>
      <c r="D316" s="550">
        <f>SUMIFS('Revised RAO'!Q:Q,'Revised RAO'!E:E,'Transactions for Import (2)'!A316)</f>
        <v>14120</v>
      </c>
      <c r="E316" s="550"/>
      <c r="F316">
        <f t="shared" si="4"/>
        <v>1</v>
      </c>
    </row>
    <row r="317" spans="1:6" ht="27.6" hidden="1">
      <c r="A317" s="436" t="s">
        <v>1550</v>
      </c>
      <c r="B317" s="463" t="s">
        <v>1075</v>
      </c>
      <c r="C317" s="463" t="s">
        <v>1551</v>
      </c>
      <c r="D317" s="550">
        <f>SUMIFS('Revised RAO'!Q:Q,'Revised RAO'!E:E,'Transactions for Import (2)'!A317)</f>
        <v>43786.5</v>
      </c>
      <c r="E317" s="550"/>
      <c r="F317">
        <f t="shared" si="4"/>
        <v>1</v>
      </c>
    </row>
    <row r="318" spans="1:6" hidden="1">
      <c r="A318" s="436" t="s">
        <v>1552</v>
      </c>
      <c r="B318" s="463" t="s">
        <v>1102</v>
      </c>
      <c r="C318" s="463" t="s">
        <v>1553</v>
      </c>
      <c r="D318" s="550">
        <f>SUMIFS('Revised RAO'!Q:Q,'Revised RAO'!E:E,'Transactions for Import (2)'!A318)</f>
        <v>1200</v>
      </c>
      <c r="E318" s="550"/>
      <c r="F318">
        <f t="shared" si="4"/>
        <v>1</v>
      </c>
    </row>
    <row r="319" spans="1:6" ht="27.6" hidden="1">
      <c r="A319" s="436" t="s">
        <v>1554</v>
      </c>
      <c r="B319" s="463" t="s">
        <v>818</v>
      </c>
      <c r="C319" s="463" t="s">
        <v>1556</v>
      </c>
      <c r="D319" s="550">
        <f>SUMIFS('Revised RAO'!Q:Q,'Revised RAO'!E:E,'Transactions for Import (2)'!A319)</f>
        <v>550000</v>
      </c>
      <c r="E319" s="550"/>
      <c r="F319">
        <f t="shared" si="4"/>
        <v>1</v>
      </c>
    </row>
    <row r="320" spans="1:6" ht="27.6" hidden="1">
      <c r="A320" s="436" t="s">
        <v>1557</v>
      </c>
      <c r="B320" s="463" t="s">
        <v>820</v>
      </c>
      <c r="C320" s="463" t="s">
        <v>1556</v>
      </c>
      <c r="D320" s="550">
        <f>SUMIFS('Revised RAO'!Q:Q,'Revised RAO'!E:E,'Transactions for Import (2)'!A320)</f>
        <v>550000</v>
      </c>
      <c r="E320" s="550"/>
      <c r="F320">
        <f t="shared" si="4"/>
        <v>1</v>
      </c>
    </row>
    <row r="321" spans="1:6" ht="27.6" hidden="1">
      <c r="A321" s="436" t="s">
        <v>1558</v>
      </c>
      <c r="B321" s="463" t="s">
        <v>1539</v>
      </c>
      <c r="C321" s="463" t="s">
        <v>1556</v>
      </c>
      <c r="D321" s="550">
        <f>SUMIFS('Revised RAO'!Q:Q,'Revised RAO'!E:E,'Transactions for Import (2)'!A321)</f>
        <v>600000</v>
      </c>
      <c r="E321" s="550"/>
      <c r="F321">
        <f t="shared" si="4"/>
        <v>1</v>
      </c>
    </row>
    <row r="322" spans="1:6" ht="27.6" hidden="1">
      <c r="A322" s="436" t="s">
        <v>1559</v>
      </c>
      <c r="B322" s="463" t="s">
        <v>822</v>
      </c>
      <c r="C322" s="463" t="s">
        <v>1556</v>
      </c>
      <c r="D322" s="550">
        <f>SUMIFS('Revised RAO'!Q:Q,'Revised RAO'!E:E,'Transactions for Import (2)'!A322)</f>
        <v>550000</v>
      </c>
      <c r="E322" s="550"/>
      <c r="F322">
        <f t="shared" si="4"/>
        <v>1</v>
      </c>
    </row>
    <row r="323" spans="1:6" ht="27.6" hidden="1">
      <c r="A323" s="436" t="s">
        <v>1560</v>
      </c>
      <c r="B323" s="463" t="s">
        <v>1540</v>
      </c>
      <c r="C323" s="463" t="s">
        <v>1556</v>
      </c>
      <c r="D323" s="550">
        <f>SUMIFS('Revised RAO'!Q:Q,'Revised RAO'!E:E,'Transactions for Import (2)'!A323)</f>
        <v>550000</v>
      </c>
      <c r="E323" s="550"/>
      <c r="F323">
        <f t="shared" ref="F323:F357" si="5">COUNTIFS($A$3:$A$357,A323)</f>
        <v>1</v>
      </c>
    </row>
    <row r="324" spans="1:6" ht="55.2" hidden="1">
      <c r="A324" s="436" t="s">
        <v>1561</v>
      </c>
      <c r="B324" s="463" t="s">
        <v>1562</v>
      </c>
      <c r="C324" s="463" t="s">
        <v>1563</v>
      </c>
      <c r="D324" s="550">
        <f>SUMIFS('Revised RAO'!Q:Q,'Revised RAO'!E:E,'Transactions for Import (2)'!A324)</f>
        <v>20000</v>
      </c>
      <c r="E324" s="550"/>
      <c r="F324">
        <f t="shared" si="5"/>
        <v>1</v>
      </c>
    </row>
    <row r="325" spans="1:6" ht="41.4" hidden="1">
      <c r="A325" s="404" t="s">
        <v>1564</v>
      </c>
      <c r="B325" s="409" t="s">
        <v>1565</v>
      </c>
      <c r="C325" s="409" t="s">
        <v>1566</v>
      </c>
      <c r="D325" s="550">
        <f>SUMIFS('Revised RAO'!Q:Q,'Revised RAO'!E:E,'Transactions for Import (2)'!A325)</f>
        <v>0</v>
      </c>
      <c r="E325" s="550"/>
      <c r="F325">
        <f t="shared" si="5"/>
        <v>1</v>
      </c>
    </row>
    <row r="326" spans="1:6" hidden="1">
      <c r="A326" s="436" t="s">
        <v>1567</v>
      </c>
      <c r="B326" s="463" t="s">
        <v>1315</v>
      </c>
      <c r="C326" s="463" t="s">
        <v>1568</v>
      </c>
      <c r="D326" s="550">
        <f>SUMIFS('Revised RAO'!Q:Q,'Revised RAO'!E:E,'Transactions for Import (2)'!A326)</f>
        <v>101505.45</v>
      </c>
      <c r="E326" s="550"/>
      <c r="F326">
        <f t="shared" si="5"/>
        <v>1</v>
      </c>
    </row>
    <row r="327" spans="1:6" hidden="1">
      <c r="A327" s="436" t="s">
        <v>1569</v>
      </c>
      <c r="B327" s="463" t="s">
        <v>1075</v>
      </c>
      <c r="C327" s="463" t="s">
        <v>1570</v>
      </c>
      <c r="D327" s="550">
        <f>SUMIFS('Revised RAO'!Q:Q,'Revised RAO'!E:E,'Transactions for Import (2)'!A327)</f>
        <v>13034</v>
      </c>
      <c r="E327" s="550"/>
      <c r="F327">
        <f t="shared" si="5"/>
        <v>1</v>
      </c>
    </row>
    <row r="328" spans="1:6" hidden="1">
      <c r="A328" s="436" t="s">
        <v>1571</v>
      </c>
      <c r="B328" s="463" t="s">
        <v>1572</v>
      </c>
      <c r="C328" s="463" t="s">
        <v>1573</v>
      </c>
      <c r="D328" s="550">
        <f>SUMIFS('Revised RAO'!Q:Q,'Revised RAO'!E:E,'Transactions for Import (2)'!A328)</f>
        <v>6850</v>
      </c>
      <c r="E328" s="550"/>
      <c r="F328">
        <f t="shared" si="5"/>
        <v>1</v>
      </c>
    </row>
    <row r="329" spans="1:6" ht="27.6" hidden="1">
      <c r="A329" s="436" t="s">
        <v>1574</v>
      </c>
      <c r="B329" s="463" t="s">
        <v>1102</v>
      </c>
      <c r="C329" s="463" t="s">
        <v>1575</v>
      </c>
      <c r="D329" s="550">
        <f>SUMIFS('Revised RAO'!Q:Q,'Revised RAO'!E:E,'Transactions for Import (2)'!A329)</f>
        <v>2500</v>
      </c>
      <c r="E329" s="550"/>
      <c r="F329">
        <f t="shared" si="5"/>
        <v>1</v>
      </c>
    </row>
    <row r="330" spans="1:6" ht="27.6" hidden="1">
      <c r="A330" s="436" t="s">
        <v>1576</v>
      </c>
      <c r="B330" s="463" t="s">
        <v>1577</v>
      </c>
      <c r="C330" s="463" t="s">
        <v>1578</v>
      </c>
      <c r="D330" s="550">
        <f>SUMIFS('Revised RAO'!Q:Q,'Revised RAO'!E:E,'Transactions for Import (2)'!A330)</f>
        <v>2511.36</v>
      </c>
      <c r="E330" s="550"/>
      <c r="F330">
        <f t="shared" si="5"/>
        <v>1</v>
      </c>
    </row>
    <row r="331" spans="1:6" hidden="1">
      <c r="A331" s="436" t="s">
        <v>1579</v>
      </c>
      <c r="B331" s="463" t="s">
        <v>1235</v>
      </c>
      <c r="C331" s="463" t="s">
        <v>1570</v>
      </c>
      <c r="D331" s="550">
        <f>SUMIFS('Revised RAO'!Q:Q,'Revised RAO'!E:E,'Transactions for Import (2)'!A331)</f>
        <v>10000</v>
      </c>
      <c r="E331" s="550"/>
      <c r="F331">
        <f t="shared" si="5"/>
        <v>1</v>
      </c>
    </row>
    <row r="332" spans="1:6" ht="27.6" hidden="1">
      <c r="A332" s="436" t="s">
        <v>1580</v>
      </c>
      <c r="B332" s="463" t="s">
        <v>779</v>
      </c>
      <c r="C332" s="463" t="s">
        <v>1581</v>
      </c>
      <c r="D332" s="550">
        <f>SUMIFS('Revised RAO'!Q:Q,'Revised RAO'!E:E,'Transactions for Import (2)'!A332)</f>
        <v>170501.47</v>
      </c>
      <c r="E332" s="550"/>
      <c r="F332">
        <f t="shared" si="5"/>
        <v>1</v>
      </c>
    </row>
    <row r="333" spans="1:6" ht="27.6" hidden="1">
      <c r="A333" s="436" t="s">
        <v>1582</v>
      </c>
      <c r="B333" s="463" t="s">
        <v>839</v>
      </c>
      <c r="C333" s="463" t="s">
        <v>1583</v>
      </c>
      <c r="D333" s="550">
        <f>SUMIFS('Revised RAO'!Q:Q,'Revised RAO'!E:E,'Transactions for Import (2)'!A333)</f>
        <v>7712.46</v>
      </c>
      <c r="E333" s="550"/>
      <c r="F333">
        <f t="shared" si="5"/>
        <v>1</v>
      </c>
    </row>
    <row r="334" spans="1:6" ht="27.6" hidden="1">
      <c r="A334" s="436" t="s">
        <v>1584</v>
      </c>
      <c r="B334" s="463" t="s">
        <v>1315</v>
      </c>
      <c r="C334" s="463" t="s">
        <v>1585</v>
      </c>
      <c r="D334" s="550">
        <f>SUMIFS('Revised RAO'!Q:Q,'Revised RAO'!E:E,'Transactions for Import (2)'!A334)</f>
        <v>9559.2900000000009</v>
      </c>
      <c r="E334" s="550"/>
      <c r="F334">
        <f t="shared" si="5"/>
        <v>1</v>
      </c>
    </row>
    <row r="335" spans="1:6" hidden="1">
      <c r="A335" s="436" t="s">
        <v>1586</v>
      </c>
      <c r="B335" s="463" t="s">
        <v>818</v>
      </c>
      <c r="C335" s="463" t="s">
        <v>1587</v>
      </c>
      <c r="D335" s="550">
        <f>SUMIFS('Revised RAO'!Q:Q,'Revised RAO'!E:E,'Transactions for Import (2)'!A335)</f>
        <v>51050</v>
      </c>
      <c r="E335" s="550"/>
      <c r="F335">
        <f t="shared" si="5"/>
        <v>1</v>
      </c>
    </row>
    <row r="336" spans="1:6" hidden="1">
      <c r="A336" s="436" t="s">
        <v>1588</v>
      </c>
      <c r="B336" s="463" t="s">
        <v>820</v>
      </c>
      <c r="C336" s="463" t="s">
        <v>1587</v>
      </c>
      <c r="D336" s="550">
        <f>SUMIFS('Revised RAO'!Q:Q,'Revised RAO'!E:E,'Transactions for Import (2)'!A336)</f>
        <v>100000</v>
      </c>
      <c r="E336" s="550"/>
      <c r="F336">
        <f t="shared" si="5"/>
        <v>1</v>
      </c>
    </row>
    <row r="337" spans="1:6" hidden="1">
      <c r="A337" s="436" t="s">
        <v>1589</v>
      </c>
      <c r="B337" s="463" t="s">
        <v>1539</v>
      </c>
      <c r="C337" s="463" t="s">
        <v>1587</v>
      </c>
      <c r="D337" s="550">
        <f>SUMIFS('Revised RAO'!Q:Q,'Revised RAO'!E:E,'Transactions for Import (2)'!A337)</f>
        <v>99030</v>
      </c>
      <c r="E337" s="550"/>
      <c r="F337">
        <f t="shared" si="5"/>
        <v>1</v>
      </c>
    </row>
    <row r="338" spans="1:6" hidden="1">
      <c r="A338" s="436" t="s">
        <v>1591</v>
      </c>
      <c r="B338" s="463" t="s">
        <v>1540</v>
      </c>
      <c r="C338" s="463" t="s">
        <v>1590</v>
      </c>
      <c r="D338" s="550">
        <f>SUMIFS('Revised RAO'!Q:Q,'Revised RAO'!E:E,'Transactions for Import (2)'!A338)</f>
        <v>10250</v>
      </c>
      <c r="E338" s="550"/>
      <c r="F338">
        <f t="shared" si="5"/>
        <v>1</v>
      </c>
    </row>
    <row r="339" spans="1:6" ht="41.4">
      <c r="A339" s="436" t="s">
        <v>1592</v>
      </c>
      <c r="B339" s="463" t="s">
        <v>1030</v>
      </c>
      <c r="C339" s="463" t="s">
        <v>1593</v>
      </c>
      <c r="D339" s="550">
        <f>SUMIFS('Revised RAO'!Q:Q,'Revised RAO'!E:E,'Transactions for Import (2)'!A339)</f>
        <v>11455.25</v>
      </c>
      <c r="E339" s="550"/>
      <c r="F339">
        <f t="shared" si="5"/>
        <v>1</v>
      </c>
    </row>
    <row r="340" spans="1:6" ht="41.4" hidden="1">
      <c r="A340" s="436" t="s">
        <v>1594</v>
      </c>
      <c r="B340" s="463" t="s">
        <v>1342</v>
      </c>
      <c r="C340" s="463" t="s">
        <v>1595</v>
      </c>
      <c r="D340" s="550">
        <f>SUMIFS('Revised RAO'!Q:Q,'Revised RAO'!E:E,'Transactions for Import (2)'!A340)</f>
        <v>8164.75</v>
      </c>
      <c r="E340" s="550"/>
      <c r="F340">
        <f t="shared" si="5"/>
        <v>1</v>
      </c>
    </row>
    <row r="341" spans="1:6" ht="27.6" hidden="1">
      <c r="A341" s="436" t="s">
        <v>1596</v>
      </c>
      <c r="B341" s="463" t="s">
        <v>1075</v>
      </c>
      <c r="C341" s="463" t="s">
        <v>1597</v>
      </c>
      <c r="D341" s="550">
        <f>SUMIFS('Revised RAO'!Q:Q,'Revised RAO'!E:E,'Transactions for Import (2)'!A341)</f>
        <v>22316</v>
      </c>
      <c r="E341" s="550"/>
      <c r="F341">
        <f t="shared" si="5"/>
        <v>1</v>
      </c>
    </row>
    <row r="342" spans="1:6" ht="27.6" hidden="1">
      <c r="A342" s="436" t="s">
        <v>1598</v>
      </c>
      <c r="B342" s="439" t="s">
        <v>823</v>
      </c>
      <c r="C342" s="439" t="s">
        <v>1600</v>
      </c>
      <c r="D342" s="550">
        <f>SUMIFS('Revised RAO'!Q:Q,'Revised RAO'!E:E,'Transactions for Import (2)'!A342)</f>
        <v>256101</v>
      </c>
      <c r="E342" s="550"/>
      <c r="F342">
        <f t="shared" si="5"/>
        <v>1</v>
      </c>
    </row>
    <row r="343" spans="1:6" ht="27.6" hidden="1">
      <c r="A343" s="436" t="s">
        <v>1599</v>
      </c>
      <c r="B343" s="439" t="s">
        <v>821</v>
      </c>
      <c r="C343" s="439" t="s">
        <v>1600</v>
      </c>
      <c r="D343" s="550">
        <f>SUMIFS('Revised RAO'!Q:Q,'Revised RAO'!E:E,'Transactions for Import (2)'!A343)</f>
        <v>184464</v>
      </c>
      <c r="E343" s="550"/>
      <c r="F343">
        <f t="shared" si="5"/>
        <v>1</v>
      </c>
    </row>
    <row r="344" spans="1:6" ht="27.6" hidden="1">
      <c r="A344" s="436" t="s">
        <v>1601</v>
      </c>
      <c r="B344" s="463" t="s">
        <v>820</v>
      </c>
      <c r="C344" s="439" t="s">
        <v>1602</v>
      </c>
      <c r="D344" s="550">
        <f>SUMIFS('Revised RAO'!Q:Q,'Revised RAO'!E:E,'Transactions for Import (2)'!A344)</f>
        <v>1464950</v>
      </c>
      <c r="E344" s="550"/>
      <c r="F344">
        <f t="shared" si="5"/>
        <v>1</v>
      </c>
    </row>
    <row r="345" spans="1:6" ht="27.6" hidden="1">
      <c r="A345" s="436" t="s">
        <v>1603</v>
      </c>
      <c r="B345" s="463" t="s">
        <v>1539</v>
      </c>
      <c r="C345" s="463" t="s">
        <v>1602</v>
      </c>
      <c r="D345" s="550">
        <f>SUMIFS('Revised RAO'!Q:Q,'Revised RAO'!E:E,'Transactions for Import (2)'!A345)</f>
        <v>1266031.21</v>
      </c>
      <c r="E345" s="550"/>
      <c r="F345">
        <f t="shared" si="5"/>
        <v>1</v>
      </c>
    </row>
    <row r="346" spans="1:6" hidden="1">
      <c r="A346" s="436" t="s">
        <v>1604</v>
      </c>
      <c r="B346" s="463" t="s">
        <v>818</v>
      </c>
      <c r="C346" s="463" t="s">
        <v>1605</v>
      </c>
      <c r="D346" s="550">
        <f>SUMIFS('Revised RAO'!Q:Q,'Revised RAO'!E:E,'Transactions for Import (2)'!A346)</f>
        <v>348243.76</v>
      </c>
      <c r="E346" s="550"/>
      <c r="F346">
        <f t="shared" si="5"/>
        <v>1</v>
      </c>
    </row>
    <row r="347" spans="1:6" hidden="1">
      <c r="A347" s="436" t="s">
        <v>1606</v>
      </c>
      <c r="B347" s="463" t="s">
        <v>1539</v>
      </c>
      <c r="C347" s="463" t="s">
        <v>1605</v>
      </c>
      <c r="D347" s="550">
        <f>SUMIFS('Revised RAO'!Q:Q,'Revised RAO'!E:E,'Transactions for Import (2)'!A347)</f>
        <v>333817.76</v>
      </c>
      <c r="E347" s="550"/>
      <c r="F347">
        <f t="shared" si="5"/>
        <v>1</v>
      </c>
    </row>
    <row r="348" spans="1:6" hidden="1">
      <c r="A348" s="436" t="s">
        <v>1607</v>
      </c>
      <c r="B348" s="463" t="s">
        <v>1540</v>
      </c>
      <c r="C348" s="463" t="s">
        <v>1605</v>
      </c>
      <c r="D348" s="550">
        <f>SUMIFS('Revised RAO'!Q:Q,'Revised RAO'!E:E,'Transactions for Import (2)'!A348)</f>
        <v>348243.76</v>
      </c>
      <c r="E348" s="550"/>
      <c r="F348">
        <f t="shared" si="5"/>
        <v>1</v>
      </c>
    </row>
    <row r="349" spans="1:6" ht="27.6" hidden="1">
      <c r="A349" s="436" t="s">
        <v>1608</v>
      </c>
      <c r="B349" s="463" t="s">
        <v>822</v>
      </c>
      <c r="C349" s="463" t="s">
        <v>1602</v>
      </c>
      <c r="D349" s="550">
        <f>SUMIFS('Revised RAO'!Q:Q,'Revised RAO'!E:E,'Transactions for Import (2)'!A349)</f>
        <v>760350</v>
      </c>
      <c r="E349" s="550"/>
      <c r="F349">
        <f t="shared" si="5"/>
        <v>1</v>
      </c>
    </row>
    <row r="350" spans="1:6" ht="27.6" hidden="1">
      <c r="A350" s="436" t="s">
        <v>1609</v>
      </c>
      <c r="B350" s="463" t="s">
        <v>818</v>
      </c>
      <c r="C350" s="463" t="s">
        <v>1610</v>
      </c>
      <c r="D350" s="550">
        <f>SUMIFS('Revised RAO'!Q:Q,'Revised RAO'!E:E,'Transactions for Import (2)'!A350)</f>
        <v>194400</v>
      </c>
      <c r="E350" s="550"/>
      <c r="F350">
        <f t="shared" si="5"/>
        <v>1</v>
      </c>
    </row>
    <row r="351" spans="1:6" ht="27.6" hidden="1">
      <c r="A351" s="436" t="s">
        <v>1611</v>
      </c>
      <c r="B351" s="463" t="s">
        <v>1539</v>
      </c>
      <c r="C351" s="463" t="s">
        <v>1610</v>
      </c>
      <c r="D351" s="550">
        <f>SUMIFS('Revised RAO'!Q:Q,'Revised RAO'!E:E,'Transactions for Import (2)'!A351)</f>
        <v>194400</v>
      </c>
      <c r="E351" s="550"/>
      <c r="F351">
        <f t="shared" si="5"/>
        <v>1</v>
      </c>
    </row>
    <row r="352" spans="1:6" ht="27.6" hidden="1">
      <c r="A352" s="436" t="s">
        <v>1612</v>
      </c>
      <c r="B352" s="463" t="s">
        <v>1540</v>
      </c>
      <c r="C352" s="463" t="s">
        <v>1610</v>
      </c>
      <c r="D352" s="550">
        <f>SUMIFS('Revised RAO'!Q:Q,'Revised RAO'!E:E,'Transactions for Import (2)'!A352)</f>
        <v>194400</v>
      </c>
      <c r="E352" s="550"/>
      <c r="F352">
        <f t="shared" si="5"/>
        <v>1</v>
      </c>
    </row>
    <row r="353" spans="1:6" ht="27.6" hidden="1">
      <c r="A353" s="352" t="s">
        <v>1614</v>
      </c>
      <c r="B353" s="463" t="s">
        <v>822</v>
      </c>
      <c r="C353" s="463" t="s">
        <v>1615</v>
      </c>
      <c r="D353" s="550">
        <f>SUMIFS('Revised RAO'!Q:Q,'Revised RAO'!E:E,'Transactions for Import (2)'!A353)</f>
        <v>640000</v>
      </c>
      <c r="E353" s="550"/>
      <c r="F353">
        <f t="shared" si="5"/>
        <v>1</v>
      </c>
    </row>
    <row r="354" spans="1:6" hidden="1">
      <c r="A354" s="352" t="s">
        <v>1616</v>
      </c>
      <c r="B354" s="463" t="s">
        <v>822</v>
      </c>
      <c r="C354" s="463" t="s">
        <v>1145</v>
      </c>
      <c r="D354" s="550">
        <f>SUMIFS('Revised RAO'!Q:Q,'Revised RAO'!E:E,'Transactions for Import (2)'!A354)</f>
        <v>287809.53000000003</v>
      </c>
      <c r="E354" s="550"/>
      <c r="F354">
        <f t="shared" si="5"/>
        <v>1</v>
      </c>
    </row>
    <row r="355" spans="1:6" ht="41.4" hidden="1">
      <c r="A355" s="352" t="s">
        <v>1618</v>
      </c>
      <c r="B355" s="463" t="s">
        <v>1102</v>
      </c>
      <c r="C355" s="463" t="s">
        <v>1617</v>
      </c>
      <c r="D355" s="550">
        <f>SUMIFS('Revised RAO'!Q:Q,'Revised RAO'!E:E,'Transactions for Import (2)'!A355)</f>
        <v>3500</v>
      </c>
      <c r="E355" s="550"/>
      <c r="F355">
        <f t="shared" si="5"/>
        <v>1</v>
      </c>
    </row>
    <row r="356" spans="1:6" ht="41.4" hidden="1">
      <c r="A356" s="352" t="s">
        <v>1619</v>
      </c>
      <c r="B356" s="463" t="s">
        <v>6</v>
      </c>
      <c r="C356" s="463" t="s">
        <v>1620</v>
      </c>
      <c r="D356" s="550">
        <f>SUMIFS('Revised RAO'!Q:Q,'Revised RAO'!E:E,'Transactions for Import (2)'!A356)</f>
        <v>12000</v>
      </c>
      <c r="E356" s="550"/>
      <c r="F356">
        <f t="shared" si="5"/>
        <v>1</v>
      </c>
    </row>
    <row r="357" spans="1:6" ht="27.6" hidden="1">
      <c r="A357" s="352" t="s">
        <v>1622</v>
      </c>
      <c r="B357" s="463" t="s">
        <v>797</v>
      </c>
      <c r="C357" s="463" t="s">
        <v>1621</v>
      </c>
      <c r="D357" s="550">
        <f>SUMIFS('Revised RAO'!Q:Q,'Revised RAO'!E:E,'Transactions for Import (2)'!A357)</f>
        <v>4800</v>
      </c>
      <c r="E357" s="550"/>
      <c r="F357">
        <f t="shared" si="5"/>
        <v>1</v>
      </c>
    </row>
  </sheetData>
  <autoFilter ref="A2:F357" xr:uid="{00000000-0009-0000-0000-00000F000000}">
    <filterColumn colId="1">
      <filters>
        <filter val="Land Bank of the Philippines"/>
      </filters>
    </filterColumn>
  </autoFilter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6D916-4E3C-480D-864C-09C4D2B63EFC}">
  <dimension ref="A1:J276"/>
  <sheetViews>
    <sheetView workbookViewId="0">
      <selection activeCell="G20" sqref="G20"/>
    </sheetView>
  </sheetViews>
  <sheetFormatPr defaultRowHeight="14.4"/>
  <cols>
    <col min="1" max="1" width="4" bestFit="1" customWidth="1"/>
    <col min="2" max="2" width="5" bestFit="1" customWidth="1"/>
    <col min="3" max="3" width="36.5546875" bestFit="1" customWidth="1"/>
    <col min="4" max="4" width="10.6640625" customWidth="1"/>
    <col min="5" max="5" width="11.33203125" customWidth="1"/>
    <col min="6" max="6" width="11" customWidth="1"/>
    <col min="7" max="7" width="11.5546875" customWidth="1"/>
    <col min="8" max="9" width="11.5546875" style="281" customWidth="1"/>
    <col min="10" max="10" width="9.88671875" customWidth="1"/>
  </cols>
  <sheetData>
    <row r="1" spans="1:10">
      <c r="H1" s="542" t="s">
        <v>1644</v>
      </c>
      <c r="I1" s="542" t="s">
        <v>1645</v>
      </c>
    </row>
    <row r="2" spans="1:10" ht="27.6">
      <c r="A2" s="543" t="s">
        <v>1646</v>
      </c>
      <c r="B2" s="543" t="s">
        <v>1647</v>
      </c>
      <c r="C2" s="543" t="s">
        <v>1648</v>
      </c>
      <c r="D2" s="543" t="s">
        <v>1649</v>
      </c>
      <c r="E2" s="543" t="s">
        <v>1650</v>
      </c>
      <c r="F2" s="543" t="s">
        <v>1651</v>
      </c>
      <c r="G2" s="543" t="s">
        <v>1652</v>
      </c>
      <c r="H2" s="543" t="s">
        <v>1653</v>
      </c>
      <c r="I2" s="544" t="s">
        <v>1654</v>
      </c>
      <c r="J2" s="544"/>
    </row>
    <row r="3" spans="1:10">
      <c r="A3" s="545">
        <v>1</v>
      </c>
      <c r="B3" s="545">
        <v>1999</v>
      </c>
      <c r="C3" s="545" t="s">
        <v>1655</v>
      </c>
      <c r="D3" s="545"/>
      <c r="E3" s="545" t="s">
        <v>1656</v>
      </c>
      <c r="F3" s="545" t="s">
        <v>1656</v>
      </c>
      <c r="G3" s="545" t="s">
        <v>1656</v>
      </c>
      <c r="H3" s="542" t="s">
        <v>1657</v>
      </c>
      <c r="I3" s="542">
        <v>2144</v>
      </c>
      <c r="J3" s="546" t="s">
        <v>94</v>
      </c>
    </row>
    <row r="4" spans="1:10">
      <c r="A4" s="545">
        <v>2</v>
      </c>
      <c r="B4" s="545">
        <v>2000</v>
      </c>
      <c r="C4" s="545" t="s">
        <v>1658</v>
      </c>
      <c r="D4" s="545"/>
      <c r="E4" s="545" t="s">
        <v>1656</v>
      </c>
      <c r="F4" s="545" t="s">
        <v>1656</v>
      </c>
      <c r="G4" s="545" t="s">
        <v>1656</v>
      </c>
      <c r="H4" s="542" t="s">
        <v>1657</v>
      </c>
      <c r="I4" s="542">
        <v>2013</v>
      </c>
      <c r="J4" s="546" t="s">
        <v>97</v>
      </c>
    </row>
    <row r="5" spans="1:10">
      <c r="A5" s="545">
        <v>3</v>
      </c>
      <c r="B5" s="545">
        <v>2001</v>
      </c>
      <c r="C5" s="545" t="s">
        <v>823</v>
      </c>
      <c r="D5" s="545"/>
      <c r="E5" s="545" t="s">
        <v>1656</v>
      </c>
      <c r="F5" s="545" t="s">
        <v>1656</v>
      </c>
      <c r="G5" s="545" t="s">
        <v>1656</v>
      </c>
      <c r="H5" s="542" t="s">
        <v>1644</v>
      </c>
      <c r="I5" s="542" t="s">
        <v>1645</v>
      </c>
      <c r="J5" s="546" t="s">
        <v>95</v>
      </c>
    </row>
    <row r="6" spans="1:10">
      <c r="A6" s="545">
        <v>4</v>
      </c>
      <c r="B6" s="545">
        <v>2002</v>
      </c>
      <c r="C6" s="545" t="s">
        <v>1245</v>
      </c>
      <c r="D6" s="545"/>
      <c r="E6" s="545" t="s">
        <v>1656</v>
      </c>
      <c r="F6" s="545" t="s">
        <v>1656</v>
      </c>
      <c r="G6" s="545" t="s">
        <v>1656</v>
      </c>
      <c r="H6" s="542" t="s">
        <v>1644</v>
      </c>
      <c r="I6" s="542" t="s">
        <v>1645</v>
      </c>
      <c r="J6" s="546"/>
    </row>
    <row r="7" spans="1:10">
      <c r="A7" s="545">
        <v>5</v>
      </c>
      <c r="B7" s="545">
        <v>2003</v>
      </c>
      <c r="C7" s="545" t="s">
        <v>1102</v>
      </c>
      <c r="D7" s="545"/>
      <c r="E7" s="545" t="s">
        <v>1656</v>
      </c>
      <c r="F7" s="545" t="s">
        <v>1656</v>
      </c>
      <c r="G7" s="545" t="s">
        <v>1656</v>
      </c>
      <c r="H7" s="542" t="s">
        <v>1644</v>
      </c>
      <c r="I7" s="542" t="s">
        <v>1645</v>
      </c>
      <c r="J7" s="546"/>
    </row>
    <row r="8" spans="1:10">
      <c r="A8" s="545">
        <v>6</v>
      </c>
      <c r="B8" s="545">
        <v>2004</v>
      </c>
      <c r="C8" s="545" t="s">
        <v>1659</v>
      </c>
      <c r="D8" s="545"/>
      <c r="E8" s="545" t="s">
        <v>1656</v>
      </c>
      <c r="F8" s="545" t="s">
        <v>1656</v>
      </c>
      <c r="G8" s="545" t="s">
        <v>1656</v>
      </c>
      <c r="H8" s="542" t="s">
        <v>1644</v>
      </c>
      <c r="I8" s="542" t="s">
        <v>1645</v>
      </c>
      <c r="J8" s="546"/>
    </row>
    <row r="9" spans="1:10">
      <c r="A9" s="545">
        <v>7</v>
      </c>
      <c r="B9" s="545">
        <v>2005</v>
      </c>
      <c r="C9" s="545" t="s">
        <v>1660</v>
      </c>
      <c r="D9" s="545"/>
      <c r="E9" s="545" t="s">
        <v>1656</v>
      </c>
      <c r="F9" s="545" t="s">
        <v>1656</v>
      </c>
      <c r="G9" s="545" t="s">
        <v>1656</v>
      </c>
      <c r="H9" s="542"/>
      <c r="I9" s="542"/>
      <c r="J9" s="546"/>
    </row>
    <row r="10" spans="1:10">
      <c r="A10" s="545">
        <v>8</v>
      </c>
      <c r="B10" s="545">
        <v>2006</v>
      </c>
      <c r="C10" s="545" t="s">
        <v>1661</v>
      </c>
      <c r="D10" s="545"/>
      <c r="E10" s="545" t="s">
        <v>1656</v>
      </c>
      <c r="F10" s="545" t="s">
        <v>1656</v>
      </c>
      <c r="G10" s="545" t="s">
        <v>1656</v>
      </c>
      <c r="H10" s="542"/>
      <c r="I10" s="542"/>
      <c r="J10" s="546"/>
    </row>
    <row r="11" spans="1:10">
      <c r="A11" s="545">
        <v>9</v>
      </c>
      <c r="B11" s="545">
        <v>2007</v>
      </c>
      <c r="C11" s="545" t="s">
        <v>1662</v>
      </c>
      <c r="D11" s="545"/>
      <c r="E11" s="545" t="s">
        <v>1656</v>
      </c>
      <c r="F11" s="545" t="s">
        <v>1656</v>
      </c>
      <c r="G11" s="545" t="s">
        <v>1656</v>
      </c>
      <c r="H11" s="542"/>
      <c r="I11" s="542"/>
      <c r="J11" s="546"/>
    </row>
    <row r="12" spans="1:10">
      <c r="A12" s="545">
        <v>10</v>
      </c>
      <c r="B12" s="545">
        <v>2008</v>
      </c>
      <c r="C12" s="545" t="s">
        <v>1663</v>
      </c>
      <c r="D12" s="545"/>
      <c r="E12" s="545" t="s">
        <v>1656</v>
      </c>
      <c r="F12" s="545" t="s">
        <v>1656</v>
      </c>
      <c r="G12" s="545" t="s">
        <v>1656</v>
      </c>
      <c r="H12" s="542"/>
      <c r="I12" s="542"/>
      <c r="J12" s="546"/>
    </row>
    <row r="13" spans="1:10">
      <c r="A13" s="545">
        <v>11</v>
      </c>
      <c r="B13" s="545">
        <v>2009</v>
      </c>
      <c r="C13" s="545" t="s">
        <v>1664</v>
      </c>
      <c r="D13" s="545"/>
      <c r="E13" s="545" t="s">
        <v>1656</v>
      </c>
      <c r="F13" s="545" t="s">
        <v>1656</v>
      </c>
      <c r="G13" s="545" t="s">
        <v>1656</v>
      </c>
      <c r="H13" s="542" t="s">
        <v>1657</v>
      </c>
      <c r="I13" s="542">
        <v>2030</v>
      </c>
      <c r="J13" s="546"/>
    </row>
    <row r="14" spans="1:10">
      <c r="A14" s="545">
        <v>12</v>
      </c>
      <c r="B14" s="545">
        <v>2010</v>
      </c>
      <c r="C14" s="545" t="s">
        <v>821</v>
      </c>
      <c r="D14" s="545"/>
      <c r="E14" s="545" t="s">
        <v>1656</v>
      </c>
      <c r="F14" s="545" t="s">
        <v>1656</v>
      </c>
      <c r="G14" s="545" t="s">
        <v>1656</v>
      </c>
      <c r="H14" s="542" t="s">
        <v>1657</v>
      </c>
      <c r="I14" s="542">
        <v>2145</v>
      </c>
      <c r="J14" s="546" t="s">
        <v>96</v>
      </c>
    </row>
    <row r="15" spans="1:10">
      <c r="A15" s="545">
        <v>13</v>
      </c>
      <c r="B15" s="545">
        <v>2011</v>
      </c>
      <c r="C15" s="545" t="s">
        <v>1665</v>
      </c>
      <c r="D15" s="545"/>
      <c r="E15" s="545" t="s">
        <v>1656</v>
      </c>
      <c r="F15" s="545" t="s">
        <v>1656</v>
      </c>
      <c r="G15" s="545" t="s">
        <v>1656</v>
      </c>
      <c r="H15" s="542" t="s">
        <v>1657</v>
      </c>
      <c r="I15" s="542">
        <v>2144</v>
      </c>
      <c r="J15" s="546" t="s">
        <v>94</v>
      </c>
    </row>
    <row r="16" spans="1:10">
      <c r="A16" s="545">
        <v>14</v>
      </c>
      <c r="B16" s="545">
        <v>2012</v>
      </c>
      <c r="C16" s="545" t="s">
        <v>1666</v>
      </c>
      <c r="D16" s="545"/>
      <c r="E16" s="545" t="s">
        <v>1656</v>
      </c>
      <c r="F16" s="545" t="s">
        <v>1656</v>
      </c>
      <c r="G16" s="545" t="s">
        <v>1656</v>
      </c>
      <c r="H16" s="542" t="s">
        <v>1657</v>
      </c>
      <c r="I16" s="542">
        <v>2145</v>
      </c>
      <c r="J16" s="546" t="s">
        <v>96</v>
      </c>
    </row>
    <row r="17" spans="1:10">
      <c r="A17" s="545">
        <v>15</v>
      </c>
      <c r="B17" s="545">
        <v>2013</v>
      </c>
      <c r="C17" s="545" t="s">
        <v>822</v>
      </c>
      <c r="D17" s="545"/>
      <c r="E17" s="545" t="s">
        <v>1656</v>
      </c>
      <c r="F17" s="545" t="s">
        <v>1656</v>
      </c>
      <c r="G17" s="545" t="s">
        <v>1656</v>
      </c>
      <c r="H17" s="542" t="s">
        <v>1644</v>
      </c>
      <c r="I17" s="542" t="s">
        <v>1645</v>
      </c>
      <c r="J17" s="546" t="s">
        <v>97</v>
      </c>
    </row>
    <row r="18" spans="1:10">
      <c r="A18" s="545">
        <v>16</v>
      </c>
      <c r="B18" s="545">
        <v>2014</v>
      </c>
      <c r="C18" s="545" t="s">
        <v>818</v>
      </c>
      <c r="D18" s="545"/>
      <c r="E18" s="545" t="s">
        <v>1656</v>
      </c>
      <c r="F18" s="545" t="s">
        <v>1656</v>
      </c>
      <c r="G18" s="545" t="s">
        <v>1656</v>
      </c>
      <c r="H18" s="542" t="s">
        <v>1644</v>
      </c>
      <c r="I18" s="542" t="s">
        <v>1645</v>
      </c>
      <c r="J18" s="546" t="s">
        <v>93</v>
      </c>
    </row>
    <row r="19" spans="1:10">
      <c r="A19" s="545">
        <v>17</v>
      </c>
      <c r="B19" s="545">
        <v>2015</v>
      </c>
      <c r="C19" s="545" t="s">
        <v>1667</v>
      </c>
      <c r="D19" s="545"/>
      <c r="E19" s="545" t="s">
        <v>1656</v>
      </c>
      <c r="F19" s="545" t="s">
        <v>1656</v>
      </c>
      <c r="G19" s="545" t="s">
        <v>1656</v>
      </c>
      <c r="H19" s="542"/>
      <c r="I19" s="542"/>
      <c r="J19" s="546"/>
    </row>
    <row r="20" spans="1:10">
      <c r="A20" s="545">
        <v>18</v>
      </c>
      <c r="B20" s="545">
        <v>2016</v>
      </c>
      <c r="C20" s="545" t="s">
        <v>1668</v>
      </c>
      <c r="D20" s="545"/>
      <c r="E20" s="545" t="s">
        <v>1656</v>
      </c>
      <c r="F20" s="545" t="s">
        <v>1656</v>
      </c>
      <c r="G20" s="545" t="s">
        <v>1656</v>
      </c>
      <c r="H20" s="542" t="s">
        <v>1657</v>
      </c>
      <c r="I20" s="542">
        <v>2047</v>
      </c>
      <c r="J20" s="546"/>
    </row>
    <row r="21" spans="1:10">
      <c r="A21" s="545">
        <v>19</v>
      </c>
      <c r="B21" s="545">
        <v>2017</v>
      </c>
      <c r="C21" s="545" t="s">
        <v>1669</v>
      </c>
      <c r="D21" s="545"/>
      <c r="E21" s="545" t="s">
        <v>1656</v>
      </c>
      <c r="F21" s="545" t="s">
        <v>1656</v>
      </c>
      <c r="G21" s="545" t="s">
        <v>1656</v>
      </c>
      <c r="H21" s="542" t="s">
        <v>1657</v>
      </c>
      <c r="I21" s="542">
        <v>2048</v>
      </c>
      <c r="J21" s="546"/>
    </row>
    <row r="22" spans="1:10">
      <c r="A22" s="545">
        <v>20</v>
      </c>
      <c r="B22" s="545">
        <v>2018</v>
      </c>
      <c r="C22" s="545" t="s">
        <v>1670</v>
      </c>
      <c r="D22" s="545"/>
      <c r="E22" s="545" t="s">
        <v>1656</v>
      </c>
      <c r="F22" s="545" t="s">
        <v>1656</v>
      </c>
      <c r="G22" s="545" t="s">
        <v>1656</v>
      </c>
      <c r="H22" s="542" t="s">
        <v>1644</v>
      </c>
      <c r="I22" s="542" t="s">
        <v>1645</v>
      </c>
      <c r="J22" s="546"/>
    </row>
    <row r="23" spans="1:10">
      <c r="A23" s="545">
        <v>21</v>
      </c>
      <c r="B23" s="545">
        <v>2019</v>
      </c>
      <c r="C23" s="545" t="s">
        <v>1671</v>
      </c>
      <c r="D23" s="545"/>
      <c r="E23" s="545" t="s">
        <v>1656</v>
      </c>
      <c r="F23" s="545" t="s">
        <v>1656</v>
      </c>
      <c r="G23" s="545" t="s">
        <v>1656</v>
      </c>
      <c r="H23" s="542" t="s">
        <v>1644</v>
      </c>
      <c r="I23" s="542" t="s">
        <v>1645</v>
      </c>
      <c r="J23" s="546"/>
    </row>
    <row r="24" spans="1:10">
      <c r="A24" s="545">
        <v>22</v>
      </c>
      <c r="B24" s="545">
        <v>2020</v>
      </c>
      <c r="C24" s="545" t="s">
        <v>1672</v>
      </c>
      <c r="D24" s="545"/>
      <c r="E24" s="545" t="s">
        <v>1656</v>
      </c>
      <c r="F24" s="545" t="s">
        <v>1656</v>
      </c>
      <c r="G24" s="545" t="s">
        <v>1656</v>
      </c>
      <c r="H24" s="542"/>
      <c r="I24" s="542"/>
      <c r="J24" s="546"/>
    </row>
    <row r="25" spans="1:10">
      <c r="A25" s="545">
        <v>23</v>
      </c>
      <c r="B25" s="545">
        <v>2021</v>
      </c>
      <c r="C25" s="545" t="s">
        <v>1673</v>
      </c>
      <c r="D25" s="545"/>
      <c r="E25" s="545" t="s">
        <v>1656</v>
      </c>
      <c r="F25" s="545" t="s">
        <v>1656</v>
      </c>
      <c r="G25" s="545" t="s">
        <v>1656</v>
      </c>
      <c r="H25" s="542"/>
      <c r="I25" s="542"/>
      <c r="J25" s="546"/>
    </row>
    <row r="26" spans="1:10">
      <c r="A26" s="545">
        <v>24</v>
      </c>
      <c r="B26" s="545">
        <v>2022</v>
      </c>
      <c r="C26" s="545" t="s">
        <v>820</v>
      </c>
      <c r="D26" s="545"/>
      <c r="E26" s="545" t="s">
        <v>1656</v>
      </c>
      <c r="F26" s="545" t="s">
        <v>1656</v>
      </c>
      <c r="G26" s="545" t="s">
        <v>1656</v>
      </c>
      <c r="H26" s="542" t="s">
        <v>1657</v>
      </c>
      <c r="I26" s="542">
        <v>2144</v>
      </c>
      <c r="J26" s="546" t="s">
        <v>94</v>
      </c>
    </row>
    <row r="27" spans="1:10">
      <c r="A27" s="545">
        <v>25</v>
      </c>
      <c r="B27" s="545">
        <v>2023</v>
      </c>
      <c r="C27" s="545" t="s">
        <v>818</v>
      </c>
      <c r="D27" s="545"/>
      <c r="E27" s="545" t="s">
        <v>1656</v>
      </c>
      <c r="F27" s="545" t="s">
        <v>1656</v>
      </c>
      <c r="G27" s="545" t="s">
        <v>1656</v>
      </c>
      <c r="H27" s="542" t="s">
        <v>1657</v>
      </c>
      <c r="I27" s="542">
        <v>2014</v>
      </c>
      <c r="J27" s="546" t="s">
        <v>93</v>
      </c>
    </row>
    <row r="28" spans="1:10">
      <c r="A28" s="545">
        <v>26</v>
      </c>
      <c r="B28" s="545">
        <v>2024</v>
      </c>
      <c r="C28" s="545" t="s">
        <v>1674</v>
      </c>
      <c r="D28" s="545"/>
      <c r="E28" s="545" t="s">
        <v>1656</v>
      </c>
      <c r="F28" s="545" t="s">
        <v>1656</v>
      </c>
      <c r="G28" s="545" t="s">
        <v>1656</v>
      </c>
      <c r="H28" s="542" t="s">
        <v>1657</v>
      </c>
      <c r="I28" s="542">
        <v>2013</v>
      </c>
      <c r="J28" s="546" t="s">
        <v>97</v>
      </c>
    </row>
    <row r="29" spans="1:10">
      <c r="A29" s="545">
        <v>27</v>
      </c>
      <c r="B29" s="545">
        <v>2025</v>
      </c>
      <c r="C29" s="545" t="s">
        <v>1675</v>
      </c>
      <c r="D29" s="545"/>
      <c r="E29" s="545" t="s">
        <v>1656</v>
      </c>
      <c r="F29" s="545" t="s">
        <v>1656</v>
      </c>
      <c r="G29" s="545" t="s">
        <v>1656</v>
      </c>
      <c r="H29" s="542" t="s">
        <v>1657</v>
      </c>
      <c r="I29" s="542">
        <v>2108</v>
      </c>
      <c r="J29" s="546"/>
    </row>
    <row r="30" spans="1:10">
      <c r="A30" s="545">
        <v>28</v>
      </c>
      <c r="B30" s="545">
        <v>2026</v>
      </c>
      <c r="C30" s="545" t="s">
        <v>1676</v>
      </c>
      <c r="D30" s="545"/>
      <c r="E30" s="545" t="s">
        <v>1656</v>
      </c>
      <c r="F30" s="545" t="s">
        <v>1656</v>
      </c>
      <c r="G30" s="545" t="s">
        <v>1656</v>
      </c>
      <c r="H30" s="542"/>
      <c r="I30" s="542"/>
      <c r="J30" s="546"/>
    </row>
    <row r="31" spans="1:10">
      <c r="A31" s="545">
        <v>29</v>
      </c>
      <c r="B31" s="545">
        <v>2027</v>
      </c>
      <c r="C31" s="545" t="s">
        <v>1677</v>
      </c>
      <c r="D31" s="545"/>
      <c r="E31" s="545" t="s">
        <v>1656</v>
      </c>
      <c r="F31" s="545" t="s">
        <v>1656</v>
      </c>
      <c r="G31" s="545" t="s">
        <v>1656</v>
      </c>
      <c r="H31" s="542"/>
      <c r="I31" s="542"/>
      <c r="J31" s="546"/>
    </row>
    <row r="32" spans="1:10">
      <c r="A32" s="545">
        <v>30</v>
      </c>
      <c r="B32" s="545">
        <v>2028</v>
      </c>
      <c r="C32" s="545" t="s">
        <v>1108</v>
      </c>
      <c r="D32" s="545"/>
      <c r="E32" s="545" t="s">
        <v>1656</v>
      </c>
      <c r="F32" s="545" t="s">
        <v>1656</v>
      </c>
      <c r="G32" s="545" t="s">
        <v>1656</v>
      </c>
      <c r="H32" s="542"/>
      <c r="I32" s="542"/>
      <c r="J32" s="546"/>
    </row>
    <row r="33" spans="1:10">
      <c r="A33" s="545">
        <v>31</v>
      </c>
      <c r="B33" s="545">
        <v>2029</v>
      </c>
      <c r="C33" s="545" t="s">
        <v>1678</v>
      </c>
      <c r="D33" s="545"/>
      <c r="E33" s="545" t="s">
        <v>1656</v>
      </c>
      <c r="F33" s="545" t="s">
        <v>1656</v>
      </c>
      <c r="G33" s="545" t="s">
        <v>1656</v>
      </c>
      <c r="H33" s="542" t="s">
        <v>1657</v>
      </c>
      <c r="I33" s="542">
        <v>2002</v>
      </c>
      <c r="J33" s="546"/>
    </row>
    <row r="34" spans="1:10">
      <c r="A34" s="545">
        <v>32</v>
      </c>
      <c r="B34" s="545">
        <v>2030</v>
      </c>
      <c r="C34" s="545" t="s">
        <v>1105</v>
      </c>
      <c r="D34" s="545"/>
      <c r="E34" s="545" t="s">
        <v>1656</v>
      </c>
      <c r="F34" s="545" t="s">
        <v>1656</v>
      </c>
      <c r="G34" s="545" t="s">
        <v>1656</v>
      </c>
      <c r="H34" s="542" t="s">
        <v>1644</v>
      </c>
      <c r="I34" s="542" t="s">
        <v>1645</v>
      </c>
      <c r="J34" s="546"/>
    </row>
    <row r="35" spans="1:10">
      <c r="A35" s="545">
        <v>33</v>
      </c>
      <c r="B35" s="545">
        <v>2031</v>
      </c>
      <c r="C35" s="545" t="s">
        <v>1679</v>
      </c>
      <c r="D35" s="545"/>
      <c r="E35" s="545" t="s">
        <v>1656</v>
      </c>
      <c r="F35" s="545" t="s">
        <v>1656</v>
      </c>
      <c r="G35" s="545" t="s">
        <v>1656</v>
      </c>
      <c r="H35" s="542" t="s">
        <v>1644</v>
      </c>
      <c r="I35" s="542" t="s">
        <v>1645</v>
      </c>
      <c r="J35" s="546"/>
    </row>
    <row r="36" spans="1:10">
      <c r="A36" s="545">
        <v>34</v>
      </c>
      <c r="B36" s="545">
        <v>2032</v>
      </c>
      <c r="C36" s="545" t="s">
        <v>1680</v>
      </c>
      <c r="D36" s="545"/>
      <c r="E36" s="545" t="s">
        <v>1656</v>
      </c>
      <c r="F36" s="545" t="s">
        <v>1656</v>
      </c>
      <c r="G36" s="545" t="s">
        <v>1656</v>
      </c>
      <c r="H36" s="542"/>
      <c r="I36" s="542"/>
      <c r="J36" s="546"/>
    </row>
    <row r="37" spans="1:10">
      <c r="A37" s="545">
        <v>35</v>
      </c>
      <c r="B37" s="545">
        <v>2033</v>
      </c>
      <c r="C37" s="545" t="s">
        <v>1681</v>
      </c>
      <c r="D37" s="545"/>
      <c r="E37" s="545" t="s">
        <v>1656</v>
      </c>
      <c r="F37" s="545" t="s">
        <v>1656</v>
      </c>
      <c r="G37" s="545" t="s">
        <v>1656</v>
      </c>
      <c r="H37" s="542" t="s">
        <v>1644</v>
      </c>
      <c r="I37" s="542" t="s">
        <v>1645</v>
      </c>
      <c r="J37" s="546"/>
    </row>
    <row r="38" spans="1:10">
      <c r="A38" s="545">
        <v>36</v>
      </c>
      <c r="B38" s="545">
        <v>2034</v>
      </c>
      <c r="C38" s="545" t="s">
        <v>1682</v>
      </c>
      <c r="D38" s="545"/>
      <c r="E38" s="545" t="s">
        <v>1656</v>
      </c>
      <c r="F38" s="545" t="s">
        <v>1656</v>
      </c>
      <c r="G38" s="545" t="s">
        <v>1656</v>
      </c>
      <c r="H38" s="542" t="s">
        <v>1657</v>
      </c>
      <c r="I38" s="542">
        <v>2014</v>
      </c>
      <c r="J38" s="546" t="s">
        <v>93</v>
      </c>
    </row>
    <row r="39" spans="1:10">
      <c r="A39" s="545">
        <v>37</v>
      </c>
      <c r="B39" s="545">
        <v>2035</v>
      </c>
      <c r="C39" s="545" t="s">
        <v>1683</v>
      </c>
      <c r="D39" s="545"/>
      <c r="E39" s="545" t="s">
        <v>1656</v>
      </c>
      <c r="F39" s="545" t="s">
        <v>1656</v>
      </c>
      <c r="G39" s="545" t="s">
        <v>1656</v>
      </c>
      <c r="H39" s="542" t="s">
        <v>1657</v>
      </c>
      <c r="I39" s="542">
        <v>2001</v>
      </c>
      <c r="J39" s="546" t="s">
        <v>95</v>
      </c>
    </row>
    <row r="40" spans="1:10">
      <c r="A40" s="545">
        <v>38</v>
      </c>
      <c r="B40" s="545">
        <v>2036</v>
      </c>
      <c r="C40" s="545" t="s">
        <v>1684</v>
      </c>
      <c r="D40" s="545"/>
      <c r="E40" s="545" t="s">
        <v>1656</v>
      </c>
      <c r="F40" s="545" t="s">
        <v>1656</v>
      </c>
      <c r="G40" s="545" t="s">
        <v>1656</v>
      </c>
      <c r="H40" s="542" t="s">
        <v>1657</v>
      </c>
      <c r="I40" s="542">
        <v>2099</v>
      </c>
      <c r="J40" s="546"/>
    </row>
    <row r="41" spans="1:10">
      <c r="A41" s="545">
        <v>39</v>
      </c>
      <c r="B41" s="545">
        <v>2037</v>
      </c>
      <c r="C41" s="545" t="s">
        <v>1523</v>
      </c>
      <c r="D41" s="545"/>
      <c r="E41" s="545" t="s">
        <v>1656</v>
      </c>
      <c r="F41" s="545" t="s">
        <v>1656</v>
      </c>
      <c r="G41" s="545" t="s">
        <v>1656</v>
      </c>
      <c r="H41" s="542"/>
      <c r="I41" s="542"/>
      <c r="J41" s="546"/>
    </row>
    <row r="42" spans="1:10">
      <c r="A42" s="545">
        <v>40</v>
      </c>
      <c r="B42" s="545">
        <v>2038</v>
      </c>
      <c r="C42" s="545" t="s">
        <v>1685</v>
      </c>
      <c r="D42" s="545"/>
      <c r="E42" s="545" t="s">
        <v>1656</v>
      </c>
      <c r="F42" s="545" t="s">
        <v>1656</v>
      </c>
      <c r="G42" s="545" t="s">
        <v>1656</v>
      </c>
      <c r="H42" s="542" t="s">
        <v>1657</v>
      </c>
      <c r="I42" s="542">
        <v>2033</v>
      </c>
      <c r="J42" s="546"/>
    </row>
    <row r="43" spans="1:10">
      <c r="A43" s="545">
        <v>41</v>
      </c>
      <c r="B43" s="545">
        <v>2039</v>
      </c>
      <c r="C43" s="545" t="s">
        <v>1433</v>
      </c>
      <c r="D43" s="545"/>
      <c r="E43" s="545" t="s">
        <v>1656</v>
      </c>
      <c r="F43" s="545" t="s">
        <v>1656</v>
      </c>
      <c r="G43" s="545" t="s">
        <v>1656</v>
      </c>
      <c r="H43" s="542"/>
      <c r="I43" s="542"/>
      <c r="J43" s="546"/>
    </row>
    <row r="44" spans="1:10">
      <c r="A44" s="545">
        <v>42</v>
      </c>
      <c r="B44" s="545">
        <v>2040</v>
      </c>
      <c r="C44" s="545" t="s">
        <v>773</v>
      </c>
      <c r="D44" s="545"/>
      <c r="E44" s="545" t="s">
        <v>1656</v>
      </c>
      <c r="F44" s="545" t="s">
        <v>1656</v>
      </c>
      <c r="G44" s="545" t="s">
        <v>1656</v>
      </c>
      <c r="H44" s="542" t="s">
        <v>1644</v>
      </c>
      <c r="I44" s="542" t="s">
        <v>1645</v>
      </c>
      <c r="J44" s="546"/>
    </row>
    <row r="45" spans="1:10">
      <c r="A45" s="545">
        <v>43</v>
      </c>
      <c r="B45" s="545">
        <v>2041</v>
      </c>
      <c r="C45" s="545" t="s">
        <v>798</v>
      </c>
      <c r="D45" s="545"/>
      <c r="E45" s="545" t="s">
        <v>1656</v>
      </c>
      <c r="F45" s="545" t="s">
        <v>1656</v>
      </c>
      <c r="G45" s="545" t="s">
        <v>1656</v>
      </c>
      <c r="H45" s="542"/>
      <c r="I45" s="542"/>
      <c r="J45" s="546"/>
    </row>
    <row r="46" spans="1:10">
      <c r="A46" s="545">
        <v>44</v>
      </c>
      <c r="B46" s="545">
        <v>2042</v>
      </c>
      <c r="C46" s="545" t="s">
        <v>1686</v>
      </c>
      <c r="D46" s="545"/>
      <c r="E46" s="545" t="s">
        <v>1656</v>
      </c>
      <c r="F46" s="545" t="s">
        <v>1656</v>
      </c>
      <c r="G46" s="545" t="s">
        <v>1656</v>
      </c>
      <c r="H46" s="542" t="s">
        <v>1657</v>
      </c>
      <c r="I46" s="542">
        <v>2001</v>
      </c>
      <c r="J46" s="546" t="s">
        <v>95</v>
      </c>
    </row>
    <row r="47" spans="1:10">
      <c r="A47" s="545">
        <v>45</v>
      </c>
      <c r="B47" s="545">
        <v>2043</v>
      </c>
      <c r="C47" s="545" t="s">
        <v>1687</v>
      </c>
      <c r="D47" s="545"/>
      <c r="E47" s="545" t="s">
        <v>1656</v>
      </c>
      <c r="F47" s="545" t="s">
        <v>1656</v>
      </c>
      <c r="G47" s="545" t="s">
        <v>1656</v>
      </c>
      <c r="H47" s="542" t="s">
        <v>1657</v>
      </c>
      <c r="I47" s="542">
        <v>2014</v>
      </c>
      <c r="J47" s="546" t="s">
        <v>93</v>
      </c>
    </row>
    <row r="48" spans="1:10">
      <c r="A48" s="545">
        <v>46</v>
      </c>
      <c r="B48" s="545">
        <v>2044</v>
      </c>
      <c r="C48" s="545" t="s">
        <v>1688</v>
      </c>
      <c r="D48" s="545"/>
      <c r="E48" s="545" t="s">
        <v>1656</v>
      </c>
      <c r="F48" s="545" t="s">
        <v>1656</v>
      </c>
      <c r="G48" s="545" t="s">
        <v>1656</v>
      </c>
      <c r="H48" s="542" t="s">
        <v>1657</v>
      </c>
      <c r="I48" s="542">
        <v>2013</v>
      </c>
      <c r="J48" s="546" t="s">
        <v>97</v>
      </c>
    </row>
    <row r="49" spans="1:10">
      <c r="A49" s="545">
        <v>47</v>
      </c>
      <c r="B49" s="545">
        <v>2045</v>
      </c>
      <c r="C49" s="545" t="s">
        <v>1297</v>
      </c>
      <c r="D49" s="545"/>
      <c r="E49" s="545" t="s">
        <v>1656</v>
      </c>
      <c r="F49" s="545" t="s">
        <v>1656</v>
      </c>
      <c r="G49" s="545" t="s">
        <v>1656</v>
      </c>
      <c r="H49" s="542"/>
      <c r="I49" s="542"/>
      <c r="J49" s="546"/>
    </row>
    <row r="50" spans="1:10">
      <c r="A50" s="545">
        <v>48</v>
      </c>
      <c r="B50" s="545">
        <v>2046</v>
      </c>
      <c r="C50" s="545" t="s">
        <v>1689</v>
      </c>
      <c r="D50" s="545"/>
      <c r="E50" s="545" t="s">
        <v>1656</v>
      </c>
      <c r="F50" s="545" t="s">
        <v>1656</v>
      </c>
      <c r="G50" s="545" t="s">
        <v>1656</v>
      </c>
      <c r="H50" s="542"/>
      <c r="I50" s="542"/>
      <c r="J50" s="546"/>
    </row>
    <row r="51" spans="1:10">
      <c r="A51" s="545">
        <v>49</v>
      </c>
      <c r="B51" s="545">
        <v>2047</v>
      </c>
      <c r="C51" s="545" t="s">
        <v>1690</v>
      </c>
      <c r="D51" s="545"/>
      <c r="E51" s="545" t="s">
        <v>1656</v>
      </c>
      <c r="F51" s="545" t="s">
        <v>1656</v>
      </c>
      <c r="G51" s="545" t="s">
        <v>1656</v>
      </c>
      <c r="H51" s="542" t="s">
        <v>1644</v>
      </c>
      <c r="I51" s="542" t="s">
        <v>1645</v>
      </c>
      <c r="J51" s="546"/>
    </row>
    <row r="52" spans="1:10">
      <c r="A52" s="545">
        <v>50</v>
      </c>
      <c r="B52" s="545">
        <v>2048</v>
      </c>
      <c r="C52" s="545" t="s">
        <v>782</v>
      </c>
      <c r="D52" s="545"/>
      <c r="E52" s="545" t="s">
        <v>1656</v>
      </c>
      <c r="F52" s="545" t="s">
        <v>1656</v>
      </c>
      <c r="G52" s="545" t="s">
        <v>1656</v>
      </c>
      <c r="H52" s="542" t="s">
        <v>1644</v>
      </c>
      <c r="I52" s="542" t="s">
        <v>1645</v>
      </c>
      <c r="J52" s="546"/>
    </row>
    <row r="53" spans="1:10">
      <c r="A53" s="545">
        <v>51</v>
      </c>
      <c r="B53" s="545">
        <v>2049</v>
      </c>
      <c r="C53" s="545" t="s">
        <v>1691</v>
      </c>
      <c r="D53" s="545"/>
      <c r="E53" s="545" t="s">
        <v>1656</v>
      </c>
      <c r="F53" s="545" t="s">
        <v>1656</v>
      </c>
      <c r="G53" s="545" t="s">
        <v>1656</v>
      </c>
      <c r="H53" s="542" t="s">
        <v>1657</v>
      </c>
      <c r="I53" s="542">
        <v>2031</v>
      </c>
      <c r="J53" s="546"/>
    </row>
    <row r="54" spans="1:10">
      <c r="A54" s="545">
        <v>52</v>
      </c>
      <c r="B54" s="545">
        <v>2050</v>
      </c>
      <c r="C54" s="545" t="s">
        <v>1323</v>
      </c>
      <c r="D54" s="545"/>
      <c r="E54" s="545" t="s">
        <v>1656</v>
      </c>
      <c r="F54" s="545" t="s">
        <v>1656</v>
      </c>
      <c r="G54" s="545" t="s">
        <v>1656</v>
      </c>
      <c r="H54" s="542"/>
      <c r="I54" s="542"/>
      <c r="J54" s="546"/>
    </row>
    <row r="55" spans="1:10">
      <c r="A55" s="545">
        <v>53</v>
      </c>
      <c r="B55" s="545">
        <v>2051</v>
      </c>
      <c r="C55" s="545" t="s">
        <v>1692</v>
      </c>
      <c r="D55" s="545"/>
      <c r="E55" s="545" t="s">
        <v>1656</v>
      </c>
      <c r="F55" s="545" t="s">
        <v>1656</v>
      </c>
      <c r="G55" s="545" t="s">
        <v>1656</v>
      </c>
      <c r="H55" s="542" t="s">
        <v>1657</v>
      </c>
      <c r="I55" s="542">
        <v>2018</v>
      </c>
      <c r="J55" s="546"/>
    </row>
    <row r="56" spans="1:10">
      <c r="A56" s="545">
        <v>54</v>
      </c>
      <c r="B56" s="545">
        <v>2052</v>
      </c>
      <c r="C56" s="545" t="s">
        <v>818</v>
      </c>
      <c r="D56" s="545"/>
      <c r="E56" s="545" t="s">
        <v>1656</v>
      </c>
      <c r="F56" s="545" t="s">
        <v>1656</v>
      </c>
      <c r="G56" s="545" t="s">
        <v>1656</v>
      </c>
      <c r="H56" s="542" t="s">
        <v>1657</v>
      </c>
      <c r="I56" s="542">
        <v>2014</v>
      </c>
      <c r="J56" s="546" t="s">
        <v>93</v>
      </c>
    </row>
    <row r="57" spans="1:10">
      <c r="A57" s="545">
        <v>55</v>
      </c>
      <c r="B57" s="545">
        <v>2053</v>
      </c>
      <c r="C57" s="545" t="s">
        <v>852</v>
      </c>
      <c r="D57" s="545"/>
      <c r="E57" s="545" t="s">
        <v>1656</v>
      </c>
      <c r="F57" s="545" t="s">
        <v>1656</v>
      </c>
      <c r="G57" s="545" t="s">
        <v>1656</v>
      </c>
      <c r="H57" s="542"/>
      <c r="I57" s="542"/>
      <c r="J57" s="546"/>
    </row>
    <row r="58" spans="1:10" ht="27.6">
      <c r="A58" s="545">
        <v>56</v>
      </c>
      <c r="B58" s="545">
        <v>2054</v>
      </c>
      <c r="C58" s="545" t="s">
        <v>1693</v>
      </c>
      <c r="D58" s="545"/>
      <c r="E58" s="545" t="s">
        <v>1656</v>
      </c>
      <c r="F58" s="545" t="s">
        <v>1656</v>
      </c>
      <c r="G58" s="545" t="s">
        <v>1656</v>
      </c>
      <c r="H58" s="542"/>
      <c r="I58" s="542"/>
      <c r="J58" s="546"/>
    </row>
    <row r="59" spans="1:10">
      <c r="A59" s="545">
        <v>57</v>
      </c>
      <c r="B59" s="545">
        <v>2055</v>
      </c>
      <c r="C59" s="545" t="s">
        <v>821</v>
      </c>
      <c r="D59" s="545"/>
      <c r="E59" s="545" t="s">
        <v>1656</v>
      </c>
      <c r="F59" s="545" t="s">
        <v>1656</v>
      </c>
      <c r="G59" s="545" t="s">
        <v>1656</v>
      </c>
      <c r="H59" s="542" t="s">
        <v>1657</v>
      </c>
      <c r="I59" s="542">
        <v>2145</v>
      </c>
      <c r="J59" s="546" t="s">
        <v>96</v>
      </c>
    </row>
    <row r="60" spans="1:10">
      <c r="A60" s="545">
        <v>58</v>
      </c>
      <c r="B60" s="545">
        <v>2056</v>
      </c>
      <c r="C60" s="545" t="s">
        <v>1036</v>
      </c>
      <c r="D60" s="545"/>
      <c r="E60" s="545" t="s">
        <v>1656</v>
      </c>
      <c r="F60" s="545" t="s">
        <v>1656</v>
      </c>
      <c r="G60" s="545" t="s">
        <v>1656</v>
      </c>
      <c r="H60" s="542"/>
      <c r="I60" s="542"/>
      <c r="J60" s="546"/>
    </row>
    <row r="61" spans="1:10">
      <c r="A61" s="545">
        <v>59</v>
      </c>
      <c r="B61" s="545">
        <v>2057</v>
      </c>
      <c r="C61" s="545" t="s">
        <v>1694</v>
      </c>
      <c r="D61" s="545"/>
      <c r="E61" s="545" t="s">
        <v>1656</v>
      </c>
      <c r="F61" s="545" t="s">
        <v>1656</v>
      </c>
      <c r="G61" s="545" t="s">
        <v>1656</v>
      </c>
      <c r="H61" s="542" t="s">
        <v>1657</v>
      </c>
      <c r="I61" s="542">
        <v>2030</v>
      </c>
      <c r="J61" s="546"/>
    </row>
    <row r="62" spans="1:10">
      <c r="A62" s="545">
        <v>60</v>
      </c>
      <c r="B62" s="545">
        <v>2058</v>
      </c>
      <c r="C62" s="545" t="s">
        <v>1695</v>
      </c>
      <c r="D62" s="545"/>
      <c r="E62" s="545" t="s">
        <v>1656</v>
      </c>
      <c r="F62" s="545" t="s">
        <v>1656</v>
      </c>
      <c r="G62" s="545" t="s">
        <v>1656</v>
      </c>
      <c r="H62" s="542"/>
      <c r="I62" s="542"/>
      <c r="J62" s="546"/>
    </row>
    <row r="63" spans="1:10">
      <c r="A63" s="545">
        <v>61</v>
      </c>
      <c r="B63" s="545">
        <v>2059</v>
      </c>
      <c r="C63" s="545" t="s">
        <v>1696</v>
      </c>
      <c r="D63" s="545"/>
      <c r="E63" s="545" t="s">
        <v>1656</v>
      </c>
      <c r="F63" s="545" t="s">
        <v>1656</v>
      </c>
      <c r="G63" s="545" t="s">
        <v>1656</v>
      </c>
      <c r="H63" s="542"/>
      <c r="I63" s="542"/>
      <c r="J63" s="546"/>
    </row>
    <row r="64" spans="1:10">
      <c r="A64" s="545">
        <v>62</v>
      </c>
      <c r="B64" s="545">
        <v>2060</v>
      </c>
      <c r="C64" s="545" t="s">
        <v>859</v>
      </c>
      <c r="D64" s="545"/>
      <c r="E64" s="545" t="s">
        <v>1656</v>
      </c>
      <c r="F64" s="545" t="s">
        <v>1656</v>
      </c>
      <c r="G64" s="545" t="s">
        <v>1656</v>
      </c>
      <c r="H64" s="542"/>
      <c r="I64" s="542"/>
      <c r="J64" s="546"/>
    </row>
    <row r="65" spans="1:10">
      <c r="A65" s="545">
        <v>63</v>
      </c>
      <c r="B65" s="545">
        <v>2061</v>
      </c>
      <c r="C65" s="545" t="s">
        <v>847</v>
      </c>
      <c r="D65" s="545"/>
      <c r="E65" s="545" t="s">
        <v>1656</v>
      </c>
      <c r="F65" s="545" t="s">
        <v>1656</v>
      </c>
      <c r="G65" s="545" t="s">
        <v>1656</v>
      </c>
      <c r="H65" s="542"/>
      <c r="I65" s="542"/>
      <c r="J65" s="546"/>
    </row>
    <row r="66" spans="1:10">
      <c r="A66" s="545">
        <v>64</v>
      </c>
      <c r="B66" s="545">
        <v>2062</v>
      </c>
      <c r="C66" s="545" t="s">
        <v>797</v>
      </c>
      <c r="D66" s="545"/>
      <c r="E66" s="545" t="s">
        <v>1656</v>
      </c>
      <c r="F66" s="545" t="s">
        <v>1656</v>
      </c>
      <c r="G66" s="545" t="s">
        <v>1656</v>
      </c>
      <c r="H66" s="542"/>
      <c r="I66" s="542"/>
      <c r="J66" s="546"/>
    </row>
    <row r="67" spans="1:10">
      <c r="A67" s="545">
        <v>65</v>
      </c>
      <c r="B67" s="545">
        <v>2063</v>
      </c>
      <c r="C67" s="545" t="s">
        <v>1697</v>
      </c>
      <c r="D67" s="545"/>
      <c r="E67" s="545" t="s">
        <v>1656</v>
      </c>
      <c r="F67" s="545" t="s">
        <v>1656</v>
      </c>
      <c r="G67" s="545" t="s">
        <v>1656</v>
      </c>
      <c r="H67" s="542"/>
      <c r="I67" s="542"/>
      <c r="J67" s="546"/>
    </row>
    <row r="68" spans="1:10">
      <c r="A68" s="545">
        <v>66</v>
      </c>
      <c r="B68" s="545">
        <v>2064</v>
      </c>
      <c r="C68" s="545" t="s">
        <v>839</v>
      </c>
      <c r="D68" s="545"/>
      <c r="E68" s="545" t="s">
        <v>1656</v>
      </c>
      <c r="F68" s="545" t="s">
        <v>1656</v>
      </c>
      <c r="G68" s="545" t="s">
        <v>1656</v>
      </c>
      <c r="H68" s="542"/>
      <c r="I68" s="542"/>
      <c r="J68" s="546"/>
    </row>
    <row r="69" spans="1:10" ht="41.4">
      <c r="A69" s="545">
        <v>67</v>
      </c>
      <c r="B69" s="545">
        <v>2065</v>
      </c>
      <c r="C69" s="545" t="s">
        <v>1698</v>
      </c>
      <c r="D69" s="545"/>
      <c r="E69" s="545" t="s">
        <v>1656</v>
      </c>
      <c r="F69" s="545" t="s">
        <v>1656</v>
      </c>
      <c r="G69" s="545" t="s">
        <v>1656</v>
      </c>
      <c r="H69" s="542"/>
      <c r="I69" s="542"/>
      <c r="J69" s="546"/>
    </row>
    <row r="70" spans="1:10">
      <c r="A70" s="545">
        <v>68</v>
      </c>
      <c r="B70" s="545">
        <v>2066</v>
      </c>
      <c r="C70" s="545" t="s">
        <v>1699</v>
      </c>
      <c r="D70" s="545"/>
      <c r="E70" s="545" t="s">
        <v>1656</v>
      </c>
      <c r="F70" s="545" t="s">
        <v>1656</v>
      </c>
      <c r="G70" s="545" t="s">
        <v>1656</v>
      </c>
      <c r="H70" s="542" t="s">
        <v>1644</v>
      </c>
      <c r="I70" s="542" t="s">
        <v>1645</v>
      </c>
      <c r="J70" s="546"/>
    </row>
    <row r="71" spans="1:10">
      <c r="A71" s="545">
        <v>69</v>
      </c>
      <c r="B71" s="545">
        <v>2067</v>
      </c>
      <c r="C71" s="545" t="s">
        <v>1700</v>
      </c>
      <c r="D71" s="545"/>
      <c r="E71" s="545" t="s">
        <v>1656</v>
      </c>
      <c r="F71" s="545" t="s">
        <v>1656</v>
      </c>
      <c r="G71" s="545" t="s">
        <v>1656</v>
      </c>
      <c r="H71" s="542"/>
      <c r="I71" s="542"/>
      <c r="J71" s="546"/>
    </row>
    <row r="72" spans="1:10">
      <c r="A72" s="545">
        <v>70</v>
      </c>
      <c r="B72" s="545">
        <v>2068</v>
      </c>
      <c r="C72" s="545" t="s">
        <v>1701</v>
      </c>
      <c r="D72" s="545"/>
      <c r="E72" s="545" t="s">
        <v>1656</v>
      </c>
      <c r="F72" s="545" t="s">
        <v>1656</v>
      </c>
      <c r="G72" s="545" t="s">
        <v>1656</v>
      </c>
      <c r="H72" s="542"/>
      <c r="I72" s="542"/>
      <c r="J72" s="546"/>
    </row>
    <row r="73" spans="1:10">
      <c r="A73" s="545">
        <v>71</v>
      </c>
      <c r="B73" s="545">
        <v>2069</v>
      </c>
      <c r="C73" s="545" t="s">
        <v>1702</v>
      </c>
      <c r="D73" s="545"/>
      <c r="E73" s="545" t="s">
        <v>1656</v>
      </c>
      <c r="F73" s="545" t="s">
        <v>1656</v>
      </c>
      <c r="G73" s="545" t="s">
        <v>1656</v>
      </c>
      <c r="H73" s="542"/>
      <c r="I73" s="542"/>
      <c r="J73" s="546"/>
    </row>
    <row r="74" spans="1:10">
      <c r="A74" s="545">
        <v>72</v>
      </c>
      <c r="B74" s="545">
        <v>2070</v>
      </c>
      <c r="C74" s="545" t="s">
        <v>1230</v>
      </c>
      <c r="D74" s="545"/>
      <c r="E74" s="545" t="s">
        <v>1656</v>
      </c>
      <c r="F74" s="545" t="s">
        <v>1656</v>
      </c>
      <c r="G74" s="545" t="s">
        <v>1656</v>
      </c>
      <c r="H74" s="542"/>
      <c r="I74" s="542"/>
      <c r="J74" s="546"/>
    </row>
    <row r="75" spans="1:10">
      <c r="A75" s="545">
        <v>73</v>
      </c>
      <c r="B75" s="545">
        <v>2071</v>
      </c>
      <c r="C75" s="545" t="s">
        <v>1703</v>
      </c>
      <c r="D75" s="545"/>
      <c r="E75" s="545" t="s">
        <v>1656</v>
      </c>
      <c r="F75" s="545" t="s">
        <v>1656</v>
      </c>
      <c r="G75" s="545" t="s">
        <v>1656</v>
      </c>
      <c r="H75" s="542"/>
      <c r="I75" s="542"/>
      <c r="J75" s="546"/>
    </row>
    <row r="76" spans="1:10">
      <c r="A76" s="545">
        <v>74</v>
      </c>
      <c r="B76" s="545">
        <v>2072</v>
      </c>
      <c r="C76" s="545" t="s">
        <v>803</v>
      </c>
      <c r="D76" s="545"/>
      <c r="E76" s="545" t="s">
        <v>1656</v>
      </c>
      <c r="F76" s="545" t="s">
        <v>1656</v>
      </c>
      <c r="G76" s="545" t="s">
        <v>1656</v>
      </c>
      <c r="H76" s="542"/>
      <c r="I76" s="542"/>
      <c r="J76" s="546"/>
    </row>
    <row r="77" spans="1:10">
      <c r="A77" s="545">
        <v>75</v>
      </c>
      <c r="B77" s="545">
        <v>2073</v>
      </c>
      <c r="C77" s="545" t="s">
        <v>1704</v>
      </c>
      <c r="D77" s="545"/>
      <c r="E77" s="545" t="s">
        <v>1656</v>
      </c>
      <c r="F77" s="545" t="s">
        <v>1656</v>
      </c>
      <c r="G77" s="545" t="s">
        <v>1656</v>
      </c>
      <c r="H77" s="542"/>
      <c r="I77" s="542"/>
      <c r="J77" s="546"/>
    </row>
    <row r="78" spans="1:10">
      <c r="A78" s="545">
        <v>76</v>
      </c>
      <c r="B78" s="545">
        <v>2074</v>
      </c>
      <c r="C78" s="545" t="s">
        <v>1705</v>
      </c>
      <c r="D78" s="545"/>
      <c r="E78" s="545" t="s">
        <v>1656</v>
      </c>
      <c r="F78" s="545" t="s">
        <v>1656</v>
      </c>
      <c r="G78" s="545" t="s">
        <v>1656</v>
      </c>
      <c r="H78" s="542"/>
      <c r="I78" s="542"/>
      <c r="J78" s="546"/>
    </row>
    <row r="79" spans="1:10">
      <c r="A79" s="545">
        <v>77</v>
      </c>
      <c r="B79" s="545">
        <v>2075</v>
      </c>
      <c r="C79" s="545" t="s">
        <v>1706</v>
      </c>
      <c r="D79" s="545"/>
      <c r="E79" s="545" t="s">
        <v>1656</v>
      </c>
      <c r="F79" s="545" t="s">
        <v>1656</v>
      </c>
      <c r="G79" s="545" t="s">
        <v>1656</v>
      </c>
      <c r="H79" s="542"/>
      <c r="I79" s="542"/>
      <c r="J79" s="546"/>
    </row>
    <row r="80" spans="1:10">
      <c r="A80" s="545">
        <v>78</v>
      </c>
      <c r="B80" s="545">
        <v>2076</v>
      </c>
      <c r="C80" s="545" t="s">
        <v>1707</v>
      </c>
      <c r="D80" s="545"/>
      <c r="E80" s="545" t="s">
        <v>1656</v>
      </c>
      <c r="F80" s="545" t="s">
        <v>1656</v>
      </c>
      <c r="G80" s="545" t="s">
        <v>1656</v>
      </c>
      <c r="H80" s="542"/>
      <c r="I80" s="542"/>
      <c r="J80" s="546"/>
    </row>
    <row r="81" spans="1:10">
      <c r="A81" s="545">
        <v>79</v>
      </c>
      <c r="B81" s="545">
        <v>2077</v>
      </c>
      <c r="C81" s="545" t="s">
        <v>1708</v>
      </c>
      <c r="D81" s="545"/>
      <c r="E81" s="545" t="s">
        <v>1656</v>
      </c>
      <c r="F81" s="545" t="s">
        <v>1656</v>
      </c>
      <c r="G81" s="545" t="s">
        <v>1656</v>
      </c>
      <c r="H81" s="542"/>
      <c r="I81" s="542"/>
      <c r="J81" s="546"/>
    </row>
    <row r="82" spans="1:10">
      <c r="A82" s="545">
        <v>80</v>
      </c>
      <c r="B82" s="545">
        <v>2078</v>
      </c>
      <c r="C82" s="545" t="s">
        <v>1709</v>
      </c>
      <c r="D82" s="545"/>
      <c r="E82" s="545" t="s">
        <v>1656</v>
      </c>
      <c r="F82" s="545" t="s">
        <v>1656</v>
      </c>
      <c r="G82" s="545" t="s">
        <v>1656</v>
      </c>
      <c r="H82" s="542"/>
      <c r="I82" s="542"/>
      <c r="J82" s="546"/>
    </row>
    <row r="83" spans="1:10">
      <c r="A83" s="545">
        <v>81</v>
      </c>
      <c r="B83" s="545">
        <v>2079</v>
      </c>
      <c r="C83" s="545" t="s">
        <v>863</v>
      </c>
      <c r="D83" s="545"/>
      <c r="E83" s="545" t="s">
        <v>1656</v>
      </c>
      <c r="F83" s="545" t="s">
        <v>1656</v>
      </c>
      <c r="G83" s="545" t="s">
        <v>1656</v>
      </c>
      <c r="H83" s="542"/>
      <c r="I83" s="542"/>
      <c r="J83" s="546"/>
    </row>
    <row r="84" spans="1:10">
      <c r="A84" s="545">
        <v>82</v>
      </c>
      <c r="B84" s="545">
        <v>2080</v>
      </c>
      <c r="C84" s="545" t="s">
        <v>1710</v>
      </c>
      <c r="D84" s="545"/>
      <c r="E84" s="545" t="s">
        <v>1656</v>
      </c>
      <c r="F84" s="545" t="s">
        <v>1656</v>
      </c>
      <c r="G84" s="545" t="s">
        <v>1656</v>
      </c>
      <c r="H84" s="542"/>
      <c r="I84" s="542"/>
      <c r="J84" s="546"/>
    </row>
    <row r="85" spans="1:10">
      <c r="A85" s="545">
        <v>83</v>
      </c>
      <c r="B85" s="545">
        <v>2081</v>
      </c>
      <c r="C85" s="545" t="s">
        <v>1030</v>
      </c>
      <c r="D85" s="545"/>
      <c r="E85" s="545" t="s">
        <v>1656</v>
      </c>
      <c r="F85" s="545" t="s">
        <v>1656</v>
      </c>
      <c r="G85" s="545" t="s">
        <v>1656</v>
      </c>
      <c r="H85" s="542" t="s">
        <v>1657</v>
      </c>
      <c r="I85" s="542">
        <v>2066</v>
      </c>
      <c r="J85" s="546"/>
    </row>
    <row r="86" spans="1:10">
      <c r="A86" s="545">
        <v>84</v>
      </c>
      <c r="B86" s="545">
        <v>2082</v>
      </c>
      <c r="C86" s="545" t="s">
        <v>1711</v>
      </c>
      <c r="D86" s="545"/>
      <c r="E86" s="545" t="s">
        <v>1656</v>
      </c>
      <c r="F86" s="545" t="s">
        <v>1656</v>
      </c>
      <c r="G86" s="545" t="s">
        <v>1656</v>
      </c>
      <c r="H86" s="542"/>
      <c r="I86" s="542"/>
      <c r="J86" s="546"/>
    </row>
    <row r="87" spans="1:10">
      <c r="A87" s="545">
        <v>85</v>
      </c>
      <c r="B87" s="545">
        <v>2083</v>
      </c>
      <c r="C87" s="545" t="s">
        <v>1712</v>
      </c>
      <c r="D87" s="545"/>
      <c r="E87" s="545" t="s">
        <v>1656</v>
      </c>
      <c r="F87" s="545" t="s">
        <v>1656</v>
      </c>
      <c r="G87" s="545" t="s">
        <v>1656</v>
      </c>
      <c r="H87" s="542"/>
      <c r="I87" s="542"/>
      <c r="J87" s="546"/>
    </row>
    <row r="88" spans="1:10">
      <c r="A88" s="545">
        <v>86</v>
      </c>
      <c r="B88" s="545">
        <v>2084</v>
      </c>
      <c r="C88" s="545" t="s">
        <v>1713</v>
      </c>
      <c r="D88" s="545"/>
      <c r="E88" s="545" t="s">
        <v>1656</v>
      </c>
      <c r="F88" s="545" t="s">
        <v>1656</v>
      </c>
      <c r="G88" s="545" t="s">
        <v>1656</v>
      </c>
      <c r="H88" s="542"/>
      <c r="I88" s="542"/>
      <c r="J88" s="546"/>
    </row>
    <row r="89" spans="1:10">
      <c r="A89" s="545">
        <v>87</v>
      </c>
      <c r="B89" s="545">
        <v>2085</v>
      </c>
      <c r="C89" s="545" t="s">
        <v>1714</v>
      </c>
      <c r="D89" s="545"/>
      <c r="E89" s="545" t="s">
        <v>1656</v>
      </c>
      <c r="F89" s="545" t="s">
        <v>1656</v>
      </c>
      <c r="G89" s="545" t="s">
        <v>1656</v>
      </c>
      <c r="H89" s="542"/>
      <c r="I89" s="542"/>
      <c r="J89" s="546"/>
    </row>
    <row r="90" spans="1:10">
      <c r="A90" s="545">
        <v>88</v>
      </c>
      <c r="B90" s="545">
        <v>2086</v>
      </c>
      <c r="C90" s="545" t="s">
        <v>1315</v>
      </c>
      <c r="D90" s="545"/>
      <c r="E90" s="545" t="s">
        <v>1656</v>
      </c>
      <c r="F90" s="545" t="s">
        <v>1656</v>
      </c>
      <c r="G90" s="545" t="s">
        <v>1656</v>
      </c>
      <c r="H90" s="542" t="s">
        <v>1644</v>
      </c>
      <c r="I90" s="542" t="s">
        <v>1645</v>
      </c>
      <c r="J90" s="546"/>
    </row>
    <row r="91" spans="1:10">
      <c r="A91" s="545">
        <v>89</v>
      </c>
      <c r="B91" s="545">
        <v>2087</v>
      </c>
      <c r="C91" s="545" t="s">
        <v>1715</v>
      </c>
      <c r="D91" s="545"/>
      <c r="E91" s="545" t="s">
        <v>1656</v>
      </c>
      <c r="F91" s="545" t="s">
        <v>1656</v>
      </c>
      <c r="G91" s="545" t="s">
        <v>1656</v>
      </c>
      <c r="H91" s="542"/>
      <c r="I91" s="542"/>
      <c r="J91" s="546"/>
    </row>
    <row r="92" spans="1:10">
      <c r="A92" s="545">
        <v>90</v>
      </c>
      <c r="B92" s="545">
        <v>2088</v>
      </c>
      <c r="C92" s="545" t="s">
        <v>1716</v>
      </c>
      <c r="D92" s="545"/>
      <c r="E92" s="545" t="s">
        <v>1656</v>
      </c>
      <c r="F92" s="545" t="s">
        <v>1656</v>
      </c>
      <c r="G92" s="545" t="s">
        <v>1656</v>
      </c>
      <c r="H92" s="542"/>
      <c r="I92" s="542"/>
      <c r="J92" s="546"/>
    </row>
    <row r="93" spans="1:10">
      <c r="A93" s="545">
        <v>91</v>
      </c>
      <c r="B93" s="545">
        <v>2089</v>
      </c>
      <c r="C93" s="545" t="s">
        <v>799</v>
      </c>
      <c r="D93" s="545"/>
      <c r="E93" s="545" t="s">
        <v>1656</v>
      </c>
      <c r="F93" s="545" t="s">
        <v>1656</v>
      </c>
      <c r="G93" s="545" t="s">
        <v>1656</v>
      </c>
      <c r="H93" s="542"/>
      <c r="I93" s="542"/>
      <c r="J93" s="546"/>
    </row>
    <row r="94" spans="1:10">
      <c r="A94" s="545">
        <v>92</v>
      </c>
      <c r="B94" s="545">
        <v>2090</v>
      </c>
      <c r="C94" s="545" t="s">
        <v>1359</v>
      </c>
      <c r="D94" s="545"/>
      <c r="E94" s="545" t="s">
        <v>1656</v>
      </c>
      <c r="F94" s="545" t="s">
        <v>1656</v>
      </c>
      <c r="G94" s="545" t="s">
        <v>1656</v>
      </c>
      <c r="H94" s="542"/>
      <c r="I94" s="542"/>
      <c r="J94" s="546"/>
    </row>
    <row r="95" spans="1:10" ht="27.6">
      <c r="A95" s="545">
        <v>93</v>
      </c>
      <c r="B95" s="545">
        <v>2091</v>
      </c>
      <c r="C95" s="545" t="s">
        <v>1717</v>
      </c>
      <c r="D95" s="545"/>
      <c r="E95" s="545" t="s">
        <v>1656</v>
      </c>
      <c r="F95" s="545" t="s">
        <v>1656</v>
      </c>
      <c r="G95" s="545" t="s">
        <v>1656</v>
      </c>
      <c r="H95" s="542"/>
      <c r="I95" s="542"/>
      <c r="J95" s="546"/>
    </row>
    <row r="96" spans="1:10">
      <c r="A96" s="545">
        <v>94</v>
      </c>
      <c r="B96" s="545">
        <v>2092</v>
      </c>
      <c r="C96" s="545" t="s">
        <v>1718</v>
      </c>
      <c r="D96" s="545"/>
      <c r="E96" s="545" t="s">
        <v>1656</v>
      </c>
      <c r="F96" s="545" t="s">
        <v>1656</v>
      </c>
      <c r="G96" s="545" t="s">
        <v>1656</v>
      </c>
      <c r="H96" s="542"/>
      <c r="I96" s="542"/>
      <c r="J96" s="546"/>
    </row>
    <row r="97" spans="1:10">
      <c r="A97" s="545">
        <v>95</v>
      </c>
      <c r="B97" s="545">
        <v>2093</v>
      </c>
      <c r="C97" s="545" t="s">
        <v>1719</v>
      </c>
      <c r="D97" s="545"/>
      <c r="E97" s="545" t="s">
        <v>1656</v>
      </c>
      <c r="F97" s="545" t="s">
        <v>1656</v>
      </c>
      <c r="G97" s="545" t="s">
        <v>1656</v>
      </c>
      <c r="H97" s="542"/>
      <c r="I97" s="542"/>
      <c r="J97" s="546"/>
    </row>
    <row r="98" spans="1:10">
      <c r="A98" s="545">
        <v>96</v>
      </c>
      <c r="B98" s="545">
        <v>2094</v>
      </c>
      <c r="C98" s="545" t="s">
        <v>1720</v>
      </c>
      <c r="D98" s="545"/>
      <c r="E98" s="545" t="s">
        <v>1656</v>
      </c>
      <c r="F98" s="545" t="s">
        <v>1656</v>
      </c>
      <c r="G98" s="545" t="s">
        <v>1656</v>
      </c>
      <c r="H98" s="542"/>
      <c r="I98" s="542"/>
      <c r="J98" s="546"/>
    </row>
    <row r="99" spans="1:10">
      <c r="A99" s="545">
        <v>97</v>
      </c>
      <c r="B99" s="545">
        <v>2095</v>
      </c>
      <c r="C99" s="545" t="s">
        <v>1721</v>
      </c>
      <c r="D99" s="545"/>
      <c r="E99" s="545" t="s">
        <v>1656</v>
      </c>
      <c r="F99" s="545" t="s">
        <v>1656</v>
      </c>
      <c r="G99" s="545" t="s">
        <v>1656</v>
      </c>
      <c r="H99" s="542"/>
      <c r="I99" s="542"/>
      <c r="J99" s="546"/>
    </row>
    <row r="100" spans="1:10">
      <c r="A100" s="545">
        <v>98</v>
      </c>
      <c r="B100" s="545">
        <v>2096</v>
      </c>
      <c r="C100" s="545" t="s">
        <v>1722</v>
      </c>
      <c r="D100" s="545"/>
      <c r="E100" s="545" t="s">
        <v>1656</v>
      </c>
      <c r="F100" s="545" t="s">
        <v>1656</v>
      </c>
      <c r="G100" s="545" t="s">
        <v>1656</v>
      </c>
      <c r="H100" s="542"/>
      <c r="I100" s="542"/>
      <c r="J100" s="546"/>
    </row>
    <row r="101" spans="1:10">
      <c r="A101" s="545">
        <v>99</v>
      </c>
      <c r="B101" s="545">
        <v>2097</v>
      </c>
      <c r="C101" s="545" t="s">
        <v>1325</v>
      </c>
      <c r="D101" s="545"/>
      <c r="E101" s="545" t="s">
        <v>1656</v>
      </c>
      <c r="F101" s="545" t="s">
        <v>1656</v>
      </c>
      <c r="G101" s="545" t="s">
        <v>1656</v>
      </c>
      <c r="H101" s="542"/>
      <c r="I101" s="542"/>
      <c r="J101" s="546"/>
    </row>
    <row r="102" spans="1:10">
      <c r="A102" s="545">
        <v>100</v>
      </c>
      <c r="B102" s="545">
        <v>2098</v>
      </c>
      <c r="C102" s="545" t="s">
        <v>1723</v>
      </c>
      <c r="D102" s="545"/>
      <c r="E102" s="545" t="s">
        <v>1656</v>
      </c>
      <c r="F102" s="545" t="s">
        <v>1656</v>
      </c>
      <c r="G102" s="545" t="s">
        <v>1656</v>
      </c>
      <c r="H102" s="542"/>
      <c r="I102" s="542"/>
      <c r="J102" s="546"/>
    </row>
    <row r="103" spans="1:10">
      <c r="A103" s="545">
        <v>101</v>
      </c>
      <c r="B103" s="545">
        <v>2099</v>
      </c>
      <c r="C103" s="545" t="s">
        <v>1327</v>
      </c>
      <c r="D103" s="545"/>
      <c r="E103" s="545" t="s">
        <v>1656</v>
      </c>
      <c r="F103" s="545" t="s">
        <v>1656</v>
      </c>
      <c r="G103" s="545" t="s">
        <v>1656</v>
      </c>
      <c r="H103" s="542" t="s">
        <v>1724</v>
      </c>
      <c r="I103" s="542" t="s">
        <v>1645</v>
      </c>
      <c r="J103" s="546"/>
    </row>
    <row r="104" spans="1:10">
      <c r="A104" s="545">
        <v>102</v>
      </c>
      <c r="B104" s="545">
        <v>2100</v>
      </c>
      <c r="C104" s="545" t="s">
        <v>1725</v>
      </c>
      <c r="D104" s="545"/>
      <c r="E104" s="545" t="s">
        <v>1656</v>
      </c>
      <c r="F104" s="545" t="s">
        <v>1656</v>
      </c>
      <c r="G104" s="545" t="s">
        <v>1656</v>
      </c>
      <c r="H104" s="542"/>
      <c r="I104" s="542"/>
      <c r="J104" s="546"/>
    </row>
    <row r="105" spans="1:10">
      <c r="A105" s="545">
        <v>103</v>
      </c>
      <c r="B105" s="545">
        <v>2101</v>
      </c>
      <c r="C105" s="545" t="s">
        <v>1726</v>
      </c>
      <c r="D105" s="545"/>
      <c r="E105" s="545" t="s">
        <v>1656</v>
      </c>
      <c r="F105" s="545" t="s">
        <v>1656</v>
      </c>
      <c r="G105" s="545" t="s">
        <v>1656</v>
      </c>
      <c r="H105" s="542"/>
      <c r="I105" s="542"/>
      <c r="J105" s="546"/>
    </row>
    <row r="106" spans="1:10">
      <c r="A106" s="545">
        <v>104</v>
      </c>
      <c r="B106" s="545">
        <v>2102</v>
      </c>
      <c r="C106" s="545" t="s">
        <v>1727</v>
      </c>
      <c r="D106" s="545"/>
      <c r="E106" s="545" t="s">
        <v>1656</v>
      </c>
      <c r="F106" s="545" t="s">
        <v>1656</v>
      </c>
      <c r="G106" s="545" t="s">
        <v>1656</v>
      </c>
      <c r="H106" s="542"/>
      <c r="I106" s="542"/>
      <c r="J106" s="546"/>
    </row>
    <row r="107" spans="1:10">
      <c r="A107" s="545">
        <v>105</v>
      </c>
      <c r="B107" s="545">
        <v>2103</v>
      </c>
      <c r="C107" s="545" t="s">
        <v>1728</v>
      </c>
      <c r="D107" s="545"/>
      <c r="E107" s="545" t="s">
        <v>1656</v>
      </c>
      <c r="F107" s="545" t="s">
        <v>1656</v>
      </c>
      <c r="G107" s="545" t="s">
        <v>1656</v>
      </c>
      <c r="H107" s="542"/>
      <c r="I107" s="542"/>
      <c r="J107" s="546"/>
    </row>
    <row r="108" spans="1:10">
      <c r="A108" s="545">
        <v>106</v>
      </c>
      <c r="B108" s="545">
        <v>2104</v>
      </c>
      <c r="C108" s="545" t="s">
        <v>1729</v>
      </c>
      <c r="D108" s="545"/>
      <c r="E108" s="545" t="s">
        <v>1656</v>
      </c>
      <c r="F108" s="545" t="s">
        <v>1656</v>
      </c>
      <c r="G108" s="545" t="s">
        <v>1656</v>
      </c>
      <c r="H108" s="542"/>
      <c r="I108" s="542"/>
      <c r="J108" s="546"/>
    </row>
    <row r="109" spans="1:10">
      <c r="A109" s="545">
        <v>107</v>
      </c>
      <c r="B109" s="545">
        <v>2105</v>
      </c>
      <c r="C109" s="545" t="s">
        <v>1730</v>
      </c>
      <c r="D109" s="545"/>
      <c r="E109" s="545" t="s">
        <v>1656</v>
      </c>
      <c r="F109" s="545" t="s">
        <v>1656</v>
      </c>
      <c r="G109" s="545" t="s">
        <v>1656</v>
      </c>
      <c r="H109" s="542"/>
      <c r="I109" s="542"/>
      <c r="J109" s="546"/>
    </row>
    <row r="110" spans="1:10">
      <c r="A110" s="545">
        <v>108</v>
      </c>
      <c r="B110" s="545">
        <v>2106</v>
      </c>
      <c r="C110" s="545" t="s">
        <v>1362</v>
      </c>
      <c r="D110" s="545"/>
      <c r="E110" s="545" t="s">
        <v>1656</v>
      </c>
      <c r="F110" s="545" t="s">
        <v>1656</v>
      </c>
      <c r="G110" s="545" t="s">
        <v>1656</v>
      </c>
      <c r="H110" s="542"/>
      <c r="I110" s="542"/>
      <c r="J110" s="546"/>
    </row>
    <row r="111" spans="1:10">
      <c r="A111" s="545">
        <v>109</v>
      </c>
      <c r="B111" s="545">
        <v>2107</v>
      </c>
      <c r="C111" s="545" t="s">
        <v>1731</v>
      </c>
      <c r="D111" s="545"/>
      <c r="E111" s="545" t="s">
        <v>1656</v>
      </c>
      <c r="F111" s="545" t="s">
        <v>1656</v>
      </c>
      <c r="G111" s="545" t="s">
        <v>1656</v>
      </c>
      <c r="H111" s="542"/>
      <c r="I111" s="542"/>
      <c r="J111" s="546"/>
    </row>
    <row r="112" spans="1:10">
      <c r="A112" s="545">
        <v>110</v>
      </c>
      <c r="B112" s="545">
        <v>2108</v>
      </c>
      <c r="C112" s="545" t="s">
        <v>1732</v>
      </c>
      <c r="D112" s="545"/>
      <c r="E112" s="545" t="s">
        <v>1656</v>
      </c>
      <c r="F112" s="545" t="s">
        <v>1656</v>
      </c>
      <c r="G112" s="545" t="s">
        <v>1656</v>
      </c>
      <c r="H112" s="542" t="s">
        <v>1724</v>
      </c>
      <c r="I112" s="542" t="s">
        <v>1645</v>
      </c>
      <c r="J112" s="546"/>
    </row>
    <row r="113" spans="1:10">
      <c r="A113" s="545">
        <v>111</v>
      </c>
      <c r="B113" s="545">
        <v>2109</v>
      </c>
      <c r="C113" s="545" t="s">
        <v>1733</v>
      </c>
      <c r="D113" s="545"/>
      <c r="E113" s="545" t="s">
        <v>1656</v>
      </c>
      <c r="F113" s="545" t="s">
        <v>1656</v>
      </c>
      <c r="G113" s="545" t="s">
        <v>1656</v>
      </c>
      <c r="H113" s="542"/>
      <c r="I113" s="542"/>
      <c r="J113" s="546"/>
    </row>
    <row r="114" spans="1:10">
      <c r="A114" s="545">
        <v>112</v>
      </c>
      <c r="B114" s="545">
        <v>2110</v>
      </c>
      <c r="C114" s="545" t="s">
        <v>1734</v>
      </c>
      <c r="D114" s="545"/>
      <c r="E114" s="545" t="s">
        <v>1656</v>
      </c>
      <c r="F114" s="545" t="s">
        <v>1656</v>
      </c>
      <c r="G114" s="545" t="s">
        <v>1656</v>
      </c>
      <c r="H114" s="542"/>
      <c r="I114" s="542"/>
      <c r="J114" s="546"/>
    </row>
    <row r="115" spans="1:10">
      <c r="A115" s="545">
        <v>113</v>
      </c>
      <c r="B115" s="545">
        <v>2111</v>
      </c>
      <c r="C115" s="545" t="s">
        <v>1735</v>
      </c>
      <c r="D115" s="545"/>
      <c r="E115" s="545" t="s">
        <v>1656</v>
      </c>
      <c r="F115" s="545" t="s">
        <v>1656</v>
      </c>
      <c r="G115" s="545" t="s">
        <v>1656</v>
      </c>
      <c r="H115" s="542"/>
      <c r="I115" s="542"/>
      <c r="J115" s="546"/>
    </row>
    <row r="116" spans="1:10">
      <c r="A116" s="545">
        <v>114</v>
      </c>
      <c r="B116" s="545">
        <v>2112</v>
      </c>
      <c r="C116" s="545" t="s">
        <v>1736</v>
      </c>
      <c r="D116" s="545"/>
      <c r="E116" s="545" t="s">
        <v>1656</v>
      </c>
      <c r="F116" s="545" t="s">
        <v>1656</v>
      </c>
      <c r="G116" s="545" t="s">
        <v>1656</v>
      </c>
      <c r="H116" s="542"/>
      <c r="I116" s="542"/>
      <c r="J116" s="546"/>
    </row>
    <row r="117" spans="1:10">
      <c r="A117" s="545">
        <v>115</v>
      </c>
      <c r="B117" s="545">
        <v>2113</v>
      </c>
      <c r="C117" s="545" t="s">
        <v>1737</v>
      </c>
      <c r="D117" s="545"/>
      <c r="E117" s="545" t="s">
        <v>1656</v>
      </c>
      <c r="F117" s="545" t="s">
        <v>1656</v>
      </c>
      <c r="G117" s="545" t="s">
        <v>1656</v>
      </c>
      <c r="H117" s="542"/>
      <c r="I117" s="542"/>
      <c r="J117" s="546"/>
    </row>
    <row r="118" spans="1:10">
      <c r="A118" s="545">
        <v>116</v>
      </c>
      <c r="B118" s="545">
        <v>2114</v>
      </c>
      <c r="C118" s="545" t="s">
        <v>1738</v>
      </c>
      <c r="D118" s="545"/>
      <c r="E118" s="545" t="s">
        <v>1656</v>
      </c>
      <c r="F118" s="545" t="s">
        <v>1656</v>
      </c>
      <c r="G118" s="545" t="s">
        <v>1656</v>
      </c>
      <c r="H118" s="542"/>
      <c r="I118" s="542"/>
      <c r="J118" s="546"/>
    </row>
    <row r="119" spans="1:10">
      <c r="A119" s="545">
        <v>117</v>
      </c>
      <c r="B119" s="545">
        <v>2115</v>
      </c>
      <c r="C119" s="545" t="s">
        <v>1739</v>
      </c>
      <c r="D119" s="545"/>
      <c r="E119" s="545" t="s">
        <v>1656</v>
      </c>
      <c r="F119" s="545" t="s">
        <v>1656</v>
      </c>
      <c r="G119" s="545" t="s">
        <v>1656</v>
      </c>
      <c r="H119" s="542"/>
      <c r="I119" s="542"/>
      <c r="J119" s="546"/>
    </row>
    <row r="120" spans="1:10">
      <c r="A120" s="545">
        <v>118</v>
      </c>
      <c r="B120" s="545">
        <v>2116</v>
      </c>
      <c r="C120" s="545" t="s">
        <v>1740</v>
      </c>
      <c r="D120" s="545"/>
      <c r="E120" s="545" t="s">
        <v>1656</v>
      </c>
      <c r="F120" s="545" t="s">
        <v>1656</v>
      </c>
      <c r="G120" s="545" t="s">
        <v>1656</v>
      </c>
      <c r="H120" s="542"/>
      <c r="I120" s="542"/>
      <c r="J120" s="546"/>
    </row>
    <row r="121" spans="1:10">
      <c r="A121" s="545">
        <v>119</v>
      </c>
      <c r="B121" s="545">
        <v>2117</v>
      </c>
      <c r="C121" s="545" t="s">
        <v>1741</v>
      </c>
      <c r="D121" s="545"/>
      <c r="E121" s="545" t="s">
        <v>1656</v>
      </c>
      <c r="F121" s="545" t="s">
        <v>1656</v>
      </c>
      <c r="G121" s="545" t="s">
        <v>1656</v>
      </c>
      <c r="H121" s="542"/>
      <c r="I121" s="542"/>
      <c r="J121" s="546"/>
    </row>
    <row r="122" spans="1:10">
      <c r="A122" s="545">
        <v>120</v>
      </c>
      <c r="B122" s="545">
        <v>2118</v>
      </c>
      <c r="C122" s="545" t="s">
        <v>1742</v>
      </c>
      <c r="D122" s="545"/>
      <c r="E122" s="545" t="s">
        <v>1656</v>
      </c>
      <c r="F122" s="545" t="s">
        <v>1656</v>
      </c>
      <c r="G122" s="545" t="s">
        <v>1656</v>
      </c>
      <c r="H122" s="542"/>
      <c r="I122" s="542"/>
      <c r="J122" s="546"/>
    </row>
    <row r="123" spans="1:10" ht="27.6">
      <c r="A123" s="545">
        <v>121</v>
      </c>
      <c r="B123" s="545">
        <v>2119</v>
      </c>
      <c r="C123" s="545" t="s">
        <v>1743</v>
      </c>
      <c r="D123" s="545"/>
      <c r="E123" s="545" t="s">
        <v>1656</v>
      </c>
      <c r="F123" s="545" t="s">
        <v>1656</v>
      </c>
      <c r="G123" s="545" t="s">
        <v>1656</v>
      </c>
      <c r="H123" s="542"/>
      <c r="I123" s="542"/>
      <c r="J123" s="546"/>
    </row>
    <row r="124" spans="1:10">
      <c r="A124" s="545">
        <v>122</v>
      </c>
      <c r="B124" s="545">
        <v>2120</v>
      </c>
      <c r="C124" s="545" t="s">
        <v>1744</v>
      </c>
      <c r="D124" s="545"/>
      <c r="E124" s="545" t="s">
        <v>1656</v>
      </c>
      <c r="F124" s="545" t="s">
        <v>1656</v>
      </c>
      <c r="G124" s="545" t="s">
        <v>1656</v>
      </c>
      <c r="H124" s="542"/>
      <c r="I124" s="542"/>
      <c r="J124" s="546"/>
    </row>
    <row r="125" spans="1:10" ht="27.6">
      <c r="A125" s="545">
        <v>123</v>
      </c>
      <c r="B125" s="545">
        <v>2121</v>
      </c>
      <c r="C125" s="545" t="s">
        <v>1745</v>
      </c>
      <c r="D125" s="545"/>
      <c r="E125" s="545" t="s">
        <v>1656</v>
      </c>
      <c r="F125" s="545" t="s">
        <v>1656</v>
      </c>
      <c r="G125" s="545" t="s">
        <v>1656</v>
      </c>
      <c r="H125" s="542"/>
      <c r="I125" s="542"/>
      <c r="J125" s="546"/>
    </row>
    <row r="126" spans="1:10">
      <c r="A126" s="545">
        <v>124</v>
      </c>
      <c r="B126" s="545">
        <v>2122</v>
      </c>
      <c r="C126" s="545" t="s">
        <v>1339</v>
      </c>
      <c r="D126" s="545"/>
      <c r="E126" s="545" t="s">
        <v>1656</v>
      </c>
      <c r="F126" s="545" t="s">
        <v>1656</v>
      </c>
      <c r="G126" s="545" t="s">
        <v>1656</v>
      </c>
      <c r="H126" s="542"/>
      <c r="I126" s="542"/>
      <c r="J126" s="546"/>
    </row>
    <row r="127" spans="1:10">
      <c r="A127" s="545">
        <v>125</v>
      </c>
      <c r="B127" s="545">
        <v>2123</v>
      </c>
      <c r="C127" s="545" t="s">
        <v>6</v>
      </c>
      <c r="D127" s="545"/>
      <c r="E127" s="545" t="s">
        <v>1656</v>
      </c>
      <c r="F127" s="545" t="s">
        <v>1656</v>
      </c>
      <c r="G127" s="545" t="s">
        <v>1656</v>
      </c>
      <c r="H127" s="542"/>
      <c r="I127" s="542"/>
      <c r="J127" s="546"/>
    </row>
    <row r="128" spans="1:10">
      <c r="A128" s="545">
        <v>126</v>
      </c>
      <c r="B128" s="545">
        <v>2124</v>
      </c>
      <c r="C128" s="545" t="s">
        <v>1746</v>
      </c>
      <c r="D128" s="545"/>
      <c r="E128" s="545" t="s">
        <v>1656</v>
      </c>
      <c r="F128" s="545" t="s">
        <v>1656</v>
      </c>
      <c r="G128" s="545" t="s">
        <v>1656</v>
      </c>
      <c r="H128" s="542"/>
      <c r="I128" s="542"/>
      <c r="J128" s="546"/>
    </row>
    <row r="129" spans="1:10" ht="27.6">
      <c r="A129" s="545">
        <v>127</v>
      </c>
      <c r="B129" s="545">
        <v>2125</v>
      </c>
      <c r="C129" s="545" t="s">
        <v>1747</v>
      </c>
      <c r="D129" s="545"/>
      <c r="E129" s="545" t="s">
        <v>1656</v>
      </c>
      <c r="F129" s="545" t="s">
        <v>1656</v>
      </c>
      <c r="G129" s="545" t="s">
        <v>1656</v>
      </c>
      <c r="H129" s="542"/>
      <c r="I129" s="542"/>
      <c r="J129" s="546"/>
    </row>
    <row r="130" spans="1:10">
      <c r="A130" s="545">
        <v>128</v>
      </c>
      <c r="B130" s="545">
        <v>2126</v>
      </c>
      <c r="C130" s="545" t="s">
        <v>1748</v>
      </c>
      <c r="D130" s="545"/>
      <c r="E130" s="545" t="s">
        <v>1656</v>
      </c>
      <c r="F130" s="545" t="s">
        <v>1656</v>
      </c>
      <c r="G130" s="545" t="s">
        <v>1656</v>
      </c>
      <c r="H130" s="542"/>
      <c r="I130" s="542"/>
      <c r="J130" s="546"/>
    </row>
    <row r="131" spans="1:10">
      <c r="A131" s="545">
        <v>129</v>
      </c>
      <c r="B131" s="545">
        <v>2127</v>
      </c>
      <c r="C131" s="545" t="s">
        <v>1749</v>
      </c>
      <c r="D131" s="545"/>
      <c r="E131" s="545" t="s">
        <v>1656</v>
      </c>
      <c r="F131" s="545" t="s">
        <v>1656</v>
      </c>
      <c r="G131" s="545" t="s">
        <v>1656</v>
      </c>
      <c r="H131" s="542"/>
      <c r="I131" s="542"/>
      <c r="J131" s="546"/>
    </row>
    <row r="132" spans="1:10">
      <c r="A132" s="545">
        <v>130</v>
      </c>
      <c r="B132" s="545">
        <v>2128</v>
      </c>
      <c r="C132" s="545" t="s">
        <v>1750</v>
      </c>
      <c r="D132" s="545"/>
      <c r="E132" s="545" t="s">
        <v>1656</v>
      </c>
      <c r="F132" s="545" t="s">
        <v>1656</v>
      </c>
      <c r="G132" s="545" t="s">
        <v>1656</v>
      </c>
      <c r="H132" s="542"/>
      <c r="I132" s="542"/>
      <c r="J132" s="546"/>
    </row>
    <row r="133" spans="1:10">
      <c r="A133" s="545">
        <v>131</v>
      </c>
      <c r="B133" s="545">
        <v>2129</v>
      </c>
      <c r="C133" s="545" t="s">
        <v>1131</v>
      </c>
      <c r="D133" s="545"/>
      <c r="E133" s="545" t="s">
        <v>1656</v>
      </c>
      <c r="F133" s="545" t="s">
        <v>1656</v>
      </c>
      <c r="G133" s="545" t="s">
        <v>1656</v>
      </c>
      <c r="H133" s="542"/>
      <c r="I133" s="542"/>
      <c r="J133" s="546"/>
    </row>
    <row r="134" spans="1:10">
      <c r="A134" s="545">
        <v>132</v>
      </c>
      <c r="B134" s="545">
        <v>2130</v>
      </c>
      <c r="C134" s="545" t="s">
        <v>1751</v>
      </c>
      <c r="D134" s="545"/>
      <c r="E134" s="545" t="s">
        <v>1656</v>
      </c>
      <c r="F134" s="545" t="s">
        <v>1656</v>
      </c>
      <c r="G134" s="545" t="s">
        <v>1656</v>
      </c>
      <c r="H134" s="542"/>
      <c r="I134" s="542"/>
      <c r="J134" s="546"/>
    </row>
    <row r="135" spans="1:10">
      <c r="A135" s="545">
        <v>133</v>
      </c>
      <c r="B135" s="545">
        <v>2131</v>
      </c>
      <c r="C135" s="545" t="s">
        <v>1752</v>
      </c>
      <c r="D135" s="545"/>
      <c r="E135" s="545" t="s">
        <v>1656</v>
      </c>
      <c r="F135" s="545" t="s">
        <v>1656</v>
      </c>
      <c r="G135" s="545" t="s">
        <v>1656</v>
      </c>
      <c r="H135" s="542"/>
      <c r="I135" s="542"/>
      <c r="J135" s="546"/>
    </row>
    <row r="136" spans="1:10">
      <c r="A136" s="545">
        <v>134</v>
      </c>
      <c r="B136" s="545">
        <v>2132</v>
      </c>
      <c r="C136" s="545" t="s">
        <v>1753</v>
      </c>
      <c r="D136" s="545"/>
      <c r="E136" s="545" t="s">
        <v>1656</v>
      </c>
      <c r="F136" s="545" t="s">
        <v>1656</v>
      </c>
      <c r="G136" s="545" t="s">
        <v>1656</v>
      </c>
      <c r="H136" s="542"/>
      <c r="I136" s="542"/>
      <c r="J136" s="546"/>
    </row>
    <row r="137" spans="1:10">
      <c r="A137" s="545">
        <v>135</v>
      </c>
      <c r="B137" s="545">
        <v>2133</v>
      </c>
      <c r="C137" s="545" t="s">
        <v>1754</v>
      </c>
      <c r="D137" s="545"/>
      <c r="E137" s="546"/>
      <c r="F137" s="546"/>
      <c r="G137" s="546"/>
      <c r="H137" s="547"/>
      <c r="I137" s="547"/>
      <c r="J137" s="546"/>
    </row>
    <row r="138" spans="1:10">
      <c r="A138" s="545">
        <v>136</v>
      </c>
      <c r="B138" s="545">
        <v>2134</v>
      </c>
      <c r="C138" s="545" t="s">
        <v>1755</v>
      </c>
      <c r="D138" s="545"/>
      <c r="E138" s="546"/>
      <c r="F138" s="546"/>
      <c r="G138" s="546"/>
      <c r="H138" s="547"/>
      <c r="I138" s="547"/>
      <c r="J138" s="546"/>
    </row>
    <row r="139" spans="1:10">
      <c r="A139" s="545">
        <v>137</v>
      </c>
      <c r="B139" s="545">
        <v>2135</v>
      </c>
      <c r="C139" s="545" t="s">
        <v>1756</v>
      </c>
      <c r="D139" s="545"/>
      <c r="E139" s="546"/>
      <c r="F139" s="546"/>
      <c r="G139" s="546"/>
      <c r="H139" s="547"/>
      <c r="I139" s="547"/>
      <c r="J139" s="546"/>
    </row>
    <row r="140" spans="1:10">
      <c r="A140" s="545">
        <v>138</v>
      </c>
      <c r="B140" s="545">
        <v>2136</v>
      </c>
      <c r="C140" s="545" t="s">
        <v>867</v>
      </c>
      <c r="D140" s="545"/>
      <c r="E140" s="546"/>
      <c r="F140" s="546"/>
      <c r="G140" s="546"/>
      <c r="H140" s="547"/>
      <c r="I140" s="547"/>
      <c r="J140" s="546"/>
    </row>
    <row r="141" spans="1:10">
      <c r="A141" s="545">
        <v>139</v>
      </c>
      <c r="B141" s="545">
        <v>2137</v>
      </c>
      <c r="C141" s="545" t="s">
        <v>1757</v>
      </c>
      <c r="D141" s="545"/>
      <c r="E141" s="546"/>
      <c r="F141" s="546"/>
      <c r="G141" s="546"/>
      <c r="H141" s="547"/>
      <c r="I141" s="547"/>
      <c r="J141" s="546"/>
    </row>
    <row r="142" spans="1:10">
      <c r="A142" s="545">
        <v>140</v>
      </c>
      <c r="B142" s="545">
        <v>2138</v>
      </c>
      <c r="C142" s="545" t="s">
        <v>1758</v>
      </c>
      <c r="D142" s="545"/>
      <c r="E142" s="546"/>
      <c r="F142" s="546"/>
      <c r="G142" s="546"/>
      <c r="H142" s="547"/>
      <c r="I142" s="547"/>
      <c r="J142" s="546"/>
    </row>
    <row r="143" spans="1:10">
      <c r="A143" s="545">
        <v>141</v>
      </c>
      <c r="B143" s="545">
        <v>2139</v>
      </c>
      <c r="C143" s="545" t="s">
        <v>830</v>
      </c>
      <c r="D143" s="545"/>
      <c r="E143" s="546"/>
      <c r="F143" s="546"/>
      <c r="G143" s="546"/>
      <c r="H143" s="547"/>
      <c r="I143" s="547"/>
      <c r="J143" s="546"/>
    </row>
    <row r="144" spans="1:10">
      <c r="A144" s="545">
        <v>142</v>
      </c>
      <c r="B144" s="545">
        <v>2140</v>
      </c>
      <c r="C144" s="545" t="s">
        <v>1759</v>
      </c>
      <c r="D144" s="545"/>
      <c r="E144" s="546"/>
      <c r="F144" s="546"/>
      <c r="G144" s="546"/>
      <c r="H144" s="547"/>
      <c r="I144" s="547"/>
      <c r="J144" s="546"/>
    </row>
    <row r="145" spans="1:10">
      <c r="A145" s="545">
        <v>143</v>
      </c>
      <c r="B145" s="545">
        <v>2141</v>
      </c>
      <c r="C145" s="545" t="s">
        <v>1760</v>
      </c>
      <c r="D145" s="545"/>
      <c r="E145" s="546"/>
      <c r="F145" s="546"/>
      <c r="G145" s="546"/>
      <c r="H145" s="547"/>
      <c r="I145" s="547"/>
      <c r="J145" s="546"/>
    </row>
    <row r="146" spans="1:10">
      <c r="A146" s="545">
        <v>144</v>
      </c>
      <c r="B146" s="545">
        <v>2142</v>
      </c>
      <c r="C146" s="545" t="s">
        <v>1761</v>
      </c>
      <c r="D146" s="545"/>
      <c r="E146" s="546"/>
      <c r="F146" s="546"/>
      <c r="G146" s="546"/>
      <c r="H146" s="547"/>
      <c r="I146" s="547"/>
      <c r="J146" s="546"/>
    </row>
    <row r="147" spans="1:10">
      <c r="A147" s="545">
        <v>145</v>
      </c>
      <c r="B147" s="545">
        <v>2143</v>
      </c>
      <c r="C147" s="545" t="s">
        <v>1762</v>
      </c>
      <c r="D147" s="545"/>
      <c r="E147" s="546"/>
      <c r="F147" s="546"/>
      <c r="G147" s="546"/>
      <c r="H147" s="542" t="s">
        <v>1644</v>
      </c>
      <c r="I147" s="542" t="s">
        <v>1645</v>
      </c>
      <c r="J147" s="546"/>
    </row>
    <row r="148" spans="1:10">
      <c r="B148" s="545">
        <v>2144</v>
      </c>
      <c r="C148" s="545" t="s">
        <v>1763</v>
      </c>
      <c r="E148" s="545" t="s">
        <v>1656</v>
      </c>
      <c r="F148" s="545" t="s">
        <v>1656</v>
      </c>
      <c r="G148" s="545" t="s">
        <v>1656</v>
      </c>
      <c r="H148" s="542" t="s">
        <v>1644</v>
      </c>
      <c r="I148" s="542" t="s">
        <v>1645</v>
      </c>
      <c r="J148" s="546" t="s">
        <v>94</v>
      </c>
    </row>
    <row r="149" spans="1:10">
      <c r="B149" s="545">
        <v>2145</v>
      </c>
      <c r="C149" s="545" t="s">
        <v>1539</v>
      </c>
      <c r="H149" s="281" t="s">
        <v>1644</v>
      </c>
      <c r="I149" s="281" t="s">
        <v>1645</v>
      </c>
      <c r="J149" s="546" t="s">
        <v>96</v>
      </c>
    </row>
    <row r="171" spans="3:4">
      <c r="C171" s="545" t="s">
        <v>1245</v>
      </c>
      <c r="D171">
        <f>COUNTIFS($C$171:$C$276,C171)</f>
        <v>1</v>
      </c>
    </row>
    <row r="172" spans="3:4">
      <c r="C172" s="545" t="s">
        <v>1660</v>
      </c>
      <c r="D172">
        <f t="shared" ref="D172:D235" si="0">COUNTIFS($C$171:$C$276,C172)</f>
        <v>1</v>
      </c>
    </row>
    <row r="173" spans="3:4">
      <c r="C173" s="545" t="s">
        <v>1661</v>
      </c>
      <c r="D173">
        <f t="shared" si="0"/>
        <v>1</v>
      </c>
    </row>
    <row r="174" spans="3:4">
      <c r="C174" s="545" t="s">
        <v>1662</v>
      </c>
      <c r="D174">
        <f t="shared" si="0"/>
        <v>1</v>
      </c>
    </row>
    <row r="175" spans="3:4">
      <c r="C175" s="545" t="s">
        <v>1663</v>
      </c>
      <c r="D175">
        <f t="shared" si="0"/>
        <v>1</v>
      </c>
    </row>
    <row r="176" spans="3:4">
      <c r="C176" s="545" t="s">
        <v>1667</v>
      </c>
      <c r="D176">
        <f t="shared" si="0"/>
        <v>1</v>
      </c>
    </row>
    <row r="177" spans="3:4">
      <c r="C177" s="545" t="s">
        <v>1672</v>
      </c>
      <c r="D177">
        <f t="shared" si="0"/>
        <v>1</v>
      </c>
    </row>
    <row r="178" spans="3:4">
      <c r="C178" s="545" t="s">
        <v>1673</v>
      </c>
      <c r="D178">
        <f t="shared" si="0"/>
        <v>1</v>
      </c>
    </row>
    <row r="179" spans="3:4">
      <c r="C179" s="545" t="s">
        <v>1675</v>
      </c>
      <c r="D179">
        <f t="shared" si="0"/>
        <v>2</v>
      </c>
    </row>
    <row r="180" spans="3:4">
      <c r="C180" s="545" t="s">
        <v>1676</v>
      </c>
      <c r="D180">
        <f t="shared" si="0"/>
        <v>1</v>
      </c>
    </row>
    <row r="181" spans="3:4">
      <c r="C181" s="545" t="s">
        <v>1677</v>
      </c>
      <c r="D181">
        <f t="shared" si="0"/>
        <v>1</v>
      </c>
    </row>
    <row r="182" spans="3:4">
      <c r="C182" s="545" t="s">
        <v>1108</v>
      </c>
      <c r="D182">
        <f t="shared" si="0"/>
        <v>1</v>
      </c>
    </row>
    <row r="183" spans="3:4">
      <c r="C183" s="545" t="s">
        <v>1678</v>
      </c>
      <c r="D183">
        <f t="shared" si="0"/>
        <v>1</v>
      </c>
    </row>
    <row r="184" spans="3:4">
      <c r="C184" s="545" t="s">
        <v>1680</v>
      </c>
      <c r="D184">
        <f t="shared" si="0"/>
        <v>1</v>
      </c>
    </row>
    <row r="185" spans="3:4">
      <c r="C185" s="545" t="s">
        <v>1684</v>
      </c>
      <c r="D185">
        <f t="shared" si="0"/>
        <v>2</v>
      </c>
    </row>
    <row r="186" spans="3:4">
      <c r="C186" s="545" t="s">
        <v>1523</v>
      </c>
      <c r="D186">
        <f t="shared" si="0"/>
        <v>1</v>
      </c>
    </row>
    <row r="187" spans="3:4">
      <c r="C187" s="545" t="s">
        <v>1433</v>
      </c>
      <c r="D187">
        <f t="shared" si="0"/>
        <v>1</v>
      </c>
    </row>
    <row r="188" spans="3:4">
      <c r="C188" s="545" t="s">
        <v>798</v>
      </c>
      <c r="D188">
        <f t="shared" si="0"/>
        <v>1</v>
      </c>
    </row>
    <row r="189" spans="3:4">
      <c r="C189" s="545" t="s">
        <v>1297</v>
      </c>
      <c r="D189">
        <f t="shared" si="0"/>
        <v>1</v>
      </c>
    </row>
    <row r="190" spans="3:4">
      <c r="C190" s="545" t="s">
        <v>1689</v>
      </c>
      <c r="D190">
        <f t="shared" si="0"/>
        <v>1</v>
      </c>
    </row>
    <row r="191" spans="3:4">
      <c r="C191" s="545" t="s">
        <v>1323</v>
      </c>
      <c r="D191">
        <f t="shared" si="0"/>
        <v>1</v>
      </c>
    </row>
    <row r="192" spans="3:4">
      <c r="C192" s="545" t="s">
        <v>852</v>
      </c>
      <c r="D192">
        <f t="shared" si="0"/>
        <v>1</v>
      </c>
    </row>
    <row r="193" spans="3:4" ht="27.6">
      <c r="C193" s="545" t="s">
        <v>1693</v>
      </c>
      <c r="D193">
        <f t="shared" si="0"/>
        <v>1</v>
      </c>
    </row>
    <row r="194" spans="3:4">
      <c r="C194" s="545" t="s">
        <v>1036</v>
      </c>
      <c r="D194">
        <f t="shared" si="0"/>
        <v>1</v>
      </c>
    </row>
    <row r="195" spans="3:4">
      <c r="C195" s="545" t="s">
        <v>1695</v>
      </c>
      <c r="D195">
        <f t="shared" si="0"/>
        <v>1</v>
      </c>
    </row>
    <row r="196" spans="3:4">
      <c r="C196" s="545" t="s">
        <v>1696</v>
      </c>
      <c r="D196">
        <f t="shared" si="0"/>
        <v>1</v>
      </c>
    </row>
    <row r="197" spans="3:4">
      <c r="C197" s="545" t="s">
        <v>859</v>
      </c>
      <c r="D197">
        <f t="shared" si="0"/>
        <v>1</v>
      </c>
    </row>
    <row r="198" spans="3:4">
      <c r="C198" s="545" t="s">
        <v>847</v>
      </c>
      <c r="D198">
        <f t="shared" si="0"/>
        <v>1</v>
      </c>
    </row>
    <row r="199" spans="3:4">
      <c r="C199" s="545" t="s">
        <v>797</v>
      </c>
      <c r="D199">
        <f t="shared" si="0"/>
        <v>1</v>
      </c>
    </row>
    <row r="200" spans="3:4">
      <c r="C200" s="545" t="s">
        <v>1697</v>
      </c>
      <c r="D200">
        <f t="shared" si="0"/>
        <v>1</v>
      </c>
    </row>
    <row r="201" spans="3:4">
      <c r="C201" s="545" t="s">
        <v>839</v>
      </c>
      <c r="D201">
        <f t="shared" si="0"/>
        <v>1</v>
      </c>
    </row>
    <row r="202" spans="3:4" ht="41.4">
      <c r="C202" s="545" t="s">
        <v>1698</v>
      </c>
      <c r="D202">
        <f t="shared" si="0"/>
        <v>1</v>
      </c>
    </row>
    <row r="203" spans="3:4">
      <c r="C203" s="545" t="s">
        <v>1700</v>
      </c>
      <c r="D203">
        <f t="shared" si="0"/>
        <v>1</v>
      </c>
    </row>
    <row r="204" spans="3:4">
      <c r="C204" s="545" t="s">
        <v>1701</v>
      </c>
      <c r="D204">
        <f t="shared" si="0"/>
        <v>1</v>
      </c>
    </row>
    <row r="205" spans="3:4">
      <c r="C205" s="545" t="s">
        <v>1702</v>
      </c>
      <c r="D205">
        <f t="shared" si="0"/>
        <v>1</v>
      </c>
    </row>
    <row r="206" spans="3:4">
      <c r="C206" s="545" t="s">
        <v>1230</v>
      </c>
      <c r="D206">
        <f t="shared" si="0"/>
        <v>1</v>
      </c>
    </row>
    <row r="207" spans="3:4">
      <c r="C207" s="545" t="s">
        <v>1703</v>
      </c>
      <c r="D207">
        <f t="shared" si="0"/>
        <v>1</v>
      </c>
    </row>
    <row r="208" spans="3:4">
      <c r="C208" s="545" t="s">
        <v>803</v>
      </c>
      <c r="D208">
        <f t="shared" si="0"/>
        <v>1</v>
      </c>
    </row>
    <row r="209" spans="3:4">
      <c r="C209" s="545" t="s">
        <v>1704</v>
      </c>
      <c r="D209">
        <f t="shared" si="0"/>
        <v>1</v>
      </c>
    </row>
    <row r="210" spans="3:4">
      <c r="C210" s="545" t="s">
        <v>1705</v>
      </c>
      <c r="D210">
        <f t="shared" si="0"/>
        <v>1</v>
      </c>
    </row>
    <row r="211" spans="3:4">
      <c r="C211" s="545" t="s">
        <v>1706</v>
      </c>
      <c r="D211">
        <f t="shared" si="0"/>
        <v>1</v>
      </c>
    </row>
    <row r="212" spans="3:4">
      <c r="C212" s="545" t="s">
        <v>1707</v>
      </c>
      <c r="D212">
        <f t="shared" si="0"/>
        <v>1</v>
      </c>
    </row>
    <row r="213" spans="3:4">
      <c r="C213" s="545" t="s">
        <v>1708</v>
      </c>
      <c r="D213">
        <f t="shared" si="0"/>
        <v>1</v>
      </c>
    </row>
    <row r="214" spans="3:4">
      <c r="C214" s="545" t="s">
        <v>1709</v>
      </c>
      <c r="D214">
        <f t="shared" si="0"/>
        <v>1</v>
      </c>
    </row>
    <row r="215" spans="3:4">
      <c r="C215" s="545" t="s">
        <v>863</v>
      </c>
      <c r="D215">
        <f t="shared" si="0"/>
        <v>1</v>
      </c>
    </row>
    <row r="216" spans="3:4">
      <c r="C216" s="545" t="s">
        <v>1710</v>
      </c>
      <c r="D216">
        <f t="shared" si="0"/>
        <v>1</v>
      </c>
    </row>
    <row r="217" spans="3:4">
      <c r="C217" s="545" t="s">
        <v>1711</v>
      </c>
      <c r="D217">
        <f t="shared" si="0"/>
        <v>1</v>
      </c>
    </row>
    <row r="218" spans="3:4">
      <c r="C218" s="545" t="s">
        <v>1712</v>
      </c>
      <c r="D218">
        <f t="shared" si="0"/>
        <v>1</v>
      </c>
    </row>
    <row r="219" spans="3:4">
      <c r="C219" s="545" t="s">
        <v>1713</v>
      </c>
      <c r="D219">
        <f t="shared" si="0"/>
        <v>1</v>
      </c>
    </row>
    <row r="220" spans="3:4">
      <c r="C220" s="545" t="s">
        <v>1714</v>
      </c>
      <c r="D220">
        <f t="shared" si="0"/>
        <v>1</v>
      </c>
    </row>
    <row r="221" spans="3:4">
      <c r="C221" s="545" t="s">
        <v>1715</v>
      </c>
      <c r="D221">
        <f t="shared" si="0"/>
        <v>1</v>
      </c>
    </row>
    <row r="222" spans="3:4">
      <c r="C222" s="545" t="s">
        <v>1716</v>
      </c>
      <c r="D222">
        <f t="shared" si="0"/>
        <v>1</v>
      </c>
    </row>
    <row r="223" spans="3:4">
      <c r="C223" s="545" t="s">
        <v>799</v>
      </c>
      <c r="D223">
        <f t="shared" si="0"/>
        <v>1</v>
      </c>
    </row>
    <row r="224" spans="3:4">
      <c r="C224" s="545" t="s">
        <v>1359</v>
      </c>
      <c r="D224">
        <f t="shared" si="0"/>
        <v>1</v>
      </c>
    </row>
    <row r="225" spans="3:4" ht="27.6">
      <c r="C225" s="545" t="s">
        <v>1717</v>
      </c>
      <c r="D225">
        <f t="shared" si="0"/>
        <v>1</v>
      </c>
    </row>
    <row r="226" spans="3:4">
      <c r="C226" s="545" t="s">
        <v>1718</v>
      </c>
      <c r="D226">
        <f t="shared" si="0"/>
        <v>1</v>
      </c>
    </row>
    <row r="227" spans="3:4">
      <c r="C227" s="545" t="s">
        <v>1719</v>
      </c>
      <c r="D227">
        <f t="shared" si="0"/>
        <v>1</v>
      </c>
    </row>
    <row r="228" spans="3:4">
      <c r="C228" s="545" t="s">
        <v>1720</v>
      </c>
      <c r="D228">
        <f t="shared" si="0"/>
        <v>1</v>
      </c>
    </row>
    <row r="229" spans="3:4">
      <c r="C229" s="545" t="s">
        <v>1721</v>
      </c>
      <c r="D229">
        <f t="shared" si="0"/>
        <v>1</v>
      </c>
    </row>
    <row r="230" spans="3:4">
      <c r="C230" s="545" t="s">
        <v>1722</v>
      </c>
      <c r="D230">
        <f t="shared" si="0"/>
        <v>1</v>
      </c>
    </row>
    <row r="231" spans="3:4">
      <c r="C231" s="545" t="s">
        <v>1325</v>
      </c>
      <c r="D231">
        <f t="shared" si="0"/>
        <v>1</v>
      </c>
    </row>
    <row r="232" spans="3:4">
      <c r="C232" s="545" t="s">
        <v>1723</v>
      </c>
      <c r="D232">
        <f t="shared" si="0"/>
        <v>1</v>
      </c>
    </row>
    <row r="233" spans="3:4">
      <c r="C233" s="545" t="s">
        <v>1327</v>
      </c>
      <c r="D233">
        <f t="shared" si="0"/>
        <v>2</v>
      </c>
    </row>
    <row r="234" spans="3:4">
      <c r="C234" s="545" t="s">
        <v>1725</v>
      </c>
      <c r="D234">
        <f t="shared" si="0"/>
        <v>1</v>
      </c>
    </row>
    <row r="235" spans="3:4">
      <c r="C235" s="545" t="s">
        <v>1726</v>
      </c>
      <c r="D235">
        <f t="shared" si="0"/>
        <v>1</v>
      </c>
    </row>
    <row r="236" spans="3:4">
      <c r="C236" s="545" t="s">
        <v>1727</v>
      </c>
      <c r="D236">
        <f t="shared" ref="D236:D276" si="1">COUNTIFS($C$171:$C$276,C236)</f>
        <v>1</v>
      </c>
    </row>
    <row r="237" spans="3:4">
      <c r="C237" s="545" t="s">
        <v>1728</v>
      </c>
      <c r="D237">
        <f t="shared" si="1"/>
        <v>1</v>
      </c>
    </row>
    <row r="238" spans="3:4">
      <c r="C238" s="545" t="s">
        <v>1729</v>
      </c>
      <c r="D238">
        <f t="shared" si="1"/>
        <v>1</v>
      </c>
    </row>
    <row r="239" spans="3:4">
      <c r="C239" s="545" t="s">
        <v>1730</v>
      </c>
      <c r="D239">
        <f t="shared" si="1"/>
        <v>1</v>
      </c>
    </row>
    <row r="240" spans="3:4">
      <c r="C240" s="545" t="s">
        <v>1362</v>
      </c>
      <c r="D240">
        <f t="shared" si="1"/>
        <v>1</v>
      </c>
    </row>
    <row r="241" spans="3:4">
      <c r="C241" s="545" t="s">
        <v>1731</v>
      </c>
      <c r="D241">
        <f t="shared" si="1"/>
        <v>1</v>
      </c>
    </row>
    <row r="242" spans="3:4">
      <c r="C242" s="545" t="s">
        <v>1732</v>
      </c>
      <c r="D242">
        <f t="shared" si="1"/>
        <v>2</v>
      </c>
    </row>
    <row r="243" spans="3:4">
      <c r="C243" s="545" t="s">
        <v>1733</v>
      </c>
      <c r="D243">
        <f t="shared" si="1"/>
        <v>1</v>
      </c>
    </row>
    <row r="244" spans="3:4">
      <c r="C244" s="545" t="s">
        <v>1734</v>
      </c>
      <c r="D244">
        <f t="shared" si="1"/>
        <v>1</v>
      </c>
    </row>
    <row r="245" spans="3:4">
      <c r="C245" s="545" t="s">
        <v>1735</v>
      </c>
      <c r="D245">
        <f t="shared" si="1"/>
        <v>1</v>
      </c>
    </row>
    <row r="246" spans="3:4">
      <c r="C246" s="545" t="s">
        <v>1736</v>
      </c>
      <c r="D246">
        <f t="shared" si="1"/>
        <v>1</v>
      </c>
    </row>
    <row r="247" spans="3:4">
      <c r="C247" s="545" t="s">
        <v>1737</v>
      </c>
      <c r="D247">
        <f t="shared" si="1"/>
        <v>1</v>
      </c>
    </row>
    <row r="248" spans="3:4">
      <c r="C248" s="545" t="s">
        <v>1738</v>
      </c>
      <c r="D248">
        <f t="shared" si="1"/>
        <v>1</v>
      </c>
    </row>
    <row r="249" spans="3:4">
      <c r="C249" s="545" t="s">
        <v>1739</v>
      </c>
      <c r="D249">
        <f t="shared" si="1"/>
        <v>1</v>
      </c>
    </row>
    <row r="250" spans="3:4">
      <c r="C250" s="545" t="s">
        <v>1740</v>
      </c>
      <c r="D250">
        <f t="shared" si="1"/>
        <v>1</v>
      </c>
    </row>
    <row r="251" spans="3:4">
      <c r="C251" s="545" t="s">
        <v>1741</v>
      </c>
      <c r="D251">
        <f t="shared" si="1"/>
        <v>1</v>
      </c>
    </row>
    <row r="252" spans="3:4">
      <c r="C252" s="545" t="s">
        <v>1742</v>
      </c>
      <c r="D252">
        <f t="shared" si="1"/>
        <v>1</v>
      </c>
    </row>
    <row r="253" spans="3:4" ht="27.6">
      <c r="C253" s="545" t="s">
        <v>1743</v>
      </c>
      <c r="D253">
        <f t="shared" si="1"/>
        <v>1</v>
      </c>
    </row>
    <row r="254" spans="3:4">
      <c r="C254" s="545" t="s">
        <v>1744</v>
      </c>
      <c r="D254">
        <f t="shared" si="1"/>
        <v>1</v>
      </c>
    </row>
    <row r="255" spans="3:4" ht="27.6">
      <c r="C255" s="545" t="s">
        <v>1745</v>
      </c>
      <c r="D255">
        <f t="shared" si="1"/>
        <v>1</v>
      </c>
    </row>
    <row r="256" spans="3:4">
      <c r="C256" s="545" t="s">
        <v>1339</v>
      </c>
      <c r="D256">
        <f t="shared" si="1"/>
        <v>1</v>
      </c>
    </row>
    <row r="257" spans="3:4">
      <c r="C257" s="545" t="s">
        <v>6</v>
      </c>
      <c r="D257">
        <f t="shared" si="1"/>
        <v>1</v>
      </c>
    </row>
    <row r="258" spans="3:4">
      <c r="C258" s="545" t="s">
        <v>1746</v>
      </c>
      <c r="D258">
        <f t="shared" si="1"/>
        <v>1</v>
      </c>
    </row>
    <row r="259" spans="3:4" ht="27.6">
      <c r="C259" s="545" t="s">
        <v>1747</v>
      </c>
      <c r="D259">
        <f t="shared" si="1"/>
        <v>1</v>
      </c>
    </row>
    <row r="260" spans="3:4">
      <c r="C260" s="545" t="s">
        <v>1748</v>
      </c>
      <c r="D260">
        <f t="shared" si="1"/>
        <v>1</v>
      </c>
    </row>
    <row r="261" spans="3:4">
      <c r="C261" s="545" t="s">
        <v>1749</v>
      </c>
      <c r="D261">
        <f t="shared" si="1"/>
        <v>1</v>
      </c>
    </row>
    <row r="262" spans="3:4">
      <c r="C262" s="545" t="s">
        <v>1750</v>
      </c>
      <c r="D262">
        <f t="shared" si="1"/>
        <v>1</v>
      </c>
    </row>
    <row r="263" spans="3:4">
      <c r="C263" s="545" t="s">
        <v>1131</v>
      </c>
      <c r="D263">
        <f t="shared" si="1"/>
        <v>1</v>
      </c>
    </row>
    <row r="264" spans="3:4">
      <c r="C264" s="545" t="s">
        <v>1751</v>
      </c>
      <c r="D264">
        <f t="shared" si="1"/>
        <v>1</v>
      </c>
    </row>
    <row r="265" spans="3:4">
      <c r="C265" s="545" t="s">
        <v>1752</v>
      </c>
      <c r="D265">
        <f t="shared" si="1"/>
        <v>1</v>
      </c>
    </row>
    <row r="266" spans="3:4">
      <c r="C266" s="545" t="s">
        <v>1753</v>
      </c>
      <c r="D266">
        <f t="shared" si="1"/>
        <v>1</v>
      </c>
    </row>
    <row r="267" spans="3:4">
      <c r="C267" s="545" t="s">
        <v>1754</v>
      </c>
      <c r="D267">
        <f t="shared" si="1"/>
        <v>1</v>
      </c>
    </row>
    <row r="268" spans="3:4">
      <c r="C268" s="545" t="s">
        <v>1755</v>
      </c>
      <c r="D268">
        <f t="shared" si="1"/>
        <v>1</v>
      </c>
    </row>
    <row r="269" spans="3:4">
      <c r="C269" s="545" t="s">
        <v>1756</v>
      </c>
      <c r="D269">
        <f t="shared" si="1"/>
        <v>1</v>
      </c>
    </row>
    <row r="270" spans="3:4">
      <c r="C270" s="545" t="s">
        <v>867</v>
      </c>
      <c r="D270">
        <f t="shared" si="1"/>
        <v>1</v>
      </c>
    </row>
    <row r="271" spans="3:4">
      <c r="C271" s="545" t="s">
        <v>1757</v>
      </c>
      <c r="D271">
        <f t="shared" si="1"/>
        <v>1</v>
      </c>
    </row>
    <row r="272" spans="3:4">
      <c r="C272" s="545" t="s">
        <v>1758</v>
      </c>
      <c r="D272">
        <f t="shared" si="1"/>
        <v>1</v>
      </c>
    </row>
    <row r="273" spans="3:4">
      <c r="C273" s="545" t="s">
        <v>830</v>
      </c>
      <c r="D273">
        <f t="shared" si="1"/>
        <v>1</v>
      </c>
    </row>
    <row r="274" spans="3:4">
      <c r="C274" s="545" t="s">
        <v>1759</v>
      </c>
      <c r="D274">
        <f t="shared" si="1"/>
        <v>1</v>
      </c>
    </row>
    <row r="275" spans="3:4">
      <c r="C275" s="545" t="s">
        <v>1760</v>
      </c>
      <c r="D275">
        <f t="shared" si="1"/>
        <v>1</v>
      </c>
    </row>
    <row r="276" spans="3:4">
      <c r="C276" s="545" t="s">
        <v>1761</v>
      </c>
      <c r="D276">
        <f t="shared" si="1"/>
        <v>1</v>
      </c>
    </row>
  </sheetData>
  <autoFilter ref="A2:J149" xr:uid="{00000000-0009-0000-0000-000010000000}"/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42A5C-0B2A-445C-82B1-2267AB8D5212}">
  <dimension ref="C1:E114"/>
  <sheetViews>
    <sheetView workbookViewId="0">
      <pane ySplit="1" topLeftCell="A11" activePane="bottomLeft" state="frozen"/>
      <selection pane="bottomLeft" activeCell="A2" sqref="A2"/>
    </sheetView>
  </sheetViews>
  <sheetFormatPr defaultRowHeight="14.4"/>
  <cols>
    <col min="3" max="3" width="11" bestFit="1" customWidth="1"/>
    <col min="4" max="4" width="33.44140625" bestFit="1" customWidth="1"/>
  </cols>
  <sheetData>
    <row r="1" spans="3:5">
      <c r="C1">
        <v>1</v>
      </c>
      <c r="D1">
        <v>1</v>
      </c>
      <c r="E1">
        <v>1</v>
      </c>
    </row>
    <row r="2" spans="3:5">
      <c r="C2" t="s">
        <v>1764</v>
      </c>
      <c r="D2" t="s">
        <v>1765</v>
      </c>
    </row>
    <row r="3" spans="3:5">
      <c r="C3" t="s">
        <v>1832</v>
      </c>
      <c r="D3" t="s">
        <v>1833</v>
      </c>
    </row>
    <row r="4" spans="3:5">
      <c r="C4" t="s">
        <v>1766</v>
      </c>
      <c r="D4" t="s">
        <v>1767</v>
      </c>
    </row>
    <row r="5" spans="3:5">
      <c r="C5" t="s">
        <v>1966</v>
      </c>
      <c r="D5" t="s">
        <v>1967</v>
      </c>
    </row>
    <row r="6" spans="3:5">
      <c r="C6" t="s">
        <v>1768</v>
      </c>
      <c r="D6" t="s">
        <v>1769</v>
      </c>
    </row>
    <row r="7" spans="3:5">
      <c r="C7" t="s">
        <v>1870</v>
      </c>
      <c r="D7" t="s">
        <v>1871</v>
      </c>
    </row>
    <row r="8" spans="3:5">
      <c r="C8" t="s">
        <v>1982</v>
      </c>
      <c r="D8" t="s">
        <v>1983</v>
      </c>
    </row>
    <row r="9" spans="3:5">
      <c r="C9" t="s">
        <v>1872</v>
      </c>
      <c r="D9" t="s">
        <v>1873</v>
      </c>
    </row>
    <row r="10" spans="3:5">
      <c r="C10" t="s">
        <v>1892</v>
      </c>
      <c r="D10" t="s">
        <v>1893</v>
      </c>
    </row>
    <row r="11" spans="3:5">
      <c r="C11" t="s">
        <v>1834</v>
      </c>
      <c r="D11" t="s">
        <v>1835</v>
      </c>
    </row>
    <row r="12" spans="3:5">
      <c r="C12" t="s">
        <v>1830</v>
      </c>
      <c r="D12" t="s">
        <v>1831</v>
      </c>
    </row>
    <row r="13" spans="3:5">
      <c r="C13" t="s">
        <v>1894</v>
      </c>
      <c r="D13" t="s">
        <v>1895</v>
      </c>
    </row>
    <row r="14" spans="3:5">
      <c r="C14" t="s">
        <v>1844</v>
      </c>
      <c r="D14" t="s">
        <v>1845</v>
      </c>
    </row>
    <row r="15" spans="3:5">
      <c r="C15" t="s">
        <v>1970</v>
      </c>
      <c r="D15" t="s">
        <v>1971</v>
      </c>
    </row>
    <row r="16" spans="3:5">
      <c r="C16" t="s">
        <v>1874</v>
      </c>
      <c r="D16" t="s">
        <v>1875</v>
      </c>
    </row>
    <row r="17" spans="3:4">
      <c r="C17" t="s">
        <v>1912</v>
      </c>
      <c r="D17" t="s">
        <v>1913</v>
      </c>
    </row>
    <row r="18" spans="3:4">
      <c r="C18" t="s">
        <v>1934</v>
      </c>
      <c r="D18" t="s">
        <v>1935</v>
      </c>
    </row>
    <row r="19" spans="3:4">
      <c r="C19" t="s">
        <v>1770</v>
      </c>
      <c r="D19" t="s">
        <v>1771</v>
      </c>
    </row>
    <row r="20" spans="3:4">
      <c r="C20" t="s">
        <v>1876</v>
      </c>
      <c r="D20" t="s">
        <v>1877</v>
      </c>
    </row>
    <row r="21" spans="3:4">
      <c r="C21" t="s">
        <v>1972</v>
      </c>
      <c r="D21" t="s">
        <v>1973</v>
      </c>
    </row>
    <row r="22" spans="3:4">
      <c r="C22" t="s">
        <v>1896</v>
      </c>
      <c r="D22" t="s">
        <v>1897</v>
      </c>
    </row>
    <row r="23" spans="3:4">
      <c r="C23" t="s">
        <v>1898</v>
      </c>
      <c r="D23" t="s">
        <v>1899</v>
      </c>
    </row>
    <row r="24" spans="3:4">
      <c r="C24" t="s">
        <v>1914</v>
      </c>
      <c r="D24" t="s">
        <v>1915</v>
      </c>
    </row>
    <row r="25" spans="3:4">
      <c r="C25" t="s">
        <v>1960</v>
      </c>
      <c r="D25" t="s">
        <v>1961</v>
      </c>
    </row>
    <row r="26" spans="3:4">
      <c r="C26" t="s">
        <v>1900</v>
      </c>
      <c r="D26" t="s">
        <v>1901</v>
      </c>
    </row>
    <row r="27" spans="3:4">
      <c r="C27" t="s">
        <v>1846</v>
      </c>
      <c r="D27" t="s">
        <v>1847</v>
      </c>
    </row>
    <row r="28" spans="3:4">
      <c r="C28" t="s">
        <v>1772</v>
      </c>
      <c r="D28" t="s">
        <v>1773</v>
      </c>
    </row>
    <row r="29" spans="3:4">
      <c r="C29" t="s">
        <v>1848</v>
      </c>
      <c r="D29" t="s">
        <v>1849</v>
      </c>
    </row>
    <row r="30" spans="3:4">
      <c r="C30" t="s">
        <v>1850</v>
      </c>
      <c r="D30" t="s">
        <v>1851</v>
      </c>
    </row>
    <row r="31" spans="3:4">
      <c r="C31" t="s">
        <v>1774</v>
      </c>
      <c r="D31" t="s">
        <v>1775</v>
      </c>
    </row>
    <row r="32" spans="3:4">
      <c r="C32" t="s">
        <v>1936</v>
      </c>
      <c r="D32" t="s">
        <v>1937</v>
      </c>
    </row>
    <row r="33" spans="3:4">
      <c r="C33" t="s">
        <v>1902</v>
      </c>
      <c r="D33" t="s">
        <v>1903</v>
      </c>
    </row>
    <row r="34" spans="3:4">
      <c r="C34" t="s">
        <v>1950</v>
      </c>
      <c r="D34" t="s">
        <v>1951</v>
      </c>
    </row>
    <row r="35" spans="3:4">
      <c r="C35" t="s">
        <v>1968</v>
      </c>
      <c r="D35" t="s">
        <v>1969</v>
      </c>
    </row>
    <row r="36" spans="3:4">
      <c r="C36" t="s">
        <v>1878</v>
      </c>
      <c r="D36" t="s">
        <v>1879</v>
      </c>
    </row>
    <row r="37" spans="3:4">
      <c r="C37" t="s">
        <v>1904</v>
      </c>
      <c r="D37" t="s">
        <v>1905</v>
      </c>
    </row>
    <row r="38" spans="3:4">
      <c r="C38" t="s">
        <v>1916</v>
      </c>
      <c r="D38" t="s">
        <v>1917</v>
      </c>
    </row>
    <row r="39" spans="3:4">
      <c r="C39" t="s">
        <v>1790</v>
      </c>
      <c r="D39" t="s">
        <v>1791</v>
      </c>
    </row>
    <row r="40" spans="3:4">
      <c r="C40" t="s">
        <v>1976</v>
      </c>
      <c r="D40" t="s">
        <v>1977</v>
      </c>
    </row>
    <row r="41" spans="3:4">
      <c r="C41" t="s">
        <v>1918</v>
      </c>
      <c r="D41" t="s">
        <v>1919</v>
      </c>
    </row>
    <row r="42" spans="3:4">
      <c r="C42" t="s">
        <v>1920</v>
      </c>
      <c r="D42" t="s">
        <v>1921</v>
      </c>
    </row>
    <row r="43" spans="3:4">
      <c r="C43" t="s">
        <v>1852</v>
      </c>
      <c r="D43" t="s">
        <v>1853</v>
      </c>
    </row>
    <row r="44" spans="3:4">
      <c r="C44" t="s">
        <v>1776</v>
      </c>
      <c r="D44" t="s">
        <v>1777</v>
      </c>
    </row>
    <row r="45" spans="3:4">
      <c r="C45" t="s">
        <v>1922</v>
      </c>
      <c r="D45" t="s">
        <v>1923</v>
      </c>
    </row>
    <row r="46" spans="3:4">
      <c r="C46" t="s">
        <v>1938</v>
      </c>
      <c r="D46" t="s">
        <v>1939</v>
      </c>
    </row>
    <row r="47" spans="3:4">
      <c r="C47" t="s">
        <v>1778</v>
      </c>
      <c r="D47" t="s">
        <v>1779</v>
      </c>
    </row>
    <row r="48" spans="3:4">
      <c r="C48" t="s">
        <v>1906</v>
      </c>
      <c r="D48" t="s">
        <v>1907</v>
      </c>
    </row>
    <row r="49" spans="3:4">
      <c r="C49" t="s">
        <v>1792</v>
      </c>
      <c r="D49" t="s">
        <v>1793</v>
      </c>
    </row>
    <row r="50" spans="3:4">
      <c r="C50" t="s">
        <v>1978</v>
      </c>
      <c r="D50" t="s">
        <v>1979</v>
      </c>
    </row>
    <row r="51" spans="3:4">
      <c r="C51" t="s">
        <v>1940</v>
      </c>
      <c r="D51" t="s">
        <v>1941</v>
      </c>
    </row>
    <row r="52" spans="3:4">
      <c r="C52" t="s">
        <v>1836</v>
      </c>
      <c r="D52" t="s">
        <v>1837</v>
      </c>
    </row>
    <row r="53" spans="3:4">
      <c r="C53" t="s">
        <v>1780</v>
      </c>
      <c r="D53" t="s">
        <v>1781</v>
      </c>
    </row>
    <row r="54" spans="3:4">
      <c r="C54" t="s">
        <v>1854</v>
      </c>
      <c r="D54" t="s">
        <v>1855</v>
      </c>
    </row>
    <row r="55" spans="3:4">
      <c r="C55" t="s">
        <v>1782</v>
      </c>
      <c r="D55" t="s">
        <v>1783</v>
      </c>
    </row>
    <row r="56" spans="3:4">
      <c r="C56" t="s">
        <v>1784</v>
      </c>
      <c r="D56" t="s">
        <v>1785</v>
      </c>
    </row>
    <row r="57" spans="3:4">
      <c r="C57" t="s">
        <v>1942</v>
      </c>
      <c r="D57" t="s">
        <v>1943</v>
      </c>
    </row>
    <row r="58" spans="3:4">
      <c r="C58" t="s">
        <v>1786</v>
      </c>
      <c r="D58" t="s">
        <v>1787</v>
      </c>
    </row>
    <row r="59" spans="3:4">
      <c r="C59" t="s">
        <v>1856</v>
      </c>
      <c r="D59" t="s">
        <v>1857</v>
      </c>
    </row>
    <row r="60" spans="3:4">
      <c r="C60" t="s">
        <v>1788</v>
      </c>
      <c r="D60" t="s">
        <v>1789</v>
      </c>
    </row>
    <row r="61" spans="3:4">
      <c r="C61" t="s">
        <v>1908</v>
      </c>
      <c r="D61" t="s">
        <v>1909</v>
      </c>
    </row>
    <row r="62" spans="3:4">
      <c r="C62" t="s">
        <v>1880</v>
      </c>
      <c r="D62" t="s">
        <v>1881</v>
      </c>
    </row>
    <row r="63" spans="3:4">
      <c r="C63" t="s">
        <v>1794</v>
      </c>
      <c r="D63" t="s">
        <v>1795</v>
      </c>
    </row>
    <row r="64" spans="3:4">
      <c r="C64" t="s">
        <v>1858</v>
      </c>
      <c r="D64" t="s">
        <v>1859</v>
      </c>
    </row>
    <row r="65" spans="3:4">
      <c r="C65" t="s">
        <v>1882</v>
      </c>
      <c r="D65" t="s">
        <v>1883</v>
      </c>
    </row>
    <row r="66" spans="3:4">
      <c r="C66" t="s">
        <v>1924</v>
      </c>
      <c r="D66" t="s">
        <v>1925</v>
      </c>
    </row>
    <row r="67" spans="3:4">
      <c r="C67" t="s">
        <v>1796</v>
      </c>
      <c r="D67" t="s">
        <v>1797</v>
      </c>
    </row>
    <row r="68" spans="3:4">
      <c r="C68" t="s">
        <v>1944</v>
      </c>
      <c r="D68" t="s">
        <v>1945</v>
      </c>
    </row>
    <row r="69" spans="3:4">
      <c r="C69" t="s">
        <v>1926</v>
      </c>
      <c r="D69" t="s">
        <v>1927</v>
      </c>
    </row>
    <row r="70" spans="3:4">
      <c r="C70" t="s">
        <v>1798</v>
      </c>
      <c r="D70" t="s">
        <v>1799</v>
      </c>
    </row>
    <row r="71" spans="3:4">
      <c r="C71" t="s">
        <v>1964</v>
      </c>
      <c r="D71" t="s">
        <v>1965</v>
      </c>
    </row>
    <row r="72" spans="3:4">
      <c r="C72" t="s">
        <v>1800</v>
      </c>
      <c r="D72" t="s">
        <v>1801</v>
      </c>
    </row>
    <row r="73" spans="3:4">
      <c r="C73" t="s">
        <v>1802</v>
      </c>
      <c r="D73" t="s">
        <v>1803</v>
      </c>
    </row>
    <row r="74" spans="3:4">
      <c r="C74" t="s">
        <v>1838</v>
      </c>
      <c r="D74" t="s">
        <v>1839</v>
      </c>
    </row>
    <row r="75" spans="3:4">
      <c r="C75" t="s">
        <v>1946</v>
      </c>
      <c r="D75" t="s">
        <v>1947</v>
      </c>
    </row>
    <row r="76" spans="3:4">
      <c r="C76" t="s">
        <v>1984</v>
      </c>
      <c r="D76" t="s">
        <v>1985</v>
      </c>
    </row>
    <row r="77" spans="3:4">
      <c r="C77" t="s">
        <v>1804</v>
      </c>
      <c r="D77" t="s">
        <v>1805</v>
      </c>
    </row>
    <row r="78" spans="3:4">
      <c r="C78" t="s">
        <v>1962</v>
      </c>
      <c r="D78" t="s">
        <v>1963</v>
      </c>
    </row>
    <row r="79" spans="3:4">
      <c r="C79" t="s">
        <v>1974</v>
      </c>
      <c r="D79" t="s">
        <v>1975</v>
      </c>
    </row>
    <row r="80" spans="3:4">
      <c r="C80" t="s">
        <v>1954</v>
      </c>
      <c r="D80" t="s">
        <v>1955</v>
      </c>
    </row>
    <row r="81" spans="3:4">
      <c r="C81" t="s">
        <v>1840</v>
      </c>
      <c r="D81" t="s">
        <v>1841</v>
      </c>
    </row>
    <row r="82" spans="3:4">
      <c r="C82" t="s">
        <v>1860</v>
      </c>
      <c r="D82" t="s">
        <v>1861</v>
      </c>
    </row>
    <row r="83" spans="3:4">
      <c r="C83" t="s">
        <v>1884</v>
      </c>
      <c r="D83" t="s">
        <v>1885</v>
      </c>
    </row>
    <row r="84" spans="3:4">
      <c r="C84" t="s">
        <v>1886</v>
      </c>
      <c r="D84" t="s">
        <v>1887</v>
      </c>
    </row>
    <row r="85" spans="3:4">
      <c r="C85" t="s">
        <v>1910</v>
      </c>
      <c r="D85" t="s">
        <v>1911</v>
      </c>
    </row>
    <row r="86" spans="3:4">
      <c r="C86" t="s">
        <v>1986</v>
      </c>
      <c r="D86" t="s">
        <v>1987</v>
      </c>
    </row>
    <row r="87" spans="3:4">
      <c r="C87" t="s">
        <v>1862</v>
      </c>
      <c r="D87" t="s">
        <v>1863</v>
      </c>
    </row>
    <row r="88" spans="3:4">
      <c r="C88" t="s">
        <v>1806</v>
      </c>
      <c r="D88" t="s">
        <v>1807</v>
      </c>
    </row>
    <row r="89" spans="3:4">
      <c r="C89" t="s">
        <v>1952</v>
      </c>
      <c r="D89" t="s">
        <v>1953</v>
      </c>
    </row>
    <row r="90" spans="3:4">
      <c r="C90" t="s">
        <v>1928</v>
      </c>
      <c r="D90" t="s">
        <v>1929</v>
      </c>
    </row>
    <row r="91" spans="3:4">
      <c r="C91" t="s">
        <v>1808</v>
      </c>
      <c r="D91" t="s">
        <v>1809</v>
      </c>
    </row>
    <row r="92" spans="3:4">
      <c r="C92" t="s">
        <v>1810</v>
      </c>
      <c r="D92" t="s">
        <v>1811</v>
      </c>
    </row>
    <row r="93" spans="3:4">
      <c r="C93" t="s">
        <v>1826</v>
      </c>
      <c r="D93" t="s">
        <v>1827</v>
      </c>
    </row>
    <row r="94" spans="3:4">
      <c r="C94" t="s">
        <v>1864</v>
      </c>
      <c r="D94" t="s">
        <v>1865</v>
      </c>
    </row>
    <row r="95" spans="3:4">
      <c r="C95" t="s">
        <v>1812</v>
      </c>
      <c r="D95" t="s">
        <v>1813</v>
      </c>
    </row>
    <row r="96" spans="3:4">
      <c r="C96" t="s">
        <v>1842</v>
      </c>
      <c r="D96" t="s">
        <v>1843</v>
      </c>
    </row>
    <row r="97" spans="3:4">
      <c r="C97" t="s">
        <v>1866</v>
      </c>
      <c r="D97" t="s">
        <v>1867</v>
      </c>
    </row>
    <row r="98" spans="3:4">
      <c r="C98" t="s">
        <v>1958</v>
      </c>
      <c r="D98" t="s">
        <v>1959</v>
      </c>
    </row>
    <row r="99" spans="3:4">
      <c r="C99" t="s">
        <v>1816</v>
      </c>
      <c r="D99" t="s">
        <v>1817</v>
      </c>
    </row>
    <row r="100" spans="3:4">
      <c r="C100" t="s">
        <v>1818</v>
      </c>
      <c r="D100" t="s">
        <v>1819</v>
      </c>
    </row>
    <row r="101" spans="3:4">
      <c r="C101" t="s">
        <v>1820</v>
      </c>
      <c r="D101" t="s">
        <v>1821</v>
      </c>
    </row>
    <row r="102" spans="3:4">
      <c r="C102" t="s">
        <v>1822</v>
      </c>
      <c r="D102" t="s">
        <v>1823</v>
      </c>
    </row>
    <row r="103" spans="3:4">
      <c r="C103" t="s">
        <v>1814</v>
      </c>
      <c r="D103" t="s">
        <v>1815</v>
      </c>
    </row>
    <row r="104" spans="3:4">
      <c r="C104" t="s">
        <v>1824</v>
      </c>
      <c r="D104" t="s">
        <v>1825</v>
      </c>
    </row>
    <row r="105" spans="3:4">
      <c r="C105" t="s">
        <v>1988</v>
      </c>
      <c r="D105" t="s">
        <v>1989</v>
      </c>
    </row>
    <row r="106" spans="3:4">
      <c r="C106" t="s">
        <v>1888</v>
      </c>
      <c r="D106" t="s">
        <v>1889</v>
      </c>
    </row>
    <row r="107" spans="3:4">
      <c r="C107" t="s">
        <v>1828</v>
      </c>
      <c r="D107" t="s">
        <v>1829</v>
      </c>
    </row>
    <row r="108" spans="3:4">
      <c r="C108" t="s">
        <v>1980</v>
      </c>
      <c r="D108" t="s">
        <v>1981</v>
      </c>
    </row>
    <row r="109" spans="3:4">
      <c r="C109" t="s">
        <v>1948</v>
      </c>
      <c r="D109" t="s">
        <v>1949</v>
      </c>
    </row>
    <row r="110" spans="3:4">
      <c r="C110" t="s">
        <v>1956</v>
      </c>
      <c r="D110" t="s">
        <v>1957</v>
      </c>
    </row>
    <row r="111" spans="3:4">
      <c r="C111" t="s">
        <v>1890</v>
      </c>
      <c r="D111" t="s">
        <v>1891</v>
      </c>
    </row>
    <row r="112" spans="3:4">
      <c r="C112" t="s">
        <v>1930</v>
      </c>
      <c r="D112" t="s">
        <v>1931</v>
      </c>
    </row>
    <row r="113" spans="3:4">
      <c r="C113" t="s">
        <v>1932</v>
      </c>
      <c r="D113" t="s">
        <v>1933</v>
      </c>
    </row>
    <row r="114" spans="3:4">
      <c r="C114" t="s">
        <v>1868</v>
      </c>
      <c r="D114" t="s">
        <v>1869</v>
      </c>
    </row>
  </sheetData>
  <autoFilter ref="C1:E1" xr:uid="{00000000-0009-0000-0000-000011000000}"/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8571F-CF1B-41C8-BB8A-9DA0D8232690}">
  <dimension ref="A2:D379"/>
  <sheetViews>
    <sheetView workbookViewId="0">
      <pane ySplit="2" topLeftCell="A3" activePane="bottomLeft" state="frozen"/>
      <selection pane="bottomLeft" sqref="A1:C16384"/>
    </sheetView>
  </sheetViews>
  <sheetFormatPr defaultRowHeight="14.4"/>
  <cols>
    <col min="2" max="2" width="23.33203125" customWidth="1"/>
    <col min="3" max="3" width="32.6640625" customWidth="1"/>
  </cols>
  <sheetData>
    <row r="2" spans="1:4">
      <c r="A2" s="330" t="s">
        <v>1642</v>
      </c>
      <c r="B2" s="333" t="s">
        <v>155</v>
      </c>
      <c r="C2" s="333" t="s">
        <v>156</v>
      </c>
    </row>
    <row r="3" spans="1:4">
      <c r="A3" s="352" t="s">
        <v>11</v>
      </c>
      <c r="B3" s="463" t="s">
        <v>6</v>
      </c>
      <c r="C3" s="463" t="s">
        <v>760</v>
      </c>
      <c r="D3">
        <f>COUNTIFS($A$3:$A$379,A3)</f>
        <v>12</v>
      </c>
    </row>
    <row r="4" spans="1:4">
      <c r="A4" s="352" t="s">
        <v>11</v>
      </c>
      <c r="B4" s="463" t="s">
        <v>796</v>
      </c>
      <c r="C4" s="463" t="s">
        <v>760</v>
      </c>
      <c r="D4">
        <f t="shared" ref="D4:D67" si="0">COUNTIFS($A$3:$A$379,A4)</f>
        <v>12</v>
      </c>
    </row>
    <row r="5" spans="1:4" ht="27.6">
      <c r="A5" s="352" t="s">
        <v>11</v>
      </c>
      <c r="B5" s="463" t="s">
        <v>797</v>
      </c>
      <c r="C5" s="463" t="s">
        <v>760</v>
      </c>
      <c r="D5">
        <f t="shared" si="0"/>
        <v>12</v>
      </c>
    </row>
    <row r="6" spans="1:4">
      <c r="A6" s="352" t="s">
        <v>11</v>
      </c>
      <c r="B6" s="463" t="s">
        <v>798</v>
      </c>
      <c r="C6" s="463" t="s">
        <v>760</v>
      </c>
      <c r="D6">
        <f t="shared" si="0"/>
        <v>12</v>
      </c>
    </row>
    <row r="7" spans="1:4">
      <c r="A7" s="352" t="s">
        <v>11</v>
      </c>
      <c r="B7" s="463" t="s">
        <v>799</v>
      </c>
      <c r="C7" s="463" t="s">
        <v>760</v>
      </c>
      <c r="D7">
        <f t="shared" si="0"/>
        <v>12</v>
      </c>
    </row>
    <row r="8" spans="1:4">
      <c r="A8" s="352" t="s">
        <v>11</v>
      </c>
      <c r="B8" s="463" t="s">
        <v>800</v>
      </c>
      <c r="C8" s="463" t="s">
        <v>760</v>
      </c>
      <c r="D8">
        <f t="shared" si="0"/>
        <v>12</v>
      </c>
    </row>
    <row r="9" spans="1:4">
      <c r="A9" s="352" t="s">
        <v>11</v>
      </c>
      <c r="B9" s="463" t="s">
        <v>801</v>
      </c>
      <c r="C9" s="463" t="s">
        <v>760</v>
      </c>
      <c r="D9">
        <f t="shared" si="0"/>
        <v>12</v>
      </c>
    </row>
    <row r="10" spans="1:4">
      <c r="A10" s="352" t="s">
        <v>11</v>
      </c>
      <c r="B10" s="463" t="s">
        <v>802</v>
      </c>
      <c r="C10" s="463" t="s">
        <v>760</v>
      </c>
      <c r="D10">
        <f t="shared" si="0"/>
        <v>12</v>
      </c>
    </row>
    <row r="11" spans="1:4">
      <c r="A11" s="352" t="s">
        <v>11</v>
      </c>
      <c r="B11" s="463" t="s">
        <v>803</v>
      </c>
      <c r="C11" s="463" t="s">
        <v>760</v>
      </c>
      <c r="D11">
        <f t="shared" si="0"/>
        <v>12</v>
      </c>
    </row>
    <row r="12" spans="1:4">
      <c r="A12" s="352" t="s">
        <v>11</v>
      </c>
      <c r="B12" s="463" t="s">
        <v>804</v>
      </c>
      <c r="C12" s="463" t="s">
        <v>760</v>
      </c>
      <c r="D12">
        <f t="shared" si="0"/>
        <v>12</v>
      </c>
    </row>
    <row r="13" spans="1:4" ht="27.6">
      <c r="A13" s="352" t="s">
        <v>11</v>
      </c>
      <c r="B13" s="463" t="s">
        <v>805</v>
      </c>
      <c r="C13" s="463" t="s">
        <v>760</v>
      </c>
      <c r="D13">
        <f t="shared" si="0"/>
        <v>12</v>
      </c>
    </row>
    <row r="14" spans="1:4">
      <c r="A14" s="352" t="s">
        <v>11</v>
      </c>
      <c r="B14" s="463" t="s">
        <v>806</v>
      </c>
      <c r="C14" s="463" t="s">
        <v>760</v>
      </c>
      <c r="D14">
        <f t="shared" si="0"/>
        <v>12</v>
      </c>
    </row>
    <row r="15" spans="1:4" ht="27.6">
      <c r="A15" s="352" t="s">
        <v>8</v>
      </c>
      <c r="B15" s="463" t="s">
        <v>6</v>
      </c>
      <c r="C15" s="463" t="s">
        <v>761</v>
      </c>
      <c r="D15">
        <f t="shared" si="0"/>
        <v>1</v>
      </c>
    </row>
    <row r="16" spans="1:4" ht="41.4">
      <c r="A16" s="352" t="s">
        <v>4</v>
      </c>
      <c r="B16" s="463" t="s">
        <v>10</v>
      </c>
      <c r="C16" s="463" t="s">
        <v>762</v>
      </c>
      <c r="D16">
        <f t="shared" si="0"/>
        <v>1</v>
      </c>
    </row>
    <row r="17" spans="1:4" ht="41.4">
      <c r="A17" s="352" t="s">
        <v>763</v>
      </c>
      <c r="B17" s="427" t="s">
        <v>764</v>
      </c>
      <c r="C17" s="463" t="s">
        <v>762</v>
      </c>
      <c r="D17">
        <f t="shared" si="0"/>
        <v>1</v>
      </c>
    </row>
    <row r="18" spans="1:4" ht="41.4">
      <c r="A18" s="352" t="s">
        <v>766</v>
      </c>
      <c r="B18" s="463" t="s">
        <v>765</v>
      </c>
      <c r="C18" s="463" t="s">
        <v>762</v>
      </c>
      <c r="D18">
        <f t="shared" si="0"/>
        <v>1</v>
      </c>
    </row>
    <row r="19" spans="1:4" ht="41.4">
      <c r="A19" s="352" t="s">
        <v>767</v>
      </c>
      <c r="B19" s="463" t="s">
        <v>768</v>
      </c>
      <c r="C19" s="463" t="s">
        <v>762</v>
      </c>
      <c r="D19">
        <f t="shared" si="0"/>
        <v>1</v>
      </c>
    </row>
    <row r="20" spans="1:4">
      <c r="A20" s="352" t="s">
        <v>772</v>
      </c>
      <c r="B20" s="463" t="s">
        <v>773</v>
      </c>
      <c r="C20" s="463" t="s">
        <v>774</v>
      </c>
      <c r="D20">
        <f t="shared" si="0"/>
        <v>1</v>
      </c>
    </row>
    <row r="21" spans="1:4" ht="41.4">
      <c r="A21" s="352" t="s">
        <v>775</v>
      </c>
      <c r="B21" s="463" t="s">
        <v>777</v>
      </c>
      <c r="C21" s="463" t="s">
        <v>762</v>
      </c>
      <c r="D21">
        <f t="shared" si="0"/>
        <v>1</v>
      </c>
    </row>
    <row r="22" spans="1:4" ht="27.6">
      <c r="A22" s="365" t="s">
        <v>778</v>
      </c>
      <c r="B22" s="427" t="s">
        <v>779</v>
      </c>
      <c r="C22" s="427" t="s">
        <v>850</v>
      </c>
      <c r="D22">
        <f t="shared" si="0"/>
        <v>1</v>
      </c>
    </row>
    <row r="23" spans="1:4" ht="27.6">
      <c r="A23" s="352" t="s">
        <v>849</v>
      </c>
      <c r="B23" s="463" t="s">
        <v>779</v>
      </c>
      <c r="C23" s="463" t="s">
        <v>780</v>
      </c>
      <c r="D23">
        <f t="shared" si="0"/>
        <v>1</v>
      </c>
    </row>
    <row r="24" spans="1:4" ht="41.4">
      <c r="A24" s="352" t="s">
        <v>781</v>
      </c>
      <c r="B24" s="463" t="s">
        <v>782</v>
      </c>
      <c r="C24" s="463" t="s">
        <v>783</v>
      </c>
      <c r="D24">
        <f t="shared" si="0"/>
        <v>1</v>
      </c>
    </row>
    <row r="25" spans="1:4" ht="41.4">
      <c r="A25" s="352" t="s">
        <v>787</v>
      </c>
      <c r="B25" s="463" t="s">
        <v>789</v>
      </c>
      <c r="C25" s="463" t="s">
        <v>762</v>
      </c>
      <c r="D25">
        <f t="shared" si="0"/>
        <v>1</v>
      </c>
    </row>
    <row r="26" spans="1:4" ht="41.4">
      <c r="A26" s="352" t="s">
        <v>790</v>
      </c>
      <c r="B26" s="463" t="s">
        <v>791</v>
      </c>
      <c r="C26" s="463" t="s">
        <v>792</v>
      </c>
      <c r="D26">
        <f t="shared" si="0"/>
        <v>1</v>
      </c>
    </row>
    <row r="27" spans="1:4" ht="27.6">
      <c r="A27" s="352" t="s">
        <v>793</v>
      </c>
      <c r="B27" s="463" t="s">
        <v>794</v>
      </c>
      <c r="C27" s="463" t="s">
        <v>795</v>
      </c>
      <c r="D27">
        <f t="shared" si="0"/>
        <v>1</v>
      </c>
    </row>
    <row r="28" spans="1:4">
      <c r="A28" s="352" t="s">
        <v>807</v>
      </c>
      <c r="B28" s="463" t="s">
        <v>773</v>
      </c>
      <c r="C28" s="463" t="s">
        <v>808</v>
      </c>
      <c r="D28">
        <f t="shared" si="0"/>
        <v>1</v>
      </c>
    </row>
    <row r="29" spans="1:4" ht="27.6">
      <c r="A29" s="352" t="s">
        <v>809</v>
      </c>
      <c r="B29" s="463" t="s">
        <v>810</v>
      </c>
      <c r="C29" s="463" t="s">
        <v>811</v>
      </c>
      <c r="D29">
        <f t="shared" si="0"/>
        <v>1</v>
      </c>
    </row>
    <row r="30" spans="1:4" ht="27.6">
      <c r="A30" s="352" t="s">
        <v>817</v>
      </c>
      <c r="B30" s="463" t="s">
        <v>818</v>
      </c>
      <c r="C30" s="463" t="s">
        <v>819</v>
      </c>
      <c r="D30">
        <f t="shared" si="0"/>
        <v>1</v>
      </c>
    </row>
    <row r="31" spans="1:4" ht="27.6">
      <c r="A31" s="352" t="s">
        <v>824</v>
      </c>
      <c r="B31" s="463" t="s">
        <v>820</v>
      </c>
      <c r="C31" s="463" t="s">
        <v>819</v>
      </c>
      <c r="D31">
        <f t="shared" si="0"/>
        <v>1</v>
      </c>
    </row>
    <row r="32" spans="1:4" ht="27.6">
      <c r="A32" s="352" t="s">
        <v>825</v>
      </c>
      <c r="B32" s="463" t="s">
        <v>821</v>
      </c>
      <c r="C32" s="463" t="s">
        <v>819</v>
      </c>
      <c r="D32">
        <f t="shared" si="0"/>
        <v>1</v>
      </c>
    </row>
    <row r="33" spans="1:4" ht="27.6">
      <c r="A33" s="352" t="s">
        <v>826</v>
      </c>
      <c r="B33" s="463" t="s">
        <v>822</v>
      </c>
      <c r="C33" s="463" t="s">
        <v>819</v>
      </c>
      <c r="D33">
        <f t="shared" si="0"/>
        <v>1</v>
      </c>
    </row>
    <row r="34" spans="1:4" ht="27.6">
      <c r="A34" s="352" t="s">
        <v>827</v>
      </c>
      <c r="B34" s="463" t="s">
        <v>823</v>
      </c>
      <c r="C34" s="463" t="s">
        <v>819</v>
      </c>
      <c r="D34">
        <f t="shared" si="0"/>
        <v>1</v>
      </c>
    </row>
    <row r="35" spans="1:4" ht="27.6">
      <c r="A35" s="352" t="s">
        <v>829</v>
      </c>
      <c r="B35" s="463" t="s">
        <v>830</v>
      </c>
      <c r="C35" s="463" t="s">
        <v>831</v>
      </c>
      <c r="D35">
        <f t="shared" si="0"/>
        <v>1</v>
      </c>
    </row>
    <row r="36" spans="1:4" ht="27.6">
      <c r="A36" s="352" t="s">
        <v>832</v>
      </c>
      <c r="B36" s="463" t="s">
        <v>833</v>
      </c>
      <c r="C36" s="463" t="s">
        <v>834</v>
      </c>
      <c r="D36">
        <f t="shared" si="0"/>
        <v>1</v>
      </c>
    </row>
    <row r="37" spans="1:4" ht="27.6">
      <c r="A37" s="352" t="s">
        <v>835</v>
      </c>
      <c r="B37" s="463" t="s">
        <v>836</v>
      </c>
      <c r="C37" s="463" t="s">
        <v>837</v>
      </c>
      <c r="D37">
        <f t="shared" si="0"/>
        <v>1</v>
      </c>
    </row>
    <row r="38" spans="1:4" ht="41.4">
      <c r="A38" s="352" t="s">
        <v>838</v>
      </c>
      <c r="B38" s="463" t="s">
        <v>839</v>
      </c>
      <c r="C38" s="463" t="s">
        <v>840</v>
      </c>
      <c r="D38">
        <f t="shared" si="0"/>
        <v>1</v>
      </c>
    </row>
    <row r="39" spans="1:4" ht="27.6">
      <c r="A39" s="352" t="s">
        <v>841</v>
      </c>
      <c r="B39" s="463" t="s">
        <v>843</v>
      </c>
      <c r="C39" s="463" t="s">
        <v>855</v>
      </c>
      <c r="D39">
        <f t="shared" si="0"/>
        <v>1</v>
      </c>
    </row>
    <row r="40" spans="1:4" ht="55.2">
      <c r="A40" s="352" t="s">
        <v>846</v>
      </c>
      <c r="B40" s="463" t="s">
        <v>847</v>
      </c>
      <c r="C40" s="463" t="s">
        <v>848</v>
      </c>
      <c r="D40">
        <f t="shared" si="0"/>
        <v>1</v>
      </c>
    </row>
    <row r="41" spans="1:4" ht="27.6">
      <c r="A41" s="404" t="s">
        <v>851</v>
      </c>
      <c r="B41" s="409" t="s">
        <v>852</v>
      </c>
      <c r="C41" s="409" t="s">
        <v>853</v>
      </c>
      <c r="D41">
        <f t="shared" si="0"/>
        <v>1</v>
      </c>
    </row>
    <row r="42" spans="1:4" ht="27.6">
      <c r="A42" s="352" t="s">
        <v>854</v>
      </c>
      <c r="B42" s="463" t="s">
        <v>843</v>
      </c>
      <c r="C42" s="463" t="s">
        <v>855</v>
      </c>
      <c r="D42">
        <f t="shared" si="0"/>
        <v>1</v>
      </c>
    </row>
    <row r="43" spans="1:4" ht="27.6">
      <c r="A43" s="352" t="s">
        <v>856</v>
      </c>
      <c r="B43" s="463" t="s">
        <v>843</v>
      </c>
      <c r="C43" s="463" t="s">
        <v>855</v>
      </c>
      <c r="D43">
        <f t="shared" si="0"/>
        <v>1</v>
      </c>
    </row>
    <row r="44" spans="1:4" ht="27.6">
      <c r="A44" s="404" t="s">
        <v>858</v>
      </c>
      <c r="B44" s="409" t="s">
        <v>859</v>
      </c>
      <c r="C44" s="409" t="s">
        <v>860</v>
      </c>
      <c r="D44">
        <f t="shared" si="0"/>
        <v>1</v>
      </c>
    </row>
    <row r="45" spans="1:4" ht="41.4">
      <c r="A45" s="352" t="s">
        <v>861</v>
      </c>
      <c r="B45" s="463" t="s">
        <v>863</v>
      </c>
      <c r="C45" s="463" t="s">
        <v>864</v>
      </c>
      <c r="D45">
        <f t="shared" si="0"/>
        <v>1</v>
      </c>
    </row>
    <row r="46" spans="1:4" ht="41.4">
      <c r="A46" s="352" t="s">
        <v>865</v>
      </c>
      <c r="B46" s="463" t="s">
        <v>789</v>
      </c>
      <c r="C46" s="463" t="s">
        <v>864</v>
      </c>
      <c r="D46">
        <f t="shared" si="0"/>
        <v>1</v>
      </c>
    </row>
    <row r="47" spans="1:4" ht="41.4">
      <c r="A47" s="352" t="s">
        <v>866</v>
      </c>
      <c r="B47" s="463" t="s">
        <v>867</v>
      </c>
      <c r="C47" s="463" t="s">
        <v>864</v>
      </c>
      <c r="D47">
        <f t="shared" si="0"/>
        <v>1</v>
      </c>
    </row>
    <row r="48" spans="1:4" ht="41.4">
      <c r="A48" s="352" t="s">
        <v>868</v>
      </c>
      <c r="B48" s="463" t="s">
        <v>869</v>
      </c>
      <c r="C48" s="463" t="s">
        <v>864</v>
      </c>
      <c r="D48">
        <f t="shared" si="0"/>
        <v>1</v>
      </c>
    </row>
    <row r="49" spans="1:4" ht="41.4">
      <c r="A49" s="352" t="s">
        <v>870</v>
      </c>
      <c r="B49" s="463" t="s">
        <v>768</v>
      </c>
      <c r="C49" s="463" t="s">
        <v>864</v>
      </c>
      <c r="D49">
        <f t="shared" si="0"/>
        <v>1</v>
      </c>
    </row>
    <row r="50" spans="1:4" ht="41.4">
      <c r="A50" s="352" t="s">
        <v>871</v>
      </c>
      <c r="B50" s="463" t="s">
        <v>872</v>
      </c>
      <c r="C50" s="463" t="s">
        <v>864</v>
      </c>
      <c r="D50">
        <f t="shared" si="0"/>
        <v>1</v>
      </c>
    </row>
    <row r="51" spans="1:4" ht="27.6">
      <c r="A51" s="352" t="s">
        <v>1029</v>
      </c>
      <c r="B51" s="463" t="s">
        <v>1030</v>
      </c>
      <c r="C51" s="463" t="s">
        <v>1031</v>
      </c>
      <c r="D51">
        <f t="shared" si="0"/>
        <v>1</v>
      </c>
    </row>
    <row r="52" spans="1:4" ht="27.6">
      <c r="A52" s="352" t="s">
        <v>1032</v>
      </c>
      <c r="B52" s="463" t="s">
        <v>6</v>
      </c>
      <c r="C52" s="463" t="s">
        <v>1033</v>
      </c>
      <c r="D52">
        <f t="shared" si="0"/>
        <v>1</v>
      </c>
    </row>
    <row r="53" spans="1:4" ht="27.6">
      <c r="A53" s="352" t="s">
        <v>1034</v>
      </c>
      <c r="B53" s="463" t="s">
        <v>1030</v>
      </c>
      <c r="C53" s="463" t="s">
        <v>1035</v>
      </c>
      <c r="D53">
        <f t="shared" si="0"/>
        <v>1</v>
      </c>
    </row>
    <row r="54" spans="1:4" ht="27.6">
      <c r="A54" s="352" t="s">
        <v>1046</v>
      </c>
      <c r="B54" s="463" t="s">
        <v>1036</v>
      </c>
      <c r="C54" s="463" t="s">
        <v>1037</v>
      </c>
      <c r="D54">
        <f t="shared" si="0"/>
        <v>1</v>
      </c>
    </row>
    <row r="55" spans="1:4" ht="27.6">
      <c r="A55" s="404" t="s">
        <v>1047</v>
      </c>
      <c r="B55" s="409" t="s">
        <v>1038</v>
      </c>
      <c r="C55" s="409" t="s">
        <v>1039</v>
      </c>
      <c r="D55">
        <f t="shared" si="0"/>
        <v>1</v>
      </c>
    </row>
    <row r="56" spans="1:4" ht="27.6">
      <c r="A56" s="436" t="s">
        <v>1264</v>
      </c>
      <c r="B56" s="439" t="s">
        <v>852</v>
      </c>
      <c r="C56" s="439" t="s">
        <v>853</v>
      </c>
      <c r="D56">
        <f t="shared" si="0"/>
        <v>1</v>
      </c>
    </row>
    <row r="57" spans="1:4" ht="41.4">
      <c r="A57" s="352" t="s">
        <v>1048</v>
      </c>
      <c r="B57" s="463" t="s">
        <v>818</v>
      </c>
      <c r="C57" s="463" t="s">
        <v>1040</v>
      </c>
      <c r="D57">
        <f t="shared" si="0"/>
        <v>1</v>
      </c>
    </row>
    <row r="58" spans="1:4" ht="55.2">
      <c r="A58" s="352" t="s">
        <v>1049</v>
      </c>
      <c r="B58" s="463" t="s">
        <v>1062</v>
      </c>
      <c r="C58" s="463" t="s">
        <v>1041</v>
      </c>
      <c r="D58">
        <f t="shared" si="0"/>
        <v>1</v>
      </c>
    </row>
    <row r="59" spans="1:4" ht="55.2">
      <c r="A59" s="352" t="s">
        <v>1050</v>
      </c>
      <c r="B59" s="463" t="s">
        <v>1042</v>
      </c>
      <c r="C59" s="463" t="s">
        <v>1041</v>
      </c>
      <c r="D59">
        <f t="shared" si="0"/>
        <v>1</v>
      </c>
    </row>
    <row r="60" spans="1:4" ht="55.2">
      <c r="A60" s="352" t="s">
        <v>1051</v>
      </c>
      <c r="B60" s="463" t="s">
        <v>1043</v>
      </c>
      <c r="C60" s="463" t="s">
        <v>1041</v>
      </c>
      <c r="D60">
        <f t="shared" si="0"/>
        <v>1</v>
      </c>
    </row>
    <row r="61" spans="1:4" ht="27.6">
      <c r="A61" s="352" t="s">
        <v>1052</v>
      </c>
      <c r="B61" s="463" t="s">
        <v>818</v>
      </c>
      <c r="C61" s="463" t="s">
        <v>1044</v>
      </c>
      <c r="D61">
        <f t="shared" si="0"/>
        <v>1</v>
      </c>
    </row>
    <row r="62" spans="1:4" ht="27.6">
      <c r="A62" s="352" t="s">
        <v>1053</v>
      </c>
      <c r="B62" s="463" t="s">
        <v>820</v>
      </c>
      <c r="C62" s="463" t="s">
        <v>1044</v>
      </c>
      <c r="D62">
        <f t="shared" si="0"/>
        <v>1</v>
      </c>
    </row>
    <row r="63" spans="1:4" ht="27.6">
      <c r="A63" s="352" t="s">
        <v>1054</v>
      </c>
      <c r="B63" s="463" t="s">
        <v>821</v>
      </c>
      <c r="C63" s="463" t="s">
        <v>1044</v>
      </c>
      <c r="D63">
        <f t="shared" si="0"/>
        <v>1</v>
      </c>
    </row>
    <row r="64" spans="1:4" ht="27.6">
      <c r="A64" s="352" t="s">
        <v>1055</v>
      </c>
      <c r="B64" s="463" t="s">
        <v>822</v>
      </c>
      <c r="C64" s="463" t="s">
        <v>1044</v>
      </c>
      <c r="D64">
        <f t="shared" si="0"/>
        <v>1</v>
      </c>
    </row>
    <row r="65" spans="1:4" ht="27.6">
      <c r="A65" s="352" t="s">
        <v>1056</v>
      </c>
      <c r="B65" s="463" t="s">
        <v>823</v>
      </c>
      <c r="C65" s="463" t="s">
        <v>1044</v>
      </c>
      <c r="D65">
        <f t="shared" si="0"/>
        <v>1</v>
      </c>
    </row>
    <row r="66" spans="1:4" ht="27.6">
      <c r="A66" s="352" t="s">
        <v>1057</v>
      </c>
      <c r="B66" s="463" t="s">
        <v>818</v>
      </c>
      <c r="C66" s="463" t="s">
        <v>1045</v>
      </c>
      <c r="D66">
        <f t="shared" si="0"/>
        <v>1</v>
      </c>
    </row>
    <row r="67" spans="1:4" ht="27.6">
      <c r="A67" s="352" t="s">
        <v>1058</v>
      </c>
      <c r="B67" s="463" t="s">
        <v>820</v>
      </c>
      <c r="C67" s="463" t="s">
        <v>1045</v>
      </c>
      <c r="D67">
        <f t="shared" si="0"/>
        <v>1</v>
      </c>
    </row>
    <row r="68" spans="1:4" ht="27.6">
      <c r="A68" s="352" t="s">
        <v>1059</v>
      </c>
      <c r="B68" s="463" t="s">
        <v>821</v>
      </c>
      <c r="C68" s="463" t="s">
        <v>1045</v>
      </c>
      <c r="D68">
        <f t="shared" ref="D68:D131" si="1">COUNTIFS($A$3:$A$379,A68)</f>
        <v>1</v>
      </c>
    </row>
    <row r="69" spans="1:4" ht="27.6">
      <c r="A69" s="352" t="s">
        <v>1060</v>
      </c>
      <c r="B69" s="463" t="s">
        <v>822</v>
      </c>
      <c r="C69" s="463" t="s">
        <v>1045</v>
      </c>
      <c r="D69">
        <f t="shared" si="1"/>
        <v>1</v>
      </c>
    </row>
    <row r="70" spans="1:4" ht="27.6">
      <c r="A70" s="352" t="s">
        <v>1061</v>
      </c>
      <c r="B70" s="463" t="s">
        <v>823</v>
      </c>
      <c r="C70" s="463" t="s">
        <v>1045</v>
      </c>
      <c r="D70">
        <f t="shared" si="1"/>
        <v>1</v>
      </c>
    </row>
    <row r="71" spans="1:4" ht="27.6">
      <c r="A71" s="352" t="s">
        <v>1063</v>
      </c>
      <c r="B71" s="463" t="s">
        <v>773</v>
      </c>
      <c r="C71" s="463" t="s">
        <v>1064</v>
      </c>
      <c r="D71">
        <f t="shared" si="1"/>
        <v>1</v>
      </c>
    </row>
    <row r="72" spans="1:4" ht="27.6">
      <c r="A72" s="352" t="s">
        <v>1077</v>
      </c>
      <c r="B72" s="463" t="s">
        <v>1072</v>
      </c>
      <c r="C72" s="463" t="s">
        <v>1073</v>
      </c>
      <c r="D72">
        <f t="shared" si="1"/>
        <v>1</v>
      </c>
    </row>
    <row r="73" spans="1:4" ht="27.6">
      <c r="A73" s="352" t="s">
        <v>1078</v>
      </c>
      <c r="B73" s="460" t="s">
        <v>818</v>
      </c>
      <c r="C73" s="460" t="s">
        <v>1074</v>
      </c>
      <c r="D73">
        <f t="shared" si="1"/>
        <v>1</v>
      </c>
    </row>
    <row r="74" spans="1:4" ht="27.6">
      <c r="A74" s="352" t="s">
        <v>1079</v>
      </c>
      <c r="B74" s="460" t="s">
        <v>820</v>
      </c>
      <c r="C74" s="460" t="s">
        <v>1074</v>
      </c>
      <c r="D74">
        <f t="shared" si="1"/>
        <v>1</v>
      </c>
    </row>
    <row r="75" spans="1:4" ht="27.6">
      <c r="A75" s="352" t="s">
        <v>1080</v>
      </c>
      <c r="B75" s="460" t="s">
        <v>821</v>
      </c>
      <c r="C75" s="460" t="s">
        <v>1074</v>
      </c>
      <c r="D75">
        <f t="shared" si="1"/>
        <v>1</v>
      </c>
    </row>
    <row r="76" spans="1:4" ht="27.6">
      <c r="A76" s="352" t="s">
        <v>1081</v>
      </c>
      <c r="B76" s="460" t="s">
        <v>822</v>
      </c>
      <c r="C76" s="460" t="s">
        <v>1074</v>
      </c>
      <c r="D76">
        <f t="shared" si="1"/>
        <v>1</v>
      </c>
    </row>
    <row r="77" spans="1:4" ht="27.6">
      <c r="A77" s="352" t="s">
        <v>1082</v>
      </c>
      <c r="B77" s="460" t="s">
        <v>823</v>
      </c>
      <c r="C77" s="460" t="s">
        <v>1074</v>
      </c>
      <c r="D77">
        <f t="shared" si="1"/>
        <v>1</v>
      </c>
    </row>
    <row r="78" spans="1:4" ht="27.6">
      <c r="A78" s="352" t="s">
        <v>1083</v>
      </c>
      <c r="B78" s="463" t="s">
        <v>1075</v>
      </c>
      <c r="C78" s="463" t="s">
        <v>1076</v>
      </c>
      <c r="D78">
        <f t="shared" si="1"/>
        <v>1</v>
      </c>
    </row>
    <row r="79" spans="1:4" ht="27.6">
      <c r="A79" s="352" t="s">
        <v>1084</v>
      </c>
      <c r="B79" s="463" t="s">
        <v>1075</v>
      </c>
      <c r="C79" s="463" t="s">
        <v>1076</v>
      </c>
      <c r="D79">
        <f t="shared" si="1"/>
        <v>1</v>
      </c>
    </row>
    <row r="80" spans="1:4" ht="41.4">
      <c r="A80" s="352" t="s">
        <v>1085</v>
      </c>
      <c r="B80" s="463" t="s">
        <v>796</v>
      </c>
      <c r="C80" s="463" t="s">
        <v>1086</v>
      </c>
      <c r="D80">
        <f t="shared" si="1"/>
        <v>1</v>
      </c>
    </row>
    <row r="81" spans="1:4" ht="27.6">
      <c r="A81" s="352" t="s">
        <v>1087</v>
      </c>
      <c r="B81" s="463" t="s">
        <v>843</v>
      </c>
      <c r="C81" s="463" t="s">
        <v>1076</v>
      </c>
      <c r="D81">
        <f t="shared" si="1"/>
        <v>1</v>
      </c>
    </row>
    <row r="82" spans="1:4" ht="27.6">
      <c r="A82" s="352" t="s">
        <v>1088</v>
      </c>
      <c r="B82" s="463" t="s">
        <v>818</v>
      </c>
      <c r="C82" s="463" t="s">
        <v>1089</v>
      </c>
      <c r="D82">
        <f t="shared" si="1"/>
        <v>1</v>
      </c>
    </row>
    <row r="83" spans="1:4" ht="27.6">
      <c r="A83" s="352" t="s">
        <v>1090</v>
      </c>
      <c r="B83" s="463" t="s">
        <v>820</v>
      </c>
      <c r="C83" s="463" t="s">
        <v>1089</v>
      </c>
      <c r="D83">
        <f t="shared" si="1"/>
        <v>1</v>
      </c>
    </row>
    <row r="84" spans="1:4" ht="27.6">
      <c r="A84" s="352" t="s">
        <v>1091</v>
      </c>
      <c r="B84" s="463" t="s">
        <v>821</v>
      </c>
      <c r="C84" s="463" t="s">
        <v>1089</v>
      </c>
      <c r="D84">
        <f t="shared" si="1"/>
        <v>1</v>
      </c>
    </row>
    <row r="85" spans="1:4" ht="27.6">
      <c r="A85" s="352" t="s">
        <v>1092</v>
      </c>
      <c r="B85" s="463" t="s">
        <v>822</v>
      </c>
      <c r="C85" s="463" t="s">
        <v>1089</v>
      </c>
      <c r="D85">
        <f t="shared" si="1"/>
        <v>1</v>
      </c>
    </row>
    <row r="86" spans="1:4" ht="27.6">
      <c r="A86" s="352" t="s">
        <v>1093</v>
      </c>
      <c r="B86" s="463" t="s">
        <v>823</v>
      </c>
      <c r="C86" s="463" t="s">
        <v>1089</v>
      </c>
      <c r="D86">
        <f t="shared" si="1"/>
        <v>1</v>
      </c>
    </row>
    <row r="87" spans="1:4" ht="27.6">
      <c r="A87" s="352" t="s">
        <v>1094</v>
      </c>
      <c r="B87" s="463" t="s">
        <v>10</v>
      </c>
      <c r="C87" s="463" t="s">
        <v>1095</v>
      </c>
      <c r="D87">
        <f t="shared" si="1"/>
        <v>1</v>
      </c>
    </row>
    <row r="88" spans="1:4" ht="27.6">
      <c r="A88" s="352" t="s">
        <v>1096</v>
      </c>
      <c r="B88" s="463" t="s">
        <v>789</v>
      </c>
      <c r="C88" s="463" t="s">
        <v>1095</v>
      </c>
      <c r="D88">
        <f t="shared" si="1"/>
        <v>1</v>
      </c>
    </row>
    <row r="89" spans="1:4" ht="27.6">
      <c r="A89" s="352" t="s">
        <v>1097</v>
      </c>
      <c r="B89" s="463" t="s">
        <v>777</v>
      </c>
      <c r="C89" s="463" t="s">
        <v>1095</v>
      </c>
      <c r="D89">
        <f t="shared" si="1"/>
        <v>1</v>
      </c>
    </row>
    <row r="90" spans="1:4" ht="27.6">
      <c r="A90" s="352" t="s">
        <v>1098</v>
      </c>
      <c r="B90" s="463" t="s">
        <v>764</v>
      </c>
      <c r="C90" s="463" t="s">
        <v>1095</v>
      </c>
      <c r="D90">
        <f t="shared" si="1"/>
        <v>1</v>
      </c>
    </row>
    <row r="91" spans="1:4" ht="27.6">
      <c r="A91" s="352" t="s">
        <v>1099</v>
      </c>
      <c r="B91" s="463" t="s">
        <v>768</v>
      </c>
      <c r="C91" s="463" t="s">
        <v>1095</v>
      </c>
      <c r="D91">
        <f t="shared" si="1"/>
        <v>1</v>
      </c>
    </row>
    <row r="92" spans="1:4" ht="27.6">
      <c r="A92" s="352" t="s">
        <v>1100</v>
      </c>
      <c r="B92" s="463" t="s">
        <v>765</v>
      </c>
      <c r="C92" s="463" t="s">
        <v>1095</v>
      </c>
      <c r="D92">
        <f t="shared" si="1"/>
        <v>1</v>
      </c>
    </row>
    <row r="93" spans="1:4" ht="41.4">
      <c r="A93" s="352" t="s">
        <v>1101</v>
      </c>
      <c r="B93" s="463" t="s">
        <v>1102</v>
      </c>
      <c r="C93" s="463" t="s">
        <v>1103</v>
      </c>
      <c r="D93">
        <f t="shared" si="1"/>
        <v>1</v>
      </c>
    </row>
    <row r="94" spans="1:4" ht="41.4">
      <c r="A94" s="352" t="s">
        <v>1104</v>
      </c>
      <c r="B94" s="463" t="s">
        <v>1105</v>
      </c>
      <c r="C94" s="463" t="s">
        <v>1106</v>
      </c>
      <c r="D94">
        <f t="shared" si="1"/>
        <v>1</v>
      </c>
    </row>
    <row r="95" spans="1:4" ht="27.6">
      <c r="A95" s="352" t="s">
        <v>1107</v>
      </c>
      <c r="B95" s="463" t="s">
        <v>1108</v>
      </c>
      <c r="C95" s="463" t="s">
        <v>1109</v>
      </c>
      <c r="D95">
        <f t="shared" si="1"/>
        <v>1</v>
      </c>
    </row>
    <row r="96" spans="1:4" ht="55.2">
      <c r="A96" s="352" t="s">
        <v>1110</v>
      </c>
      <c r="B96" s="463" t="s">
        <v>1102</v>
      </c>
      <c r="C96" s="463" t="s">
        <v>1111</v>
      </c>
      <c r="D96">
        <f t="shared" si="1"/>
        <v>1</v>
      </c>
    </row>
    <row r="97" spans="1:4" ht="41.4">
      <c r="A97" s="352" t="s">
        <v>1112</v>
      </c>
      <c r="B97" s="463" t="s">
        <v>10</v>
      </c>
      <c r="C97" s="463" t="s">
        <v>1113</v>
      </c>
      <c r="D97">
        <f t="shared" si="1"/>
        <v>1</v>
      </c>
    </row>
    <row r="98" spans="1:4" ht="41.4">
      <c r="A98" s="352" t="s">
        <v>1114</v>
      </c>
      <c r="B98" s="463" t="s">
        <v>777</v>
      </c>
      <c r="C98" s="463" t="s">
        <v>1113</v>
      </c>
      <c r="D98">
        <f t="shared" si="1"/>
        <v>1</v>
      </c>
    </row>
    <row r="99" spans="1:4" ht="41.4">
      <c r="A99" s="352" t="s">
        <v>1115</v>
      </c>
      <c r="B99" s="463" t="s">
        <v>765</v>
      </c>
      <c r="C99" s="463" t="s">
        <v>1113</v>
      </c>
      <c r="D99">
        <f t="shared" si="1"/>
        <v>1</v>
      </c>
    </row>
    <row r="100" spans="1:4" ht="27.6">
      <c r="A100" s="352" t="s">
        <v>1116</v>
      </c>
      <c r="B100" s="463" t="s">
        <v>847</v>
      </c>
      <c r="C100" s="463" t="s">
        <v>1117</v>
      </c>
      <c r="D100">
        <f t="shared" si="1"/>
        <v>1</v>
      </c>
    </row>
    <row r="101" spans="1:4" ht="27.6">
      <c r="A101" s="352" t="s">
        <v>1118</v>
      </c>
      <c r="B101" s="463" t="s">
        <v>1119</v>
      </c>
      <c r="C101" s="463" t="s">
        <v>1117</v>
      </c>
      <c r="D101">
        <f t="shared" si="1"/>
        <v>1</v>
      </c>
    </row>
    <row r="102" spans="1:4" ht="27.6">
      <c r="A102" s="352" t="s">
        <v>1120</v>
      </c>
      <c r="B102" s="463" t="s">
        <v>833</v>
      </c>
      <c r="C102" s="463" t="s">
        <v>1121</v>
      </c>
      <c r="D102">
        <f t="shared" si="1"/>
        <v>1</v>
      </c>
    </row>
    <row r="103" spans="1:4" ht="27.6">
      <c r="A103" s="352" t="s">
        <v>1122</v>
      </c>
      <c r="B103" s="463" t="s">
        <v>1030</v>
      </c>
      <c r="C103" s="463" t="s">
        <v>1123</v>
      </c>
      <c r="D103">
        <f t="shared" si="1"/>
        <v>1</v>
      </c>
    </row>
    <row r="104" spans="1:4" ht="27.6">
      <c r="A104" s="352" t="s">
        <v>1124</v>
      </c>
      <c r="B104" s="463" t="s">
        <v>872</v>
      </c>
      <c r="C104" s="463" t="s">
        <v>1125</v>
      </c>
      <c r="D104">
        <f t="shared" si="1"/>
        <v>1</v>
      </c>
    </row>
    <row r="105" spans="1:4" ht="27.6">
      <c r="A105" s="352" t="s">
        <v>1126</v>
      </c>
      <c r="B105" s="463" t="s">
        <v>863</v>
      </c>
      <c r="C105" s="463" t="s">
        <v>1125</v>
      </c>
      <c r="D105">
        <f t="shared" si="1"/>
        <v>1</v>
      </c>
    </row>
    <row r="106" spans="1:4" ht="27.6">
      <c r="A106" s="404" t="s">
        <v>1127</v>
      </c>
      <c r="B106" s="409" t="s">
        <v>1128</v>
      </c>
      <c r="C106" s="409" t="s">
        <v>1129</v>
      </c>
      <c r="D106">
        <f t="shared" si="1"/>
        <v>1</v>
      </c>
    </row>
    <row r="107" spans="1:4" ht="27.6">
      <c r="A107" s="352" t="s">
        <v>1130</v>
      </c>
      <c r="B107" s="463" t="s">
        <v>1131</v>
      </c>
      <c r="C107" s="463" t="s">
        <v>1132</v>
      </c>
      <c r="D107">
        <f t="shared" si="1"/>
        <v>1</v>
      </c>
    </row>
    <row r="108" spans="1:4" ht="27.6">
      <c r="A108" s="352" t="s">
        <v>1133</v>
      </c>
      <c r="B108" s="463" t="s">
        <v>1134</v>
      </c>
      <c r="C108" s="463" t="s">
        <v>1135</v>
      </c>
      <c r="D108">
        <f t="shared" si="1"/>
        <v>1</v>
      </c>
    </row>
    <row r="109" spans="1:4" ht="27.6">
      <c r="A109" s="352" t="s">
        <v>1136</v>
      </c>
      <c r="B109" s="463" t="s">
        <v>779</v>
      </c>
      <c r="C109" s="463" t="s">
        <v>1137</v>
      </c>
      <c r="D109">
        <f t="shared" si="1"/>
        <v>1</v>
      </c>
    </row>
    <row r="110" spans="1:4" ht="27.6">
      <c r="A110" s="404" t="s">
        <v>1138</v>
      </c>
      <c r="B110" s="409" t="s">
        <v>818</v>
      </c>
      <c r="C110" s="409" t="s">
        <v>1139</v>
      </c>
      <c r="D110">
        <f t="shared" si="1"/>
        <v>1</v>
      </c>
    </row>
    <row r="111" spans="1:4" ht="27.6">
      <c r="A111" s="352" t="s">
        <v>1140</v>
      </c>
      <c r="B111" s="463" t="s">
        <v>820</v>
      </c>
      <c r="C111" s="463" t="s">
        <v>1139</v>
      </c>
      <c r="D111">
        <f t="shared" si="1"/>
        <v>1</v>
      </c>
    </row>
    <row r="112" spans="1:4" ht="27.6">
      <c r="A112" s="404" t="s">
        <v>1141</v>
      </c>
      <c r="B112" s="409" t="s">
        <v>821</v>
      </c>
      <c r="C112" s="409" t="s">
        <v>1139</v>
      </c>
      <c r="D112">
        <f t="shared" si="1"/>
        <v>1</v>
      </c>
    </row>
    <row r="113" spans="1:4" ht="27.6">
      <c r="A113" s="404" t="s">
        <v>1142</v>
      </c>
      <c r="B113" s="409" t="s">
        <v>822</v>
      </c>
      <c r="C113" s="409" t="s">
        <v>1139</v>
      </c>
      <c r="D113">
        <f t="shared" si="1"/>
        <v>1</v>
      </c>
    </row>
    <row r="114" spans="1:4" ht="27.6">
      <c r="A114" s="404" t="s">
        <v>1143</v>
      </c>
      <c r="B114" s="409" t="s">
        <v>823</v>
      </c>
      <c r="C114" s="409" t="s">
        <v>1139</v>
      </c>
      <c r="D114">
        <f t="shared" si="1"/>
        <v>1</v>
      </c>
    </row>
    <row r="115" spans="1:4">
      <c r="A115" s="404" t="s">
        <v>1144</v>
      </c>
      <c r="B115" s="409" t="s">
        <v>818</v>
      </c>
      <c r="C115" s="409" t="s">
        <v>1145</v>
      </c>
      <c r="D115">
        <f t="shared" si="1"/>
        <v>1</v>
      </c>
    </row>
    <row r="116" spans="1:4">
      <c r="A116" s="404" t="s">
        <v>1146</v>
      </c>
      <c r="B116" s="409" t="s">
        <v>820</v>
      </c>
      <c r="C116" s="409" t="s">
        <v>1145</v>
      </c>
      <c r="D116">
        <f t="shared" si="1"/>
        <v>1</v>
      </c>
    </row>
    <row r="117" spans="1:4">
      <c r="A117" s="352" t="s">
        <v>1147</v>
      </c>
      <c r="B117" s="463" t="s">
        <v>821</v>
      </c>
      <c r="C117" s="463" t="s">
        <v>1145</v>
      </c>
      <c r="D117">
        <f t="shared" si="1"/>
        <v>1</v>
      </c>
    </row>
    <row r="118" spans="1:4">
      <c r="A118" s="404" t="s">
        <v>1148</v>
      </c>
      <c r="B118" s="409" t="s">
        <v>822</v>
      </c>
      <c r="C118" s="409" t="s">
        <v>1145</v>
      </c>
      <c r="D118">
        <f t="shared" si="1"/>
        <v>1</v>
      </c>
    </row>
    <row r="119" spans="1:4">
      <c r="A119" s="404" t="s">
        <v>1149</v>
      </c>
      <c r="B119" s="409" t="s">
        <v>823</v>
      </c>
      <c r="C119" s="409" t="s">
        <v>1145</v>
      </c>
      <c r="D119">
        <f t="shared" si="1"/>
        <v>1</v>
      </c>
    </row>
    <row r="120" spans="1:4" ht="27.6">
      <c r="A120" s="404" t="s">
        <v>1151</v>
      </c>
      <c r="B120" s="409" t="s">
        <v>818</v>
      </c>
      <c r="C120" s="409" t="s">
        <v>1150</v>
      </c>
      <c r="D120">
        <f t="shared" si="1"/>
        <v>1</v>
      </c>
    </row>
    <row r="121" spans="1:4" ht="27.6">
      <c r="A121" s="352" t="s">
        <v>1152</v>
      </c>
      <c r="B121" s="463" t="s">
        <v>820</v>
      </c>
      <c r="C121" s="463" t="s">
        <v>1150</v>
      </c>
      <c r="D121">
        <f t="shared" si="1"/>
        <v>1</v>
      </c>
    </row>
    <row r="122" spans="1:4" ht="27.6">
      <c r="A122" s="404" t="s">
        <v>1153</v>
      </c>
      <c r="B122" s="409" t="s">
        <v>823</v>
      </c>
      <c r="C122" s="409" t="s">
        <v>1150</v>
      </c>
      <c r="D122">
        <f t="shared" si="1"/>
        <v>1</v>
      </c>
    </row>
    <row r="123" spans="1:4" ht="27.6">
      <c r="A123" s="404" t="s">
        <v>1154</v>
      </c>
      <c r="B123" s="409" t="s">
        <v>821</v>
      </c>
      <c r="C123" s="409" t="s">
        <v>1150</v>
      </c>
      <c r="D123">
        <f t="shared" si="1"/>
        <v>1</v>
      </c>
    </row>
    <row r="124" spans="1:4" ht="27.6">
      <c r="A124" s="404" t="s">
        <v>1155</v>
      </c>
      <c r="B124" s="409" t="s">
        <v>822</v>
      </c>
      <c r="C124" s="409" t="s">
        <v>1150</v>
      </c>
      <c r="D124">
        <f t="shared" si="1"/>
        <v>1</v>
      </c>
    </row>
    <row r="125" spans="1:4" ht="41.4">
      <c r="A125" s="352" t="s">
        <v>1156</v>
      </c>
      <c r="B125" s="463" t="s">
        <v>1157</v>
      </c>
      <c r="C125" s="463" t="s">
        <v>1158</v>
      </c>
      <c r="D125">
        <f t="shared" si="1"/>
        <v>1</v>
      </c>
    </row>
    <row r="126" spans="1:4" ht="41.4">
      <c r="A126" s="352" t="s">
        <v>1159</v>
      </c>
      <c r="B126" s="463" t="s">
        <v>789</v>
      </c>
      <c r="C126" s="463" t="s">
        <v>1113</v>
      </c>
      <c r="D126">
        <f t="shared" si="1"/>
        <v>1</v>
      </c>
    </row>
    <row r="127" spans="1:4" ht="27.6">
      <c r="A127" s="352" t="s">
        <v>1160</v>
      </c>
      <c r="B127" s="463" t="s">
        <v>789</v>
      </c>
      <c r="C127" s="463" t="s">
        <v>1125</v>
      </c>
      <c r="D127">
        <f t="shared" si="1"/>
        <v>1</v>
      </c>
    </row>
    <row r="128" spans="1:4" ht="41.4">
      <c r="A128" s="352" t="s">
        <v>1161</v>
      </c>
      <c r="B128" s="463" t="s">
        <v>768</v>
      </c>
      <c r="C128" s="463" t="s">
        <v>1113</v>
      </c>
      <c r="D128">
        <f t="shared" si="1"/>
        <v>1</v>
      </c>
    </row>
    <row r="129" spans="1:4" ht="27.6">
      <c r="A129" s="352" t="s">
        <v>1162</v>
      </c>
      <c r="B129" s="463" t="s">
        <v>768</v>
      </c>
      <c r="C129" s="463" t="s">
        <v>1125</v>
      </c>
      <c r="D129">
        <f t="shared" si="1"/>
        <v>1</v>
      </c>
    </row>
    <row r="130" spans="1:4" ht="27.6">
      <c r="A130" s="352" t="s">
        <v>1163</v>
      </c>
      <c r="B130" s="463" t="s">
        <v>867</v>
      </c>
      <c r="C130" s="463" t="s">
        <v>1125</v>
      </c>
      <c r="D130">
        <f t="shared" si="1"/>
        <v>1</v>
      </c>
    </row>
    <row r="131" spans="1:4" ht="41.4">
      <c r="A131" s="352" t="s">
        <v>1164</v>
      </c>
      <c r="B131" s="463" t="s">
        <v>764</v>
      </c>
      <c r="C131" s="463" t="s">
        <v>1113</v>
      </c>
      <c r="D131">
        <f t="shared" si="1"/>
        <v>1</v>
      </c>
    </row>
    <row r="132" spans="1:4" ht="27.6">
      <c r="A132" s="352" t="s">
        <v>1167</v>
      </c>
      <c r="B132" s="463" t="s">
        <v>869</v>
      </c>
      <c r="C132" s="463" t="s">
        <v>1125</v>
      </c>
      <c r="D132">
        <f t="shared" ref="D132:D195" si="2">COUNTIFS($A$3:$A$379,A132)</f>
        <v>1</v>
      </c>
    </row>
    <row r="133" spans="1:4" ht="27.6">
      <c r="A133" s="352" t="s">
        <v>1168</v>
      </c>
      <c r="B133" s="463" t="s">
        <v>1165</v>
      </c>
      <c r="C133" s="463" t="s">
        <v>1166</v>
      </c>
      <c r="D133">
        <f t="shared" si="2"/>
        <v>1</v>
      </c>
    </row>
    <row r="134" spans="1:4" ht="27.6">
      <c r="A134" s="352" t="s">
        <v>1169</v>
      </c>
      <c r="B134" s="463" t="s">
        <v>1170</v>
      </c>
      <c r="C134" s="463" t="s">
        <v>1166</v>
      </c>
      <c r="D134">
        <f t="shared" si="2"/>
        <v>1</v>
      </c>
    </row>
    <row r="135" spans="1:4" ht="27.6">
      <c r="A135" s="352" t="s">
        <v>1171</v>
      </c>
      <c r="B135" s="463" t="s">
        <v>1172</v>
      </c>
      <c r="C135" s="463" t="s">
        <v>1166</v>
      </c>
      <c r="D135">
        <f t="shared" si="2"/>
        <v>1</v>
      </c>
    </row>
    <row r="136" spans="1:4" ht="27.6">
      <c r="A136" s="352" t="s">
        <v>1173</v>
      </c>
      <c r="B136" s="463" t="s">
        <v>1174</v>
      </c>
      <c r="C136" s="463" t="s">
        <v>1166</v>
      </c>
      <c r="D136">
        <f t="shared" si="2"/>
        <v>1</v>
      </c>
    </row>
    <row r="137" spans="1:4" ht="27.6">
      <c r="A137" s="352" t="s">
        <v>1175</v>
      </c>
      <c r="B137" s="463" t="s">
        <v>1176</v>
      </c>
      <c r="C137" s="463" t="s">
        <v>1166</v>
      </c>
      <c r="D137">
        <f t="shared" si="2"/>
        <v>1</v>
      </c>
    </row>
    <row r="138" spans="1:4" ht="27.6">
      <c r="A138" s="352" t="s">
        <v>1177</v>
      </c>
      <c r="B138" s="463" t="s">
        <v>1165</v>
      </c>
      <c r="C138" s="463" t="s">
        <v>1178</v>
      </c>
      <c r="D138">
        <f t="shared" si="2"/>
        <v>1</v>
      </c>
    </row>
    <row r="139" spans="1:4" ht="41.4">
      <c r="A139" s="352" t="s">
        <v>1179</v>
      </c>
      <c r="B139" s="463" t="s">
        <v>1180</v>
      </c>
      <c r="C139" s="463" t="s">
        <v>1181</v>
      </c>
      <c r="D139">
        <f t="shared" si="2"/>
        <v>1</v>
      </c>
    </row>
    <row r="140" spans="1:4" ht="41.4">
      <c r="A140" s="352" t="s">
        <v>1182</v>
      </c>
      <c r="B140" s="463" t="s">
        <v>1180</v>
      </c>
      <c r="C140" s="463" t="s">
        <v>1183</v>
      </c>
      <c r="D140">
        <f t="shared" si="2"/>
        <v>1</v>
      </c>
    </row>
    <row r="141" spans="1:4" ht="41.4">
      <c r="A141" s="352" t="s">
        <v>1184</v>
      </c>
      <c r="B141" s="463" t="s">
        <v>1180</v>
      </c>
      <c r="C141" s="463" t="s">
        <v>1185</v>
      </c>
      <c r="D141">
        <f t="shared" si="2"/>
        <v>1</v>
      </c>
    </row>
    <row r="142" spans="1:4" ht="41.4">
      <c r="A142" s="352" t="s">
        <v>1186</v>
      </c>
      <c r="B142" s="463" t="s">
        <v>1180</v>
      </c>
      <c r="C142" s="463" t="s">
        <v>1187</v>
      </c>
      <c r="D142">
        <f t="shared" si="2"/>
        <v>1</v>
      </c>
    </row>
    <row r="143" spans="1:4" ht="55.2">
      <c r="A143" s="352" t="s">
        <v>1188</v>
      </c>
      <c r="B143" s="463" t="s">
        <v>1189</v>
      </c>
      <c r="C143" s="463" t="s">
        <v>1190</v>
      </c>
      <c r="D143">
        <f t="shared" si="2"/>
        <v>1</v>
      </c>
    </row>
    <row r="144" spans="1:4" ht="27.6">
      <c r="A144" s="352" t="s">
        <v>1191</v>
      </c>
      <c r="B144" s="463" t="s">
        <v>1192</v>
      </c>
      <c r="C144" s="463" t="s">
        <v>1193</v>
      </c>
      <c r="D144">
        <f t="shared" si="2"/>
        <v>1</v>
      </c>
    </row>
    <row r="145" spans="1:4" ht="55.2">
      <c r="A145" s="352" t="s">
        <v>1194</v>
      </c>
      <c r="B145" s="463" t="s">
        <v>1195</v>
      </c>
      <c r="C145" s="463" t="s">
        <v>1196</v>
      </c>
      <c r="D145">
        <f t="shared" si="2"/>
        <v>1</v>
      </c>
    </row>
    <row r="146" spans="1:4" ht="55.2">
      <c r="A146" s="352" t="s">
        <v>1197</v>
      </c>
      <c r="B146" s="463" t="s">
        <v>1195</v>
      </c>
      <c r="C146" s="463" t="s">
        <v>1205</v>
      </c>
      <c r="D146">
        <f t="shared" si="2"/>
        <v>1</v>
      </c>
    </row>
    <row r="147" spans="1:4" ht="27.6">
      <c r="A147" s="352" t="s">
        <v>1198</v>
      </c>
      <c r="B147" s="463" t="s">
        <v>823</v>
      </c>
      <c r="C147" s="463" t="s">
        <v>1206</v>
      </c>
      <c r="D147">
        <f t="shared" si="2"/>
        <v>1</v>
      </c>
    </row>
    <row r="148" spans="1:4" ht="27.6">
      <c r="A148" s="404" t="s">
        <v>1199</v>
      </c>
      <c r="B148" s="409" t="s">
        <v>822</v>
      </c>
      <c r="C148" s="409" t="s">
        <v>1206</v>
      </c>
      <c r="D148">
        <f t="shared" si="2"/>
        <v>1</v>
      </c>
    </row>
    <row r="149" spans="1:4" ht="27.6">
      <c r="A149" s="404" t="s">
        <v>1200</v>
      </c>
      <c r="B149" s="409" t="s">
        <v>821</v>
      </c>
      <c r="C149" s="409" t="s">
        <v>1206</v>
      </c>
      <c r="D149">
        <f t="shared" si="2"/>
        <v>1</v>
      </c>
    </row>
    <row r="150" spans="1:4" ht="27.6">
      <c r="A150" s="352" t="s">
        <v>1201</v>
      </c>
      <c r="B150" s="463" t="s">
        <v>820</v>
      </c>
      <c r="C150" s="463" t="s">
        <v>1206</v>
      </c>
      <c r="D150">
        <f t="shared" si="2"/>
        <v>1</v>
      </c>
    </row>
    <row r="151" spans="1:4" ht="27.6">
      <c r="A151" s="404" t="s">
        <v>1202</v>
      </c>
      <c r="B151" s="409" t="s">
        <v>818</v>
      </c>
      <c r="C151" s="409" t="s">
        <v>1206</v>
      </c>
      <c r="D151">
        <f t="shared" si="2"/>
        <v>1</v>
      </c>
    </row>
    <row r="152" spans="1:4" ht="27.6">
      <c r="A152" s="404" t="s">
        <v>1203</v>
      </c>
      <c r="B152" s="409" t="s">
        <v>1036</v>
      </c>
      <c r="C152" s="409" t="s">
        <v>1207</v>
      </c>
      <c r="D152">
        <f t="shared" si="2"/>
        <v>1</v>
      </c>
    </row>
    <row r="153" spans="1:4" ht="27.6">
      <c r="A153" s="404" t="s">
        <v>1204</v>
      </c>
      <c r="B153" s="409" t="s">
        <v>823</v>
      </c>
      <c r="C153" s="409" t="s">
        <v>1213</v>
      </c>
      <c r="D153">
        <f t="shared" si="2"/>
        <v>1</v>
      </c>
    </row>
    <row r="154" spans="1:4" ht="27.6">
      <c r="A154" s="404" t="s">
        <v>1208</v>
      </c>
      <c r="B154" s="409" t="s">
        <v>822</v>
      </c>
      <c r="C154" s="409" t="s">
        <v>1213</v>
      </c>
      <c r="D154">
        <f t="shared" si="2"/>
        <v>1</v>
      </c>
    </row>
    <row r="155" spans="1:4" ht="27.6">
      <c r="A155" s="404" t="s">
        <v>1209</v>
      </c>
      <c r="B155" s="409" t="s">
        <v>821</v>
      </c>
      <c r="C155" s="409" t="s">
        <v>1213</v>
      </c>
      <c r="D155">
        <f t="shared" si="2"/>
        <v>1</v>
      </c>
    </row>
    <row r="156" spans="1:4" ht="27.6">
      <c r="A156" s="404" t="s">
        <v>1210</v>
      </c>
      <c r="B156" s="409" t="s">
        <v>820</v>
      </c>
      <c r="C156" s="409" t="s">
        <v>1213</v>
      </c>
      <c r="D156">
        <f t="shared" si="2"/>
        <v>1</v>
      </c>
    </row>
    <row r="157" spans="1:4" ht="27.6">
      <c r="A157" s="404" t="s">
        <v>1211</v>
      </c>
      <c r="B157" s="409" t="s">
        <v>818</v>
      </c>
      <c r="C157" s="409" t="s">
        <v>1213</v>
      </c>
      <c r="D157">
        <f t="shared" si="2"/>
        <v>1</v>
      </c>
    </row>
    <row r="158" spans="1:4" ht="27.6">
      <c r="A158" s="352" t="s">
        <v>1212</v>
      </c>
      <c r="B158" s="463" t="s">
        <v>1214</v>
      </c>
      <c r="C158" s="463" t="s">
        <v>1215</v>
      </c>
      <c r="D158">
        <f t="shared" si="2"/>
        <v>1</v>
      </c>
    </row>
    <row r="159" spans="1:4" ht="27.6">
      <c r="A159" s="352" t="s">
        <v>1222</v>
      </c>
      <c r="B159" s="463" t="s">
        <v>1030</v>
      </c>
      <c r="C159" s="463" t="s">
        <v>1223</v>
      </c>
      <c r="D159">
        <f t="shared" si="2"/>
        <v>1</v>
      </c>
    </row>
    <row r="160" spans="1:4" ht="27.6">
      <c r="A160" s="352" t="s">
        <v>1224</v>
      </c>
      <c r="B160" s="463" t="s">
        <v>1030</v>
      </c>
      <c r="C160" s="463" t="s">
        <v>1225</v>
      </c>
      <c r="D160">
        <f t="shared" si="2"/>
        <v>1</v>
      </c>
    </row>
    <row r="161" spans="1:4" ht="27.6">
      <c r="A161" s="352" t="s">
        <v>1226</v>
      </c>
      <c r="B161" s="463" t="s">
        <v>1030</v>
      </c>
      <c r="C161" s="463" t="s">
        <v>1227</v>
      </c>
      <c r="D161">
        <f t="shared" si="2"/>
        <v>1</v>
      </c>
    </row>
    <row r="162" spans="1:4" ht="27.6">
      <c r="A162" s="352" t="s">
        <v>1228</v>
      </c>
      <c r="B162" s="463" t="s">
        <v>1030</v>
      </c>
      <c r="C162" s="463" t="s">
        <v>1227</v>
      </c>
      <c r="D162">
        <f t="shared" si="2"/>
        <v>1</v>
      </c>
    </row>
    <row r="163" spans="1:4" ht="27.6">
      <c r="A163" s="404" t="s">
        <v>1229</v>
      </c>
      <c r="B163" s="409" t="s">
        <v>1230</v>
      </c>
      <c r="C163" s="409" t="s">
        <v>1231</v>
      </c>
      <c r="D163">
        <f t="shared" si="2"/>
        <v>1</v>
      </c>
    </row>
    <row r="164" spans="1:4" ht="27.6">
      <c r="A164" s="404" t="s">
        <v>1232</v>
      </c>
      <c r="B164" s="409" t="s">
        <v>1102</v>
      </c>
      <c r="C164" s="409" t="s">
        <v>1233</v>
      </c>
      <c r="D164">
        <f t="shared" si="2"/>
        <v>1</v>
      </c>
    </row>
    <row r="165" spans="1:4" ht="27.6">
      <c r="A165" s="352" t="s">
        <v>1234</v>
      </c>
      <c r="B165" s="463" t="s">
        <v>1235</v>
      </c>
      <c r="C165" s="463" t="s">
        <v>1236</v>
      </c>
      <c r="D165">
        <f t="shared" si="2"/>
        <v>1</v>
      </c>
    </row>
    <row r="166" spans="1:4" ht="27.6">
      <c r="A166" s="352" t="s">
        <v>1237</v>
      </c>
      <c r="B166" s="463" t="s">
        <v>1075</v>
      </c>
      <c r="C166" s="463" t="s">
        <v>1236</v>
      </c>
      <c r="D166">
        <f t="shared" si="2"/>
        <v>1</v>
      </c>
    </row>
    <row r="167" spans="1:4" ht="27.6">
      <c r="A167" s="352" t="s">
        <v>1238</v>
      </c>
      <c r="B167" s="463" t="s">
        <v>1075</v>
      </c>
      <c r="C167" s="463" t="s">
        <v>1236</v>
      </c>
      <c r="D167">
        <f t="shared" si="2"/>
        <v>1</v>
      </c>
    </row>
    <row r="168" spans="1:4" ht="27.6">
      <c r="A168" s="352" t="s">
        <v>1239</v>
      </c>
      <c r="B168" s="463" t="s">
        <v>1075</v>
      </c>
      <c r="C168" s="463" t="s">
        <v>1236</v>
      </c>
      <c r="D168">
        <f t="shared" si="2"/>
        <v>1</v>
      </c>
    </row>
    <row r="169" spans="1:4" ht="27.6">
      <c r="A169" s="352" t="s">
        <v>1240</v>
      </c>
      <c r="B169" s="463" t="s">
        <v>1075</v>
      </c>
      <c r="C169" s="463" t="s">
        <v>1236</v>
      </c>
      <c r="D169">
        <f t="shared" si="2"/>
        <v>1</v>
      </c>
    </row>
    <row r="170" spans="1:4" ht="27.6">
      <c r="A170" s="352" t="s">
        <v>1241</v>
      </c>
      <c r="B170" s="463" t="s">
        <v>1242</v>
      </c>
      <c r="C170" s="463" t="s">
        <v>1243</v>
      </c>
      <c r="D170">
        <f t="shared" si="2"/>
        <v>1</v>
      </c>
    </row>
    <row r="171" spans="1:4" ht="27.6">
      <c r="A171" s="404" t="s">
        <v>1244</v>
      </c>
      <c r="B171" s="409" t="s">
        <v>1245</v>
      </c>
      <c r="C171" s="409" t="s">
        <v>1246</v>
      </c>
      <c r="D171">
        <f t="shared" si="2"/>
        <v>1</v>
      </c>
    </row>
    <row r="172" spans="1:4" ht="27.6">
      <c r="A172" s="404" t="s">
        <v>1247</v>
      </c>
      <c r="B172" s="409" t="s">
        <v>1245</v>
      </c>
      <c r="C172" s="409" t="s">
        <v>1248</v>
      </c>
      <c r="D172">
        <f t="shared" si="2"/>
        <v>1</v>
      </c>
    </row>
    <row r="173" spans="1:4" ht="27.6">
      <c r="A173" s="352" t="s">
        <v>1249</v>
      </c>
      <c r="B173" s="463" t="s">
        <v>863</v>
      </c>
      <c r="C173" s="463" t="s">
        <v>1250</v>
      </c>
      <c r="D173">
        <f t="shared" si="2"/>
        <v>1</v>
      </c>
    </row>
    <row r="174" spans="1:4" ht="41.4">
      <c r="A174" s="404" t="s">
        <v>1251</v>
      </c>
      <c r="B174" s="409" t="s">
        <v>818</v>
      </c>
      <c r="C174" s="409" t="s">
        <v>1252</v>
      </c>
      <c r="D174">
        <f t="shared" si="2"/>
        <v>1</v>
      </c>
    </row>
    <row r="175" spans="1:4" ht="41.4">
      <c r="A175" s="404" t="s">
        <v>1253</v>
      </c>
      <c r="B175" s="409" t="s">
        <v>820</v>
      </c>
      <c r="C175" s="409" t="s">
        <v>1252</v>
      </c>
      <c r="D175">
        <f t="shared" si="2"/>
        <v>1</v>
      </c>
    </row>
    <row r="176" spans="1:4" ht="41.4">
      <c r="A176" s="404" t="s">
        <v>1254</v>
      </c>
      <c r="B176" s="409" t="s">
        <v>822</v>
      </c>
      <c r="C176" s="409" t="s">
        <v>1252</v>
      </c>
      <c r="D176">
        <f t="shared" si="2"/>
        <v>1</v>
      </c>
    </row>
    <row r="177" spans="1:4" ht="69">
      <c r="A177" s="404" t="s">
        <v>1255</v>
      </c>
      <c r="B177" s="409" t="s">
        <v>1257</v>
      </c>
      <c r="C177" s="409" t="s">
        <v>1258</v>
      </c>
      <c r="D177">
        <f t="shared" si="2"/>
        <v>1</v>
      </c>
    </row>
    <row r="178" spans="1:4" ht="27.6">
      <c r="A178" s="404" t="s">
        <v>1259</v>
      </c>
      <c r="B178" s="409" t="s">
        <v>1172</v>
      </c>
      <c r="C178" s="409" t="s">
        <v>1260</v>
      </c>
      <c r="D178">
        <f t="shared" si="2"/>
        <v>1</v>
      </c>
    </row>
    <row r="179" spans="1:4" ht="27.6">
      <c r="A179" s="404" t="s">
        <v>1261</v>
      </c>
      <c r="B179" s="409" t="s">
        <v>1174</v>
      </c>
      <c r="C179" s="409" t="s">
        <v>1260</v>
      </c>
      <c r="D179">
        <f t="shared" si="2"/>
        <v>1</v>
      </c>
    </row>
    <row r="180" spans="1:4" ht="27.6">
      <c r="A180" s="404" t="s">
        <v>1262</v>
      </c>
      <c r="B180" s="409" t="s">
        <v>1030</v>
      </c>
      <c r="C180" s="409" t="s">
        <v>1263</v>
      </c>
      <c r="D180">
        <f t="shared" si="2"/>
        <v>1</v>
      </c>
    </row>
    <row r="181" spans="1:4" ht="27.6">
      <c r="A181" s="436" t="s">
        <v>1268</v>
      </c>
      <c r="B181" s="439" t="s">
        <v>1030</v>
      </c>
      <c r="C181" s="439" t="s">
        <v>1263</v>
      </c>
      <c r="D181">
        <f t="shared" si="2"/>
        <v>1</v>
      </c>
    </row>
    <row r="182" spans="1:4" ht="27.6">
      <c r="A182" s="436" t="s">
        <v>1269</v>
      </c>
      <c r="B182" s="439" t="s">
        <v>1030</v>
      </c>
      <c r="C182" s="439" t="s">
        <v>1263</v>
      </c>
      <c r="D182">
        <f t="shared" si="2"/>
        <v>1</v>
      </c>
    </row>
    <row r="183" spans="1:4" ht="27.6">
      <c r="A183" s="436" t="s">
        <v>1270</v>
      </c>
      <c r="B183" s="463" t="s">
        <v>1176</v>
      </c>
      <c r="C183" s="463" t="s">
        <v>1260</v>
      </c>
      <c r="D183">
        <f t="shared" si="2"/>
        <v>1</v>
      </c>
    </row>
    <row r="184" spans="1:4" ht="27.6">
      <c r="A184" s="436" t="s">
        <v>1271</v>
      </c>
      <c r="B184" s="463" t="s">
        <v>1272</v>
      </c>
      <c r="C184" s="463" t="s">
        <v>1273</v>
      </c>
      <c r="D184">
        <f t="shared" si="2"/>
        <v>1</v>
      </c>
    </row>
    <row r="185" spans="1:4" ht="41.4">
      <c r="A185" s="436" t="s">
        <v>1274</v>
      </c>
      <c r="B185" s="463" t="s">
        <v>1275</v>
      </c>
      <c r="C185" s="463" t="s">
        <v>1276</v>
      </c>
      <c r="D185">
        <f t="shared" si="2"/>
        <v>1</v>
      </c>
    </row>
    <row r="186" spans="1:4" ht="27.6">
      <c r="A186" s="436" t="s">
        <v>1277</v>
      </c>
      <c r="B186" s="463" t="s">
        <v>1036</v>
      </c>
      <c r="C186" s="463" t="s">
        <v>1207</v>
      </c>
      <c r="D186">
        <f t="shared" si="2"/>
        <v>1</v>
      </c>
    </row>
    <row r="187" spans="1:4" ht="69">
      <c r="A187" s="436" t="s">
        <v>1278</v>
      </c>
      <c r="B187" s="439" t="s">
        <v>1257</v>
      </c>
      <c r="C187" s="439" t="s">
        <v>1258</v>
      </c>
      <c r="D187">
        <f t="shared" si="2"/>
        <v>1</v>
      </c>
    </row>
    <row r="188" spans="1:4" ht="27.6">
      <c r="A188" s="436" t="s">
        <v>1279</v>
      </c>
      <c r="B188" s="439" t="s">
        <v>1172</v>
      </c>
      <c r="C188" s="439" t="s">
        <v>1260</v>
      </c>
      <c r="D188">
        <f t="shared" si="2"/>
        <v>1</v>
      </c>
    </row>
    <row r="189" spans="1:4" ht="27.6">
      <c r="A189" s="436" t="s">
        <v>1280</v>
      </c>
      <c r="B189" s="439" t="s">
        <v>1174</v>
      </c>
      <c r="C189" s="439" t="s">
        <v>1260</v>
      </c>
      <c r="D189">
        <f t="shared" si="2"/>
        <v>1</v>
      </c>
    </row>
    <row r="190" spans="1:4" ht="27.6">
      <c r="A190" s="436" t="s">
        <v>1281</v>
      </c>
      <c r="B190" s="439" t="s">
        <v>1230</v>
      </c>
      <c r="C190" s="439" t="s">
        <v>1231</v>
      </c>
      <c r="D190">
        <f t="shared" si="2"/>
        <v>1</v>
      </c>
    </row>
    <row r="191" spans="1:4" ht="41.4">
      <c r="A191" s="436" t="s">
        <v>1282</v>
      </c>
      <c r="B191" s="439" t="s">
        <v>1102</v>
      </c>
      <c r="C191" s="439" t="s">
        <v>1283</v>
      </c>
      <c r="D191">
        <f t="shared" si="2"/>
        <v>1</v>
      </c>
    </row>
    <row r="192" spans="1:4" ht="27.6">
      <c r="A192" s="436" t="s">
        <v>1284</v>
      </c>
      <c r="B192" s="463" t="s">
        <v>773</v>
      </c>
      <c r="C192" s="463" t="s">
        <v>1285</v>
      </c>
      <c r="D192">
        <f t="shared" si="2"/>
        <v>1</v>
      </c>
    </row>
    <row r="193" spans="1:4" ht="27.6">
      <c r="A193" s="436" t="s">
        <v>1286</v>
      </c>
      <c r="B193" s="463" t="s">
        <v>1235</v>
      </c>
      <c r="C193" s="463" t="s">
        <v>1288</v>
      </c>
      <c r="D193">
        <f t="shared" si="2"/>
        <v>1</v>
      </c>
    </row>
    <row r="194" spans="1:4" ht="27.6">
      <c r="A194" s="436" t="s">
        <v>1287</v>
      </c>
      <c r="B194" s="463" t="s">
        <v>1075</v>
      </c>
      <c r="C194" s="463" t="s">
        <v>1288</v>
      </c>
      <c r="D194">
        <f t="shared" si="2"/>
        <v>1</v>
      </c>
    </row>
    <row r="195" spans="1:4" ht="27.6">
      <c r="A195" s="436" t="s">
        <v>1289</v>
      </c>
      <c r="B195" s="463" t="s">
        <v>1290</v>
      </c>
      <c r="C195" s="463" t="s">
        <v>1291</v>
      </c>
      <c r="D195">
        <f t="shared" si="2"/>
        <v>1</v>
      </c>
    </row>
    <row r="196" spans="1:4" ht="27.6">
      <c r="A196" s="436" t="s">
        <v>1292</v>
      </c>
      <c r="B196" s="463" t="s">
        <v>1075</v>
      </c>
      <c r="C196" s="463" t="s">
        <v>1288</v>
      </c>
      <c r="D196">
        <f t="shared" ref="D196:D259" si="3">COUNTIFS($A$3:$A$379,A196)</f>
        <v>1</v>
      </c>
    </row>
    <row r="197" spans="1:4" ht="27.6">
      <c r="A197" s="436" t="s">
        <v>1293</v>
      </c>
      <c r="B197" s="463" t="s">
        <v>1075</v>
      </c>
      <c r="C197" s="463" t="s">
        <v>1288</v>
      </c>
      <c r="D197">
        <f t="shared" si="3"/>
        <v>1</v>
      </c>
    </row>
    <row r="198" spans="1:4">
      <c r="A198" s="436" t="s">
        <v>1294</v>
      </c>
      <c r="B198" s="463" t="s">
        <v>6</v>
      </c>
      <c r="C198" s="463" t="s">
        <v>1295</v>
      </c>
      <c r="D198">
        <f t="shared" si="3"/>
        <v>12</v>
      </c>
    </row>
    <row r="199" spans="1:4">
      <c r="A199" s="436" t="s">
        <v>1294</v>
      </c>
      <c r="B199" s="463" t="s">
        <v>796</v>
      </c>
      <c r="C199" s="463" t="s">
        <v>1295</v>
      </c>
      <c r="D199">
        <f t="shared" si="3"/>
        <v>12</v>
      </c>
    </row>
    <row r="200" spans="1:4" ht="27.6">
      <c r="A200" s="436" t="s">
        <v>1294</v>
      </c>
      <c r="B200" s="463" t="s">
        <v>797</v>
      </c>
      <c r="C200" s="463" t="s">
        <v>1295</v>
      </c>
      <c r="D200">
        <f t="shared" si="3"/>
        <v>12</v>
      </c>
    </row>
    <row r="201" spans="1:4">
      <c r="A201" s="436" t="s">
        <v>1294</v>
      </c>
      <c r="B201" s="463" t="s">
        <v>798</v>
      </c>
      <c r="C201" s="463" t="s">
        <v>1295</v>
      </c>
      <c r="D201">
        <f t="shared" si="3"/>
        <v>12</v>
      </c>
    </row>
    <row r="202" spans="1:4">
      <c r="A202" s="436" t="s">
        <v>1294</v>
      </c>
      <c r="B202" s="463" t="s">
        <v>799</v>
      </c>
      <c r="C202" s="463" t="s">
        <v>1295</v>
      </c>
      <c r="D202">
        <f t="shared" si="3"/>
        <v>12</v>
      </c>
    </row>
    <row r="203" spans="1:4">
      <c r="A203" s="436" t="s">
        <v>1294</v>
      </c>
      <c r="B203" s="463" t="s">
        <v>800</v>
      </c>
      <c r="C203" s="463" t="s">
        <v>1295</v>
      </c>
      <c r="D203">
        <f t="shared" si="3"/>
        <v>12</v>
      </c>
    </row>
    <row r="204" spans="1:4">
      <c r="A204" s="436" t="s">
        <v>1294</v>
      </c>
      <c r="B204" s="463" t="s">
        <v>801</v>
      </c>
      <c r="C204" s="463" t="s">
        <v>1295</v>
      </c>
      <c r="D204">
        <f t="shared" si="3"/>
        <v>12</v>
      </c>
    </row>
    <row r="205" spans="1:4">
      <c r="A205" s="436" t="s">
        <v>1294</v>
      </c>
      <c r="B205" s="463" t="s">
        <v>802</v>
      </c>
      <c r="C205" s="463" t="s">
        <v>1295</v>
      </c>
      <c r="D205">
        <f t="shared" si="3"/>
        <v>12</v>
      </c>
    </row>
    <row r="206" spans="1:4">
      <c r="A206" s="436" t="s">
        <v>1294</v>
      </c>
      <c r="B206" s="463" t="s">
        <v>803</v>
      </c>
      <c r="C206" s="463" t="s">
        <v>1295</v>
      </c>
      <c r="D206">
        <f t="shared" si="3"/>
        <v>12</v>
      </c>
    </row>
    <row r="207" spans="1:4">
      <c r="A207" s="436" t="s">
        <v>1294</v>
      </c>
      <c r="B207" s="463" t="s">
        <v>804</v>
      </c>
      <c r="C207" s="463" t="s">
        <v>1295</v>
      </c>
      <c r="D207">
        <f t="shared" si="3"/>
        <v>12</v>
      </c>
    </row>
    <row r="208" spans="1:4" ht="27.6">
      <c r="A208" s="436" t="s">
        <v>1294</v>
      </c>
      <c r="B208" s="463" t="s">
        <v>805</v>
      </c>
      <c r="C208" s="463" t="s">
        <v>1295</v>
      </c>
      <c r="D208">
        <f t="shared" si="3"/>
        <v>12</v>
      </c>
    </row>
    <row r="209" spans="1:4">
      <c r="A209" s="436" t="s">
        <v>1294</v>
      </c>
      <c r="B209" s="463" t="s">
        <v>806</v>
      </c>
      <c r="C209" s="463" t="s">
        <v>1295</v>
      </c>
      <c r="D209">
        <f t="shared" si="3"/>
        <v>12</v>
      </c>
    </row>
    <row r="210" spans="1:4" ht="27.6">
      <c r="A210" s="436" t="s">
        <v>1296</v>
      </c>
      <c r="B210" s="463" t="s">
        <v>1297</v>
      </c>
      <c r="C210" s="463" t="s">
        <v>1298</v>
      </c>
      <c r="D210">
        <f t="shared" si="3"/>
        <v>1</v>
      </c>
    </row>
    <row r="211" spans="1:4" ht="27.6">
      <c r="A211" s="436" t="s">
        <v>1299</v>
      </c>
      <c r="B211" s="463" t="s">
        <v>1300</v>
      </c>
      <c r="C211" s="463" t="s">
        <v>1301</v>
      </c>
      <c r="D211">
        <f t="shared" si="3"/>
        <v>1</v>
      </c>
    </row>
    <row r="212" spans="1:4" ht="41.4">
      <c r="A212" s="436" t="s">
        <v>1302</v>
      </c>
      <c r="B212" s="463" t="s">
        <v>1303</v>
      </c>
      <c r="C212" s="463" t="s">
        <v>1304</v>
      </c>
      <c r="D212">
        <f t="shared" si="3"/>
        <v>1</v>
      </c>
    </row>
    <row r="213" spans="1:4" ht="27.6">
      <c r="A213" s="436" t="s">
        <v>1305</v>
      </c>
      <c r="B213" s="463" t="s">
        <v>1105</v>
      </c>
      <c r="C213" s="463" t="s">
        <v>1309</v>
      </c>
      <c r="D213">
        <f t="shared" si="3"/>
        <v>1</v>
      </c>
    </row>
    <row r="214" spans="1:4" ht="27.6">
      <c r="A214" s="436" t="s">
        <v>1306</v>
      </c>
      <c r="B214" s="463" t="s">
        <v>1307</v>
      </c>
      <c r="C214" s="463" t="s">
        <v>1308</v>
      </c>
      <c r="D214">
        <f t="shared" si="3"/>
        <v>1</v>
      </c>
    </row>
    <row r="215" spans="1:4" ht="27.6">
      <c r="A215" s="436" t="s">
        <v>1310</v>
      </c>
      <c r="B215" s="463" t="s">
        <v>1038</v>
      </c>
      <c r="C215" s="463" t="s">
        <v>1311</v>
      </c>
      <c r="D215">
        <f t="shared" si="3"/>
        <v>1</v>
      </c>
    </row>
    <row r="216" spans="1:4" ht="27.6">
      <c r="A216" s="436" t="s">
        <v>1312</v>
      </c>
      <c r="B216" s="463" t="s">
        <v>1245</v>
      </c>
      <c r="C216" s="463" t="s">
        <v>1313</v>
      </c>
      <c r="D216">
        <f t="shared" si="3"/>
        <v>1</v>
      </c>
    </row>
    <row r="217" spans="1:4" ht="27.6">
      <c r="A217" s="404" t="s">
        <v>1314</v>
      </c>
      <c r="B217" s="409" t="s">
        <v>1315</v>
      </c>
      <c r="C217" s="409" t="s">
        <v>1316</v>
      </c>
      <c r="D217">
        <f t="shared" si="3"/>
        <v>1</v>
      </c>
    </row>
    <row r="218" spans="1:4" ht="27.6">
      <c r="A218" s="436" t="s">
        <v>1317</v>
      </c>
      <c r="B218" s="463" t="s">
        <v>794</v>
      </c>
      <c r="C218" s="463" t="s">
        <v>1318</v>
      </c>
      <c r="D218">
        <f t="shared" si="3"/>
        <v>1</v>
      </c>
    </row>
    <row r="219" spans="1:4" ht="27.6">
      <c r="A219" s="436" t="s">
        <v>1319</v>
      </c>
      <c r="B219" s="463" t="s">
        <v>852</v>
      </c>
      <c r="C219" s="463" t="s">
        <v>1320</v>
      </c>
      <c r="D219">
        <f t="shared" si="3"/>
        <v>1</v>
      </c>
    </row>
    <row r="220" spans="1:4" ht="27.6">
      <c r="A220" s="436" t="s">
        <v>1321</v>
      </c>
      <c r="B220" s="463" t="s">
        <v>1030</v>
      </c>
      <c r="C220" s="463" t="s">
        <v>1031</v>
      </c>
      <c r="D220">
        <f t="shared" si="3"/>
        <v>1</v>
      </c>
    </row>
    <row r="221" spans="1:4" ht="27.6">
      <c r="A221" s="436" t="s">
        <v>1322</v>
      </c>
      <c r="B221" s="463" t="s">
        <v>1323</v>
      </c>
      <c r="C221" s="463" t="s">
        <v>1207</v>
      </c>
      <c r="D221">
        <f t="shared" si="3"/>
        <v>1</v>
      </c>
    </row>
    <row r="222" spans="1:4" ht="27.6">
      <c r="A222" s="436" t="s">
        <v>1324</v>
      </c>
      <c r="B222" s="463" t="s">
        <v>1325</v>
      </c>
      <c r="C222" s="463" t="s">
        <v>1207</v>
      </c>
      <c r="D222">
        <f t="shared" si="3"/>
        <v>1</v>
      </c>
    </row>
    <row r="223" spans="1:4" ht="27.6">
      <c r="A223" s="436" t="s">
        <v>1326</v>
      </c>
      <c r="B223" s="463" t="s">
        <v>1327</v>
      </c>
      <c r="C223" s="463" t="s">
        <v>1207</v>
      </c>
      <c r="D223">
        <f t="shared" si="3"/>
        <v>1</v>
      </c>
    </row>
    <row r="224" spans="1:4" ht="27.6">
      <c r="A224" s="436" t="s">
        <v>1328</v>
      </c>
      <c r="B224" s="463" t="s">
        <v>1329</v>
      </c>
      <c r="C224" s="463" t="s">
        <v>1330</v>
      </c>
      <c r="D224">
        <f t="shared" si="3"/>
        <v>1</v>
      </c>
    </row>
    <row r="225" spans="1:4" ht="27.6">
      <c r="A225" s="436" t="s">
        <v>1331</v>
      </c>
      <c r="B225" s="463" t="s">
        <v>859</v>
      </c>
      <c r="C225" s="463" t="s">
        <v>1332</v>
      </c>
      <c r="D225">
        <f t="shared" si="3"/>
        <v>1</v>
      </c>
    </row>
    <row r="226" spans="1:4" ht="27.6">
      <c r="A226" s="436" t="s">
        <v>1333</v>
      </c>
      <c r="B226" s="463" t="s">
        <v>1334</v>
      </c>
      <c r="C226" s="463" t="s">
        <v>1335</v>
      </c>
      <c r="D226">
        <f t="shared" si="3"/>
        <v>1</v>
      </c>
    </row>
    <row r="227" spans="1:4" ht="41.4">
      <c r="A227" s="436" t="s">
        <v>1336</v>
      </c>
      <c r="B227" s="463" t="s">
        <v>1337</v>
      </c>
      <c r="C227" s="463" t="s">
        <v>1276</v>
      </c>
      <c r="D227">
        <f t="shared" si="3"/>
        <v>1</v>
      </c>
    </row>
    <row r="228" spans="1:4" ht="27.6">
      <c r="A228" s="436" t="s">
        <v>1338</v>
      </c>
      <c r="B228" s="463" t="s">
        <v>1339</v>
      </c>
      <c r="C228" s="463" t="s">
        <v>1340</v>
      </c>
      <c r="D228">
        <f t="shared" si="3"/>
        <v>1</v>
      </c>
    </row>
    <row r="229" spans="1:4" ht="27.6">
      <c r="A229" s="436" t="s">
        <v>1341</v>
      </c>
      <c r="B229" s="463" t="s">
        <v>1342</v>
      </c>
      <c r="C229" s="463" t="s">
        <v>1301</v>
      </c>
      <c r="D229">
        <f t="shared" si="3"/>
        <v>1</v>
      </c>
    </row>
    <row r="230" spans="1:4" ht="55.2">
      <c r="A230" s="436" t="s">
        <v>1343</v>
      </c>
      <c r="B230" s="463" t="s">
        <v>1344</v>
      </c>
      <c r="C230" s="463" t="s">
        <v>1345</v>
      </c>
      <c r="D230">
        <f t="shared" si="3"/>
        <v>1</v>
      </c>
    </row>
    <row r="231" spans="1:4" ht="27.6">
      <c r="A231" s="436" t="s">
        <v>1364</v>
      </c>
      <c r="B231" s="463" t="s">
        <v>1108</v>
      </c>
      <c r="C231" s="463" t="s">
        <v>1346</v>
      </c>
      <c r="D231">
        <f t="shared" si="3"/>
        <v>1</v>
      </c>
    </row>
    <row r="232" spans="1:4" ht="41.4">
      <c r="A232" s="436" t="s">
        <v>1365</v>
      </c>
      <c r="B232" s="463" t="s">
        <v>1108</v>
      </c>
      <c r="C232" s="463" t="s">
        <v>1347</v>
      </c>
      <c r="D232">
        <f t="shared" si="3"/>
        <v>1</v>
      </c>
    </row>
    <row r="233" spans="1:4" ht="27.6">
      <c r="A233" s="436" t="s">
        <v>1367</v>
      </c>
      <c r="B233" s="463" t="s">
        <v>1327</v>
      </c>
      <c r="C233" s="463" t="s">
        <v>1037</v>
      </c>
      <c r="D233">
        <f t="shared" si="3"/>
        <v>1</v>
      </c>
    </row>
    <row r="234" spans="1:4" ht="27.6">
      <c r="A234" s="436" t="s">
        <v>1368</v>
      </c>
      <c r="B234" s="463" t="s">
        <v>1214</v>
      </c>
      <c r="C234" s="463" t="s">
        <v>1348</v>
      </c>
      <c r="D234">
        <f t="shared" si="3"/>
        <v>1</v>
      </c>
    </row>
    <row r="235" spans="1:4" ht="27.6">
      <c r="A235" s="436" t="s">
        <v>1370</v>
      </c>
      <c r="B235" s="463" t="s">
        <v>1349</v>
      </c>
      <c r="C235" s="463" t="s">
        <v>1350</v>
      </c>
      <c r="D235">
        <f t="shared" si="3"/>
        <v>1</v>
      </c>
    </row>
    <row r="236" spans="1:4" ht="55.2">
      <c r="A236" s="436" t="s">
        <v>1371</v>
      </c>
      <c r="B236" s="463" t="s">
        <v>1038</v>
      </c>
      <c r="C236" s="463" t="s">
        <v>1351</v>
      </c>
      <c r="D236">
        <f t="shared" si="3"/>
        <v>1</v>
      </c>
    </row>
    <row r="237" spans="1:4" ht="27.6">
      <c r="A237" s="436" t="s">
        <v>1372</v>
      </c>
      <c r="B237" s="463" t="s">
        <v>1352</v>
      </c>
      <c r="C237" s="463" t="s">
        <v>1353</v>
      </c>
      <c r="D237">
        <f t="shared" si="3"/>
        <v>1</v>
      </c>
    </row>
    <row r="238" spans="1:4" ht="41.4">
      <c r="A238" s="436" t="s">
        <v>1373</v>
      </c>
      <c r="B238" s="463" t="s">
        <v>1354</v>
      </c>
      <c r="C238" s="463" t="s">
        <v>1355</v>
      </c>
      <c r="D238">
        <f t="shared" si="3"/>
        <v>1</v>
      </c>
    </row>
    <row r="239" spans="1:4" ht="27.6">
      <c r="A239" s="436" t="s">
        <v>1374</v>
      </c>
      <c r="B239" s="463" t="s">
        <v>1245</v>
      </c>
      <c r="C239" s="463" t="s">
        <v>1356</v>
      </c>
      <c r="D239">
        <f t="shared" si="3"/>
        <v>1</v>
      </c>
    </row>
    <row r="240" spans="1:4" ht="27.6">
      <c r="A240" s="436" t="s">
        <v>1375</v>
      </c>
      <c r="B240" s="463" t="s">
        <v>810</v>
      </c>
      <c r="C240" s="463" t="s">
        <v>1357</v>
      </c>
      <c r="D240">
        <f t="shared" si="3"/>
        <v>1</v>
      </c>
    </row>
    <row r="241" spans="1:4" ht="27.6">
      <c r="A241" s="436" t="s">
        <v>1376</v>
      </c>
      <c r="B241" s="463" t="s">
        <v>836</v>
      </c>
      <c r="C241" s="463" t="s">
        <v>1358</v>
      </c>
      <c r="D241">
        <f t="shared" si="3"/>
        <v>1</v>
      </c>
    </row>
    <row r="242" spans="1:4" ht="27.6">
      <c r="A242" s="436" t="s">
        <v>1377</v>
      </c>
      <c r="B242" s="463" t="s">
        <v>1359</v>
      </c>
      <c r="C242" s="463" t="s">
        <v>1360</v>
      </c>
      <c r="D242">
        <f t="shared" si="3"/>
        <v>1</v>
      </c>
    </row>
    <row r="243" spans="1:4" ht="27.6">
      <c r="A243" s="436" t="s">
        <v>1378</v>
      </c>
      <c r="B243" s="463" t="s">
        <v>1072</v>
      </c>
      <c r="C243" s="463" t="s">
        <v>1361</v>
      </c>
      <c r="D243">
        <f t="shared" si="3"/>
        <v>1</v>
      </c>
    </row>
    <row r="244" spans="1:4" ht="27.6">
      <c r="A244" s="436" t="s">
        <v>1379</v>
      </c>
      <c r="B244" s="463" t="s">
        <v>1362</v>
      </c>
      <c r="C244" s="463" t="s">
        <v>1363</v>
      </c>
      <c r="D244">
        <f t="shared" si="3"/>
        <v>1</v>
      </c>
    </row>
    <row r="245" spans="1:4" ht="41.4">
      <c r="A245" s="436" t="s">
        <v>1383</v>
      </c>
      <c r="B245" s="463" t="s">
        <v>1380</v>
      </c>
      <c r="C245" s="463" t="s">
        <v>1381</v>
      </c>
      <c r="D245">
        <f t="shared" si="3"/>
        <v>1</v>
      </c>
    </row>
    <row r="246" spans="1:4" ht="41.4">
      <c r="A246" s="436" t="s">
        <v>1385</v>
      </c>
      <c r="B246" s="463" t="s">
        <v>777</v>
      </c>
      <c r="C246" s="463" t="s">
        <v>1384</v>
      </c>
      <c r="D246">
        <f t="shared" si="3"/>
        <v>1</v>
      </c>
    </row>
    <row r="247" spans="1:4" ht="41.4">
      <c r="A247" s="436" t="s">
        <v>1386</v>
      </c>
      <c r="B247" s="463" t="s">
        <v>768</v>
      </c>
      <c r="C247" s="463" t="s">
        <v>1384</v>
      </c>
      <c r="D247">
        <f t="shared" si="3"/>
        <v>1</v>
      </c>
    </row>
    <row r="248" spans="1:4" ht="41.4">
      <c r="A248" s="436" t="s">
        <v>1387</v>
      </c>
      <c r="B248" s="463" t="s">
        <v>765</v>
      </c>
      <c r="C248" s="463" t="s">
        <v>1384</v>
      </c>
      <c r="D248">
        <f t="shared" si="3"/>
        <v>1</v>
      </c>
    </row>
    <row r="249" spans="1:4" ht="27.6">
      <c r="A249" s="436" t="s">
        <v>1388</v>
      </c>
      <c r="B249" s="463" t="s">
        <v>872</v>
      </c>
      <c r="C249" s="463" t="s">
        <v>1390</v>
      </c>
      <c r="D249">
        <f t="shared" si="3"/>
        <v>1</v>
      </c>
    </row>
    <row r="250" spans="1:4" ht="27.6">
      <c r="A250" s="436" t="s">
        <v>1389</v>
      </c>
      <c r="B250" s="463" t="s">
        <v>863</v>
      </c>
      <c r="C250" s="463" t="s">
        <v>1390</v>
      </c>
      <c r="D250">
        <f t="shared" si="3"/>
        <v>1</v>
      </c>
    </row>
    <row r="251" spans="1:4" ht="27.6">
      <c r="A251" s="436" t="s">
        <v>1391</v>
      </c>
      <c r="B251" s="463" t="s">
        <v>768</v>
      </c>
      <c r="C251" s="463" t="s">
        <v>1390</v>
      </c>
      <c r="D251">
        <f t="shared" si="3"/>
        <v>1</v>
      </c>
    </row>
    <row r="252" spans="1:4" ht="27.6">
      <c r="A252" s="436" t="s">
        <v>1392</v>
      </c>
      <c r="B252" s="463" t="s">
        <v>867</v>
      </c>
      <c r="C252" s="463" t="s">
        <v>1390</v>
      </c>
      <c r="D252">
        <f t="shared" si="3"/>
        <v>1</v>
      </c>
    </row>
    <row r="253" spans="1:4" ht="41.4">
      <c r="A253" s="436" t="s">
        <v>1393</v>
      </c>
      <c r="B253" s="463" t="s">
        <v>1165</v>
      </c>
      <c r="C253" s="463" t="s">
        <v>1394</v>
      </c>
      <c r="D253">
        <f t="shared" si="3"/>
        <v>1</v>
      </c>
    </row>
    <row r="254" spans="1:4" ht="41.4">
      <c r="A254" s="436" t="s">
        <v>1395</v>
      </c>
      <c r="B254" s="463" t="s">
        <v>1170</v>
      </c>
      <c r="C254" s="463" t="s">
        <v>1394</v>
      </c>
      <c r="D254">
        <f t="shared" si="3"/>
        <v>1</v>
      </c>
    </row>
    <row r="255" spans="1:4" ht="41.4">
      <c r="A255" s="436" t="s">
        <v>1396</v>
      </c>
      <c r="B255" s="463" t="s">
        <v>1174</v>
      </c>
      <c r="C255" s="463" t="s">
        <v>1394</v>
      </c>
      <c r="D255">
        <f t="shared" si="3"/>
        <v>1</v>
      </c>
    </row>
    <row r="256" spans="1:4" ht="41.4">
      <c r="A256" s="436" t="s">
        <v>1397</v>
      </c>
      <c r="B256" s="463" t="s">
        <v>1176</v>
      </c>
      <c r="C256" s="463" t="s">
        <v>1394</v>
      </c>
      <c r="D256">
        <f t="shared" si="3"/>
        <v>1</v>
      </c>
    </row>
    <row r="257" spans="1:4" ht="41.4">
      <c r="A257" s="436" t="s">
        <v>1398</v>
      </c>
      <c r="B257" s="463" t="s">
        <v>1382</v>
      </c>
      <c r="C257" s="463" t="s">
        <v>1399</v>
      </c>
      <c r="D257">
        <f t="shared" si="3"/>
        <v>1</v>
      </c>
    </row>
    <row r="258" spans="1:4" ht="41.4">
      <c r="A258" s="436" t="s">
        <v>1400</v>
      </c>
      <c r="B258" s="463" t="s">
        <v>1382</v>
      </c>
      <c r="C258" s="463" t="s">
        <v>1394</v>
      </c>
      <c r="D258">
        <f t="shared" si="3"/>
        <v>1</v>
      </c>
    </row>
    <row r="259" spans="1:4" ht="41.4">
      <c r="A259" s="436" t="s">
        <v>1401</v>
      </c>
      <c r="B259" s="463" t="s">
        <v>10</v>
      </c>
      <c r="C259" s="463" t="s">
        <v>1384</v>
      </c>
      <c r="D259">
        <f t="shared" si="3"/>
        <v>1</v>
      </c>
    </row>
    <row r="260" spans="1:4" ht="41.4">
      <c r="A260" s="436" t="s">
        <v>1402</v>
      </c>
      <c r="B260" s="463" t="s">
        <v>764</v>
      </c>
      <c r="C260" s="463" t="s">
        <v>1384</v>
      </c>
      <c r="D260">
        <f t="shared" ref="D260:D323" si="4">COUNTIFS($A$3:$A$379,A260)</f>
        <v>1</v>
      </c>
    </row>
    <row r="261" spans="1:4" ht="27.6">
      <c r="A261" s="436" t="s">
        <v>1403</v>
      </c>
      <c r="B261" s="463" t="s">
        <v>869</v>
      </c>
      <c r="C261" s="463" t="s">
        <v>1390</v>
      </c>
      <c r="D261">
        <f t="shared" si="4"/>
        <v>1</v>
      </c>
    </row>
    <row r="262" spans="1:4" ht="41.4">
      <c r="A262" s="436" t="s">
        <v>1405</v>
      </c>
      <c r="B262" s="463" t="s">
        <v>1170</v>
      </c>
      <c r="C262" s="463" t="s">
        <v>1406</v>
      </c>
      <c r="D262">
        <f t="shared" si="4"/>
        <v>1</v>
      </c>
    </row>
    <row r="263" spans="1:4" ht="27.6">
      <c r="A263" s="436" t="s">
        <v>1407</v>
      </c>
      <c r="B263" s="463" t="s">
        <v>1245</v>
      </c>
      <c r="C263" s="463" t="s">
        <v>1408</v>
      </c>
      <c r="D263">
        <f t="shared" si="4"/>
        <v>1</v>
      </c>
    </row>
    <row r="264" spans="1:4" ht="27.6">
      <c r="A264" s="436" t="s">
        <v>1409</v>
      </c>
      <c r="B264" s="463" t="s">
        <v>1245</v>
      </c>
      <c r="C264" s="463" t="s">
        <v>1248</v>
      </c>
      <c r="D264">
        <f t="shared" si="4"/>
        <v>1</v>
      </c>
    </row>
    <row r="265" spans="1:4" ht="27.6">
      <c r="A265" s="436" t="s">
        <v>1410</v>
      </c>
      <c r="B265" s="463" t="s">
        <v>1036</v>
      </c>
      <c r="C265" s="463" t="s">
        <v>1411</v>
      </c>
      <c r="D265">
        <f t="shared" si="4"/>
        <v>1</v>
      </c>
    </row>
    <row r="266" spans="1:4" ht="41.4">
      <c r="A266" s="436" t="s">
        <v>1412</v>
      </c>
      <c r="B266" s="463" t="s">
        <v>1172</v>
      </c>
      <c r="C266" s="463" t="s">
        <v>1394</v>
      </c>
      <c r="D266">
        <f t="shared" si="4"/>
        <v>1</v>
      </c>
    </row>
    <row r="267" spans="1:4" ht="27.6">
      <c r="A267" s="436" t="s">
        <v>1413</v>
      </c>
      <c r="B267" s="463" t="s">
        <v>789</v>
      </c>
      <c r="C267" s="463" t="s">
        <v>1390</v>
      </c>
      <c r="D267">
        <f t="shared" si="4"/>
        <v>1</v>
      </c>
    </row>
    <row r="268" spans="1:4" ht="41.4">
      <c r="A268" s="436" t="s">
        <v>1414</v>
      </c>
      <c r="B268" s="463" t="s">
        <v>789</v>
      </c>
      <c r="C268" s="463" t="s">
        <v>1384</v>
      </c>
      <c r="D268">
        <f t="shared" si="4"/>
        <v>1</v>
      </c>
    </row>
    <row r="269" spans="1:4" ht="27.6">
      <c r="A269" s="404" t="s">
        <v>1415</v>
      </c>
      <c r="B269" s="409" t="s">
        <v>822</v>
      </c>
      <c r="C269" s="409" t="s">
        <v>1416</v>
      </c>
      <c r="D269">
        <f t="shared" si="4"/>
        <v>1</v>
      </c>
    </row>
    <row r="270" spans="1:4" ht="27.6">
      <c r="A270" s="436" t="s">
        <v>1417</v>
      </c>
      <c r="B270" s="463" t="s">
        <v>1418</v>
      </c>
      <c r="C270" s="463" t="s">
        <v>1419</v>
      </c>
      <c r="D270">
        <f t="shared" si="4"/>
        <v>1</v>
      </c>
    </row>
    <row r="271" spans="1:4" ht="41.4">
      <c r="A271" s="436" t="s">
        <v>1420</v>
      </c>
      <c r="B271" s="463" t="s">
        <v>1344</v>
      </c>
      <c r="C271" s="463" t="s">
        <v>1421</v>
      </c>
      <c r="D271">
        <f t="shared" si="4"/>
        <v>1</v>
      </c>
    </row>
    <row r="272" spans="1:4" ht="27.6">
      <c r="A272" s="436" t="s">
        <v>1422</v>
      </c>
      <c r="B272" s="463" t="s">
        <v>1359</v>
      </c>
      <c r="C272" s="463" t="s">
        <v>1423</v>
      </c>
      <c r="D272">
        <f t="shared" si="4"/>
        <v>1</v>
      </c>
    </row>
    <row r="273" spans="1:4" ht="27.6">
      <c r="A273" s="436" t="s">
        <v>1424</v>
      </c>
      <c r="B273" s="439" t="s">
        <v>823</v>
      </c>
      <c r="C273" s="439" t="s">
        <v>1139</v>
      </c>
      <c r="D273">
        <f t="shared" si="4"/>
        <v>1</v>
      </c>
    </row>
    <row r="274" spans="1:4" ht="27.6">
      <c r="A274" s="436" t="s">
        <v>1425</v>
      </c>
      <c r="B274" s="439" t="s">
        <v>818</v>
      </c>
      <c r="C274" s="439" t="s">
        <v>1206</v>
      </c>
      <c r="D274">
        <f t="shared" si="4"/>
        <v>1</v>
      </c>
    </row>
    <row r="275" spans="1:4" ht="27.6">
      <c r="A275" s="436" t="s">
        <v>1426</v>
      </c>
      <c r="B275" s="439" t="s">
        <v>818</v>
      </c>
      <c r="C275" s="439" t="s">
        <v>1150</v>
      </c>
      <c r="D275">
        <f t="shared" si="4"/>
        <v>1</v>
      </c>
    </row>
    <row r="276" spans="1:4">
      <c r="A276" s="436" t="s">
        <v>1427</v>
      </c>
      <c r="B276" s="439" t="s">
        <v>820</v>
      </c>
      <c r="C276" s="439" t="s">
        <v>1145</v>
      </c>
      <c r="D276">
        <f t="shared" si="4"/>
        <v>1</v>
      </c>
    </row>
    <row r="277" spans="1:4" ht="27.6">
      <c r="A277" s="436" t="s">
        <v>1428</v>
      </c>
      <c r="B277" s="439" t="s">
        <v>1189</v>
      </c>
      <c r="C277" s="439" t="s">
        <v>1429</v>
      </c>
      <c r="D277">
        <f t="shared" si="4"/>
        <v>1</v>
      </c>
    </row>
    <row r="278" spans="1:4" ht="41.4">
      <c r="A278" s="436" t="s">
        <v>1430</v>
      </c>
      <c r="B278" s="439" t="s">
        <v>1325</v>
      </c>
      <c r="C278" s="439" t="s">
        <v>1431</v>
      </c>
      <c r="D278">
        <f t="shared" si="4"/>
        <v>1</v>
      </c>
    </row>
    <row r="279" spans="1:4" ht="27.6">
      <c r="A279" s="436" t="s">
        <v>1432</v>
      </c>
      <c r="B279" s="439" t="s">
        <v>1433</v>
      </c>
      <c r="C279" s="439" t="s">
        <v>1434</v>
      </c>
      <c r="D279">
        <f t="shared" si="4"/>
        <v>1</v>
      </c>
    </row>
    <row r="280" spans="1:4" ht="27.6">
      <c r="A280" s="436" t="s">
        <v>1435</v>
      </c>
      <c r="B280" s="463" t="s">
        <v>1436</v>
      </c>
      <c r="C280" s="439" t="s">
        <v>1437</v>
      </c>
      <c r="D280">
        <f t="shared" si="4"/>
        <v>1</v>
      </c>
    </row>
    <row r="281" spans="1:4">
      <c r="A281" s="436" t="s">
        <v>1438</v>
      </c>
      <c r="B281" s="463" t="s">
        <v>10</v>
      </c>
      <c r="C281" s="463" t="s">
        <v>1439</v>
      </c>
      <c r="D281">
        <f t="shared" si="4"/>
        <v>1</v>
      </c>
    </row>
    <row r="282" spans="1:4">
      <c r="A282" s="436" t="s">
        <v>1440</v>
      </c>
      <c r="B282" s="463" t="s">
        <v>789</v>
      </c>
      <c r="C282" s="463" t="s">
        <v>1439</v>
      </c>
      <c r="D282">
        <f t="shared" si="4"/>
        <v>1</v>
      </c>
    </row>
    <row r="283" spans="1:4">
      <c r="A283" s="436" t="s">
        <v>1441</v>
      </c>
      <c r="B283" s="463" t="s">
        <v>777</v>
      </c>
      <c r="C283" s="463" t="s">
        <v>1439</v>
      </c>
      <c r="D283">
        <f t="shared" si="4"/>
        <v>1</v>
      </c>
    </row>
    <row r="284" spans="1:4">
      <c r="A284" s="436" t="s">
        <v>1442</v>
      </c>
      <c r="B284" s="463" t="s">
        <v>764</v>
      </c>
      <c r="C284" s="463" t="s">
        <v>1439</v>
      </c>
      <c r="D284">
        <f t="shared" si="4"/>
        <v>1</v>
      </c>
    </row>
    <row r="285" spans="1:4">
      <c r="A285" s="436" t="s">
        <v>1443</v>
      </c>
      <c r="B285" s="463" t="s">
        <v>768</v>
      </c>
      <c r="C285" s="463" t="s">
        <v>1439</v>
      </c>
      <c r="D285">
        <f t="shared" si="4"/>
        <v>1</v>
      </c>
    </row>
    <row r="286" spans="1:4">
      <c r="A286" s="436" t="s">
        <v>1444</v>
      </c>
      <c r="B286" s="463" t="s">
        <v>765</v>
      </c>
      <c r="C286" s="463" t="s">
        <v>1439</v>
      </c>
      <c r="D286">
        <f t="shared" si="4"/>
        <v>1</v>
      </c>
    </row>
    <row r="287" spans="1:4" ht="27.6">
      <c r="A287" s="436" t="s">
        <v>1445</v>
      </c>
      <c r="B287" s="463" t="s">
        <v>1102</v>
      </c>
      <c r="C287" s="463" t="s">
        <v>1446</v>
      </c>
      <c r="D287">
        <f t="shared" si="4"/>
        <v>1</v>
      </c>
    </row>
    <row r="288" spans="1:4" ht="27.6">
      <c r="A288" s="436" t="s">
        <v>1448</v>
      </c>
      <c r="B288" s="463" t="s">
        <v>1449</v>
      </c>
      <c r="C288" s="463" t="s">
        <v>1450</v>
      </c>
      <c r="D288">
        <f t="shared" si="4"/>
        <v>1</v>
      </c>
    </row>
    <row r="289" spans="1:4" ht="27.6">
      <c r="A289" s="436" t="s">
        <v>1451</v>
      </c>
      <c r="B289" s="463" t="s">
        <v>859</v>
      </c>
      <c r="C289" s="463" t="s">
        <v>1452</v>
      </c>
      <c r="D289">
        <f t="shared" si="4"/>
        <v>1</v>
      </c>
    </row>
    <row r="290" spans="1:4" ht="27.6">
      <c r="A290" s="436" t="s">
        <v>1453</v>
      </c>
      <c r="B290" s="463" t="s">
        <v>1030</v>
      </c>
      <c r="C290" s="463" t="s">
        <v>1454</v>
      </c>
      <c r="D290">
        <f t="shared" si="4"/>
        <v>1</v>
      </c>
    </row>
    <row r="291" spans="1:4" ht="27.6">
      <c r="A291" s="436" t="s">
        <v>1455</v>
      </c>
      <c r="B291" s="463" t="s">
        <v>1030</v>
      </c>
      <c r="C291" s="463" t="s">
        <v>1456</v>
      </c>
      <c r="D291">
        <f t="shared" si="4"/>
        <v>1</v>
      </c>
    </row>
    <row r="292" spans="1:4" ht="41.4">
      <c r="A292" s="436" t="s">
        <v>1457</v>
      </c>
      <c r="B292" s="463" t="s">
        <v>1344</v>
      </c>
      <c r="C292" s="463" t="s">
        <v>1458</v>
      </c>
      <c r="D292">
        <f t="shared" si="4"/>
        <v>1</v>
      </c>
    </row>
    <row r="293" spans="1:4" ht="27.6">
      <c r="A293" s="436" t="s">
        <v>1459</v>
      </c>
      <c r="B293" s="463" t="s">
        <v>6</v>
      </c>
      <c r="C293" s="463" t="s">
        <v>1460</v>
      </c>
      <c r="D293">
        <f t="shared" si="4"/>
        <v>1</v>
      </c>
    </row>
    <row r="294" spans="1:4">
      <c r="A294" s="436" t="s">
        <v>1461</v>
      </c>
      <c r="B294" s="463" t="s">
        <v>1462</v>
      </c>
      <c r="C294" s="472" t="s">
        <v>1463</v>
      </c>
      <c r="D294">
        <f t="shared" si="4"/>
        <v>1</v>
      </c>
    </row>
    <row r="295" spans="1:4" ht="27.6">
      <c r="A295" s="436" t="s">
        <v>1464</v>
      </c>
      <c r="B295" s="463" t="s">
        <v>1245</v>
      </c>
      <c r="C295" s="463" t="s">
        <v>1465</v>
      </c>
      <c r="D295">
        <f t="shared" si="4"/>
        <v>1</v>
      </c>
    </row>
    <row r="296" spans="1:4" ht="27.6">
      <c r="A296" s="436" t="s">
        <v>1466</v>
      </c>
      <c r="B296" s="463" t="s">
        <v>1467</v>
      </c>
      <c r="C296" s="463" t="s">
        <v>1465</v>
      </c>
      <c r="D296">
        <f t="shared" si="4"/>
        <v>1</v>
      </c>
    </row>
    <row r="297" spans="1:4" ht="41.4">
      <c r="A297" s="436" t="s">
        <v>1468</v>
      </c>
      <c r="B297" s="463" t="s">
        <v>1102</v>
      </c>
      <c r="C297" s="463" t="s">
        <v>1474</v>
      </c>
      <c r="D297">
        <f t="shared" si="4"/>
        <v>1</v>
      </c>
    </row>
    <row r="298" spans="1:4" ht="27.6">
      <c r="A298" s="436" t="s">
        <v>1469</v>
      </c>
      <c r="B298" s="463" t="s">
        <v>1325</v>
      </c>
      <c r="C298" s="463" t="s">
        <v>1475</v>
      </c>
      <c r="D298">
        <f t="shared" si="4"/>
        <v>1</v>
      </c>
    </row>
    <row r="299" spans="1:4" ht="27.6">
      <c r="A299" s="436" t="s">
        <v>1470</v>
      </c>
      <c r="B299" s="463" t="s">
        <v>1075</v>
      </c>
      <c r="C299" s="463" t="s">
        <v>1476</v>
      </c>
      <c r="D299">
        <f t="shared" si="4"/>
        <v>1</v>
      </c>
    </row>
    <row r="300" spans="1:4" ht="27.6">
      <c r="A300" s="436" t="s">
        <v>1471</v>
      </c>
      <c r="B300" s="463" t="s">
        <v>1075</v>
      </c>
      <c r="C300" s="463" t="s">
        <v>1476</v>
      </c>
      <c r="D300">
        <f t="shared" si="4"/>
        <v>1</v>
      </c>
    </row>
    <row r="301" spans="1:4">
      <c r="A301" s="436" t="s">
        <v>1472</v>
      </c>
      <c r="B301" s="463" t="s">
        <v>810</v>
      </c>
      <c r="C301" s="463" t="s">
        <v>1477</v>
      </c>
      <c r="D301">
        <f t="shared" si="4"/>
        <v>1</v>
      </c>
    </row>
    <row r="302" spans="1:4" ht="27.6">
      <c r="A302" s="436" t="s">
        <v>1473</v>
      </c>
      <c r="B302" s="463" t="s">
        <v>1433</v>
      </c>
      <c r="C302" s="463" t="s">
        <v>1478</v>
      </c>
      <c r="D302">
        <f t="shared" si="4"/>
        <v>1</v>
      </c>
    </row>
    <row r="303" spans="1:4" ht="27.6">
      <c r="A303" s="436" t="s">
        <v>1479</v>
      </c>
      <c r="B303" s="463" t="s">
        <v>1480</v>
      </c>
      <c r="C303" s="463" t="s">
        <v>1481</v>
      </c>
      <c r="D303">
        <f t="shared" si="4"/>
        <v>1</v>
      </c>
    </row>
    <row r="304" spans="1:4" ht="41.4">
      <c r="A304" s="436" t="s">
        <v>1482</v>
      </c>
      <c r="B304" s="463" t="s">
        <v>1102</v>
      </c>
      <c r="C304" s="463" t="s">
        <v>1483</v>
      </c>
      <c r="D304">
        <f t="shared" si="4"/>
        <v>1</v>
      </c>
    </row>
    <row r="305" spans="1:4" ht="27.6">
      <c r="A305" s="436" t="s">
        <v>1484</v>
      </c>
      <c r="B305" s="463" t="s">
        <v>1075</v>
      </c>
      <c r="C305" s="463" t="s">
        <v>1476</v>
      </c>
      <c r="D305">
        <f t="shared" si="4"/>
        <v>1</v>
      </c>
    </row>
    <row r="306" spans="1:4" ht="27.6">
      <c r="A306" s="436" t="s">
        <v>1485</v>
      </c>
      <c r="B306" s="463" t="s">
        <v>1075</v>
      </c>
      <c r="C306" s="463" t="s">
        <v>1476</v>
      </c>
      <c r="D306">
        <f t="shared" si="4"/>
        <v>1</v>
      </c>
    </row>
    <row r="307" spans="1:4" ht="41.4">
      <c r="A307" s="436" t="s">
        <v>1486</v>
      </c>
      <c r="B307" s="463" t="s">
        <v>1102</v>
      </c>
      <c r="C307" s="463" t="s">
        <v>1487</v>
      </c>
      <c r="D307">
        <f t="shared" si="4"/>
        <v>1</v>
      </c>
    </row>
    <row r="308" spans="1:4" ht="27.6">
      <c r="A308" s="436" t="s">
        <v>1488</v>
      </c>
      <c r="B308" s="463" t="s">
        <v>800</v>
      </c>
      <c r="C308" s="463" t="s">
        <v>1489</v>
      </c>
      <c r="D308">
        <f t="shared" si="4"/>
        <v>1</v>
      </c>
    </row>
    <row r="309" spans="1:4" ht="27.6">
      <c r="A309" s="436" t="s">
        <v>1490</v>
      </c>
      <c r="B309" s="463" t="s">
        <v>798</v>
      </c>
      <c r="C309" s="463" t="s">
        <v>1491</v>
      </c>
      <c r="D309">
        <f t="shared" si="4"/>
        <v>1</v>
      </c>
    </row>
    <row r="310" spans="1:4" ht="27.6">
      <c r="A310" s="436" t="s">
        <v>1492</v>
      </c>
      <c r="B310" s="463" t="s">
        <v>1433</v>
      </c>
      <c r="C310" s="463" t="s">
        <v>1493</v>
      </c>
      <c r="D310">
        <f t="shared" si="4"/>
        <v>1</v>
      </c>
    </row>
    <row r="311" spans="1:4" ht="27.6">
      <c r="A311" s="436" t="s">
        <v>1494</v>
      </c>
      <c r="B311" s="463" t="s">
        <v>1108</v>
      </c>
      <c r="C311" s="463" t="s">
        <v>1495</v>
      </c>
      <c r="D311">
        <f t="shared" si="4"/>
        <v>1</v>
      </c>
    </row>
    <row r="312" spans="1:4" ht="27.6">
      <c r="A312" s="436" t="s">
        <v>1496</v>
      </c>
      <c r="B312" s="463" t="s">
        <v>1433</v>
      </c>
      <c r="C312" s="463" t="s">
        <v>1497</v>
      </c>
      <c r="D312">
        <f t="shared" si="4"/>
        <v>1</v>
      </c>
    </row>
    <row r="313" spans="1:4">
      <c r="A313" s="436" t="s">
        <v>1498</v>
      </c>
      <c r="B313" s="463" t="s">
        <v>1499</v>
      </c>
      <c r="C313" s="463" t="s">
        <v>1500</v>
      </c>
      <c r="D313">
        <f t="shared" si="4"/>
        <v>1</v>
      </c>
    </row>
    <row r="314" spans="1:4" ht="27.6">
      <c r="A314" s="436" t="s">
        <v>1501</v>
      </c>
      <c r="B314" s="463" t="s">
        <v>1030</v>
      </c>
      <c r="C314" s="463" t="s">
        <v>1502</v>
      </c>
      <c r="D314">
        <f t="shared" si="4"/>
        <v>1</v>
      </c>
    </row>
    <row r="315" spans="1:4" ht="27.6">
      <c r="A315" s="436" t="s">
        <v>1503</v>
      </c>
      <c r="B315" s="463" t="s">
        <v>1030</v>
      </c>
      <c r="C315" s="463" t="s">
        <v>1504</v>
      </c>
      <c r="D315">
        <f t="shared" si="4"/>
        <v>1</v>
      </c>
    </row>
    <row r="316" spans="1:4" ht="27.6">
      <c r="A316" s="436" t="s">
        <v>1505</v>
      </c>
      <c r="B316" s="463" t="s">
        <v>1506</v>
      </c>
      <c r="C316" s="463" t="s">
        <v>1507</v>
      </c>
      <c r="D316">
        <f t="shared" si="4"/>
        <v>1</v>
      </c>
    </row>
    <row r="317" spans="1:4">
      <c r="A317" s="436" t="s">
        <v>1508</v>
      </c>
      <c r="B317" s="463" t="s">
        <v>859</v>
      </c>
      <c r="C317" s="463" t="s">
        <v>1509</v>
      </c>
      <c r="D317">
        <f t="shared" si="4"/>
        <v>1</v>
      </c>
    </row>
    <row r="318" spans="1:4" ht="41.4">
      <c r="A318" s="436" t="s">
        <v>1510</v>
      </c>
      <c r="B318" s="463" t="s">
        <v>1511</v>
      </c>
      <c r="C318" s="463" t="s">
        <v>1512</v>
      </c>
      <c r="D318">
        <f t="shared" si="4"/>
        <v>1</v>
      </c>
    </row>
    <row r="319" spans="1:4" ht="41.4">
      <c r="A319" s="436" t="s">
        <v>1513</v>
      </c>
      <c r="B319" s="463" t="s">
        <v>799</v>
      </c>
      <c r="C319" s="463" t="s">
        <v>1515</v>
      </c>
      <c r="D319">
        <f t="shared" si="4"/>
        <v>1</v>
      </c>
    </row>
    <row r="320" spans="1:4" ht="27.6">
      <c r="A320" s="436" t="s">
        <v>1516</v>
      </c>
      <c r="B320" s="463" t="s">
        <v>1245</v>
      </c>
      <c r="C320" s="463" t="s">
        <v>1517</v>
      </c>
      <c r="D320">
        <f t="shared" si="4"/>
        <v>1</v>
      </c>
    </row>
    <row r="321" spans="1:4" ht="27.6">
      <c r="A321" s="436" t="s">
        <v>1518</v>
      </c>
      <c r="B321" s="463" t="s">
        <v>1354</v>
      </c>
      <c r="C321" s="463" t="s">
        <v>1519</v>
      </c>
      <c r="D321">
        <f t="shared" si="4"/>
        <v>1</v>
      </c>
    </row>
    <row r="322" spans="1:4" ht="27.6">
      <c r="A322" s="436" t="s">
        <v>1520</v>
      </c>
      <c r="B322" s="463" t="s">
        <v>1433</v>
      </c>
      <c r="C322" s="463" t="s">
        <v>1521</v>
      </c>
      <c r="D322">
        <f t="shared" si="4"/>
        <v>1</v>
      </c>
    </row>
    <row r="323" spans="1:4" ht="27.6">
      <c r="A323" s="436" t="s">
        <v>1522</v>
      </c>
      <c r="B323" s="463" t="s">
        <v>1523</v>
      </c>
      <c r="C323" s="463" t="s">
        <v>1524</v>
      </c>
      <c r="D323">
        <f t="shared" si="4"/>
        <v>1</v>
      </c>
    </row>
    <row r="324" spans="1:4" ht="27.6">
      <c r="A324" s="436" t="s">
        <v>1525</v>
      </c>
      <c r="B324" s="463" t="s">
        <v>773</v>
      </c>
      <c r="C324" s="463" t="s">
        <v>1526</v>
      </c>
      <c r="D324">
        <f t="shared" ref="D324:D379" si="5">COUNTIFS($A$3:$A$379,A324)</f>
        <v>1</v>
      </c>
    </row>
    <row r="325" spans="1:4" ht="27.6">
      <c r="A325" s="436" t="s">
        <v>1527</v>
      </c>
      <c r="B325" s="460" t="s">
        <v>818</v>
      </c>
      <c r="C325" s="460" t="s">
        <v>1532</v>
      </c>
      <c r="D325">
        <f t="shared" si="5"/>
        <v>1</v>
      </c>
    </row>
    <row r="326" spans="1:4" ht="27.6">
      <c r="A326" s="436" t="s">
        <v>1528</v>
      </c>
      <c r="B326" s="460" t="s">
        <v>820</v>
      </c>
      <c r="C326" s="460" t="s">
        <v>1532</v>
      </c>
      <c r="D326">
        <f t="shared" si="5"/>
        <v>1</v>
      </c>
    </row>
    <row r="327" spans="1:4" ht="27.6">
      <c r="A327" s="436" t="s">
        <v>1529</v>
      </c>
      <c r="B327" s="460" t="s">
        <v>821</v>
      </c>
      <c r="C327" s="460" t="s">
        <v>1532</v>
      </c>
      <c r="D327">
        <f t="shared" si="5"/>
        <v>1</v>
      </c>
    </row>
    <row r="328" spans="1:4" ht="27.6">
      <c r="A328" s="436" t="s">
        <v>1530</v>
      </c>
      <c r="B328" s="460" t="s">
        <v>822</v>
      </c>
      <c r="C328" s="460" t="s">
        <v>1532</v>
      </c>
      <c r="D328">
        <f t="shared" si="5"/>
        <v>1</v>
      </c>
    </row>
    <row r="329" spans="1:4" ht="27.6">
      <c r="A329" s="436" t="s">
        <v>1531</v>
      </c>
      <c r="B329" s="460" t="s">
        <v>823</v>
      </c>
      <c r="C329" s="460" t="s">
        <v>1532</v>
      </c>
      <c r="D329">
        <f t="shared" si="5"/>
        <v>1</v>
      </c>
    </row>
    <row r="330" spans="1:4" ht="27.6">
      <c r="A330" s="436" t="s">
        <v>1534</v>
      </c>
      <c r="B330" s="439" t="s">
        <v>821</v>
      </c>
      <c r="C330" s="439" t="s">
        <v>1535</v>
      </c>
      <c r="D330">
        <f t="shared" si="5"/>
        <v>1</v>
      </c>
    </row>
    <row r="331" spans="1:4" ht="27.6">
      <c r="A331" s="436" t="s">
        <v>1536</v>
      </c>
      <c r="B331" s="463" t="s">
        <v>818</v>
      </c>
      <c r="C331" s="463" t="s">
        <v>1538</v>
      </c>
      <c r="D331">
        <f t="shared" si="5"/>
        <v>1</v>
      </c>
    </row>
    <row r="332" spans="1:4" ht="27.6">
      <c r="A332" s="436" t="s">
        <v>1541</v>
      </c>
      <c r="B332" s="463" t="s">
        <v>1539</v>
      </c>
      <c r="C332" s="463" t="s">
        <v>1543</v>
      </c>
      <c r="D332">
        <f t="shared" si="5"/>
        <v>1</v>
      </c>
    </row>
    <row r="333" spans="1:4" ht="27.6">
      <c r="A333" s="436" t="s">
        <v>1542</v>
      </c>
      <c r="B333" s="463" t="s">
        <v>1540</v>
      </c>
      <c r="C333" s="463" t="s">
        <v>1543</v>
      </c>
      <c r="D333">
        <f t="shared" si="5"/>
        <v>1</v>
      </c>
    </row>
    <row r="334" spans="1:4" ht="27.6">
      <c r="A334" s="436" t="s">
        <v>1544</v>
      </c>
      <c r="B334" s="463" t="s">
        <v>818</v>
      </c>
      <c r="C334" s="463" t="s">
        <v>1545</v>
      </c>
      <c r="D334">
        <f t="shared" si="5"/>
        <v>1</v>
      </c>
    </row>
    <row r="335" spans="1:4" ht="27.6">
      <c r="A335" s="436" t="s">
        <v>1546</v>
      </c>
      <c r="B335" s="463" t="s">
        <v>820</v>
      </c>
      <c r="C335" s="463" t="s">
        <v>1545</v>
      </c>
      <c r="D335">
        <f t="shared" si="5"/>
        <v>1</v>
      </c>
    </row>
    <row r="336" spans="1:4" ht="27.6">
      <c r="A336" s="436" t="s">
        <v>1547</v>
      </c>
      <c r="B336" s="463" t="s">
        <v>1539</v>
      </c>
      <c r="C336" s="463" t="s">
        <v>1545</v>
      </c>
      <c r="D336">
        <f t="shared" si="5"/>
        <v>1</v>
      </c>
    </row>
    <row r="337" spans="1:4" ht="27.6">
      <c r="A337" s="436" t="s">
        <v>1548</v>
      </c>
      <c r="B337" s="463" t="s">
        <v>1540</v>
      </c>
      <c r="C337" s="463" t="s">
        <v>1545</v>
      </c>
      <c r="D337">
        <f t="shared" si="5"/>
        <v>1</v>
      </c>
    </row>
    <row r="338" spans="1:4" ht="27.6">
      <c r="A338" s="436" t="s">
        <v>1549</v>
      </c>
      <c r="B338" s="463" t="s">
        <v>1075</v>
      </c>
      <c r="C338" s="463" t="s">
        <v>1551</v>
      </c>
      <c r="D338">
        <f t="shared" si="5"/>
        <v>1</v>
      </c>
    </row>
    <row r="339" spans="1:4" ht="27.6">
      <c r="A339" s="436" t="s">
        <v>1550</v>
      </c>
      <c r="B339" s="463" t="s">
        <v>1075</v>
      </c>
      <c r="C339" s="463" t="s">
        <v>1551</v>
      </c>
      <c r="D339">
        <f t="shared" si="5"/>
        <v>1</v>
      </c>
    </row>
    <row r="340" spans="1:4">
      <c r="A340" s="436" t="s">
        <v>1552</v>
      </c>
      <c r="B340" s="463" t="s">
        <v>1102</v>
      </c>
      <c r="C340" s="463" t="s">
        <v>1553</v>
      </c>
      <c r="D340">
        <f t="shared" si="5"/>
        <v>1</v>
      </c>
    </row>
    <row r="341" spans="1:4" ht="27.6">
      <c r="A341" s="436" t="s">
        <v>1554</v>
      </c>
      <c r="B341" s="463" t="s">
        <v>818</v>
      </c>
      <c r="C341" s="463" t="s">
        <v>1556</v>
      </c>
      <c r="D341">
        <f t="shared" si="5"/>
        <v>1</v>
      </c>
    </row>
    <row r="342" spans="1:4" ht="27.6">
      <c r="A342" s="436" t="s">
        <v>1557</v>
      </c>
      <c r="B342" s="463" t="s">
        <v>820</v>
      </c>
      <c r="C342" s="463" t="s">
        <v>1556</v>
      </c>
      <c r="D342">
        <f t="shared" si="5"/>
        <v>1</v>
      </c>
    </row>
    <row r="343" spans="1:4" ht="27.6">
      <c r="A343" s="436" t="s">
        <v>1558</v>
      </c>
      <c r="B343" s="463" t="s">
        <v>1539</v>
      </c>
      <c r="C343" s="463" t="s">
        <v>1556</v>
      </c>
      <c r="D343">
        <f t="shared" si="5"/>
        <v>1</v>
      </c>
    </row>
    <row r="344" spans="1:4" ht="27.6">
      <c r="A344" s="436" t="s">
        <v>1559</v>
      </c>
      <c r="B344" s="463" t="s">
        <v>822</v>
      </c>
      <c r="C344" s="463" t="s">
        <v>1556</v>
      </c>
      <c r="D344">
        <f t="shared" si="5"/>
        <v>1</v>
      </c>
    </row>
    <row r="345" spans="1:4" ht="27.6">
      <c r="A345" s="436" t="s">
        <v>1560</v>
      </c>
      <c r="B345" s="463" t="s">
        <v>1540</v>
      </c>
      <c r="C345" s="463" t="s">
        <v>1556</v>
      </c>
      <c r="D345">
        <f t="shared" si="5"/>
        <v>1</v>
      </c>
    </row>
    <row r="346" spans="1:4" ht="55.2">
      <c r="A346" s="436" t="s">
        <v>1561</v>
      </c>
      <c r="B346" s="463" t="s">
        <v>1562</v>
      </c>
      <c r="C346" s="463" t="s">
        <v>1563</v>
      </c>
      <c r="D346">
        <f t="shared" si="5"/>
        <v>1</v>
      </c>
    </row>
    <row r="347" spans="1:4" ht="41.4">
      <c r="A347" s="404" t="s">
        <v>1564</v>
      </c>
      <c r="B347" s="409" t="s">
        <v>1565</v>
      </c>
      <c r="C347" s="409" t="s">
        <v>1566</v>
      </c>
      <c r="D347">
        <f t="shared" si="5"/>
        <v>1</v>
      </c>
    </row>
    <row r="348" spans="1:4">
      <c r="A348" s="436" t="s">
        <v>1567</v>
      </c>
      <c r="B348" s="463" t="s">
        <v>1315</v>
      </c>
      <c r="C348" s="463" t="s">
        <v>1568</v>
      </c>
      <c r="D348">
        <f t="shared" si="5"/>
        <v>1</v>
      </c>
    </row>
    <row r="349" spans="1:4">
      <c r="A349" s="436" t="s">
        <v>1569</v>
      </c>
      <c r="B349" s="463" t="s">
        <v>1075</v>
      </c>
      <c r="C349" s="463" t="s">
        <v>1570</v>
      </c>
      <c r="D349">
        <f t="shared" si="5"/>
        <v>1</v>
      </c>
    </row>
    <row r="350" spans="1:4">
      <c r="A350" s="436" t="s">
        <v>1571</v>
      </c>
      <c r="B350" s="463" t="s">
        <v>1572</v>
      </c>
      <c r="C350" s="463" t="s">
        <v>1573</v>
      </c>
      <c r="D350">
        <f t="shared" si="5"/>
        <v>1</v>
      </c>
    </row>
    <row r="351" spans="1:4" ht="27.6">
      <c r="A351" s="436" t="s">
        <v>1574</v>
      </c>
      <c r="B351" s="463" t="s">
        <v>1102</v>
      </c>
      <c r="C351" s="463" t="s">
        <v>1575</v>
      </c>
      <c r="D351">
        <f t="shared" si="5"/>
        <v>1</v>
      </c>
    </row>
    <row r="352" spans="1:4" ht="27.6">
      <c r="A352" s="436" t="s">
        <v>1576</v>
      </c>
      <c r="B352" s="463" t="s">
        <v>1577</v>
      </c>
      <c r="C352" s="463" t="s">
        <v>1578</v>
      </c>
      <c r="D352">
        <f t="shared" si="5"/>
        <v>1</v>
      </c>
    </row>
    <row r="353" spans="1:4">
      <c r="A353" s="436" t="s">
        <v>1579</v>
      </c>
      <c r="B353" s="463" t="s">
        <v>1235</v>
      </c>
      <c r="C353" s="463" t="s">
        <v>1570</v>
      </c>
      <c r="D353">
        <f t="shared" si="5"/>
        <v>1</v>
      </c>
    </row>
    <row r="354" spans="1:4" ht="27.6">
      <c r="A354" s="436" t="s">
        <v>1580</v>
      </c>
      <c r="B354" s="463" t="s">
        <v>779</v>
      </c>
      <c r="C354" s="463" t="s">
        <v>1581</v>
      </c>
      <c r="D354">
        <f t="shared" si="5"/>
        <v>1</v>
      </c>
    </row>
    <row r="355" spans="1:4" ht="27.6">
      <c r="A355" s="436" t="s">
        <v>1582</v>
      </c>
      <c r="B355" s="463" t="s">
        <v>839</v>
      </c>
      <c r="C355" s="463" t="s">
        <v>1583</v>
      </c>
      <c r="D355">
        <f t="shared" si="5"/>
        <v>1</v>
      </c>
    </row>
    <row r="356" spans="1:4" ht="27.6">
      <c r="A356" s="436" t="s">
        <v>1584</v>
      </c>
      <c r="B356" s="463" t="s">
        <v>1315</v>
      </c>
      <c r="C356" s="463" t="s">
        <v>1585</v>
      </c>
      <c r="D356">
        <f t="shared" si="5"/>
        <v>1</v>
      </c>
    </row>
    <row r="357" spans="1:4">
      <c r="A357" s="436" t="s">
        <v>1586</v>
      </c>
      <c r="B357" s="463" t="s">
        <v>818</v>
      </c>
      <c r="C357" s="463" t="s">
        <v>1587</v>
      </c>
      <c r="D357">
        <f t="shared" si="5"/>
        <v>1</v>
      </c>
    </row>
    <row r="358" spans="1:4">
      <c r="A358" s="436" t="s">
        <v>1588</v>
      </c>
      <c r="B358" s="463" t="s">
        <v>820</v>
      </c>
      <c r="C358" s="463" t="s">
        <v>1587</v>
      </c>
      <c r="D358">
        <f t="shared" si="5"/>
        <v>1</v>
      </c>
    </row>
    <row r="359" spans="1:4">
      <c r="A359" s="436" t="s">
        <v>1589</v>
      </c>
      <c r="B359" s="463" t="s">
        <v>1539</v>
      </c>
      <c r="C359" s="463" t="s">
        <v>1587</v>
      </c>
      <c r="D359">
        <f t="shared" si="5"/>
        <v>1</v>
      </c>
    </row>
    <row r="360" spans="1:4">
      <c r="A360" s="436" t="s">
        <v>1591</v>
      </c>
      <c r="B360" s="463" t="s">
        <v>1540</v>
      </c>
      <c r="C360" s="463" t="s">
        <v>1590</v>
      </c>
      <c r="D360">
        <f t="shared" si="5"/>
        <v>1</v>
      </c>
    </row>
    <row r="361" spans="1:4" ht="41.4">
      <c r="A361" s="436" t="s">
        <v>1592</v>
      </c>
      <c r="B361" s="463" t="s">
        <v>1030</v>
      </c>
      <c r="C361" s="463" t="s">
        <v>1593</v>
      </c>
      <c r="D361">
        <f t="shared" si="5"/>
        <v>1</v>
      </c>
    </row>
    <row r="362" spans="1:4" ht="41.4">
      <c r="A362" s="436" t="s">
        <v>1594</v>
      </c>
      <c r="B362" s="463" t="s">
        <v>1342</v>
      </c>
      <c r="C362" s="463" t="s">
        <v>1595</v>
      </c>
      <c r="D362">
        <f t="shared" si="5"/>
        <v>1</v>
      </c>
    </row>
    <row r="363" spans="1:4" ht="27.6">
      <c r="A363" s="436" t="s">
        <v>1596</v>
      </c>
      <c r="B363" s="463" t="s">
        <v>1075</v>
      </c>
      <c r="C363" s="463" t="s">
        <v>1597</v>
      </c>
      <c r="D363">
        <f t="shared" si="5"/>
        <v>1</v>
      </c>
    </row>
    <row r="364" spans="1:4" ht="27.6">
      <c r="A364" s="436" t="s">
        <v>1598</v>
      </c>
      <c r="B364" s="439" t="s">
        <v>823</v>
      </c>
      <c r="C364" s="439" t="s">
        <v>1600</v>
      </c>
      <c r="D364">
        <f t="shared" si="5"/>
        <v>1</v>
      </c>
    </row>
    <row r="365" spans="1:4" ht="27.6">
      <c r="A365" s="436" t="s">
        <v>1599</v>
      </c>
      <c r="B365" s="439" t="s">
        <v>821</v>
      </c>
      <c r="C365" s="439" t="s">
        <v>1600</v>
      </c>
      <c r="D365">
        <f t="shared" si="5"/>
        <v>1</v>
      </c>
    </row>
    <row r="366" spans="1:4" ht="27.6">
      <c r="A366" s="436" t="s">
        <v>1601</v>
      </c>
      <c r="B366" s="463" t="s">
        <v>820</v>
      </c>
      <c r="C366" s="439" t="s">
        <v>1602</v>
      </c>
      <c r="D366">
        <f t="shared" si="5"/>
        <v>1</v>
      </c>
    </row>
    <row r="367" spans="1:4" ht="27.6">
      <c r="A367" s="436" t="s">
        <v>1603</v>
      </c>
      <c r="B367" s="463" t="s">
        <v>1539</v>
      </c>
      <c r="C367" s="463" t="s">
        <v>1602</v>
      </c>
      <c r="D367">
        <f t="shared" si="5"/>
        <v>1</v>
      </c>
    </row>
    <row r="368" spans="1:4">
      <c r="A368" s="436" t="s">
        <v>1604</v>
      </c>
      <c r="B368" s="463" t="s">
        <v>818</v>
      </c>
      <c r="C368" s="463" t="s">
        <v>1605</v>
      </c>
      <c r="D368">
        <f t="shared" si="5"/>
        <v>1</v>
      </c>
    </row>
    <row r="369" spans="1:4">
      <c r="A369" s="436" t="s">
        <v>1606</v>
      </c>
      <c r="B369" s="463" t="s">
        <v>1539</v>
      </c>
      <c r="C369" s="463" t="s">
        <v>1605</v>
      </c>
      <c r="D369">
        <f t="shared" si="5"/>
        <v>1</v>
      </c>
    </row>
    <row r="370" spans="1:4">
      <c r="A370" s="436" t="s">
        <v>1607</v>
      </c>
      <c r="B370" s="463" t="s">
        <v>1540</v>
      </c>
      <c r="C370" s="463" t="s">
        <v>1605</v>
      </c>
      <c r="D370">
        <f t="shared" si="5"/>
        <v>1</v>
      </c>
    </row>
    <row r="371" spans="1:4" ht="27.6">
      <c r="A371" s="436" t="s">
        <v>1608</v>
      </c>
      <c r="B371" s="463" t="s">
        <v>822</v>
      </c>
      <c r="C371" s="463" t="s">
        <v>1602</v>
      </c>
      <c r="D371">
        <f t="shared" si="5"/>
        <v>1</v>
      </c>
    </row>
    <row r="372" spans="1:4" ht="27.6">
      <c r="A372" s="436" t="s">
        <v>1609</v>
      </c>
      <c r="B372" s="463" t="s">
        <v>818</v>
      </c>
      <c r="C372" s="463" t="s">
        <v>1610</v>
      </c>
      <c r="D372">
        <f t="shared" si="5"/>
        <v>1</v>
      </c>
    </row>
    <row r="373" spans="1:4" ht="27.6">
      <c r="A373" s="436" t="s">
        <v>1611</v>
      </c>
      <c r="B373" s="463" t="s">
        <v>1539</v>
      </c>
      <c r="C373" s="463" t="s">
        <v>1610</v>
      </c>
      <c r="D373">
        <f t="shared" si="5"/>
        <v>1</v>
      </c>
    </row>
    <row r="374" spans="1:4" ht="27.6">
      <c r="A374" s="436" t="s">
        <v>1612</v>
      </c>
      <c r="B374" s="463" t="s">
        <v>1540</v>
      </c>
      <c r="C374" s="463" t="s">
        <v>1610</v>
      </c>
      <c r="D374">
        <f t="shared" si="5"/>
        <v>1</v>
      </c>
    </row>
    <row r="375" spans="1:4" ht="27.6">
      <c r="A375" s="352" t="s">
        <v>1614</v>
      </c>
      <c r="B375" s="463" t="s">
        <v>822</v>
      </c>
      <c r="C375" s="463" t="s">
        <v>1615</v>
      </c>
      <c r="D375">
        <f t="shared" si="5"/>
        <v>1</v>
      </c>
    </row>
    <row r="376" spans="1:4">
      <c r="A376" s="352" t="s">
        <v>1616</v>
      </c>
      <c r="B376" s="463" t="s">
        <v>822</v>
      </c>
      <c r="C376" s="463" t="s">
        <v>1145</v>
      </c>
      <c r="D376">
        <f t="shared" si="5"/>
        <v>1</v>
      </c>
    </row>
    <row r="377" spans="1:4" ht="41.4">
      <c r="A377" s="352" t="s">
        <v>1618</v>
      </c>
      <c r="B377" s="463" t="s">
        <v>1102</v>
      </c>
      <c r="C377" s="463" t="s">
        <v>1617</v>
      </c>
      <c r="D377">
        <f t="shared" si="5"/>
        <v>1</v>
      </c>
    </row>
    <row r="378" spans="1:4" ht="41.4">
      <c r="A378" s="352" t="s">
        <v>1619</v>
      </c>
      <c r="B378" s="463" t="s">
        <v>6</v>
      </c>
      <c r="C378" s="463" t="s">
        <v>1620</v>
      </c>
      <c r="D378">
        <f t="shared" si="5"/>
        <v>1</v>
      </c>
    </row>
    <row r="379" spans="1:4" ht="27.6">
      <c r="A379" s="352" t="s">
        <v>1622</v>
      </c>
      <c r="B379" s="463" t="s">
        <v>797</v>
      </c>
      <c r="C379" s="463" t="s">
        <v>1621</v>
      </c>
      <c r="D379">
        <f t="shared" si="5"/>
        <v>1</v>
      </c>
    </row>
  </sheetData>
  <autoFilter ref="A2:D379" xr:uid="{00000000-0009-0000-0000-000012000000}"/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835D7-0FBC-4138-92DB-F2E0F4C8E3E7}">
  <dimension ref="A2:D197"/>
  <sheetViews>
    <sheetView workbookViewId="0">
      <selection activeCell="C20" sqref="C20"/>
    </sheetView>
  </sheetViews>
  <sheetFormatPr defaultRowHeight="14.4"/>
  <cols>
    <col min="1" max="1" width="19" customWidth="1"/>
    <col min="2" max="2" width="58.44140625" customWidth="1"/>
    <col min="3" max="3" width="26.6640625" style="401" customWidth="1"/>
    <col min="4" max="4" width="28.88671875" style="401" customWidth="1"/>
  </cols>
  <sheetData>
    <row r="2" spans="1:4">
      <c r="A2" s="517" t="s">
        <v>941</v>
      </c>
      <c r="B2" s="518" t="s">
        <v>1020</v>
      </c>
      <c r="C2" s="519"/>
      <c r="D2" s="519"/>
    </row>
    <row r="3" spans="1:4">
      <c r="A3" s="517" t="s">
        <v>940</v>
      </c>
      <c r="B3" s="518" t="s">
        <v>946</v>
      </c>
      <c r="C3" s="519"/>
      <c r="D3" s="519"/>
    </row>
    <row r="4" spans="1:4">
      <c r="A4" s="517" t="s">
        <v>922</v>
      </c>
      <c r="B4" s="518" t="s">
        <v>13</v>
      </c>
      <c r="C4" s="520"/>
      <c r="D4" s="520"/>
    </row>
    <row r="5" spans="1:4">
      <c r="A5" s="520"/>
      <c r="B5" s="520"/>
      <c r="C5" s="520"/>
      <c r="D5" s="520"/>
    </row>
    <row r="6" spans="1:4">
      <c r="A6" s="521"/>
      <c r="B6" s="522"/>
      <c r="C6" s="523" t="s">
        <v>1025</v>
      </c>
      <c r="D6" s="524"/>
    </row>
    <row r="7" spans="1:4">
      <c r="A7" s="523" t="s">
        <v>886</v>
      </c>
      <c r="B7" s="523" t="s">
        <v>944</v>
      </c>
      <c r="C7" s="521" t="s">
        <v>1026</v>
      </c>
      <c r="D7" s="525" t="s">
        <v>1027</v>
      </c>
    </row>
    <row r="8" spans="1:4">
      <c r="A8" s="521" t="s">
        <v>5</v>
      </c>
      <c r="B8" s="521" t="s">
        <v>1629</v>
      </c>
      <c r="C8" s="526"/>
      <c r="D8" s="527">
        <v>30000</v>
      </c>
    </row>
    <row r="9" spans="1:4">
      <c r="A9" s="528"/>
      <c r="B9" s="529" t="s">
        <v>1625</v>
      </c>
      <c r="C9" s="530"/>
      <c r="D9" s="531">
        <v>46602</v>
      </c>
    </row>
    <row r="10" spans="1:4">
      <c r="A10" s="528"/>
      <c r="B10" s="529" t="s">
        <v>1632</v>
      </c>
      <c r="C10" s="530"/>
      <c r="D10" s="531">
        <v>92947.61</v>
      </c>
    </row>
    <row r="11" spans="1:4">
      <c r="A11" s="528"/>
      <c r="B11" s="529" t="s">
        <v>1630</v>
      </c>
      <c r="C11" s="530"/>
      <c r="D11" s="531">
        <v>5000</v>
      </c>
    </row>
    <row r="12" spans="1:4">
      <c r="A12" s="528"/>
      <c r="B12" s="529" t="s">
        <v>1626</v>
      </c>
      <c r="C12" s="530"/>
      <c r="D12" s="531">
        <v>50000</v>
      </c>
    </row>
    <row r="13" spans="1:4">
      <c r="A13" s="528"/>
      <c r="B13" s="529" t="s">
        <v>1633</v>
      </c>
      <c r="C13" s="530"/>
      <c r="D13" s="531">
        <v>494000</v>
      </c>
    </row>
    <row r="14" spans="1:4">
      <c r="A14" s="528"/>
      <c r="B14" s="529" t="s">
        <v>1627</v>
      </c>
      <c r="C14" s="530"/>
      <c r="D14" s="531">
        <v>155000</v>
      </c>
    </row>
    <row r="15" spans="1:4">
      <c r="A15" s="528"/>
      <c r="B15" s="529" t="s">
        <v>1628</v>
      </c>
      <c r="C15" s="530"/>
      <c r="D15" s="531">
        <v>495000</v>
      </c>
    </row>
    <row r="16" spans="1:4">
      <c r="A16" s="528"/>
      <c r="B16" s="529" t="s">
        <v>1631</v>
      </c>
      <c r="C16" s="530"/>
      <c r="D16" s="531">
        <v>362516.67000000004</v>
      </c>
    </row>
    <row r="17" spans="1:4">
      <c r="A17" s="521" t="s">
        <v>1634</v>
      </c>
      <c r="B17" s="522"/>
      <c r="C17" s="526"/>
      <c r="D17" s="527">
        <v>1731066.2799999998</v>
      </c>
    </row>
    <row r="18" spans="1:4">
      <c r="A18" s="532" t="s">
        <v>1022</v>
      </c>
      <c r="B18" s="533"/>
      <c r="C18" s="534"/>
      <c r="D18" s="535">
        <v>1731066.2799999998</v>
      </c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  <row r="64" spans="3:4">
      <c r="C64"/>
      <c r="D64"/>
    </row>
    <row r="65" spans="3:4">
      <c r="C65"/>
      <c r="D65"/>
    </row>
    <row r="66" spans="3:4">
      <c r="C66"/>
      <c r="D66"/>
    </row>
    <row r="67" spans="3:4">
      <c r="C67"/>
      <c r="D67"/>
    </row>
    <row r="68" spans="3:4">
      <c r="C68"/>
      <c r="D68"/>
    </row>
    <row r="69" spans="3:4">
      <c r="C69"/>
      <c r="D69"/>
    </row>
    <row r="70" spans="3:4">
      <c r="C70"/>
      <c r="D70"/>
    </row>
    <row r="71" spans="3:4">
      <c r="C71"/>
      <c r="D71"/>
    </row>
    <row r="72" spans="3:4">
      <c r="C72"/>
      <c r="D72"/>
    </row>
    <row r="73" spans="3:4">
      <c r="C73"/>
      <c r="D73"/>
    </row>
    <row r="74" spans="3:4">
      <c r="C74"/>
      <c r="D74"/>
    </row>
    <row r="75" spans="3:4">
      <c r="C75"/>
      <c r="D75"/>
    </row>
    <row r="76" spans="3:4">
      <c r="C76"/>
      <c r="D76"/>
    </row>
    <row r="77" spans="3:4">
      <c r="C77"/>
      <c r="D77"/>
    </row>
    <row r="78" spans="3:4">
      <c r="C78"/>
      <c r="D78"/>
    </row>
    <row r="79" spans="3:4">
      <c r="C79"/>
      <c r="D79"/>
    </row>
    <row r="80" spans="3:4">
      <c r="C80"/>
      <c r="D80"/>
    </row>
    <row r="81" spans="3:4">
      <c r="C81"/>
      <c r="D81"/>
    </row>
    <row r="82" spans="3:4">
      <c r="C82"/>
      <c r="D82"/>
    </row>
    <row r="83" spans="3:4">
      <c r="C83"/>
      <c r="D83"/>
    </row>
    <row r="84" spans="3:4">
      <c r="C84"/>
      <c r="D84"/>
    </row>
    <row r="85" spans="3:4">
      <c r="C85"/>
      <c r="D85"/>
    </row>
    <row r="86" spans="3:4">
      <c r="C86"/>
      <c r="D86"/>
    </row>
    <row r="87" spans="3:4">
      <c r="C87"/>
      <c r="D87"/>
    </row>
    <row r="88" spans="3:4">
      <c r="C88"/>
      <c r="D88"/>
    </row>
    <row r="89" spans="3:4">
      <c r="C89"/>
      <c r="D89"/>
    </row>
    <row r="90" spans="3:4">
      <c r="C90"/>
      <c r="D90"/>
    </row>
    <row r="91" spans="3:4">
      <c r="C91"/>
      <c r="D91"/>
    </row>
    <row r="92" spans="3:4">
      <c r="C92"/>
      <c r="D92"/>
    </row>
    <row r="93" spans="3:4">
      <c r="C93"/>
      <c r="D93"/>
    </row>
    <row r="94" spans="3:4">
      <c r="C94"/>
      <c r="D94"/>
    </row>
    <row r="95" spans="3:4">
      <c r="C95"/>
      <c r="D95"/>
    </row>
    <row r="96" spans="3:4">
      <c r="C96"/>
      <c r="D96"/>
    </row>
    <row r="97" spans="3:4">
      <c r="C97"/>
      <c r="D97"/>
    </row>
    <row r="98" spans="3:4">
      <c r="C98"/>
      <c r="D98"/>
    </row>
    <row r="99" spans="3:4">
      <c r="C99"/>
      <c r="D99"/>
    </row>
    <row r="100" spans="3:4">
      <c r="C100"/>
      <c r="D100"/>
    </row>
    <row r="101" spans="3:4">
      <c r="C101"/>
      <c r="D101"/>
    </row>
    <row r="102" spans="3:4">
      <c r="C102"/>
      <c r="D102"/>
    </row>
    <row r="103" spans="3:4">
      <c r="C103"/>
      <c r="D103"/>
    </row>
    <row r="104" spans="3:4">
      <c r="C104"/>
      <c r="D104"/>
    </row>
    <row r="105" spans="3:4">
      <c r="C105"/>
      <c r="D105"/>
    </row>
    <row r="106" spans="3:4">
      <c r="C106"/>
      <c r="D106"/>
    </row>
    <row r="107" spans="3:4">
      <c r="C107"/>
      <c r="D107"/>
    </row>
    <row r="108" spans="3:4">
      <c r="C108"/>
      <c r="D108"/>
    </row>
    <row r="109" spans="3:4">
      <c r="C109"/>
      <c r="D109"/>
    </row>
    <row r="110" spans="3:4">
      <c r="C110"/>
      <c r="D110"/>
    </row>
    <row r="111" spans="3:4">
      <c r="C111"/>
      <c r="D111"/>
    </row>
    <row r="112" spans="3:4">
      <c r="C112"/>
      <c r="D112"/>
    </row>
    <row r="113" spans="3:4">
      <c r="C113"/>
      <c r="D113"/>
    </row>
    <row r="114" spans="3:4">
      <c r="C114"/>
      <c r="D114"/>
    </row>
    <row r="115" spans="3:4">
      <c r="C115"/>
      <c r="D115"/>
    </row>
    <row r="116" spans="3:4">
      <c r="C116"/>
      <c r="D116"/>
    </row>
    <row r="117" spans="3:4">
      <c r="C117"/>
      <c r="D117"/>
    </row>
    <row r="118" spans="3:4">
      <c r="C118"/>
      <c r="D118"/>
    </row>
    <row r="119" spans="3:4">
      <c r="C119"/>
      <c r="D119"/>
    </row>
    <row r="120" spans="3:4">
      <c r="C120"/>
      <c r="D120"/>
    </row>
    <row r="121" spans="3:4">
      <c r="C121"/>
      <c r="D121"/>
    </row>
    <row r="122" spans="3:4">
      <c r="C122"/>
      <c r="D122"/>
    </row>
    <row r="123" spans="3:4">
      <c r="C123"/>
      <c r="D123"/>
    </row>
    <row r="124" spans="3:4">
      <c r="C124"/>
      <c r="D124"/>
    </row>
    <row r="125" spans="3:4">
      <c r="C125"/>
      <c r="D125"/>
    </row>
    <row r="126" spans="3:4">
      <c r="C126"/>
      <c r="D126"/>
    </row>
    <row r="127" spans="3:4">
      <c r="C127"/>
      <c r="D127"/>
    </row>
    <row r="128" spans="3:4">
      <c r="C128"/>
      <c r="D128"/>
    </row>
    <row r="129" spans="3:4">
      <c r="C129"/>
      <c r="D129"/>
    </row>
    <row r="130" spans="3:4">
      <c r="C130"/>
      <c r="D130"/>
    </row>
    <row r="131" spans="3:4">
      <c r="C131"/>
      <c r="D131"/>
    </row>
    <row r="132" spans="3:4">
      <c r="C132"/>
      <c r="D132"/>
    </row>
    <row r="133" spans="3:4">
      <c r="C133"/>
      <c r="D133"/>
    </row>
    <row r="134" spans="3:4">
      <c r="C134"/>
      <c r="D134"/>
    </row>
    <row r="135" spans="3:4">
      <c r="C135"/>
      <c r="D135"/>
    </row>
    <row r="136" spans="3:4">
      <c r="C136"/>
      <c r="D136"/>
    </row>
    <row r="137" spans="3:4">
      <c r="C137"/>
      <c r="D137"/>
    </row>
    <row r="138" spans="3:4">
      <c r="C138"/>
      <c r="D138"/>
    </row>
    <row r="139" spans="3:4">
      <c r="C139"/>
      <c r="D139"/>
    </row>
    <row r="140" spans="3:4">
      <c r="C140"/>
      <c r="D140"/>
    </row>
    <row r="141" spans="3:4">
      <c r="C141"/>
      <c r="D141"/>
    </row>
    <row r="142" spans="3:4">
      <c r="C142"/>
      <c r="D142"/>
    </row>
    <row r="143" spans="3:4">
      <c r="C143"/>
      <c r="D143"/>
    </row>
    <row r="144" spans="3:4">
      <c r="C144"/>
      <c r="D144"/>
    </row>
    <row r="145" spans="3:4">
      <c r="C145"/>
      <c r="D145"/>
    </row>
    <row r="146" spans="3:4">
      <c r="C146"/>
      <c r="D146"/>
    </row>
    <row r="147" spans="3:4">
      <c r="C147"/>
      <c r="D147"/>
    </row>
    <row r="148" spans="3:4">
      <c r="C148"/>
      <c r="D148"/>
    </row>
    <row r="149" spans="3:4">
      <c r="C149"/>
      <c r="D149"/>
    </row>
    <row r="150" spans="3:4">
      <c r="C150"/>
      <c r="D150"/>
    </row>
    <row r="151" spans="3:4">
      <c r="C151"/>
      <c r="D151"/>
    </row>
    <row r="152" spans="3:4">
      <c r="C152"/>
      <c r="D152"/>
    </row>
    <row r="153" spans="3:4">
      <c r="C153"/>
      <c r="D153"/>
    </row>
    <row r="154" spans="3:4">
      <c r="C154"/>
      <c r="D154"/>
    </row>
    <row r="155" spans="3:4">
      <c r="C155"/>
      <c r="D155"/>
    </row>
    <row r="156" spans="3:4">
      <c r="C156"/>
      <c r="D156"/>
    </row>
    <row r="157" spans="3:4">
      <c r="C157"/>
      <c r="D157"/>
    </row>
    <row r="158" spans="3:4">
      <c r="C158"/>
      <c r="D158"/>
    </row>
    <row r="159" spans="3:4">
      <c r="C159"/>
      <c r="D159"/>
    </row>
    <row r="160" spans="3:4">
      <c r="C160"/>
      <c r="D160"/>
    </row>
    <row r="161" spans="3:4">
      <c r="C161"/>
      <c r="D161"/>
    </row>
    <row r="162" spans="3:4">
      <c r="C162"/>
      <c r="D162"/>
    </row>
    <row r="163" spans="3:4">
      <c r="C163"/>
      <c r="D163"/>
    </row>
    <row r="164" spans="3:4">
      <c r="C164"/>
      <c r="D164"/>
    </row>
    <row r="165" spans="3:4">
      <c r="C165"/>
      <c r="D165"/>
    </row>
    <row r="166" spans="3:4">
      <c r="C166"/>
      <c r="D166"/>
    </row>
    <row r="167" spans="3:4">
      <c r="C167"/>
      <c r="D167"/>
    </row>
    <row r="168" spans="3:4">
      <c r="C168"/>
      <c r="D168"/>
    </row>
    <row r="169" spans="3:4">
      <c r="C169"/>
      <c r="D169"/>
    </row>
    <row r="170" spans="3:4">
      <c r="C170"/>
      <c r="D170"/>
    </row>
    <row r="171" spans="3:4">
      <c r="C171"/>
      <c r="D171"/>
    </row>
    <row r="172" spans="3:4">
      <c r="C172"/>
      <c r="D172"/>
    </row>
    <row r="173" spans="3:4">
      <c r="C173"/>
      <c r="D173"/>
    </row>
    <row r="174" spans="3:4">
      <c r="C174"/>
      <c r="D174"/>
    </row>
    <row r="175" spans="3:4">
      <c r="C175"/>
      <c r="D175"/>
    </row>
    <row r="176" spans="3:4">
      <c r="C176"/>
      <c r="D176"/>
    </row>
    <row r="177" spans="3:4">
      <c r="C177"/>
      <c r="D177"/>
    </row>
    <row r="178" spans="3:4">
      <c r="C178"/>
      <c r="D178"/>
    </row>
    <row r="179" spans="3:4">
      <c r="C179"/>
      <c r="D179"/>
    </row>
    <row r="180" spans="3:4">
      <c r="C180"/>
      <c r="D180"/>
    </row>
    <row r="181" spans="3:4">
      <c r="C181"/>
      <c r="D181"/>
    </row>
    <row r="182" spans="3:4">
      <c r="C182"/>
      <c r="D182"/>
    </row>
    <row r="183" spans="3:4">
      <c r="C183"/>
      <c r="D183"/>
    </row>
    <row r="184" spans="3:4">
      <c r="C184"/>
      <c r="D184"/>
    </row>
    <row r="185" spans="3:4">
      <c r="C185"/>
      <c r="D185"/>
    </row>
    <row r="186" spans="3:4">
      <c r="C186"/>
      <c r="D186"/>
    </row>
    <row r="187" spans="3:4">
      <c r="C187"/>
      <c r="D187"/>
    </row>
    <row r="188" spans="3:4">
      <c r="C188"/>
      <c r="D188"/>
    </row>
    <row r="189" spans="3:4">
      <c r="C189"/>
      <c r="D189"/>
    </row>
    <row r="190" spans="3:4">
      <c r="C190"/>
      <c r="D190"/>
    </row>
    <row r="191" spans="3:4">
      <c r="C191"/>
      <c r="D191"/>
    </row>
    <row r="192" spans="3:4">
      <c r="C192"/>
      <c r="D192"/>
    </row>
    <row r="193" spans="3:4">
      <c r="C193"/>
      <c r="D193"/>
    </row>
    <row r="194" spans="3:4">
      <c r="C194"/>
      <c r="D194"/>
    </row>
    <row r="195" spans="3:4">
      <c r="C195"/>
      <c r="D195"/>
    </row>
    <row r="196" spans="3:4">
      <c r="C196"/>
      <c r="D196"/>
    </row>
    <row r="197" spans="3:4">
      <c r="C197"/>
      <c r="D197"/>
    </row>
  </sheetData>
  <pageMargins left="0.15748031496063" right="0.15748031496063" top="0.31496062992126" bottom="0.35433070866141703" header="0.31496062992126" footer="0.31496062992126"/>
  <pageSetup paperSize="9" scale="85" orientation="landscape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C9C1F-9C57-44BC-A602-FCF506E73344}">
  <dimension ref="A1:D63"/>
  <sheetViews>
    <sheetView workbookViewId="0">
      <selection activeCell="B14" sqref="B14"/>
    </sheetView>
  </sheetViews>
  <sheetFormatPr defaultRowHeight="14.4"/>
  <cols>
    <col min="1" max="1" width="55.44140625" customWidth="1"/>
    <col min="2" max="2" width="26.5546875" customWidth="1"/>
    <col min="3" max="4" width="28.5546875" style="401" customWidth="1"/>
  </cols>
  <sheetData>
    <row r="1" spans="1:4">
      <c r="A1" s="508" t="s">
        <v>941</v>
      </c>
      <c r="B1" s="509" t="s">
        <v>1020</v>
      </c>
    </row>
    <row r="2" spans="1:4">
      <c r="A2" s="508" t="s">
        <v>940</v>
      </c>
      <c r="B2" s="509" t="s">
        <v>1071</v>
      </c>
    </row>
    <row r="3" spans="1:4">
      <c r="A3" s="508" t="s">
        <v>886</v>
      </c>
      <c r="B3" s="509" t="s">
        <v>1071</v>
      </c>
    </row>
    <row r="4" spans="1:4">
      <c r="A4" s="508" t="s">
        <v>922</v>
      </c>
      <c r="B4" s="509" t="s">
        <v>1071</v>
      </c>
      <c r="C4"/>
      <c r="D4"/>
    </row>
    <row r="5" spans="1:4">
      <c r="C5"/>
      <c r="D5"/>
    </row>
    <row r="6" spans="1:4">
      <c r="A6" s="503"/>
      <c r="B6" s="504" t="s">
        <v>1025</v>
      </c>
      <c r="C6" s="505"/>
      <c r="D6"/>
    </row>
    <row r="7" spans="1:4">
      <c r="A7" s="504" t="s">
        <v>944</v>
      </c>
      <c r="B7" s="503" t="s">
        <v>1026</v>
      </c>
      <c r="C7" s="506" t="s">
        <v>1027</v>
      </c>
      <c r="D7"/>
    </row>
    <row r="8" spans="1:4">
      <c r="A8" s="503" t="s">
        <v>1021</v>
      </c>
      <c r="B8" s="513">
        <v>63470000</v>
      </c>
      <c r="C8" s="514"/>
      <c r="D8"/>
    </row>
    <row r="9" spans="1:4">
      <c r="A9" s="512" t="s">
        <v>1023</v>
      </c>
      <c r="B9" s="515"/>
      <c r="C9" s="516">
        <v>165000</v>
      </c>
      <c r="D9"/>
    </row>
    <row r="10" spans="1:4">
      <c r="A10" s="512" t="s">
        <v>1024</v>
      </c>
      <c r="B10" s="515"/>
      <c r="C10" s="516">
        <v>164318.18</v>
      </c>
      <c r="D10"/>
    </row>
    <row r="11" spans="1:4">
      <c r="A11" s="512" t="s">
        <v>1065</v>
      </c>
      <c r="B11" s="515"/>
      <c r="C11" s="516">
        <v>7960881.7300000004</v>
      </c>
      <c r="D11"/>
    </row>
    <row r="12" spans="1:4">
      <c r="A12" s="512" t="s">
        <v>1066</v>
      </c>
      <c r="B12" s="515"/>
      <c r="C12" s="516">
        <v>381818.18</v>
      </c>
      <c r="D12"/>
    </row>
    <row r="13" spans="1:4">
      <c r="A13" s="512" t="s">
        <v>1067</v>
      </c>
      <c r="B13" s="515"/>
      <c r="C13" s="516">
        <v>955294.87999999989</v>
      </c>
      <c r="D13"/>
    </row>
    <row r="14" spans="1:4">
      <c r="A14" s="512" t="s">
        <v>1068</v>
      </c>
      <c r="B14" s="515"/>
      <c r="C14" s="516">
        <v>19100</v>
      </c>
      <c r="D14"/>
    </row>
    <row r="15" spans="1:4">
      <c r="A15" s="512" t="s">
        <v>1069</v>
      </c>
      <c r="B15" s="515"/>
      <c r="C15" s="516">
        <v>104901.95000000003</v>
      </c>
      <c r="D15"/>
    </row>
    <row r="16" spans="1:4">
      <c r="A16" s="512" t="s">
        <v>1070</v>
      </c>
      <c r="B16" s="515"/>
      <c r="C16" s="516">
        <v>19100</v>
      </c>
      <c r="D16"/>
    </row>
    <row r="17" spans="1:4">
      <c r="A17" s="512" t="s">
        <v>1447</v>
      </c>
      <c r="B17" s="515"/>
      <c r="C17" s="516">
        <v>522000</v>
      </c>
      <c r="D17"/>
    </row>
    <row r="18" spans="1:4">
      <c r="A18" s="507" t="s">
        <v>1022</v>
      </c>
      <c r="B18" s="510">
        <v>63470000</v>
      </c>
      <c r="C18" s="511">
        <v>10292414.919999998</v>
      </c>
      <c r="D18"/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5EE4-3B4F-4EED-B76A-2D354E51F945}">
  <sheetPr>
    <pageSetUpPr fitToPage="1"/>
  </sheetPr>
  <dimension ref="A1:I49"/>
  <sheetViews>
    <sheetView topLeftCell="A25" workbookViewId="0">
      <selection activeCell="H55" sqref="H55"/>
    </sheetView>
  </sheetViews>
  <sheetFormatPr defaultRowHeight="14.4"/>
  <cols>
    <col min="1" max="1" width="36.6640625" customWidth="1"/>
    <col min="2" max="5" width="18.6640625" customWidth="1"/>
    <col min="8" max="8" width="14.33203125" bestFit="1" customWidth="1"/>
    <col min="9" max="9" width="13.33203125" bestFit="1" customWidth="1"/>
  </cols>
  <sheetData>
    <row r="1" spans="1:5">
      <c r="A1" s="79" t="s">
        <v>755</v>
      </c>
      <c r="B1" s="80" t="s">
        <v>12</v>
      </c>
      <c r="C1" s="80" t="s">
        <v>13</v>
      </c>
      <c r="D1" s="81" t="s">
        <v>756</v>
      </c>
      <c r="E1" s="82" t="s">
        <v>14</v>
      </c>
    </row>
    <row r="2" spans="1:5">
      <c r="A2" s="42" t="s">
        <v>757</v>
      </c>
      <c r="B2" s="44">
        <v>356871.97</v>
      </c>
      <c r="C2" s="44"/>
      <c r="D2" s="45">
        <v>5017266.7</v>
      </c>
      <c r="E2" s="70">
        <v>4660394.7300000004</v>
      </c>
    </row>
    <row r="3" spans="1:5">
      <c r="A3" s="42" t="s">
        <v>9</v>
      </c>
      <c r="B3" s="43"/>
      <c r="C3" s="44"/>
      <c r="D3" s="45">
        <v>1091619</v>
      </c>
      <c r="E3" s="70">
        <v>1091619</v>
      </c>
    </row>
    <row r="4" spans="1:5">
      <c r="A4" s="42" t="s">
        <v>15</v>
      </c>
      <c r="B4" s="43">
        <v>4574042.25</v>
      </c>
      <c r="C4" s="44"/>
      <c r="D4" s="45">
        <v>63470000</v>
      </c>
      <c r="E4" s="70">
        <v>58895957.75</v>
      </c>
    </row>
    <row r="5" spans="1:5">
      <c r="A5" s="42" t="s">
        <v>16</v>
      </c>
      <c r="B5" s="43"/>
      <c r="C5" s="44"/>
      <c r="D5" s="45"/>
      <c r="E5" s="70">
        <v>0</v>
      </c>
    </row>
    <row r="6" spans="1:5">
      <c r="A6" s="42" t="s">
        <v>17</v>
      </c>
      <c r="B6" s="44"/>
      <c r="C6" s="44">
        <v>305707.44000000006</v>
      </c>
      <c r="D6" s="45">
        <v>31406000</v>
      </c>
      <c r="E6" s="70">
        <v>31100292.559999999</v>
      </c>
    </row>
    <row r="7" spans="1:5">
      <c r="A7" s="58" t="s">
        <v>5</v>
      </c>
      <c r="B7" s="44"/>
      <c r="C7" s="44">
        <v>10000</v>
      </c>
      <c r="D7" s="45">
        <v>4416000</v>
      </c>
      <c r="E7" s="70">
        <v>4406000</v>
      </c>
    </row>
    <row r="8" spans="1:5">
      <c r="A8" s="58" t="s">
        <v>753</v>
      </c>
      <c r="B8" s="44"/>
      <c r="C8" s="44">
        <v>59500</v>
      </c>
      <c r="D8" s="45">
        <v>97350000</v>
      </c>
      <c r="E8" s="70">
        <v>97290500</v>
      </c>
    </row>
    <row r="9" spans="1:5">
      <c r="A9" s="58" t="s">
        <v>754</v>
      </c>
      <c r="B9" s="44"/>
      <c r="C9" s="44"/>
      <c r="D9" s="45"/>
      <c r="E9" s="70">
        <v>0</v>
      </c>
    </row>
    <row r="10" spans="1:5">
      <c r="A10" s="58" t="s">
        <v>18</v>
      </c>
      <c r="B10" s="44"/>
      <c r="C10" s="44">
        <v>11158</v>
      </c>
      <c r="D10" s="45">
        <v>33752000</v>
      </c>
      <c r="E10" s="70">
        <v>33740842</v>
      </c>
    </row>
    <row r="11" spans="1:5">
      <c r="A11" s="58" t="s">
        <v>19</v>
      </c>
      <c r="B11" s="44"/>
      <c r="C11" s="44">
        <v>11158</v>
      </c>
      <c r="D11" s="45">
        <v>6894000</v>
      </c>
      <c r="E11" s="70">
        <v>6882842</v>
      </c>
    </row>
    <row r="12" spans="1:5">
      <c r="A12" s="451" t="s">
        <v>7</v>
      </c>
      <c r="B12" s="444"/>
      <c r="C12" s="444">
        <v>11158</v>
      </c>
      <c r="D12" s="445">
        <v>8628000</v>
      </c>
      <c r="E12" s="446">
        <v>8616842</v>
      </c>
    </row>
    <row r="13" spans="1:5" ht="15" thickBot="1">
      <c r="A13" s="452"/>
      <c r="B13" s="447">
        <f>SUBTOTAL(9,B2:B12)</f>
        <v>4930914.22</v>
      </c>
      <c r="C13" s="447">
        <f>SUBTOTAL(9,C2:C12)</f>
        <v>408681.44000000006</v>
      </c>
      <c r="D13" s="447">
        <f>SUBTOTAL(9,D2:D12)</f>
        <v>252024885.69999999</v>
      </c>
      <c r="E13" s="448">
        <f>SUBTOTAL(9,E2:E12)</f>
        <v>246685290.04000002</v>
      </c>
    </row>
    <row r="14" spans="1:5" ht="15" thickTop="1">
      <c r="A14" s="453"/>
      <c r="B14" s="449"/>
      <c r="C14" s="450">
        <f>+B13+C13</f>
        <v>5339595.66</v>
      </c>
      <c r="D14" s="449"/>
      <c r="E14" s="450"/>
    </row>
    <row r="15" spans="1:5">
      <c r="A15" s="454" t="s">
        <v>1265</v>
      </c>
      <c r="B15" s="80" t="s">
        <v>12</v>
      </c>
      <c r="C15" s="80" t="s">
        <v>13</v>
      </c>
      <c r="D15" s="81" t="s">
        <v>756</v>
      </c>
      <c r="E15" s="82" t="s">
        <v>14</v>
      </c>
    </row>
    <row r="16" spans="1:5">
      <c r="A16" s="58" t="s">
        <v>757</v>
      </c>
      <c r="B16" s="44">
        <v>356871.97</v>
      </c>
      <c r="C16" s="44"/>
      <c r="D16" s="45">
        <v>4660394.7300000004</v>
      </c>
      <c r="E16" s="70">
        <f>+D16-B16-C16</f>
        <v>4303522.7600000007</v>
      </c>
    </row>
    <row r="17" spans="1:9">
      <c r="A17" s="58" t="s">
        <v>9</v>
      </c>
      <c r="B17" s="43"/>
      <c r="C17" s="44">
        <v>31356</v>
      </c>
      <c r="D17" s="45">
        <v>1091619</v>
      </c>
      <c r="E17" s="70">
        <f t="shared" ref="E17:E26" si="0">+D17-B17-C17</f>
        <v>1060263</v>
      </c>
    </row>
    <row r="18" spans="1:9">
      <c r="A18" s="58" t="s">
        <v>15</v>
      </c>
      <c r="B18" s="43">
        <v>5231038.3299999991</v>
      </c>
      <c r="C18" s="44"/>
      <c r="D18" s="45">
        <v>58895957.75</v>
      </c>
      <c r="E18" s="70">
        <f t="shared" si="0"/>
        <v>53664919.420000002</v>
      </c>
    </row>
    <row r="19" spans="1:9">
      <c r="A19" s="58" t="s">
        <v>16</v>
      </c>
      <c r="B19" s="43"/>
      <c r="C19" s="44"/>
      <c r="D19" s="45">
        <v>0</v>
      </c>
      <c r="E19" s="70">
        <f t="shared" si="0"/>
        <v>0</v>
      </c>
    </row>
    <row r="20" spans="1:9">
      <c r="A20" s="58" t="s">
        <v>17</v>
      </c>
      <c r="B20" s="44"/>
      <c r="C20" s="44">
        <v>3159594.68</v>
      </c>
      <c r="D20" s="45">
        <v>31100292.559999999</v>
      </c>
      <c r="E20" s="70">
        <f t="shared" si="0"/>
        <v>27940697.879999999</v>
      </c>
    </row>
    <row r="21" spans="1:9">
      <c r="A21" s="58" t="s">
        <v>5</v>
      </c>
      <c r="B21" s="44"/>
      <c r="C21" s="44">
        <v>193650.62</v>
      </c>
      <c r="D21" s="45">
        <v>4406000</v>
      </c>
      <c r="E21" s="70">
        <f t="shared" si="0"/>
        <v>4212349.38</v>
      </c>
    </row>
    <row r="22" spans="1:9">
      <c r="A22" s="58" t="s">
        <v>753</v>
      </c>
      <c r="B22" s="44"/>
      <c r="C22" s="44"/>
      <c r="D22" s="45">
        <v>97290500</v>
      </c>
      <c r="E22" s="70">
        <f t="shared" si="0"/>
        <v>97290500</v>
      </c>
    </row>
    <row r="23" spans="1:9">
      <c r="A23" s="58" t="s">
        <v>1266</v>
      </c>
      <c r="B23" s="44"/>
      <c r="C23" s="44">
        <v>454166.41000000003</v>
      </c>
      <c r="D23" s="45">
        <v>3562690.92</v>
      </c>
      <c r="E23" s="70">
        <f t="shared" si="0"/>
        <v>3108524.51</v>
      </c>
      <c r="H23" s="500">
        <v>28602000</v>
      </c>
      <c r="I23" s="500">
        <v>2254574</v>
      </c>
    </row>
    <row r="24" spans="1:9">
      <c r="A24" s="58" t="s">
        <v>18</v>
      </c>
      <c r="B24" s="44"/>
      <c r="C24" s="44">
        <f>2243416+2000000</f>
        <v>4243416</v>
      </c>
      <c r="D24" s="45">
        <v>33740842</v>
      </c>
      <c r="E24" s="70">
        <f t="shared" si="0"/>
        <v>29497426</v>
      </c>
      <c r="H24" s="276">
        <f>+D24-2150000</f>
        <v>31590842</v>
      </c>
    </row>
    <row r="25" spans="1:9">
      <c r="A25" s="58" t="s">
        <v>19</v>
      </c>
      <c r="B25" s="44"/>
      <c r="C25" s="44">
        <v>38846.910000000003</v>
      </c>
      <c r="D25" s="45">
        <v>6882842</v>
      </c>
      <c r="E25" s="70">
        <f t="shared" si="0"/>
        <v>6843995.0899999999</v>
      </c>
    </row>
    <row r="26" spans="1:9">
      <c r="A26" s="451" t="s">
        <v>7</v>
      </c>
      <c r="B26" s="444"/>
      <c r="C26" s="444">
        <v>650000</v>
      </c>
      <c r="D26" s="445">
        <v>8616842</v>
      </c>
      <c r="E26" s="446">
        <f t="shared" si="0"/>
        <v>7966842</v>
      </c>
    </row>
    <row r="27" spans="1:9" ht="15" thickBot="1">
      <c r="A27" s="452"/>
      <c r="B27" s="447">
        <f>SUBTOTAL(9,B16:B26)</f>
        <v>5587910.2999999989</v>
      </c>
      <c r="C27" s="447">
        <f>SUBTOTAL(9,C16:C26)</f>
        <v>8771030.620000001</v>
      </c>
      <c r="D27" s="447">
        <f>SUBTOTAL(9,D16:D26)</f>
        <v>250247980.96000001</v>
      </c>
      <c r="E27" s="448">
        <f>SUBTOTAL(9,E16:E26)</f>
        <v>235889040.03999999</v>
      </c>
    </row>
    <row r="28" spans="1:9" ht="15" thickTop="1">
      <c r="B28" s="433">
        <v>5587910.2999999998</v>
      </c>
      <c r="C28" s="433">
        <v>8771030.6199999992</v>
      </c>
      <c r="D28" s="276"/>
    </row>
    <row r="29" spans="1:9">
      <c r="B29" s="276">
        <f>+B27-B28</f>
        <v>0</v>
      </c>
      <c r="C29" s="276">
        <f>+C27-C28</f>
        <v>0</v>
      </c>
      <c r="D29" s="276"/>
    </row>
    <row r="30" spans="1:9">
      <c r="B30" t="s">
        <v>1533</v>
      </c>
      <c r="C30" s="276"/>
      <c r="D30" s="455">
        <f>+D13+D23</f>
        <v>255587576.61999997</v>
      </c>
      <c r="E30" s="455">
        <f>+B27+C27+C13+B13</f>
        <v>19698536.579999998</v>
      </c>
      <c r="F30" s="456">
        <f>+E30/D30</f>
        <v>7.7071573041624E-2</v>
      </c>
    </row>
    <row r="32" spans="1:9">
      <c r="A32" s="492" t="s">
        <v>1623</v>
      </c>
      <c r="B32" s="493" t="s">
        <v>12</v>
      </c>
      <c r="C32" s="493" t="s">
        <v>13</v>
      </c>
      <c r="D32" s="494" t="s">
        <v>756</v>
      </c>
      <c r="E32" s="495" t="s">
        <v>14</v>
      </c>
    </row>
    <row r="33" spans="1:6">
      <c r="A33" s="496" t="s">
        <v>757</v>
      </c>
      <c r="B33" s="44">
        <v>404871.97</v>
      </c>
      <c r="C33" s="44"/>
      <c r="D33" s="45">
        <v>4303522.7600000007</v>
      </c>
      <c r="E33" s="497">
        <f>+D33-B33-C33</f>
        <v>3898650.790000001</v>
      </c>
    </row>
    <row r="34" spans="1:6">
      <c r="A34" s="496" t="s">
        <v>9</v>
      </c>
      <c r="B34" s="43"/>
      <c r="C34" s="44">
        <v>580199</v>
      </c>
      <c r="D34" s="45">
        <v>1060263</v>
      </c>
      <c r="E34" s="497">
        <f t="shared" ref="E34:E44" si="1">+D34-B34-C34</f>
        <v>480064</v>
      </c>
    </row>
    <row r="35" spans="1:6">
      <c r="A35" s="496" t="s">
        <v>15</v>
      </c>
      <c r="B35" s="43">
        <v>5718372.6699999981</v>
      </c>
      <c r="C35" s="44"/>
      <c r="D35" s="45">
        <v>53664919.420000002</v>
      </c>
      <c r="E35" s="497">
        <f t="shared" si="1"/>
        <v>47946546.75</v>
      </c>
    </row>
    <row r="36" spans="1:6">
      <c r="A36" s="496" t="s">
        <v>16</v>
      </c>
      <c r="B36" s="43"/>
      <c r="C36" s="44"/>
      <c r="D36" s="45">
        <v>0</v>
      </c>
      <c r="E36" s="497">
        <f t="shared" si="1"/>
        <v>0</v>
      </c>
    </row>
    <row r="37" spans="1:6">
      <c r="A37" s="496" t="s">
        <v>17</v>
      </c>
      <c r="B37" s="44"/>
      <c r="C37" s="44">
        <v>8617326.2300000004</v>
      </c>
      <c r="D37" s="45">
        <v>27940697.879999999</v>
      </c>
      <c r="E37" s="497">
        <f t="shared" si="1"/>
        <v>19323371.649999999</v>
      </c>
    </row>
    <row r="38" spans="1:6">
      <c r="A38" s="496" t="s">
        <v>5</v>
      </c>
      <c r="B38" s="44"/>
      <c r="C38" s="44">
        <v>1731066.28</v>
      </c>
      <c r="D38" s="45">
        <v>4212349.38</v>
      </c>
      <c r="E38" s="497">
        <f t="shared" si="1"/>
        <v>2481283.0999999996</v>
      </c>
    </row>
    <row r="39" spans="1:6">
      <c r="A39" s="496" t="s">
        <v>753</v>
      </c>
      <c r="B39" s="44"/>
      <c r="C39" s="44"/>
      <c r="D39" s="45">
        <v>97290500</v>
      </c>
      <c r="E39" s="497">
        <f t="shared" si="1"/>
        <v>97290500</v>
      </c>
    </row>
    <row r="40" spans="1:6">
      <c r="A40" s="496" t="s">
        <v>1266</v>
      </c>
      <c r="B40" s="44"/>
      <c r="C40" s="44">
        <v>465132.41000000003</v>
      </c>
      <c r="D40" s="45">
        <v>3108524.51</v>
      </c>
      <c r="E40" s="497">
        <f t="shared" si="1"/>
        <v>2643392.0999999996</v>
      </c>
    </row>
    <row r="41" spans="1:6">
      <c r="A41" s="496" t="s">
        <v>18</v>
      </c>
      <c r="B41" s="44"/>
      <c r="C41" s="44">
        <v>3528326.67</v>
      </c>
      <c r="D41" s="45">
        <f>29497426-3150000</f>
        <v>26347426</v>
      </c>
      <c r="E41" s="497">
        <f t="shared" si="1"/>
        <v>22819099.329999998</v>
      </c>
    </row>
    <row r="42" spans="1:6">
      <c r="A42" s="496" t="s">
        <v>1624</v>
      </c>
      <c r="B42" s="44"/>
      <c r="C42" s="44">
        <v>76000</v>
      </c>
      <c r="D42" s="45">
        <f>5150000-2000000</f>
        <v>3150000</v>
      </c>
      <c r="E42" s="497">
        <f t="shared" si="1"/>
        <v>3074000</v>
      </c>
    </row>
    <row r="43" spans="1:6">
      <c r="A43" s="496" t="s">
        <v>19</v>
      </c>
      <c r="B43" s="44"/>
      <c r="C43" s="44">
        <v>1066779.28</v>
      </c>
      <c r="D43" s="45">
        <v>6843995.0899999999</v>
      </c>
      <c r="E43" s="497">
        <f t="shared" si="1"/>
        <v>5777215.8099999996</v>
      </c>
    </row>
    <row r="44" spans="1:6">
      <c r="A44" s="498" t="s">
        <v>7</v>
      </c>
      <c r="B44" s="444"/>
      <c r="C44" s="444">
        <v>3189019.64</v>
      </c>
      <c r="D44" s="445">
        <v>7966842</v>
      </c>
      <c r="E44" s="499">
        <f t="shared" si="1"/>
        <v>4777822.3599999994</v>
      </c>
    </row>
    <row r="45" spans="1:6" ht="15" thickBot="1">
      <c r="A45" s="452"/>
      <c r="B45" s="447">
        <f>SUBTOTAL(9,B33:B44)</f>
        <v>6123244.6399999978</v>
      </c>
      <c r="C45" s="447">
        <f>SUBTOTAL(9,C33:C44)</f>
        <v>19253849.509999998</v>
      </c>
      <c r="D45" s="447">
        <f>SUBTOTAL(9,D33:D44)</f>
        <v>235889040.03999999</v>
      </c>
      <c r="E45" s="448">
        <f>SUBTOTAL(9,E33:E44)</f>
        <v>210511945.88999999</v>
      </c>
    </row>
    <row r="46" spans="1:6" ht="15" thickTop="1">
      <c r="B46" s="500">
        <v>6123244.6399999997</v>
      </c>
      <c r="C46" s="500">
        <f>19177849.51+76000</f>
        <v>19253849.510000002</v>
      </c>
      <c r="D46" s="276"/>
      <c r="E46" s="276"/>
    </row>
    <row r="47" spans="1:6">
      <c r="B47" s="500"/>
      <c r="C47" s="500">
        <f>+B46+C46</f>
        <v>25377094.150000002</v>
      </c>
    </row>
    <row r="48" spans="1:6">
      <c r="B48" t="s">
        <v>1533</v>
      </c>
      <c r="C48" s="500"/>
      <c r="D48" s="502">
        <v>255587576.61999997</v>
      </c>
      <c r="E48" s="502">
        <f>B13+C13+B27+C27+B45+C45</f>
        <v>45075630.729999989</v>
      </c>
      <c r="F48" s="456">
        <f>E48/D48</f>
        <v>0.17636080487987529</v>
      </c>
    </row>
    <row r="49" spans="5:5">
      <c r="E49" s="501"/>
    </row>
  </sheetData>
  <pageMargins left="0.7" right="0.7" top="0.75" bottom="0.75" header="0.3" footer="0.3"/>
  <pageSetup scale="57" fitToHeight="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101D2-6D25-4D41-9811-4D6BB0DF928A}">
  <dimension ref="A2:E17"/>
  <sheetViews>
    <sheetView workbookViewId="0">
      <selection activeCell="E28" sqref="E28"/>
    </sheetView>
  </sheetViews>
  <sheetFormatPr defaultRowHeight="14.4"/>
  <cols>
    <col min="1" max="1" width="19.109375" customWidth="1"/>
    <col min="3" max="3" width="20.88671875" bestFit="1" customWidth="1"/>
    <col min="4" max="4" width="16.109375" bestFit="1" customWidth="1"/>
    <col min="5" max="5" width="122.109375" bestFit="1" customWidth="1"/>
  </cols>
  <sheetData>
    <row r="2" spans="1:5">
      <c r="A2" s="303" t="s">
        <v>940</v>
      </c>
      <c r="C2" s="303" t="s">
        <v>1016</v>
      </c>
      <c r="D2" s="303" t="s">
        <v>1015</v>
      </c>
      <c r="E2" s="303" t="s">
        <v>930</v>
      </c>
    </row>
    <row r="3" spans="1:5">
      <c r="A3" s="301" t="s">
        <v>943</v>
      </c>
      <c r="C3" t="s">
        <v>956</v>
      </c>
      <c r="D3" t="s">
        <v>884</v>
      </c>
      <c r="E3" t="s">
        <v>1001</v>
      </c>
    </row>
    <row r="4" spans="1:5">
      <c r="A4" s="301" t="s">
        <v>945</v>
      </c>
      <c r="C4" t="s">
        <v>1002</v>
      </c>
      <c r="D4" t="s">
        <v>895</v>
      </c>
      <c r="E4" t="s">
        <v>896</v>
      </c>
    </row>
    <row r="5" spans="1:5">
      <c r="A5" s="301" t="s">
        <v>946</v>
      </c>
      <c r="C5" t="s">
        <v>1003</v>
      </c>
      <c r="D5" t="s">
        <v>899</v>
      </c>
      <c r="E5" t="s">
        <v>900</v>
      </c>
    </row>
    <row r="6" spans="1:5">
      <c r="A6" s="301" t="s">
        <v>947</v>
      </c>
      <c r="C6" t="s">
        <v>1004</v>
      </c>
      <c r="D6" t="s">
        <v>901</v>
      </c>
      <c r="E6" t="s">
        <v>902</v>
      </c>
    </row>
    <row r="7" spans="1:5">
      <c r="A7" s="301" t="s">
        <v>948</v>
      </c>
      <c r="C7" t="s">
        <v>1005</v>
      </c>
      <c r="D7" t="s">
        <v>901</v>
      </c>
      <c r="E7" t="s">
        <v>1006</v>
      </c>
    </row>
    <row r="8" spans="1:5">
      <c r="A8" s="301" t="s">
        <v>949</v>
      </c>
      <c r="C8" t="s">
        <v>923</v>
      </c>
      <c r="D8" t="s">
        <v>926</v>
      </c>
      <c r="E8" t="s">
        <v>927</v>
      </c>
    </row>
    <row r="9" spans="1:5">
      <c r="A9" s="301" t="s">
        <v>950</v>
      </c>
      <c r="C9" t="s">
        <v>1008</v>
      </c>
      <c r="D9" t="s">
        <v>1007</v>
      </c>
      <c r="E9" t="s">
        <v>1009</v>
      </c>
    </row>
    <row r="10" spans="1:5">
      <c r="A10" s="301" t="s">
        <v>951</v>
      </c>
      <c r="C10" t="s">
        <v>845</v>
      </c>
      <c r="D10" t="s">
        <v>903</v>
      </c>
      <c r="E10" t="s">
        <v>904</v>
      </c>
    </row>
    <row r="11" spans="1:5">
      <c r="A11" s="301" t="s">
        <v>952</v>
      </c>
      <c r="C11" t="s">
        <v>905</v>
      </c>
      <c r="D11" t="s">
        <v>908</v>
      </c>
      <c r="E11" t="s">
        <v>909</v>
      </c>
    </row>
    <row r="12" spans="1:5">
      <c r="A12" s="301" t="s">
        <v>953</v>
      </c>
      <c r="C12" t="s">
        <v>5</v>
      </c>
      <c r="D12" t="s">
        <v>906</v>
      </c>
      <c r="E12" t="s">
        <v>907</v>
      </c>
    </row>
    <row r="13" spans="1:5">
      <c r="A13" s="301" t="s">
        <v>954</v>
      </c>
      <c r="C13" t="s">
        <v>910</v>
      </c>
      <c r="D13" t="s">
        <v>911</v>
      </c>
      <c r="E13" t="s">
        <v>912</v>
      </c>
    </row>
    <row r="14" spans="1:5">
      <c r="A14" s="301" t="s">
        <v>955</v>
      </c>
      <c r="C14" t="s">
        <v>1011</v>
      </c>
      <c r="D14" t="s">
        <v>1010</v>
      </c>
      <c r="E14" t="s">
        <v>1012</v>
      </c>
    </row>
    <row r="15" spans="1:5">
      <c r="A15" s="301"/>
      <c r="C15" t="s">
        <v>1013</v>
      </c>
      <c r="D15" t="s">
        <v>915</v>
      </c>
      <c r="E15" t="s">
        <v>916</v>
      </c>
    </row>
    <row r="16" spans="1:5">
      <c r="C16" t="s">
        <v>1014</v>
      </c>
      <c r="D16" t="s">
        <v>917</v>
      </c>
      <c r="E16" t="s">
        <v>918</v>
      </c>
    </row>
    <row r="17" spans="3:5">
      <c r="C17" t="s">
        <v>921</v>
      </c>
      <c r="D17" t="s">
        <v>919</v>
      </c>
      <c r="E17" t="s">
        <v>920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A0E98-762E-420E-A207-BDDD71418FC0}">
  <dimension ref="A1:Z1002"/>
  <sheetViews>
    <sheetView topLeftCell="A201" workbookViewId="0">
      <selection activeCell="B351" sqref="B351"/>
    </sheetView>
  </sheetViews>
  <sheetFormatPr defaultColWidth="14.44140625" defaultRowHeight="15" customHeight="1"/>
  <cols>
    <col min="1" max="1" width="9.109375" style="225" customWidth="1"/>
    <col min="2" max="2" width="16.6640625" style="225" customWidth="1"/>
    <col min="3" max="3" width="68.88671875" style="225" bestFit="1" customWidth="1"/>
    <col min="4" max="8" width="9.109375" style="225" customWidth="1"/>
    <col min="9" max="26" width="8" style="225" customWidth="1"/>
    <col min="27" max="16384" width="14.44140625" style="225"/>
  </cols>
  <sheetData>
    <row r="1" spans="1:26" ht="12.75" customHeight="1">
      <c r="A1" s="224"/>
      <c r="B1" s="7" t="s">
        <v>183</v>
      </c>
      <c r="C1" s="6"/>
      <c r="D1" s="6"/>
      <c r="E1" s="6"/>
      <c r="F1" s="6"/>
      <c r="G1" s="6"/>
      <c r="H1" s="6"/>
      <c r="I1" s="224"/>
      <c r="J1" s="224"/>
      <c r="K1" s="224"/>
      <c r="L1" s="224"/>
      <c r="M1" s="224"/>
      <c r="N1" s="224"/>
      <c r="O1" s="224"/>
      <c r="P1" s="224"/>
      <c r="Q1" s="224"/>
      <c r="R1" s="224"/>
      <c r="S1" s="224"/>
      <c r="T1" s="224"/>
      <c r="U1" s="224"/>
      <c r="V1" s="224"/>
      <c r="W1" s="224"/>
      <c r="X1" s="224"/>
      <c r="Y1" s="224"/>
      <c r="Z1" s="224"/>
    </row>
    <row r="2" spans="1:26" ht="12.75" customHeight="1">
      <c r="A2" s="224"/>
      <c r="B2" s="226"/>
      <c r="C2" s="224"/>
      <c r="D2" s="224"/>
      <c r="E2" s="224"/>
      <c r="F2" s="224"/>
      <c r="G2" s="224"/>
      <c r="H2" s="224"/>
      <c r="I2" s="224"/>
      <c r="J2" s="224"/>
      <c r="K2" s="224"/>
      <c r="L2" s="224"/>
      <c r="M2" s="224"/>
      <c r="N2" s="224"/>
      <c r="O2" s="224"/>
      <c r="P2" s="224"/>
      <c r="Q2" s="224"/>
      <c r="R2" s="224"/>
      <c r="S2" s="224"/>
      <c r="T2" s="224"/>
      <c r="U2" s="224"/>
      <c r="V2" s="224"/>
      <c r="W2" s="224"/>
      <c r="X2" s="224"/>
      <c r="Y2" s="224"/>
      <c r="Z2" s="224"/>
    </row>
    <row r="3" spans="1:26" ht="24" customHeight="1">
      <c r="A3" s="224"/>
      <c r="B3" s="5" t="s">
        <v>184</v>
      </c>
      <c r="C3" s="4"/>
      <c r="D3" s="4"/>
      <c r="E3" s="4"/>
      <c r="F3" s="4"/>
      <c r="G3" s="4"/>
      <c r="H3" s="4"/>
      <c r="I3" s="224"/>
      <c r="J3" s="224"/>
      <c r="K3" s="224"/>
      <c r="L3" s="224"/>
      <c r="M3" s="224"/>
      <c r="N3" s="224"/>
      <c r="O3" s="224"/>
      <c r="P3" s="224"/>
      <c r="Q3" s="224"/>
      <c r="R3" s="224"/>
      <c r="S3" s="224"/>
      <c r="T3" s="224"/>
      <c r="U3" s="224"/>
      <c r="V3" s="224"/>
      <c r="W3" s="224"/>
      <c r="X3" s="224"/>
      <c r="Y3" s="224"/>
      <c r="Z3" s="224"/>
    </row>
    <row r="4" spans="1:26" ht="12.75" customHeight="1">
      <c r="A4" s="224"/>
      <c r="B4" s="227" t="s">
        <v>185</v>
      </c>
      <c r="C4" s="224"/>
      <c r="D4" s="224"/>
      <c r="E4" s="224"/>
      <c r="F4" s="224"/>
      <c r="G4" s="224"/>
      <c r="H4" s="224"/>
      <c r="I4" s="224"/>
      <c r="J4" s="224"/>
      <c r="K4" s="224"/>
      <c r="L4" s="224"/>
      <c r="M4" s="224"/>
      <c r="N4" s="224"/>
      <c r="O4" s="224"/>
      <c r="P4" s="224"/>
      <c r="Q4" s="224"/>
      <c r="R4" s="224"/>
      <c r="S4" s="224"/>
      <c r="T4" s="224"/>
      <c r="U4" s="224"/>
      <c r="V4" s="224"/>
      <c r="W4" s="224"/>
      <c r="X4" s="224"/>
      <c r="Y4" s="224"/>
      <c r="Z4" s="224"/>
    </row>
    <row r="5" spans="1:26" ht="12.75" customHeight="1">
      <c r="A5" s="224"/>
      <c r="B5" s="228" t="s">
        <v>186</v>
      </c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224"/>
      <c r="O5" s="224"/>
      <c r="P5" s="224"/>
      <c r="Q5" s="224"/>
      <c r="R5" s="224"/>
      <c r="S5" s="224"/>
      <c r="T5" s="224"/>
      <c r="U5" s="224"/>
      <c r="V5" s="224"/>
      <c r="W5" s="224"/>
      <c r="X5" s="224"/>
      <c r="Y5" s="224"/>
      <c r="Z5" s="224"/>
    </row>
    <row r="6" spans="1:26" ht="12.75" customHeight="1">
      <c r="A6" s="224">
        <v>106</v>
      </c>
      <c r="B6" s="226" t="s">
        <v>187</v>
      </c>
      <c r="C6" s="224" t="s">
        <v>188</v>
      </c>
      <c r="D6" s="224" t="str">
        <f>CONCATENATE(B6," - ",C6," (",A6,")")</f>
        <v>10101010 00 - Cash - Collecting Officers (106)</v>
      </c>
      <c r="E6" s="224"/>
      <c r="F6" s="224"/>
      <c r="G6" s="224"/>
      <c r="H6" s="224"/>
      <c r="I6" s="224"/>
      <c r="J6" s="224"/>
      <c r="K6" s="224"/>
      <c r="L6" s="224"/>
      <c r="M6" s="224"/>
      <c r="N6" s="224"/>
      <c r="O6" s="224"/>
      <c r="P6" s="224"/>
      <c r="Q6" s="224"/>
      <c r="R6" s="224"/>
      <c r="S6" s="224"/>
      <c r="T6" s="224"/>
      <c r="U6" s="224"/>
      <c r="V6" s="224"/>
      <c r="W6" s="224"/>
      <c r="X6" s="224"/>
      <c r="Y6" s="224"/>
      <c r="Z6" s="224"/>
    </row>
    <row r="7" spans="1:26" ht="12.75" customHeight="1">
      <c r="A7" s="224">
        <v>104</v>
      </c>
      <c r="B7" s="226" t="s">
        <v>189</v>
      </c>
      <c r="C7" s="224" t="s">
        <v>190</v>
      </c>
      <c r="D7" s="224" t="str">
        <f t="shared" ref="D7:D70" si="0">CONCATENATE(B7," - ",C7," (",A7,")")</f>
        <v>10101020 00 - Petty Cash Fund (104)</v>
      </c>
      <c r="E7" s="224"/>
      <c r="F7" s="224"/>
      <c r="G7" s="224"/>
      <c r="H7" s="224"/>
      <c r="I7" s="224"/>
      <c r="J7" s="224"/>
      <c r="K7" s="224"/>
      <c r="L7" s="224"/>
      <c r="M7" s="224"/>
      <c r="N7" s="224"/>
      <c r="O7" s="224"/>
      <c r="P7" s="224"/>
      <c r="Q7" s="224"/>
      <c r="R7" s="224"/>
      <c r="S7" s="224"/>
      <c r="T7" s="224"/>
      <c r="U7" s="224"/>
      <c r="V7" s="224"/>
      <c r="W7" s="224"/>
      <c r="X7" s="224"/>
      <c r="Y7" s="224"/>
      <c r="Z7" s="224"/>
    </row>
    <row r="8" spans="1:26" ht="12.75" customHeight="1">
      <c r="A8" s="229"/>
      <c r="B8" s="228" t="s">
        <v>191</v>
      </c>
      <c r="C8" s="229"/>
      <c r="D8" s="224" t="str">
        <f t="shared" si="0"/>
        <v>Cash In Bank - Local Currency -  ()</v>
      </c>
      <c r="E8" s="229"/>
      <c r="F8" s="229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</row>
    <row r="9" spans="1:26" ht="12.75" customHeight="1">
      <c r="A9" s="224"/>
      <c r="B9" s="226" t="s">
        <v>192</v>
      </c>
      <c r="C9" s="224" t="s">
        <v>193</v>
      </c>
      <c r="D9" s="224" t="str">
        <f t="shared" si="0"/>
        <v>10102010 00 - Cash In Bank - Local Currency - BSP ()</v>
      </c>
      <c r="E9" s="224"/>
      <c r="F9" s="224"/>
      <c r="G9" s="224"/>
      <c r="H9" s="224"/>
      <c r="I9" s="224"/>
      <c r="J9" s="224"/>
      <c r="K9" s="224"/>
      <c r="L9" s="224"/>
      <c r="M9" s="224"/>
      <c r="N9" s="224"/>
      <c r="O9" s="224"/>
      <c r="P9" s="224"/>
      <c r="Q9" s="224"/>
      <c r="R9" s="224"/>
      <c r="S9" s="224"/>
      <c r="T9" s="224"/>
      <c r="U9" s="224"/>
      <c r="V9" s="224"/>
      <c r="W9" s="224"/>
      <c r="X9" s="224"/>
      <c r="Y9" s="224"/>
      <c r="Z9" s="224"/>
    </row>
    <row r="10" spans="1:26" ht="12.75" customHeight="1">
      <c r="A10" s="229"/>
      <c r="B10" s="228" t="s">
        <v>194</v>
      </c>
      <c r="C10" s="229"/>
      <c r="D10" s="224" t="str">
        <f t="shared" si="0"/>
        <v>Cash In Bank - Local Currency, Current Account -  ()</v>
      </c>
      <c r="E10" s="229"/>
      <c r="F10" s="229"/>
      <c r="G10" s="229"/>
      <c r="H10" s="229"/>
      <c r="I10" s="229"/>
      <c r="J10" s="229"/>
      <c r="K10" s="229"/>
      <c r="L10" s="229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</row>
    <row r="11" spans="1:26" ht="12.75" customHeight="1">
      <c r="A11" s="224"/>
      <c r="B11" s="226" t="s">
        <v>195</v>
      </c>
      <c r="C11" s="224" t="s">
        <v>196</v>
      </c>
      <c r="D11" s="224" t="str">
        <f t="shared" si="0"/>
        <v>10102020 24 - Cash In Bank - Local Currency - Current Account ()</v>
      </c>
      <c r="E11" s="229"/>
      <c r="F11" s="229"/>
      <c r="G11" s="229"/>
      <c r="H11" s="229"/>
      <c r="I11" s="229"/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</row>
    <row r="12" spans="1:26" ht="12.75" customHeight="1">
      <c r="A12" s="229"/>
      <c r="B12" s="228" t="s">
        <v>197</v>
      </c>
      <c r="C12" s="229"/>
      <c r="D12" s="224" t="str">
        <f t="shared" si="0"/>
        <v>Cash In Bank - Local Currency, Savings Account -  ()</v>
      </c>
      <c r="E12" s="229"/>
      <c r="F12" s="229"/>
      <c r="G12" s="229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</row>
    <row r="13" spans="1:26" ht="12.75" customHeight="1">
      <c r="A13" s="229"/>
      <c r="B13" s="228" t="s">
        <v>198</v>
      </c>
      <c r="C13" s="229"/>
      <c r="D13" s="224" t="str">
        <f t="shared" si="0"/>
        <v>Cash In Bank - Local Currency, Time Deposits -  ()</v>
      </c>
      <c r="E13" s="229"/>
      <c r="F13" s="229"/>
      <c r="G13" s="229"/>
      <c r="H13" s="229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</row>
    <row r="14" spans="1:26" ht="12.75" customHeight="1">
      <c r="A14" s="229"/>
      <c r="B14" s="228" t="s">
        <v>199</v>
      </c>
      <c r="C14" s="229"/>
      <c r="D14" s="224" t="str">
        <f t="shared" si="0"/>
        <v>Cash In Bank - Foreign Currency -  ()</v>
      </c>
      <c r="E14" s="229"/>
      <c r="F14" s="229"/>
      <c r="G14" s="229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</row>
    <row r="15" spans="1:26" ht="12.75" customHeight="1">
      <c r="A15" s="229"/>
      <c r="B15" s="228" t="s">
        <v>200</v>
      </c>
      <c r="C15" s="229"/>
      <c r="D15" s="224" t="str">
        <f t="shared" si="0"/>
        <v>Cash In Bank - Foreign Currency, Savings Account -  ()</v>
      </c>
      <c r="E15" s="229"/>
      <c r="F15" s="229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</row>
    <row r="16" spans="1:26" ht="12.75" customHeight="1">
      <c r="A16" s="229"/>
      <c r="B16" s="228" t="s">
        <v>201</v>
      </c>
      <c r="C16" s="229"/>
      <c r="D16" s="224" t="str">
        <f t="shared" si="0"/>
        <v>Cash In Bank - Foreign Currency, Time Deposits -  ()</v>
      </c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</row>
    <row r="17" spans="1:26" ht="12.75" customHeight="1">
      <c r="A17" s="229"/>
      <c r="B17" s="228" t="s">
        <v>202</v>
      </c>
      <c r="C17" s="229"/>
      <c r="D17" s="224" t="str">
        <f t="shared" si="0"/>
        <v>Treasury/Agency Cash Accounts -  ()</v>
      </c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  <c r="Y17" s="229"/>
      <c r="Z17" s="229"/>
    </row>
    <row r="18" spans="1:26" ht="12.75" customHeight="1">
      <c r="A18" s="224">
        <v>108</v>
      </c>
      <c r="B18" s="226" t="s">
        <v>203</v>
      </c>
      <c r="C18" s="224" t="s">
        <v>204</v>
      </c>
      <c r="D18" s="224" t="str">
        <f t="shared" si="0"/>
        <v>10104040 00 - Cash - Modified Disbursement System (MDS), Regular (108)</v>
      </c>
      <c r="E18" s="224"/>
      <c r="F18" s="224"/>
      <c r="G18" s="224"/>
      <c r="H18" s="224"/>
      <c r="I18" s="224"/>
      <c r="J18" s="224"/>
      <c r="K18" s="224"/>
      <c r="L18" s="224"/>
      <c r="M18" s="224"/>
      <c r="N18" s="224"/>
      <c r="O18" s="224"/>
      <c r="P18" s="224"/>
      <c r="Q18" s="224"/>
      <c r="R18" s="224"/>
      <c r="S18" s="224"/>
      <c r="T18" s="224"/>
      <c r="U18" s="224"/>
      <c r="V18" s="224"/>
      <c r="W18" s="224"/>
      <c r="X18" s="224"/>
      <c r="Y18" s="224"/>
      <c r="Z18" s="224"/>
    </row>
    <row r="19" spans="1:26" ht="12.75" customHeight="1">
      <c r="A19" s="224"/>
      <c r="B19" s="226" t="s">
        <v>205</v>
      </c>
      <c r="C19" s="224" t="s">
        <v>206</v>
      </c>
      <c r="D19" s="224" t="str">
        <f t="shared" si="0"/>
        <v>10104050 00 - Cash - Modified Disbursement System (MDS), Special Account ()</v>
      </c>
      <c r="E19" s="224"/>
      <c r="F19" s="224"/>
      <c r="G19" s="224"/>
      <c r="H19" s="224"/>
      <c r="I19" s="224"/>
      <c r="J19" s="224"/>
      <c r="K19" s="224"/>
      <c r="L19" s="224"/>
      <c r="M19" s="224"/>
      <c r="N19" s="224"/>
      <c r="O19" s="224"/>
      <c r="P19" s="224"/>
      <c r="Q19" s="224"/>
      <c r="R19" s="224"/>
      <c r="S19" s="224"/>
      <c r="T19" s="224"/>
      <c r="U19" s="224"/>
      <c r="V19" s="224"/>
      <c r="W19" s="224"/>
      <c r="X19" s="224"/>
      <c r="Y19" s="224"/>
      <c r="Z19" s="224"/>
    </row>
    <row r="20" spans="1:26" ht="12.75" customHeight="1">
      <c r="A20" s="224"/>
      <c r="B20" s="226" t="s">
        <v>207</v>
      </c>
      <c r="C20" s="224" t="s">
        <v>208</v>
      </c>
      <c r="D20" s="224" t="str">
        <f t="shared" si="0"/>
        <v>10104060 00 - Cash - Modified Disbursement System (MDS), Trust ()</v>
      </c>
      <c r="E20" s="224"/>
      <c r="F20" s="224"/>
      <c r="G20" s="224"/>
      <c r="H20" s="224"/>
      <c r="I20" s="224"/>
      <c r="J20" s="224"/>
      <c r="K20" s="224"/>
      <c r="L20" s="224"/>
      <c r="M20" s="224"/>
      <c r="N20" s="224"/>
      <c r="O20" s="224"/>
      <c r="P20" s="224"/>
      <c r="Q20" s="224"/>
      <c r="R20" s="224"/>
      <c r="S20" s="224"/>
      <c r="T20" s="224"/>
      <c r="U20" s="224"/>
      <c r="V20" s="224"/>
      <c r="W20" s="224"/>
      <c r="X20" s="224"/>
      <c r="Y20" s="224"/>
      <c r="Z20" s="224"/>
    </row>
    <row r="21" spans="1:26" ht="12.75" customHeight="1">
      <c r="A21" s="224"/>
      <c r="B21" s="228" t="s">
        <v>209</v>
      </c>
      <c r="C21" s="224"/>
      <c r="D21" s="224" t="str">
        <f t="shared" si="0"/>
        <v>Cash Equivalents -  ()</v>
      </c>
      <c r="E21" s="224"/>
      <c r="F21" s="224"/>
      <c r="G21" s="224"/>
      <c r="H21" s="224"/>
      <c r="I21" s="224"/>
      <c r="J21" s="224"/>
      <c r="K21" s="224"/>
      <c r="L21" s="224"/>
      <c r="M21" s="224"/>
      <c r="N21" s="224"/>
      <c r="O21" s="224"/>
      <c r="P21" s="224"/>
      <c r="Q21" s="224"/>
      <c r="R21" s="224"/>
      <c r="S21" s="224"/>
      <c r="T21" s="224"/>
      <c r="U21" s="224"/>
      <c r="V21" s="224"/>
      <c r="W21" s="224"/>
      <c r="X21" s="224"/>
      <c r="Y21" s="224"/>
      <c r="Z21" s="224"/>
    </row>
    <row r="22" spans="1:26" ht="12.75" customHeight="1">
      <c r="A22" s="224"/>
      <c r="B22" s="226" t="s">
        <v>210</v>
      </c>
      <c r="C22" s="224" t="s">
        <v>211</v>
      </c>
      <c r="D22" s="224" t="str">
        <f t="shared" si="0"/>
        <v>10105010 00 - Treasury Bills ()</v>
      </c>
      <c r="E22" s="224"/>
      <c r="F22" s="224"/>
      <c r="G22" s="224"/>
      <c r="H22" s="224"/>
      <c r="I22" s="224"/>
      <c r="J22" s="224"/>
      <c r="K22" s="224"/>
      <c r="L22" s="224"/>
      <c r="M22" s="224"/>
      <c r="N22" s="224"/>
      <c r="O22" s="224"/>
      <c r="P22" s="224"/>
      <c r="Q22" s="224"/>
      <c r="R22" s="224"/>
      <c r="S22" s="224"/>
      <c r="T22" s="224"/>
      <c r="U22" s="224"/>
      <c r="V22" s="224"/>
      <c r="W22" s="224"/>
      <c r="X22" s="224"/>
      <c r="Y22" s="224"/>
      <c r="Z22" s="224"/>
    </row>
    <row r="23" spans="1:26" ht="12.75" customHeight="1">
      <c r="A23" s="224"/>
      <c r="B23" s="230" t="s">
        <v>212</v>
      </c>
      <c r="C23" s="224"/>
      <c r="D23" s="224" t="str">
        <f t="shared" si="0"/>
        <v>C.1.2 Investments -  ()</v>
      </c>
      <c r="E23" s="224"/>
      <c r="F23" s="224"/>
      <c r="G23" s="224"/>
      <c r="H23" s="224"/>
      <c r="I23" s="224"/>
      <c r="J23" s="224"/>
      <c r="K23" s="224"/>
      <c r="L23" s="224"/>
      <c r="M23" s="224"/>
      <c r="N23" s="224"/>
      <c r="O23" s="224"/>
      <c r="P23" s="224"/>
      <c r="Q23" s="224"/>
      <c r="R23" s="224"/>
      <c r="S23" s="224"/>
      <c r="T23" s="224"/>
      <c r="U23" s="224"/>
      <c r="V23" s="224"/>
      <c r="W23" s="224"/>
      <c r="X23" s="224"/>
      <c r="Y23" s="224"/>
      <c r="Z23" s="224"/>
    </row>
    <row r="24" spans="1:26" ht="12.75" customHeight="1">
      <c r="A24" s="224"/>
      <c r="B24" s="227" t="s">
        <v>213</v>
      </c>
      <c r="C24" s="224"/>
      <c r="D24" s="224" t="str">
        <f t="shared" si="0"/>
        <v>C.1.3 Receivables -  ()</v>
      </c>
      <c r="E24" s="224"/>
      <c r="F24" s="224"/>
      <c r="G24" s="224"/>
      <c r="H24" s="224"/>
      <c r="I24" s="224"/>
      <c r="J24" s="224"/>
      <c r="K24" s="224"/>
      <c r="L24" s="224"/>
      <c r="M24" s="224"/>
      <c r="N24" s="224"/>
      <c r="O24" s="224"/>
      <c r="P24" s="224"/>
      <c r="Q24" s="224"/>
      <c r="R24" s="224"/>
      <c r="S24" s="224"/>
      <c r="T24" s="224"/>
      <c r="U24" s="224"/>
      <c r="V24" s="224"/>
      <c r="W24" s="224"/>
      <c r="X24" s="224"/>
      <c r="Y24" s="224"/>
      <c r="Z24" s="224"/>
    </row>
    <row r="25" spans="1:26" ht="12.75" customHeight="1">
      <c r="A25" s="224"/>
      <c r="B25" s="228" t="s">
        <v>214</v>
      </c>
      <c r="C25" s="224"/>
      <c r="D25" s="224" t="str">
        <f t="shared" si="0"/>
        <v>Loans and Receivables Accounts -  ()</v>
      </c>
      <c r="E25" s="224"/>
      <c r="F25" s="224"/>
      <c r="G25" s="224"/>
      <c r="H25" s="224"/>
      <c r="I25" s="224"/>
      <c r="J25" s="224"/>
      <c r="K25" s="224"/>
      <c r="L25" s="224"/>
      <c r="M25" s="224"/>
      <c r="N25" s="224"/>
      <c r="O25" s="224"/>
      <c r="P25" s="224"/>
      <c r="Q25" s="224"/>
      <c r="R25" s="224"/>
      <c r="S25" s="224"/>
      <c r="T25" s="224"/>
      <c r="U25" s="224"/>
      <c r="V25" s="224"/>
      <c r="W25" s="224"/>
      <c r="X25" s="224"/>
      <c r="Y25" s="224"/>
      <c r="Z25" s="224"/>
    </row>
    <row r="26" spans="1:26" ht="12.75" customHeight="1">
      <c r="A26" s="224">
        <v>121</v>
      </c>
      <c r="B26" s="226" t="s">
        <v>215</v>
      </c>
      <c r="C26" s="224" t="s">
        <v>216</v>
      </c>
      <c r="D26" s="224" t="str">
        <f t="shared" si="0"/>
        <v>10301010 00 - Accounts Receivable (121)</v>
      </c>
      <c r="E26" s="224"/>
      <c r="F26" s="224"/>
      <c r="G26" s="224"/>
      <c r="H26" s="224"/>
      <c r="I26" s="224"/>
      <c r="J26" s="224"/>
      <c r="K26" s="224"/>
      <c r="L26" s="224"/>
      <c r="M26" s="224"/>
      <c r="N26" s="224"/>
      <c r="O26" s="224"/>
      <c r="P26" s="224"/>
      <c r="Q26" s="224"/>
      <c r="R26" s="224"/>
      <c r="S26" s="224"/>
      <c r="T26" s="224"/>
      <c r="U26" s="224"/>
      <c r="V26" s="224"/>
      <c r="W26" s="224"/>
      <c r="X26" s="224"/>
      <c r="Y26" s="224"/>
      <c r="Z26" s="224"/>
    </row>
    <row r="27" spans="1:26" ht="12.75" customHeight="1">
      <c r="A27" s="224"/>
      <c r="B27" s="226" t="s">
        <v>217</v>
      </c>
      <c r="C27" s="224" t="s">
        <v>218</v>
      </c>
      <c r="D27" s="224" t="str">
        <f t="shared" si="0"/>
        <v>10301011 00 - Allowance for Impairment - Accounts Receivable ()</v>
      </c>
      <c r="E27" s="224"/>
      <c r="F27" s="224"/>
      <c r="G27" s="224"/>
      <c r="H27" s="224"/>
      <c r="I27" s="224"/>
      <c r="J27" s="224"/>
      <c r="K27" s="224"/>
      <c r="L27" s="224"/>
      <c r="M27" s="224"/>
      <c r="N27" s="224"/>
      <c r="O27" s="224"/>
      <c r="P27" s="224"/>
      <c r="Q27" s="224"/>
      <c r="R27" s="224"/>
      <c r="S27" s="224"/>
      <c r="T27" s="224"/>
      <c r="U27" s="224"/>
      <c r="V27" s="224"/>
      <c r="W27" s="224"/>
      <c r="X27" s="224"/>
      <c r="Y27" s="224"/>
      <c r="Z27" s="224"/>
    </row>
    <row r="28" spans="1:26" ht="12.75" customHeight="1">
      <c r="A28" s="224">
        <v>122</v>
      </c>
      <c r="B28" s="226" t="s">
        <v>219</v>
      </c>
      <c r="C28" s="224" t="s">
        <v>220</v>
      </c>
      <c r="D28" s="224" t="str">
        <f t="shared" si="0"/>
        <v>10301020 00 - Notes Receivable (122)</v>
      </c>
      <c r="E28" s="224"/>
      <c r="F28" s="224"/>
      <c r="G28" s="224"/>
      <c r="H28" s="224"/>
      <c r="I28" s="224"/>
      <c r="J28" s="224"/>
      <c r="K28" s="224"/>
      <c r="L28" s="224"/>
      <c r="M28" s="224"/>
      <c r="N28" s="224"/>
      <c r="O28" s="224"/>
      <c r="P28" s="224"/>
      <c r="Q28" s="224"/>
      <c r="R28" s="224"/>
      <c r="S28" s="224"/>
      <c r="T28" s="224"/>
      <c r="U28" s="224"/>
      <c r="V28" s="224"/>
      <c r="W28" s="224"/>
      <c r="X28" s="224"/>
      <c r="Y28" s="224"/>
      <c r="Z28" s="224"/>
    </row>
    <row r="29" spans="1:26" ht="12.75" customHeight="1">
      <c r="A29" s="224"/>
      <c r="B29" s="226" t="s">
        <v>221</v>
      </c>
      <c r="C29" s="224" t="s">
        <v>222</v>
      </c>
      <c r="D29" s="224" t="str">
        <f t="shared" si="0"/>
        <v>10301021 00 - Allowance for Impairment - Notes Receivable ()</v>
      </c>
      <c r="E29" s="224"/>
      <c r="F29" s="224"/>
      <c r="G29" s="224"/>
      <c r="H29" s="224"/>
      <c r="I29" s="224"/>
      <c r="J29" s="224"/>
      <c r="K29" s="224"/>
      <c r="L29" s="224"/>
      <c r="M29" s="224"/>
      <c r="N29" s="224"/>
      <c r="O29" s="224"/>
      <c r="P29" s="224"/>
      <c r="Q29" s="224"/>
      <c r="R29" s="224"/>
      <c r="S29" s="224"/>
      <c r="T29" s="224"/>
      <c r="U29" s="224"/>
      <c r="V29" s="224"/>
      <c r="W29" s="224"/>
      <c r="X29" s="224"/>
      <c r="Y29" s="224"/>
      <c r="Z29" s="224"/>
    </row>
    <row r="30" spans="1:26" ht="12.75" customHeight="1">
      <c r="A30" s="224">
        <v>124</v>
      </c>
      <c r="B30" s="226" t="s">
        <v>223</v>
      </c>
      <c r="C30" s="224" t="s">
        <v>224</v>
      </c>
      <c r="D30" s="224" t="str">
        <f t="shared" si="0"/>
        <v>10301030 00 - Loans Receivable - GOCCs (124)</v>
      </c>
      <c r="E30" s="224"/>
      <c r="F30" s="224"/>
      <c r="G30" s="224"/>
      <c r="H30" s="224"/>
      <c r="I30" s="224"/>
      <c r="J30" s="224"/>
      <c r="K30" s="224"/>
      <c r="L30" s="224"/>
      <c r="M30" s="224"/>
      <c r="N30" s="224"/>
      <c r="O30" s="224"/>
      <c r="P30" s="224"/>
      <c r="Q30" s="224"/>
      <c r="R30" s="224"/>
      <c r="S30" s="224"/>
      <c r="T30" s="224"/>
      <c r="U30" s="224"/>
      <c r="V30" s="224"/>
      <c r="W30" s="224"/>
      <c r="X30" s="224"/>
      <c r="Y30" s="224"/>
      <c r="Z30" s="224"/>
    </row>
    <row r="31" spans="1:26" ht="12.75" customHeight="1">
      <c r="A31" s="224"/>
      <c r="B31" s="226" t="s">
        <v>225</v>
      </c>
      <c r="C31" s="224" t="s">
        <v>226</v>
      </c>
      <c r="D31" s="224" t="str">
        <f t="shared" si="0"/>
        <v>10301031 00 - Allowance for Impairment - Loans Receivable - GOCCs ()</v>
      </c>
      <c r="E31" s="224"/>
      <c r="F31" s="224"/>
      <c r="G31" s="224"/>
      <c r="H31" s="224"/>
      <c r="I31" s="224"/>
      <c r="J31" s="224"/>
      <c r="K31" s="224"/>
      <c r="L31" s="224"/>
      <c r="M31" s="224"/>
      <c r="N31" s="224"/>
      <c r="O31" s="224"/>
      <c r="P31" s="224"/>
      <c r="Q31" s="224"/>
      <c r="R31" s="224"/>
      <c r="S31" s="224"/>
      <c r="T31" s="224"/>
      <c r="U31" s="224"/>
      <c r="V31" s="224"/>
      <c r="W31" s="224"/>
      <c r="X31" s="224"/>
      <c r="Y31" s="224"/>
      <c r="Z31" s="224"/>
    </row>
    <row r="32" spans="1:26" ht="12.75" customHeight="1">
      <c r="A32" s="224">
        <v>125</v>
      </c>
      <c r="B32" s="226" t="s">
        <v>227</v>
      </c>
      <c r="C32" s="224" t="s">
        <v>228</v>
      </c>
      <c r="D32" s="224" t="str">
        <f t="shared" si="0"/>
        <v>10301040 00 - Loans Receivable - LGUs (125)</v>
      </c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</row>
    <row r="33" spans="1:26" ht="12.75" customHeight="1">
      <c r="A33" s="224"/>
      <c r="B33" s="226" t="s">
        <v>229</v>
      </c>
      <c r="C33" s="224" t="s">
        <v>230</v>
      </c>
      <c r="D33" s="224" t="str">
        <f t="shared" si="0"/>
        <v>10301041 00 - Allowance for Impairment - Loans Receivable - LGUs ()</v>
      </c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</row>
    <row r="34" spans="1:26" ht="12.75" customHeight="1">
      <c r="A34" s="224">
        <v>129</v>
      </c>
      <c r="B34" s="226" t="s">
        <v>231</v>
      </c>
      <c r="C34" s="224" t="s">
        <v>232</v>
      </c>
      <c r="D34" s="224" t="str">
        <f t="shared" si="0"/>
        <v>10301050 00 - Interests Receivable (129)</v>
      </c>
      <c r="E34" s="224"/>
      <c r="F34" s="224"/>
      <c r="G34" s="224"/>
      <c r="H34" s="224"/>
      <c r="I34" s="224"/>
      <c r="J34" s="224"/>
      <c r="K34" s="224"/>
      <c r="L34" s="224"/>
      <c r="M34" s="224"/>
      <c r="N34" s="224"/>
      <c r="O34" s="224"/>
      <c r="P34" s="224"/>
      <c r="Q34" s="224"/>
      <c r="R34" s="224"/>
      <c r="S34" s="224"/>
      <c r="T34" s="224"/>
      <c r="U34" s="224"/>
      <c r="V34" s="224"/>
      <c r="W34" s="224"/>
      <c r="X34" s="224"/>
      <c r="Y34" s="224"/>
      <c r="Z34" s="224"/>
    </row>
    <row r="35" spans="1:26" ht="12.75" customHeight="1">
      <c r="A35" s="224"/>
      <c r="B35" s="226" t="s">
        <v>233</v>
      </c>
      <c r="C35" s="224" t="s">
        <v>234</v>
      </c>
      <c r="D35" s="224" t="str">
        <f t="shared" si="0"/>
        <v>10301051 00 - Allowance for Impairment - Interest Receivable ()</v>
      </c>
      <c r="E35" s="224"/>
      <c r="F35" s="224"/>
      <c r="G35" s="224"/>
      <c r="H35" s="224"/>
      <c r="I35" s="224"/>
      <c r="J35" s="224"/>
      <c r="K35" s="224"/>
      <c r="L35" s="224"/>
      <c r="M35" s="224"/>
      <c r="N35" s="224"/>
      <c r="O35" s="224"/>
      <c r="P35" s="224"/>
      <c r="Q35" s="224"/>
      <c r="R35" s="224"/>
      <c r="S35" s="224"/>
      <c r="T35" s="224"/>
      <c r="U35" s="224"/>
      <c r="V35" s="224"/>
      <c r="W35" s="224"/>
      <c r="X35" s="224"/>
      <c r="Y35" s="224"/>
      <c r="Z35" s="224"/>
    </row>
    <row r="36" spans="1:26" ht="12.75" customHeight="1">
      <c r="A36" s="224"/>
      <c r="B36" s="226" t="s">
        <v>235</v>
      </c>
      <c r="C36" s="224" t="s">
        <v>236</v>
      </c>
      <c r="D36" s="224" t="str">
        <f t="shared" si="0"/>
        <v>10301060 00 - Dividends Receivable ()</v>
      </c>
      <c r="E36" s="224"/>
      <c r="F36" s="224"/>
      <c r="G36" s="224"/>
      <c r="H36" s="224"/>
      <c r="I36" s="224"/>
      <c r="J36" s="224"/>
      <c r="K36" s="224"/>
      <c r="L36" s="224"/>
      <c r="M36" s="224"/>
      <c r="N36" s="224"/>
      <c r="O36" s="224"/>
      <c r="P36" s="224"/>
      <c r="Q36" s="224"/>
      <c r="R36" s="224"/>
      <c r="S36" s="224"/>
      <c r="T36" s="224"/>
      <c r="U36" s="224"/>
      <c r="V36" s="224"/>
      <c r="W36" s="224"/>
      <c r="X36" s="224"/>
      <c r="Y36" s="224"/>
      <c r="Z36" s="224"/>
    </row>
    <row r="37" spans="1:26" ht="12.75" customHeight="1">
      <c r="A37" s="224">
        <v>126</v>
      </c>
      <c r="B37" s="226" t="s">
        <v>237</v>
      </c>
      <c r="C37" s="224" t="s">
        <v>238</v>
      </c>
      <c r="D37" s="224" t="str">
        <f t="shared" si="0"/>
        <v>10301990 00 - Loans Receivable - Others (126)</v>
      </c>
      <c r="E37" s="224"/>
      <c r="F37" s="224"/>
      <c r="G37" s="224"/>
      <c r="H37" s="224"/>
      <c r="I37" s="224"/>
      <c r="J37" s="224"/>
      <c r="K37" s="224"/>
      <c r="L37" s="224"/>
      <c r="M37" s="224"/>
      <c r="N37" s="224"/>
      <c r="O37" s="224"/>
      <c r="P37" s="224"/>
      <c r="Q37" s="224"/>
      <c r="R37" s="224"/>
      <c r="S37" s="224"/>
      <c r="T37" s="224"/>
      <c r="U37" s="224"/>
      <c r="V37" s="224"/>
      <c r="W37" s="224"/>
      <c r="X37" s="224"/>
      <c r="Y37" s="224"/>
      <c r="Z37" s="224"/>
    </row>
    <row r="38" spans="1:26" ht="12.75" customHeight="1">
      <c r="A38" s="224"/>
      <c r="B38" s="226" t="s">
        <v>239</v>
      </c>
      <c r="C38" s="224" t="s">
        <v>238</v>
      </c>
      <c r="D38" s="224" t="str">
        <f t="shared" si="0"/>
        <v>10301991 00 - Loans Receivable - Others ()</v>
      </c>
      <c r="E38" s="224"/>
      <c r="F38" s="224"/>
      <c r="G38" s="224"/>
      <c r="H38" s="224"/>
      <c r="I38" s="224"/>
      <c r="J38" s="224"/>
      <c r="K38" s="224"/>
      <c r="L38" s="224"/>
      <c r="M38" s="224"/>
      <c r="N38" s="224"/>
      <c r="O38" s="224"/>
      <c r="P38" s="224"/>
      <c r="Q38" s="224"/>
      <c r="R38" s="224"/>
      <c r="S38" s="224"/>
      <c r="T38" s="224"/>
      <c r="U38" s="224"/>
      <c r="V38" s="224"/>
      <c r="W38" s="224"/>
      <c r="X38" s="224"/>
      <c r="Y38" s="224"/>
      <c r="Z38" s="224"/>
    </row>
    <row r="39" spans="1:26" ht="12.75" customHeight="1">
      <c r="A39" s="224"/>
      <c r="B39" s="228" t="s">
        <v>240</v>
      </c>
      <c r="C39" s="224"/>
      <c r="D39" s="224" t="str">
        <f t="shared" si="0"/>
        <v>Inter-Agency Receivables -  ()</v>
      </c>
      <c r="E39" s="224"/>
      <c r="F39" s="224"/>
      <c r="G39" s="224"/>
      <c r="H39" s="224"/>
      <c r="I39" s="224"/>
      <c r="J39" s="224"/>
      <c r="K39" s="224"/>
      <c r="L39" s="224"/>
      <c r="M39" s="224"/>
      <c r="N39" s="224"/>
      <c r="O39" s="224"/>
      <c r="P39" s="224"/>
      <c r="Q39" s="224"/>
      <c r="R39" s="224"/>
      <c r="S39" s="224"/>
      <c r="T39" s="224"/>
      <c r="U39" s="224"/>
      <c r="V39" s="224"/>
      <c r="W39" s="224"/>
      <c r="X39" s="224"/>
      <c r="Y39" s="224"/>
      <c r="Z39" s="224"/>
    </row>
    <row r="40" spans="1:26" ht="12.75" customHeight="1">
      <c r="A40" s="224">
        <v>136</v>
      </c>
      <c r="B40" s="226" t="s">
        <v>241</v>
      </c>
      <c r="C40" s="224" t="s">
        <v>242</v>
      </c>
      <c r="D40" s="224" t="str">
        <f t="shared" si="0"/>
        <v>10303010 00 - Due from NGAs (136)</v>
      </c>
      <c r="E40" s="224"/>
      <c r="F40" s="224"/>
      <c r="G40" s="224"/>
      <c r="H40" s="224"/>
      <c r="I40" s="224"/>
      <c r="J40" s="224"/>
      <c r="K40" s="224"/>
      <c r="L40" s="224"/>
      <c r="M40" s="224"/>
      <c r="N40" s="224"/>
      <c r="O40" s="224"/>
      <c r="P40" s="224"/>
      <c r="Q40" s="224"/>
      <c r="R40" s="224"/>
      <c r="S40" s="224"/>
      <c r="T40" s="224"/>
      <c r="U40" s="224"/>
      <c r="V40" s="224"/>
      <c r="W40" s="224"/>
      <c r="X40" s="224"/>
      <c r="Y40" s="224"/>
      <c r="Z40" s="224"/>
    </row>
    <row r="41" spans="1:26" ht="12.75" customHeight="1">
      <c r="A41" s="224">
        <v>137</v>
      </c>
      <c r="B41" s="226" t="s">
        <v>243</v>
      </c>
      <c r="C41" s="224" t="s">
        <v>244</v>
      </c>
      <c r="D41" s="224" t="str">
        <f t="shared" si="0"/>
        <v>10303020 00 - Due from GOCCs (137)</v>
      </c>
      <c r="E41" s="224"/>
      <c r="F41" s="224"/>
      <c r="G41" s="224"/>
      <c r="H41" s="224"/>
      <c r="I41" s="224"/>
      <c r="J41" s="224"/>
      <c r="K41" s="224"/>
      <c r="L41" s="224"/>
      <c r="M41" s="224"/>
      <c r="N41" s="224"/>
      <c r="O41" s="224"/>
      <c r="P41" s="224"/>
      <c r="Q41" s="224"/>
      <c r="R41" s="224"/>
      <c r="S41" s="224"/>
      <c r="T41" s="224"/>
      <c r="U41" s="224"/>
      <c r="V41" s="224"/>
      <c r="W41" s="224"/>
      <c r="X41" s="224"/>
      <c r="Y41" s="224"/>
      <c r="Z41" s="224"/>
    </row>
    <row r="42" spans="1:26" ht="12.75" customHeight="1">
      <c r="A42" s="224">
        <v>138</v>
      </c>
      <c r="B42" s="226" t="s">
        <v>245</v>
      </c>
      <c r="C42" s="224" t="s">
        <v>246</v>
      </c>
      <c r="D42" s="224" t="str">
        <f t="shared" si="0"/>
        <v>10303030 00 - Due from LGUs (138)</v>
      </c>
      <c r="E42" s="224"/>
      <c r="F42" s="224"/>
      <c r="G42" s="224"/>
      <c r="H42" s="224"/>
      <c r="I42" s="224"/>
      <c r="J42" s="224"/>
      <c r="K42" s="224"/>
      <c r="L42" s="224"/>
      <c r="M42" s="224"/>
      <c r="N42" s="224"/>
      <c r="O42" s="224"/>
      <c r="P42" s="224"/>
      <c r="Q42" s="224"/>
      <c r="R42" s="224"/>
      <c r="S42" s="224"/>
      <c r="T42" s="224"/>
      <c r="U42" s="224"/>
      <c r="V42" s="224"/>
      <c r="W42" s="224"/>
      <c r="X42" s="224"/>
      <c r="Y42" s="224"/>
      <c r="Z42" s="224"/>
    </row>
    <row r="43" spans="1:26" ht="12.75" customHeight="1">
      <c r="A43" s="224"/>
      <c r="B43" s="226" t="s">
        <v>247</v>
      </c>
      <c r="C43" s="224" t="s">
        <v>248</v>
      </c>
      <c r="D43" s="224" t="str">
        <f t="shared" si="0"/>
        <v>10303040 00 - Due from Joint Venture ()</v>
      </c>
      <c r="E43" s="224"/>
      <c r="F43" s="224"/>
      <c r="G43" s="224"/>
      <c r="H43" s="224"/>
      <c r="I43" s="224"/>
      <c r="J43" s="224"/>
      <c r="K43" s="224"/>
      <c r="L43" s="224"/>
      <c r="M43" s="224"/>
      <c r="N43" s="224"/>
      <c r="O43" s="224"/>
      <c r="P43" s="224"/>
      <c r="Q43" s="224"/>
      <c r="R43" s="224"/>
      <c r="S43" s="224"/>
      <c r="T43" s="224"/>
      <c r="U43" s="224"/>
      <c r="V43" s="224"/>
      <c r="W43" s="224"/>
      <c r="X43" s="224"/>
      <c r="Y43" s="224"/>
      <c r="Z43" s="224"/>
    </row>
    <row r="44" spans="1:26" ht="12.75" customHeight="1">
      <c r="A44" s="224"/>
      <c r="B44" s="228" t="s">
        <v>249</v>
      </c>
      <c r="C44" s="224"/>
      <c r="D44" s="224" t="str">
        <f t="shared" si="0"/>
        <v>Intra-Agency Receivables -  ()</v>
      </c>
      <c r="E44" s="224"/>
      <c r="F44" s="224"/>
      <c r="G44" s="224"/>
      <c r="H44" s="224"/>
      <c r="I44" s="224"/>
      <c r="J44" s="224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24"/>
      <c r="W44" s="224"/>
      <c r="X44" s="224"/>
      <c r="Y44" s="224"/>
      <c r="Z44" s="224"/>
    </row>
    <row r="45" spans="1:26" ht="12.75" customHeight="1">
      <c r="A45" s="224">
        <v>141</v>
      </c>
      <c r="B45" s="226" t="s">
        <v>250</v>
      </c>
      <c r="C45" s="224" t="s">
        <v>251</v>
      </c>
      <c r="D45" s="224" t="str">
        <f t="shared" si="0"/>
        <v>10304010 00 - Due from Central Office (141)</v>
      </c>
      <c r="E45" s="224"/>
      <c r="F45" s="224"/>
      <c r="G45" s="224"/>
      <c r="H45" s="224"/>
      <c r="I45" s="224"/>
      <c r="J45" s="224"/>
      <c r="K45" s="224"/>
      <c r="L45" s="224"/>
      <c r="M45" s="224"/>
      <c r="N45" s="224"/>
      <c r="O45" s="224"/>
      <c r="P45" s="224"/>
      <c r="Q45" s="224"/>
      <c r="R45" s="224"/>
      <c r="S45" s="224"/>
      <c r="T45" s="224"/>
      <c r="U45" s="224"/>
      <c r="V45" s="224"/>
      <c r="W45" s="224"/>
      <c r="X45" s="224"/>
      <c r="Y45" s="224"/>
      <c r="Z45" s="224"/>
    </row>
    <row r="46" spans="1:26" ht="12.75" customHeight="1">
      <c r="A46" s="224"/>
      <c r="B46" s="226" t="s">
        <v>252</v>
      </c>
      <c r="C46" s="224" t="s">
        <v>253</v>
      </c>
      <c r="D46" s="224" t="str">
        <f t="shared" si="0"/>
        <v>10304020 00 - Due from Bureaus ()</v>
      </c>
      <c r="E46" s="224"/>
      <c r="F46" s="224"/>
      <c r="G46" s="224"/>
      <c r="H46" s="224"/>
      <c r="I46" s="224"/>
      <c r="J46" s="224"/>
      <c r="K46" s="224"/>
      <c r="L46" s="224"/>
      <c r="M46" s="224"/>
      <c r="N46" s="224"/>
      <c r="O46" s="224"/>
      <c r="P46" s="224"/>
      <c r="Q46" s="224"/>
      <c r="R46" s="224"/>
      <c r="S46" s="224"/>
      <c r="T46" s="224"/>
      <c r="U46" s="224"/>
      <c r="V46" s="224"/>
      <c r="W46" s="224"/>
      <c r="X46" s="224"/>
      <c r="Y46" s="224"/>
      <c r="Z46" s="224"/>
    </row>
    <row r="47" spans="1:26" ht="12.75" customHeight="1">
      <c r="A47" s="224">
        <v>142</v>
      </c>
      <c r="B47" s="226" t="s">
        <v>254</v>
      </c>
      <c r="C47" s="224" t="s">
        <v>255</v>
      </c>
      <c r="D47" s="224" t="str">
        <f t="shared" si="0"/>
        <v>10304030 00 - Due from Regional Office (142)</v>
      </c>
      <c r="E47" s="224"/>
      <c r="F47" s="224"/>
      <c r="G47" s="224"/>
      <c r="H47" s="224"/>
      <c r="I47" s="224"/>
      <c r="J47" s="224"/>
      <c r="K47" s="224"/>
      <c r="L47" s="224"/>
      <c r="M47" s="224"/>
      <c r="N47" s="224"/>
      <c r="O47" s="224"/>
      <c r="P47" s="224"/>
      <c r="Q47" s="224"/>
      <c r="R47" s="224"/>
      <c r="S47" s="224"/>
      <c r="T47" s="224"/>
      <c r="U47" s="224"/>
      <c r="V47" s="224"/>
      <c r="W47" s="224"/>
      <c r="X47" s="224"/>
      <c r="Y47" s="224"/>
      <c r="Z47" s="224"/>
    </row>
    <row r="48" spans="1:26" ht="12.75" customHeight="1">
      <c r="A48" s="224">
        <v>143</v>
      </c>
      <c r="B48" s="226" t="s">
        <v>256</v>
      </c>
      <c r="C48" s="224" t="s">
        <v>257</v>
      </c>
      <c r="D48" s="224" t="str">
        <f t="shared" si="0"/>
        <v>10304040 00 - Due from Operating Units (143)</v>
      </c>
      <c r="E48" s="224"/>
      <c r="F48" s="224"/>
      <c r="G48" s="224"/>
      <c r="H48" s="224"/>
      <c r="I48" s="224"/>
      <c r="J48" s="224"/>
      <c r="K48" s="224"/>
      <c r="L48" s="224"/>
      <c r="M48" s="224"/>
      <c r="N48" s="224"/>
      <c r="O48" s="224"/>
      <c r="P48" s="224"/>
      <c r="Q48" s="224"/>
      <c r="R48" s="224"/>
      <c r="S48" s="224"/>
      <c r="T48" s="224"/>
      <c r="U48" s="224"/>
      <c r="V48" s="224"/>
      <c r="W48" s="224"/>
      <c r="X48" s="224"/>
      <c r="Y48" s="224"/>
      <c r="Z48" s="224"/>
    </row>
    <row r="49" spans="1:26" ht="12.75" customHeight="1">
      <c r="A49" s="224"/>
      <c r="B49" s="228" t="s">
        <v>258</v>
      </c>
      <c r="C49" s="224"/>
      <c r="D49" s="224" t="str">
        <f t="shared" si="0"/>
        <v>Other Receivables -  ()</v>
      </c>
      <c r="E49" s="224"/>
      <c r="F49" s="224"/>
      <c r="G49" s="224"/>
      <c r="H49" s="224"/>
      <c r="I49" s="224"/>
      <c r="J49" s="224"/>
      <c r="K49" s="224"/>
      <c r="L49" s="224"/>
      <c r="M49" s="224"/>
      <c r="N49" s="224"/>
      <c r="O49" s="224"/>
      <c r="P49" s="224"/>
      <c r="Q49" s="224"/>
      <c r="R49" s="224"/>
      <c r="S49" s="224"/>
      <c r="T49" s="224"/>
      <c r="U49" s="224"/>
      <c r="V49" s="224"/>
      <c r="W49" s="224"/>
      <c r="X49" s="224"/>
      <c r="Y49" s="224"/>
      <c r="Z49" s="224"/>
    </row>
    <row r="50" spans="1:26" ht="12.75" customHeight="1">
      <c r="A50" s="224">
        <v>146</v>
      </c>
      <c r="B50" s="226" t="s">
        <v>259</v>
      </c>
      <c r="C50" s="224" t="s">
        <v>260</v>
      </c>
      <c r="D50" s="224" t="str">
        <f t="shared" si="0"/>
        <v>10305010 00 - Receivables - Disallowances/Charges (146)</v>
      </c>
      <c r="E50" s="224"/>
      <c r="F50" s="224"/>
      <c r="G50" s="224"/>
      <c r="H50" s="224"/>
      <c r="I50" s="224"/>
      <c r="J50" s="224"/>
      <c r="K50" s="224"/>
      <c r="L50" s="224"/>
      <c r="M50" s="224"/>
      <c r="N50" s="224"/>
      <c r="O50" s="224"/>
      <c r="P50" s="224"/>
      <c r="Q50" s="224"/>
      <c r="R50" s="224"/>
      <c r="S50" s="224"/>
      <c r="T50" s="224"/>
      <c r="U50" s="224"/>
      <c r="V50" s="224"/>
      <c r="W50" s="224"/>
      <c r="X50" s="224"/>
      <c r="Y50" s="224"/>
      <c r="Z50" s="224"/>
    </row>
    <row r="51" spans="1:26" ht="12.75" customHeight="1">
      <c r="A51" s="224"/>
      <c r="B51" s="226" t="s">
        <v>261</v>
      </c>
      <c r="C51" s="224" t="s">
        <v>262</v>
      </c>
      <c r="D51" s="224" t="str">
        <f t="shared" si="0"/>
        <v>10305020 00 - Due from Officers &amp; Employees ()</v>
      </c>
      <c r="E51" s="224"/>
      <c r="F51" s="224"/>
      <c r="G51" s="224"/>
      <c r="H51" s="224"/>
      <c r="I51" s="224"/>
      <c r="J51" s="224"/>
      <c r="K51" s="224"/>
      <c r="L51" s="224"/>
      <c r="M51" s="224"/>
      <c r="N51" s="224"/>
      <c r="O51" s="224"/>
      <c r="P51" s="224"/>
      <c r="Q51" s="224"/>
      <c r="R51" s="224"/>
      <c r="S51" s="224"/>
      <c r="T51" s="224"/>
      <c r="U51" s="224"/>
      <c r="V51" s="224"/>
      <c r="W51" s="224"/>
      <c r="X51" s="224"/>
      <c r="Y51" s="224"/>
      <c r="Z51" s="224"/>
    </row>
    <row r="52" spans="1:26" ht="12.75" customHeight="1">
      <c r="A52" s="224"/>
      <c r="B52" s="226" t="s">
        <v>263</v>
      </c>
      <c r="C52" s="224" t="s">
        <v>264</v>
      </c>
      <c r="D52" s="224" t="str">
        <f t="shared" si="0"/>
        <v>10305030 00 - Due from NGOs/People's Organizations ()</v>
      </c>
      <c r="E52" s="224"/>
      <c r="F52" s="224"/>
      <c r="G52" s="224"/>
      <c r="H52" s="224"/>
      <c r="I52" s="224"/>
      <c r="J52" s="224"/>
      <c r="K52" s="224"/>
      <c r="L52" s="224"/>
      <c r="M52" s="224"/>
      <c r="N52" s="224"/>
      <c r="O52" s="224"/>
      <c r="P52" s="224"/>
      <c r="Q52" s="224"/>
      <c r="R52" s="224"/>
      <c r="S52" s="224"/>
      <c r="T52" s="224"/>
      <c r="U52" s="224"/>
      <c r="V52" s="224"/>
      <c r="W52" s="224"/>
      <c r="X52" s="224"/>
      <c r="Y52" s="224"/>
      <c r="Z52" s="224"/>
    </row>
    <row r="53" spans="1:26" ht="12.75" customHeight="1">
      <c r="A53" s="224">
        <v>149</v>
      </c>
      <c r="B53" s="226" t="s">
        <v>265</v>
      </c>
      <c r="C53" s="224" t="s">
        <v>258</v>
      </c>
      <c r="D53" s="224" t="str">
        <f t="shared" si="0"/>
        <v>10305990 00 - Other Receivables (149)</v>
      </c>
      <c r="E53" s="224"/>
      <c r="F53" s="224"/>
      <c r="G53" s="224"/>
      <c r="H53" s="224"/>
      <c r="I53" s="224"/>
      <c r="J53" s="224"/>
      <c r="K53" s="224"/>
      <c r="L53" s="224"/>
      <c r="M53" s="224"/>
      <c r="N53" s="224"/>
      <c r="O53" s="224"/>
      <c r="P53" s="224"/>
      <c r="Q53" s="224"/>
      <c r="R53" s="224"/>
      <c r="S53" s="224"/>
      <c r="T53" s="224"/>
      <c r="U53" s="224"/>
      <c r="V53" s="224"/>
      <c r="W53" s="224"/>
      <c r="X53" s="224"/>
      <c r="Y53" s="224"/>
      <c r="Z53" s="224"/>
    </row>
    <row r="54" spans="1:26" ht="12.75" customHeight="1">
      <c r="A54" s="224"/>
      <c r="B54" s="226" t="s">
        <v>266</v>
      </c>
      <c r="C54" s="224" t="s">
        <v>267</v>
      </c>
      <c r="D54" s="224" t="str">
        <f t="shared" si="0"/>
        <v>103055991 00 - Allowance for Impairment - Other Receivables ()</v>
      </c>
      <c r="E54" s="224"/>
      <c r="F54" s="224"/>
      <c r="G54" s="224"/>
      <c r="H54" s="224"/>
      <c r="I54" s="224"/>
      <c r="J54" s="224"/>
      <c r="K54" s="224"/>
      <c r="L54" s="224"/>
      <c r="M54" s="224"/>
      <c r="N54" s="224"/>
      <c r="O54" s="224"/>
      <c r="P54" s="224"/>
      <c r="Q54" s="224"/>
      <c r="R54" s="224"/>
      <c r="S54" s="224"/>
      <c r="T54" s="224"/>
      <c r="U54" s="224"/>
      <c r="V54" s="224"/>
      <c r="W54" s="224"/>
      <c r="X54" s="224"/>
      <c r="Y54" s="224"/>
      <c r="Z54" s="224"/>
    </row>
    <row r="55" spans="1:26" ht="12.75" customHeight="1">
      <c r="A55" s="224"/>
      <c r="B55" s="227" t="s">
        <v>268</v>
      </c>
      <c r="C55" s="224"/>
      <c r="D55" s="224" t="str">
        <f t="shared" si="0"/>
        <v>C.1.4 Inventories -  ()</v>
      </c>
      <c r="E55" s="224"/>
      <c r="F55" s="224"/>
      <c r="G55" s="224"/>
      <c r="H55" s="224"/>
      <c r="I55" s="224"/>
      <c r="J55" s="224"/>
      <c r="K55" s="224"/>
      <c r="L55" s="224"/>
      <c r="M55" s="224"/>
      <c r="N55" s="224"/>
      <c r="O55" s="224"/>
      <c r="P55" s="224"/>
      <c r="Q55" s="224"/>
      <c r="R55" s="224"/>
      <c r="S55" s="224"/>
      <c r="T55" s="224"/>
      <c r="U55" s="224"/>
      <c r="V55" s="224"/>
      <c r="W55" s="224"/>
      <c r="X55" s="224"/>
      <c r="Y55" s="224"/>
      <c r="Z55" s="224"/>
    </row>
    <row r="56" spans="1:26" ht="12.75" customHeight="1">
      <c r="A56" s="224"/>
      <c r="B56" s="228" t="s">
        <v>269</v>
      </c>
      <c r="C56" s="224"/>
      <c r="D56" s="224" t="str">
        <f t="shared" si="0"/>
        <v>Merchandise Inventory -  ()</v>
      </c>
      <c r="E56" s="224"/>
      <c r="F56" s="224"/>
      <c r="G56" s="224"/>
      <c r="H56" s="224"/>
      <c r="I56" s="224"/>
      <c r="J56" s="224"/>
      <c r="K56" s="224"/>
      <c r="L56" s="224"/>
      <c r="M56" s="224"/>
      <c r="N56" s="224"/>
      <c r="O56" s="224"/>
      <c r="P56" s="224"/>
      <c r="Q56" s="224"/>
      <c r="R56" s="224"/>
      <c r="S56" s="224"/>
      <c r="T56" s="224"/>
      <c r="U56" s="224"/>
      <c r="V56" s="224"/>
      <c r="W56" s="224"/>
      <c r="X56" s="224"/>
      <c r="Y56" s="224"/>
      <c r="Z56" s="224"/>
    </row>
    <row r="57" spans="1:26" ht="12.75" customHeight="1">
      <c r="A57" s="224">
        <v>154</v>
      </c>
      <c r="B57" s="226" t="s">
        <v>270</v>
      </c>
      <c r="C57" s="224" t="s">
        <v>269</v>
      </c>
      <c r="D57" s="224" t="str">
        <f t="shared" si="0"/>
        <v>10401010 00 - Merchandise Inventory (154)</v>
      </c>
      <c r="E57" s="224"/>
      <c r="F57" s="224"/>
      <c r="G57" s="224"/>
      <c r="H57" s="224"/>
      <c r="I57" s="224"/>
      <c r="J57" s="224"/>
      <c r="K57" s="224"/>
      <c r="L57" s="224"/>
      <c r="M57" s="224"/>
      <c r="N57" s="224"/>
      <c r="O57" s="224"/>
      <c r="P57" s="224"/>
      <c r="Q57" s="224"/>
      <c r="R57" s="224"/>
      <c r="S57" s="224"/>
      <c r="T57" s="224"/>
      <c r="U57" s="224"/>
      <c r="V57" s="224"/>
      <c r="W57" s="224"/>
      <c r="X57" s="224"/>
      <c r="Y57" s="224"/>
      <c r="Z57" s="224"/>
    </row>
    <row r="58" spans="1:26" ht="12.75" customHeight="1">
      <c r="A58" s="224"/>
      <c r="B58" s="226" t="s">
        <v>271</v>
      </c>
      <c r="C58" s="224" t="s">
        <v>272</v>
      </c>
      <c r="D58" s="224" t="str">
        <f t="shared" si="0"/>
        <v>10401010 01 - Supplies and Materials Inventory ()</v>
      </c>
      <c r="E58" s="224"/>
      <c r="F58" s="224"/>
      <c r="G58" s="224"/>
      <c r="H58" s="224"/>
      <c r="I58" s="224"/>
      <c r="J58" s="224"/>
      <c r="K58" s="224"/>
      <c r="L58" s="224"/>
      <c r="M58" s="224"/>
      <c r="N58" s="224"/>
      <c r="O58" s="224"/>
      <c r="P58" s="224"/>
      <c r="Q58" s="224"/>
      <c r="R58" s="224"/>
      <c r="S58" s="224"/>
      <c r="T58" s="224"/>
      <c r="U58" s="224"/>
      <c r="V58" s="224"/>
      <c r="W58" s="224"/>
      <c r="X58" s="224"/>
      <c r="Y58" s="224"/>
      <c r="Z58" s="224"/>
    </row>
    <row r="59" spans="1:26" ht="12.75" customHeight="1">
      <c r="A59" s="224">
        <v>159</v>
      </c>
      <c r="B59" s="226" t="s">
        <v>273</v>
      </c>
      <c r="C59" s="224" t="s">
        <v>274</v>
      </c>
      <c r="D59" s="224" t="str">
        <f t="shared" si="0"/>
        <v>10401010 02 - Drugs and Medicines Inventory (159)</v>
      </c>
      <c r="E59" s="224"/>
      <c r="F59" s="224"/>
      <c r="G59" s="224"/>
      <c r="H59" s="224"/>
      <c r="I59" s="224"/>
      <c r="J59" s="224"/>
      <c r="K59" s="224"/>
      <c r="L59" s="224"/>
      <c r="M59" s="224"/>
      <c r="N59" s="224"/>
      <c r="O59" s="224"/>
      <c r="P59" s="224"/>
      <c r="Q59" s="224"/>
      <c r="R59" s="224"/>
      <c r="S59" s="224"/>
      <c r="T59" s="224"/>
      <c r="U59" s="224"/>
      <c r="V59" s="224"/>
      <c r="W59" s="224"/>
      <c r="X59" s="224"/>
      <c r="Y59" s="224"/>
      <c r="Z59" s="224"/>
    </row>
    <row r="60" spans="1:26" ht="12.75" customHeight="1">
      <c r="A60" s="224"/>
      <c r="B60" s="226" t="s">
        <v>275</v>
      </c>
      <c r="C60" s="224" t="s">
        <v>276</v>
      </c>
      <c r="D60" s="224" t="str">
        <f t="shared" si="0"/>
        <v>10401010 99 - Other Supplies Inventory  ()</v>
      </c>
      <c r="E60" s="224"/>
      <c r="F60" s="224"/>
      <c r="G60" s="224"/>
      <c r="H60" s="224"/>
      <c r="I60" s="224"/>
      <c r="J60" s="224"/>
      <c r="K60" s="224"/>
      <c r="L60" s="224"/>
      <c r="M60" s="224"/>
      <c r="N60" s="224"/>
      <c r="O60" s="224"/>
      <c r="P60" s="224"/>
      <c r="Q60" s="224"/>
      <c r="R60" s="224"/>
      <c r="S60" s="224"/>
      <c r="T60" s="224"/>
      <c r="U60" s="224"/>
      <c r="V60" s="224"/>
      <c r="W60" s="224"/>
      <c r="X60" s="224"/>
      <c r="Y60" s="224"/>
      <c r="Z60" s="224"/>
    </row>
    <row r="61" spans="1:26" ht="12.75" customHeight="1">
      <c r="A61" s="224"/>
      <c r="B61" s="228" t="s">
        <v>277</v>
      </c>
      <c r="C61" s="224"/>
      <c r="D61" s="224" t="str">
        <f t="shared" si="0"/>
        <v>Inventory Held for Consumption -  ()</v>
      </c>
      <c r="E61" s="224"/>
      <c r="F61" s="224"/>
      <c r="G61" s="224"/>
      <c r="H61" s="224"/>
      <c r="I61" s="224"/>
      <c r="J61" s="224"/>
      <c r="K61" s="224"/>
      <c r="L61" s="224"/>
      <c r="M61" s="224"/>
      <c r="N61" s="224"/>
      <c r="O61" s="224"/>
      <c r="P61" s="224"/>
      <c r="Q61" s="224"/>
      <c r="R61" s="224"/>
      <c r="S61" s="224"/>
      <c r="T61" s="224"/>
      <c r="U61" s="224"/>
      <c r="V61" s="224"/>
      <c r="W61" s="224"/>
      <c r="X61" s="224"/>
      <c r="Y61" s="224"/>
      <c r="Z61" s="224"/>
    </row>
    <row r="62" spans="1:26" ht="12.75" customHeight="1">
      <c r="A62" s="224">
        <v>155</v>
      </c>
      <c r="B62" s="226" t="s">
        <v>278</v>
      </c>
      <c r="C62" s="224" t="s">
        <v>279</v>
      </c>
      <c r="D62" s="224" t="str">
        <f t="shared" si="0"/>
        <v>10404010 00 - Office Supplies Inventory (155)</v>
      </c>
      <c r="E62" s="224"/>
      <c r="F62" s="224"/>
      <c r="G62" s="224"/>
      <c r="H62" s="224"/>
      <c r="I62" s="224"/>
      <c r="J62" s="224"/>
      <c r="K62" s="224"/>
      <c r="L62" s="224"/>
      <c r="M62" s="224"/>
      <c r="N62" s="224"/>
      <c r="O62" s="224"/>
      <c r="P62" s="224"/>
      <c r="Q62" s="224"/>
      <c r="R62" s="224"/>
      <c r="S62" s="224"/>
      <c r="T62" s="224"/>
      <c r="U62" s="224"/>
      <c r="V62" s="224"/>
      <c r="W62" s="224"/>
      <c r="X62" s="224"/>
      <c r="Y62" s="224"/>
      <c r="Z62" s="224"/>
    </row>
    <row r="63" spans="1:26" ht="12.75" customHeight="1">
      <c r="A63" s="224">
        <v>156</v>
      </c>
      <c r="B63" s="226" t="s">
        <v>280</v>
      </c>
      <c r="C63" s="231" t="s">
        <v>281</v>
      </c>
      <c r="D63" s="224" t="str">
        <f t="shared" si="0"/>
        <v>10404020 00 - Accountable Forms, Plates, Stickers Inventory (156)</v>
      </c>
      <c r="E63" s="224"/>
      <c r="F63" s="224"/>
      <c r="G63" s="224"/>
      <c r="H63" s="224"/>
      <c r="I63" s="224"/>
      <c r="J63" s="224"/>
      <c r="K63" s="224"/>
      <c r="L63" s="224"/>
      <c r="M63" s="224"/>
      <c r="N63" s="224"/>
      <c r="O63" s="224"/>
      <c r="P63" s="224"/>
      <c r="Q63" s="224"/>
      <c r="R63" s="224"/>
      <c r="S63" s="224"/>
      <c r="T63" s="224"/>
      <c r="U63" s="224"/>
      <c r="V63" s="224"/>
      <c r="W63" s="224"/>
      <c r="X63" s="224"/>
      <c r="Y63" s="224"/>
      <c r="Z63" s="224"/>
    </row>
    <row r="64" spans="1:26" ht="12.75" customHeight="1">
      <c r="A64" s="224"/>
      <c r="B64" s="226" t="s">
        <v>282</v>
      </c>
      <c r="C64" s="231" t="s">
        <v>283</v>
      </c>
      <c r="D64" s="224" t="str">
        <f t="shared" si="0"/>
        <v>10404030 00 - Non-accountable Forms Inventory ()</v>
      </c>
      <c r="E64" s="224"/>
      <c r="F64" s="224"/>
      <c r="G64" s="224"/>
      <c r="H64" s="224"/>
      <c r="I64" s="224"/>
      <c r="J64" s="224"/>
      <c r="K64" s="224"/>
      <c r="L64" s="224"/>
      <c r="M64" s="224"/>
      <c r="N64" s="224"/>
      <c r="O64" s="224"/>
      <c r="P64" s="224"/>
      <c r="Q64" s="224"/>
      <c r="R64" s="224"/>
      <c r="S64" s="224"/>
      <c r="T64" s="224"/>
      <c r="U64" s="224"/>
      <c r="V64" s="224"/>
      <c r="W64" s="224"/>
      <c r="X64" s="224"/>
      <c r="Y64" s="224"/>
      <c r="Z64" s="224"/>
    </row>
    <row r="65" spans="1:26" ht="12.75" customHeight="1">
      <c r="A65" s="224">
        <v>157</v>
      </c>
      <c r="B65" s="226" t="s">
        <v>284</v>
      </c>
      <c r="C65" s="224" t="s">
        <v>285</v>
      </c>
      <c r="D65" s="224" t="str">
        <f t="shared" si="0"/>
        <v>10404040 00 - Animal/Zoological Supplies Inventory (157)</v>
      </c>
      <c r="E65" s="224"/>
      <c r="F65" s="224"/>
      <c r="G65" s="224"/>
      <c r="H65" s="224"/>
      <c r="I65" s="224"/>
      <c r="J65" s="224"/>
      <c r="K65" s="224"/>
      <c r="L65" s="224"/>
      <c r="M65" s="224"/>
      <c r="N65" s="224"/>
      <c r="O65" s="224"/>
      <c r="P65" s="224"/>
      <c r="Q65" s="224"/>
      <c r="R65" s="224"/>
      <c r="S65" s="224"/>
      <c r="T65" s="224"/>
      <c r="U65" s="224"/>
      <c r="V65" s="224"/>
      <c r="W65" s="224"/>
      <c r="X65" s="224"/>
      <c r="Y65" s="224"/>
      <c r="Z65" s="224"/>
    </row>
    <row r="66" spans="1:26" ht="12.75" customHeight="1">
      <c r="A66" s="224">
        <v>158</v>
      </c>
      <c r="B66" s="226" t="s">
        <v>286</v>
      </c>
      <c r="C66" s="224" t="s">
        <v>287</v>
      </c>
      <c r="D66" s="224" t="str">
        <f t="shared" si="0"/>
        <v>10404050 00 - Food Supplies Inventory (158)</v>
      </c>
      <c r="E66" s="224"/>
      <c r="F66" s="224"/>
      <c r="G66" s="224"/>
      <c r="H66" s="224"/>
      <c r="I66" s="224"/>
      <c r="J66" s="224"/>
      <c r="K66" s="224"/>
      <c r="L66" s="224"/>
      <c r="M66" s="224"/>
      <c r="N66" s="224"/>
      <c r="O66" s="224"/>
      <c r="P66" s="224"/>
      <c r="Q66" s="224"/>
      <c r="R66" s="224"/>
      <c r="S66" s="224"/>
      <c r="T66" s="224"/>
      <c r="U66" s="224"/>
      <c r="V66" s="224"/>
      <c r="W66" s="224"/>
      <c r="X66" s="224"/>
      <c r="Y66" s="224"/>
      <c r="Z66" s="224"/>
    </row>
    <row r="67" spans="1:26" ht="12.75" customHeight="1">
      <c r="A67" s="224">
        <v>159</v>
      </c>
      <c r="B67" s="226" t="s">
        <v>288</v>
      </c>
      <c r="C67" s="224" t="s">
        <v>274</v>
      </c>
      <c r="D67" s="224" t="str">
        <f t="shared" si="0"/>
        <v>10404060 00 - Drugs and Medicines Inventory (159)</v>
      </c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224"/>
      <c r="T67" s="224"/>
      <c r="U67" s="224"/>
      <c r="V67" s="224"/>
      <c r="W67" s="224"/>
      <c r="X67" s="224"/>
      <c r="Y67" s="224"/>
      <c r="Z67" s="224"/>
    </row>
    <row r="68" spans="1:26" ht="12.75" customHeight="1">
      <c r="A68" s="224">
        <v>160</v>
      </c>
      <c r="B68" s="226" t="s">
        <v>289</v>
      </c>
      <c r="C68" s="224" t="s">
        <v>290</v>
      </c>
      <c r="D68" s="224" t="str">
        <f t="shared" si="0"/>
        <v>10404070 00 - Medical, Dental and Laboratory Supplies Inventory (160)</v>
      </c>
      <c r="E68" s="224"/>
      <c r="F68" s="224"/>
      <c r="G68" s="224"/>
      <c r="H68" s="224"/>
      <c r="I68" s="224"/>
      <c r="J68" s="224"/>
      <c r="K68" s="224"/>
      <c r="L68" s="224"/>
      <c r="M68" s="224"/>
      <c r="N68" s="224"/>
      <c r="O68" s="224"/>
      <c r="P68" s="224"/>
      <c r="Q68" s="224"/>
      <c r="R68" s="224"/>
      <c r="S68" s="224"/>
      <c r="T68" s="224"/>
      <c r="U68" s="224"/>
      <c r="V68" s="224"/>
      <c r="W68" s="224"/>
      <c r="X68" s="224"/>
      <c r="Y68" s="224"/>
      <c r="Z68" s="224"/>
    </row>
    <row r="69" spans="1:26" ht="12.75" customHeight="1">
      <c r="A69" s="224">
        <v>161</v>
      </c>
      <c r="B69" s="226" t="s">
        <v>291</v>
      </c>
      <c r="C69" s="224" t="s">
        <v>292</v>
      </c>
      <c r="D69" s="224" t="str">
        <f t="shared" si="0"/>
        <v>10404080 00 - Fuel, Oil and Lubricants Inventory (161)</v>
      </c>
      <c r="E69" s="224"/>
      <c r="F69" s="224"/>
      <c r="G69" s="224"/>
      <c r="H69" s="224"/>
      <c r="I69" s="224"/>
      <c r="J69" s="224"/>
      <c r="K69" s="224"/>
      <c r="L69" s="224"/>
      <c r="M69" s="224"/>
      <c r="N69" s="224"/>
      <c r="O69" s="224"/>
      <c r="P69" s="224"/>
      <c r="Q69" s="224"/>
      <c r="R69" s="224"/>
      <c r="S69" s="224"/>
      <c r="T69" s="224"/>
      <c r="U69" s="224"/>
      <c r="V69" s="224"/>
      <c r="W69" s="224"/>
      <c r="X69" s="224"/>
      <c r="Y69" s="224"/>
      <c r="Z69" s="224"/>
    </row>
    <row r="70" spans="1:26" ht="12.75" customHeight="1">
      <c r="A70" s="224">
        <v>162</v>
      </c>
      <c r="B70" s="226" t="s">
        <v>293</v>
      </c>
      <c r="C70" s="224" t="s">
        <v>294</v>
      </c>
      <c r="D70" s="224" t="str">
        <f t="shared" si="0"/>
        <v>10404090 00 - Agricultural and Marine Supplies Inventory (162)</v>
      </c>
      <c r="E70" s="224"/>
      <c r="F70" s="224"/>
      <c r="G70" s="224"/>
      <c r="H70" s="224"/>
      <c r="I70" s="224"/>
      <c r="J70" s="224"/>
      <c r="K70" s="224"/>
      <c r="L70" s="224"/>
      <c r="M70" s="224"/>
      <c r="N70" s="224"/>
      <c r="O70" s="224"/>
      <c r="P70" s="224"/>
      <c r="Q70" s="224"/>
      <c r="R70" s="224"/>
      <c r="S70" s="224"/>
      <c r="T70" s="224"/>
      <c r="U70" s="224"/>
      <c r="V70" s="224"/>
      <c r="W70" s="224"/>
      <c r="X70" s="224"/>
      <c r="Y70" s="224"/>
      <c r="Z70" s="224"/>
    </row>
    <row r="71" spans="1:26" ht="12.75" customHeight="1">
      <c r="A71" s="224">
        <v>163</v>
      </c>
      <c r="B71" s="226" t="s">
        <v>295</v>
      </c>
      <c r="C71" s="224" t="s">
        <v>296</v>
      </c>
      <c r="D71" s="224" t="str">
        <f t="shared" ref="D71:D123" si="1">CONCATENATE(B71," - ",C71," (",A71,")")</f>
        <v>10404100 00 - Textbooks and Instructional Materials Inventory (163)</v>
      </c>
      <c r="E71" s="224"/>
      <c r="F71" s="224"/>
      <c r="G71" s="224"/>
      <c r="H71" s="224"/>
      <c r="I71" s="224"/>
      <c r="J71" s="224"/>
      <c r="K71" s="224"/>
      <c r="L71" s="224"/>
      <c r="M71" s="224"/>
      <c r="N71" s="224"/>
      <c r="O71" s="224"/>
      <c r="P71" s="224"/>
      <c r="Q71" s="224"/>
      <c r="R71" s="224"/>
      <c r="S71" s="224"/>
      <c r="T71" s="224"/>
      <c r="U71" s="224"/>
      <c r="V71" s="224"/>
      <c r="W71" s="224"/>
      <c r="X71" s="224"/>
      <c r="Y71" s="224"/>
      <c r="Z71" s="224"/>
    </row>
    <row r="72" spans="1:26" ht="12.75" customHeight="1">
      <c r="A72" s="224">
        <v>164</v>
      </c>
      <c r="B72" s="226" t="s">
        <v>297</v>
      </c>
      <c r="C72" s="224" t="s">
        <v>298</v>
      </c>
      <c r="D72" s="224" t="str">
        <f t="shared" si="1"/>
        <v>10404110 00 - Military, Police and Traffic Supplies Inventory (164)</v>
      </c>
      <c r="E72" s="224"/>
      <c r="F72" s="224"/>
      <c r="G72" s="224"/>
      <c r="H72" s="224"/>
      <c r="I72" s="224"/>
      <c r="J72" s="224"/>
      <c r="K72" s="224"/>
      <c r="L72" s="224"/>
      <c r="M72" s="224"/>
      <c r="N72" s="224"/>
      <c r="O72" s="224"/>
      <c r="P72" s="224"/>
      <c r="Q72" s="224"/>
      <c r="R72" s="224"/>
      <c r="S72" s="224"/>
      <c r="T72" s="224"/>
      <c r="U72" s="224"/>
      <c r="V72" s="224"/>
      <c r="W72" s="224"/>
      <c r="X72" s="224"/>
      <c r="Y72" s="224"/>
      <c r="Z72" s="224"/>
    </row>
    <row r="73" spans="1:26" ht="12.75" customHeight="1">
      <c r="A73" s="224"/>
      <c r="B73" s="226" t="s">
        <v>299</v>
      </c>
      <c r="C73" s="224" t="s">
        <v>300</v>
      </c>
      <c r="D73" s="224" t="str">
        <f t="shared" si="1"/>
        <v>10404120 00 - Chemical and Filtering Supplies Inventory ()</v>
      </c>
      <c r="E73" s="224"/>
      <c r="F73" s="224"/>
      <c r="G73" s="224"/>
      <c r="H73" s="224"/>
      <c r="I73" s="224"/>
      <c r="J73" s="224"/>
      <c r="K73" s="224"/>
      <c r="L73" s="224"/>
      <c r="M73" s="224"/>
      <c r="N73" s="224"/>
      <c r="O73" s="224"/>
      <c r="P73" s="224"/>
      <c r="Q73" s="224"/>
      <c r="R73" s="224"/>
      <c r="S73" s="224"/>
      <c r="T73" s="224"/>
      <c r="U73" s="224"/>
      <c r="V73" s="224"/>
      <c r="W73" s="224"/>
      <c r="X73" s="224"/>
      <c r="Y73" s="224"/>
      <c r="Z73" s="224"/>
    </row>
    <row r="74" spans="1:26" ht="12.75" customHeight="1">
      <c r="A74" s="224">
        <v>168</v>
      </c>
      <c r="B74" s="226" t="s">
        <v>301</v>
      </c>
      <c r="C74" s="224" t="s">
        <v>302</v>
      </c>
      <c r="D74" s="224" t="str">
        <f t="shared" si="1"/>
        <v>10404130 00 - Construction Materials Inventory (168)</v>
      </c>
      <c r="E74" s="224"/>
      <c r="F74" s="224"/>
      <c r="G74" s="224"/>
      <c r="H74" s="224"/>
      <c r="I74" s="224"/>
      <c r="J74" s="224"/>
      <c r="K74" s="224"/>
      <c r="L74" s="224"/>
      <c r="M74" s="224"/>
      <c r="N74" s="224"/>
      <c r="O74" s="224"/>
      <c r="P74" s="224"/>
      <c r="Q74" s="224"/>
      <c r="R74" s="224"/>
      <c r="S74" s="224"/>
      <c r="T74" s="224"/>
      <c r="U74" s="224"/>
      <c r="V74" s="224"/>
      <c r="W74" s="224"/>
      <c r="X74" s="224"/>
      <c r="Y74" s="224"/>
      <c r="Z74" s="224"/>
    </row>
    <row r="75" spans="1:26" ht="12.75" customHeight="1">
      <c r="A75" s="224"/>
      <c r="B75" s="226" t="s">
        <v>303</v>
      </c>
      <c r="C75" s="224" t="s">
        <v>276</v>
      </c>
      <c r="D75" s="224" t="str">
        <f t="shared" si="1"/>
        <v>10404990 00 - Other Supplies Inventory  ()</v>
      </c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224"/>
      <c r="T75" s="224"/>
      <c r="U75" s="224"/>
      <c r="V75" s="224"/>
      <c r="W75" s="224"/>
      <c r="X75" s="224"/>
      <c r="Y75" s="224"/>
      <c r="Z75" s="224"/>
    </row>
    <row r="76" spans="1:26" ht="12.75" customHeight="1">
      <c r="A76" s="224"/>
      <c r="B76" s="227" t="s">
        <v>304</v>
      </c>
      <c r="C76" s="224"/>
      <c r="D76" s="224" t="str">
        <f t="shared" si="1"/>
        <v>C.1.5 Investment Property -  ()</v>
      </c>
      <c r="E76" s="224"/>
      <c r="F76" s="224"/>
      <c r="G76" s="224"/>
      <c r="H76" s="224"/>
      <c r="I76" s="224"/>
      <c r="J76" s="224"/>
      <c r="K76" s="224"/>
      <c r="L76" s="224"/>
      <c r="M76" s="224"/>
      <c r="N76" s="224"/>
      <c r="O76" s="224"/>
      <c r="P76" s="224"/>
      <c r="Q76" s="224"/>
      <c r="R76" s="224"/>
      <c r="S76" s="224"/>
      <c r="T76" s="224"/>
      <c r="U76" s="224"/>
      <c r="V76" s="224"/>
      <c r="W76" s="224"/>
      <c r="X76" s="224"/>
      <c r="Y76" s="224"/>
      <c r="Z76" s="224"/>
    </row>
    <row r="77" spans="1:26" ht="12.75" customHeight="1">
      <c r="A77" s="224"/>
      <c r="B77" s="227" t="s">
        <v>305</v>
      </c>
      <c r="C77" s="224"/>
      <c r="D77" s="224" t="str">
        <f t="shared" si="1"/>
        <v>C.1.6 Property, Plant and Equipment -  ()</v>
      </c>
      <c r="E77" s="224"/>
      <c r="F77" s="224"/>
      <c r="G77" s="224"/>
      <c r="H77" s="224"/>
      <c r="I77" s="224"/>
      <c r="J77" s="224"/>
      <c r="K77" s="224"/>
      <c r="L77" s="224"/>
      <c r="M77" s="224"/>
      <c r="N77" s="224"/>
      <c r="O77" s="224"/>
      <c r="P77" s="224"/>
      <c r="Q77" s="224"/>
      <c r="R77" s="224"/>
      <c r="S77" s="224"/>
      <c r="T77" s="224"/>
      <c r="U77" s="224"/>
      <c r="V77" s="224"/>
      <c r="W77" s="224"/>
      <c r="X77" s="224"/>
      <c r="Y77" s="224"/>
      <c r="Z77" s="224"/>
    </row>
    <row r="78" spans="1:26" ht="12.75" customHeight="1">
      <c r="A78" s="224">
        <v>226</v>
      </c>
      <c r="B78" s="226" t="s">
        <v>306</v>
      </c>
      <c r="C78" s="224" t="s">
        <v>307</v>
      </c>
      <c r="D78" s="224" t="str">
        <f t="shared" si="1"/>
        <v>10605010 00 - Machineries (226)</v>
      </c>
      <c r="E78" s="224"/>
      <c r="F78" s="224"/>
      <c r="G78" s="224"/>
      <c r="H78" s="224"/>
      <c r="I78" s="224"/>
      <c r="J78" s="224"/>
      <c r="K78" s="224"/>
      <c r="L78" s="224"/>
      <c r="M78" s="224"/>
      <c r="N78" s="224"/>
      <c r="O78" s="224"/>
      <c r="P78" s="224"/>
      <c r="Q78" s="224"/>
      <c r="R78" s="224"/>
      <c r="S78" s="224"/>
      <c r="T78" s="224"/>
      <c r="U78" s="224"/>
      <c r="V78" s="224"/>
      <c r="W78" s="224"/>
      <c r="X78" s="224"/>
      <c r="Y78" s="224"/>
      <c r="Z78" s="224"/>
    </row>
    <row r="79" spans="1:26" ht="12.75" customHeight="1">
      <c r="A79" s="224">
        <v>326</v>
      </c>
      <c r="B79" s="226" t="s">
        <v>308</v>
      </c>
      <c r="C79" s="224" t="s">
        <v>309</v>
      </c>
      <c r="D79" s="224" t="str">
        <f t="shared" si="1"/>
        <v>10605011 00 - Accumulated Depreciation - Machinery (326)</v>
      </c>
      <c r="E79" s="224"/>
      <c r="F79" s="224"/>
      <c r="G79" s="224"/>
      <c r="H79" s="224"/>
      <c r="I79" s="224"/>
      <c r="J79" s="224"/>
      <c r="K79" s="224"/>
      <c r="L79" s="224"/>
      <c r="M79" s="224"/>
      <c r="N79" s="224"/>
      <c r="O79" s="224"/>
      <c r="P79" s="224"/>
      <c r="Q79" s="224"/>
      <c r="R79" s="224"/>
      <c r="S79" s="224"/>
      <c r="T79" s="224"/>
      <c r="U79" s="224"/>
      <c r="V79" s="224"/>
      <c r="W79" s="224"/>
      <c r="X79" s="224"/>
      <c r="Y79" s="224"/>
      <c r="Z79" s="224"/>
    </row>
    <row r="80" spans="1:26" ht="12.75" customHeight="1">
      <c r="A80" s="224">
        <v>221</v>
      </c>
      <c r="B80" s="226" t="s">
        <v>310</v>
      </c>
      <c r="C80" s="224" t="s">
        <v>311</v>
      </c>
      <c r="D80" s="224" t="str">
        <f t="shared" si="1"/>
        <v>10605020 00 - Office Equipment (221)</v>
      </c>
      <c r="E80" s="224"/>
      <c r="F80" s="224"/>
      <c r="G80" s="224"/>
      <c r="H80" s="224"/>
      <c r="I80" s="224"/>
      <c r="J80" s="224"/>
      <c r="K80" s="224"/>
      <c r="L80" s="224"/>
      <c r="M80" s="224"/>
      <c r="N80" s="224"/>
      <c r="O80" s="224"/>
      <c r="P80" s="224"/>
      <c r="Q80" s="224"/>
      <c r="R80" s="224"/>
      <c r="S80" s="224"/>
      <c r="T80" s="224"/>
      <c r="U80" s="224"/>
      <c r="V80" s="224"/>
      <c r="W80" s="224"/>
      <c r="X80" s="224"/>
      <c r="Y80" s="224"/>
      <c r="Z80" s="224"/>
    </row>
    <row r="81" spans="1:26" ht="12.75" customHeight="1">
      <c r="A81" s="224">
        <v>321</v>
      </c>
      <c r="B81" s="226" t="s">
        <v>312</v>
      </c>
      <c r="C81" s="224" t="s">
        <v>313</v>
      </c>
      <c r="D81" s="224" t="str">
        <f t="shared" si="1"/>
        <v>10605021 00 - Accumulated Depreciation - Office Equipment (321)</v>
      </c>
      <c r="E81" s="224"/>
      <c r="F81" s="224"/>
      <c r="G81" s="224"/>
      <c r="H81" s="224"/>
      <c r="I81" s="224"/>
      <c r="J81" s="224"/>
      <c r="K81" s="224"/>
      <c r="L81" s="224"/>
      <c r="M81" s="224"/>
      <c r="N81" s="224"/>
      <c r="O81" s="224"/>
      <c r="P81" s="224"/>
      <c r="Q81" s="224"/>
      <c r="R81" s="224"/>
      <c r="S81" s="224"/>
      <c r="T81" s="224"/>
      <c r="U81" s="224"/>
      <c r="V81" s="224"/>
      <c r="W81" s="224"/>
      <c r="X81" s="224"/>
      <c r="Y81" s="224"/>
      <c r="Z81" s="224"/>
    </row>
    <row r="82" spans="1:26" ht="12.75" customHeight="1">
      <c r="A82" s="224">
        <v>223</v>
      </c>
      <c r="B82" s="226" t="s">
        <v>314</v>
      </c>
      <c r="C82" s="224" t="s">
        <v>315</v>
      </c>
      <c r="D82" s="224" t="str">
        <f t="shared" si="1"/>
        <v>10605030 00 - Information and Communication Technology Equipment (223)</v>
      </c>
      <c r="E82" s="224"/>
      <c r="F82" s="224"/>
      <c r="G82" s="224"/>
      <c r="H82" s="224"/>
      <c r="I82" s="224"/>
      <c r="J82" s="224"/>
      <c r="K82" s="224"/>
      <c r="L82" s="224"/>
      <c r="M82" s="224"/>
      <c r="N82" s="224"/>
      <c r="O82" s="224"/>
      <c r="P82" s="224"/>
      <c r="Q82" s="224"/>
      <c r="R82" s="224"/>
      <c r="S82" s="224"/>
      <c r="T82" s="224"/>
      <c r="U82" s="224"/>
      <c r="V82" s="224"/>
      <c r="W82" s="224"/>
      <c r="X82" s="224"/>
      <c r="Y82" s="224"/>
      <c r="Z82" s="224"/>
    </row>
    <row r="83" spans="1:26" ht="12.75" customHeight="1">
      <c r="A83" s="224">
        <v>323</v>
      </c>
      <c r="B83" s="226" t="s">
        <v>316</v>
      </c>
      <c r="C83" s="224" t="s">
        <v>317</v>
      </c>
      <c r="D83" s="224" t="str">
        <f t="shared" si="1"/>
        <v>10605031 00 - Accumulated Depreciation - Information and Communication Technology Equipment (323)</v>
      </c>
      <c r="E83" s="224"/>
      <c r="F83" s="224"/>
      <c r="G83" s="224"/>
      <c r="H83" s="224"/>
      <c r="I83" s="224"/>
      <c r="J83" s="224"/>
      <c r="K83" s="224"/>
      <c r="L83" s="224"/>
      <c r="M83" s="224"/>
      <c r="N83" s="224"/>
      <c r="O83" s="224"/>
      <c r="P83" s="224"/>
      <c r="Q83" s="224"/>
      <c r="R83" s="224"/>
      <c r="S83" s="224"/>
      <c r="T83" s="224"/>
      <c r="U83" s="224"/>
      <c r="V83" s="224"/>
      <c r="W83" s="224"/>
      <c r="X83" s="224"/>
      <c r="Y83" s="224"/>
      <c r="Z83" s="224"/>
    </row>
    <row r="84" spans="1:26" ht="12.75" customHeight="1">
      <c r="A84" s="224">
        <v>241</v>
      </c>
      <c r="B84" s="226" t="s">
        <v>318</v>
      </c>
      <c r="C84" s="224" t="s">
        <v>319</v>
      </c>
      <c r="D84" s="224" t="str">
        <f t="shared" si="1"/>
        <v>10606010 00 - Motor Vehicles (241)</v>
      </c>
      <c r="E84" s="224"/>
      <c r="F84" s="224"/>
      <c r="G84" s="224"/>
      <c r="H84" s="224"/>
      <c r="I84" s="224"/>
      <c r="J84" s="224"/>
      <c r="K84" s="224"/>
      <c r="L84" s="224"/>
      <c r="M84" s="224"/>
      <c r="N84" s="224"/>
      <c r="O84" s="224"/>
      <c r="P84" s="224"/>
      <c r="Q84" s="224"/>
      <c r="R84" s="224"/>
      <c r="S84" s="224"/>
      <c r="T84" s="224"/>
      <c r="U84" s="224"/>
      <c r="V84" s="224"/>
      <c r="W84" s="224"/>
      <c r="X84" s="224"/>
      <c r="Y84" s="224"/>
      <c r="Z84" s="224"/>
    </row>
    <row r="85" spans="1:26" ht="12.75" customHeight="1">
      <c r="A85" s="224">
        <v>341</v>
      </c>
      <c r="B85" s="226" t="s">
        <v>320</v>
      </c>
      <c r="C85" s="224" t="s">
        <v>321</v>
      </c>
      <c r="D85" s="224" t="str">
        <f t="shared" si="1"/>
        <v>10606011 00 - Accumulated Depreciation - Motor Vehicles (341)</v>
      </c>
      <c r="E85" s="224"/>
      <c r="F85" s="224"/>
      <c r="G85" s="224"/>
      <c r="H85" s="224"/>
      <c r="I85" s="224"/>
      <c r="J85" s="224"/>
      <c r="K85" s="224"/>
      <c r="L85" s="224"/>
      <c r="M85" s="224"/>
      <c r="N85" s="224"/>
      <c r="O85" s="224"/>
      <c r="P85" s="224"/>
      <c r="Q85" s="224"/>
      <c r="R85" s="224"/>
      <c r="S85" s="224"/>
      <c r="T85" s="224"/>
      <c r="U85" s="224"/>
      <c r="V85" s="224"/>
      <c r="W85" s="224"/>
      <c r="X85" s="224"/>
      <c r="Y85" s="224"/>
      <c r="Z85" s="224"/>
    </row>
    <row r="86" spans="1:26" ht="12.75" customHeight="1">
      <c r="A86" s="224">
        <v>240</v>
      </c>
      <c r="B86" s="226" t="s">
        <v>322</v>
      </c>
      <c r="C86" s="224" t="s">
        <v>323</v>
      </c>
      <c r="D86" s="224" t="str">
        <f t="shared" si="1"/>
        <v>10605990 00 - Other Machineries and Equipment (240)</v>
      </c>
      <c r="E86" s="224"/>
      <c r="F86" s="224"/>
      <c r="G86" s="224"/>
      <c r="H86" s="224"/>
      <c r="I86" s="224"/>
      <c r="J86" s="224"/>
      <c r="K86" s="224"/>
      <c r="L86" s="224"/>
      <c r="M86" s="224"/>
      <c r="N86" s="224"/>
      <c r="O86" s="224"/>
      <c r="P86" s="224"/>
      <c r="Q86" s="224"/>
      <c r="R86" s="224"/>
      <c r="S86" s="224"/>
      <c r="T86" s="224"/>
      <c r="U86" s="224"/>
      <c r="V86" s="224"/>
      <c r="W86" s="224"/>
      <c r="X86" s="224"/>
      <c r="Y86" s="224"/>
      <c r="Z86" s="224"/>
    </row>
    <row r="87" spans="1:26" ht="12.75" customHeight="1">
      <c r="A87" s="224">
        <v>340</v>
      </c>
      <c r="B87" s="226" t="s">
        <v>324</v>
      </c>
      <c r="C87" s="224" t="s">
        <v>325</v>
      </c>
      <c r="D87" s="224" t="str">
        <f t="shared" si="1"/>
        <v>10605991 00 - Accumulated Depreciation - Other Machinery and Equipment       (340)</v>
      </c>
      <c r="E87" s="224"/>
      <c r="F87" s="224"/>
      <c r="G87" s="224"/>
      <c r="H87" s="224"/>
      <c r="I87" s="224"/>
      <c r="J87" s="224"/>
      <c r="K87" s="224"/>
      <c r="L87" s="224"/>
      <c r="M87" s="224"/>
      <c r="N87" s="224"/>
      <c r="O87" s="224"/>
      <c r="P87" s="224"/>
      <c r="Q87" s="224"/>
      <c r="R87" s="224"/>
      <c r="S87" s="224"/>
      <c r="T87" s="224"/>
      <c r="U87" s="224"/>
      <c r="V87" s="224"/>
      <c r="W87" s="224"/>
      <c r="X87" s="224"/>
      <c r="Y87" s="224"/>
      <c r="Z87" s="224"/>
    </row>
    <row r="88" spans="1:26" ht="12.75" customHeight="1">
      <c r="A88" s="224">
        <v>250</v>
      </c>
      <c r="B88" s="226"/>
      <c r="C88" s="224" t="s">
        <v>326</v>
      </c>
      <c r="D88" s="224" t="str">
        <f t="shared" si="1"/>
        <v xml:space="preserve"> - Other Property and Equipment (250)</v>
      </c>
      <c r="E88" s="224"/>
      <c r="F88" s="224"/>
      <c r="G88" s="224"/>
      <c r="H88" s="224"/>
      <c r="I88" s="224"/>
      <c r="J88" s="224"/>
      <c r="K88" s="224"/>
      <c r="L88" s="224"/>
      <c r="M88" s="224"/>
      <c r="N88" s="224"/>
      <c r="O88" s="224"/>
      <c r="P88" s="224"/>
      <c r="Q88" s="224"/>
      <c r="R88" s="224"/>
      <c r="S88" s="224"/>
      <c r="T88" s="224"/>
      <c r="U88" s="224"/>
      <c r="V88" s="224"/>
      <c r="W88" s="224"/>
      <c r="X88" s="224"/>
      <c r="Y88" s="224"/>
      <c r="Z88" s="224"/>
    </row>
    <row r="89" spans="1:26" ht="12.75" customHeight="1">
      <c r="A89" s="224">
        <v>350</v>
      </c>
      <c r="B89" s="226"/>
      <c r="C89" s="224" t="s">
        <v>327</v>
      </c>
      <c r="D89" s="224" t="str">
        <f t="shared" si="1"/>
        <v xml:space="preserve"> - Accumulated Depreciation - Other Property and Equipment (350)</v>
      </c>
      <c r="E89" s="224"/>
      <c r="F89" s="224"/>
      <c r="G89" s="224"/>
      <c r="H89" s="224"/>
      <c r="I89" s="224"/>
      <c r="J89" s="224"/>
      <c r="K89" s="224"/>
      <c r="L89" s="224"/>
      <c r="M89" s="224"/>
      <c r="N89" s="224"/>
      <c r="O89" s="224"/>
      <c r="P89" s="224"/>
      <c r="Q89" s="224"/>
      <c r="R89" s="224"/>
      <c r="S89" s="224"/>
      <c r="T89" s="224"/>
      <c r="U89" s="224"/>
      <c r="V89" s="224"/>
      <c r="W89" s="224"/>
      <c r="X89" s="224"/>
      <c r="Y89" s="224"/>
      <c r="Z89" s="224"/>
    </row>
    <row r="90" spans="1:26" ht="12.75" customHeight="1">
      <c r="A90" s="224">
        <v>222</v>
      </c>
      <c r="B90" s="226" t="s">
        <v>328</v>
      </c>
      <c r="C90" s="224" t="s">
        <v>329</v>
      </c>
      <c r="D90" s="224" t="str">
        <f t="shared" si="1"/>
        <v>10607010 00 - Furniture and Fixtures (222)</v>
      </c>
      <c r="E90" s="224"/>
      <c r="F90" s="224"/>
      <c r="G90" s="224"/>
      <c r="H90" s="224"/>
      <c r="I90" s="224"/>
      <c r="J90" s="224"/>
      <c r="K90" s="224"/>
      <c r="L90" s="224"/>
      <c r="M90" s="224"/>
      <c r="N90" s="224"/>
      <c r="O90" s="224"/>
      <c r="P90" s="224"/>
      <c r="Q90" s="224"/>
      <c r="R90" s="224"/>
      <c r="S90" s="224"/>
      <c r="T90" s="224"/>
      <c r="U90" s="224"/>
      <c r="V90" s="224"/>
      <c r="W90" s="224"/>
      <c r="X90" s="224"/>
      <c r="Y90" s="224"/>
      <c r="Z90" s="224"/>
    </row>
    <row r="91" spans="1:26" ht="12.75" customHeight="1">
      <c r="A91" s="224">
        <v>322</v>
      </c>
      <c r="B91" s="226" t="s">
        <v>330</v>
      </c>
      <c r="C91" s="224" t="s">
        <v>331</v>
      </c>
      <c r="D91" s="224" t="str">
        <f t="shared" si="1"/>
        <v>10607011 00 - Accumulated Depreciation - Furniture and Fixture (322)</v>
      </c>
      <c r="E91" s="224"/>
      <c r="F91" s="224"/>
      <c r="G91" s="224"/>
      <c r="H91" s="224"/>
      <c r="I91" s="224"/>
      <c r="J91" s="224"/>
      <c r="K91" s="224"/>
      <c r="L91" s="224"/>
      <c r="M91" s="224"/>
      <c r="N91" s="224"/>
      <c r="O91" s="224"/>
      <c r="P91" s="224"/>
      <c r="Q91" s="224"/>
      <c r="R91" s="224"/>
      <c r="S91" s="224"/>
      <c r="T91" s="224"/>
      <c r="U91" s="224"/>
      <c r="V91" s="224"/>
      <c r="W91" s="224"/>
      <c r="X91" s="224"/>
      <c r="Y91" s="224"/>
      <c r="Z91" s="224"/>
    </row>
    <row r="92" spans="1:26" ht="12.75" customHeight="1">
      <c r="A92" s="224"/>
      <c r="B92" s="227" t="s">
        <v>332</v>
      </c>
      <c r="C92" s="224"/>
      <c r="D92" s="224" t="str">
        <f t="shared" si="1"/>
        <v>C.1.7 Biological Assets -  ()</v>
      </c>
      <c r="E92" s="224"/>
      <c r="F92" s="224"/>
      <c r="G92" s="224"/>
      <c r="H92" s="224"/>
      <c r="I92" s="224"/>
      <c r="J92" s="224"/>
      <c r="K92" s="224"/>
      <c r="L92" s="224"/>
      <c r="M92" s="224"/>
      <c r="N92" s="224"/>
      <c r="O92" s="224"/>
      <c r="P92" s="224"/>
      <c r="Q92" s="224"/>
      <c r="R92" s="224"/>
      <c r="S92" s="224"/>
      <c r="T92" s="224"/>
      <c r="U92" s="224"/>
      <c r="V92" s="224"/>
      <c r="W92" s="224"/>
      <c r="X92" s="224"/>
      <c r="Y92" s="224"/>
      <c r="Z92" s="224"/>
    </row>
    <row r="93" spans="1:26" ht="12.75" customHeight="1">
      <c r="A93" s="224"/>
      <c r="B93" s="227" t="s">
        <v>333</v>
      </c>
      <c r="C93" s="224"/>
      <c r="D93" s="224" t="str">
        <f t="shared" si="1"/>
        <v>C.1.8 Intangible Assets -  ()</v>
      </c>
      <c r="E93" s="224"/>
      <c r="F93" s="224"/>
      <c r="G93" s="224"/>
      <c r="H93" s="224"/>
      <c r="I93" s="224"/>
      <c r="J93" s="224"/>
      <c r="K93" s="224"/>
      <c r="L93" s="224"/>
      <c r="M93" s="224"/>
      <c r="N93" s="224"/>
      <c r="O93" s="224"/>
      <c r="P93" s="224"/>
      <c r="Q93" s="224"/>
      <c r="R93" s="224"/>
      <c r="S93" s="224"/>
      <c r="T93" s="224"/>
      <c r="U93" s="224"/>
      <c r="V93" s="224"/>
      <c r="W93" s="224"/>
      <c r="X93" s="224"/>
      <c r="Y93" s="224"/>
      <c r="Z93" s="224"/>
    </row>
    <row r="94" spans="1:26" ht="12.75" customHeight="1">
      <c r="A94" s="224"/>
      <c r="B94" s="227" t="s">
        <v>334</v>
      </c>
      <c r="C94" s="224"/>
      <c r="D94" s="224" t="str">
        <f t="shared" si="1"/>
        <v>C.1.9 Other Assets -  ()</v>
      </c>
      <c r="E94" s="224"/>
      <c r="F94" s="224"/>
      <c r="G94" s="224"/>
      <c r="H94" s="224"/>
      <c r="I94" s="224"/>
      <c r="J94" s="224"/>
      <c r="K94" s="224"/>
      <c r="L94" s="224"/>
      <c r="M94" s="224"/>
      <c r="N94" s="224"/>
      <c r="O94" s="224"/>
      <c r="P94" s="224"/>
      <c r="Q94" s="224"/>
      <c r="R94" s="224"/>
      <c r="S94" s="224"/>
      <c r="T94" s="224"/>
      <c r="U94" s="224"/>
      <c r="V94" s="224"/>
      <c r="W94" s="224"/>
      <c r="X94" s="224"/>
      <c r="Y94" s="224"/>
      <c r="Z94" s="224"/>
    </row>
    <row r="95" spans="1:26" ht="12.75" customHeight="1">
      <c r="A95" s="229"/>
      <c r="B95" s="228" t="s">
        <v>335</v>
      </c>
      <c r="C95" s="229"/>
      <c r="D95" s="224" t="str">
        <f t="shared" si="1"/>
        <v>Advances -  ()</v>
      </c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</row>
    <row r="96" spans="1:26" ht="12.75" customHeight="1">
      <c r="A96" s="229">
        <v>111</v>
      </c>
      <c r="B96" s="226" t="s">
        <v>336</v>
      </c>
      <c r="C96" s="224" t="s">
        <v>337</v>
      </c>
      <c r="D96" s="224" t="str">
        <f t="shared" si="1"/>
        <v>19901010 00 - Advances for Operating Expenses (111)</v>
      </c>
      <c r="E96" s="224"/>
      <c r="F96" s="224"/>
      <c r="G96" s="224"/>
      <c r="H96" s="224"/>
      <c r="I96" s="224"/>
      <c r="J96" s="224"/>
      <c r="K96" s="224"/>
      <c r="L96" s="224"/>
      <c r="M96" s="224"/>
      <c r="N96" s="224"/>
      <c r="O96" s="224"/>
      <c r="P96" s="224"/>
      <c r="Q96" s="224"/>
      <c r="R96" s="224"/>
      <c r="S96" s="224"/>
      <c r="T96" s="224"/>
      <c r="U96" s="224"/>
      <c r="V96" s="224"/>
      <c r="W96" s="224"/>
      <c r="X96" s="224"/>
      <c r="Y96" s="224"/>
      <c r="Z96" s="224"/>
    </row>
    <row r="97" spans="1:26" ht="12.75" customHeight="1">
      <c r="A97" s="224"/>
      <c r="B97" s="226" t="s">
        <v>338</v>
      </c>
      <c r="C97" s="224" t="s">
        <v>339</v>
      </c>
      <c r="D97" s="224" t="str">
        <f t="shared" si="1"/>
        <v>19901020 00 - Advances for Payroll ()</v>
      </c>
      <c r="E97" s="224"/>
      <c r="F97" s="224"/>
      <c r="G97" s="224"/>
      <c r="H97" s="224"/>
      <c r="I97" s="224"/>
      <c r="J97" s="224"/>
      <c r="K97" s="224"/>
      <c r="L97" s="224"/>
      <c r="M97" s="224"/>
      <c r="N97" s="224"/>
      <c r="O97" s="224"/>
      <c r="P97" s="224"/>
      <c r="Q97" s="224"/>
      <c r="R97" s="224"/>
      <c r="S97" s="224"/>
      <c r="T97" s="224"/>
      <c r="U97" s="224"/>
      <c r="V97" s="224"/>
      <c r="W97" s="224"/>
      <c r="X97" s="224"/>
      <c r="Y97" s="224"/>
      <c r="Z97" s="224"/>
    </row>
    <row r="98" spans="1:26" ht="12.75" customHeight="1">
      <c r="A98" s="224"/>
      <c r="B98" s="226" t="s">
        <v>340</v>
      </c>
      <c r="C98" s="224" t="s">
        <v>341</v>
      </c>
      <c r="D98" s="224" t="str">
        <f t="shared" si="1"/>
        <v>19901030 00 - Advances for Special Disbursing Officer ()</v>
      </c>
      <c r="E98" s="224"/>
      <c r="F98" s="224"/>
      <c r="G98" s="224"/>
      <c r="H98" s="224"/>
      <c r="I98" s="224"/>
      <c r="J98" s="224"/>
      <c r="K98" s="224"/>
      <c r="L98" s="224"/>
      <c r="M98" s="224"/>
      <c r="N98" s="224"/>
      <c r="O98" s="224"/>
      <c r="P98" s="224"/>
      <c r="Q98" s="224"/>
      <c r="R98" s="224"/>
      <c r="S98" s="224"/>
      <c r="T98" s="224"/>
      <c r="U98" s="224"/>
      <c r="V98" s="224"/>
      <c r="W98" s="224"/>
      <c r="X98" s="224"/>
      <c r="Y98" s="224"/>
      <c r="Z98" s="224"/>
    </row>
    <row r="99" spans="1:26" ht="12.75" customHeight="1">
      <c r="A99" s="224">
        <v>148</v>
      </c>
      <c r="B99" s="226" t="s">
        <v>342</v>
      </c>
      <c r="C99" s="224" t="s">
        <v>343</v>
      </c>
      <c r="D99" s="224" t="str">
        <f t="shared" si="1"/>
        <v>19901040 00 - Advances to Officers &amp; Employees (148)</v>
      </c>
      <c r="E99" s="224"/>
      <c r="F99" s="224"/>
      <c r="G99" s="224"/>
      <c r="H99" s="224"/>
      <c r="I99" s="224"/>
      <c r="J99" s="224"/>
      <c r="K99" s="224"/>
      <c r="L99" s="224"/>
      <c r="M99" s="224"/>
      <c r="N99" s="224"/>
      <c r="O99" s="224"/>
      <c r="P99" s="224"/>
      <c r="Q99" s="224"/>
      <c r="R99" s="224"/>
      <c r="S99" s="224"/>
      <c r="T99" s="224"/>
      <c r="U99" s="224"/>
      <c r="V99" s="224"/>
      <c r="W99" s="224"/>
      <c r="X99" s="224"/>
      <c r="Y99" s="224"/>
      <c r="Z99" s="224"/>
    </row>
    <row r="100" spans="1:26" ht="12.75" customHeight="1">
      <c r="A100" s="229"/>
      <c r="B100" s="228" t="s">
        <v>344</v>
      </c>
      <c r="C100" s="229"/>
      <c r="D100" s="224" t="str">
        <f t="shared" si="1"/>
        <v>Prepayments -  ()</v>
      </c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</row>
    <row r="101" spans="1:26" ht="12.75" customHeight="1">
      <c r="A101" s="224"/>
      <c r="B101" s="226" t="s">
        <v>345</v>
      </c>
      <c r="C101" s="224" t="s">
        <v>346</v>
      </c>
      <c r="D101" s="224" t="str">
        <f t="shared" si="1"/>
        <v>19902010 00 - Advances to Contractors ()</v>
      </c>
      <c r="E101" s="224"/>
      <c r="F101" s="224"/>
      <c r="G101" s="224"/>
      <c r="H101" s="224"/>
      <c r="I101" s="224"/>
      <c r="J101" s="224"/>
      <c r="K101" s="224"/>
      <c r="L101" s="224"/>
      <c r="M101" s="224"/>
      <c r="N101" s="224"/>
      <c r="O101" s="224"/>
      <c r="P101" s="224"/>
      <c r="Q101" s="224"/>
      <c r="R101" s="224"/>
      <c r="S101" s="224"/>
      <c r="T101" s="224"/>
      <c r="U101" s="224"/>
      <c r="V101" s="224"/>
      <c r="W101" s="224"/>
      <c r="X101" s="224"/>
      <c r="Y101" s="224"/>
      <c r="Z101" s="224"/>
    </row>
    <row r="102" spans="1:26" ht="12.75" customHeight="1">
      <c r="A102" s="224">
        <v>177</v>
      </c>
      <c r="B102" s="226" t="s">
        <v>347</v>
      </c>
      <c r="C102" s="224" t="s">
        <v>348</v>
      </c>
      <c r="D102" s="224" t="str">
        <f t="shared" si="1"/>
        <v>19902020 00 - Prepaid Rent (177)</v>
      </c>
      <c r="E102" s="224"/>
      <c r="F102" s="224"/>
      <c r="G102" s="224"/>
      <c r="H102" s="224"/>
      <c r="I102" s="224"/>
      <c r="J102" s="224"/>
      <c r="K102" s="224"/>
      <c r="L102" s="224"/>
      <c r="M102" s="224"/>
      <c r="N102" s="224"/>
      <c r="O102" s="224"/>
      <c r="P102" s="224"/>
      <c r="Q102" s="224"/>
      <c r="R102" s="224"/>
      <c r="S102" s="224"/>
      <c r="T102" s="224"/>
      <c r="U102" s="224"/>
      <c r="V102" s="224"/>
      <c r="W102" s="224"/>
      <c r="X102" s="224"/>
      <c r="Y102" s="224"/>
      <c r="Z102" s="224"/>
    </row>
    <row r="103" spans="1:26" ht="12.75" customHeight="1">
      <c r="A103" s="224"/>
      <c r="B103" s="226" t="s">
        <v>349</v>
      </c>
      <c r="C103" s="224" t="s">
        <v>350</v>
      </c>
      <c r="D103" s="224" t="str">
        <f t="shared" si="1"/>
        <v>19902030 00 - Prepaid Registration ()</v>
      </c>
      <c r="E103" s="224"/>
      <c r="F103" s="224"/>
      <c r="G103" s="224"/>
      <c r="H103" s="224"/>
      <c r="I103" s="224"/>
      <c r="J103" s="224"/>
      <c r="K103" s="224"/>
      <c r="L103" s="224"/>
      <c r="M103" s="224"/>
      <c r="N103" s="224"/>
      <c r="O103" s="224"/>
      <c r="P103" s="224"/>
      <c r="Q103" s="224"/>
      <c r="R103" s="224"/>
      <c r="S103" s="224"/>
      <c r="T103" s="224"/>
      <c r="U103" s="224"/>
      <c r="V103" s="224"/>
      <c r="W103" s="224"/>
      <c r="X103" s="224"/>
      <c r="Y103" s="224"/>
      <c r="Z103" s="224"/>
    </row>
    <row r="104" spans="1:26" ht="12.75" customHeight="1">
      <c r="A104" s="224">
        <v>179</v>
      </c>
      <c r="B104" s="226" t="s">
        <v>351</v>
      </c>
      <c r="C104" s="224" t="s">
        <v>352</v>
      </c>
      <c r="D104" s="224" t="str">
        <f t="shared" si="1"/>
        <v>19902040 00 - Prepaid Interest (179)</v>
      </c>
      <c r="E104" s="224"/>
      <c r="F104" s="224"/>
      <c r="G104" s="224"/>
      <c r="H104" s="224"/>
      <c r="I104" s="224"/>
      <c r="J104" s="224"/>
      <c r="K104" s="224"/>
      <c r="L104" s="224"/>
      <c r="M104" s="224"/>
      <c r="N104" s="224"/>
      <c r="O104" s="224"/>
      <c r="P104" s="224"/>
      <c r="Q104" s="224"/>
      <c r="R104" s="224"/>
      <c r="S104" s="224"/>
      <c r="T104" s="224"/>
      <c r="U104" s="224"/>
      <c r="V104" s="224"/>
      <c r="W104" s="224"/>
      <c r="X104" s="224"/>
      <c r="Y104" s="224"/>
      <c r="Z104" s="224"/>
    </row>
    <row r="105" spans="1:26" ht="12.75" customHeight="1">
      <c r="A105" s="224">
        <v>178</v>
      </c>
      <c r="B105" s="226" t="s">
        <v>353</v>
      </c>
      <c r="C105" s="224" t="s">
        <v>354</v>
      </c>
      <c r="D105" s="224" t="str">
        <f t="shared" si="1"/>
        <v>19902050 00 - Prepaid Insurance (178)</v>
      </c>
      <c r="E105" s="224"/>
      <c r="F105" s="224"/>
      <c r="G105" s="224"/>
      <c r="H105" s="224"/>
      <c r="I105" s="224"/>
      <c r="J105" s="224"/>
      <c r="K105" s="224"/>
      <c r="L105" s="224"/>
      <c r="M105" s="224"/>
      <c r="N105" s="224"/>
      <c r="O105" s="224"/>
      <c r="P105" s="224"/>
      <c r="Q105" s="224"/>
      <c r="R105" s="224"/>
      <c r="S105" s="224"/>
      <c r="T105" s="224"/>
      <c r="U105" s="224"/>
      <c r="V105" s="224"/>
      <c r="W105" s="224"/>
      <c r="X105" s="224"/>
      <c r="Y105" s="224"/>
      <c r="Z105" s="224"/>
    </row>
    <row r="106" spans="1:26" ht="12.75" customHeight="1">
      <c r="A106" s="224">
        <v>185</v>
      </c>
      <c r="B106" s="226" t="s">
        <v>355</v>
      </c>
      <c r="C106" s="224" t="s">
        <v>356</v>
      </c>
      <c r="D106" s="224" t="str">
        <f t="shared" si="1"/>
        <v>19902990 00 - Other Prepayments (185)</v>
      </c>
      <c r="E106" s="224"/>
      <c r="F106" s="224"/>
      <c r="G106" s="224"/>
      <c r="H106" s="224"/>
      <c r="I106" s="224"/>
      <c r="J106" s="224"/>
      <c r="K106" s="224"/>
      <c r="L106" s="224"/>
      <c r="M106" s="224"/>
      <c r="N106" s="224"/>
      <c r="O106" s="224"/>
      <c r="P106" s="224"/>
      <c r="Q106" s="224"/>
      <c r="R106" s="224"/>
      <c r="S106" s="224"/>
      <c r="T106" s="224"/>
      <c r="U106" s="224"/>
      <c r="V106" s="224"/>
      <c r="W106" s="224"/>
      <c r="X106" s="224"/>
      <c r="Y106" s="224"/>
      <c r="Z106" s="224"/>
    </row>
    <row r="107" spans="1:26" ht="12.75" customHeight="1">
      <c r="A107" s="229"/>
      <c r="B107" s="228" t="s">
        <v>357</v>
      </c>
      <c r="C107" s="229"/>
      <c r="D107" s="224" t="str">
        <f t="shared" si="1"/>
        <v>Deposits -  ()</v>
      </c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</row>
    <row r="108" spans="1:26" ht="12.75" customHeight="1">
      <c r="A108" s="224">
        <v>180</v>
      </c>
      <c r="B108" s="226" t="s">
        <v>358</v>
      </c>
      <c r="C108" s="224" t="s">
        <v>359</v>
      </c>
      <c r="D108" s="224" t="str">
        <f t="shared" si="1"/>
        <v>19903010 00 - Deposit on Letters of Credit (180)</v>
      </c>
      <c r="E108" s="224"/>
      <c r="F108" s="224"/>
      <c r="G108" s="224"/>
      <c r="H108" s="224"/>
      <c r="I108" s="224"/>
      <c r="J108" s="224"/>
      <c r="K108" s="224"/>
      <c r="L108" s="224"/>
      <c r="M108" s="224"/>
      <c r="N108" s="224"/>
      <c r="O108" s="224"/>
      <c r="P108" s="224"/>
      <c r="Q108" s="224"/>
      <c r="R108" s="224"/>
      <c r="S108" s="224"/>
      <c r="T108" s="224"/>
      <c r="U108" s="224"/>
      <c r="V108" s="224"/>
      <c r="W108" s="224"/>
      <c r="X108" s="224"/>
      <c r="Y108" s="224"/>
      <c r="Z108" s="224"/>
    </row>
    <row r="109" spans="1:26" ht="12.75" customHeight="1">
      <c r="A109" s="224">
        <v>186</v>
      </c>
      <c r="B109" s="226" t="s">
        <v>360</v>
      </c>
      <c r="C109" s="224" t="s">
        <v>361</v>
      </c>
      <c r="D109" s="224" t="str">
        <f t="shared" si="1"/>
        <v>19903020 00 - Guaranty Deposits (186)</v>
      </c>
      <c r="E109" s="224"/>
      <c r="F109" s="224"/>
      <c r="G109" s="224"/>
      <c r="H109" s="224"/>
      <c r="I109" s="224"/>
      <c r="J109" s="224"/>
      <c r="K109" s="224"/>
      <c r="L109" s="224"/>
      <c r="M109" s="224"/>
      <c r="N109" s="224"/>
      <c r="O109" s="224"/>
      <c r="P109" s="224"/>
      <c r="Q109" s="224"/>
      <c r="R109" s="224"/>
      <c r="S109" s="224"/>
      <c r="T109" s="224"/>
      <c r="U109" s="224"/>
      <c r="V109" s="224"/>
      <c r="W109" s="224"/>
      <c r="X109" s="224"/>
      <c r="Y109" s="224"/>
      <c r="Z109" s="224"/>
    </row>
    <row r="110" spans="1:26" ht="12.75" customHeight="1">
      <c r="A110" s="224"/>
      <c r="B110" s="226" t="s">
        <v>362</v>
      </c>
      <c r="C110" s="224" t="s">
        <v>363</v>
      </c>
      <c r="D110" s="224" t="str">
        <f t="shared" si="1"/>
        <v>19903990 00 - Other Deposits ()</v>
      </c>
      <c r="E110" s="224"/>
      <c r="F110" s="224"/>
      <c r="G110" s="224"/>
      <c r="H110" s="224"/>
      <c r="I110" s="224"/>
      <c r="J110" s="224"/>
      <c r="K110" s="224"/>
      <c r="L110" s="224"/>
      <c r="M110" s="224"/>
      <c r="N110" s="224"/>
      <c r="O110" s="224"/>
      <c r="P110" s="224"/>
      <c r="Q110" s="224"/>
      <c r="R110" s="224"/>
      <c r="S110" s="224"/>
      <c r="T110" s="224"/>
      <c r="U110" s="224"/>
      <c r="V110" s="224"/>
      <c r="W110" s="224"/>
      <c r="X110" s="224"/>
      <c r="Y110" s="224"/>
      <c r="Z110" s="224"/>
    </row>
    <row r="111" spans="1:26" ht="12.75" customHeight="1">
      <c r="A111" s="229"/>
      <c r="B111" s="228" t="s">
        <v>364</v>
      </c>
      <c r="C111" s="229"/>
      <c r="D111" s="224" t="str">
        <f t="shared" si="1"/>
        <v>Other Assets -  ()</v>
      </c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</row>
    <row r="112" spans="1:26" ht="12.75" customHeight="1">
      <c r="A112" s="224"/>
      <c r="B112" s="226" t="s">
        <v>365</v>
      </c>
      <c r="C112" s="224" t="s">
        <v>366</v>
      </c>
      <c r="D112" s="224" t="str">
        <f t="shared" si="1"/>
        <v>19999010 00 - Acquired Assets ()</v>
      </c>
      <c r="E112" s="224"/>
      <c r="F112" s="224"/>
      <c r="G112" s="224"/>
      <c r="H112" s="224"/>
      <c r="I112" s="224"/>
      <c r="J112" s="224"/>
      <c r="K112" s="224"/>
      <c r="L112" s="224"/>
      <c r="M112" s="224"/>
      <c r="N112" s="224"/>
      <c r="O112" s="224"/>
      <c r="P112" s="224"/>
      <c r="Q112" s="224"/>
      <c r="R112" s="224"/>
      <c r="S112" s="224"/>
      <c r="T112" s="224"/>
      <c r="U112" s="224"/>
      <c r="V112" s="224"/>
      <c r="W112" s="224"/>
      <c r="X112" s="224"/>
      <c r="Y112" s="224"/>
      <c r="Z112" s="224"/>
    </row>
    <row r="113" spans="1:26" ht="12.75" customHeight="1">
      <c r="A113" s="224"/>
      <c r="B113" s="226" t="s">
        <v>367</v>
      </c>
      <c r="C113" s="224" t="s">
        <v>368</v>
      </c>
      <c r="D113" s="224" t="str">
        <f t="shared" si="1"/>
        <v>19999011 00 - Accumulated Impairment Losses - Acquired Assets ()</v>
      </c>
      <c r="E113" s="224"/>
      <c r="F113" s="224"/>
      <c r="G113" s="224"/>
      <c r="H113" s="224"/>
      <c r="I113" s="224"/>
      <c r="J113" s="224"/>
      <c r="K113" s="224"/>
      <c r="L113" s="224"/>
      <c r="M113" s="224"/>
      <c r="N113" s="224"/>
      <c r="O113" s="224"/>
      <c r="P113" s="224"/>
      <c r="Q113" s="224"/>
      <c r="R113" s="224"/>
      <c r="S113" s="224"/>
      <c r="T113" s="224"/>
      <c r="U113" s="224"/>
      <c r="V113" s="224"/>
      <c r="W113" s="224"/>
      <c r="X113" s="224"/>
      <c r="Y113" s="224"/>
      <c r="Z113" s="224"/>
    </row>
    <row r="114" spans="1:26" ht="12.75" customHeight="1">
      <c r="A114" s="224"/>
      <c r="B114" s="226" t="s">
        <v>369</v>
      </c>
      <c r="C114" s="224" t="s">
        <v>370</v>
      </c>
      <c r="D114" s="224" t="str">
        <f t="shared" si="1"/>
        <v>19999020 00 - Foreclosed Property/Assets ()</v>
      </c>
      <c r="E114" s="224"/>
      <c r="F114" s="224"/>
      <c r="G114" s="224"/>
      <c r="H114" s="224"/>
      <c r="I114" s="224"/>
      <c r="J114" s="224"/>
      <c r="K114" s="224"/>
      <c r="L114" s="224"/>
      <c r="M114" s="224"/>
      <c r="N114" s="224"/>
      <c r="O114" s="224"/>
      <c r="P114" s="224"/>
      <c r="Q114" s="224"/>
      <c r="R114" s="224"/>
      <c r="S114" s="224"/>
      <c r="T114" s="224"/>
      <c r="U114" s="224"/>
      <c r="V114" s="224"/>
      <c r="W114" s="224"/>
      <c r="X114" s="224"/>
      <c r="Y114" s="224"/>
      <c r="Z114" s="224"/>
    </row>
    <row r="115" spans="1:26" ht="12.75" customHeight="1">
      <c r="A115" s="224"/>
      <c r="B115" s="226" t="s">
        <v>371</v>
      </c>
      <c r="C115" s="224" t="s">
        <v>372</v>
      </c>
      <c r="D115" s="224" t="str">
        <f t="shared" si="1"/>
        <v>19999021 00 - Accumulated Impairment Losses - Foreclosed Property/Assets ()</v>
      </c>
      <c r="E115" s="224"/>
      <c r="F115" s="224"/>
      <c r="G115" s="224"/>
      <c r="H115" s="224"/>
      <c r="I115" s="224"/>
      <c r="J115" s="224"/>
      <c r="K115" s="224"/>
      <c r="L115" s="224"/>
      <c r="M115" s="224"/>
      <c r="N115" s="224"/>
      <c r="O115" s="224"/>
      <c r="P115" s="224"/>
      <c r="Q115" s="224"/>
      <c r="R115" s="224"/>
      <c r="S115" s="224"/>
      <c r="T115" s="224"/>
      <c r="U115" s="224"/>
      <c r="V115" s="224"/>
      <c r="W115" s="224"/>
      <c r="X115" s="224"/>
      <c r="Y115" s="224"/>
      <c r="Z115" s="224"/>
    </row>
    <row r="116" spans="1:26" ht="12.75" customHeight="1">
      <c r="A116" s="224"/>
      <c r="B116" s="226" t="s">
        <v>373</v>
      </c>
      <c r="C116" s="224" t="s">
        <v>374</v>
      </c>
      <c r="D116" s="224" t="str">
        <f t="shared" si="1"/>
        <v>19999030 00 - Forfeited Property/Assets ()</v>
      </c>
      <c r="E116" s="224"/>
      <c r="F116" s="224"/>
      <c r="G116" s="224"/>
      <c r="H116" s="224"/>
      <c r="I116" s="224"/>
      <c r="J116" s="224"/>
      <c r="K116" s="224"/>
      <c r="L116" s="224"/>
      <c r="M116" s="224"/>
      <c r="N116" s="224"/>
      <c r="O116" s="224"/>
      <c r="P116" s="224"/>
      <c r="Q116" s="224"/>
      <c r="R116" s="224"/>
      <c r="S116" s="224"/>
      <c r="T116" s="224"/>
      <c r="U116" s="224"/>
      <c r="V116" s="224"/>
      <c r="W116" s="224"/>
      <c r="X116" s="224"/>
      <c r="Y116" s="224"/>
      <c r="Z116" s="224"/>
    </row>
    <row r="117" spans="1:26" ht="12.75" customHeight="1">
      <c r="A117" s="224"/>
      <c r="B117" s="226" t="s">
        <v>375</v>
      </c>
      <c r="C117" s="224" t="s">
        <v>376</v>
      </c>
      <c r="D117" s="224" t="str">
        <f t="shared" si="1"/>
        <v>19999031 00 - Accumulated Impairment Losses - Forfeited Property/Assets ()</v>
      </c>
      <c r="E117" s="224"/>
      <c r="F117" s="224"/>
      <c r="G117" s="224"/>
      <c r="H117" s="224"/>
      <c r="I117" s="224"/>
      <c r="J117" s="224"/>
      <c r="K117" s="224"/>
      <c r="L117" s="224"/>
      <c r="M117" s="224"/>
      <c r="N117" s="224"/>
      <c r="O117" s="224"/>
      <c r="P117" s="224"/>
      <c r="Q117" s="224"/>
      <c r="R117" s="224"/>
      <c r="S117" s="224"/>
      <c r="T117" s="224"/>
      <c r="U117" s="224"/>
      <c r="V117" s="224"/>
      <c r="W117" s="224"/>
      <c r="X117" s="224"/>
      <c r="Y117" s="224"/>
      <c r="Z117" s="224"/>
    </row>
    <row r="118" spans="1:26" ht="12.75" customHeight="1">
      <c r="A118" s="224"/>
      <c r="B118" s="226" t="s">
        <v>377</v>
      </c>
      <c r="C118" s="224" t="s">
        <v>378</v>
      </c>
      <c r="D118" s="224" t="str">
        <f t="shared" si="1"/>
        <v>19999040 00 - Confiscated Property/Assets ()</v>
      </c>
      <c r="E118" s="224"/>
      <c r="F118" s="224"/>
      <c r="G118" s="224"/>
      <c r="H118" s="224"/>
      <c r="I118" s="224"/>
      <c r="J118" s="224"/>
      <c r="K118" s="224"/>
      <c r="L118" s="224"/>
      <c r="M118" s="224"/>
      <c r="N118" s="224"/>
      <c r="O118" s="224"/>
      <c r="P118" s="224"/>
      <c r="Q118" s="224"/>
      <c r="R118" s="224"/>
      <c r="S118" s="224"/>
      <c r="T118" s="224"/>
      <c r="U118" s="224"/>
      <c r="V118" s="224"/>
      <c r="W118" s="224"/>
      <c r="X118" s="224"/>
      <c r="Y118" s="224"/>
      <c r="Z118" s="224"/>
    </row>
    <row r="119" spans="1:26" ht="12.75" customHeight="1">
      <c r="A119" s="224"/>
      <c r="B119" s="226" t="s">
        <v>379</v>
      </c>
      <c r="C119" s="224" t="s">
        <v>380</v>
      </c>
      <c r="D119" s="224" t="str">
        <f t="shared" si="1"/>
        <v>19999041 00 - Accumulated Impairment Losses - Confiscated Property/Assets ()</v>
      </c>
      <c r="E119" s="224"/>
      <c r="F119" s="224"/>
      <c r="G119" s="224"/>
      <c r="H119" s="224"/>
      <c r="I119" s="224"/>
      <c r="J119" s="224"/>
      <c r="K119" s="224"/>
      <c r="L119" s="224"/>
      <c r="M119" s="224"/>
      <c r="N119" s="224"/>
      <c r="O119" s="224"/>
      <c r="P119" s="224"/>
      <c r="Q119" s="224"/>
      <c r="R119" s="224"/>
      <c r="S119" s="224"/>
      <c r="T119" s="224"/>
      <c r="U119" s="224"/>
      <c r="V119" s="224"/>
      <c r="W119" s="224"/>
      <c r="X119" s="224"/>
      <c r="Y119" s="224"/>
      <c r="Z119" s="224"/>
    </row>
    <row r="120" spans="1:26" ht="12.75" customHeight="1">
      <c r="A120" s="224"/>
      <c r="B120" s="226" t="s">
        <v>381</v>
      </c>
      <c r="C120" s="224" t="s">
        <v>382</v>
      </c>
      <c r="D120" s="224" t="str">
        <f t="shared" si="1"/>
        <v>19999050 00 - Abandoned Property/Assets ()</v>
      </c>
      <c r="E120" s="224"/>
      <c r="F120" s="224"/>
      <c r="G120" s="224"/>
      <c r="H120" s="224"/>
      <c r="I120" s="224"/>
      <c r="J120" s="224"/>
      <c r="K120" s="224"/>
      <c r="L120" s="224"/>
      <c r="M120" s="224"/>
      <c r="N120" s="224"/>
      <c r="O120" s="224"/>
      <c r="P120" s="224"/>
      <c r="Q120" s="224"/>
      <c r="R120" s="224"/>
      <c r="S120" s="224"/>
      <c r="T120" s="224"/>
      <c r="U120" s="224"/>
      <c r="V120" s="224"/>
      <c r="W120" s="224"/>
      <c r="X120" s="224"/>
      <c r="Y120" s="224"/>
      <c r="Z120" s="224"/>
    </row>
    <row r="121" spans="1:26" ht="12.75" customHeight="1">
      <c r="A121" s="224"/>
      <c r="B121" s="226" t="s">
        <v>383</v>
      </c>
      <c r="C121" s="224" t="s">
        <v>384</v>
      </c>
      <c r="D121" s="224" t="str">
        <f t="shared" si="1"/>
        <v>19999051 00 - Accumulated Impairment Losses - Abandoned Property/Assets ()</v>
      </c>
      <c r="E121" s="224"/>
      <c r="F121" s="224"/>
      <c r="G121" s="224"/>
      <c r="H121" s="224"/>
      <c r="I121" s="224"/>
      <c r="J121" s="224"/>
      <c r="K121" s="224"/>
      <c r="L121" s="224"/>
      <c r="M121" s="224"/>
      <c r="N121" s="224"/>
      <c r="O121" s="224"/>
      <c r="P121" s="224"/>
      <c r="Q121" s="224"/>
      <c r="R121" s="224"/>
      <c r="S121" s="224"/>
      <c r="T121" s="224"/>
      <c r="U121" s="224"/>
      <c r="V121" s="224"/>
      <c r="W121" s="224"/>
      <c r="X121" s="224"/>
      <c r="Y121" s="224"/>
      <c r="Z121" s="224"/>
    </row>
    <row r="122" spans="1:26" ht="12.75" customHeight="1">
      <c r="A122" s="224"/>
      <c r="B122" s="226" t="s">
        <v>385</v>
      </c>
      <c r="C122" s="224" t="s">
        <v>364</v>
      </c>
      <c r="D122" s="224" t="str">
        <f t="shared" si="1"/>
        <v>19999990 00 - Other Assets ()</v>
      </c>
      <c r="E122" s="224"/>
      <c r="F122" s="224"/>
      <c r="G122" s="224"/>
      <c r="H122" s="224"/>
      <c r="I122" s="224"/>
      <c r="J122" s="224"/>
      <c r="K122" s="224"/>
      <c r="L122" s="224"/>
      <c r="M122" s="224"/>
      <c r="N122" s="224"/>
      <c r="O122" s="224"/>
      <c r="P122" s="224"/>
      <c r="Q122" s="224"/>
      <c r="R122" s="224"/>
      <c r="S122" s="224"/>
      <c r="T122" s="224"/>
      <c r="U122" s="224"/>
      <c r="V122" s="224"/>
      <c r="W122" s="224"/>
      <c r="X122" s="224"/>
      <c r="Y122" s="224"/>
      <c r="Z122" s="224"/>
    </row>
    <row r="123" spans="1:26" ht="12.75" customHeight="1">
      <c r="A123" s="224"/>
      <c r="B123" s="226" t="s">
        <v>386</v>
      </c>
      <c r="C123" s="224" t="s">
        <v>387</v>
      </c>
      <c r="D123" s="224" t="str">
        <f t="shared" si="1"/>
        <v>19999991 00 - Accumulated Impairment Losses - Other Assets ()</v>
      </c>
      <c r="E123" s="224"/>
      <c r="F123" s="224"/>
      <c r="G123" s="224"/>
      <c r="H123" s="224"/>
      <c r="I123" s="224"/>
      <c r="J123" s="224"/>
      <c r="K123" s="224"/>
      <c r="L123" s="224"/>
      <c r="M123" s="224"/>
      <c r="N123" s="224"/>
      <c r="O123" s="224"/>
      <c r="P123" s="224"/>
      <c r="Q123" s="224"/>
      <c r="R123" s="224"/>
      <c r="S123" s="224"/>
      <c r="T123" s="224"/>
      <c r="U123" s="224"/>
      <c r="V123" s="224"/>
      <c r="W123" s="224"/>
      <c r="X123" s="224"/>
      <c r="Y123" s="224"/>
      <c r="Z123" s="224"/>
    </row>
    <row r="124" spans="1:26" ht="24" customHeight="1">
      <c r="A124" s="224"/>
      <c r="B124" s="5" t="s">
        <v>388</v>
      </c>
      <c r="C124" s="4"/>
      <c r="D124" s="4"/>
      <c r="E124" s="4"/>
      <c r="F124" s="4"/>
      <c r="G124" s="4"/>
      <c r="H124" s="4"/>
      <c r="I124" s="224"/>
      <c r="J124" s="224"/>
      <c r="K124" s="224"/>
      <c r="L124" s="224"/>
      <c r="M124" s="224"/>
      <c r="N124" s="224"/>
      <c r="O124" s="224"/>
      <c r="P124" s="224"/>
      <c r="Q124" s="224"/>
      <c r="R124" s="224"/>
      <c r="S124" s="224"/>
      <c r="T124" s="224"/>
      <c r="U124" s="224"/>
      <c r="V124" s="224"/>
      <c r="W124" s="224"/>
      <c r="X124" s="224"/>
      <c r="Y124" s="224"/>
      <c r="Z124" s="224"/>
    </row>
    <row r="125" spans="1:26" ht="12.75" customHeight="1">
      <c r="A125" s="224"/>
      <c r="B125" s="227" t="s">
        <v>389</v>
      </c>
      <c r="C125" s="224"/>
      <c r="D125" s="224"/>
      <c r="E125" s="224"/>
      <c r="F125" s="224"/>
      <c r="G125" s="224"/>
      <c r="H125" s="224"/>
      <c r="I125" s="224"/>
      <c r="J125" s="224"/>
      <c r="K125" s="224"/>
      <c r="L125" s="224"/>
      <c r="M125" s="224"/>
      <c r="N125" s="224"/>
      <c r="O125" s="224"/>
      <c r="P125" s="224"/>
      <c r="Q125" s="224"/>
      <c r="R125" s="224"/>
      <c r="S125" s="224"/>
      <c r="T125" s="224"/>
      <c r="U125" s="224"/>
      <c r="V125" s="224"/>
      <c r="W125" s="224"/>
      <c r="X125" s="224"/>
      <c r="Y125" s="224"/>
      <c r="Z125" s="224"/>
    </row>
    <row r="126" spans="1:26" ht="12.75" customHeight="1">
      <c r="A126" s="232"/>
      <c r="B126" s="228" t="s">
        <v>390</v>
      </c>
      <c r="C126" s="232"/>
      <c r="D126" s="232"/>
      <c r="E126" s="232"/>
      <c r="F126" s="232"/>
      <c r="G126" s="232"/>
      <c r="H126" s="232"/>
      <c r="I126" s="232"/>
      <c r="J126" s="232"/>
      <c r="K126" s="232"/>
      <c r="L126" s="232"/>
      <c r="M126" s="232"/>
      <c r="N126" s="232"/>
      <c r="O126" s="232"/>
      <c r="P126" s="232"/>
      <c r="Q126" s="232"/>
      <c r="R126" s="232"/>
      <c r="S126" s="232"/>
      <c r="T126" s="232"/>
      <c r="U126" s="232"/>
      <c r="V126" s="232"/>
      <c r="W126" s="232"/>
      <c r="X126" s="232"/>
      <c r="Y126" s="232"/>
      <c r="Z126" s="232"/>
    </row>
    <row r="127" spans="1:26" ht="12.75" customHeight="1">
      <c r="A127" s="224">
        <v>401</v>
      </c>
      <c r="B127" s="226" t="s">
        <v>391</v>
      </c>
      <c r="C127" s="224" t="s">
        <v>392</v>
      </c>
      <c r="D127" s="224"/>
      <c r="E127" s="224"/>
      <c r="F127" s="224"/>
      <c r="G127" s="224"/>
      <c r="H127" s="224"/>
      <c r="I127" s="224"/>
      <c r="J127" s="224"/>
      <c r="K127" s="224"/>
      <c r="L127" s="224"/>
      <c r="M127" s="224"/>
      <c r="N127" s="224"/>
      <c r="O127" s="224"/>
      <c r="P127" s="224"/>
      <c r="Q127" s="224"/>
      <c r="R127" s="224"/>
      <c r="S127" s="224"/>
      <c r="T127" s="224"/>
      <c r="U127" s="224"/>
      <c r="V127" s="224"/>
      <c r="W127" s="224"/>
      <c r="X127" s="224"/>
      <c r="Y127" s="224"/>
      <c r="Z127" s="224"/>
    </row>
    <row r="128" spans="1:26" ht="12.75" customHeight="1">
      <c r="A128" s="224">
        <v>403</v>
      </c>
      <c r="B128" s="226" t="s">
        <v>393</v>
      </c>
      <c r="C128" s="224" t="s">
        <v>394</v>
      </c>
      <c r="D128" s="224"/>
      <c r="E128" s="224"/>
      <c r="F128" s="224"/>
      <c r="G128" s="224"/>
      <c r="H128" s="224"/>
      <c r="I128" s="224"/>
      <c r="J128" s="224"/>
      <c r="K128" s="224"/>
      <c r="L128" s="224"/>
      <c r="M128" s="224"/>
      <c r="N128" s="224"/>
      <c r="O128" s="224"/>
      <c r="P128" s="224"/>
      <c r="Q128" s="224"/>
      <c r="R128" s="224"/>
      <c r="S128" s="224"/>
      <c r="T128" s="224"/>
      <c r="U128" s="224"/>
      <c r="V128" s="224"/>
      <c r="W128" s="224"/>
      <c r="X128" s="224"/>
      <c r="Y128" s="224"/>
      <c r="Z128" s="224"/>
    </row>
    <row r="129" spans="1:26" ht="12.75" customHeight="1">
      <c r="A129" s="224"/>
      <c r="B129" s="226" t="s">
        <v>395</v>
      </c>
      <c r="C129" s="224" t="s">
        <v>396</v>
      </c>
      <c r="D129" s="224"/>
      <c r="E129" s="224"/>
      <c r="F129" s="224"/>
      <c r="G129" s="224"/>
      <c r="H129" s="224"/>
      <c r="I129" s="224"/>
      <c r="J129" s="224"/>
      <c r="K129" s="224"/>
      <c r="L129" s="224"/>
      <c r="M129" s="224"/>
      <c r="N129" s="224"/>
      <c r="O129" s="224"/>
      <c r="P129" s="224"/>
      <c r="Q129" s="224"/>
      <c r="R129" s="224"/>
      <c r="S129" s="224"/>
      <c r="T129" s="224"/>
      <c r="U129" s="224"/>
      <c r="V129" s="224"/>
      <c r="W129" s="224"/>
      <c r="X129" s="224"/>
      <c r="Y129" s="224"/>
      <c r="Z129" s="224"/>
    </row>
    <row r="130" spans="1:26" ht="12.75" customHeight="1">
      <c r="A130" s="224">
        <v>402</v>
      </c>
      <c r="B130" s="226" t="s">
        <v>397</v>
      </c>
      <c r="C130" s="224" t="s">
        <v>398</v>
      </c>
      <c r="D130" s="224"/>
      <c r="E130" s="224"/>
      <c r="F130" s="224"/>
      <c r="G130" s="224"/>
      <c r="H130" s="224"/>
      <c r="I130" s="224"/>
      <c r="J130" s="224"/>
      <c r="K130" s="224"/>
      <c r="L130" s="224"/>
      <c r="M130" s="224"/>
      <c r="N130" s="224"/>
      <c r="O130" s="224"/>
      <c r="P130" s="224"/>
      <c r="Q130" s="224"/>
      <c r="R130" s="224"/>
      <c r="S130" s="224"/>
      <c r="T130" s="224"/>
      <c r="U130" s="224"/>
      <c r="V130" s="224"/>
      <c r="W130" s="224"/>
      <c r="X130" s="224"/>
      <c r="Y130" s="224"/>
      <c r="Z130" s="224"/>
    </row>
    <row r="131" spans="1:26" ht="12.75" customHeight="1">
      <c r="A131" s="224">
        <v>409</v>
      </c>
      <c r="B131" s="226" t="s">
        <v>399</v>
      </c>
      <c r="C131" s="224" t="s">
        <v>400</v>
      </c>
      <c r="D131" s="224"/>
      <c r="E131" s="224"/>
      <c r="F131" s="224"/>
      <c r="G131" s="224"/>
      <c r="H131" s="224"/>
      <c r="I131" s="224"/>
      <c r="J131" s="224"/>
      <c r="K131" s="224"/>
      <c r="L131" s="224"/>
      <c r="M131" s="224"/>
      <c r="N131" s="224"/>
      <c r="O131" s="224"/>
      <c r="P131" s="224"/>
      <c r="Q131" s="224"/>
      <c r="R131" s="224"/>
      <c r="S131" s="224"/>
      <c r="T131" s="224"/>
      <c r="U131" s="224"/>
      <c r="V131" s="224"/>
      <c r="W131" s="224"/>
      <c r="X131" s="224"/>
      <c r="Y131" s="224"/>
      <c r="Z131" s="224"/>
    </row>
    <row r="132" spans="1:26" ht="12.75" customHeight="1">
      <c r="A132" s="224"/>
      <c r="B132" s="226" t="s">
        <v>401</v>
      </c>
      <c r="C132" s="224" t="s">
        <v>402</v>
      </c>
      <c r="D132" s="224"/>
      <c r="E132" s="224"/>
      <c r="F132" s="224"/>
      <c r="G132" s="224"/>
      <c r="H132" s="224"/>
      <c r="I132" s="224"/>
      <c r="J132" s="224"/>
      <c r="K132" s="224"/>
      <c r="L132" s="224"/>
      <c r="M132" s="224"/>
      <c r="N132" s="224"/>
      <c r="O132" s="224"/>
      <c r="P132" s="224"/>
      <c r="Q132" s="224"/>
      <c r="R132" s="224"/>
      <c r="S132" s="224"/>
      <c r="T132" s="224"/>
      <c r="U132" s="224"/>
      <c r="V132" s="224"/>
      <c r="W132" s="224"/>
      <c r="X132" s="224"/>
      <c r="Y132" s="224"/>
      <c r="Z132" s="224"/>
    </row>
    <row r="133" spans="1:26" ht="12.75" customHeight="1">
      <c r="A133" s="224"/>
      <c r="B133" s="226" t="s">
        <v>403</v>
      </c>
      <c r="C133" s="224" t="s">
        <v>404</v>
      </c>
      <c r="D133" s="224"/>
      <c r="E133" s="224"/>
      <c r="F133" s="224"/>
      <c r="G133" s="224"/>
      <c r="H133" s="224"/>
      <c r="I133" s="224"/>
      <c r="J133" s="224"/>
      <c r="K133" s="224"/>
      <c r="L133" s="224"/>
      <c r="M133" s="224"/>
      <c r="N133" s="224"/>
      <c r="O133" s="224"/>
      <c r="P133" s="224"/>
      <c r="Q133" s="224"/>
      <c r="R133" s="224"/>
      <c r="S133" s="224"/>
      <c r="T133" s="224"/>
      <c r="U133" s="224"/>
      <c r="V133" s="224"/>
      <c r="W133" s="224"/>
      <c r="X133" s="224"/>
      <c r="Y133" s="224"/>
      <c r="Z133" s="224"/>
    </row>
    <row r="134" spans="1:26" ht="12.75" customHeight="1">
      <c r="A134" s="224"/>
      <c r="B134" s="226" t="s">
        <v>405</v>
      </c>
      <c r="C134" s="224" t="s">
        <v>406</v>
      </c>
      <c r="D134" s="224"/>
      <c r="E134" s="224"/>
      <c r="F134" s="224"/>
      <c r="G134" s="224"/>
      <c r="H134" s="224"/>
      <c r="I134" s="224"/>
      <c r="J134" s="224"/>
      <c r="K134" s="224"/>
      <c r="L134" s="224"/>
      <c r="M134" s="224"/>
      <c r="N134" s="224"/>
      <c r="O134" s="224"/>
      <c r="P134" s="224"/>
      <c r="Q134" s="224"/>
      <c r="R134" s="224"/>
      <c r="S134" s="224"/>
      <c r="T134" s="224"/>
      <c r="U134" s="224"/>
      <c r="V134" s="224"/>
      <c r="W134" s="224"/>
      <c r="X134" s="224"/>
      <c r="Y134" s="224"/>
      <c r="Z134" s="224"/>
    </row>
    <row r="135" spans="1:26" ht="12.75" customHeight="1">
      <c r="A135" s="224"/>
      <c r="B135" s="227" t="s">
        <v>407</v>
      </c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U135" s="224"/>
      <c r="V135" s="224"/>
      <c r="W135" s="224"/>
      <c r="X135" s="224"/>
      <c r="Y135" s="224"/>
      <c r="Z135" s="224"/>
    </row>
    <row r="136" spans="1:26" ht="12.75" customHeight="1">
      <c r="A136" s="232"/>
      <c r="B136" s="228" t="s">
        <v>408</v>
      </c>
      <c r="C136" s="232"/>
      <c r="D136" s="232"/>
      <c r="E136" s="232"/>
      <c r="F136" s="232"/>
      <c r="G136" s="232"/>
      <c r="H136" s="232"/>
      <c r="I136" s="232"/>
      <c r="J136" s="232"/>
      <c r="K136" s="232"/>
      <c r="L136" s="232"/>
      <c r="M136" s="232"/>
      <c r="N136" s="232"/>
      <c r="O136" s="232"/>
      <c r="P136" s="232"/>
      <c r="Q136" s="232"/>
      <c r="R136" s="232"/>
      <c r="S136" s="232"/>
      <c r="T136" s="232"/>
      <c r="U136" s="232"/>
      <c r="V136" s="232"/>
      <c r="W136" s="232"/>
      <c r="X136" s="232"/>
      <c r="Y136" s="232"/>
      <c r="Z136" s="232"/>
    </row>
    <row r="137" spans="1:26" ht="12.75" customHeight="1">
      <c r="A137" s="224">
        <v>412</v>
      </c>
      <c r="B137" s="226" t="s">
        <v>409</v>
      </c>
      <c r="C137" s="224" t="s">
        <v>408</v>
      </c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  <c r="U137" s="224"/>
      <c r="V137" s="224"/>
      <c r="W137" s="224"/>
      <c r="X137" s="224"/>
      <c r="Y137" s="224"/>
      <c r="Z137" s="224"/>
    </row>
    <row r="138" spans="1:26" ht="12.75" customHeight="1">
      <c r="A138" s="232"/>
      <c r="B138" s="228" t="s">
        <v>410</v>
      </c>
      <c r="C138" s="232"/>
      <c r="D138" s="232"/>
      <c r="E138" s="232"/>
      <c r="F138" s="232"/>
      <c r="G138" s="232"/>
      <c r="H138" s="232"/>
      <c r="I138" s="232"/>
      <c r="J138" s="232"/>
      <c r="K138" s="232"/>
      <c r="L138" s="232"/>
      <c r="M138" s="232"/>
      <c r="N138" s="232"/>
      <c r="O138" s="232"/>
      <c r="P138" s="232"/>
      <c r="Q138" s="232"/>
      <c r="R138" s="232"/>
      <c r="S138" s="232"/>
      <c r="T138" s="232"/>
      <c r="U138" s="232"/>
      <c r="V138" s="232"/>
      <c r="W138" s="232"/>
      <c r="X138" s="232"/>
      <c r="Y138" s="232"/>
      <c r="Z138" s="232"/>
    </row>
    <row r="139" spans="1:26" ht="12.75" customHeight="1">
      <c r="A139" s="224">
        <v>413</v>
      </c>
      <c r="B139" s="226" t="s">
        <v>411</v>
      </c>
      <c r="C139" s="224" t="s">
        <v>410</v>
      </c>
      <c r="D139" s="224"/>
      <c r="E139" s="224"/>
      <c r="F139" s="224"/>
      <c r="G139" s="224"/>
      <c r="H139" s="224"/>
      <c r="I139" s="224"/>
      <c r="J139" s="224"/>
      <c r="K139" s="224"/>
      <c r="L139" s="224"/>
      <c r="M139" s="224"/>
      <c r="N139" s="224"/>
      <c r="O139" s="224"/>
      <c r="P139" s="224"/>
      <c r="Q139" s="224"/>
      <c r="R139" s="224"/>
      <c r="S139" s="224"/>
      <c r="T139" s="224"/>
      <c r="U139" s="224"/>
      <c r="V139" s="224"/>
      <c r="W139" s="224"/>
      <c r="X139" s="224"/>
      <c r="Y139" s="224"/>
      <c r="Z139" s="224"/>
    </row>
    <row r="140" spans="1:26" ht="12.75" customHeight="1">
      <c r="A140" s="224"/>
      <c r="B140" s="226" t="s">
        <v>412</v>
      </c>
      <c r="C140" s="224" t="s">
        <v>413</v>
      </c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  <c r="U140" s="224"/>
      <c r="V140" s="224"/>
      <c r="W140" s="224"/>
      <c r="X140" s="224"/>
      <c r="Y140" s="224"/>
      <c r="Z140" s="224"/>
    </row>
    <row r="141" spans="1:26" ht="12.75" customHeight="1">
      <c r="A141" s="224"/>
      <c r="B141" s="226" t="s">
        <v>414</v>
      </c>
      <c r="C141" s="224" t="s">
        <v>415</v>
      </c>
      <c r="D141" s="224"/>
      <c r="E141" s="224"/>
      <c r="F141" s="224"/>
      <c r="G141" s="224"/>
      <c r="H141" s="224"/>
      <c r="I141" s="224"/>
      <c r="J141" s="224"/>
      <c r="K141" s="224"/>
      <c r="L141" s="224"/>
      <c r="M141" s="224"/>
      <c r="N141" s="224"/>
      <c r="O141" s="224"/>
      <c r="P141" s="224"/>
      <c r="Q141" s="224"/>
      <c r="R141" s="224"/>
      <c r="S141" s="224"/>
      <c r="T141" s="224"/>
      <c r="U141" s="224"/>
      <c r="V141" s="224"/>
      <c r="W141" s="224"/>
      <c r="X141" s="224"/>
      <c r="Y141" s="224"/>
      <c r="Z141" s="224"/>
    </row>
    <row r="142" spans="1:26" ht="12.75" customHeight="1">
      <c r="A142" s="224"/>
      <c r="B142" s="226" t="s">
        <v>416</v>
      </c>
      <c r="C142" s="224" t="s">
        <v>417</v>
      </c>
      <c r="D142" s="224"/>
      <c r="E142" s="224"/>
      <c r="F142" s="224"/>
      <c r="G142" s="224"/>
      <c r="H142" s="224"/>
      <c r="I142" s="224"/>
      <c r="J142" s="224"/>
      <c r="K142" s="224"/>
      <c r="L142" s="224"/>
      <c r="M142" s="224"/>
      <c r="N142" s="224"/>
      <c r="O142" s="224"/>
      <c r="P142" s="224"/>
      <c r="Q142" s="224"/>
      <c r="R142" s="224"/>
      <c r="S142" s="224"/>
      <c r="T142" s="224"/>
      <c r="U142" s="224"/>
      <c r="V142" s="224"/>
      <c r="W142" s="224"/>
      <c r="X142" s="224"/>
      <c r="Y142" s="224"/>
      <c r="Z142" s="224"/>
    </row>
    <row r="143" spans="1:26" ht="12.75" customHeight="1">
      <c r="A143" s="224"/>
      <c r="B143" s="226" t="s">
        <v>418</v>
      </c>
      <c r="C143" s="224" t="s">
        <v>419</v>
      </c>
      <c r="D143" s="224"/>
      <c r="E143" s="224"/>
      <c r="F143" s="224"/>
      <c r="G143" s="224"/>
      <c r="H143" s="224"/>
      <c r="I143" s="224"/>
      <c r="J143" s="224"/>
      <c r="K143" s="224"/>
      <c r="L143" s="224"/>
      <c r="M143" s="224"/>
      <c r="N143" s="224"/>
      <c r="O143" s="224"/>
      <c r="P143" s="224"/>
      <c r="Q143" s="224"/>
      <c r="R143" s="224"/>
      <c r="S143" s="224"/>
      <c r="T143" s="224"/>
      <c r="U143" s="224"/>
      <c r="V143" s="224"/>
      <c r="W143" s="224"/>
      <c r="X143" s="224"/>
      <c r="Y143" s="224"/>
      <c r="Z143" s="224"/>
    </row>
    <row r="144" spans="1:26" ht="12.75" customHeight="1">
      <c r="A144" s="232"/>
      <c r="B144" s="228" t="s">
        <v>420</v>
      </c>
      <c r="C144" s="232"/>
      <c r="D144" s="232"/>
      <c r="E144" s="232"/>
      <c r="F144" s="232"/>
      <c r="G144" s="232"/>
      <c r="H144" s="232"/>
      <c r="I144" s="232"/>
      <c r="J144" s="232"/>
      <c r="K144" s="232"/>
      <c r="L144" s="232"/>
      <c r="M144" s="232"/>
      <c r="N144" s="232"/>
      <c r="O144" s="232"/>
      <c r="P144" s="232"/>
      <c r="Q144" s="232"/>
      <c r="R144" s="232"/>
      <c r="S144" s="232"/>
      <c r="T144" s="232"/>
      <c r="U144" s="232"/>
      <c r="V144" s="232"/>
      <c r="W144" s="232"/>
      <c r="X144" s="232"/>
      <c r="Y144" s="232"/>
      <c r="Z144" s="232"/>
    </row>
    <row r="145" spans="1:26" ht="12.75" customHeight="1">
      <c r="A145" s="224">
        <v>414</v>
      </c>
      <c r="B145" s="226" t="s">
        <v>421</v>
      </c>
      <c r="C145" s="224" t="s">
        <v>422</v>
      </c>
      <c r="D145" s="224"/>
      <c r="E145" s="224"/>
      <c r="F145" s="224"/>
      <c r="G145" s="224"/>
      <c r="H145" s="224"/>
      <c r="I145" s="224"/>
      <c r="J145" s="224"/>
      <c r="K145" s="224"/>
      <c r="L145" s="224"/>
      <c r="M145" s="224"/>
      <c r="N145" s="224"/>
      <c r="O145" s="224"/>
      <c r="P145" s="224"/>
      <c r="Q145" s="224"/>
      <c r="R145" s="224"/>
      <c r="S145" s="224"/>
      <c r="T145" s="224"/>
      <c r="U145" s="224"/>
      <c r="V145" s="224"/>
      <c r="W145" s="224"/>
      <c r="X145" s="224"/>
      <c r="Y145" s="224"/>
      <c r="Z145" s="224"/>
    </row>
    <row r="146" spans="1:26" ht="12.75" customHeight="1">
      <c r="A146" s="224"/>
      <c r="B146" s="226" t="s">
        <v>423</v>
      </c>
      <c r="C146" s="224" t="s">
        <v>424</v>
      </c>
      <c r="D146" s="224"/>
      <c r="E146" s="224"/>
      <c r="F146" s="224"/>
      <c r="G146" s="224"/>
      <c r="H146" s="224"/>
      <c r="I146" s="224"/>
      <c r="J146" s="224"/>
      <c r="K146" s="224"/>
      <c r="L146" s="224"/>
      <c r="M146" s="224"/>
      <c r="N146" s="224"/>
      <c r="O146" s="224"/>
      <c r="P146" s="224"/>
      <c r="Q146" s="224"/>
      <c r="R146" s="224"/>
      <c r="S146" s="224"/>
      <c r="T146" s="224"/>
      <c r="U146" s="224"/>
      <c r="V146" s="224"/>
      <c r="W146" s="224"/>
      <c r="X146" s="224"/>
      <c r="Y146" s="224"/>
      <c r="Z146" s="224"/>
    </row>
    <row r="147" spans="1:26" ht="12.75" customHeight="1">
      <c r="A147" s="224"/>
      <c r="B147" s="226" t="s">
        <v>425</v>
      </c>
      <c r="C147" s="224" t="s">
        <v>426</v>
      </c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</row>
    <row r="148" spans="1:26" ht="12.75" customHeight="1">
      <c r="A148" s="224"/>
      <c r="B148" s="226" t="s">
        <v>427</v>
      </c>
      <c r="C148" s="224" t="s">
        <v>428</v>
      </c>
      <c r="D148" s="224"/>
      <c r="E148" s="224"/>
      <c r="F148" s="224"/>
      <c r="G148" s="224"/>
      <c r="H148" s="224"/>
      <c r="I148" s="224"/>
      <c r="J148" s="224"/>
      <c r="K148" s="224"/>
      <c r="L148" s="224"/>
      <c r="M148" s="224"/>
      <c r="N148" s="224"/>
      <c r="O148" s="224"/>
      <c r="P148" s="224"/>
      <c r="Q148" s="224"/>
      <c r="R148" s="224"/>
      <c r="S148" s="224"/>
      <c r="T148" s="224"/>
      <c r="U148" s="224"/>
      <c r="V148" s="224"/>
      <c r="W148" s="224"/>
      <c r="X148" s="224"/>
      <c r="Y148" s="224"/>
      <c r="Z148" s="224"/>
    </row>
    <row r="149" spans="1:26" ht="12.75" customHeight="1">
      <c r="A149" s="232"/>
      <c r="B149" s="228" t="s">
        <v>429</v>
      </c>
      <c r="C149" s="232"/>
      <c r="D149" s="232"/>
      <c r="E149" s="232"/>
      <c r="F149" s="232"/>
      <c r="G149" s="232"/>
      <c r="H149" s="232"/>
      <c r="I149" s="232"/>
      <c r="J149" s="232"/>
      <c r="K149" s="232"/>
      <c r="L149" s="232"/>
      <c r="M149" s="232"/>
      <c r="N149" s="232"/>
      <c r="O149" s="232"/>
      <c r="P149" s="232"/>
      <c r="Q149" s="232"/>
      <c r="R149" s="232"/>
      <c r="S149" s="232"/>
      <c r="T149" s="232"/>
      <c r="U149" s="232"/>
      <c r="V149" s="232"/>
      <c r="W149" s="232"/>
      <c r="X149" s="232"/>
      <c r="Y149" s="232"/>
      <c r="Z149" s="232"/>
    </row>
    <row r="150" spans="1:26" ht="12.75" customHeight="1">
      <c r="A150" s="224">
        <v>415</v>
      </c>
      <c r="B150" s="226" t="s">
        <v>430</v>
      </c>
      <c r="C150" s="224" t="s">
        <v>431</v>
      </c>
      <c r="D150" s="224"/>
      <c r="E150" s="224"/>
      <c r="F150" s="224"/>
      <c r="G150" s="224"/>
      <c r="H150" s="224"/>
      <c r="I150" s="224"/>
      <c r="J150" s="224"/>
      <c r="K150" s="224"/>
      <c r="L150" s="224"/>
      <c r="M150" s="224"/>
      <c r="N150" s="224"/>
      <c r="O150" s="224"/>
      <c r="P150" s="224"/>
      <c r="Q150" s="224"/>
      <c r="R150" s="224"/>
      <c r="S150" s="224"/>
      <c r="T150" s="224"/>
      <c r="U150" s="224"/>
      <c r="V150" s="224"/>
      <c r="W150" s="224"/>
      <c r="X150" s="224"/>
      <c r="Y150" s="224"/>
      <c r="Z150" s="224"/>
    </row>
    <row r="151" spans="1:26" ht="12.75" customHeight="1">
      <c r="A151" s="224">
        <v>416</v>
      </c>
      <c r="B151" s="226" t="s">
        <v>432</v>
      </c>
      <c r="C151" s="224" t="s">
        <v>433</v>
      </c>
      <c r="D151" s="224"/>
      <c r="E151" s="224"/>
      <c r="F151" s="224"/>
      <c r="G151" s="224"/>
      <c r="H151" s="224"/>
      <c r="I151" s="224"/>
      <c r="J151" s="224"/>
      <c r="K151" s="224"/>
      <c r="L151" s="224"/>
      <c r="M151" s="224"/>
      <c r="N151" s="224"/>
      <c r="O151" s="224"/>
      <c r="P151" s="224"/>
      <c r="Q151" s="224"/>
      <c r="R151" s="224"/>
      <c r="S151" s="224"/>
      <c r="T151" s="224"/>
      <c r="U151" s="224"/>
      <c r="V151" s="224"/>
      <c r="W151" s="224"/>
      <c r="X151" s="224"/>
      <c r="Y151" s="224"/>
      <c r="Z151" s="224"/>
    </row>
    <row r="152" spans="1:26" ht="12.75" customHeight="1">
      <c r="A152" s="224">
        <v>417</v>
      </c>
      <c r="B152" s="226" t="s">
        <v>434</v>
      </c>
      <c r="C152" s="224" t="s">
        <v>435</v>
      </c>
      <c r="D152" s="224"/>
      <c r="E152" s="224"/>
      <c r="F152" s="224"/>
      <c r="G152" s="224"/>
      <c r="H152" s="224"/>
      <c r="I152" s="224"/>
      <c r="J152" s="224"/>
      <c r="K152" s="224"/>
      <c r="L152" s="224"/>
      <c r="M152" s="224"/>
      <c r="N152" s="224"/>
      <c r="O152" s="224"/>
      <c r="P152" s="224"/>
      <c r="Q152" s="224"/>
      <c r="R152" s="224"/>
      <c r="S152" s="224"/>
      <c r="T152" s="224"/>
      <c r="U152" s="224"/>
      <c r="V152" s="224"/>
      <c r="W152" s="224"/>
      <c r="X152" s="224"/>
      <c r="Y152" s="224"/>
      <c r="Z152" s="224"/>
    </row>
    <row r="153" spans="1:26" ht="12.75" customHeight="1">
      <c r="A153" s="224">
        <v>418</v>
      </c>
      <c r="B153" s="226" t="s">
        <v>436</v>
      </c>
      <c r="C153" s="224" t="s">
        <v>437</v>
      </c>
      <c r="D153" s="224"/>
      <c r="E153" s="224"/>
      <c r="F153" s="224"/>
      <c r="G153" s="224"/>
      <c r="H153" s="224"/>
      <c r="I153" s="224"/>
      <c r="J153" s="224"/>
      <c r="K153" s="224"/>
      <c r="L153" s="224"/>
      <c r="M153" s="224"/>
      <c r="N153" s="224"/>
      <c r="O153" s="224"/>
      <c r="P153" s="224"/>
      <c r="Q153" s="224"/>
      <c r="R153" s="224"/>
      <c r="S153" s="224"/>
      <c r="T153" s="224"/>
      <c r="U153" s="224"/>
      <c r="V153" s="224"/>
      <c r="W153" s="224"/>
      <c r="X153" s="224"/>
      <c r="Y153" s="224"/>
      <c r="Z153" s="224"/>
    </row>
    <row r="154" spans="1:26" ht="12.75" customHeight="1">
      <c r="A154" s="224"/>
      <c r="B154" s="226" t="s">
        <v>438</v>
      </c>
      <c r="C154" s="224" t="s">
        <v>439</v>
      </c>
      <c r="D154" s="224"/>
      <c r="E154" s="224"/>
      <c r="F154" s="224"/>
      <c r="G154" s="224"/>
      <c r="H154" s="224"/>
      <c r="I154" s="224"/>
      <c r="J154" s="224"/>
      <c r="K154" s="224"/>
      <c r="L154" s="224"/>
      <c r="M154" s="224"/>
      <c r="N154" s="224"/>
      <c r="O154" s="224"/>
      <c r="P154" s="224"/>
      <c r="Q154" s="224"/>
      <c r="R154" s="224"/>
      <c r="S154" s="224"/>
      <c r="T154" s="224"/>
      <c r="U154" s="224"/>
      <c r="V154" s="224"/>
      <c r="W154" s="224"/>
      <c r="X154" s="224"/>
      <c r="Y154" s="224"/>
      <c r="Z154" s="224"/>
    </row>
    <row r="155" spans="1:26" ht="12.75" customHeight="1">
      <c r="A155" s="224"/>
      <c r="B155" s="227" t="s">
        <v>440</v>
      </c>
      <c r="C155" s="224"/>
      <c r="D155" s="224"/>
      <c r="E155" s="224"/>
      <c r="F155" s="224"/>
      <c r="G155" s="224"/>
      <c r="H155" s="224"/>
      <c r="I155" s="224"/>
      <c r="J155" s="224"/>
      <c r="K155" s="224"/>
      <c r="L155" s="224"/>
      <c r="M155" s="224"/>
      <c r="N155" s="224"/>
      <c r="O155" s="224"/>
      <c r="P155" s="224"/>
      <c r="Q155" s="224"/>
      <c r="R155" s="224"/>
      <c r="S155" s="224"/>
      <c r="T155" s="224"/>
      <c r="U155" s="224"/>
      <c r="V155" s="224"/>
      <c r="W155" s="224"/>
      <c r="X155" s="224"/>
      <c r="Y155" s="224"/>
      <c r="Z155" s="224"/>
    </row>
    <row r="156" spans="1:26" ht="12.75" customHeight="1">
      <c r="A156" s="224">
        <v>421</v>
      </c>
      <c r="B156" s="226" t="s">
        <v>441</v>
      </c>
      <c r="C156" s="224" t="s">
        <v>442</v>
      </c>
      <c r="D156" s="224"/>
      <c r="E156" s="224"/>
      <c r="F156" s="224"/>
      <c r="G156" s="224"/>
      <c r="H156" s="224"/>
      <c r="I156" s="224"/>
      <c r="J156" s="224"/>
      <c r="K156" s="224"/>
      <c r="L156" s="224"/>
      <c r="M156" s="224"/>
      <c r="N156" s="224"/>
      <c r="O156" s="224"/>
      <c r="P156" s="224"/>
      <c r="Q156" s="224"/>
      <c r="R156" s="224"/>
      <c r="S156" s="224"/>
      <c r="T156" s="224"/>
      <c r="U156" s="224"/>
      <c r="V156" s="224"/>
      <c r="W156" s="224"/>
      <c r="X156" s="224"/>
      <c r="Y156" s="224"/>
      <c r="Z156" s="224"/>
    </row>
    <row r="157" spans="1:26" ht="12.75" customHeight="1">
      <c r="A157" s="224"/>
      <c r="B157" s="226" t="s">
        <v>443</v>
      </c>
      <c r="C157" s="224" t="s">
        <v>444</v>
      </c>
      <c r="D157" s="224"/>
      <c r="E157" s="224"/>
      <c r="F157" s="224"/>
      <c r="G157" s="224"/>
      <c r="H157" s="224"/>
      <c r="I157" s="224"/>
      <c r="J157" s="224"/>
      <c r="K157" s="224"/>
      <c r="L157" s="224"/>
      <c r="M157" s="224"/>
      <c r="N157" s="224"/>
      <c r="O157" s="224"/>
      <c r="P157" s="224"/>
      <c r="Q157" s="224"/>
      <c r="R157" s="224"/>
      <c r="S157" s="224"/>
      <c r="T157" s="224"/>
      <c r="U157" s="224"/>
      <c r="V157" s="224"/>
      <c r="W157" s="224"/>
      <c r="X157" s="224"/>
      <c r="Y157" s="224"/>
      <c r="Z157" s="224"/>
    </row>
    <row r="158" spans="1:26" ht="12.75" customHeight="1">
      <c r="A158" s="224">
        <v>422</v>
      </c>
      <c r="B158" s="226" t="s">
        <v>445</v>
      </c>
      <c r="C158" s="224" t="s">
        <v>446</v>
      </c>
      <c r="D158" s="224"/>
      <c r="E158" s="224"/>
      <c r="F158" s="224"/>
      <c r="G158" s="224"/>
      <c r="H158" s="224"/>
      <c r="I158" s="224"/>
      <c r="J158" s="224"/>
      <c r="K158" s="224"/>
      <c r="L158" s="224"/>
      <c r="M158" s="224"/>
      <c r="N158" s="224"/>
      <c r="O158" s="224"/>
      <c r="P158" s="224"/>
      <c r="Q158" s="224"/>
      <c r="R158" s="224"/>
      <c r="S158" s="224"/>
      <c r="T158" s="224"/>
      <c r="U158" s="224"/>
      <c r="V158" s="224"/>
      <c r="W158" s="224"/>
      <c r="X158" s="224"/>
      <c r="Y158" s="224"/>
      <c r="Z158" s="224"/>
    </row>
    <row r="159" spans="1:26" ht="12.75" customHeight="1">
      <c r="A159" s="224">
        <v>423</v>
      </c>
      <c r="B159" s="226" t="s">
        <v>447</v>
      </c>
      <c r="C159" s="224" t="s">
        <v>448</v>
      </c>
      <c r="D159" s="224"/>
      <c r="E159" s="224"/>
      <c r="F159" s="224"/>
      <c r="G159" s="224"/>
      <c r="H159" s="224"/>
      <c r="I159" s="224"/>
      <c r="J159" s="224"/>
      <c r="K159" s="224"/>
      <c r="L159" s="224"/>
      <c r="M159" s="224"/>
      <c r="N159" s="224"/>
      <c r="O159" s="224"/>
      <c r="P159" s="224"/>
      <c r="Q159" s="224"/>
      <c r="R159" s="224"/>
      <c r="S159" s="224"/>
      <c r="T159" s="224"/>
      <c r="U159" s="224"/>
      <c r="V159" s="224"/>
      <c r="W159" s="224"/>
      <c r="X159" s="224"/>
      <c r="Y159" s="224"/>
      <c r="Z159" s="224"/>
    </row>
    <row r="160" spans="1:26" ht="12.75" customHeight="1">
      <c r="A160" s="224"/>
      <c r="B160" s="227" t="s">
        <v>449</v>
      </c>
      <c r="C160" s="224"/>
      <c r="D160" s="224"/>
      <c r="E160" s="224"/>
      <c r="F160" s="224"/>
      <c r="G160" s="224"/>
      <c r="H160" s="224"/>
      <c r="I160" s="224"/>
      <c r="J160" s="224"/>
      <c r="K160" s="224"/>
      <c r="L160" s="224"/>
      <c r="M160" s="224"/>
      <c r="N160" s="224"/>
      <c r="O160" s="224"/>
      <c r="P160" s="224"/>
      <c r="Q160" s="224"/>
      <c r="R160" s="224"/>
      <c r="S160" s="224"/>
      <c r="T160" s="224"/>
      <c r="U160" s="224"/>
      <c r="V160" s="224"/>
      <c r="W160" s="224"/>
      <c r="X160" s="224"/>
      <c r="Y160" s="224"/>
      <c r="Z160" s="224"/>
    </row>
    <row r="161" spans="1:26" ht="12.75" customHeight="1">
      <c r="A161" s="224"/>
      <c r="B161" s="227" t="s">
        <v>450</v>
      </c>
      <c r="C161" s="224"/>
      <c r="D161" s="224"/>
      <c r="E161" s="224"/>
      <c r="F161" s="224"/>
      <c r="G161" s="224"/>
      <c r="H161" s="224"/>
      <c r="I161" s="224"/>
      <c r="J161" s="224"/>
      <c r="K161" s="224"/>
      <c r="L161" s="224"/>
      <c r="M161" s="224"/>
      <c r="N161" s="224"/>
      <c r="O161" s="224"/>
      <c r="P161" s="224"/>
      <c r="Q161" s="224"/>
      <c r="R161" s="224"/>
      <c r="S161" s="224"/>
      <c r="T161" s="224"/>
      <c r="U161" s="224"/>
      <c r="V161" s="224"/>
      <c r="W161" s="224"/>
      <c r="X161" s="224"/>
      <c r="Y161" s="224"/>
      <c r="Z161" s="224"/>
    </row>
    <row r="162" spans="1:26" ht="12.75" customHeight="1">
      <c r="A162" s="224"/>
      <c r="B162" s="227" t="s">
        <v>451</v>
      </c>
      <c r="C162" s="224"/>
      <c r="D162" s="224"/>
      <c r="E162" s="224"/>
      <c r="F162" s="224"/>
      <c r="G162" s="224"/>
      <c r="H162" s="224"/>
      <c r="I162" s="224"/>
      <c r="J162" s="224"/>
      <c r="K162" s="224"/>
      <c r="L162" s="224"/>
      <c r="M162" s="224"/>
      <c r="N162" s="224"/>
      <c r="O162" s="224"/>
      <c r="P162" s="224"/>
      <c r="Q162" s="224"/>
      <c r="R162" s="224"/>
      <c r="S162" s="224"/>
      <c r="T162" s="224"/>
      <c r="U162" s="224"/>
      <c r="V162" s="224"/>
      <c r="W162" s="224"/>
      <c r="X162" s="224"/>
      <c r="Y162" s="224"/>
      <c r="Z162" s="224"/>
    </row>
    <row r="163" spans="1:26" ht="12.75" customHeight="1">
      <c r="A163" s="224"/>
      <c r="B163" s="227" t="s">
        <v>452</v>
      </c>
      <c r="C163" s="224"/>
      <c r="D163" s="224"/>
      <c r="E163" s="224"/>
      <c r="F163" s="224"/>
      <c r="G163" s="224"/>
      <c r="H163" s="224"/>
      <c r="I163" s="224"/>
      <c r="J163" s="224"/>
      <c r="K163" s="224"/>
      <c r="L163" s="224"/>
      <c r="M163" s="224"/>
      <c r="N163" s="224"/>
      <c r="O163" s="224"/>
      <c r="P163" s="224"/>
      <c r="Q163" s="224"/>
      <c r="R163" s="224"/>
      <c r="S163" s="224"/>
      <c r="T163" s="224"/>
      <c r="U163" s="224"/>
      <c r="V163" s="224"/>
      <c r="W163" s="224"/>
      <c r="X163" s="224"/>
      <c r="Y163" s="224"/>
      <c r="Z163" s="224"/>
    </row>
    <row r="164" spans="1:26" ht="12.75" customHeight="1">
      <c r="A164" s="224">
        <v>439</v>
      </c>
      <c r="B164" s="226" t="s">
        <v>453</v>
      </c>
      <c r="C164" s="224" t="s">
        <v>454</v>
      </c>
      <c r="D164" s="224"/>
      <c r="E164" s="224"/>
      <c r="F164" s="224"/>
      <c r="G164" s="224"/>
      <c r="H164" s="224"/>
      <c r="I164" s="224"/>
      <c r="J164" s="224"/>
      <c r="K164" s="224"/>
      <c r="L164" s="224"/>
      <c r="M164" s="224"/>
      <c r="N164" s="224"/>
      <c r="O164" s="224"/>
      <c r="P164" s="224"/>
      <c r="Q164" s="224"/>
      <c r="R164" s="224"/>
      <c r="S164" s="224"/>
      <c r="T164" s="224"/>
      <c r="U164" s="224"/>
      <c r="V164" s="224"/>
      <c r="W164" s="224"/>
      <c r="X164" s="224"/>
      <c r="Y164" s="224"/>
      <c r="Z164" s="224"/>
    </row>
    <row r="165" spans="1:26" ht="28.5" customHeight="1">
      <c r="A165" s="224"/>
      <c r="B165" s="5" t="s">
        <v>455</v>
      </c>
      <c r="C165" s="4"/>
      <c r="D165" s="4"/>
      <c r="E165" s="4"/>
      <c r="F165" s="4"/>
      <c r="G165" s="4"/>
      <c r="H165" s="4"/>
      <c r="I165" s="224"/>
      <c r="J165" s="224"/>
      <c r="K165" s="224"/>
      <c r="L165" s="224"/>
      <c r="M165" s="224"/>
      <c r="N165" s="224"/>
      <c r="O165" s="224"/>
      <c r="P165" s="224"/>
      <c r="Q165" s="224"/>
      <c r="R165" s="224"/>
      <c r="S165" s="224"/>
      <c r="T165" s="224"/>
      <c r="U165" s="224"/>
      <c r="V165" s="224"/>
      <c r="W165" s="224"/>
      <c r="X165" s="224"/>
      <c r="Y165" s="224"/>
      <c r="Z165" s="224"/>
    </row>
    <row r="166" spans="1:26" ht="12.75" customHeight="1">
      <c r="A166" s="224"/>
      <c r="B166" s="227" t="s">
        <v>456</v>
      </c>
      <c r="C166" s="224"/>
      <c r="D166" s="224"/>
      <c r="E166" s="224"/>
      <c r="F166" s="224"/>
      <c r="G166" s="224"/>
      <c r="H166" s="224"/>
      <c r="I166" s="224"/>
      <c r="J166" s="224"/>
      <c r="K166" s="224"/>
      <c r="L166" s="224"/>
      <c r="M166" s="224"/>
      <c r="N166" s="224"/>
      <c r="O166" s="224"/>
      <c r="P166" s="224"/>
      <c r="Q166" s="224"/>
      <c r="R166" s="224"/>
      <c r="S166" s="224"/>
      <c r="T166" s="224"/>
      <c r="U166" s="224"/>
      <c r="V166" s="224"/>
      <c r="W166" s="224"/>
      <c r="X166" s="224"/>
      <c r="Y166" s="224"/>
      <c r="Z166" s="224"/>
    </row>
    <row r="167" spans="1:26" ht="12.75" customHeight="1">
      <c r="A167" s="224">
        <v>501</v>
      </c>
      <c r="B167" s="226" t="s">
        <v>457</v>
      </c>
      <c r="C167" s="224" t="s">
        <v>458</v>
      </c>
      <c r="D167" s="224"/>
      <c r="E167" s="224"/>
      <c r="F167" s="224"/>
      <c r="G167" s="224"/>
      <c r="H167" s="224"/>
      <c r="I167" s="224"/>
      <c r="J167" s="224"/>
      <c r="K167" s="224"/>
      <c r="L167" s="224"/>
      <c r="M167" s="224"/>
      <c r="N167" s="224"/>
      <c r="O167" s="224"/>
      <c r="P167" s="224"/>
      <c r="Q167" s="224"/>
      <c r="R167" s="224"/>
      <c r="S167" s="224"/>
      <c r="T167" s="224"/>
      <c r="U167" s="224"/>
      <c r="V167" s="224"/>
      <c r="W167" s="224"/>
      <c r="X167" s="224"/>
      <c r="Y167" s="224"/>
      <c r="Z167" s="224"/>
    </row>
    <row r="168" spans="1:26" ht="12.75" customHeight="1">
      <c r="A168" s="224">
        <v>684</v>
      </c>
      <c r="B168" s="226" t="s">
        <v>457</v>
      </c>
      <c r="C168" s="224" t="s">
        <v>459</v>
      </c>
      <c r="D168" s="224"/>
      <c r="E168" s="224"/>
      <c r="F168" s="224"/>
      <c r="G168" s="224"/>
      <c r="H168" s="224"/>
      <c r="I168" s="224"/>
      <c r="J168" s="224"/>
      <c r="K168" s="224"/>
      <c r="L168" s="224"/>
      <c r="M168" s="224"/>
      <c r="N168" s="224"/>
      <c r="O168" s="224"/>
      <c r="P168" s="224"/>
      <c r="Q168" s="224"/>
      <c r="R168" s="224"/>
      <c r="S168" s="224"/>
      <c r="T168" s="224"/>
      <c r="U168" s="224"/>
      <c r="V168" s="224"/>
      <c r="W168" s="224"/>
      <c r="X168" s="224"/>
      <c r="Y168" s="224"/>
      <c r="Z168" s="224"/>
    </row>
    <row r="169" spans="1:26" ht="12.75" customHeight="1">
      <c r="A169" s="224"/>
      <c r="B169" s="227" t="s">
        <v>460</v>
      </c>
      <c r="C169" s="224"/>
      <c r="D169" s="224"/>
      <c r="E169" s="224"/>
      <c r="F169" s="224"/>
      <c r="G169" s="224"/>
      <c r="H169" s="224"/>
      <c r="I169" s="224"/>
      <c r="J169" s="224"/>
      <c r="K169" s="224"/>
      <c r="L169" s="224"/>
      <c r="M169" s="224"/>
      <c r="N169" s="224"/>
      <c r="O169" s="224"/>
      <c r="P169" s="224"/>
      <c r="Q169" s="224"/>
      <c r="R169" s="224"/>
      <c r="S169" s="224"/>
      <c r="T169" s="224"/>
      <c r="U169" s="224"/>
      <c r="V169" s="224"/>
      <c r="W169" s="224"/>
      <c r="X169" s="224"/>
      <c r="Y169" s="224"/>
      <c r="Z169" s="224"/>
    </row>
    <row r="170" spans="1:26" ht="12.75" customHeight="1">
      <c r="A170" s="224"/>
      <c r="B170" s="226" t="s">
        <v>461</v>
      </c>
      <c r="C170" s="224" t="s">
        <v>462</v>
      </c>
      <c r="D170" s="224"/>
      <c r="E170" s="224"/>
      <c r="F170" s="224"/>
      <c r="G170" s="224"/>
      <c r="H170" s="224"/>
      <c r="I170" s="224"/>
      <c r="J170" s="224"/>
      <c r="K170" s="224"/>
      <c r="L170" s="224"/>
      <c r="M170" s="224"/>
      <c r="N170" s="224"/>
      <c r="O170" s="224"/>
      <c r="P170" s="224"/>
      <c r="Q170" s="224"/>
      <c r="R170" s="224"/>
      <c r="S170" s="224"/>
      <c r="T170" s="224"/>
      <c r="U170" s="224"/>
      <c r="V170" s="224"/>
      <c r="W170" s="224"/>
      <c r="X170" s="224"/>
      <c r="Y170" s="224"/>
      <c r="Z170" s="224"/>
    </row>
    <row r="171" spans="1:26" ht="12.75" customHeight="1">
      <c r="A171" s="224"/>
      <c r="B171" s="227" t="s">
        <v>463</v>
      </c>
      <c r="C171" s="224"/>
      <c r="D171" s="224"/>
      <c r="E171" s="224"/>
      <c r="F171" s="224"/>
      <c r="G171" s="224"/>
      <c r="H171" s="224"/>
      <c r="I171" s="224"/>
      <c r="J171" s="224"/>
      <c r="K171" s="224"/>
      <c r="L171" s="224"/>
      <c r="M171" s="224"/>
      <c r="N171" s="224"/>
      <c r="O171" s="224"/>
      <c r="P171" s="224"/>
      <c r="Q171" s="224"/>
      <c r="R171" s="224"/>
      <c r="S171" s="224"/>
      <c r="T171" s="224"/>
      <c r="U171" s="224"/>
      <c r="V171" s="224"/>
      <c r="W171" s="224"/>
      <c r="X171" s="224"/>
      <c r="Y171" s="224"/>
      <c r="Z171" s="224"/>
    </row>
    <row r="172" spans="1:26" ht="12.75" customHeight="1">
      <c r="A172" s="224"/>
      <c r="B172" s="226" t="s">
        <v>464</v>
      </c>
      <c r="C172" s="224" t="s">
        <v>465</v>
      </c>
      <c r="D172" s="224"/>
      <c r="E172" s="224"/>
      <c r="F172" s="224"/>
      <c r="G172" s="224"/>
      <c r="H172" s="224"/>
      <c r="I172" s="224"/>
      <c r="J172" s="224"/>
      <c r="K172" s="224"/>
      <c r="L172" s="224"/>
      <c r="M172" s="224"/>
      <c r="N172" s="224"/>
      <c r="O172" s="224"/>
      <c r="P172" s="224"/>
      <c r="Q172" s="224"/>
      <c r="R172" s="224"/>
      <c r="S172" s="224"/>
      <c r="T172" s="224"/>
      <c r="U172" s="224"/>
      <c r="V172" s="224"/>
      <c r="W172" s="224"/>
      <c r="X172" s="224"/>
      <c r="Y172" s="224"/>
      <c r="Z172" s="224"/>
    </row>
    <row r="173" spans="1:26" ht="12.75" customHeight="1">
      <c r="A173" s="224"/>
      <c r="B173" s="227" t="s">
        <v>466</v>
      </c>
      <c r="C173" s="224"/>
      <c r="D173" s="224"/>
      <c r="E173" s="224"/>
      <c r="F173" s="224"/>
      <c r="G173" s="224"/>
      <c r="H173" s="224"/>
      <c r="I173" s="224"/>
      <c r="J173" s="224"/>
      <c r="K173" s="224"/>
      <c r="L173" s="224"/>
      <c r="M173" s="224"/>
      <c r="N173" s="224"/>
      <c r="O173" s="224"/>
      <c r="P173" s="224"/>
      <c r="Q173" s="224"/>
      <c r="R173" s="224"/>
      <c r="S173" s="224"/>
      <c r="T173" s="224"/>
      <c r="U173" s="224"/>
      <c r="V173" s="224"/>
      <c r="W173" s="224"/>
      <c r="X173" s="224"/>
      <c r="Y173" s="224"/>
      <c r="Z173" s="224"/>
    </row>
    <row r="174" spans="1:26" ht="12.75" customHeight="1">
      <c r="A174" s="224"/>
      <c r="B174" s="226" t="s">
        <v>467</v>
      </c>
      <c r="C174" s="224" t="s">
        <v>468</v>
      </c>
      <c r="D174" s="224"/>
      <c r="E174" s="224"/>
      <c r="F174" s="224"/>
      <c r="G174" s="224"/>
      <c r="H174" s="224"/>
      <c r="I174" s="224"/>
      <c r="J174" s="224"/>
      <c r="K174" s="224"/>
      <c r="L174" s="224"/>
      <c r="M174" s="224"/>
      <c r="N174" s="224"/>
      <c r="O174" s="224"/>
      <c r="P174" s="224"/>
      <c r="Q174" s="224"/>
      <c r="R174" s="224"/>
      <c r="S174" s="224"/>
      <c r="T174" s="224"/>
      <c r="U174" s="224"/>
      <c r="V174" s="224"/>
      <c r="W174" s="224"/>
      <c r="X174" s="224"/>
      <c r="Y174" s="224"/>
      <c r="Z174" s="224"/>
    </row>
    <row r="175" spans="1:26" ht="24" customHeight="1">
      <c r="A175" s="224"/>
      <c r="B175" s="5" t="s">
        <v>469</v>
      </c>
      <c r="C175" s="4"/>
      <c r="D175" s="4"/>
      <c r="E175" s="4"/>
      <c r="F175" s="4"/>
      <c r="G175" s="4"/>
      <c r="H175" s="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224"/>
      <c r="T175" s="224"/>
      <c r="U175" s="224"/>
      <c r="V175" s="224"/>
      <c r="W175" s="224"/>
      <c r="X175" s="224"/>
      <c r="Y175" s="224"/>
      <c r="Z175" s="224"/>
    </row>
    <row r="176" spans="1:26" ht="12.75" customHeight="1">
      <c r="A176" s="224"/>
      <c r="B176" s="227" t="s">
        <v>470</v>
      </c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224"/>
      <c r="T176" s="224"/>
      <c r="U176" s="224"/>
      <c r="V176" s="224"/>
      <c r="W176" s="224"/>
      <c r="X176" s="224"/>
      <c r="Y176" s="224"/>
      <c r="Z176" s="224"/>
    </row>
    <row r="177" spans="1:26" ht="12.75" customHeight="1">
      <c r="A177" s="224"/>
      <c r="B177" s="227" t="s">
        <v>471</v>
      </c>
      <c r="C177" s="224"/>
      <c r="D177" s="224"/>
      <c r="E177" s="224"/>
      <c r="F177" s="224"/>
      <c r="G177" s="224"/>
      <c r="H177" s="224"/>
      <c r="I177" s="224"/>
      <c r="J177" s="224"/>
      <c r="K177" s="224"/>
      <c r="L177" s="224"/>
      <c r="M177" s="224"/>
      <c r="N177" s="224"/>
      <c r="O177" s="224"/>
      <c r="P177" s="224"/>
      <c r="Q177" s="224"/>
      <c r="R177" s="224"/>
      <c r="S177" s="224"/>
      <c r="T177" s="224"/>
      <c r="U177" s="224"/>
      <c r="V177" s="224"/>
      <c r="W177" s="224"/>
      <c r="X177" s="224"/>
      <c r="Y177" s="224"/>
      <c r="Z177" s="224"/>
    </row>
    <row r="178" spans="1:26" ht="12.75" customHeight="1">
      <c r="A178" s="224"/>
      <c r="B178" s="227" t="s">
        <v>472</v>
      </c>
      <c r="C178" s="224"/>
      <c r="D178" s="224"/>
      <c r="E178" s="224"/>
      <c r="F178" s="224"/>
      <c r="G178" s="224"/>
      <c r="H178" s="224"/>
      <c r="I178" s="224"/>
      <c r="J178" s="224"/>
      <c r="K178" s="224"/>
      <c r="L178" s="224"/>
      <c r="M178" s="224"/>
      <c r="N178" s="224"/>
      <c r="O178" s="224"/>
      <c r="P178" s="224"/>
      <c r="Q178" s="224"/>
      <c r="R178" s="224"/>
      <c r="S178" s="224"/>
      <c r="T178" s="224"/>
      <c r="U178" s="224"/>
      <c r="V178" s="224"/>
      <c r="W178" s="224"/>
      <c r="X178" s="224"/>
      <c r="Y178" s="224"/>
      <c r="Z178" s="224"/>
    </row>
    <row r="179" spans="1:26" ht="12.75" customHeight="1">
      <c r="A179" s="224">
        <v>651</v>
      </c>
      <c r="B179" s="226" t="s">
        <v>473</v>
      </c>
      <c r="C179" s="224" t="s">
        <v>474</v>
      </c>
      <c r="D179" s="224"/>
      <c r="E179" s="224"/>
      <c r="F179" s="224"/>
      <c r="G179" s="224"/>
      <c r="H179" s="224"/>
      <c r="I179" s="224"/>
      <c r="J179" s="224"/>
      <c r="K179" s="224"/>
      <c r="L179" s="224"/>
      <c r="M179" s="224"/>
      <c r="N179" s="224"/>
      <c r="O179" s="224"/>
      <c r="P179" s="224"/>
      <c r="Q179" s="224"/>
      <c r="R179" s="224"/>
      <c r="S179" s="224"/>
      <c r="T179" s="224"/>
      <c r="U179" s="224"/>
      <c r="V179" s="224"/>
      <c r="W179" s="224"/>
      <c r="X179" s="224"/>
      <c r="Y179" s="224"/>
      <c r="Z179" s="224"/>
    </row>
    <row r="180" spans="1:26" ht="12.75" customHeight="1">
      <c r="A180" s="224">
        <v>652</v>
      </c>
      <c r="B180" s="226" t="s">
        <v>475</v>
      </c>
      <c r="C180" s="224" t="s">
        <v>476</v>
      </c>
      <c r="D180" s="224"/>
      <c r="E180" s="224"/>
      <c r="F180" s="224"/>
      <c r="G180" s="224"/>
      <c r="H180" s="224"/>
      <c r="I180" s="224"/>
      <c r="J180" s="224"/>
      <c r="K180" s="224"/>
      <c r="L180" s="224"/>
      <c r="M180" s="224"/>
      <c r="N180" s="224"/>
      <c r="O180" s="224"/>
      <c r="P180" s="224"/>
      <c r="Q180" s="224"/>
      <c r="R180" s="224"/>
      <c r="S180" s="224"/>
      <c r="T180" s="224"/>
      <c r="U180" s="224"/>
      <c r="V180" s="224"/>
      <c r="W180" s="224"/>
      <c r="X180" s="224"/>
      <c r="Y180" s="224"/>
      <c r="Z180" s="224"/>
    </row>
    <row r="181" spans="1:26" ht="12.75" customHeight="1">
      <c r="A181" s="224">
        <v>656</v>
      </c>
      <c r="B181" s="226" t="s">
        <v>477</v>
      </c>
      <c r="C181" s="224" t="s">
        <v>478</v>
      </c>
      <c r="D181" s="224"/>
      <c r="E181" s="224"/>
      <c r="F181" s="224"/>
      <c r="G181" s="224"/>
      <c r="H181" s="224"/>
      <c r="I181" s="224"/>
      <c r="J181" s="224"/>
      <c r="K181" s="224"/>
      <c r="L181" s="224"/>
      <c r="M181" s="224"/>
      <c r="N181" s="224"/>
      <c r="O181" s="224"/>
      <c r="P181" s="224"/>
      <c r="Q181" s="224"/>
      <c r="R181" s="224"/>
      <c r="S181" s="224"/>
      <c r="T181" s="224"/>
      <c r="U181" s="224"/>
      <c r="V181" s="224"/>
      <c r="W181" s="224"/>
      <c r="X181" s="224"/>
      <c r="Y181" s="224"/>
      <c r="Z181" s="224"/>
    </row>
    <row r="182" spans="1:26" ht="12.75" customHeight="1">
      <c r="A182" s="224"/>
      <c r="B182" s="226" t="s">
        <v>479</v>
      </c>
      <c r="C182" s="224" t="s">
        <v>480</v>
      </c>
      <c r="D182" s="224"/>
      <c r="E182" s="224"/>
      <c r="F182" s="224"/>
      <c r="G182" s="224"/>
      <c r="H182" s="224"/>
      <c r="I182" s="224"/>
      <c r="J182" s="224"/>
      <c r="K182" s="224"/>
      <c r="L182" s="224"/>
      <c r="M182" s="224"/>
      <c r="N182" s="224"/>
      <c r="O182" s="224"/>
      <c r="P182" s="224"/>
      <c r="Q182" s="224"/>
      <c r="R182" s="224"/>
      <c r="S182" s="224"/>
      <c r="T182" s="224"/>
      <c r="U182" s="224"/>
      <c r="V182" s="224"/>
      <c r="W182" s="224"/>
      <c r="X182" s="224"/>
      <c r="Y182" s="224"/>
      <c r="Z182" s="224"/>
    </row>
    <row r="183" spans="1:26" ht="12.75" customHeight="1">
      <c r="A183" s="224">
        <v>657</v>
      </c>
      <c r="B183" s="226" t="s">
        <v>481</v>
      </c>
      <c r="C183" s="224" t="s">
        <v>482</v>
      </c>
      <c r="D183" s="224"/>
      <c r="E183" s="224"/>
      <c r="F183" s="224"/>
      <c r="G183" s="224"/>
      <c r="H183" s="224"/>
      <c r="I183" s="224"/>
      <c r="J183" s="224"/>
      <c r="K183" s="224"/>
      <c r="L183" s="224"/>
      <c r="M183" s="224"/>
      <c r="N183" s="224"/>
      <c r="O183" s="224"/>
      <c r="P183" s="224"/>
      <c r="Q183" s="224"/>
      <c r="R183" s="224"/>
      <c r="S183" s="224"/>
      <c r="T183" s="224"/>
      <c r="U183" s="224"/>
      <c r="V183" s="224"/>
      <c r="W183" s="224"/>
      <c r="X183" s="224"/>
      <c r="Y183" s="224"/>
      <c r="Z183" s="224"/>
    </row>
    <row r="184" spans="1:26" ht="12.75" customHeight="1">
      <c r="A184" s="224"/>
      <c r="B184" s="227" t="s">
        <v>483</v>
      </c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224"/>
      <c r="T184" s="224"/>
      <c r="U184" s="224"/>
      <c r="V184" s="224"/>
      <c r="W184" s="224"/>
      <c r="X184" s="224"/>
      <c r="Y184" s="224"/>
      <c r="Z184" s="224"/>
    </row>
    <row r="185" spans="1:26" ht="12.75" customHeight="1">
      <c r="A185" s="224"/>
      <c r="B185" s="227" t="s">
        <v>484</v>
      </c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224"/>
      <c r="T185" s="224"/>
      <c r="U185" s="224"/>
      <c r="V185" s="224"/>
      <c r="W185" s="224"/>
      <c r="X185" s="224"/>
      <c r="Y185" s="224"/>
      <c r="Z185" s="224"/>
    </row>
    <row r="186" spans="1:26" ht="12.75" customHeight="1">
      <c r="A186" s="224"/>
      <c r="B186" s="226" t="s">
        <v>485</v>
      </c>
      <c r="C186" s="224" t="s">
        <v>486</v>
      </c>
      <c r="D186" s="224"/>
      <c r="E186" s="224"/>
      <c r="F186" s="224"/>
      <c r="G186" s="224"/>
      <c r="H186" s="224"/>
      <c r="I186" s="224"/>
      <c r="J186" s="224"/>
      <c r="K186" s="224"/>
      <c r="L186" s="224"/>
      <c r="M186" s="224"/>
      <c r="N186" s="224"/>
      <c r="O186" s="224"/>
      <c r="P186" s="224"/>
      <c r="Q186" s="224"/>
      <c r="R186" s="224"/>
      <c r="S186" s="224"/>
      <c r="T186" s="224"/>
      <c r="U186" s="224"/>
      <c r="V186" s="224"/>
      <c r="W186" s="224"/>
      <c r="X186" s="224"/>
      <c r="Y186" s="224"/>
      <c r="Z186" s="224"/>
    </row>
    <row r="187" spans="1:26" ht="12.75" customHeight="1">
      <c r="A187" s="224"/>
      <c r="B187" s="226" t="s">
        <v>487</v>
      </c>
      <c r="C187" s="224" t="s">
        <v>488</v>
      </c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224"/>
      <c r="T187" s="224"/>
      <c r="U187" s="224"/>
      <c r="V187" s="224"/>
      <c r="W187" s="224"/>
      <c r="X187" s="224"/>
      <c r="Y187" s="224"/>
      <c r="Z187" s="224"/>
    </row>
    <row r="188" spans="1:26" ht="12.75" customHeight="1">
      <c r="A188" s="224"/>
      <c r="B188" s="226" t="s">
        <v>489</v>
      </c>
      <c r="C188" s="224" t="s">
        <v>490</v>
      </c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224"/>
      <c r="T188" s="224"/>
      <c r="U188" s="224"/>
      <c r="V188" s="224"/>
      <c r="W188" s="224"/>
      <c r="X188" s="224"/>
      <c r="Y188" s="224"/>
      <c r="Z188" s="224"/>
    </row>
    <row r="189" spans="1:26" ht="12.75" customHeight="1">
      <c r="A189" s="224"/>
      <c r="B189" s="226" t="s">
        <v>491</v>
      </c>
      <c r="C189" s="224" t="s">
        <v>492</v>
      </c>
      <c r="D189" s="224"/>
      <c r="E189" s="224"/>
      <c r="F189" s="224"/>
      <c r="G189" s="224"/>
      <c r="H189" s="224"/>
      <c r="I189" s="224"/>
      <c r="J189" s="224"/>
      <c r="K189" s="224"/>
      <c r="L189" s="224"/>
      <c r="M189" s="224"/>
      <c r="N189" s="224"/>
      <c r="O189" s="224"/>
      <c r="P189" s="224"/>
      <c r="Q189" s="224"/>
      <c r="R189" s="224"/>
      <c r="S189" s="224"/>
      <c r="T189" s="224"/>
      <c r="U189" s="224"/>
      <c r="V189" s="224"/>
      <c r="W189" s="224"/>
      <c r="X189" s="224"/>
      <c r="Y189" s="224"/>
      <c r="Z189" s="224"/>
    </row>
    <row r="190" spans="1:26" ht="12.75" customHeight="1">
      <c r="A190" s="224"/>
      <c r="B190" s="226" t="s">
        <v>493</v>
      </c>
      <c r="C190" s="224" t="s">
        <v>494</v>
      </c>
      <c r="D190" s="224"/>
      <c r="E190" s="224"/>
      <c r="F190" s="224"/>
      <c r="G190" s="224"/>
      <c r="H190" s="224"/>
      <c r="I190" s="224"/>
      <c r="J190" s="224"/>
      <c r="K190" s="224"/>
      <c r="L190" s="224"/>
      <c r="M190" s="224"/>
      <c r="N190" s="224"/>
      <c r="O190" s="224"/>
      <c r="P190" s="224"/>
      <c r="Q190" s="224"/>
      <c r="R190" s="224"/>
      <c r="S190" s="224"/>
      <c r="T190" s="224"/>
      <c r="U190" s="224"/>
      <c r="V190" s="224"/>
      <c r="W190" s="224"/>
      <c r="X190" s="224"/>
      <c r="Y190" s="224"/>
      <c r="Z190" s="224"/>
    </row>
    <row r="191" spans="1:26" ht="12.75" customHeight="1">
      <c r="A191" s="224"/>
      <c r="B191" s="227" t="s">
        <v>495</v>
      </c>
      <c r="C191" s="224"/>
      <c r="D191" s="224"/>
      <c r="E191" s="224"/>
      <c r="F191" s="224"/>
      <c r="G191" s="224"/>
      <c r="H191" s="224"/>
      <c r="I191" s="224"/>
      <c r="J191" s="224"/>
      <c r="K191" s="224"/>
      <c r="L191" s="224"/>
      <c r="M191" s="224"/>
      <c r="N191" s="224"/>
      <c r="O191" s="224"/>
      <c r="P191" s="224"/>
      <c r="Q191" s="224"/>
      <c r="R191" s="224"/>
      <c r="S191" s="224"/>
      <c r="T191" s="224"/>
      <c r="U191" s="224"/>
      <c r="V191" s="224"/>
      <c r="W191" s="224"/>
      <c r="X191" s="224"/>
      <c r="Y191" s="224"/>
      <c r="Z191" s="224"/>
    </row>
    <row r="192" spans="1:26" ht="21.75" customHeight="1">
      <c r="A192" s="224"/>
      <c r="B192" s="5" t="s">
        <v>496</v>
      </c>
      <c r="C192" s="4"/>
      <c r="D192" s="4"/>
      <c r="E192" s="4"/>
      <c r="F192" s="4"/>
      <c r="G192" s="4"/>
      <c r="H192" s="4"/>
      <c r="I192" s="224"/>
      <c r="J192" s="224"/>
      <c r="K192" s="224"/>
      <c r="L192" s="224"/>
      <c r="M192" s="224"/>
      <c r="N192" s="224"/>
      <c r="O192" s="224"/>
      <c r="P192" s="224"/>
      <c r="Q192" s="224"/>
      <c r="R192" s="224"/>
      <c r="S192" s="224"/>
      <c r="T192" s="224"/>
      <c r="U192" s="224"/>
      <c r="V192" s="224"/>
      <c r="W192" s="224"/>
      <c r="X192" s="224"/>
      <c r="Y192" s="224"/>
      <c r="Z192" s="224"/>
    </row>
    <row r="193" spans="1:26" ht="12.75" customHeight="1">
      <c r="A193" s="224"/>
      <c r="B193" s="227" t="s">
        <v>497</v>
      </c>
      <c r="C193" s="224"/>
      <c r="D193" s="224"/>
      <c r="E193" s="224"/>
      <c r="F193" s="224"/>
      <c r="G193" s="224"/>
      <c r="H193" s="224"/>
      <c r="I193" s="224"/>
      <c r="J193" s="224"/>
      <c r="K193" s="224"/>
      <c r="L193" s="224"/>
      <c r="M193" s="224"/>
      <c r="N193" s="224"/>
      <c r="O193" s="224"/>
      <c r="P193" s="224"/>
      <c r="Q193" s="224"/>
      <c r="R193" s="224"/>
      <c r="S193" s="224"/>
      <c r="T193" s="224"/>
      <c r="U193" s="224"/>
      <c r="V193" s="224"/>
      <c r="W193" s="224"/>
      <c r="X193" s="224"/>
      <c r="Y193" s="224"/>
      <c r="Z193" s="224"/>
    </row>
    <row r="194" spans="1:26" ht="12.75" customHeight="1">
      <c r="A194" s="224"/>
      <c r="B194" s="228" t="s">
        <v>498</v>
      </c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224"/>
      <c r="T194" s="224"/>
      <c r="U194" s="224"/>
      <c r="V194" s="224"/>
      <c r="W194" s="224"/>
      <c r="X194" s="224"/>
      <c r="Y194" s="224"/>
      <c r="Z194" s="224"/>
    </row>
    <row r="195" spans="1:26" ht="12.75" customHeight="1">
      <c r="A195" s="224">
        <v>701</v>
      </c>
      <c r="B195" s="226" t="s">
        <v>25</v>
      </c>
      <c r="C195" s="224" t="s">
        <v>499</v>
      </c>
      <c r="D195" s="224" t="str">
        <f t="shared" ref="D195:D258" si="2">CONCATENATE(B195," - ",C195," (",A195,")")</f>
        <v>50101010 01 - Basic Salary - Civilian (701)</v>
      </c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224"/>
      <c r="T195" s="224"/>
      <c r="U195" s="224"/>
      <c r="V195" s="224"/>
      <c r="W195" s="224"/>
      <c r="X195" s="224"/>
      <c r="Y195" s="224"/>
      <c r="Z195" s="224"/>
    </row>
    <row r="196" spans="1:26" ht="12.75" customHeight="1">
      <c r="A196" s="224">
        <v>706</v>
      </c>
      <c r="B196" s="226" t="s">
        <v>500</v>
      </c>
      <c r="C196" s="224" t="s">
        <v>501</v>
      </c>
      <c r="D196" s="224" t="str">
        <f t="shared" si="2"/>
        <v>50101020 00 - Basic Salary - Contractual (706)</v>
      </c>
      <c r="E196" s="224"/>
      <c r="F196" s="224"/>
      <c r="G196" s="224"/>
      <c r="H196" s="224"/>
      <c r="I196" s="224"/>
      <c r="J196" s="224"/>
      <c r="K196" s="224"/>
      <c r="L196" s="224"/>
      <c r="M196" s="224"/>
      <c r="N196" s="224"/>
      <c r="O196" s="224"/>
      <c r="P196" s="224"/>
      <c r="Q196" s="224"/>
      <c r="R196" s="224"/>
      <c r="S196" s="224"/>
      <c r="T196" s="224"/>
      <c r="U196" s="224"/>
      <c r="V196" s="224"/>
      <c r="W196" s="224"/>
      <c r="X196" s="224"/>
      <c r="Y196" s="224"/>
      <c r="Z196" s="224"/>
    </row>
    <row r="197" spans="1:26" ht="12.75" customHeight="1">
      <c r="A197" s="224"/>
      <c r="B197" s="228" t="s">
        <v>502</v>
      </c>
      <c r="C197" s="224"/>
      <c r="D197" s="224"/>
      <c r="E197" s="224"/>
      <c r="F197" s="224"/>
      <c r="G197" s="224"/>
      <c r="H197" s="224"/>
      <c r="I197" s="224"/>
      <c r="J197" s="224"/>
      <c r="K197" s="224"/>
      <c r="L197" s="224"/>
      <c r="M197" s="224"/>
      <c r="N197" s="224"/>
      <c r="O197" s="224"/>
      <c r="P197" s="224"/>
      <c r="Q197" s="224"/>
      <c r="R197" s="224"/>
      <c r="S197" s="224"/>
      <c r="T197" s="224"/>
      <c r="U197" s="224"/>
      <c r="V197" s="224"/>
      <c r="W197" s="224"/>
      <c r="X197" s="224"/>
      <c r="Y197" s="224"/>
      <c r="Z197" s="224"/>
    </row>
    <row r="198" spans="1:26" ht="12.75" customHeight="1">
      <c r="A198" s="224">
        <v>711</v>
      </c>
      <c r="B198" s="226" t="s">
        <v>503</v>
      </c>
      <c r="C198" s="224" t="s">
        <v>504</v>
      </c>
      <c r="D198" s="224" t="str">
        <f t="shared" si="2"/>
        <v>50102010 01 - PERA - Civilian (711)</v>
      </c>
      <c r="E198" s="224"/>
      <c r="F198" s="224"/>
      <c r="G198" s="224"/>
      <c r="H198" s="224"/>
      <c r="I198" s="224"/>
      <c r="J198" s="224"/>
      <c r="K198" s="224"/>
      <c r="L198" s="224"/>
      <c r="M198" s="224"/>
      <c r="N198" s="224"/>
      <c r="O198" s="224"/>
      <c r="P198" s="224"/>
      <c r="Q198" s="224"/>
      <c r="R198" s="224"/>
      <c r="S198" s="224"/>
      <c r="T198" s="224"/>
      <c r="U198" s="224"/>
      <c r="V198" s="224"/>
      <c r="W198" s="224"/>
      <c r="X198" s="224"/>
      <c r="Y198" s="224"/>
      <c r="Z198" s="224"/>
    </row>
    <row r="199" spans="1:26" ht="12.75" customHeight="1">
      <c r="A199" s="224">
        <v>713</v>
      </c>
      <c r="B199" s="226" t="s">
        <v>20</v>
      </c>
      <c r="C199" s="224" t="s">
        <v>505</v>
      </c>
      <c r="D199" s="224" t="str">
        <f t="shared" si="2"/>
        <v>50102020 00 - Representation Allowance (713)</v>
      </c>
      <c r="E199" s="224"/>
      <c r="F199" s="224"/>
      <c r="G199" s="224"/>
      <c r="H199" s="224"/>
      <c r="I199" s="224"/>
      <c r="J199" s="224"/>
      <c r="K199" s="224"/>
      <c r="L199" s="224"/>
      <c r="M199" s="224"/>
      <c r="N199" s="224"/>
      <c r="O199" s="224"/>
      <c r="P199" s="224"/>
      <c r="Q199" s="224"/>
      <c r="R199" s="224"/>
      <c r="S199" s="224"/>
      <c r="T199" s="224"/>
      <c r="U199" s="224"/>
      <c r="V199" s="224"/>
      <c r="W199" s="224"/>
      <c r="X199" s="224"/>
      <c r="Y199" s="224"/>
      <c r="Z199" s="224"/>
    </row>
    <row r="200" spans="1:26" ht="12.75" customHeight="1">
      <c r="A200" s="224">
        <v>714</v>
      </c>
      <c r="B200" s="226" t="s">
        <v>21</v>
      </c>
      <c r="C200" s="224" t="s">
        <v>506</v>
      </c>
      <c r="D200" s="224" t="str">
        <f t="shared" si="2"/>
        <v>50102030 01 - Transportation Allowance   (714)</v>
      </c>
      <c r="E200" s="224"/>
      <c r="F200" s="224"/>
      <c r="G200" s="224"/>
      <c r="H200" s="224"/>
      <c r="I200" s="224"/>
      <c r="J200" s="224"/>
      <c r="K200" s="224"/>
      <c r="L200" s="224"/>
      <c r="M200" s="224"/>
      <c r="N200" s="224"/>
      <c r="O200" s="224"/>
      <c r="P200" s="224"/>
      <c r="Q200" s="224"/>
      <c r="R200" s="224"/>
      <c r="S200" s="224"/>
      <c r="T200" s="224"/>
      <c r="U200" s="224"/>
      <c r="V200" s="224"/>
      <c r="W200" s="224"/>
      <c r="X200" s="224"/>
      <c r="Y200" s="224"/>
      <c r="Z200" s="224"/>
    </row>
    <row r="201" spans="1:26" ht="12.75" customHeight="1">
      <c r="A201" s="224">
        <v>715</v>
      </c>
      <c r="B201" s="226" t="s">
        <v>507</v>
      </c>
      <c r="C201" s="224" t="s">
        <v>508</v>
      </c>
      <c r="D201" s="224" t="str">
        <f t="shared" si="2"/>
        <v>50102040 01 - Clothing/Uniform Allowance - Civilian (715)</v>
      </c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224"/>
      <c r="T201" s="224"/>
      <c r="U201" s="224"/>
      <c r="V201" s="224"/>
      <c r="W201" s="224"/>
      <c r="X201" s="224"/>
      <c r="Y201" s="224"/>
      <c r="Z201" s="224"/>
    </row>
    <row r="202" spans="1:26" ht="12.75" customHeight="1">
      <c r="A202" s="224"/>
      <c r="B202" s="228" t="s">
        <v>509</v>
      </c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224"/>
      <c r="T202" s="224"/>
      <c r="U202" s="224"/>
      <c r="V202" s="224"/>
      <c r="W202" s="224"/>
      <c r="X202" s="224"/>
      <c r="Y202" s="224"/>
      <c r="Z202" s="224"/>
    </row>
    <row r="203" spans="1:26" ht="12.75" customHeight="1">
      <c r="A203" s="224">
        <v>717</v>
      </c>
      <c r="B203" s="226" t="s">
        <v>510</v>
      </c>
      <c r="C203" s="224" t="s">
        <v>511</v>
      </c>
      <c r="D203" s="224" t="str">
        <f t="shared" si="2"/>
        <v>50102080 01 - Productivity Incentive Allowance - Civilian (717)</v>
      </c>
      <c r="E203" s="224"/>
      <c r="F203" s="224"/>
      <c r="G203" s="224"/>
      <c r="H203" s="224"/>
      <c r="I203" s="224"/>
      <c r="J203" s="224"/>
      <c r="K203" s="224"/>
      <c r="L203" s="224"/>
      <c r="M203" s="224"/>
      <c r="N203" s="224"/>
      <c r="O203" s="224"/>
      <c r="P203" s="224"/>
      <c r="Q203" s="224"/>
      <c r="R203" s="224"/>
      <c r="S203" s="224"/>
      <c r="T203" s="224"/>
      <c r="U203" s="224"/>
      <c r="V203" s="224"/>
      <c r="W203" s="224"/>
      <c r="X203" s="224"/>
      <c r="Y203" s="224"/>
      <c r="Z203" s="224"/>
    </row>
    <row r="204" spans="1:26" ht="12.75" customHeight="1">
      <c r="A204" s="224"/>
      <c r="B204" s="228" t="s">
        <v>512</v>
      </c>
      <c r="C204" s="224"/>
      <c r="D204" s="224"/>
      <c r="E204" s="224"/>
      <c r="F204" s="224"/>
      <c r="G204" s="224"/>
      <c r="H204" s="224"/>
      <c r="I204" s="224"/>
      <c r="J204" s="224"/>
      <c r="K204" s="224"/>
      <c r="L204" s="224"/>
      <c r="M204" s="224"/>
      <c r="N204" s="224"/>
      <c r="O204" s="224"/>
      <c r="P204" s="224"/>
      <c r="Q204" s="224"/>
      <c r="R204" s="224"/>
      <c r="S204" s="224"/>
      <c r="T204" s="224"/>
      <c r="U204" s="224"/>
      <c r="V204" s="224"/>
      <c r="W204" s="224"/>
      <c r="X204" s="224"/>
      <c r="Y204" s="224"/>
      <c r="Z204" s="224"/>
    </row>
    <row r="205" spans="1:26" ht="12.75" customHeight="1">
      <c r="A205" s="224">
        <v>722</v>
      </c>
      <c r="B205" s="226" t="s">
        <v>513</v>
      </c>
      <c r="C205" s="224" t="s">
        <v>514</v>
      </c>
      <c r="D205" s="224" t="str">
        <f t="shared" si="2"/>
        <v>50102120 01 - Longevity Pay - Civilian (722)</v>
      </c>
      <c r="E205" s="224"/>
      <c r="F205" s="224"/>
      <c r="G205" s="224"/>
      <c r="H205" s="224"/>
      <c r="I205" s="224"/>
      <c r="J205" s="224"/>
      <c r="K205" s="224"/>
      <c r="L205" s="224"/>
      <c r="M205" s="224"/>
      <c r="N205" s="224"/>
      <c r="O205" s="224"/>
      <c r="P205" s="224"/>
      <c r="Q205" s="224"/>
      <c r="R205" s="224"/>
      <c r="S205" s="224"/>
      <c r="T205" s="224"/>
      <c r="U205" s="224"/>
      <c r="V205" s="224"/>
      <c r="W205" s="224"/>
      <c r="X205" s="224"/>
      <c r="Y205" s="224"/>
      <c r="Z205" s="224"/>
    </row>
    <row r="206" spans="1:26" ht="12.75" customHeight="1">
      <c r="A206" s="224"/>
      <c r="B206" s="228" t="s">
        <v>515</v>
      </c>
      <c r="C206" s="224"/>
      <c r="D206" s="224"/>
      <c r="E206" s="224"/>
      <c r="F206" s="224"/>
      <c r="G206" s="224"/>
      <c r="H206" s="224"/>
      <c r="I206" s="224"/>
      <c r="J206" s="224"/>
      <c r="K206" s="224"/>
      <c r="L206" s="224"/>
      <c r="M206" s="224"/>
      <c r="N206" s="224"/>
      <c r="O206" s="224"/>
      <c r="P206" s="224"/>
      <c r="Q206" s="224"/>
      <c r="R206" s="224"/>
      <c r="S206" s="224"/>
      <c r="T206" s="224"/>
      <c r="U206" s="224"/>
      <c r="V206" s="224"/>
      <c r="W206" s="224"/>
      <c r="X206" s="224"/>
      <c r="Y206" s="224"/>
      <c r="Z206" s="224"/>
    </row>
    <row r="207" spans="1:26" ht="12.75" customHeight="1">
      <c r="A207" s="224">
        <v>723</v>
      </c>
      <c r="B207" s="226" t="s">
        <v>516</v>
      </c>
      <c r="C207" s="224" t="s">
        <v>517</v>
      </c>
      <c r="D207" s="224" t="str">
        <f t="shared" si="2"/>
        <v>50102130 01 - Overtime Pay (723)</v>
      </c>
      <c r="E207" s="224"/>
      <c r="F207" s="224"/>
      <c r="G207" s="224"/>
      <c r="H207" s="224"/>
      <c r="I207" s="224"/>
      <c r="J207" s="224"/>
      <c r="K207" s="224"/>
      <c r="L207" s="224"/>
      <c r="M207" s="224"/>
      <c r="N207" s="224"/>
      <c r="O207" s="224"/>
      <c r="P207" s="224"/>
      <c r="Q207" s="224"/>
      <c r="R207" s="224"/>
      <c r="S207" s="224"/>
      <c r="T207" s="224"/>
      <c r="U207" s="224"/>
      <c r="V207" s="224"/>
      <c r="W207" s="224"/>
      <c r="X207" s="224"/>
      <c r="Y207" s="224"/>
      <c r="Z207" s="224"/>
    </row>
    <row r="208" spans="1:26" ht="12.75" customHeight="1">
      <c r="A208" s="224"/>
      <c r="B208" s="226" t="s">
        <v>518</v>
      </c>
      <c r="C208" s="224" t="s">
        <v>519</v>
      </c>
      <c r="D208" s="224" t="str">
        <f t="shared" si="2"/>
        <v>50102130 02 - Night Shift Differential Pay ()</v>
      </c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224"/>
      <c r="T208" s="224"/>
      <c r="U208" s="224"/>
      <c r="V208" s="224"/>
      <c r="W208" s="224"/>
      <c r="X208" s="224"/>
      <c r="Y208" s="224"/>
      <c r="Z208" s="224"/>
    </row>
    <row r="209" spans="1:26" ht="12.75" customHeight="1">
      <c r="A209" s="224"/>
      <c r="B209" s="228" t="s">
        <v>520</v>
      </c>
      <c r="C209" s="224"/>
      <c r="D209" s="224"/>
      <c r="E209" s="224"/>
      <c r="F209" s="224"/>
      <c r="G209" s="224"/>
      <c r="H209" s="224"/>
      <c r="I209" s="224"/>
      <c r="J209" s="224"/>
      <c r="K209" s="224"/>
      <c r="L209" s="224"/>
      <c r="M209" s="224"/>
      <c r="N209" s="224"/>
      <c r="O209" s="224"/>
      <c r="P209" s="224"/>
      <c r="Q209" s="224"/>
      <c r="R209" s="224"/>
      <c r="S209" s="224"/>
      <c r="T209" s="224"/>
      <c r="U209" s="224"/>
      <c r="V209" s="224"/>
      <c r="W209" s="224"/>
      <c r="X209" s="224"/>
      <c r="Y209" s="224"/>
      <c r="Z209" s="224"/>
    </row>
    <row r="210" spans="1:26" ht="12.75" customHeight="1">
      <c r="A210" s="224">
        <v>725</v>
      </c>
      <c r="B210" s="226" t="s">
        <v>521</v>
      </c>
      <c r="C210" s="224" t="s">
        <v>522</v>
      </c>
      <c r="D210" s="224" t="str">
        <f t="shared" si="2"/>
        <v>50102140 01 - Bonus - Civilian (725)</v>
      </c>
      <c r="E210" s="224"/>
      <c r="F210" s="224"/>
      <c r="G210" s="224"/>
      <c r="H210" s="224"/>
      <c r="I210" s="224"/>
      <c r="J210" s="224"/>
      <c r="K210" s="224"/>
      <c r="L210" s="224"/>
      <c r="M210" s="224"/>
      <c r="N210" s="224"/>
      <c r="O210" s="224"/>
      <c r="P210" s="224"/>
      <c r="Q210" s="224"/>
      <c r="R210" s="224"/>
      <c r="S210" s="224"/>
      <c r="T210" s="224"/>
      <c r="U210" s="224"/>
      <c r="V210" s="224"/>
      <c r="W210" s="224"/>
      <c r="X210" s="224"/>
      <c r="Y210" s="224"/>
      <c r="Z210" s="224"/>
    </row>
    <row r="211" spans="1:26" ht="12.75" customHeight="1">
      <c r="A211" s="224"/>
      <c r="B211" s="228" t="s">
        <v>523</v>
      </c>
      <c r="C211" s="224"/>
      <c r="D211" s="224"/>
      <c r="E211" s="224"/>
      <c r="F211" s="224"/>
      <c r="G211" s="224"/>
      <c r="H211" s="224"/>
      <c r="I211" s="224"/>
      <c r="J211" s="224"/>
      <c r="K211" s="224"/>
      <c r="L211" s="224"/>
      <c r="M211" s="224"/>
      <c r="N211" s="224"/>
      <c r="O211" s="224"/>
      <c r="P211" s="224"/>
      <c r="Q211" s="224"/>
      <c r="R211" s="224"/>
      <c r="S211" s="224"/>
      <c r="T211" s="224"/>
      <c r="U211" s="224"/>
      <c r="V211" s="224"/>
      <c r="W211" s="224"/>
      <c r="X211" s="224"/>
      <c r="Y211" s="224"/>
      <c r="Z211" s="224"/>
    </row>
    <row r="212" spans="1:26" ht="12.75" customHeight="1">
      <c r="A212" s="224">
        <v>724</v>
      </c>
      <c r="B212" s="226" t="s">
        <v>524</v>
      </c>
      <c r="C212" s="224" t="s">
        <v>525</v>
      </c>
      <c r="D212" s="224" t="str">
        <f t="shared" si="2"/>
        <v>50102150 01 - Cash Gift - Civilian (724)</v>
      </c>
      <c r="E212" s="224"/>
      <c r="F212" s="224"/>
      <c r="G212" s="224"/>
      <c r="H212" s="224"/>
      <c r="I212" s="224"/>
      <c r="J212" s="224"/>
      <c r="K212" s="224"/>
      <c r="L212" s="224"/>
      <c r="M212" s="224"/>
      <c r="N212" s="224"/>
      <c r="O212" s="224"/>
      <c r="P212" s="224"/>
      <c r="Q212" s="224"/>
      <c r="R212" s="224"/>
      <c r="S212" s="224"/>
      <c r="T212" s="224"/>
      <c r="U212" s="224"/>
      <c r="V212" s="224"/>
      <c r="W212" s="224"/>
      <c r="X212" s="224"/>
      <c r="Y212" s="224"/>
      <c r="Z212" s="224"/>
    </row>
    <row r="213" spans="1:26" ht="12.75" customHeight="1">
      <c r="A213" s="224"/>
      <c r="B213" s="228" t="s">
        <v>526</v>
      </c>
      <c r="C213" s="224"/>
      <c r="D213" s="224"/>
      <c r="E213" s="224"/>
      <c r="F213" s="224"/>
      <c r="G213" s="224"/>
      <c r="H213" s="224"/>
      <c r="I213" s="224"/>
      <c r="J213" s="224"/>
      <c r="K213" s="224"/>
      <c r="L213" s="224"/>
      <c r="M213" s="224"/>
      <c r="N213" s="224"/>
      <c r="O213" s="224"/>
      <c r="P213" s="224"/>
      <c r="Q213" s="224"/>
      <c r="R213" s="224"/>
      <c r="S213" s="224"/>
      <c r="T213" s="224"/>
      <c r="U213" s="224"/>
      <c r="V213" s="224"/>
      <c r="W213" s="224"/>
      <c r="X213" s="224"/>
      <c r="Y213" s="224"/>
      <c r="Z213" s="224"/>
    </row>
    <row r="214" spans="1:26" ht="12.75" customHeight="1">
      <c r="A214" s="224">
        <v>731</v>
      </c>
      <c r="B214" s="226" t="s">
        <v>527</v>
      </c>
      <c r="C214" s="224" t="s">
        <v>528</v>
      </c>
      <c r="D214" s="224" t="str">
        <f t="shared" si="2"/>
        <v>50103010 00 - Retirement and Life Insurance Premiums (731)</v>
      </c>
      <c r="E214" s="224"/>
      <c r="F214" s="224"/>
      <c r="G214" s="224"/>
      <c r="H214" s="224"/>
      <c r="I214" s="224"/>
      <c r="J214" s="224"/>
      <c r="K214" s="224"/>
      <c r="L214" s="224"/>
      <c r="M214" s="224"/>
      <c r="N214" s="224"/>
      <c r="O214" s="224"/>
      <c r="P214" s="224"/>
      <c r="Q214" s="224"/>
      <c r="R214" s="224"/>
      <c r="S214" s="224"/>
      <c r="T214" s="224"/>
      <c r="U214" s="224"/>
      <c r="V214" s="224"/>
      <c r="W214" s="224"/>
      <c r="X214" s="224"/>
      <c r="Y214" s="224"/>
      <c r="Z214" s="224"/>
    </row>
    <row r="215" spans="1:26" ht="12.75" customHeight="1">
      <c r="A215" s="224"/>
      <c r="B215" s="228" t="s">
        <v>529</v>
      </c>
      <c r="C215" s="224"/>
      <c r="D215" s="224"/>
      <c r="E215" s="224"/>
      <c r="F215" s="224"/>
      <c r="G215" s="224"/>
      <c r="H215" s="224"/>
      <c r="I215" s="224"/>
      <c r="J215" s="224"/>
      <c r="K215" s="224"/>
      <c r="L215" s="224"/>
      <c r="M215" s="224"/>
      <c r="N215" s="224"/>
      <c r="O215" s="224"/>
      <c r="P215" s="224"/>
      <c r="Q215" s="224"/>
      <c r="R215" s="224"/>
      <c r="S215" s="224"/>
      <c r="T215" s="224"/>
      <c r="U215" s="224"/>
      <c r="V215" s="224"/>
      <c r="W215" s="224"/>
      <c r="X215" s="224"/>
      <c r="Y215" s="224"/>
      <c r="Z215" s="224"/>
    </row>
    <row r="216" spans="1:26" ht="12.75" customHeight="1">
      <c r="A216" s="224">
        <v>732</v>
      </c>
      <c r="B216" s="226" t="s">
        <v>22</v>
      </c>
      <c r="C216" s="224" t="s">
        <v>530</v>
      </c>
      <c r="D216" s="224" t="str">
        <f t="shared" si="2"/>
        <v>50103020 01 - Pag-IBIG - Civilian (732)</v>
      </c>
      <c r="E216" s="224"/>
      <c r="F216" s="224"/>
      <c r="G216" s="224"/>
      <c r="H216" s="224"/>
      <c r="I216" s="224"/>
      <c r="J216" s="224"/>
      <c r="K216" s="224"/>
      <c r="L216" s="224"/>
      <c r="M216" s="224"/>
      <c r="N216" s="224"/>
      <c r="O216" s="224"/>
      <c r="P216" s="224"/>
      <c r="Q216" s="224"/>
      <c r="R216" s="224"/>
      <c r="S216" s="224"/>
      <c r="T216" s="224"/>
      <c r="U216" s="224"/>
      <c r="V216" s="224"/>
      <c r="W216" s="224"/>
      <c r="X216" s="224"/>
      <c r="Y216" s="224"/>
      <c r="Z216" s="224"/>
    </row>
    <row r="217" spans="1:26" ht="12.75" customHeight="1">
      <c r="A217" s="224"/>
      <c r="B217" s="228" t="s">
        <v>531</v>
      </c>
      <c r="C217" s="224"/>
      <c r="D217" s="224"/>
      <c r="E217" s="224"/>
      <c r="F217" s="224"/>
      <c r="G217" s="224"/>
      <c r="H217" s="224"/>
      <c r="I217" s="224"/>
      <c r="J217" s="224"/>
      <c r="K217" s="224"/>
      <c r="L217" s="224"/>
      <c r="M217" s="224"/>
      <c r="N217" s="224"/>
      <c r="O217" s="224"/>
      <c r="P217" s="224"/>
      <c r="Q217" s="224"/>
      <c r="R217" s="224"/>
      <c r="S217" s="224"/>
      <c r="T217" s="224"/>
      <c r="U217" s="224"/>
      <c r="V217" s="224"/>
      <c r="W217" s="224"/>
      <c r="X217" s="224"/>
      <c r="Y217" s="224"/>
      <c r="Z217" s="224"/>
    </row>
    <row r="218" spans="1:26" ht="12.75" customHeight="1">
      <c r="A218" s="224">
        <v>733</v>
      </c>
      <c r="B218" s="226" t="s">
        <v>23</v>
      </c>
      <c r="C218" s="224" t="s">
        <v>532</v>
      </c>
      <c r="D218" s="224" t="str">
        <f t="shared" si="2"/>
        <v>50103030 01 - PhilHealth - Civilian (733)</v>
      </c>
      <c r="E218" s="224"/>
      <c r="F218" s="224"/>
      <c r="G218" s="224"/>
      <c r="H218" s="224"/>
      <c r="I218" s="224"/>
      <c r="J218" s="224"/>
      <c r="K218" s="224"/>
      <c r="L218" s="224"/>
      <c r="M218" s="224"/>
      <c r="N218" s="224"/>
      <c r="O218" s="224"/>
      <c r="P218" s="224"/>
      <c r="Q218" s="224"/>
      <c r="R218" s="224"/>
      <c r="S218" s="224"/>
      <c r="T218" s="224"/>
      <c r="U218" s="224"/>
      <c r="V218" s="224"/>
      <c r="W218" s="224"/>
      <c r="X218" s="224"/>
      <c r="Y218" s="224"/>
      <c r="Z218" s="224"/>
    </row>
    <row r="219" spans="1:26" ht="12.75" customHeight="1">
      <c r="A219" s="224"/>
      <c r="B219" s="228" t="s">
        <v>533</v>
      </c>
      <c r="C219" s="224"/>
      <c r="D219" s="224"/>
      <c r="E219" s="224"/>
      <c r="F219" s="224"/>
      <c r="G219" s="224"/>
      <c r="H219" s="224"/>
      <c r="I219" s="224"/>
      <c r="J219" s="224"/>
      <c r="K219" s="224"/>
      <c r="L219" s="224"/>
      <c r="M219" s="224"/>
      <c r="N219" s="224"/>
      <c r="O219" s="224"/>
      <c r="P219" s="224"/>
      <c r="Q219" s="224"/>
      <c r="R219" s="224"/>
      <c r="S219" s="224"/>
      <c r="T219" s="224"/>
      <c r="U219" s="224"/>
      <c r="V219" s="224"/>
      <c r="W219" s="224"/>
      <c r="X219" s="224"/>
      <c r="Y219" s="224"/>
      <c r="Z219" s="224"/>
    </row>
    <row r="220" spans="1:26" ht="12.75" customHeight="1">
      <c r="A220" s="224">
        <v>734</v>
      </c>
      <c r="B220" s="226" t="s">
        <v>24</v>
      </c>
      <c r="C220" s="224" t="s">
        <v>534</v>
      </c>
      <c r="D220" s="224" t="str">
        <f t="shared" si="2"/>
        <v>50103040 01 - ECIP - Civilian (734)</v>
      </c>
      <c r="E220" s="224"/>
      <c r="F220" s="224"/>
      <c r="G220" s="224"/>
      <c r="H220" s="224"/>
      <c r="I220" s="224"/>
      <c r="J220" s="224"/>
      <c r="K220" s="224"/>
      <c r="L220" s="224"/>
      <c r="M220" s="224"/>
      <c r="N220" s="224"/>
      <c r="O220" s="224"/>
      <c r="P220" s="224"/>
      <c r="Q220" s="224"/>
      <c r="R220" s="224"/>
      <c r="S220" s="224"/>
      <c r="T220" s="224"/>
      <c r="U220" s="224"/>
      <c r="V220" s="224"/>
      <c r="W220" s="224"/>
      <c r="X220" s="224"/>
      <c r="Y220" s="224"/>
      <c r="Z220" s="224"/>
    </row>
    <row r="221" spans="1:26" ht="12.75" customHeight="1">
      <c r="A221" s="224"/>
      <c r="B221" s="228" t="s">
        <v>535</v>
      </c>
      <c r="C221" s="224"/>
      <c r="D221" s="224"/>
      <c r="E221" s="224"/>
      <c r="F221" s="224"/>
      <c r="G221" s="224"/>
      <c r="H221" s="224"/>
      <c r="I221" s="224"/>
      <c r="J221" s="224"/>
      <c r="K221" s="224"/>
      <c r="L221" s="224"/>
      <c r="M221" s="224"/>
      <c r="N221" s="224"/>
      <c r="O221" s="224"/>
      <c r="P221" s="224"/>
      <c r="Q221" s="224"/>
      <c r="R221" s="224"/>
      <c r="S221" s="224"/>
      <c r="T221" s="224"/>
      <c r="U221" s="224"/>
      <c r="V221" s="224"/>
      <c r="W221" s="224"/>
      <c r="X221" s="224"/>
      <c r="Y221" s="224"/>
      <c r="Z221" s="224"/>
    </row>
    <row r="222" spans="1:26" ht="12.75" customHeight="1">
      <c r="A222" s="224"/>
      <c r="B222" s="226" t="s">
        <v>536</v>
      </c>
      <c r="C222" s="224" t="s">
        <v>537</v>
      </c>
      <c r="D222" s="224" t="str">
        <f t="shared" si="2"/>
        <v>50104010 01 - Pension Benefits - Civilian ()</v>
      </c>
      <c r="E222" s="224"/>
      <c r="F222" s="224"/>
      <c r="G222" s="224"/>
      <c r="H222" s="224"/>
      <c r="I222" s="224"/>
      <c r="J222" s="224"/>
      <c r="K222" s="224"/>
      <c r="L222" s="224"/>
      <c r="M222" s="224"/>
      <c r="N222" s="224"/>
      <c r="O222" s="224"/>
      <c r="P222" s="224"/>
      <c r="Q222" s="224"/>
      <c r="R222" s="224"/>
      <c r="S222" s="224"/>
      <c r="T222" s="224"/>
      <c r="U222" s="224"/>
      <c r="V222" s="224"/>
      <c r="W222" s="224"/>
      <c r="X222" s="224"/>
      <c r="Y222" s="224"/>
      <c r="Z222" s="224"/>
    </row>
    <row r="223" spans="1:26" ht="12.75" customHeight="1">
      <c r="A223" s="224"/>
      <c r="B223" s="226" t="s">
        <v>538</v>
      </c>
      <c r="C223" s="224" t="s">
        <v>539</v>
      </c>
      <c r="D223" s="224" t="str">
        <f t="shared" si="2"/>
        <v>50104010 02 - Pension Benefits - Military/Uniformed ()</v>
      </c>
      <c r="E223" s="224"/>
      <c r="F223" s="224"/>
      <c r="G223" s="224"/>
      <c r="H223" s="224"/>
      <c r="I223" s="224"/>
      <c r="J223" s="224"/>
      <c r="K223" s="224"/>
      <c r="L223" s="224"/>
      <c r="M223" s="224"/>
      <c r="N223" s="224"/>
      <c r="O223" s="224"/>
      <c r="P223" s="224"/>
      <c r="Q223" s="224"/>
      <c r="R223" s="224"/>
      <c r="S223" s="224"/>
      <c r="T223" s="224"/>
      <c r="U223" s="224"/>
      <c r="V223" s="224"/>
      <c r="W223" s="224"/>
      <c r="X223" s="224"/>
      <c r="Y223" s="224"/>
      <c r="Z223" s="224"/>
    </row>
    <row r="224" spans="1:26" ht="12.75" customHeight="1">
      <c r="A224" s="224"/>
      <c r="B224" s="226" t="s">
        <v>540</v>
      </c>
      <c r="C224" s="224" t="s">
        <v>541</v>
      </c>
      <c r="D224" s="224" t="str">
        <f t="shared" si="2"/>
        <v>50104010 03 - Pension Benefits - Veterans ()</v>
      </c>
      <c r="E224" s="224"/>
      <c r="F224" s="224"/>
      <c r="G224" s="224"/>
      <c r="H224" s="224"/>
      <c r="I224" s="224"/>
      <c r="J224" s="224"/>
      <c r="K224" s="224"/>
      <c r="L224" s="224"/>
      <c r="M224" s="224"/>
      <c r="N224" s="224"/>
      <c r="O224" s="224"/>
      <c r="P224" s="224"/>
      <c r="Q224" s="224"/>
      <c r="R224" s="224"/>
      <c r="S224" s="224"/>
      <c r="T224" s="224"/>
      <c r="U224" s="224"/>
      <c r="V224" s="224"/>
      <c r="W224" s="224"/>
      <c r="X224" s="224"/>
      <c r="Y224" s="224"/>
      <c r="Z224" s="224"/>
    </row>
    <row r="225" spans="1:26" ht="12.75" customHeight="1">
      <c r="A225" s="224"/>
      <c r="B225" s="228" t="s">
        <v>542</v>
      </c>
      <c r="C225" s="224"/>
      <c r="D225" s="224"/>
      <c r="E225" s="224"/>
      <c r="F225" s="224"/>
      <c r="G225" s="224"/>
      <c r="H225" s="224"/>
      <c r="I225" s="224"/>
      <c r="J225" s="224"/>
      <c r="K225" s="224"/>
      <c r="L225" s="224"/>
      <c r="M225" s="224"/>
      <c r="N225" s="224"/>
      <c r="O225" s="224"/>
      <c r="P225" s="224"/>
      <c r="Q225" s="224"/>
      <c r="R225" s="224"/>
      <c r="S225" s="224"/>
      <c r="T225" s="224"/>
      <c r="U225" s="224"/>
      <c r="V225" s="224"/>
      <c r="W225" s="224"/>
      <c r="X225" s="224"/>
      <c r="Y225" s="224"/>
      <c r="Z225" s="224"/>
    </row>
    <row r="226" spans="1:26" ht="12.75" customHeight="1">
      <c r="A226" s="224"/>
      <c r="B226" s="226" t="s">
        <v>543</v>
      </c>
      <c r="C226" s="224" t="s">
        <v>544</v>
      </c>
      <c r="D226" s="224" t="str">
        <f t="shared" si="2"/>
        <v>50104020 01 - Retirement Gratuity - Civilian ()</v>
      </c>
      <c r="E226" s="224"/>
      <c r="F226" s="224"/>
      <c r="G226" s="224"/>
      <c r="H226" s="224"/>
      <c r="I226" s="224"/>
      <c r="J226" s="224"/>
      <c r="K226" s="224"/>
      <c r="L226" s="224"/>
      <c r="M226" s="224"/>
      <c r="N226" s="224"/>
      <c r="O226" s="224"/>
      <c r="P226" s="224"/>
      <c r="Q226" s="224"/>
      <c r="R226" s="224"/>
      <c r="S226" s="224"/>
      <c r="T226" s="224"/>
      <c r="U226" s="224"/>
      <c r="V226" s="224"/>
      <c r="W226" s="224"/>
      <c r="X226" s="224"/>
      <c r="Y226" s="224"/>
      <c r="Z226" s="224"/>
    </row>
    <row r="227" spans="1:26" ht="12.75" customHeight="1">
      <c r="A227" s="224"/>
      <c r="B227" s="226" t="s">
        <v>545</v>
      </c>
      <c r="C227" s="224" t="s">
        <v>546</v>
      </c>
      <c r="D227" s="224" t="str">
        <f t="shared" si="2"/>
        <v>50104020 02 - Retirement Gratuity - Military/Uniformed Personnel ()</v>
      </c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224"/>
      <c r="T227" s="224"/>
      <c r="U227" s="224"/>
      <c r="V227" s="224"/>
      <c r="W227" s="224"/>
      <c r="X227" s="224"/>
      <c r="Y227" s="224"/>
      <c r="Z227" s="224"/>
    </row>
    <row r="228" spans="1:26" ht="12.75" customHeight="1">
      <c r="A228" s="224"/>
      <c r="B228" s="228" t="s">
        <v>547</v>
      </c>
      <c r="C228" s="224"/>
      <c r="D228" s="224"/>
      <c r="E228" s="224"/>
      <c r="F228" s="224"/>
      <c r="G228" s="224"/>
      <c r="H228" s="224"/>
      <c r="I228" s="224"/>
      <c r="J228" s="224"/>
      <c r="K228" s="224"/>
      <c r="L228" s="224"/>
      <c r="M228" s="224"/>
      <c r="N228" s="224"/>
      <c r="O228" s="224"/>
      <c r="P228" s="224"/>
      <c r="Q228" s="224"/>
      <c r="R228" s="224"/>
      <c r="S228" s="224"/>
      <c r="T228" s="224"/>
      <c r="U228" s="224"/>
      <c r="V228" s="224"/>
      <c r="W228" s="224"/>
      <c r="X228" s="224"/>
      <c r="Y228" s="224"/>
      <c r="Z228" s="224"/>
    </row>
    <row r="229" spans="1:26" ht="12.75" customHeight="1">
      <c r="A229" s="224">
        <v>742</v>
      </c>
      <c r="B229" s="226" t="s">
        <v>26</v>
      </c>
      <c r="C229" s="224" t="s">
        <v>548</v>
      </c>
      <c r="D229" s="224" t="str">
        <f t="shared" si="2"/>
        <v>50104030 01 - Terminal Leave Benefits - Civilian (742)</v>
      </c>
      <c r="E229" s="224"/>
      <c r="F229" s="224"/>
      <c r="G229" s="224"/>
      <c r="H229" s="224"/>
      <c r="I229" s="224"/>
      <c r="J229" s="224"/>
      <c r="K229" s="224"/>
      <c r="L229" s="224"/>
      <c r="M229" s="224"/>
      <c r="N229" s="224"/>
      <c r="O229" s="224"/>
      <c r="P229" s="224"/>
      <c r="Q229" s="224"/>
      <c r="R229" s="224"/>
      <c r="S229" s="224"/>
      <c r="T229" s="224"/>
      <c r="U229" s="224"/>
      <c r="V229" s="224"/>
      <c r="W229" s="224"/>
      <c r="X229" s="224"/>
      <c r="Y229" s="224"/>
      <c r="Z229" s="224"/>
    </row>
    <row r="230" spans="1:26" ht="12.75" customHeight="1">
      <c r="A230" s="224"/>
      <c r="B230" s="226" t="s">
        <v>549</v>
      </c>
      <c r="C230" s="224" t="s">
        <v>550</v>
      </c>
      <c r="D230" s="224" t="str">
        <f t="shared" si="2"/>
        <v>50104030 02 - Terminal Leave Benefits - Military/Uniformed Personnel ()</v>
      </c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224"/>
      <c r="T230" s="224"/>
      <c r="U230" s="224"/>
      <c r="V230" s="224"/>
      <c r="W230" s="224"/>
      <c r="X230" s="224"/>
      <c r="Y230" s="224"/>
      <c r="Z230" s="224"/>
    </row>
    <row r="231" spans="1:26" ht="12.75" customHeight="1">
      <c r="A231" s="224"/>
      <c r="B231" s="228" t="s">
        <v>535</v>
      </c>
      <c r="C231" s="224"/>
      <c r="D231" s="224"/>
      <c r="E231" s="224"/>
      <c r="F231" s="224"/>
      <c r="G231" s="224"/>
      <c r="H231" s="224"/>
      <c r="I231" s="224"/>
      <c r="J231" s="224"/>
      <c r="K231" s="224"/>
      <c r="L231" s="224"/>
      <c r="M231" s="224"/>
      <c r="N231" s="224"/>
      <c r="O231" s="224"/>
      <c r="P231" s="224"/>
      <c r="Q231" s="224"/>
      <c r="R231" s="224"/>
      <c r="S231" s="224"/>
      <c r="T231" s="224"/>
      <c r="U231" s="224"/>
      <c r="V231" s="224"/>
      <c r="W231" s="224"/>
      <c r="X231" s="224"/>
      <c r="Y231" s="224"/>
      <c r="Z231" s="224"/>
    </row>
    <row r="232" spans="1:26" ht="12.75" customHeight="1">
      <c r="A232" s="224">
        <v>749</v>
      </c>
      <c r="B232" s="226" t="s">
        <v>551</v>
      </c>
      <c r="C232" s="224" t="s">
        <v>535</v>
      </c>
      <c r="D232" s="224" t="str">
        <f t="shared" si="2"/>
        <v>50104990 99 - Other Personnel Benefits (749)</v>
      </c>
      <c r="E232" s="224"/>
      <c r="F232" s="224"/>
      <c r="G232" s="224"/>
      <c r="H232" s="224"/>
      <c r="I232" s="224"/>
      <c r="J232" s="224"/>
      <c r="K232" s="224"/>
      <c r="L232" s="224"/>
      <c r="M232" s="224"/>
      <c r="N232" s="224"/>
      <c r="O232" s="224"/>
      <c r="P232" s="224"/>
      <c r="Q232" s="224"/>
      <c r="R232" s="224"/>
      <c r="S232" s="224"/>
      <c r="T232" s="224"/>
      <c r="U232" s="224"/>
      <c r="V232" s="224"/>
      <c r="W232" s="224"/>
      <c r="X232" s="224"/>
      <c r="Y232" s="224"/>
      <c r="Z232" s="224"/>
    </row>
    <row r="233" spans="1:26" ht="12.75" customHeight="1">
      <c r="A233" s="224"/>
      <c r="B233" s="227" t="s">
        <v>552</v>
      </c>
      <c r="C233" s="224"/>
      <c r="D233" s="224"/>
      <c r="E233" s="224"/>
      <c r="F233" s="224"/>
      <c r="G233" s="224"/>
      <c r="H233" s="224"/>
      <c r="I233" s="224"/>
      <c r="J233" s="224"/>
      <c r="K233" s="224"/>
      <c r="L233" s="224"/>
      <c r="M233" s="224"/>
      <c r="N233" s="224"/>
      <c r="O233" s="224"/>
      <c r="P233" s="224"/>
      <c r="Q233" s="224"/>
      <c r="R233" s="224"/>
      <c r="S233" s="224"/>
      <c r="T233" s="224"/>
      <c r="U233" s="224"/>
      <c r="V233" s="224"/>
      <c r="W233" s="224"/>
      <c r="X233" s="224"/>
      <c r="Y233" s="224"/>
      <c r="Z233" s="224"/>
    </row>
    <row r="234" spans="1:26" ht="12.75" customHeight="1">
      <c r="A234" s="224"/>
      <c r="B234" s="228" t="s">
        <v>553</v>
      </c>
      <c r="C234" s="224"/>
      <c r="D234" s="224"/>
      <c r="E234" s="224"/>
      <c r="F234" s="224"/>
      <c r="G234" s="224"/>
      <c r="H234" s="224"/>
      <c r="I234" s="224"/>
      <c r="J234" s="224"/>
      <c r="K234" s="224"/>
      <c r="L234" s="224"/>
      <c r="M234" s="224"/>
      <c r="N234" s="224"/>
      <c r="O234" s="224"/>
      <c r="P234" s="224"/>
      <c r="Q234" s="224"/>
      <c r="R234" s="224"/>
      <c r="S234" s="224"/>
      <c r="T234" s="224"/>
      <c r="U234" s="224"/>
      <c r="V234" s="224"/>
      <c r="W234" s="224"/>
      <c r="X234" s="224"/>
      <c r="Y234" s="224"/>
      <c r="Z234" s="224"/>
    </row>
    <row r="235" spans="1:26" ht="12.75" customHeight="1">
      <c r="A235" s="224">
        <v>751</v>
      </c>
      <c r="B235" s="226" t="s">
        <v>554</v>
      </c>
      <c r="C235" s="224" t="s">
        <v>555</v>
      </c>
      <c r="D235" s="224" t="str">
        <f t="shared" si="2"/>
        <v>50201010 00 - Traveling Expenses - Local (751)</v>
      </c>
      <c r="E235" s="224"/>
      <c r="F235" s="224"/>
      <c r="G235" s="224"/>
      <c r="H235" s="224"/>
      <c r="I235" s="224"/>
      <c r="J235" s="224"/>
      <c r="K235" s="224"/>
      <c r="L235" s="224"/>
      <c r="M235" s="224"/>
      <c r="N235" s="224"/>
      <c r="O235" s="224"/>
      <c r="P235" s="224"/>
      <c r="Q235" s="224"/>
      <c r="R235" s="224"/>
      <c r="S235" s="224"/>
      <c r="T235" s="224"/>
      <c r="U235" s="224"/>
      <c r="V235" s="224"/>
      <c r="W235" s="224"/>
      <c r="X235" s="224"/>
      <c r="Y235" s="224"/>
      <c r="Z235" s="224"/>
    </row>
    <row r="236" spans="1:26" ht="12.75" customHeight="1">
      <c r="A236" s="224">
        <v>752</v>
      </c>
      <c r="B236" s="226" t="s">
        <v>556</v>
      </c>
      <c r="C236" s="224" t="s">
        <v>557</v>
      </c>
      <c r="D236" s="224" t="str">
        <f t="shared" si="2"/>
        <v>50201020 00 - Traveling Expenses - Foreign (752)</v>
      </c>
      <c r="E236" s="224"/>
      <c r="F236" s="224"/>
      <c r="G236" s="224"/>
      <c r="H236" s="224"/>
      <c r="I236" s="224"/>
      <c r="J236" s="224"/>
      <c r="K236" s="224"/>
      <c r="L236" s="224"/>
      <c r="M236" s="224"/>
      <c r="N236" s="224"/>
      <c r="O236" s="224"/>
      <c r="P236" s="224"/>
      <c r="Q236" s="224"/>
      <c r="R236" s="224"/>
      <c r="S236" s="224"/>
      <c r="T236" s="224"/>
      <c r="U236" s="224"/>
      <c r="V236" s="224"/>
      <c r="W236" s="224"/>
      <c r="X236" s="224"/>
      <c r="Y236" s="224"/>
      <c r="Z236" s="224"/>
    </row>
    <row r="237" spans="1:26" ht="12.75" customHeight="1">
      <c r="A237" s="224"/>
      <c r="B237" s="228" t="s">
        <v>558</v>
      </c>
      <c r="C237" s="224"/>
      <c r="D237" s="224"/>
      <c r="E237" s="224"/>
      <c r="F237" s="224"/>
      <c r="G237" s="224"/>
      <c r="H237" s="224"/>
      <c r="I237" s="224"/>
      <c r="J237" s="224"/>
      <c r="K237" s="224"/>
      <c r="L237" s="224"/>
      <c r="M237" s="224"/>
      <c r="N237" s="224"/>
      <c r="O237" s="224"/>
      <c r="P237" s="224"/>
      <c r="Q237" s="224"/>
      <c r="R237" s="224"/>
      <c r="S237" s="224"/>
      <c r="T237" s="224"/>
      <c r="U237" s="224"/>
      <c r="V237" s="224"/>
      <c r="W237" s="224"/>
      <c r="X237" s="224"/>
      <c r="Y237" s="224"/>
      <c r="Z237" s="224"/>
    </row>
    <row r="238" spans="1:26" ht="12.75" customHeight="1">
      <c r="A238" s="224">
        <v>753</v>
      </c>
      <c r="B238" s="226" t="s">
        <v>559</v>
      </c>
      <c r="C238" s="224" t="s">
        <v>560</v>
      </c>
      <c r="D238" s="224" t="str">
        <f t="shared" si="2"/>
        <v>50202010 00 - Training Expenses (753)</v>
      </c>
      <c r="E238" s="224"/>
      <c r="F238" s="224"/>
      <c r="G238" s="224"/>
      <c r="H238" s="224"/>
      <c r="I238" s="224"/>
      <c r="J238" s="224"/>
      <c r="K238" s="224"/>
      <c r="L238" s="224"/>
      <c r="M238" s="224"/>
      <c r="N238" s="224"/>
      <c r="O238" s="224"/>
      <c r="P238" s="224"/>
      <c r="Q238" s="224"/>
      <c r="R238" s="224"/>
      <c r="S238" s="224"/>
      <c r="T238" s="224"/>
      <c r="U238" s="224"/>
      <c r="V238" s="224"/>
      <c r="W238" s="224"/>
      <c r="X238" s="224"/>
      <c r="Y238" s="224"/>
      <c r="Z238" s="224"/>
    </row>
    <row r="239" spans="1:26" ht="12.75" customHeight="1">
      <c r="A239" s="224">
        <v>754</v>
      </c>
      <c r="B239" s="226" t="s">
        <v>561</v>
      </c>
      <c r="C239" s="224" t="s">
        <v>562</v>
      </c>
      <c r="D239" s="224" t="str">
        <f t="shared" si="2"/>
        <v>50202020 00 - Scholarship Grants/Expenses (754)</v>
      </c>
      <c r="E239" s="224"/>
      <c r="F239" s="224"/>
      <c r="G239" s="224"/>
      <c r="H239" s="224"/>
      <c r="I239" s="224"/>
      <c r="J239" s="224"/>
      <c r="K239" s="224"/>
      <c r="L239" s="224"/>
      <c r="M239" s="224"/>
      <c r="N239" s="224"/>
      <c r="O239" s="224"/>
      <c r="P239" s="224"/>
      <c r="Q239" s="224"/>
      <c r="R239" s="224"/>
      <c r="S239" s="224"/>
      <c r="T239" s="224"/>
      <c r="U239" s="224"/>
      <c r="V239" s="224"/>
      <c r="W239" s="224"/>
      <c r="X239" s="224"/>
      <c r="Y239" s="224"/>
      <c r="Z239" s="224"/>
    </row>
    <row r="240" spans="1:26" ht="12.75" customHeight="1">
      <c r="A240" s="224"/>
      <c r="B240" s="228" t="s">
        <v>563</v>
      </c>
      <c r="C240" s="224"/>
      <c r="D240" s="224"/>
      <c r="E240" s="224"/>
      <c r="F240" s="224"/>
      <c r="G240" s="224"/>
      <c r="H240" s="224"/>
      <c r="I240" s="224"/>
      <c r="J240" s="224"/>
      <c r="K240" s="224"/>
      <c r="L240" s="224"/>
      <c r="M240" s="224"/>
      <c r="N240" s="224"/>
      <c r="O240" s="224"/>
      <c r="P240" s="224"/>
      <c r="Q240" s="224"/>
      <c r="R240" s="224"/>
      <c r="S240" s="224"/>
      <c r="T240" s="224"/>
      <c r="U240" s="224"/>
      <c r="V240" s="224"/>
      <c r="W240" s="224"/>
      <c r="X240" s="224"/>
      <c r="Y240" s="224"/>
      <c r="Z240" s="224"/>
    </row>
    <row r="241" spans="1:26" ht="12.75" customHeight="1">
      <c r="A241" s="224">
        <v>755</v>
      </c>
      <c r="B241" s="226" t="s">
        <v>564</v>
      </c>
      <c r="C241" s="224" t="s">
        <v>565</v>
      </c>
      <c r="D241" s="224" t="str">
        <f t="shared" si="2"/>
        <v>50203010 00 - Office Supplies Expenses (755)</v>
      </c>
      <c r="E241" s="224"/>
      <c r="F241" s="224"/>
      <c r="G241" s="224"/>
      <c r="H241" s="224"/>
      <c r="I241" s="224"/>
      <c r="J241" s="224"/>
      <c r="K241" s="224"/>
      <c r="L241" s="224"/>
      <c r="M241" s="224"/>
      <c r="N241" s="224"/>
      <c r="O241" s="224"/>
      <c r="P241" s="224"/>
      <c r="Q241" s="224"/>
      <c r="R241" s="224"/>
      <c r="S241" s="224"/>
      <c r="T241" s="224"/>
      <c r="U241" s="224"/>
      <c r="V241" s="224"/>
      <c r="W241" s="224"/>
      <c r="X241" s="224"/>
      <c r="Y241" s="224"/>
      <c r="Z241" s="224"/>
    </row>
    <row r="242" spans="1:26" ht="12.75" customHeight="1">
      <c r="A242" s="224">
        <v>756</v>
      </c>
      <c r="B242" s="226" t="s">
        <v>566</v>
      </c>
      <c r="C242" s="224" t="s">
        <v>567</v>
      </c>
      <c r="D242" s="224" t="str">
        <f t="shared" si="2"/>
        <v>50203020 00 - Accountable Forms Expenses  (756)</v>
      </c>
      <c r="E242" s="224"/>
      <c r="F242" s="224"/>
      <c r="G242" s="224"/>
      <c r="H242" s="224"/>
      <c r="I242" s="224"/>
      <c r="J242" s="224"/>
      <c r="K242" s="224"/>
      <c r="L242" s="224"/>
      <c r="M242" s="224"/>
      <c r="N242" s="224"/>
      <c r="O242" s="224"/>
      <c r="P242" s="224"/>
      <c r="Q242" s="224"/>
      <c r="R242" s="224"/>
      <c r="S242" s="224"/>
      <c r="T242" s="224"/>
      <c r="U242" s="224"/>
      <c r="V242" s="224"/>
      <c r="W242" s="224"/>
      <c r="X242" s="224"/>
      <c r="Y242" s="224"/>
      <c r="Z242" s="224"/>
    </row>
    <row r="243" spans="1:26" ht="12.75" customHeight="1">
      <c r="A243" s="224"/>
      <c r="B243" s="226" t="s">
        <v>568</v>
      </c>
      <c r="C243" s="224" t="s">
        <v>569</v>
      </c>
      <c r="D243" s="224" t="str">
        <f t="shared" si="2"/>
        <v>50203030 00 - Non-Accountable Forms Expenses  ()</v>
      </c>
      <c r="E243" s="224"/>
      <c r="F243" s="224"/>
      <c r="G243" s="224"/>
      <c r="H243" s="224"/>
      <c r="I243" s="224"/>
      <c r="J243" s="224"/>
      <c r="K243" s="224"/>
      <c r="L243" s="224"/>
      <c r="M243" s="224"/>
      <c r="N243" s="224"/>
      <c r="O243" s="224"/>
      <c r="P243" s="224"/>
      <c r="Q243" s="224"/>
      <c r="R243" s="224"/>
      <c r="S243" s="224"/>
      <c r="T243" s="224"/>
      <c r="U243" s="224"/>
      <c r="V243" s="224"/>
      <c r="W243" s="224"/>
      <c r="X243" s="224"/>
      <c r="Y243" s="224"/>
      <c r="Z243" s="224"/>
    </row>
    <row r="244" spans="1:26" ht="12.75" customHeight="1">
      <c r="A244" s="224">
        <v>757</v>
      </c>
      <c r="B244" s="226" t="s">
        <v>570</v>
      </c>
      <c r="C244" s="224" t="s">
        <v>571</v>
      </c>
      <c r="D244" s="224" t="str">
        <f t="shared" si="2"/>
        <v>50203040 00 - Animal/Zoological Supplies Expenses (757)</v>
      </c>
      <c r="E244" s="224"/>
      <c r="F244" s="224"/>
      <c r="G244" s="224"/>
      <c r="H244" s="224"/>
      <c r="I244" s="224"/>
      <c r="J244" s="224"/>
      <c r="K244" s="224"/>
      <c r="L244" s="224"/>
      <c r="M244" s="224"/>
      <c r="N244" s="224"/>
      <c r="O244" s="224"/>
      <c r="P244" s="224"/>
      <c r="Q244" s="224"/>
      <c r="R244" s="224"/>
      <c r="S244" s="224"/>
      <c r="T244" s="224"/>
      <c r="U244" s="224"/>
      <c r="V244" s="224"/>
      <c r="W244" s="224"/>
      <c r="X244" s="224"/>
      <c r="Y244" s="224"/>
      <c r="Z244" s="224"/>
    </row>
    <row r="245" spans="1:26" ht="12.75" customHeight="1">
      <c r="A245" s="224">
        <v>758</v>
      </c>
      <c r="B245" s="226" t="s">
        <v>572</v>
      </c>
      <c r="C245" s="224" t="s">
        <v>573</v>
      </c>
      <c r="D245" s="224" t="str">
        <f t="shared" si="2"/>
        <v>50203050 00 - Food Supplies Expenses (758)</v>
      </c>
      <c r="E245" s="224"/>
      <c r="F245" s="224"/>
      <c r="G245" s="224"/>
      <c r="H245" s="224"/>
      <c r="I245" s="224"/>
      <c r="J245" s="224"/>
      <c r="K245" s="224"/>
      <c r="L245" s="224"/>
      <c r="M245" s="224"/>
      <c r="N245" s="224"/>
      <c r="O245" s="224"/>
      <c r="P245" s="224"/>
      <c r="Q245" s="224"/>
      <c r="R245" s="224"/>
      <c r="S245" s="224"/>
      <c r="T245" s="224"/>
      <c r="U245" s="224"/>
      <c r="V245" s="224"/>
      <c r="W245" s="224"/>
      <c r="X245" s="224"/>
      <c r="Y245" s="224"/>
      <c r="Z245" s="224"/>
    </row>
    <row r="246" spans="1:26" ht="12.75" customHeight="1">
      <c r="A246" s="224"/>
      <c r="B246" s="226" t="s">
        <v>574</v>
      </c>
      <c r="C246" s="224" t="s">
        <v>575</v>
      </c>
      <c r="D246" s="224" t="str">
        <f t="shared" si="2"/>
        <v>50203060 00 - Welfare Goods Expenses ()</v>
      </c>
      <c r="E246" s="224"/>
      <c r="F246" s="224"/>
      <c r="G246" s="224"/>
      <c r="H246" s="224"/>
      <c r="I246" s="224"/>
      <c r="J246" s="224"/>
      <c r="K246" s="224"/>
      <c r="L246" s="224"/>
      <c r="M246" s="224"/>
      <c r="N246" s="224"/>
      <c r="O246" s="224"/>
      <c r="P246" s="224"/>
      <c r="Q246" s="224"/>
      <c r="R246" s="224"/>
      <c r="S246" s="224"/>
      <c r="T246" s="224"/>
      <c r="U246" s="224"/>
      <c r="V246" s="224"/>
      <c r="W246" s="224"/>
      <c r="X246" s="224"/>
      <c r="Y246" s="224"/>
      <c r="Z246" s="224"/>
    </row>
    <row r="247" spans="1:26" ht="12.75" customHeight="1">
      <c r="A247" s="224">
        <v>759</v>
      </c>
      <c r="B247" s="226" t="s">
        <v>576</v>
      </c>
      <c r="C247" s="224" t="s">
        <v>577</v>
      </c>
      <c r="D247" s="224" t="str">
        <f t="shared" si="2"/>
        <v>50203070 00 - Drugs and Medicines Expenses (759)</v>
      </c>
      <c r="E247" s="224"/>
      <c r="F247" s="224"/>
      <c r="G247" s="224"/>
      <c r="H247" s="224"/>
      <c r="I247" s="224"/>
      <c r="J247" s="224"/>
      <c r="K247" s="224"/>
      <c r="L247" s="224"/>
      <c r="M247" s="224"/>
      <c r="N247" s="224"/>
      <c r="O247" s="224"/>
      <c r="P247" s="224"/>
      <c r="Q247" s="224"/>
      <c r="R247" s="224"/>
      <c r="S247" s="224"/>
      <c r="T247" s="224"/>
      <c r="U247" s="224"/>
      <c r="V247" s="224"/>
      <c r="W247" s="224"/>
      <c r="X247" s="224"/>
      <c r="Y247" s="224"/>
      <c r="Z247" s="224"/>
    </row>
    <row r="248" spans="1:26" ht="12.75" customHeight="1">
      <c r="A248" s="224">
        <v>760</v>
      </c>
      <c r="B248" s="226" t="s">
        <v>578</v>
      </c>
      <c r="C248" s="224" t="s">
        <v>579</v>
      </c>
      <c r="D248" s="224" t="str">
        <f t="shared" si="2"/>
        <v>50203080 00 - Medical, Dental and Laboratory Supplies Expenses (760)</v>
      </c>
      <c r="E248" s="224"/>
      <c r="F248" s="224"/>
      <c r="G248" s="224"/>
      <c r="H248" s="224"/>
      <c r="I248" s="224"/>
      <c r="J248" s="224"/>
      <c r="K248" s="224"/>
      <c r="L248" s="224"/>
      <c r="M248" s="224"/>
      <c r="N248" s="224"/>
      <c r="O248" s="224"/>
      <c r="P248" s="224"/>
      <c r="Q248" s="224"/>
      <c r="R248" s="224"/>
      <c r="S248" s="224"/>
      <c r="T248" s="224"/>
      <c r="U248" s="224"/>
      <c r="V248" s="224"/>
      <c r="W248" s="224"/>
      <c r="X248" s="224"/>
      <c r="Y248" s="224"/>
      <c r="Z248" s="224"/>
    </row>
    <row r="249" spans="1:26" ht="12.75" customHeight="1">
      <c r="A249" s="224">
        <v>761</v>
      </c>
      <c r="B249" s="226" t="s">
        <v>580</v>
      </c>
      <c r="C249" s="224" t="s">
        <v>581</v>
      </c>
      <c r="D249" s="224" t="str">
        <f t="shared" si="2"/>
        <v>50203090 00 - Fuel, Oil and Lubricants Expenses (761)</v>
      </c>
      <c r="E249" s="224"/>
      <c r="F249" s="224"/>
      <c r="G249" s="224"/>
      <c r="H249" s="224"/>
      <c r="I249" s="224"/>
      <c r="J249" s="224"/>
      <c r="K249" s="224"/>
      <c r="L249" s="224"/>
      <c r="M249" s="224"/>
      <c r="N249" s="224"/>
      <c r="O249" s="224"/>
      <c r="P249" s="224"/>
      <c r="Q249" s="224"/>
      <c r="R249" s="224"/>
      <c r="S249" s="224"/>
      <c r="T249" s="224"/>
      <c r="U249" s="224"/>
      <c r="V249" s="224"/>
      <c r="W249" s="224"/>
      <c r="X249" s="224"/>
      <c r="Y249" s="224"/>
      <c r="Z249" s="224"/>
    </row>
    <row r="250" spans="1:26" ht="12.75" customHeight="1">
      <c r="A250" s="224">
        <v>762</v>
      </c>
      <c r="B250" s="226" t="s">
        <v>582</v>
      </c>
      <c r="C250" s="224" t="s">
        <v>583</v>
      </c>
      <c r="D250" s="224" t="str">
        <f t="shared" si="2"/>
        <v>50203100 00 - Agricultural and Marine Supplies Expenses (762)</v>
      </c>
      <c r="E250" s="224"/>
      <c r="F250" s="224"/>
      <c r="G250" s="224"/>
      <c r="H250" s="224"/>
      <c r="I250" s="224"/>
      <c r="J250" s="224"/>
      <c r="K250" s="224"/>
      <c r="L250" s="224"/>
      <c r="M250" s="224"/>
      <c r="N250" s="224"/>
      <c r="O250" s="224"/>
      <c r="P250" s="224"/>
      <c r="Q250" s="224"/>
      <c r="R250" s="224"/>
      <c r="S250" s="224"/>
      <c r="T250" s="224"/>
      <c r="U250" s="224"/>
      <c r="V250" s="224"/>
      <c r="W250" s="224"/>
      <c r="X250" s="224"/>
      <c r="Y250" s="224"/>
      <c r="Z250" s="224"/>
    </row>
    <row r="251" spans="1:26" ht="12.75" customHeight="1">
      <c r="A251" s="224"/>
      <c r="B251" s="228" t="s">
        <v>584</v>
      </c>
      <c r="C251" s="224"/>
      <c r="D251" s="224"/>
      <c r="E251" s="224"/>
      <c r="F251" s="224"/>
      <c r="G251" s="224"/>
      <c r="H251" s="224"/>
      <c r="I251" s="224"/>
      <c r="J251" s="224"/>
      <c r="K251" s="224"/>
      <c r="L251" s="224"/>
      <c r="M251" s="224"/>
      <c r="N251" s="224"/>
      <c r="O251" s="224"/>
      <c r="P251" s="224"/>
      <c r="Q251" s="224"/>
      <c r="R251" s="224"/>
      <c r="S251" s="224"/>
      <c r="T251" s="224"/>
      <c r="U251" s="224"/>
      <c r="V251" s="224"/>
      <c r="W251" s="224"/>
      <c r="X251" s="224"/>
      <c r="Y251" s="224"/>
      <c r="Z251" s="224"/>
    </row>
    <row r="252" spans="1:26" ht="12.75" customHeight="1">
      <c r="A252" s="224">
        <v>763</v>
      </c>
      <c r="B252" s="226" t="s">
        <v>585</v>
      </c>
      <c r="C252" s="224" t="s">
        <v>584</v>
      </c>
      <c r="D252" s="224" t="str">
        <f t="shared" si="2"/>
        <v>50203110 01 - Textbooks and Instructional Materials Expenses (763)</v>
      </c>
      <c r="E252" s="224"/>
      <c r="F252" s="224"/>
      <c r="G252" s="224"/>
      <c r="H252" s="224"/>
      <c r="I252" s="224"/>
      <c r="J252" s="224"/>
      <c r="K252" s="224"/>
      <c r="L252" s="224"/>
      <c r="M252" s="224"/>
      <c r="N252" s="224"/>
      <c r="O252" s="224"/>
      <c r="P252" s="224"/>
      <c r="Q252" s="224"/>
      <c r="R252" s="224"/>
      <c r="S252" s="224"/>
      <c r="T252" s="224"/>
      <c r="U252" s="224"/>
      <c r="V252" s="224"/>
      <c r="W252" s="224"/>
      <c r="X252" s="224"/>
      <c r="Y252" s="224"/>
      <c r="Z252" s="224"/>
    </row>
    <row r="253" spans="1:26" ht="12.75" customHeight="1">
      <c r="A253" s="224"/>
      <c r="B253" s="226" t="s">
        <v>586</v>
      </c>
      <c r="C253" s="224" t="s">
        <v>587</v>
      </c>
      <c r="D253" s="224" t="str">
        <f t="shared" si="2"/>
        <v>50203110 02 - Chalk Allowance ()</v>
      </c>
      <c r="E253" s="224"/>
      <c r="F253" s="224"/>
      <c r="G253" s="224"/>
      <c r="H253" s="224"/>
      <c r="I253" s="224"/>
      <c r="J253" s="224"/>
      <c r="K253" s="224"/>
      <c r="L253" s="224"/>
      <c r="M253" s="224"/>
      <c r="N253" s="224"/>
      <c r="O253" s="224"/>
      <c r="P253" s="224"/>
      <c r="Q253" s="224"/>
      <c r="R253" s="224"/>
      <c r="S253" s="224"/>
      <c r="T253" s="224"/>
      <c r="U253" s="224"/>
      <c r="V253" s="224"/>
      <c r="W253" s="224"/>
      <c r="X253" s="224"/>
      <c r="Y253" s="224"/>
      <c r="Z253" s="224"/>
    </row>
    <row r="254" spans="1:26" ht="12.75" customHeight="1">
      <c r="A254" s="224">
        <v>764</v>
      </c>
      <c r="B254" s="226" t="s">
        <v>588</v>
      </c>
      <c r="C254" s="224" t="s">
        <v>589</v>
      </c>
      <c r="D254" s="224" t="str">
        <f t="shared" si="2"/>
        <v>50203120 00 - Military, Police and Traffic Supplies Expenses (764)</v>
      </c>
      <c r="E254" s="224"/>
      <c r="F254" s="224"/>
      <c r="G254" s="224"/>
      <c r="H254" s="224"/>
      <c r="I254" s="224"/>
      <c r="J254" s="224"/>
      <c r="K254" s="224"/>
      <c r="L254" s="224"/>
      <c r="M254" s="224"/>
      <c r="N254" s="224"/>
      <c r="O254" s="224"/>
      <c r="P254" s="224"/>
      <c r="Q254" s="224"/>
      <c r="R254" s="224"/>
      <c r="S254" s="224"/>
      <c r="T254" s="224"/>
      <c r="U254" s="224"/>
      <c r="V254" s="224"/>
      <c r="W254" s="224"/>
      <c r="X254" s="224"/>
      <c r="Y254" s="224"/>
      <c r="Z254" s="224"/>
    </row>
    <row r="255" spans="1:26" ht="12.75" customHeight="1">
      <c r="A255" s="224"/>
      <c r="B255" s="226" t="s">
        <v>590</v>
      </c>
      <c r="C255" s="224" t="s">
        <v>591</v>
      </c>
      <c r="D255" s="224" t="str">
        <f t="shared" si="2"/>
        <v>50203130 00 - Chemical and Filtering Supplies Expenses ()</v>
      </c>
      <c r="E255" s="224"/>
      <c r="F255" s="224"/>
      <c r="G255" s="224"/>
      <c r="H255" s="224"/>
      <c r="I255" s="224"/>
      <c r="J255" s="224"/>
      <c r="K255" s="224"/>
      <c r="L255" s="224"/>
      <c r="M255" s="224"/>
      <c r="N255" s="224"/>
      <c r="O255" s="224"/>
      <c r="P255" s="224"/>
      <c r="Q255" s="224"/>
      <c r="R255" s="224"/>
      <c r="S255" s="224"/>
      <c r="T255" s="224"/>
      <c r="U255" s="224"/>
      <c r="V255" s="224"/>
      <c r="W255" s="224"/>
      <c r="X255" s="224"/>
      <c r="Y255" s="224"/>
      <c r="Z255" s="224"/>
    </row>
    <row r="256" spans="1:26" ht="12.75" customHeight="1">
      <c r="A256" s="224">
        <v>765</v>
      </c>
      <c r="B256" s="226" t="s">
        <v>592</v>
      </c>
      <c r="C256" s="224" t="s">
        <v>593</v>
      </c>
      <c r="D256" s="224" t="str">
        <f t="shared" si="2"/>
        <v>50203990 00 - Other Supplies and Materials Expenses (765)</v>
      </c>
      <c r="E256" s="224"/>
      <c r="F256" s="224"/>
      <c r="G256" s="224"/>
      <c r="H256" s="224"/>
      <c r="I256" s="224"/>
      <c r="J256" s="224"/>
      <c r="K256" s="224"/>
      <c r="L256" s="224"/>
      <c r="M256" s="224"/>
      <c r="N256" s="224"/>
      <c r="O256" s="224"/>
      <c r="P256" s="224"/>
      <c r="Q256" s="224"/>
      <c r="R256" s="224"/>
      <c r="S256" s="224"/>
      <c r="T256" s="224"/>
      <c r="U256" s="224"/>
      <c r="V256" s="224"/>
      <c r="W256" s="224"/>
      <c r="X256" s="224"/>
      <c r="Y256" s="224"/>
      <c r="Z256" s="224"/>
    </row>
    <row r="257" spans="1:26" ht="12.75" customHeight="1">
      <c r="A257" s="224"/>
      <c r="B257" s="228" t="s">
        <v>594</v>
      </c>
      <c r="C257" s="224"/>
      <c r="D257" s="224"/>
      <c r="E257" s="224"/>
      <c r="F257" s="224"/>
      <c r="G257" s="224"/>
      <c r="H257" s="224"/>
      <c r="I257" s="224"/>
      <c r="J257" s="224"/>
      <c r="K257" s="224"/>
      <c r="L257" s="224"/>
      <c r="M257" s="224"/>
      <c r="N257" s="224"/>
      <c r="O257" s="224"/>
      <c r="P257" s="224"/>
      <c r="Q257" s="224"/>
      <c r="R257" s="224"/>
      <c r="S257" s="224"/>
      <c r="T257" s="224"/>
      <c r="U257" s="224"/>
      <c r="V257" s="224"/>
      <c r="W257" s="224"/>
      <c r="X257" s="224"/>
      <c r="Y257" s="224"/>
      <c r="Z257" s="224"/>
    </row>
    <row r="258" spans="1:26" ht="12.75" customHeight="1">
      <c r="A258" s="224">
        <v>766</v>
      </c>
      <c r="B258" s="226" t="s">
        <v>595</v>
      </c>
      <c r="C258" s="224" t="s">
        <v>596</v>
      </c>
      <c r="D258" s="224" t="str">
        <f t="shared" si="2"/>
        <v>50204010 00 - Water Expenses (766)</v>
      </c>
      <c r="E258" s="224"/>
      <c r="F258" s="224"/>
      <c r="G258" s="224"/>
      <c r="H258" s="224"/>
      <c r="I258" s="224"/>
      <c r="J258" s="224"/>
      <c r="K258" s="224"/>
      <c r="L258" s="224"/>
      <c r="M258" s="224"/>
      <c r="N258" s="224"/>
      <c r="O258" s="224"/>
      <c r="P258" s="224"/>
      <c r="Q258" s="224"/>
      <c r="R258" s="224"/>
      <c r="S258" s="224"/>
      <c r="T258" s="224"/>
      <c r="U258" s="224"/>
      <c r="V258" s="224"/>
      <c r="W258" s="224"/>
      <c r="X258" s="224"/>
      <c r="Y258" s="224"/>
      <c r="Z258" s="224"/>
    </row>
    <row r="259" spans="1:26" ht="12.75" customHeight="1">
      <c r="A259" s="224">
        <v>767</v>
      </c>
      <c r="B259" s="226" t="s">
        <v>597</v>
      </c>
      <c r="C259" s="224" t="s">
        <v>598</v>
      </c>
      <c r="D259" s="224" t="str">
        <f t="shared" ref="D259:D322" si="3">CONCATENATE(B259," - ",C259," (",A259,")")</f>
        <v>50204020 00 - Electricity Expense (767)</v>
      </c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224"/>
      <c r="T259" s="224"/>
      <c r="U259" s="224"/>
      <c r="V259" s="224"/>
      <c r="W259" s="224"/>
      <c r="X259" s="224"/>
      <c r="Y259" s="224"/>
      <c r="Z259" s="224"/>
    </row>
    <row r="260" spans="1:26" ht="12.75" customHeight="1">
      <c r="A260" s="224"/>
      <c r="B260" s="228" t="s">
        <v>599</v>
      </c>
      <c r="C260" s="224"/>
      <c r="D260" s="224"/>
      <c r="E260" s="224"/>
      <c r="F260" s="224"/>
      <c r="G260" s="224"/>
      <c r="H260" s="224"/>
      <c r="I260" s="224"/>
      <c r="J260" s="224"/>
      <c r="K260" s="224"/>
      <c r="L260" s="224"/>
      <c r="M260" s="224"/>
      <c r="N260" s="224"/>
      <c r="O260" s="224"/>
      <c r="P260" s="224"/>
      <c r="Q260" s="224"/>
      <c r="R260" s="224"/>
      <c r="S260" s="224"/>
      <c r="T260" s="224"/>
      <c r="U260" s="224"/>
      <c r="V260" s="224"/>
      <c r="W260" s="224"/>
      <c r="X260" s="224"/>
      <c r="Y260" s="224"/>
      <c r="Z260" s="224"/>
    </row>
    <row r="261" spans="1:26" ht="12.75" customHeight="1">
      <c r="A261" s="224">
        <v>771</v>
      </c>
      <c r="B261" s="226" t="s">
        <v>600</v>
      </c>
      <c r="C261" s="224" t="s">
        <v>601</v>
      </c>
      <c r="D261" s="224" t="str">
        <f t="shared" si="3"/>
        <v>50205010 00 - Postage and Courier Services (771)</v>
      </c>
      <c r="E261" s="224"/>
      <c r="F261" s="224"/>
      <c r="G261" s="224"/>
      <c r="H261" s="224"/>
      <c r="I261" s="224"/>
      <c r="J261" s="224"/>
      <c r="K261" s="224"/>
      <c r="L261" s="224"/>
      <c r="M261" s="224"/>
      <c r="N261" s="224"/>
      <c r="O261" s="224"/>
      <c r="P261" s="224"/>
      <c r="Q261" s="224"/>
      <c r="R261" s="224"/>
      <c r="S261" s="224"/>
      <c r="T261" s="224"/>
      <c r="U261" s="224"/>
      <c r="V261" s="224"/>
      <c r="W261" s="224"/>
      <c r="X261" s="224"/>
      <c r="Y261" s="224"/>
      <c r="Z261" s="224"/>
    </row>
    <row r="262" spans="1:26" ht="12.75" customHeight="1">
      <c r="A262" s="224">
        <v>773</v>
      </c>
      <c r="B262" s="226" t="s">
        <v>602</v>
      </c>
      <c r="C262" s="224" t="s">
        <v>603</v>
      </c>
      <c r="D262" s="224" t="str">
        <f t="shared" si="3"/>
        <v>50205020 01 - Telephone Expenses - Mobile  (773)</v>
      </c>
      <c r="E262" s="224"/>
      <c r="F262" s="224"/>
      <c r="G262" s="224"/>
      <c r="H262" s="224"/>
      <c r="I262" s="224"/>
      <c r="J262" s="224"/>
      <c r="K262" s="224"/>
      <c r="L262" s="224"/>
      <c r="M262" s="224"/>
      <c r="N262" s="224"/>
      <c r="O262" s="224"/>
      <c r="P262" s="224"/>
      <c r="Q262" s="224"/>
      <c r="R262" s="224"/>
      <c r="S262" s="224"/>
      <c r="T262" s="224"/>
      <c r="U262" s="224"/>
      <c r="V262" s="224"/>
      <c r="W262" s="224"/>
      <c r="X262" s="224"/>
      <c r="Y262" s="224"/>
      <c r="Z262" s="224"/>
    </row>
    <row r="263" spans="1:26" ht="12.75" customHeight="1">
      <c r="A263" s="224">
        <v>772</v>
      </c>
      <c r="B263" s="226" t="s">
        <v>604</v>
      </c>
      <c r="C263" s="224" t="s">
        <v>605</v>
      </c>
      <c r="D263" s="224" t="str">
        <f t="shared" si="3"/>
        <v>50205020 02 - Telephone Expenses - Landline  (772)</v>
      </c>
      <c r="E263" s="224"/>
      <c r="F263" s="224"/>
      <c r="G263" s="224"/>
      <c r="H263" s="224"/>
      <c r="I263" s="224"/>
      <c r="J263" s="224"/>
      <c r="K263" s="224"/>
      <c r="L263" s="224"/>
      <c r="M263" s="224"/>
      <c r="N263" s="224"/>
      <c r="O263" s="224"/>
      <c r="P263" s="224"/>
      <c r="Q263" s="224"/>
      <c r="R263" s="224"/>
      <c r="S263" s="224"/>
      <c r="T263" s="224"/>
      <c r="U263" s="224"/>
      <c r="V263" s="224"/>
      <c r="W263" s="224"/>
      <c r="X263" s="224"/>
      <c r="Y263" s="224"/>
      <c r="Z263" s="224"/>
    </row>
    <row r="264" spans="1:26" ht="12.75" customHeight="1">
      <c r="A264" s="224">
        <v>774</v>
      </c>
      <c r="B264" s="226" t="s">
        <v>606</v>
      </c>
      <c r="C264" s="224" t="s">
        <v>607</v>
      </c>
      <c r="D264" s="224" t="str">
        <f t="shared" si="3"/>
        <v>50205030 00 - Internet Subscription Expenses (774)</v>
      </c>
      <c r="E264" s="224"/>
      <c r="F264" s="224"/>
      <c r="G264" s="224"/>
      <c r="H264" s="224"/>
      <c r="I264" s="224"/>
      <c r="J264" s="224"/>
      <c r="K264" s="224"/>
      <c r="L264" s="224"/>
      <c r="M264" s="224"/>
      <c r="N264" s="224"/>
      <c r="O264" s="224"/>
      <c r="P264" s="224"/>
      <c r="Q264" s="224"/>
      <c r="R264" s="224"/>
      <c r="S264" s="224"/>
      <c r="T264" s="224"/>
      <c r="U264" s="224"/>
      <c r="V264" s="224"/>
      <c r="W264" s="224"/>
      <c r="X264" s="224"/>
      <c r="Y264" s="224"/>
      <c r="Z264" s="224"/>
    </row>
    <row r="265" spans="1:26" ht="12.75" customHeight="1">
      <c r="A265" s="224">
        <v>775</v>
      </c>
      <c r="B265" s="226" t="s">
        <v>608</v>
      </c>
      <c r="C265" s="224" t="s">
        <v>609</v>
      </c>
      <c r="D265" s="224" t="str">
        <f t="shared" si="3"/>
        <v>50205040 00 - Cable, Satellite, Telegraph, and Radio Expenses (775)</v>
      </c>
      <c r="E265" s="224"/>
      <c r="F265" s="224"/>
      <c r="G265" s="224"/>
      <c r="H265" s="224"/>
      <c r="I265" s="224"/>
      <c r="J265" s="224"/>
      <c r="K265" s="224"/>
      <c r="L265" s="224"/>
      <c r="M265" s="224"/>
      <c r="N265" s="224"/>
      <c r="O265" s="224"/>
      <c r="P265" s="224"/>
      <c r="Q265" s="224"/>
      <c r="R265" s="224"/>
      <c r="S265" s="224"/>
      <c r="T265" s="224"/>
      <c r="U265" s="224"/>
      <c r="V265" s="224"/>
      <c r="W265" s="224"/>
      <c r="X265" s="224"/>
      <c r="Y265" s="224"/>
      <c r="Z265" s="224"/>
    </row>
    <row r="266" spans="1:26" ht="12.75" customHeight="1">
      <c r="A266" s="224"/>
      <c r="B266" s="228" t="s">
        <v>610</v>
      </c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224"/>
      <c r="T266" s="224"/>
      <c r="U266" s="224"/>
      <c r="V266" s="224"/>
      <c r="W266" s="224"/>
      <c r="X266" s="224"/>
      <c r="Y266" s="224"/>
      <c r="Z266" s="224"/>
    </row>
    <row r="267" spans="1:26" ht="12.75" customHeight="1">
      <c r="A267" s="224" t="s">
        <v>611</v>
      </c>
      <c r="B267" s="226" t="s">
        <v>612</v>
      </c>
      <c r="C267" s="224" t="s">
        <v>613</v>
      </c>
      <c r="D267" s="224" t="str">
        <f t="shared" si="3"/>
        <v>50206010 01 - Awards/Rewards Expenses (AWARDS)</v>
      </c>
      <c r="E267" s="224"/>
      <c r="F267" s="224"/>
      <c r="G267" s="224"/>
      <c r="H267" s="224"/>
      <c r="I267" s="224"/>
      <c r="J267" s="224"/>
      <c r="K267" s="224"/>
      <c r="L267" s="224"/>
      <c r="M267" s="224"/>
      <c r="N267" s="224"/>
      <c r="O267" s="224"/>
      <c r="P267" s="224"/>
      <c r="Q267" s="224"/>
      <c r="R267" s="224"/>
      <c r="S267" s="224"/>
      <c r="T267" s="224"/>
      <c r="U267" s="224"/>
      <c r="V267" s="224"/>
      <c r="W267" s="224"/>
      <c r="X267" s="224"/>
      <c r="Y267" s="224"/>
      <c r="Z267" s="224"/>
    </row>
    <row r="268" spans="1:26" ht="12.75" customHeight="1">
      <c r="A268" s="224"/>
      <c r="B268" s="226" t="s">
        <v>614</v>
      </c>
      <c r="C268" s="224" t="s">
        <v>615</v>
      </c>
      <c r="D268" s="224" t="str">
        <f t="shared" si="3"/>
        <v>50206010 02 - Rewards and Incentives ()</v>
      </c>
      <c r="E268" s="224"/>
      <c r="F268" s="224"/>
      <c r="G268" s="224"/>
      <c r="H268" s="224"/>
      <c r="I268" s="224"/>
      <c r="J268" s="224"/>
      <c r="K268" s="224"/>
      <c r="L268" s="224"/>
      <c r="M268" s="224"/>
      <c r="N268" s="224"/>
      <c r="O268" s="224"/>
      <c r="P268" s="224"/>
      <c r="Q268" s="224"/>
      <c r="R268" s="224"/>
      <c r="S268" s="224"/>
      <c r="T268" s="224"/>
      <c r="U268" s="224"/>
      <c r="V268" s="224"/>
      <c r="W268" s="224"/>
      <c r="X268" s="224"/>
      <c r="Y268" s="224"/>
      <c r="Z268" s="224"/>
    </row>
    <row r="269" spans="1:26" ht="12.75" customHeight="1">
      <c r="A269" s="224"/>
      <c r="B269" s="226" t="s">
        <v>616</v>
      </c>
      <c r="C269" s="224" t="s">
        <v>617</v>
      </c>
      <c r="D269" s="224" t="str">
        <f t="shared" si="3"/>
        <v>50206020 00 - Prizes ()</v>
      </c>
      <c r="E269" s="224"/>
      <c r="F269" s="224"/>
      <c r="G269" s="224"/>
      <c r="H269" s="224"/>
      <c r="I269" s="224"/>
      <c r="J269" s="224"/>
      <c r="K269" s="224"/>
      <c r="L269" s="224"/>
      <c r="M269" s="224"/>
      <c r="N269" s="224"/>
      <c r="O269" s="224"/>
      <c r="P269" s="224"/>
      <c r="Q269" s="224"/>
      <c r="R269" s="224"/>
      <c r="S269" s="224"/>
      <c r="T269" s="224"/>
      <c r="U269" s="224"/>
      <c r="V269" s="224"/>
      <c r="W269" s="224"/>
      <c r="X269" s="224"/>
      <c r="Y269" s="224"/>
      <c r="Z269" s="224"/>
    </row>
    <row r="270" spans="1:26" ht="12.75" customHeight="1">
      <c r="A270" s="224"/>
      <c r="B270" s="228" t="s">
        <v>618</v>
      </c>
      <c r="C270" s="224"/>
      <c r="D270" s="224"/>
      <c r="E270" s="224"/>
      <c r="F270" s="224"/>
      <c r="G270" s="224"/>
      <c r="H270" s="224"/>
      <c r="I270" s="224"/>
      <c r="J270" s="224"/>
      <c r="K270" s="224"/>
      <c r="L270" s="224"/>
      <c r="M270" s="224"/>
      <c r="N270" s="224"/>
      <c r="O270" s="224"/>
      <c r="P270" s="224"/>
      <c r="Q270" s="224"/>
      <c r="R270" s="224"/>
      <c r="S270" s="224"/>
      <c r="T270" s="224"/>
      <c r="U270" s="224"/>
      <c r="V270" s="224"/>
      <c r="W270" s="224"/>
      <c r="X270" s="224"/>
      <c r="Y270" s="224"/>
      <c r="Z270" s="224"/>
    </row>
    <row r="271" spans="1:26" ht="12.75" customHeight="1">
      <c r="A271" s="224">
        <v>881</v>
      </c>
      <c r="B271" s="226" t="s">
        <v>619</v>
      </c>
      <c r="C271" s="224" t="s">
        <v>620</v>
      </c>
      <c r="D271" s="224" t="str">
        <f t="shared" si="3"/>
        <v>50210010 00 - Confidential Expenses (881)</v>
      </c>
      <c r="E271" s="224"/>
      <c r="F271" s="224"/>
      <c r="G271" s="224"/>
      <c r="H271" s="224"/>
      <c r="I271" s="224"/>
      <c r="J271" s="224"/>
      <c r="K271" s="224"/>
      <c r="L271" s="224"/>
      <c r="M271" s="224"/>
      <c r="N271" s="224"/>
      <c r="O271" s="224"/>
      <c r="P271" s="224"/>
      <c r="Q271" s="224"/>
      <c r="R271" s="224"/>
      <c r="S271" s="224"/>
      <c r="T271" s="224"/>
      <c r="U271" s="224"/>
      <c r="V271" s="224"/>
      <c r="W271" s="224"/>
      <c r="X271" s="224"/>
      <c r="Y271" s="224"/>
      <c r="Z271" s="224"/>
    </row>
    <row r="272" spans="1:26" ht="12.75" customHeight="1">
      <c r="A272" s="224">
        <v>882</v>
      </c>
      <c r="B272" s="226" t="s">
        <v>621</v>
      </c>
      <c r="C272" s="224" t="s">
        <v>622</v>
      </c>
      <c r="D272" s="224" t="str">
        <f t="shared" si="3"/>
        <v>50210020 00 - Intelligence Expenses (882)</v>
      </c>
      <c r="E272" s="224"/>
      <c r="F272" s="224"/>
      <c r="G272" s="224"/>
      <c r="H272" s="224"/>
      <c r="I272" s="224"/>
      <c r="J272" s="224"/>
      <c r="K272" s="224"/>
      <c r="L272" s="224"/>
      <c r="M272" s="224"/>
      <c r="N272" s="224"/>
      <c r="O272" s="224"/>
      <c r="P272" s="224"/>
      <c r="Q272" s="224"/>
      <c r="R272" s="224"/>
      <c r="S272" s="224"/>
      <c r="T272" s="224"/>
      <c r="U272" s="224"/>
      <c r="V272" s="224"/>
      <c r="W272" s="224"/>
      <c r="X272" s="224"/>
      <c r="Y272" s="224"/>
      <c r="Z272" s="224"/>
    </row>
    <row r="273" spans="1:26" ht="12.75" customHeight="1">
      <c r="A273" s="224">
        <v>883</v>
      </c>
      <c r="B273" s="226" t="s">
        <v>623</v>
      </c>
      <c r="C273" s="224" t="s">
        <v>624</v>
      </c>
      <c r="D273" s="224" t="str">
        <f t="shared" si="3"/>
        <v>50210030 00 - Extraordinary and Miscellaneous Expense (883)</v>
      </c>
      <c r="E273" s="224"/>
      <c r="F273" s="224"/>
      <c r="G273" s="224"/>
      <c r="H273" s="224"/>
      <c r="I273" s="224"/>
      <c r="J273" s="224"/>
      <c r="K273" s="224"/>
      <c r="L273" s="224"/>
      <c r="M273" s="224"/>
      <c r="N273" s="224"/>
      <c r="O273" s="224"/>
      <c r="P273" s="224"/>
      <c r="Q273" s="224"/>
      <c r="R273" s="224"/>
      <c r="S273" s="224"/>
      <c r="T273" s="224"/>
      <c r="U273" s="224"/>
      <c r="V273" s="224"/>
      <c r="W273" s="224"/>
      <c r="X273" s="224"/>
      <c r="Y273" s="224"/>
      <c r="Z273" s="224"/>
    </row>
    <row r="274" spans="1:26" ht="12.75" customHeight="1">
      <c r="A274" s="224"/>
      <c r="B274" s="228" t="s">
        <v>625</v>
      </c>
      <c r="C274" s="224"/>
      <c r="D274" s="224"/>
      <c r="E274" s="224"/>
      <c r="F274" s="224"/>
      <c r="G274" s="224"/>
      <c r="H274" s="224"/>
      <c r="I274" s="224"/>
      <c r="J274" s="224"/>
      <c r="K274" s="224"/>
      <c r="L274" s="224"/>
      <c r="M274" s="224"/>
      <c r="N274" s="224"/>
      <c r="O274" s="224"/>
      <c r="P274" s="224"/>
      <c r="Q274" s="224"/>
      <c r="R274" s="224"/>
      <c r="S274" s="224"/>
      <c r="T274" s="224"/>
      <c r="U274" s="224"/>
      <c r="V274" s="224"/>
      <c r="W274" s="224"/>
      <c r="X274" s="224"/>
      <c r="Y274" s="224"/>
      <c r="Z274" s="224"/>
    </row>
    <row r="275" spans="1:26" ht="12.75" customHeight="1">
      <c r="A275" s="224">
        <v>791</v>
      </c>
      <c r="B275" s="226" t="s">
        <v>626</v>
      </c>
      <c r="C275" s="224" t="s">
        <v>627</v>
      </c>
      <c r="D275" s="224" t="str">
        <f t="shared" si="3"/>
        <v>50211010 00 - Legal Services (791)</v>
      </c>
      <c r="E275" s="224"/>
      <c r="F275" s="224"/>
      <c r="G275" s="224"/>
      <c r="H275" s="224"/>
      <c r="I275" s="224"/>
      <c r="J275" s="224"/>
      <c r="K275" s="224"/>
      <c r="L275" s="224"/>
      <c r="M275" s="224"/>
      <c r="N275" s="224"/>
      <c r="O275" s="224"/>
      <c r="P275" s="224"/>
      <c r="Q275" s="224"/>
      <c r="R275" s="224"/>
      <c r="S275" s="224"/>
      <c r="T275" s="224"/>
      <c r="U275" s="224"/>
      <c r="V275" s="224"/>
      <c r="W275" s="224"/>
      <c r="X275" s="224"/>
      <c r="Y275" s="224"/>
      <c r="Z275" s="224"/>
    </row>
    <row r="276" spans="1:26" ht="12.75" customHeight="1">
      <c r="A276" s="224">
        <v>792</v>
      </c>
      <c r="B276" s="226" t="s">
        <v>628</v>
      </c>
      <c r="C276" s="224" t="s">
        <v>629</v>
      </c>
      <c r="D276" s="224" t="str">
        <f t="shared" si="3"/>
        <v>50211020 00 - Auditing Services (792)</v>
      </c>
      <c r="E276" s="224"/>
      <c r="F276" s="224"/>
      <c r="G276" s="224"/>
      <c r="H276" s="224"/>
      <c r="I276" s="224"/>
      <c r="J276" s="224"/>
      <c r="K276" s="224"/>
      <c r="L276" s="224"/>
      <c r="M276" s="224"/>
      <c r="N276" s="224"/>
      <c r="O276" s="224"/>
      <c r="P276" s="224"/>
      <c r="Q276" s="224"/>
      <c r="R276" s="224"/>
      <c r="S276" s="224"/>
      <c r="T276" s="224"/>
      <c r="U276" s="224"/>
      <c r="V276" s="224"/>
      <c r="W276" s="224"/>
      <c r="X276" s="224"/>
      <c r="Y276" s="224"/>
      <c r="Z276" s="224"/>
    </row>
    <row r="277" spans="1:26" ht="12.75" customHeight="1">
      <c r="A277" s="224">
        <v>793</v>
      </c>
      <c r="B277" s="226" t="s">
        <v>630</v>
      </c>
      <c r="C277" s="224" t="s">
        <v>631</v>
      </c>
      <c r="D277" s="224" t="str">
        <f t="shared" si="3"/>
        <v>50211030 00 - Consultancy Services (793)</v>
      </c>
      <c r="E277" s="224"/>
      <c r="F277" s="224"/>
      <c r="G277" s="224"/>
      <c r="H277" s="224"/>
      <c r="I277" s="224"/>
      <c r="J277" s="224"/>
      <c r="K277" s="224"/>
      <c r="L277" s="224"/>
      <c r="M277" s="224"/>
      <c r="N277" s="224"/>
      <c r="O277" s="224"/>
      <c r="P277" s="224"/>
      <c r="Q277" s="224"/>
      <c r="R277" s="224"/>
      <c r="S277" s="224"/>
      <c r="T277" s="224"/>
      <c r="U277" s="224"/>
      <c r="V277" s="224"/>
      <c r="W277" s="224"/>
      <c r="X277" s="224"/>
      <c r="Y277" s="224"/>
      <c r="Z277" s="224"/>
    </row>
    <row r="278" spans="1:26" ht="12.75" customHeight="1">
      <c r="A278" s="224">
        <v>799</v>
      </c>
      <c r="B278" s="226" t="s">
        <v>632</v>
      </c>
      <c r="C278" s="224" t="s">
        <v>633</v>
      </c>
      <c r="D278" s="224" t="str">
        <f t="shared" si="3"/>
        <v>50211990 00 - Other Professional Services (799)</v>
      </c>
      <c r="E278" s="224"/>
      <c r="F278" s="224"/>
      <c r="G278" s="224"/>
      <c r="H278" s="224"/>
      <c r="I278" s="224"/>
      <c r="J278" s="224"/>
      <c r="K278" s="224"/>
      <c r="L278" s="224"/>
      <c r="M278" s="224"/>
      <c r="N278" s="224"/>
      <c r="O278" s="224"/>
      <c r="P278" s="224"/>
      <c r="Q278" s="224"/>
      <c r="R278" s="224"/>
      <c r="S278" s="224"/>
      <c r="T278" s="224"/>
      <c r="U278" s="224"/>
      <c r="V278" s="224"/>
      <c r="W278" s="224"/>
      <c r="X278" s="224"/>
      <c r="Y278" s="224"/>
      <c r="Z278" s="224"/>
    </row>
    <row r="279" spans="1:26" ht="12.75" customHeight="1">
      <c r="A279" s="224"/>
      <c r="B279" s="228" t="s">
        <v>634</v>
      </c>
      <c r="C279" s="224"/>
      <c r="D279" s="224"/>
      <c r="E279" s="224"/>
      <c r="F279" s="224"/>
      <c r="G279" s="224"/>
      <c r="H279" s="224"/>
      <c r="I279" s="224"/>
      <c r="J279" s="224"/>
      <c r="K279" s="224"/>
      <c r="L279" s="224"/>
      <c r="M279" s="224"/>
      <c r="N279" s="224"/>
      <c r="O279" s="224"/>
      <c r="P279" s="224"/>
      <c r="Q279" s="224"/>
      <c r="R279" s="224"/>
      <c r="S279" s="224"/>
      <c r="T279" s="224"/>
      <c r="U279" s="224"/>
      <c r="V279" s="224"/>
      <c r="W279" s="224"/>
      <c r="X279" s="224"/>
      <c r="Y279" s="224"/>
      <c r="Z279" s="224"/>
    </row>
    <row r="280" spans="1:26" ht="12.75" customHeight="1">
      <c r="A280" s="224">
        <v>794</v>
      </c>
      <c r="B280" s="226" t="s">
        <v>635</v>
      </c>
      <c r="C280" s="224" t="s">
        <v>636</v>
      </c>
      <c r="D280" s="224" t="str">
        <f t="shared" si="3"/>
        <v>50212010 00 - Environment/Sanitary Services (794)</v>
      </c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224"/>
      <c r="T280" s="224"/>
      <c r="U280" s="224"/>
      <c r="V280" s="224"/>
      <c r="W280" s="224"/>
      <c r="X280" s="224"/>
      <c r="Y280" s="224"/>
      <c r="Z280" s="224"/>
    </row>
    <row r="281" spans="1:26" ht="12.75" customHeight="1">
      <c r="A281" s="224">
        <v>796</v>
      </c>
      <c r="B281" s="226" t="s">
        <v>637</v>
      </c>
      <c r="C281" s="224" t="s">
        <v>638</v>
      </c>
      <c r="D281" s="224" t="str">
        <f t="shared" si="3"/>
        <v>50212020 00 - Janitorial Services (796)</v>
      </c>
      <c r="E281" s="224"/>
      <c r="F281" s="224"/>
      <c r="G281" s="224"/>
      <c r="H281" s="224"/>
      <c r="I281" s="224"/>
      <c r="J281" s="224"/>
      <c r="K281" s="224"/>
      <c r="L281" s="224"/>
      <c r="M281" s="224"/>
      <c r="N281" s="224"/>
      <c r="O281" s="224"/>
      <c r="P281" s="224"/>
      <c r="Q281" s="224"/>
      <c r="R281" s="224"/>
      <c r="S281" s="224"/>
      <c r="T281" s="224"/>
      <c r="U281" s="224"/>
      <c r="V281" s="224"/>
      <c r="W281" s="224"/>
      <c r="X281" s="224"/>
      <c r="Y281" s="224"/>
      <c r="Z281" s="224"/>
    </row>
    <row r="282" spans="1:26" ht="12.75" customHeight="1">
      <c r="A282" s="224">
        <v>797</v>
      </c>
      <c r="B282" s="226" t="s">
        <v>639</v>
      </c>
      <c r="C282" s="224" t="s">
        <v>640</v>
      </c>
      <c r="D282" s="224" t="str">
        <f t="shared" si="3"/>
        <v>50212030 00 - Security Services (797)</v>
      </c>
      <c r="E282" s="224"/>
      <c r="F282" s="224"/>
      <c r="G282" s="224"/>
      <c r="H282" s="224"/>
      <c r="I282" s="224"/>
      <c r="J282" s="224"/>
      <c r="K282" s="224"/>
      <c r="L282" s="224"/>
      <c r="M282" s="224"/>
      <c r="N282" s="224"/>
      <c r="O282" s="224"/>
      <c r="P282" s="224"/>
      <c r="Q282" s="224"/>
      <c r="R282" s="224"/>
      <c r="S282" s="224"/>
      <c r="T282" s="224"/>
      <c r="U282" s="224"/>
      <c r="V282" s="224"/>
      <c r="W282" s="224"/>
      <c r="X282" s="224"/>
      <c r="Y282" s="224"/>
      <c r="Z282" s="224"/>
    </row>
    <row r="283" spans="1:26" ht="12.75" customHeight="1">
      <c r="A283" s="224">
        <v>795</v>
      </c>
      <c r="B283" s="226" t="s">
        <v>641</v>
      </c>
      <c r="C283" s="224" t="s">
        <v>642</v>
      </c>
      <c r="D283" s="224" t="str">
        <f t="shared" si="3"/>
        <v>50212990 00 - Other General Services (795)</v>
      </c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</row>
    <row r="284" spans="1:26" ht="12.75" customHeight="1">
      <c r="A284" s="224"/>
      <c r="B284" s="228" t="s">
        <v>643</v>
      </c>
      <c r="C284" s="224"/>
      <c r="D284" s="224" t="str">
        <f t="shared" si="3"/>
        <v>Repairs and Maintenance -  ()</v>
      </c>
      <c r="E284" s="224"/>
      <c r="F284" s="224"/>
      <c r="G284" s="224"/>
      <c r="H284" s="224"/>
      <c r="I284" s="224"/>
      <c r="J284" s="224"/>
      <c r="K284" s="224"/>
      <c r="L284" s="224"/>
      <c r="M284" s="224"/>
      <c r="N284" s="224"/>
      <c r="O284" s="224"/>
      <c r="P284" s="224"/>
      <c r="Q284" s="224"/>
      <c r="R284" s="224"/>
      <c r="S284" s="224"/>
      <c r="T284" s="224"/>
      <c r="U284" s="224"/>
      <c r="V284" s="224"/>
      <c r="W284" s="224"/>
      <c r="X284" s="224"/>
      <c r="Y284" s="224"/>
      <c r="Z284" s="224"/>
    </row>
    <row r="285" spans="1:26" ht="12.75" customHeight="1">
      <c r="A285" s="224"/>
      <c r="B285" s="228" t="s">
        <v>644</v>
      </c>
      <c r="C285" s="224"/>
      <c r="D285" s="224" t="str">
        <f t="shared" si="3"/>
        <v xml:space="preserve">   Repairs and Maintenance - Machinery and Equipment -  ()</v>
      </c>
      <c r="E285" s="224"/>
      <c r="F285" s="224"/>
      <c r="G285" s="224"/>
      <c r="H285" s="224"/>
      <c r="I285" s="224"/>
      <c r="J285" s="224"/>
      <c r="K285" s="224"/>
      <c r="L285" s="224"/>
      <c r="M285" s="224"/>
      <c r="N285" s="224"/>
      <c r="O285" s="224"/>
      <c r="P285" s="224"/>
      <c r="Q285" s="224"/>
      <c r="R285" s="224"/>
      <c r="S285" s="224"/>
      <c r="T285" s="224"/>
      <c r="U285" s="224"/>
      <c r="V285" s="224"/>
      <c r="W285" s="224"/>
      <c r="X285" s="224"/>
      <c r="Y285" s="224"/>
      <c r="Z285" s="224"/>
    </row>
    <row r="286" spans="1:26" ht="12.75" customHeight="1">
      <c r="A286" s="224">
        <v>820</v>
      </c>
      <c r="B286" s="226" t="s">
        <v>645</v>
      </c>
      <c r="C286" s="224" t="s">
        <v>646</v>
      </c>
      <c r="D286" s="224" t="str">
        <f t="shared" si="3"/>
        <v>50213040 01 - Buildings (820)</v>
      </c>
      <c r="E286" s="224"/>
      <c r="F286" s="224"/>
      <c r="G286" s="224"/>
      <c r="H286" s="224"/>
      <c r="I286" s="224"/>
      <c r="J286" s="224"/>
      <c r="K286" s="224"/>
      <c r="L286" s="224"/>
      <c r="M286" s="224"/>
      <c r="N286" s="224"/>
      <c r="O286" s="224"/>
      <c r="P286" s="224"/>
      <c r="Q286" s="224"/>
      <c r="R286" s="224"/>
      <c r="S286" s="224"/>
      <c r="T286" s="224"/>
      <c r="U286" s="224"/>
      <c r="V286" s="224"/>
      <c r="W286" s="224"/>
      <c r="X286" s="224"/>
      <c r="Y286" s="224"/>
      <c r="Z286" s="224"/>
    </row>
    <row r="287" spans="1:26" ht="12.75" customHeight="1">
      <c r="A287" s="224">
        <v>826</v>
      </c>
      <c r="B287" s="226" t="s">
        <v>647</v>
      </c>
      <c r="C287" s="224" t="s">
        <v>648</v>
      </c>
      <c r="D287" s="224" t="str">
        <f t="shared" si="3"/>
        <v>50213050 01 - Machinery (826)</v>
      </c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ht="12.75" customHeight="1">
      <c r="A288" s="224">
        <v>821</v>
      </c>
      <c r="B288" s="226" t="s">
        <v>649</v>
      </c>
      <c r="C288" s="224" t="s">
        <v>311</v>
      </c>
      <c r="D288" s="224" t="str">
        <f t="shared" si="3"/>
        <v>50213050 02 - Office Equipment (821)</v>
      </c>
      <c r="E288" s="224"/>
      <c r="F288" s="224"/>
      <c r="G288" s="224"/>
      <c r="H288" s="224"/>
      <c r="I288" s="224"/>
      <c r="J288" s="224"/>
      <c r="K288" s="224"/>
      <c r="L288" s="224"/>
      <c r="M288" s="224"/>
      <c r="N288" s="224"/>
      <c r="O288" s="224"/>
      <c r="P288" s="224"/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ht="12.75" customHeight="1">
      <c r="A289" s="224">
        <v>823</v>
      </c>
      <c r="B289" s="226" t="s">
        <v>650</v>
      </c>
      <c r="C289" s="224" t="s">
        <v>651</v>
      </c>
      <c r="D289" s="224" t="str">
        <f t="shared" si="3"/>
        <v>50213050 03 - ICT Equipment (823)</v>
      </c>
      <c r="E289" s="224"/>
      <c r="F289" s="224"/>
      <c r="G289" s="224"/>
      <c r="H289" s="224"/>
      <c r="I289" s="224"/>
      <c r="J289" s="224"/>
      <c r="K289" s="224"/>
      <c r="L289" s="224"/>
      <c r="M289" s="224"/>
      <c r="N289" s="224"/>
      <c r="O289" s="224"/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ht="12.75" customHeight="1">
      <c r="A290" s="224">
        <v>840</v>
      </c>
      <c r="B290" s="226" t="s">
        <v>652</v>
      </c>
      <c r="C290" s="224" t="s">
        <v>653</v>
      </c>
      <c r="D290" s="224" t="str">
        <f t="shared" si="3"/>
        <v>50213050 99 - Other Machinery and Equipment (840)</v>
      </c>
      <c r="E290" s="224"/>
      <c r="F290" s="224"/>
      <c r="G290" s="224"/>
      <c r="H290" s="224"/>
      <c r="I290" s="224"/>
      <c r="J290" s="224"/>
      <c r="K290" s="224"/>
      <c r="L290" s="224"/>
      <c r="M290" s="224"/>
      <c r="N290" s="224"/>
      <c r="O290" s="224"/>
      <c r="P290" s="224"/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ht="12.75" customHeight="1">
      <c r="A291" s="224">
        <v>850</v>
      </c>
      <c r="B291" s="226" t="s">
        <v>654</v>
      </c>
      <c r="C291" s="224" t="s">
        <v>655</v>
      </c>
      <c r="D291" s="224" t="str">
        <f t="shared" si="3"/>
        <v>50213990 99 - Other PPE (850)</v>
      </c>
      <c r="E291" s="224"/>
      <c r="F291" s="224"/>
      <c r="G291" s="224"/>
      <c r="H291" s="224"/>
      <c r="I291" s="224"/>
      <c r="J291" s="224"/>
      <c r="K291" s="224"/>
      <c r="L291" s="224"/>
      <c r="M291" s="224"/>
      <c r="N291" s="224"/>
      <c r="O291" s="224"/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ht="12.75" customHeight="1">
      <c r="A292" s="224"/>
      <c r="B292" s="228" t="s">
        <v>656</v>
      </c>
      <c r="C292" s="224"/>
      <c r="D292" s="224" t="str">
        <f t="shared" si="3"/>
        <v xml:space="preserve">   Repairs and Maintenance - Transportation Equipment -  ()</v>
      </c>
      <c r="E292" s="224"/>
      <c r="F292" s="224"/>
      <c r="G292" s="224"/>
      <c r="H292" s="224"/>
      <c r="I292" s="224"/>
      <c r="J292" s="224"/>
      <c r="K292" s="224"/>
      <c r="L292" s="224"/>
      <c r="M292" s="224"/>
      <c r="N292" s="224"/>
      <c r="O292" s="224"/>
      <c r="P292" s="224"/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ht="12.75" customHeight="1">
      <c r="A293" s="224">
        <v>841</v>
      </c>
      <c r="B293" s="226" t="s">
        <v>657</v>
      </c>
      <c r="C293" s="224" t="s">
        <v>319</v>
      </c>
      <c r="D293" s="224" t="str">
        <f t="shared" si="3"/>
        <v>50213060 01 - Motor Vehicles (841)</v>
      </c>
      <c r="E293" s="224"/>
      <c r="F293" s="224"/>
      <c r="G293" s="224"/>
      <c r="H293" s="224"/>
      <c r="I293" s="224"/>
      <c r="J293" s="224"/>
      <c r="K293" s="224"/>
      <c r="L293" s="224"/>
      <c r="M293" s="224"/>
      <c r="N293" s="224"/>
      <c r="O293" s="224"/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ht="12.75" customHeight="1">
      <c r="A294" s="224"/>
      <c r="B294" s="226" t="s">
        <v>658</v>
      </c>
      <c r="C294" s="224" t="s">
        <v>659</v>
      </c>
      <c r="D294" s="224" t="str">
        <f t="shared" si="3"/>
        <v>50213060 99 - Other Transportation Equipment ()</v>
      </c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224"/>
      <c r="T294" s="224"/>
      <c r="U294" s="224"/>
      <c r="V294" s="224"/>
      <c r="W294" s="224"/>
      <c r="X294" s="224"/>
      <c r="Y294" s="224"/>
      <c r="Z294" s="224"/>
    </row>
    <row r="295" spans="1:26" ht="12.75" customHeight="1">
      <c r="A295" s="224"/>
      <c r="B295" s="228" t="s">
        <v>660</v>
      </c>
      <c r="C295" s="224"/>
      <c r="D295" s="224" t="str">
        <f t="shared" si="3"/>
        <v xml:space="preserve">   Repairs and Maintenance - Furniture and Fixture -  ()</v>
      </c>
      <c r="E295" s="224"/>
      <c r="F295" s="224"/>
      <c r="G295" s="224"/>
      <c r="H295" s="224"/>
      <c r="I295" s="224"/>
      <c r="J295" s="224"/>
      <c r="K295" s="224"/>
      <c r="L295" s="224"/>
      <c r="M295" s="224"/>
      <c r="N295" s="224"/>
      <c r="O295" s="224"/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ht="12.75" customHeight="1">
      <c r="A296" s="224">
        <v>822</v>
      </c>
      <c r="B296" s="226" t="s">
        <v>661</v>
      </c>
      <c r="C296" s="224" t="s">
        <v>662</v>
      </c>
      <c r="D296" s="224" t="str">
        <f t="shared" si="3"/>
        <v>50213070 00 - Furniture and Fixture (822)</v>
      </c>
      <c r="E296" s="224"/>
      <c r="F296" s="224"/>
      <c r="G296" s="224"/>
      <c r="H296" s="224"/>
      <c r="I296" s="224"/>
      <c r="J296" s="224"/>
      <c r="K296" s="224"/>
      <c r="L296" s="224"/>
      <c r="M296" s="224"/>
      <c r="N296" s="224"/>
      <c r="O296" s="224"/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ht="12.75" customHeight="1">
      <c r="A297" s="224"/>
      <c r="B297" s="228" t="s">
        <v>663</v>
      </c>
      <c r="C297" s="224"/>
      <c r="D297" s="224" t="str">
        <f t="shared" si="3"/>
        <v>Taxes, Insurance Premiums and Others Fees -  ()</v>
      </c>
      <c r="E297" s="224"/>
      <c r="F297" s="224"/>
      <c r="G297" s="224"/>
      <c r="H297" s="224"/>
      <c r="I297" s="224"/>
      <c r="J297" s="224"/>
      <c r="K297" s="224"/>
      <c r="L297" s="224"/>
      <c r="M297" s="224"/>
      <c r="N297" s="224"/>
      <c r="O297" s="224"/>
      <c r="P297" s="224"/>
      <c r="Q297" s="224"/>
      <c r="R297" s="224"/>
      <c r="S297" s="224"/>
      <c r="T297" s="224"/>
      <c r="U297" s="224"/>
      <c r="V297" s="224"/>
      <c r="W297" s="224"/>
      <c r="X297" s="224"/>
      <c r="Y297" s="224"/>
      <c r="Z297" s="224"/>
    </row>
    <row r="298" spans="1:26" ht="12.75" customHeight="1">
      <c r="A298" s="224">
        <v>891</v>
      </c>
      <c r="B298" s="226" t="s">
        <v>664</v>
      </c>
      <c r="C298" s="224" t="s">
        <v>665</v>
      </c>
      <c r="D298" s="224" t="str">
        <f t="shared" si="3"/>
        <v>50215010 01 - Taxes, Duties and Licenses (891)</v>
      </c>
      <c r="E298" s="224"/>
      <c r="F298" s="224"/>
      <c r="G298" s="224"/>
      <c r="H298" s="224"/>
      <c r="I298" s="224"/>
      <c r="J298" s="224"/>
      <c r="K298" s="224"/>
      <c r="L298" s="224"/>
      <c r="M298" s="224"/>
      <c r="N298" s="224"/>
      <c r="O298" s="224"/>
      <c r="P298" s="224"/>
      <c r="Q298" s="224"/>
      <c r="R298" s="224"/>
      <c r="S298" s="224"/>
      <c r="T298" s="224"/>
      <c r="U298" s="224"/>
      <c r="V298" s="224"/>
      <c r="W298" s="224"/>
      <c r="X298" s="224"/>
      <c r="Y298" s="224"/>
      <c r="Z298" s="224"/>
    </row>
    <row r="299" spans="1:26" ht="12.75" customHeight="1">
      <c r="A299" s="224"/>
      <c r="B299" s="226" t="s">
        <v>666</v>
      </c>
      <c r="C299" s="224" t="s">
        <v>667</v>
      </c>
      <c r="D299" s="224" t="str">
        <f t="shared" si="3"/>
        <v>50215010 02 - Tax Refund ()</v>
      </c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224"/>
      <c r="T299" s="224"/>
      <c r="U299" s="224"/>
      <c r="V299" s="224"/>
      <c r="W299" s="224"/>
      <c r="X299" s="224"/>
      <c r="Y299" s="224"/>
      <c r="Z299" s="224"/>
    </row>
    <row r="300" spans="1:26" ht="12.75" customHeight="1">
      <c r="A300" s="224">
        <v>892</v>
      </c>
      <c r="B300" s="226" t="s">
        <v>668</v>
      </c>
      <c r="C300" s="224" t="s">
        <v>669</v>
      </c>
      <c r="D300" s="224" t="str">
        <f t="shared" si="3"/>
        <v>50215020 00 - Fidelity Bond Premiums (892)</v>
      </c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224"/>
      <c r="T300" s="224"/>
      <c r="U300" s="224"/>
      <c r="V300" s="224"/>
      <c r="W300" s="224"/>
      <c r="X300" s="224"/>
      <c r="Y300" s="224"/>
      <c r="Z300" s="224"/>
    </row>
    <row r="301" spans="1:26" ht="12.75" customHeight="1">
      <c r="A301" s="224">
        <v>893</v>
      </c>
      <c r="B301" s="226" t="s">
        <v>670</v>
      </c>
      <c r="C301" s="224" t="s">
        <v>671</v>
      </c>
      <c r="D301" s="224" t="str">
        <f t="shared" si="3"/>
        <v>50215030 00 - Insurance Expense (893)</v>
      </c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224"/>
      <c r="T301" s="224"/>
      <c r="U301" s="224"/>
      <c r="V301" s="224"/>
      <c r="W301" s="224"/>
      <c r="X301" s="224"/>
      <c r="Y301" s="224"/>
      <c r="Z301" s="224"/>
    </row>
    <row r="302" spans="1:26" ht="12.75" customHeight="1">
      <c r="A302" s="224"/>
      <c r="B302" s="228" t="s">
        <v>672</v>
      </c>
      <c r="C302" s="224"/>
      <c r="D302" s="224" t="str">
        <f t="shared" si="3"/>
        <v>Other Maintenance and Operating Expenses -  ()</v>
      </c>
      <c r="E302" s="224"/>
      <c r="F302" s="224"/>
      <c r="G302" s="224"/>
      <c r="H302" s="224"/>
      <c r="I302" s="224"/>
      <c r="J302" s="224"/>
      <c r="K302" s="224"/>
      <c r="L302" s="224"/>
      <c r="M302" s="224"/>
      <c r="N302" s="224"/>
      <c r="O302" s="224"/>
      <c r="P302" s="224"/>
      <c r="Q302" s="224"/>
      <c r="R302" s="224"/>
      <c r="S302" s="224"/>
      <c r="T302" s="224"/>
      <c r="U302" s="224"/>
      <c r="V302" s="224"/>
      <c r="W302" s="224"/>
      <c r="X302" s="224"/>
      <c r="Y302" s="224"/>
      <c r="Z302" s="224"/>
    </row>
    <row r="303" spans="1:26" ht="12.75" customHeight="1">
      <c r="A303" s="224">
        <v>780</v>
      </c>
      <c r="B303" s="226" t="s">
        <v>673</v>
      </c>
      <c r="C303" s="224" t="s">
        <v>674</v>
      </c>
      <c r="D303" s="224" t="str">
        <f t="shared" si="3"/>
        <v>50299010 00 - Advertising Expenses (780)</v>
      </c>
      <c r="E303" s="224"/>
      <c r="F303" s="224"/>
      <c r="G303" s="224"/>
      <c r="H303" s="224"/>
      <c r="I303" s="224"/>
      <c r="J303" s="224"/>
      <c r="K303" s="224"/>
      <c r="L303" s="224"/>
      <c r="M303" s="224"/>
      <c r="N303" s="224"/>
      <c r="O303" s="224"/>
      <c r="P303" s="224"/>
      <c r="Q303" s="224"/>
      <c r="R303" s="224"/>
      <c r="S303" s="224"/>
      <c r="T303" s="224"/>
      <c r="U303" s="224"/>
      <c r="V303" s="224"/>
      <c r="W303" s="224"/>
      <c r="X303" s="224"/>
      <c r="Y303" s="224"/>
      <c r="Z303" s="224"/>
    </row>
    <row r="304" spans="1:26" ht="12.75" customHeight="1">
      <c r="A304" s="224">
        <v>781</v>
      </c>
      <c r="B304" s="226" t="s">
        <v>675</v>
      </c>
      <c r="C304" s="224" t="s">
        <v>676</v>
      </c>
      <c r="D304" s="224" t="str">
        <f t="shared" si="3"/>
        <v>50299020 00 - Printing and Binding Expenses (781)</v>
      </c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224"/>
      <c r="T304" s="224"/>
      <c r="U304" s="224"/>
      <c r="V304" s="224"/>
      <c r="W304" s="224"/>
      <c r="X304" s="224"/>
      <c r="Y304" s="224"/>
      <c r="Z304" s="224"/>
    </row>
    <row r="305" spans="1:26" ht="12.75" customHeight="1">
      <c r="A305" s="224">
        <v>783</v>
      </c>
      <c r="B305" s="226" t="s">
        <v>677</v>
      </c>
      <c r="C305" s="224" t="s">
        <v>678</v>
      </c>
      <c r="D305" s="224" t="str">
        <f t="shared" si="3"/>
        <v>50299030 00 - Representation Expenses (783)</v>
      </c>
      <c r="E305" s="224"/>
      <c r="F305" s="224"/>
      <c r="G305" s="224"/>
      <c r="H305" s="224"/>
      <c r="I305" s="224"/>
      <c r="J305" s="224"/>
      <c r="K305" s="224"/>
      <c r="L305" s="224"/>
      <c r="M305" s="224"/>
      <c r="N305" s="224"/>
      <c r="O305" s="224"/>
      <c r="P305" s="224"/>
      <c r="Q305" s="224"/>
      <c r="R305" s="224"/>
      <c r="S305" s="224"/>
      <c r="T305" s="224"/>
      <c r="U305" s="224"/>
      <c r="V305" s="224"/>
      <c r="W305" s="224"/>
      <c r="X305" s="224"/>
      <c r="Y305" s="224"/>
      <c r="Z305" s="224"/>
    </row>
    <row r="306" spans="1:26" ht="12.75" customHeight="1">
      <c r="A306" s="224">
        <v>784</v>
      </c>
      <c r="B306" s="226" t="s">
        <v>679</v>
      </c>
      <c r="C306" s="224" t="s">
        <v>680</v>
      </c>
      <c r="D306" s="224" t="str">
        <f t="shared" si="3"/>
        <v>50299040 00 - Transportation and Delivery Expenses (784)</v>
      </c>
      <c r="E306" s="224"/>
      <c r="F306" s="224"/>
      <c r="G306" s="224"/>
      <c r="H306" s="224"/>
      <c r="I306" s="224"/>
      <c r="J306" s="224"/>
      <c r="K306" s="224"/>
      <c r="L306" s="224"/>
      <c r="M306" s="224"/>
      <c r="N306" s="224"/>
      <c r="O306" s="224"/>
      <c r="P306" s="224"/>
      <c r="Q306" s="224"/>
      <c r="R306" s="224"/>
      <c r="S306" s="224"/>
      <c r="T306" s="224"/>
      <c r="U306" s="224"/>
      <c r="V306" s="224"/>
      <c r="W306" s="224"/>
      <c r="X306" s="224"/>
      <c r="Y306" s="224"/>
      <c r="Z306" s="224"/>
    </row>
    <row r="307" spans="1:26" ht="12.75" customHeight="1">
      <c r="A307" s="224"/>
      <c r="B307" s="228" t="s">
        <v>681</v>
      </c>
      <c r="C307" s="224"/>
      <c r="D307" s="224" t="str">
        <f t="shared" si="3"/>
        <v>Rent/Lease Expense -  ()</v>
      </c>
      <c r="E307" s="224"/>
      <c r="F307" s="224"/>
      <c r="G307" s="224"/>
      <c r="H307" s="224"/>
      <c r="I307" s="224"/>
      <c r="J307" s="224"/>
      <c r="K307" s="224"/>
      <c r="L307" s="224"/>
      <c r="M307" s="224"/>
      <c r="N307" s="224"/>
      <c r="O307" s="224"/>
      <c r="P307" s="224"/>
      <c r="Q307" s="224"/>
      <c r="R307" s="224"/>
      <c r="S307" s="224"/>
      <c r="T307" s="224"/>
      <c r="U307" s="224"/>
      <c r="V307" s="224"/>
      <c r="W307" s="224"/>
      <c r="X307" s="224"/>
      <c r="Y307" s="224"/>
      <c r="Z307" s="224"/>
    </row>
    <row r="308" spans="1:26" ht="12.75" customHeight="1">
      <c r="A308" s="224">
        <v>782</v>
      </c>
      <c r="B308" s="226" t="s">
        <v>682</v>
      </c>
      <c r="C308" s="224" t="s">
        <v>683</v>
      </c>
      <c r="D308" s="224" t="str">
        <f t="shared" si="3"/>
        <v>50299050 01 - Rent - Buildings and Structures (782)</v>
      </c>
      <c r="E308" s="224"/>
      <c r="F308" s="224"/>
      <c r="G308" s="224"/>
      <c r="H308" s="224"/>
      <c r="I308" s="224"/>
      <c r="J308" s="224"/>
      <c r="K308" s="224"/>
      <c r="L308" s="224"/>
      <c r="M308" s="224"/>
      <c r="N308" s="224"/>
      <c r="O308" s="224"/>
      <c r="P308" s="224"/>
      <c r="Q308" s="224"/>
      <c r="R308" s="224"/>
      <c r="S308" s="224"/>
      <c r="T308" s="224"/>
      <c r="U308" s="224"/>
      <c r="V308" s="224"/>
      <c r="W308" s="224"/>
      <c r="X308" s="224"/>
      <c r="Y308" s="224"/>
      <c r="Z308" s="224"/>
    </row>
    <row r="309" spans="1:26" ht="12.75" customHeight="1">
      <c r="A309" s="224" t="s">
        <v>684</v>
      </c>
      <c r="B309" s="226" t="s">
        <v>685</v>
      </c>
      <c r="C309" s="224" t="s">
        <v>686</v>
      </c>
      <c r="D309" s="224" t="str">
        <f t="shared" si="3"/>
        <v>50299050 04 - Rent - Equipment (782-1)</v>
      </c>
      <c r="E309" s="224"/>
      <c r="F309" s="224"/>
      <c r="G309" s="224"/>
      <c r="H309" s="224"/>
      <c r="I309" s="224"/>
      <c r="J309" s="224"/>
      <c r="K309" s="224"/>
      <c r="L309" s="224"/>
      <c r="M309" s="224"/>
      <c r="N309" s="224"/>
      <c r="O309" s="224"/>
      <c r="P309" s="224"/>
      <c r="Q309" s="224"/>
      <c r="R309" s="224"/>
      <c r="S309" s="224"/>
      <c r="T309" s="224"/>
      <c r="U309" s="224"/>
      <c r="V309" s="224"/>
      <c r="W309" s="224"/>
      <c r="X309" s="224"/>
      <c r="Y309" s="224"/>
      <c r="Z309" s="224"/>
    </row>
    <row r="310" spans="1:26" ht="12.75" customHeight="1">
      <c r="A310" s="224" t="s">
        <v>687</v>
      </c>
      <c r="B310" s="226" t="s">
        <v>688</v>
      </c>
      <c r="C310" s="224" t="s">
        <v>689</v>
      </c>
      <c r="D310" s="224" t="str">
        <f t="shared" si="3"/>
        <v>50299050 03 - Rent - Motor Vehicle (782-VEH)</v>
      </c>
      <c r="E310" s="224"/>
      <c r="F310" s="224"/>
      <c r="G310" s="224"/>
      <c r="H310" s="224"/>
      <c r="I310" s="224"/>
      <c r="J310" s="224"/>
      <c r="K310" s="224"/>
      <c r="L310" s="224"/>
      <c r="M310" s="224"/>
      <c r="N310" s="224"/>
      <c r="O310" s="224"/>
      <c r="P310" s="224"/>
      <c r="Q310" s="224"/>
      <c r="R310" s="224"/>
      <c r="S310" s="224"/>
      <c r="T310" s="224"/>
      <c r="U310" s="224"/>
      <c r="V310" s="224"/>
      <c r="W310" s="224"/>
      <c r="X310" s="224"/>
      <c r="Y310" s="224"/>
      <c r="Z310" s="224"/>
    </row>
    <row r="311" spans="1:26" ht="12.75" customHeight="1">
      <c r="A311" s="224">
        <v>778</v>
      </c>
      <c r="B311" s="226" t="s">
        <v>690</v>
      </c>
      <c r="C311" s="224" t="s">
        <v>691</v>
      </c>
      <c r="D311" s="224" t="str">
        <f t="shared" si="3"/>
        <v>50299060 00 - Membership Dues and Contributions to Organizations (778)</v>
      </c>
      <c r="E311" s="224"/>
      <c r="F311" s="224"/>
      <c r="G311" s="224"/>
      <c r="H311" s="224"/>
      <c r="I311" s="224"/>
      <c r="J311" s="224"/>
      <c r="K311" s="224"/>
      <c r="L311" s="224"/>
      <c r="M311" s="224"/>
      <c r="N311" s="224"/>
      <c r="O311" s="224"/>
      <c r="P311" s="224"/>
      <c r="Q311" s="224"/>
      <c r="R311" s="224"/>
      <c r="S311" s="224"/>
      <c r="T311" s="224"/>
      <c r="U311" s="224"/>
      <c r="V311" s="224"/>
      <c r="W311" s="224"/>
      <c r="X311" s="224"/>
      <c r="Y311" s="224"/>
      <c r="Z311" s="224"/>
    </row>
    <row r="312" spans="1:26" ht="12.75" customHeight="1">
      <c r="A312" s="224">
        <v>786</v>
      </c>
      <c r="B312" s="226" t="s">
        <v>692</v>
      </c>
      <c r="C312" s="224" t="s">
        <v>693</v>
      </c>
      <c r="D312" s="224" t="str">
        <f t="shared" si="3"/>
        <v>50299070 00 - Subscriptions Expenses (786)</v>
      </c>
      <c r="E312" s="224"/>
      <c r="F312" s="224"/>
      <c r="G312" s="224"/>
      <c r="H312" s="224"/>
      <c r="I312" s="224"/>
      <c r="J312" s="224"/>
      <c r="K312" s="224"/>
      <c r="L312" s="224"/>
      <c r="M312" s="224"/>
      <c r="N312" s="224"/>
      <c r="O312" s="224"/>
      <c r="P312" s="224"/>
      <c r="Q312" s="224"/>
      <c r="R312" s="224"/>
      <c r="S312" s="224"/>
      <c r="T312" s="224"/>
      <c r="U312" s="224"/>
      <c r="V312" s="224"/>
      <c r="W312" s="224"/>
      <c r="X312" s="224"/>
      <c r="Y312" s="224"/>
      <c r="Z312" s="224"/>
    </row>
    <row r="313" spans="1:26" ht="12.75" customHeight="1">
      <c r="A313" s="224">
        <v>878</v>
      </c>
      <c r="B313" s="226" t="s">
        <v>694</v>
      </c>
      <c r="C313" s="224" t="s">
        <v>695</v>
      </c>
      <c r="D313" s="224" t="str">
        <f t="shared" si="3"/>
        <v>50299080 00 - Donations (878)</v>
      </c>
      <c r="E313" s="224"/>
      <c r="F313" s="224"/>
      <c r="G313" s="224"/>
      <c r="H313" s="224"/>
      <c r="I313" s="224"/>
      <c r="J313" s="224"/>
      <c r="K313" s="224"/>
      <c r="L313" s="224"/>
      <c r="M313" s="224"/>
      <c r="N313" s="224"/>
      <c r="O313" s="224"/>
      <c r="P313" s="224"/>
      <c r="Q313" s="224"/>
      <c r="R313" s="224"/>
      <c r="S313" s="224"/>
      <c r="T313" s="224"/>
      <c r="U313" s="224"/>
      <c r="V313" s="224"/>
      <c r="W313" s="224"/>
      <c r="X313" s="224"/>
      <c r="Y313" s="224"/>
      <c r="Z313" s="224"/>
    </row>
    <row r="314" spans="1:26" ht="12.75" customHeight="1">
      <c r="A314" s="224">
        <v>879</v>
      </c>
      <c r="B314" s="226" t="s">
        <v>696</v>
      </c>
      <c r="C314" s="224" t="s">
        <v>697</v>
      </c>
      <c r="D314" s="224" t="str">
        <f t="shared" si="3"/>
        <v>50214990 00 - Subsidy - Others (879)</v>
      </c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224"/>
      <c r="T314" s="224"/>
      <c r="U314" s="224"/>
      <c r="V314" s="224"/>
      <c r="W314" s="224"/>
      <c r="X314" s="224"/>
      <c r="Y314" s="224"/>
      <c r="Z314" s="224"/>
    </row>
    <row r="315" spans="1:26" ht="12.75" customHeight="1">
      <c r="A315" s="224"/>
      <c r="B315" s="228" t="s">
        <v>672</v>
      </c>
      <c r="C315" s="224"/>
      <c r="D315" s="224" t="str">
        <f t="shared" si="3"/>
        <v>Other Maintenance and Operating Expenses -  ()</v>
      </c>
      <c r="E315" s="224"/>
      <c r="F315" s="224"/>
      <c r="G315" s="224"/>
      <c r="H315" s="224"/>
      <c r="I315" s="224"/>
      <c r="J315" s="224"/>
      <c r="K315" s="224"/>
      <c r="L315" s="224"/>
      <c r="M315" s="224"/>
      <c r="N315" s="224"/>
      <c r="O315" s="224"/>
      <c r="P315" s="224"/>
      <c r="Q315" s="224"/>
      <c r="R315" s="224"/>
      <c r="S315" s="224"/>
      <c r="T315" s="224"/>
      <c r="U315" s="224"/>
      <c r="V315" s="224"/>
      <c r="W315" s="224"/>
      <c r="X315" s="224"/>
      <c r="Y315" s="224"/>
      <c r="Z315" s="224"/>
    </row>
    <row r="316" spans="1:26" ht="12.75" customHeight="1">
      <c r="A316" s="224"/>
      <c r="B316" s="226" t="s">
        <v>698</v>
      </c>
      <c r="C316" s="224" t="s">
        <v>699</v>
      </c>
      <c r="D316" s="224" t="str">
        <f t="shared" si="3"/>
        <v>50299990 01 - Website Maintenance ()</v>
      </c>
      <c r="E316" s="224"/>
      <c r="F316" s="224"/>
      <c r="G316" s="224"/>
      <c r="H316" s="224"/>
      <c r="I316" s="224"/>
      <c r="J316" s="224"/>
      <c r="K316" s="224"/>
      <c r="L316" s="224"/>
      <c r="M316" s="224"/>
      <c r="N316" s="224"/>
      <c r="O316" s="224"/>
      <c r="P316" s="224"/>
      <c r="Q316" s="224"/>
      <c r="R316" s="224"/>
      <c r="S316" s="224"/>
      <c r="T316" s="224"/>
      <c r="U316" s="224"/>
      <c r="V316" s="224"/>
      <c r="W316" s="224"/>
      <c r="X316" s="224"/>
      <c r="Y316" s="224"/>
      <c r="Z316" s="224"/>
    </row>
    <row r="317" spans="1:26" ht="12.75" customHeight="1">
      <c r="A317" s="224">
        <v>969</v>
      </c>
      <c r="B317" s="226" t="s">
        <v>700</v>
      </c>
      <c r="C317" s="224" t="s">
        <v>672</v>
      </c>
      <c r="D317" s="224" t="str">
        <f t="shared" si="3"/>
        <v>50299990 99 - Other Maintenance and Operating Expenses (969)</v>
      </c>
      <c r="E317" s="224"/>
      <c r="F317" s="224"/>
      <c r="G317" s="224"/>
      <c r="H317" s="224"/>
      <c r="I317" s="224"/>
      <c r="J317" s="224"/>
      <c r="K317" s="224"/>
      <c r="L317" s="224"/>
      <c r="M317" s="224"/>
      <c r="N317" s="224"/>
      <c r="O317" s="224"/>
      <c r="P317" s="224"/>
      <c r="Q317" s="224"/>
      <c r="R317" s="224"/>
      <c r="S317" s="224"/>
      <c r="T317" s="224"/>
      <c r="U317" s="224"/>
      <c r="V317" s="224"/>
      <c r="W317" s="224"/>
      <c r="X317" s="224"/>
      <c r="Y317" s="224"/>
      <c r="Z317" s="224"/>
    </row>
    <row r="318" spans="1:26" ht="12.75" customHeight="1">
      <c r="A318" s="224"/>
      <c r="B318" s="227" t="s">
        <v>701</v>
      </c>
      <c r="C318" s="224"/>
      <c r="D318" s="224" t="str">
        <f t="shared" si="3"/>
        <v>C.5.3 Financial Expenses -  ()</v>
      </c>
      <c r="E318" s="224"/>
      <c r="F318" s="224"/>
      <c r="G318" s="224"/>
      <c r="H318" s="224"/>
      <c r="I318" s="224"/>
      <c r="J318" s="224"/>
      <c r="K318" s="224"/>
      <c r="L318" s="224"/>
      <c r="M318" s="224"/>
      <c r="N318" s="224"/>
      <c r="O318" s="224"/>
      <c r="P318" s="224"/>
      <c r="Q318" s="224"/>
      <c r="R318" s="224"/>
      <c r="S318" s="224"/>
      <c r="T318" s="224"/>
      <c r="U318" s="224"/>
      <c r="V318" s="224"/>
      <c r="W318" s="224"/>
      <c r="X318" s="224"/>
      <c r="Y318" s="224"/>
      <c r="Z318" s="224"/>
    </row>
    <row r="319" spans="1:26" ht="12.75" customHeight="1">
      <c r="A319" s="224">
        <v>971</v>
      </c>
      <c r="B319" s="226" t="s">
        <v>702</v>
      </c>
      <c r="C319" s="224" t="s">
        <v>703</v>
      </c>
      <c r="D319" s="224" t="str">
        <f t="shared" si="3"/>
        <v>50301040 00 - Bank Charge (971)</v>
      </c>
      <c r="E319" s="224"/>
      <c r="F319" s="224"/>
      <c r="G319" s="224"/>
      <c r="H319" s="224"/>
      <c r="I319" s="224"/>
      <c r="J319" s="224"/>
      <c r="K319" s="224"/>
      <c r="L319" s="224"/>
      <c r="M319" s="224"/>
      <c r="N319" s="224"/>
      <c r="O319" s="224"/>
      <c r="P319" s="224"/>
      <c r="Q319" s="224"/>
      <c r="R319" s="224"/>
      <c r="S319" s="224"/>
      <c r="T319" s="224"/>
      <c r="U319" s="224"/>
      <c r="V319" s="224"/>
      <c r="W319" s="224"/>
      <c r="X319" s="224"/>
      <c r="Y319" s="224"/>
      <c r="Z319" s="224"/>
    </row>
    <row r="320" spans="1:26" ht="12.75" customHeight="1">
      <c r="A320" s="224"/>
      <c r="B320" s="227" t="s">
        <v>704</v>
      </c>
      <c r="C320" s="224"/>
      <c r="D320" s="224" t="str">
        <f t="shared" si="3"/>
        <v>C.5.4 Direct Costs -  ()</v>
      </c>
      <c r="E320" s="224"/>
      <c r="F320" s="224"/>
      <c r="G320" s="224"/>
      <c r="H320" s="224"/>
      <c r="I320" s="224"/>
      <c r="J320" s="224"/>
      <c r="K320" s="224"/>
      <c r="L320" s="224"/>
      <c r="M320" s="224"/>
      <c r="N320" s="224"/>
      <c r="O320" s="224"/>
      <c r="P320" s="224"/>
      <c r="Q320" s="224"/>
      <c r="R320" s="224"/>
      <c r="S320" s="224"/>
      <c r="T320" s="224"/>
      <c r="U320" s="224"/>
      <c r="V320" s="224"/>
      <c r="W320" s="224"/>
      <c r="X320" s="224"/>
      <c r="Y320" s="224"/>
      <c r="Z320" s="224"/>
    </row>
    <row r="321" spans="1:26" ht="12.75" customHeight="1">
      <c r="A321" s="224"/>
      <c r="B321" s="227" t="s">
        <v>705</v>
      </c>
      <c r="C321" s="224"/>
      <c r="D321" s="224" t="str">
        <f t="shared" si="3"/>
        <v>C.5.5 Non-Cash Expenses -  ()</v>
      </c>
      <c r="E321" s="224"/>
      <c r="F321" s="224"/>
      <c r="G321" s="224"/>
      <c r="H321" s="224"/>
      <c r="I321" s="224"/>
      <c r="J321" s="224"/>
      <c r="K321" s="224"/>
      <c r="L321" s="224"/>
      <c r="M321" s="224"/>
      <c r="N321" s="224"/>
      <c r="O321" s="224"/>
      <c r="P321" s="224"/>
      <c r="Q321" s="224"/>
      <c r="R321" s="224"/>
      <c r="S321" s="224"/>
      <c r="T321" s="224"/>
      <c r="U321" s="224"/>
      <c r="V321" s="224"/>
      <c r="W321" s="224"/>
      <c r="X321" s="224"/>
      <c r="Y321" s="224"/>
      <c r="Z321" s="224"/>
    </row>
    <row r="322" spans="1:26" ht="12.75" customHeight="1">
      <c r="A322" s="224"/>
      <c r="B322" s="228" t="s">
        <v>706</v>
      </c>
      <c r="C322" s="224"/>
      <c r="D322" s="224" t="str">
        <f t="shared" si="3"/>
        <v>Depreciation - Buildings and Other Sturctures -  ()</v>
      </c>
      <c r="E322" s="224"/>
      <c r="F322" s="224"/>
      <c r="G322" s="224"/>
      <c r="H322" s="224"/>
      <c r="I322" s="224"/>
      <c r="J322" s="224"/>
      <c r="K322" s="224"/>
      <c r="L322" s="224"/>
      <c r="M322" s="224"/>
      <c r="N322" s="224"/>
      <c r="O322" s="224"/>
      <c r="P322" s="224"/>
      <c r="Q322" s="224"/>
      <c r="R322" s="224"/>
      <c r="S322" s="224"/>
      <c r="T322" s="224"/>
      <c r="U322" s="224"/>
      <c r="V322" s="224"/>
      <c r="W322" s="224"/>
      <c r="X322" s="224"/>
      <c r="Y322" s="224"/>
      <c r="Z322" s="224"/>
    </row>
    <row r="323" spans="1:26" ht="12.75" customHeight="1">
      <c r="A323" s="224"/>
      <c r="B323" s="226" t="s">
        <v>707</v>
      </c>
      <c r="C323" s="224" t="s">
        <v>646</v>
      </c>
      <c r="D323" s="224" t="str">
        <f t="shared" ref="D323:D358" si="4">CONCATENATE(B323," - ",C323," (",A323,")")</f>
        <v>50501040 01 - Buildings ()</v>
      </c>
      <c r="E323" s="224"/>
      <c r="F323" s="224"/>
      <c r="G323" s="224"/>
      <c r="H323" s="224"/>
      <c r="I323" s="224"/>
      <c r="J323" s="224"/>
      <c r="K323" s="224"/>
      <c r="L323" s="224"/>
      <c r="M323" s="224"/>
      <c r="N323" s="224"/>
      <c r="O323" s="224"/>
      <c r="P323" s="224"/>
      <c r="Q323" s="224"/>
      <c r="R323" s="224"/>
      <c r="S323" s="224"/>
      <c r="T323" s="224"/>
      <c r="U323" s="224"/>
      <c r="V323" s="224"/>
      <c r="W323" s="224"/>
      <c r="X323" s="224"/>
      <c r="Y323" s="224"/>
      <c r="Z323" s="224"/>
    </row>
    <row r="324" spans="1:26" ht="12.75" customHeight="1">
      <c r="A324" s="224"/>
      <c r="B324" s="226" t="s">
        <v>708</v>
      </c>
      <c r="C324" s="224" t="s">
        <v>709</v>
      </c>
      <c r="D324" s="224" t="str">
        <f t="shared" si="4"/>
        <v>50501040 99 - Other Structures ()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224"/>
      <c r="T324" s="224"/>
      <c r="U324" s="224"/>
      <c r="V324" s="224"/>
      <c r="W324" s="224"/>
      <c r="X324" s="224"/>
      <c r="Y324" s="224"/>
      <c r="Z324" s="224"/>
    </row>
    <row r="325" spans="1:26" ht="12.75" customHeight="1">
      <c r="A325" s="224"/>
      <c r="B325" s="228" t="s">
        <v>710</v>
      </c>
      <c r="C325" s="224"/>
      <c r="D325" s="224" t="str">
        <f t="shared" si="4"/>
        <v>Depreciation - Machinery and Equipment -  ()</v>
      </c>
      <c r="E325" s="224"/>
      <c r="F325" s="224"/>
      <c r="G325" s="224"/>
      <c r="H325" s="224"/>
      <c r="I325" s="224"/>
      <c r="J325" s="224"/>
      <c r="K325" s="224"/>
      <c r="L325" s="224"/>
      <c r="M325" s="224"/>
      <c r="N325" s="224"/>
      <c r="O325" s="224"/>
      <c r="P325" s="224"/>
      <c r="Q325" s="224"/>
      <c r="R325" s="224"/>
      <c r="S325" s="224"/>
      <c r="T325" s="224"/>
      <c r="U325" s="224"/>
      <c r="V325" s="224"/>
      <c r="W325" s="224"/>
      <c r="X325" s="224"/>
      <c r="Y325" s="224"/>
      <c r="Z325" s="224"/>
    </row>
    <row r="326" spans="1:26" ht="12.75" customHeight="1">
      <c r="A326" s="224"/>
      <c r="B326" s="226" t="s">
        <v>711</v>
      </c>
      <c r="C326" s="224" t="s">
        <v>648</v>
      </c>
      <c r="D326" s="224" t="str">
        <f t="shared" si="4"/>
        <v>50501050 01 - Machinery ()</v>
      </c>
      <c r="E326" s="224"/>
      <c r="F326" s="224"/>
      <c r="G326" s="224"/>
      <c r="H326" s="224"/>
      <c r="I326" s="224"/>
      <c r="J326" s="224"/>
      <c r="K326" s="224"/>
      <c r="L326" s="224"/>
      <c r="M326" s="224"/>
      <c r="N326" s="224"/>
      <c r="O326" s="224"/>
      <c r="P326" s="224"/>
      <c r="Q326" s="224"/>
      <c r="R326" s="224"/>
      <c r="S326" s="224"/>
      <c r="T326" s="224"/>
      <c r="U326" s="224"/>
      <c r="V326" s="224"/>
      <c r="W326" s="224"/>
      <c r="X326" s="224"/>
      <c r="Y326" s="224"/>
      <c r="Z326" s="224"/>
    </row>
    <row r="327" spans="1:26" ht="12.75" customHeight="1">
      <c r="A327" s="224"/>
      <c r="B327" s="226" t="s">
        <v>712</v>
      </c>
      <c r="C327" s="224" t="s">
        <v>311</v>
      </c>
      <c r="D327" s="224" t="str">
        <f t="shared" si="4"/>
        <v>50501050 02 - Office Equipment ()</v>
      </c>
      <c r="E327" s="224"/>
      <c r="F327" s="224"/>
      <c r="G327" s="224"/>
      <c r="H327" s="224"/>
      <c r="I327" s="224"/>
      <c r="J327" s="224"/>
      <c r="K327" s="224"/>
      <c r="L327" s="224"/>
      <c r="M327" s="224"/>
      <c r="N327" s="224"/>
      <c r="O327" s="224"/>
      <c r="P327" s="224"/>
      <c r="Q327" s="224"/>
      <c r="R327" s="224"/>
      <c r="S327" s="224"/>
      <c r="T327" s="224"/>
      <c r="U327" s="224"/>
      <c r="V327" s="224"/>
      <c r="W327" s="224"/>
      <c r="X327" s="224"/>
      <c r="Y327" s="224"/>
      <c r="Z327" s="224"/>
    </row>
    <row r="328" spans="1:26" ht="12.75" customHeight="1">
      <c r="A328" s="224"/>
      <c r="B328" s="226" t="s">
        <v>713</v>
      </c>
      <c r="C328" s="224" t="s">
        <v>651</v>
      </c>
      <c r="D328" s="224" t="str">
        <f t="shared" si="4"/>
        <v>50501050 03 - ICT Equipment ()</v>
      </c>
      <c r="E328" s="224"/>
      <c r="F328" s="224"/>
      <c r="G328" s="224"/>
      <c r="H328" s="224"/>
      <c r="I328" s="224"/>
      <c r="J328" s="224"/>
      <c r="K328" s="224"/>
      <c r="L328" s="224"/>
      <c r="M328" s="224"/>
      <c r="N328" s="224"/>
      <c r="O328" s="224"/>
      <c r="P328" s="224"/>
      <c r="Q328" s="224"/>
      <c r="R328" s="224"/>
      <c r="S328" s="224"/>
      <c r="T328" s="224"/>
      <c r="U328" s="224"/>
      <c r="V328" s="224"/>
      <c r="W328" s="224"/>
      <c r="X328" s="224"/>
      <c r="Y328" s="224"/>
      <c r="Z328" s="224"/>
    </row>
    <row r="329" spans="1:26" ht="12.75" customHeight="1">
      <c r="A329" s="224"/>
      <c r="B329" s="226" t="s">
        <v>714</v>
      </c>
      <c r="C329" s="224" t="s">
        <v>653</v>
      </c>
      <c r="D329" s="224" t="str">
        <f t="shared" si="4"/>
        <v>50501050 99 - Other Machinery and Equipment ()</v>
      </c>
      <c r="E329" s="224"/>
      <c r="F329" s="224"/>
      <c r="G329" s="224"/>
      <c r="H329" s="224"/>
      <c r="I329" s="224"/>
      <c r="J329" s="224"/>
      <c r="K329" s="224"/>
      <c r="L329" s="224"/>
      <c r="M329" s="224"/>
      <c r="N329" s="224"/>
      <c r="O329" s="224"/>
      <c r="P329" s="224"/>
      <c r="Q329" s="224"/>
      <c r="R329" s="224"/>
      <c r="S329" s="224"/>
      <c r="T329" s="224"/>
      <c r="U329" s="224"/>
      <c r="V329" s="224"/>
      <c r="W329" s="224"/>
      <c r="X329" s="224"/>
      <c r="Y329" s="224"/>
      <c r="Z329" s="224"/>
    </row>
    <row r="330" spans="1:26" ht="12.75" customHeight="1">
      <c r="A330" s="224"/>
      <c r="B330" s="228" t="s">
        <v>715</v>
      </c>
      <c r="C330" s="224"/>
      <c r="D330" s="224" t="str">
        <f t="shared" si="4"/>
        <v>Depreciation - Transportation Equipment -  ()</v>
      </c>
      <c r="E330" s="224"/>
      <c r="F330" s="224"/>
      <c r="G330" s="224"/>
      <c r="H330" s="224"/>
      <c r="I330" s="224"/>
      <c r="J330" s="224"/>
      <c r="K330" s="224"/>
      <c r="L330" s="224"/>
      <c r="M330" s="224"/>
      <c r="N330" s="224"/>
      <c r="O330" s="224"/>
      <c r="P330" s="224"/>
      <c r="Q330" s="224"/>
      <c r="R330" s="224"/>
      <c r="S330" s="224"/>
      <c r="T330" s="224"/>
      <c r="U330" s="224"/>
      <c r="V330" s="224"/>
      <c r="W330" s="224"/>
      <c r="X330" s="224"/>
      <c r="Y330" s="224"/>
      <c r="Z330" s="224"/>
    </row>
    <row r="331" spans="1:26" ht="12.75" customHeight="1">
      <c r="A331" s="224"/>
      <c r="B331" s="226" t="s">
        <v>716</v>
      </c>
      <c r="C331" s="224" t="s">
        <v>319</v>
      </c>
      <c r="D331" s="224" t="str">
        <f t="shared" si="4"/>
        <v>50501060 01 - Motor Vehicles ()</v>
      </c>
      <c r="E331" s="224"/>
      <c r="F331" s="224"/>
      <c r="G331" s="224"/>
      <c r="H331" s="224"/>
      <c r="I331" s="224"/>
      <c r="J331" s="224"/>
      <c r="K331" s="224"/>
      <c r="L331" s="224"/>
      <c r="M331" s="224"/>
      <c r="N331" s="224"/>
      <c r="O331" s="224"/>
      <c r="P331" s="224"/>
      <c r="Q331" s="224"/>
      <c r="R331" s="224"/>
      <c r="S331" s="224"/>
      <c r="T331" s="224"/>
      <c r="U331" s="224"/>
      <c r="V331" s="224"/>
      <c r="W331" s="224"/>
      <c r="X331" s="224"/>
      <c r="Y331" s="224"/>
      <c r="Z331" s="224"/>
    </row>
    <row r="332" spans="1:26" ht="12.75" customHeight="1">
      <c r="A332" s="224"/>
      <c r="B332" s="226" t="s">
        <v>717</v>
      </c>
      <c r="C332" s="224" t="s">
        <v>659</v>
      </c>
      <c r="D332" s="224" t="str">
        <f t="shared" si="4"/>
        <v>50501060 99 - Other Transportation Equipment ()</v>
      </c>
      <c r="E332" s="224"/>
      <c r="F332" s="224"/>
      <c r="G332" s="224"/>
      <c r="H332" s="224"/>
      <c r="I332" s="224"/>
      <c r="J332" s="224"/>
      <c r="K332" s="224"/>
      <c r="L332" s="224"/>
      <c r="M332" s="224"/>
      <c r="N332" s="224"/>
      <c r="O332" s="224"/>
      <c r="P332" s="224"/>
      <c r="Q332" s="224"/>
      <c r="R332" s="224"/>
      <c r="S332" s="224"/>
      <c r="T332" s="224"/>
      <c r="U332" s="224"/>
      <c r="V332" s="224"/>
      <c r="W332" s="224"/>
      <c r="X332" s="224"/>
      <c r="Y332" s="224"/>
      <c r="Z332" s="224"/>
    </row>
    <row r="333" spans="1:26" ht="12.75" customHeight="1">
      <c r="A333" s="224"/>
      <c r="B333" s="228" t="s">
        <v>718</v>
      </c>
      <c r="C333" s="224"/>
      <c r="D333" s="224" t="str">
        <f t="shared" si="4"/>
        <v>Depreciation - Furnitures, Fixtures and Books -  ()</v>
      </c>
      <c r="E333" s="224"/>
      <c r="F333" s="224"/>
      <c r="G333" s="224"/>
      <c r="H333" s="224"/>
      <c r="I333" s="224"/>
      <c r="J333" s="224"/>
      <c r="K333" s="224"/>
      <c r="L333" s="224"/>
      <c r="M333" s="224"/>
      <c r="N333" s="224"/>
      <c r="O333" s="224"/>
      <c r="P333" s="224"/>
      <c r="Q333" s="224"/>
      <c r="R333" s="224"/>
      <c r="S333" s="224"/>
      <c r="T333" s="224"/>
      <c r="U333" s="224"/>
      <c r="V333" s="224"/>
      <c r="W333" s="224"/>
      <c r="X333" s="224"/>
      <c r="Y333" s="224"/>
      <c r="Z333" s="224"/>
    </row>
    <row r="334" spans="1:26" ht="12.75" customHeight="1">
      <c r="A334" s="224"/>
      <c r="B334" s="226" t="s">
        <v>719</v>
      </c>
      <c r="C334" s="224" t="s">
        <v>662</v>
      </c>
      <c r="D334" s="224" t="str">
        <f t="shared" si="4"/>
        <v>50501070 01 - Furniture and Fixture ()</v>
      </c>
      <c r="E334" s="224"/>
      <c r="F334" s="224"/>
      <c r="G334" s="224"/>
      <c r="H334" s="224"/>
      <c r="I334" s="224"/>
      <c r="J334" s="224"/>
      <c r="K334" s="224"/>
      <c r="L334" s="224"/>
      <c r="M334" s="224"/>
      <c r="N334" s="224"/>
      <c r="O334" s="224"/>
      <c r="P334" s="224"/>
      <c r="Q334" s="224"/>
      <c r="R334" s="224"/>
      <c r="S334" s="224"/>
      <c r="T334" s="224"/>
      <c r="U334" s="224"/>
      <c r="V334" s="224"/>
      <c r="W334" s="224"/>
      <c r="X334" s="224"/>
      <c r="Y334" s="224"/>
      <c r="Z334" s="224"/>
    </row>
    <row r="335" spans="1:26" ht="12.75" customHeight="1">
      <c r="A335" s="224"/>
      <c r="B335" s="226" t="s">
        <v>720</v>
      </c>
      <c r="C335" s="224" t="s">
        <v>721</v>
      </c>
      <c r="D335" s="224" t="str">
        <f t="shared" si="4"/>
        <v>50501070 02 - Books ()</v>
      </c>
      <c r="E335" s="224"/>
      <c r="F335" s="224"/>
      <c r="G335" s="224"/>
      <c r="H335" s="224"/>
      <c r="I335" s="224"/>
      <c r="J335" s="224"/>
      <c r="K335" s="224"/>
      <c r="L335" s="224"/>
      <c r="M335" s="224"/>
      <c r="N335" s="224"/>
      <c r="O335" s="224"/>
      <c r="P335" s="224"/>
      <c r="Q335" s="224"/>
      <c r="R335" s="224"/>
      <c r="S335" s="224"/>
      <c r="T335" s="224"/>
      <c r="U335" s="224"/>
      <c r="V335" s="224"/>
      <c r="W335" s="224"/>
      <c r="X335" s="224"/>
      <c r="Y335" s="224"/>
      <c r="Z335" s="224"/>
    </row>
    <row r="336" spans="1:26" ht="12.75" customHeight="1">
      <c r="A336" s="224"/>
      <c r="B336" s="228" t="s">
        <v>722</v>
      </c>
      <c r="C336" s="224"/>
      <c r="D336" s="224" t="str">
        <f t="shared" si="4"/>
        <v>Losses -  ()</v>
      </c>
      <c r="E336" s="224"/>
      <c r="F336" s="224"/>
      <c r="G336" s="224"/>
      <c r="H336" s="224"/>
      <c r="I336" s="224"/>
      <c r="J336" s="224"/>
      <c r="K336" s="224"/>
      <c r="L336" s="224"/>
      <c r="M336" s="224"/>
      <c r="N336" s="224"/>
      <c r="O336" s="224"/>
      <c r="P336" s="224"/>
      <c r="Q336" s="224"/>
      <c r="R336" s="224"/>
      <c r="S336" s="224"/>
      <c r="T336" s="224"/>
      <c r="U336" s="224"/>
      <c r="V336" s="224"/>
      <c r="W336" s="224"/>
      <c r="X336" s="224"/>
      <c r="Y336" s="224"/>
      <c r="Z336" s="224"/>
    </row>
    <row r="337" spans="1:26" ht="12.75" customHeight="1">
      <c r="A337" s="224"/>
      <c r="B337" s="226" t="s">
        <v>723</v>
      </c>
      <c r="C337" s="224" t="s">
        <v>724</v>
      </c>
      <c r="D337" s="224" t="str">
        <f t="shared" si="4"/>
        <v>50504010 00 - Loss on Foreign Exchange (FOREX) ()</v>
      </c>
      <c r="E337" s="224"/>
      <c r="F337" s="224"/>
      <c r="G337" s="224"/>
      <c r="H337" s="224"/>
      <c r="I337" s="224"/>
      <c r="J337" s="224"/>
      <c r="K337" s="224"/>
      <c r="L337" s="224"/>
      <c r="M337" s="224"/>
      <c r="N337" s="224"/>
      <c r="O337" s="224"/>
      <c r="P337" s="224"/>
      <c r="Q337" s="224"/>
      <c r="R337" s="224"/>
      <c r="S337" s="224"/>
      <c r="T337" s="224"/>
      <c r="U337" s="224"/>
      <c r="V337" s="224"/>
      <c r="W337" s="224"/>
      <c r="X337" s="224"/>
      <c r="Y337" s="224"/>
      <c r="Z337" s="224"/>
    </row>
    <row r="338" spans="1:26" ht="12.75" customHeight="1">
      <c r="A338" s="224"/>
      <c r="B338" s="226" t="s">
        <v>725</v>
      </c>
      <c r="C338" s="224" t="s">
        <v>726</v>
      </c>
      <c r="D338" s="224" t="str">
        <f t="shared" si="4"/>
        <v>50504020 00 - Loss on Sale of Investments ()</v>
      </c>
      <c r="E338" s="224"/>
      <c r="F338" s="224"/>
      <c r="G338" s="224"/>
      <c r="H338" s="224"/>
      <c r="I338" s="224"/>
      <c r="J338" s="224"/>
      <c r="K338" s="224"/>
      <c r="L338" s="224"/>
      <c r="M338" s="224"/>
      <c r="N338" s="224"/>
      <c r="O338" s="224"/>
      <c r="P338" s="224"/>
      <c r="Q338" s="224"/>
      <c r="R338" s="224"/>
      <c r="S338" s="224"/>
      <c r="T338" s="224"/>
      <c r="U338" s="224"/>
      <c r="V338" s="224"/>
      <c r="W338" s="224"/>
      <c r="X338" s="224"/>
      <c r="Y338" s="224"/>
      <c r="Z338" s="224"/>
    </row>
    <row r="339" spans="1:26" ht="12.75" customHeight="1">
      <c r="A339" s="224"/>
      <c r="B339" s="226" t="s">
        <v>727</v>
      </c>
      <c r="C339" s="224" t="s">
        <v>728</v>
      </c>
      <c r="D339" s="224" t="str">
        <f t="shared" si="4"/>
        <v>50504030 00 - Loss on Sale of Investment Property ()</v>
      </c>
      <c r="E339" s="224"/>
      <c r="F339" s="224"/>
      <c r="G339" s="224"/>
      <c r="H339" s="224"/>
      <c r="I339" s="224"/>
      <c r="J339" s="224"/>
      <c r="K339" s="224"/>
      <c r="L339" s="224"/>
      <c r="M339" s="224"/>
      <c r="N339" s="224"/>
      <c r="O339" s="224"/>
      <c r="P339" s="224"/>
      <c r="Q339" s="224"/>
      <c r="R339" s="224"/>
      <c r="S339" s="224"/>
      <c r="T339" s="224"/>
      <c r="U339" s="224"/>
      <c r="V339" s="224"/>
      <c r="W339" s="224"/>
      <c r="X339" s="224"/>
      <c r="Y339" s="224"/>
      <c r="Z339" s="224"/>
    </row>
    <row r="340" spans="1:26" ht="12.75" customHeight="1">
      <c r="A340" s="224"/>
      <c r="B340" s="226" t="s">
        <v>729</v>
      </c>
      <c r="C340" s="224" t="s">
        <v>730</v>
      </c>
      <c r="D340" s="224" t="str">
        <f t="shared" si="4"/>
        <v>50504040 00 - Loss on Sale of Property, Plant and Equipment ()</v>
      </c>
      <c r="E340" s="224"/>
      <c r="F340" s="224"/>
      <c r="G340" s="224"/>
      <c r="H340" s="224"/>
      <c r="I340" s="224"/>
      <c r="J340" s="224"/>
      <c r="K340" s="224"/>
      <c r="L340" s="224"/>
      <c r="M340" s="224"/>
      <c r="N340" s="224"/>
      <c r="O340" s="224"/>
      <c r="P340" s="224"/>
      <c r="Q340" s="224"/>
      <c r="R340" s="224"/>
      <c r="S340" s="224"/>
      <c r="T340" s="224"/>
      <c r="U340" s="224"/>
      <c r="V340" s="224"/>
      <c r="W340" s="224"/>
      <c r="X340" s="224"/>
      <c r="Y340" s="224"/>
      <c r="Z340" s="224"/>
    </row>
    <row r="341" spans="1:26" ht="12.75" customHeight="1">
      <c r="A341" s="224"/>
      <c r="B341" s="226" t="s">
        <v>731</v>
      </c>
      <c r="C341" s="224" t="s">
        <v>732</v>
      </c>
      <c r="D341" s="224" t="str">
        <f t="shared" si="4"/>
        <v>50504080 00 - Loss on Sale of Assets ()</v>
      </c>
      <c r="E341" s="224"/>
      <c r="F341" s="224"/>
      <c r="G341" s="224"/>
      <c r="H341" s="224"/>
      <c r="I341" s="224"/>
      <c r="J341" s="224"/>
      <c r="K341" s="224"/>
      <c r="L341" s="224"/>
      <c r="M341" s="224"/>
      <c r="N341" s="224"/>
      <c r="O341" s="224"/>
      <c r="P341" s="224"/>
      <c r="Q341" s="224"/>
      <c r="R341" s="224"/>
      <c r="S341" s="224"/>
      <c r="T341" s="224"/>
      <c r="U341" s="224"/>
      <c r="V341" s="224"/>
      <c r="W341" s="224"/>
      <c r="X341" s="224"/>
      <c r="Y341" s="224"/>
      <c r="Z341" s="224"/>
    </row>
    <row r="342" spans="1:26" ht="12.75" customHeight="1">
      <c r="A342" s="224"/>
      <c r="B342" s="226" t="s">
        <v>733</v>
      </c>
      <c r="C342" s="224" t="s">
        <v>734</v>
      </c>
      <c r="D342" s="224" t="str">
        <f t="shared" si="4"/>
        <v>50504990 00 - Other Losses ()</v>
      </c>
      <c r="E342" s="224"/>
      <c r="F342" s="224"/>
      <c r="G342" s="224"/>
      <c r="H342" s="224"/>
      <c r="I342" s="224"/>
      <c r="J342" s="224"/>
      <c r="K342" s="224"/>
      <c r="L342" s="224"/>
      <c r="M342" s="224"/>
      <c r="N342" s="224"/>
      <c r="O342" s="224"/>
      <c r="P342" s="224"/>
      <c r="Q342" s="224"/>
      <c r="R342" s="224"/>
      <c r="S342" s="224"/>
      <c r="T342" s="224"/>
      <c r="U342" s="224"/>
      <c r="V342" s="224"/>
      <c r="W342" s="224"/>
      <c r="X342" s="224"/>
      <c r="Y342" s="224"/>
      <c r="Z342" s="224"/>
    </row>
    <row r="343" spans="1:26" ht="12.75" customHeight="1">
      <c r="A343" s="224"/>
      <c r="B343" s="227" t="s">
        <v>735</v>
      </c>
      <c r="C343" s="224"/>
      <c r="D343" s="224" t="str">
        <f t="shared" si="4"/>
        <v>C.5.6 Capital Outlays -  ()</v>
      </c>
      <c r="E343" s="224"/>
      <c r="F343" s="224"/>
      <c r="G343" s="224"/>
      <c r="H343" s="224"/>
      <c r="I343" s="224"/>
      <c r="J343" s="224"/>
      <c r="K343" s="224"/>
      <c r="L343" s="224"/>
      <c r="M343" s="224"/>
      <c r="N343" s="224"/>
      <c r="O343" s="224"/>
      <c r="P343" s="224"/>
      <c r="Q343" s="224"/>
      <c r="R343" s="224"/>
      <c r="S343" s="224"/>
      <c r="T343" s="224"/>
      <c r="U343" s="224"/>
      <c r="V343" s="224"/>
      <c r="W343" s="224"/>
      <c r="X343" s="224"/>
      <c r="Y343" s="224"/>
      <c r="Z343" s="224"/>
    </row>
    <row r="344" spans="1:26" ht="12.75" customHeight="1">
      <c r="A344" s="224"/>
      <c r="B344" s="228" t="s">
        <v>736</v>
      </c>
      <c r="C344" s="224"/>
      <c r="D344" s="224" t="str">
        <f t="shared" si="4"/>
        <v>Property, Plant and Equipment Outlay -  ()</v>
      </c>
      <c r="E344" s="224"/>
      <c r="F344" s="224"/>
      <c r="G344" s="224"/>
      <c r="H344" s="224"/>
      <c r="I344" s="224"/>
      <c r="J344" s="224"/>
      <c r="K344" s="224"/>
      <c r="L344" s="224"/>
      <c r="M344" s="224"/>
      <c r="N344" s="224"/>
      <c r="O344" s="224"/>
      <c r="P344" s="224"/>
      <c r="Q344" s="224"/>
      <c r="R344" s="224"/>
      <c r="S344" s="224"/>
      <c r="T344" s="224"/>
      <c r="U344" s="224"/>
      <c r="V344" s="224"/>
      <c r="W344" s="224"/>
      <c r="X344" s="224"/>
      <c r="Y344" s="224"/>
      <c r="Z344" s="224"/>
    </row>
    <row r="345" spans="1:26" ht="12.75" customHeight="1">
      <c r="A345" s="224"/>
      <c r="B345" s="228" t="s">
        <v>737</v>
      </c>
      <c r="C345" s="224"/>
      <c r="D345" s="224" t="str">
        <f t="shared" si="4"/>
        <v xml:space="preserve">    Buildings and Other Sturctures Outlay -  ()</v>
      </c>
      <c r="E345" s="224"/>
      <c r="F345" s="224"/>
      <c r="G345" s="224"/>
      <c r="H345" s="224"/>
      <c r="I345" s="224"/>
      <c r="J345" s="224"/>
      <c r="K345" s="224"/>
      <c r="L345" s="224"/>
      <c r="M345" s="224"/>
      <c r="N345" s="224"/>
      <c r="O345" s="224"/>
      <c r="P345" s="224"/>
      <c r="Q345" s="224"/>
      <c r="R345" s="224"/>
      <c r="S345" s="224"/>
      <c r="T345" s="224"/>
      <c r="U345" s="224"/>
      <c r="V345" s="224"/>
      <c r="W345" s="224"/>
      <c r="X345" s="224"/>
      <c r="Y345" s="224"/>
      <c r="Z345" s="224"/>
    </row>
    <row r="346" spans="1:26" ht="12.75" customHeight="1">
      <c r="A346" s="224"/>
      <c r="B346" s="226" t="s">
        <v>738</v>
      </c>
      <c r="C346" s="224" t="s">
        <v>646</v>
      </c>
      <c r="D346" s="224" t="str">
        <f t="shared" si="4"/>
        <v>50604040 01 - Buildings ()</v>
      </c>
      <c r="E346" s="224"/>
      <c r="F346" s="224"/>
      <c r="G346" s="224"/>
      <c r="H346" s="224"/>
      <c r="I346" s="224"/>
      <c r="J346" s="224"/>
      <c r="K346" s="224"/>
      <c r="L346" s="224"/>
      <c r="M346" s="224"/>
      <c r="N346" s="224"/>
      <c r="O346" s="224"/>
      <c r="P346" s="224"/>
      <c r="Q346" s="224"/>
      <c r="R346" s="224"/>
      <c r="S346" s="224"/>
      <c r="T346" s="224"/>
      <c r="U346" s="224"/>
      <c r="V346" s="224"/>
      <c r="W346" s="224"/>
      <c r="X346" s="224"/>
      <c r="Y346" s="224"/>
      <c r="Z346" s="224"/>
    </row>
    <row r="347" spans="1:26" ht="12.75" customHeight="1">
      <c r="A347" s="224"/>
      <c r="B347" s="226" t="s">
        <v>739</v>
      </c>
      <c r="C347" s="224" t="s">
        <v>709</v>
      </c>
      <c r="D347" s="224" t="str">
        <f t="shared" si="4"/>
        <v>50604040 99 - Other Structures ()</v>
      </c>
      <c r="E347" s="224"/>
      <c r="F347" s="224"/>
      <c r="G347" s="224"/>
      <c r="H347" s="224"/>
      <c r="I347" s="224"/>
      <c r="J347" s="224"/>
      <c r="K347" s="224"/>
      <c r="L347" s="224"/>
      <c r="M347" s="224"/>
      <c r="N347" s="224"/>
      <c r="O347" s="224"/>
      <c r="P347" s="224"/>
      <c r="Q347" s="224"/>
      <c r="R347" s="224"/>
      <c r="S347" s="224"/>
      <c r="T347" s="224"/>
      <c r="U347" s="224"/>
      <c r="V347" s="224"/>
      <c r="W347" s="224"/>
      <c r="X347" s="224"/>
      <c r="Y347" s="224"/>
      <c r="Z347" s="224"/>
    </row>
    <row r="348" spans="1:26" ht="12.75" customHeight="1">
      <c r="A348" s="224"/>
      <c r="B348" s="228" t="s">
        <v>740</v>
      </c>
      <c r="C348" s="224"/>
      <c r="D348" s="224" t="str">
        <f t="shared" si="4"/>
        <v xml:space="preserve">    Machinery and Equipment Outlay -  ()</v>
      </c>
      <c r="E348" s="224"/>
      <c r="F348" s="224"/>
      <c r="G348" s="224"/>
      <c r="H348" s="224"/>
      <c r="I348" s="224"/>
      <c r="J348" s="224"/>
      <c r="K348" s="224"/>
      <c r="L348" s="224"/>
      <c r="M348" s="224"/>
      <c r="N348" s="224"/>
      <c r="O348" s="224"/>
      <c r="P348" s="224"/>
      <c r="Q348" s="224"/>
      <c r="R348" s="224"/>
      <c r="S348" s="224"/>
      <c r="T348" s="224"/>
      <c r="U348" s="224"/>
      <c r="V348" s="224"/>
      <c r="W348" s="224"/>
      <c r="X348" s="224"/>
      <c r="Y348" s="224"/>
      <c r="Z348" s="224"/>
    </row>
    <row r="349" spans="1:26" ht="12.75" customHeight="1">
      <c r="A349" s="224"/>
      <c r="B349" s="226" t="s">
        <v>741</v>
      </c>
      <c r="C349" s="224" t="s">
        <v>648</v>
      </c>
      <c r="D349" s="224" t="str">
        <f t="shared" si="4"/>
        <v>50604050 01 - Machinery ()</v>
      </c>
      <c r="E349" s="224"/>
      <c r="F349" s="224"/>
      <c r="G349" s="224"/>
      <c r="H349" s="224"/>
      <c r="I349" s="224"/>
      <c r="J349" s="224"/>
      <c r="K349" s="224"/>
      <c r="L349" s="224"/>
      <c r="M349" s="224"/>
      <c r="N349" s="224"/>
      <c r="O349" s="224"/>
      <c r="P349" s="224"/>
      <c r="Q349" s="224"/>
      <c r="R349" s="224"/>
      <c r="S349" s="224"/>
      <c r="T349" s="224"/>
      <c r="U349" s="224"/>
      <c r="V349" s="224"/>
      <c r="W349" s="224"/>
      <c r="X349" s="224"/>
      <c r="Y349" s="224"/>
      <c r="Z349" s="224"/>
    </row>
    <row r="350" spans="1:26" ht="12.75" customHeight="1">
      <c r="A350" s="224">
        <v>221</v>
      </c>
      <c r="B350" s="226" t="s">
        <v>742</v>
      </c>
      <c r="C350" s="224" t="s">
        <v>311</v>
      </c>
      <c r="D350" s="224" t="str">
        <f t="shared" si="4"/>
        <v>50604050 02 - Office Equipment (221)</v>
      </c>
      <c r="E350" s="224"/>
      <c r="F350" s="224"/>
      <c r="G350" s="224"/>
      <c r="H350" s="224"/>
      <c r="I350" s="224"/>
      <c r="J350" s="224"/>
      <c r="K350" s="224"/>
      <c r="L350" s="224"/>
      <c r="M350" s="224"/>
      <c r="N350" s="224"/>
      <c r="O350" s="224"/>
      <c r="P350" s="224"/>
      <c r="Q350" s="224"/>
      <c r="R350" s="224"/>
      <c r="S350" s="224"/>
      <c r="T350" s="224"/>
      <c r="U350" s="224"/>
      <c r="V350" s="224"/>
      <c r="W350" s="224"/>
      <c r="X350" s="224"/>
      <c r="Y350" s="224"/>
      <c r="Z350" s="224"/>
    </row>
    <row r="351" spans="1:26" ht="12.75" customHeight="1">
      <c r="A351" s="224" t="s">
        <v>743</v>
      </c>
      <c r="B351" s="226" t="s">
        <v>744</v>
      </c>
      <c r="C351" s="224" t="s">
        <v>651</v>
      </c>
      <c r="D351" s="224" t="str">
        <f t="shared" si="4"/>
        <v>50604050 03 - ICT Equipment (223 CO)</v>
      </c>
      <c r="E351" s="224"/>
      <c r="F351" s="224"/>
      <c r="G351" s="224"/>
      <c r="H351" s="224"/>
      <c r="I351" s="224"/>
      <c r="J351" s="224"/>
      <c r="K351" s="224"/>
      <c r="L351" s="224"/>
      <c r="M351" s="224"/>
      <c r="N351" s="224"/>
      <c r="O351" s="224"/>
      <c r="P351" s="224"/>
      <c r="Q351" s="224"/>
      <c r="R351" s="224"/>
      <c r="S351" s="224"/>
      <c r="T351" s="224"/>
      <c r="U351" s="224"/>
      <c r="V351" s="224"/>
      <c r="W351" s="224"/>
      <c r="X351" s="224"/>
      <c r="Y351" s="224"/>
      <c r="Z351" s="224"/>
    </row>
    <row r="352" spans="1:26" ht="12.75" customHeight="1">
      <c r="A352" s="224">
        <v>239</v>
      </c>
      <c r="B352" s="226" t="s">
        <v>745</v>
      </c>
      <c r="C352" s="224" t="s">
        <v>653</v>
      </c>
      <c r="D352" s="224" t="str">
        <f t="shared" si="4"/>
        <v>50604050 99 - Other Machinery and Equipment (239)</v>
      </c>
      <c r="E352" s="224"/>
      <c r="F352" s="224"/>
      <c r="G352" s="224"/>
      <c r="H352" s="224"/>
      <c r="I352" s="224"/>
      <c r="J352" s="224"/>
      <c r="K352" s="224"/>
      <c r="L352" s="224"/>
      <c r="M352" s="224"/>
      <c r="N352" s="224"/>
      <c r="O352" s="224"/>
      <c r="P352" s="224"/>
      <c r="Q352" s="224"/>
      <c r="R352" s="224"/>
      <c r="S352" s="224"/>
      <c r="T352" s="224"/>
      <c r="U352" s="224"/>
      <c r="V352" s="224"/>
      <c r="W352" s="224"/>
      <c r="X352" s="224"/>
      <c r="Y352" s="224"/>
      <c r="Z352" s="224"/>
    </row>
    <row r="353" spans="1:26" ht="12.75" customHeight="1">
      <c r="A353" s="224"/>
      <c r="B353" s="228" t="s">
        <v>746</v>
      </c>
      <c r="C353" s="224"/>
      <c r="D353" s="224" t="str">
        <f t="shared" si="4"/>
        <v xml:space="preserve">    Transportation and Equipment Outlay -  ()</v>
      </c>
      <c r="E353" s="224"/>
      <c r="F353" s="224"/>
      <c r="G353" s="224"/>
      <c r="H353" s="224"/>
      <c r="I353" s="224"/>
      <c r="J353" s="224"/>
      <c r="K353" s="224"/>
      <c r="L353" s="224"/>
      <c r="M353" s="224"/>
      <c r="N353" s="224"/>
      <c r="O353" s="224"/>
      <c r="P353" s="224"/>
      <c r="Q353" s="224"/>
      <c r="R353" s="224"/>
      <c r="S353" s="224"/>
      <c r="T353" s="224"/>
      <c r="U353" s="224"/>
      <c r="V353" s="224"/>
      <c r="W353" s="224"/>
      <c r="X353" s="224"/>
      <c r="Y353" s="224"/>
      <c r="Z353" s="224"/>
    </row>
    <row r="354" spans="1:26" ht="12.75" customHeight="1">
      <c r="A354" s="224"/>
      <c r="B354" s="226" t="s">
        <v>747</v>
      </c>
      <c r="C354" s="224" t="s">
        <v>319</v>
      </c>
      <c r="D354" s="224" t="str">
        <f t="shared" si="4"/>
        <v>50604060 01 - Motor Vehicles ()</v>
      </c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224"/>
      <c r="T354" s="224"/>
      <c r="U354" s="224"/>
      <c r="V354" s="224"/>
      <c r="W354" s="224"/>
      <c r="X354" s="224"/>
      <c r="Y354" s="224"/>
      <c r="Z354" s="224"/>
    </row>
    <row r="355" spans="1:26" ht="12.75" customHeight="1">
      <c r="A355" s="224"/>
      <c r="B355" s="226" t="s">
        <v>748</v>
      </c>
      <c r="C355" s="224" t="s">
        <v>659</v>
      </c>
      <c r="D355" s="224" t="str">
        <f t="shared" si="4"/>
        <v>50604060 99 - Other Transportation Equipment ()</v>
      </c>
      <c r="E355" s="224"/>
      <c r="F355" s="224"/>
      <c r="G355" s="224"/>
      <c r="H355" s="224"/>
      <c r="I355" s="224"/>
      <c r="J355" s="224"/>
      <c r="K355" s="224"/>
      <c r="L355" s="224"/>
      <c r="M355" s="224"/>
      <c r="N355" s="224"/>
      <c r="O355" s="224"/>
      <c r="P355" s="224"/>
      <c r="Q355" s="224"/>
      <c r="R355" s="224"/>
      <c r="S355" s="224"/>
      <c r="T355" s="224"/>
      <c r="U355" s="224"/>
      <c r="V355" s="224"/>
      <c r="W355" s="224"/>
      <c r="X355" s="224"/>
      <c r="Y355" s="224"/>
      <c r="Z355" s="224"/>
    </row>
    <row r="356" spans="1:26" ht="12.75" customHeight="1">
      <c r="A356" s="224"/>
      <c r="B356" s="228" t="s">
        <v>749</v>
      </c>
      <c r="C356" s="224"/>
      <c r="D356" s="224" t="str">
        <f t="shared" si="4"/>
        <v xml:space="preserve">    Furnitures, Fixtures and Books Outlay -  ()</v>
      </c>
      <c r="E356" s="224"/>
      <c r="F356" s="224"/>
      <c r="G356" s="224"/>
      <c r="H356" s="224"/>
      <c r="I356" s="224"/>
      <c r="J356" s="224"/>
      <c r="K356" s="224"/>
      <c r="L356" s="224"/>
      <c r="M356" s="224"/>
      <c r="N356" s="224"/>
      <c r="O356" s="224"/>
      <c r="P356" s="224"/>
      <c r="Q356" s="224"/>
      <c r="R356" s="224"/>
      <c r="S356" s="224"/>
      <c r="T356" s="224"/>
      <c r="U356" s="224"/>
      <c r="V356" s="224"/>
      <c r="W356" s="224"/>
      <c r="X356" s="224"/>
      <c r="Y356" s="224"/>
      <c r="Z356" s="224"/>
    </row>
    <row r="357" spans="1:26" ht="12.75" customHeight="1">
      <c r="A357" s="224">
        <v>222</v>
      </c>
      <c r="B357" s="226" t="s">
        <v>750</v>
      </c>
      <c r="C357" s="224" t="s">
        <v>662</v>
      </c>
      <c r="D357" s="224" t="str">
        <f t="shared" si="4"/>
        <v>50604070 01 - Furniture and Fixture (222)</v>
      </c>
      <c r="E357" s="224"/>
      <c r="F357" s="224"/>
      <c r="G357" s="224"/>
      <c r="H357" s="224"/>
      <c r="I357" s="224"/>
      <c r="J357" s="224"/>
      <c r="K357" s="224"/>
      <c r="L357" s="224"/>
      <c r="M357" s="224"/>
      <c r="N357" s="224"/>
      <c r="O357" s="224"/>
      <c r="P357" s="224"/>
      <c r="Q357" s="224"/>
      <c r="R357" s="224"/>
      <c r="S357" s="224"/>
      <c r="T357" s="224"/>
      <c r="U357" s="224"/>
      <c r="V357" s="224"/>
      <c r="W357" s="224"/>
      <c r="X357" s="224"/>
      <c r="Y357" s="224"/>
      <c r="Z357" s="224"/>
    </row>
    <row r="358" spans="1:26" ht="12.75" customHeight="1">
      <c r="A358" s="224"/>
      <c r="B358" s="226" t="s">
        <v>751</v>
      </c>
      <c r="C358" s="224" t="s">
        <v>721</v>
      </c>
      <c r="D358" s="224" t="str">
        <f t="shared" si="4"/>
        <v>50604070 02 - Books ()</v>
      </c>
      <c r="E358" s="224"/>
      <c r="F358" s="224"/>
      <c r="G358" s="224"/>
      <c r="H358" s="224"/>
      <c r="I358" s="224"/>
      <c r="J358" s="224"/>
      <c r="K358" s="224"/>
      <c r="L358" s="224"/>
      <c r="M358" s="224"/>
      <c r="N358" s="224"/>
      <c r="O358" s="224"/>
      <c r="P358" s="224"/>
      <c r="Q358" s="224"/>
      <c r="R358" s="224"/>
      <c r="S358" s="224"/>
      <c r="T358" s="224"/>
      <c r="U358" s="224"/>
      <c r="V358" s="224"/>
      <c r="W358" s="224"/>
      <c r="X358" s="224"/>
      <c r="Y358" s="224"/>
      <c r="Z358" s="224"/>
    </row>
    <row r="359" spans="1:26" ht="12.75" customHeight="1">
      <c r="A359" s="224"/>
      <c r="B359" s="226"/>
      <c r="C359" s="224"/>
      <c r="D359" s="224"/>
      <c r="E359" s="224"/>
      <c r="F359" s="224"/>
      <c r="G359" s="224"/>
      <c r="H359" s="224"/>
      <c r="I359" s="224"/>
      <c r="J359" s="224"/>
      <c r="K359" s="224"/>
      <c r="L359" s="224"/>
      <c r="M359" s="224"/>
      <c r="N359" s="224"/>
      <c r="O359" s="224"/>
      <c r="P359" s="224"/>
      <c r="Q359" s="224"/>
      <c r="R359" s="224"/>
      <c r="S359" s="224"/>
      <c r="T359" s="224"/>
      <c r="U359" s="224"/>
      <c r="V359" s="224"/>
      <c r="W359" s="224"/>
      <c r="X359" s="224"/>
      <c r="Y359" s="224"/>
      <c r="Z359" s="224"/>
    </row>
    <row r="360" spans="1:26" ht="12.75" customHeight="1">
      <c r="A360" s="224"/>
      <c r="B360" s="226"/>
      <c r="C360" s="224"/>
      <c r="D360" s="224"/>
      <c r="E360" s="224"/>
      <c r="F360" s="224"/>
      <c r="G360" s="224"/>
      <c r="H360" s="224"/>
      <c r="I360" s="224"/>
      <c r="J360" s="224"/>
      <c r="K360" s="224"/>
      <c r="L360" s="224"/>
      <c r="M360" s="224"/>
      <c r="N360" s="224"/>
      <c r="O360" s="224"/>
      <c r="P360" s="224"/>
      <c r="Q360" s="224"/>
      <c r="R360" s="224"/>
      <c r="S360" s="224"/>
      <c r="T360" s="224"/>
      <c r="U360" s="224"/>
      <c r="V360" s="224"/>
      <c r="W360" s="224"/>
      <c r="X360" s="224"/>
      <c r="Y360" s="224"/>
      <c r="Z360" s="224"/>
    </row>
    <row r="361" spans="1:26" ht="12.75" customHeight="1">
      <c r="A361" s="224"/>
      <c r="B361" s="226"/>
      <c r="C361" s="224"/>
      <c r="D361" s="224"/>
      <c r="E361" s="224"/>
      <c r="F361" s="224"/>
      <c r="G361" s="224"/>
      <c r="H361" s="224"/>
      <c r="I361" s="224"/>
      <c r="J361" s="224"/>
      <c r="K361" s="224"/>
      <c r="L361" s="224"/>
      <c r="M361" s="224"/>
      <c r="N361" s="224"/>
      <c r="O361" s="224"/>
      <c r="P361" s="224"/>
      <c r="Q361" s="224"/>
      <c r="R361" s="224"/>
      <c r="S361" s="224"/>
      <c r="T361" s="224"/>
      <c r="U361" s="224"/>
      <c r="V361" s="224"/>
      <c r="W361" s="224"/>
      <c r="X361" s="224"/>
      <c r="Y361" s="224"/>
      <c r="Z361" s="224"/>
    </row>
    <row r="362" spans="1:26" ht="12.75" customHeight="1">
      <c r="A362" s="224"/>
      <c r="B362" s="226" t="s">
        <v>752</v>
      </c>
      <c r="C362" s="224"/>
      <c r="D362" s="224"/>
      <c r="E362" s="224"/>
      <c r="F362" s="224"/>
      <c r="G362" s="224"/>
      <c r="H362" s="224"/>
      <c r="I362" s="224"/>
      <c r="J362" s="224"/>
      <c r="K362" s="224"/>
      <c r="L362" s="224"/>
      <c r="M362" s="224"/>
      <c r="N362" s="224"/>
      <c r="O362" s="224"/>
      <c r="P362" s="224"/>
      <c r="Q362" s="224"/>
      <c r="R362" s="224"/>
      <c r="S362" s="224"/>
      <c r="T362" s="224"/>
      <c r="U362" s="224"/>
      <c r="V362" s="224"/>
      <c r="W362" s="224"/>
      <c r="X362" s="224"/>
      <c r="Y362" s="224"/>
      <c r="Z362" s="224"/>
    </row>
    <row r="363" spans="1:26" ht="12.75" customHeight="1">
      <c r="A363" s="224"/>
      <c r="B363" s="226" t="s">
        <v>752</v>
      </c>
      <c r="C363" s="224"/>
      <c r="D363" s="224"/>
      <c r="E363" s="224"/>
      <c r="F363" s="224"/>
      <c r="G363" s="224"/>
      <c r="H363" s="224"/>
      <c r="I363" s="224"/>
      <c r="J363" s="224"/>
      <c r="K363" s="224"/>
      <c r="L363" s="224"/>
      <c r="M363" s="224"/>
      <c r="N363" s="224"/>
      <c r="O363" s="224"/>
      <c r="P363" s="224"/>
      <c r="Q363" s="224"/>
      <c r="R363" s="224"/>
      <c r="S363" s="224"/>
      <c r="T363" s="224"/>
      <c r="U363" s="224"/>
      <c r="V363" s="224"/>
      <c r="W363" s="224"/>
      <c r="X363" s="224"/>
      <c r="Y363" s="224"/>
      <c r="Z363" s="224"/>
    </row>
    <row r="364" spans="1:26" ht="12.75" customHeight="1">
      <c r="A364" s="224"/>
      <c r="B364" s="226"/>
      <c r="C364" s="224"/>
      <c r="D364" s="224"/>
      <c r="E364" s="224"/>
      <c r="F364" s="224"/>
      <c r="G364" s="224"/>
      <c r="H364" s="224"/>
      <c r="I364" s="224"/>
      <c r="J364" s="224"/>
      <c r="K364" s="224"/>
      <c r="L364" s="224"/>
      <c r="M364" s="224"/>
      <c r="N364" s="224"/>
      <c r="O364" s="224"/>
      <c r="P364" s="224"/>
      <c r="Q364" s="224"/>
      <c r="R364" s="224"/>
      <c r="S364" s="224"/>
      <c r="T364" s="224"/>
      <c r="U364" s="224"/>
      <c r="V364" s="224"/>
      <c r="W364" s="224"/>
      <c r="X364" s="224"/>
      <c r="Y364" s="224"/>
      <c r="Z364" s="224"/>
    </row>
    <row r="365" spans="1:26" ht="12.75" customHeight="1">
      <c r="A365" s="224"/>
      <c r="B365" s="226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224"/>
      <c r="T365" s="224"/>
      <c r="U365" s="224"/>
      <c r="V365" s="224"/>
      <c r="W365" s="224"/>
      <c r="X365" s="224"/>
      <c r="Y365" s="224"/>
      <c r="Z365" s="224"/>
    </row>
    <row r="366" spans="1:26" ht="12.75" customHeight="1">
      <c r="A366" s="224"/>
      <c r="B366" s="226"/>
      <c r="C366" s="224"/>
      <c r="D366" s="224"/>
      <c r="E366" s="224"/>
      <c r="F366" s="224"/>
      <c r="G366" s="224"/>
      <c r="H366" s="224"/>
      <c r="I366" s="224"/>
      <c r="J366" s="224"/>
      <c r="K366" s="224"/>
      <c r="L366" s="224"/>
      <c r="M366" s="224"/>
      <c r="N366" s="224"/>
      <c r="O366" s="224"/>
      <c r="P366" s="224"/>
      <c r="Q366" s="224"/>
      <c r="R366" s="224"/>
      <c r="S366" s="224"/>
      <c r="T366" s="224"/>
      <c r="U366" s="224"/>
      <c r="V366" s="224"/>
      <c r="W366" s="224"/>
      <c r="X366" s="224"/>
      <c r="Y366" s="224"/>
      <c r="Z366" s="224"/>
    </row>
    <row r="367" spans="1:26" ht="12.75" customHeight="1">
      <c r="A367" s="224"/>
      <c r="B367" s="226"/>
      <c r="C367" s="224"/>
      <c r="D367" s="224"/>
      <c r="E367" s="224"/>
      <c r="F367" s="224"/>
      <c r="G367" s="224"/>
      <c r="H367" s="224"/>
      <c r="I367" s="224"/>
      <c r="J367" s="224"/>
      <c r="K367" s="224"/>
      <c r="L367" s="224"/>
      <c r="M367" s="224"/>
      <c r="N367" s="224"/>
      <c r="O367" s="224"/>
      <c r="P367" s="224"/>
      <c r="Q367" s="224"/>
      <c r="R367" s="224"/>
      <c r="S367" s="224"/>
      <c r="T367" s="224"/>
      <c r="U367" s="224"/>
      <c r="V367" s="224"/>
      <c r="W367" s="224"/>
      <c r="X367" s="224"/>
      <c r="Y367" s="224"/>
      <c r="Z367" s="224"/>
    </row>
    <row r="368" spans="1:26" ht="12.75" customHeight="1">
      <c r="A368" s="224"/>
      <c r="B368" s="226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</row>
    <row r="369" spans="1:26" ht="12.75" customHeight="1">
      <c r="A369" s="224"/>
      <c r="B369" s="226"/>
      <c r="C369" s="224"/>
      <c r="D369" s="224"/>
      <c r="E369" s="224"/>
      <c r="F369" s="224"/>
      <c r="G369" s="224"/>
      <c r="H369" s="224"/>
      <c r="I369" s="224"/>
      <c r="J369" s="224"/>
      <c r="K369" s="224"/>
      <c r="L369" s="224"/>
      <c r="M369" s="224"/>
      <c r="N369" s="224"/>
      <c r="O369" s="224"/>
      <c r="P369" s="224"/>
      <c r="Q369" s="224"/>
      <c r="R369" s="224"/>
      <c r="S369" s="224"/>
      <c r="T369" s="224"/>
      <c r="U369" s="224"/>
      <c r="V369" s="224"/>
      <c r="W369" s="224"/>
      <c r="X369" s="224"/>
      <c r="Y369" s="224"/>
      <c r="Z369" s="224"/>
    </row>
    <row r="370" spans="1:26" ht="12.75" customHeight="1">
      <c r="A370" s="224"/>
      <c r="B370" s="226"/>
      <c r="C370" s="224"/>
      <c r="D370" s="224"/>
      <c r="E370" s="224"/>
      <c r="F370" s="224"/>
      <c r="G370" s="224"/>
      <c r="H370" s="224"/>
      <c r="I370" s="224"/>
      <c r="J370" s="224"/>
      <c r="K370" s="224"/>
      <c r="L370" s="224"/>
      <c r="M370" s="224"/>
      <c r="N370" s="224"/>
      <c r="O370" s="224"/>
      <c r="P370" s="224"/>
      <c r="Q370" s="224"/>
      <c r="R370" s="224"/>
      <c r="S370" s="224"/>
      <c r="T370" s="224"/>
      <c r="U370" s="224"/>
      <c r="V370" s="224"/>
      <c r="W370" s="224"/>
      <c r="X370" s="224"/>
      <c r="Y370" s="224"/>
      <c r="Z370" s="224"/>
    </row>
    <row r="371" spans="1:26" ht="12.75" customHeight="1">
      <c r="A371" s="224"/>
      <c r="B371" s="226"/>
      <c r="C371" s="224"/>
      <c r="D371" s="224"/>
      <c r="E371" s="224"/>
      <c r="F371" s="224"/>
      <c r="G371" s="224"/>
      <c r="H371" s="224"/>
      <c r="I371" s="224"/>
      <c r="J371" s="224"/>
      <c r="K371" s="224"/>
      <c r="L371" s="224"/>
      <c r="M371" s="224"/>
      <c r="N371" s="224"/>
      <c r="O371" s="224"/>
      <c r="P371" s="224"/>
      <c r="Q371" s="224"/>
      <c r="R371" s="224"/>
      <c r="S371" s="224"/>
      <c r="T371" s="224"/>
      <c r="U371" s="224"/>
      <c r="V371" s="224"/>
      <c r="W371" s="224"/>
      <c r="X371" s="224"/>
      <c r="Y371" s="224"/>
      <c r="Z371" s="224"/>
    </row>
    <row r="372" spans="1:26" ht="12.75" customHeight="1">
      <c r="A372" s="224"/>
      <c r="B372" s="226"/>
      <c r="C372" s="224"/>
      <c r="D372" s="224"/>
      <c r="E372" s="224"/>
      <c r="F372" s="224"/>
      <c r="G372" s="224"/>
      <c r="H372" s="224"/>
      <c r="I372" s="224"/>
      <c r="J372" s="224"/>
      <c r="K372" s="224"/>
      <c r="L372" s="224"/>
      <c r="M372" s="224"/>
      <c r="N372" s="224"/>
      <c r="O372" s="224"/>
      <c r="P372" s="224"/>
      <c r="Q372" s="224"/>
      <c r="R372" s="224"/>
      <c r="S372" s="224"/>
      <c r="T372" s="224"/>
      <c r="U372" s="224"/>
      <c r="V372" s="224"/>
      <c r="W372" s="224"/>
      <c r="X372" s="224"/>
      <c r="Y372" s="224"/>
      <c r="Z372" s="224"/>
    </row>
    <row r="373" spans="1:26" ht="12.75" customHeight="1">
      <c r="A373" s="224"/>
      <c r="B373" s="226"/>
      <c r="C373" s="224"/>
      <c r="D373" s="224"/>
      <c r="E373" s="224"/>
      <c r="F373" s="224"/>
      <c r="G373" s="224"/>
      <c r="H373" s="224"/>
      <c r="I373" s="224"/>
      <c r="J373" s="224"/>
      <c r="K373" s="224"/>
      <c r="L373" s="224"/>
      <c r="M373" s="224"/>
      <c r="N373" s="224"/>
      <c r="O373" s="224"/>
      <c r="P373" s="224"/>
      <c r="Q373" s="224"/>
      <c r="R373" s="224"/>
      <c r="S373" s="224"/>
      <c r="T373" s="224"/>
      <c r="U373" s="224"/>
      <c r="V373" s="224"/>
      <c r="W373" s="224"/>
      <c r="X373" s="224"/>
      <c r="Y373" s="224"/>
      <c r="Z373" s="224"/>
    </row>
    <row r="374" spans="1:26" ht="12.75" customHeight="1">
      <c r="A374" s="224"/>
      <c r="B374" s="226"/>
      <c r="C374" s="224"/>
      <c r="D374" s="224"/>
      <c r="E374" s="224"/>
      <c r="F374" s="224"/>
      <c r="G374" s="224"/>
      <c r="H374" s="224"/>
      <c r="I374" s="224"/>
      <c r="J374" s="224"/>
      <c r="K374" s="224"/>
      <c r="L374" s="224"/>
      <c r="M374" s="224"/>
      <c r="N374" s="224"/>
      <c r="O374" s="224"/>
      <c r="P374" s="224"/>
      <c r="Q374" s="224"/>
      <c r="R374" s="224"/>
      <c r="S374" s="224"/>
      <c r="T374" s="224"/>
      <c r="U374" s="224"/>
      <c r="V374" s="224"/>
      <c r="W374" s="224"/>
      <c r="X374" s="224"/>
      <c r="Y374" s="224"/>
      <c r="Z374" s="224"/>
    </row>
    <row r="375" spans="1:26" ht="12.75" customHeight="1">
      <c r="A375" s="224"/>
      <c r="B375" s="226"/>
      <c r="C375" s="224"/>
      <c r="D375" s="224"/>
      <c r="E375" s="224"/>
      <c r="F375" s="224"/>
      <c r="G375" s="224"/>
      <c r="H375" s="224"/>
      <c r="I375" s="224"/>
      <c r="J375" s="224"/>
      <c r="K375" s="224"/>
      <c r="L375" s="224"/>
      <c r="M375" s="224"/>
      <c r="N375" s="224"/>
      <c r="O375" s="224"/>
      <c r="P375" s="224"/>
      <c r="Q375" s="224"/>
      <c r="R375" s="224"/>
      <c r="S375" s="224"/>
      <c r="T375" s="224"/>
      <c r="U375" s="224"/>
      <c r="V375" s="224"/>
      <c r="W375" s="224"/>
      <c r="X375" s="224"/>
      <c r="Y375" s="224"/>
      <c r="Z375" s="224"/>
    </row>
    <row r="376" spans="1:26" ht="12.75" customHeight="1">
      <c r="A376" s="224"/>
      <c r="B376" s="226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224"/>
      <c r="T376" s="224"/>
      <c r="U376" s="224"/>
      <c r="V376" s="224"/>
      <c r="W376" s="224"/>
      <c r="X376" s="224"/>
      <c r="Y376" s="224"/>
      <c r="Z376" s="224"/>
    </row>
    <row r="377" spans="1:26" ht="12.75" customHeight="1">
      <c r="A377" s="224"/>
      <c r="B377" s="226"/>
      <c r="C377" s="224"/>
      <c r="D377" s="224"/>
      <c r="E377" s="224"/>
      <c r="F377" s="224"/>
      <c r="G377" s="224"/>
      <c r="H377" s="224"/>
      <c r="I377" s="224"/>
      <c r="J377" s="224"/>
      <c r="K377" s="224"/>
      <c r="L377" s="224"/>
      <c r="M377" s="224"/>
      <c r="N377" s="224"/>
      <c r="O377" s="224"/>
      <c r="P377" s="224"/>
      <c r="Q377" s="224"/>
      <c r="R377" s="224"/>
      <c r="S377" s="224"/>
      <c r="T377" s="224"/>
      <c r="U377" s="224"/>
      <c r="V377" s="224"/>
      <c r="W377" s="224"/>
      <c r="X377" s="224"/>
      <c r="Y377" s="224"/>
      <c r="Z377" s="224"/>
    </row>
    <row r="378" spans="1:26" ht="12.75" customHeight="1">
      <c r="A378" s="224"/>
      <c r="B378" s="226"/>
      <c r="C378" s="224"/>
      <c r="D378" s="224"/>
      <c r="E378" s="224"/>
      <c r="F378" s="224"/>
      <c r="G378" s="224"/>
      <c r="H378" s="224"/>
      <c r="I378" s="224"/>
      <c r="J378" s="224"/>
      <c r="K378" s="224"/>
      <c r="L378" s="224"/>
      <c r="M378" s="224"/>
      <c r="N378" s="224"/>
      <c r="O378" s="224"/>
      <c r="P378" s="224"/>
      <c r="Q378" s="224"/>
      <c r="R378" s="224"/>
      <c r="S378" s="224"/>
      <c r="T378" s="224"/>
      <c r="U378" s="224"/>
      <c r="V378" s="224"/>
      <c r="W378" s="224"/>
      <c r="X378" s="224"/>
      <c r="Y378" s="224"/>
      <c r="Z378" s="224"/>
    </row>
    <row r="379" spans="1:26" ht="12.75" customHeight="1">
      <c r="A379" s="224"/>
      <c r="B379" s="226"/>
      <c r="C379" s="224"/>
      <c r="D379" s="224"/>
      <c r="E379" s="224"/>
      <c r="F379" s="224"/>
      <c r="G379" s="224"/>
      <c r="H379" s="224"/>
      <c r="I379" s="224"/>
      <c r="J379" s="224"/>
      <c r="K379" s="224"/>
      <c r="L379" s="224"/>
      <c r="M379" s="224"/>
      <c r="N379" s="224"/>
      <c r="O379" s="224"/>
      <c r="P379" s="224"/>
      <c r="Q379" s="224"/>
      <c r="R379" s="224"/>
      <c r="S379" s="224"/>
      <c r="T379" s="224"/>
      <c r="U379" s="224"/>
      <c r="V379" s="224"/>
      <c r="W379" s="224"/>
      <c r="X379" s="224"/>
      <c r="Y379" s="224"/>
      <c r="Z379" s="224"/>
    </row>
    <row r="380" spans="1:26" ht="12.75" customHeight="1">
      <c r="A380" s="224"/>
      <c r="B380" s="226"/>
      <c r="C380" s="224"/>
      <c r="D380" s="224"/>
      <c r="E380" s="224"/>
      <c r="F380" s="224"/>
      <c r="G380" s="224"/>
      <c r="H380" s="224"/>
      <c r="I380" s="224"/>
      <c r="J380" s="224"/>
      <c r="K380" s="224"/>
      <c r="L380" s="224"/>
      <c r="M380" s="224"/>
      <c r="N380" s="224"/>
      <c r="O380" s="224"/>
      <c r="P380" s="224"/>
      <c r="Q380" s="224"/>
      <c r="R380" s="224"/>
      <c r="S380" s="224"/>
      <c r="T380" s="224"/>
      <c r="U380" s="224"/>
      <c r="V380" s="224"/>
      <c r="W380" s="224"/>
      <c r="X380" s="224"/>
      <c r="Y380" s="224"/>
      <c r="Z380" s="224"/>
    </row>
    <row r="381" spans="1:26" ht="12.75" customHeight="1">
      <c r="A381" s="224"/>
      <c r="B381" s="226"/>
      <c r="C381" s="224"/>
      <c r="D381" s="224"/>
      <c r="E381" s="224"/>
      <c r="F381" s="224"/>
      <c r="G381" s="224"/>
      <c r="H381" s="224"/>
      <c r="I381" s="224"/>
      <c r="J381" s="224"/>
      <c r="K381" s="224"/>
      <c r="L381" s="224"/>
      <c r="M381" s="224"/>
      <c r="N381" s="224"/>
      <c r="O381" s="224"/>
      <c r="P381" s="224"/>
      <c r="Q381" s="224"/>
      <c r="R381" s="224"/>
      <c r="S381" s="224"/>
      <c r="T381" s="224"/>
      <c r="U381" s="224"/>
      <c r="V381" s="224"/>
      <c r="W381" s="224"/>
      <c r="X381" s="224"/>
      <c r="Y381" s="224"/>
      <c r="Z381" s="224"/>
    </row>
    <row r="382" spans="1:26" ht="12.75" customHeight="1">
      <c r="A382" s="224"/>
      <c r="B382" s="226"/>
      <c r="C382" s="224"/>
      <c r="D382" s="224"/>
      <c r="E382" s="224"/>
      <c r="F382" s="224"/>
      <c r="G382" s="224"/>
      <c r="H382" s="224"/>
      <c r="I382" s="224"/>
      <c r="J382" s="224"/>
      <c r="K382" s="224"/>
      <c r="L382" s="224"/>
      <c r="M382" s="224"/>
      <c r="N382" s="224"/>
      <c r="O382" s="224"/>
      <c r="P382" s="224"/>
      <c r="Q382" s="224"/>
      <c r="R382" s="224"/>
      <c r="S382" s="224"/>
      <c r="T382" s="224"/>
      <c r="U382" s="224"/>
      <c r="V382" s="224"/>
      <c r="W382" s="224"/>
      <c r="X382" s="224"/>
      <c r="Y382" s="224"/>
      <c r="Z382" s="224"/>
    </row>
    <row r="383" spans="1:26" ht="12.75" customHeight="1">
      <c r="A383" s="224"/>
      <c r="B383" s="226"/>
      <c r="C383" s="224"/>
      <c r="D383" s="224"/>
      <c r="E383" s="224"/>
      <c r="F383" s="224"/>
      <c r="G383" s="224"/>
      <c r="H383" s="224"/>
      <c r="I383" s="224"/>
      <c r="J383" s="224"/>
      <c r="K383" s="224"/>
      <c r="L383" s="224"/>
      <c r="M383" s="224"/>
      <c r="N383" s="224"/>
      <c r="O383" s="224"/>
      <c r="P383" s="224"/>
      <c r="Q383" s="224"/>
      <c r="R383" s="224"/>
      <c r="S383" s="224"/>
      <c r="T383" s="224"/>
      <c r="U383" s="224"/>
      <c r="V383" s="224"/>
      <c r="W383" s="224"/>
      <c r="X383" s="224"/>
      <c r="Y383" s="224"/>
      <c r="Z383" s="224"/>
    </row>
    <row r="384" spans="1:26" ht="12.75" customHeight="1">
      <c r="A384" s="224"/>
      <c r="B384" s="226"/>
      <c r="C384" s="224"/>
      <c r="D384" s="224"/>
      <c r="E384" s="224"/>
      <c r="F384" s="224"/>
      <c r="G384" s="224"/>
      <c r="H384" s="224"/>
      <c r="I384" s="224"/>
      <c r="J384" s="224"/>
      <c r="K384" s="224"/>
      <c r="L384" s="224"/>
      <c r="M384" s="224"/>
      <c r="N384" s="224"/>
      <c r="O384" s="224"/>
      <c r="P384" s="224"/>
      <c r="Q384" s="224"/>
      <c r="R384" s="224"/>
      <c r="S384" s="224"/>
      <c r="T384" s="224"/>
      <c r="U384" s="224"/>
      <c r="V384" s="224"/>
      <c r="W384" s="224"/>
      <c r="X384" s="224"/>
      <c r="Y384" s="224"/>
      <c r="Z384" s="224"/>
    </row>
    <row r="385" spans="1:26" ht="12.75" customHeight="1">
      <c r="A385" s="224"/>
      <c r="B385" s="226"/>
      <c r="C385" s="224"/>
      <c r="D385" s="224"/>
      <c r="E385" s="224"/>
      <c r="F385" s="224"/>
      <c r="G385" s="224"/>
      <c r="H385" s="224"/>
      <c r="I385" s="224"/>
      <c r="J385" s="224"/>
      <c r="K385" s="224"/>
      <c r="L385" s="224"/>
      <c r="M385" s="224"/>
      <c r="N385" s="224"/>
      <c r="O385" s="224"/>
      <c r="P385" s="224"/>
      <c r="Q385" s="224"/>
      <c r="R385" s="224"/>
      <c r="S385" s="224"/>
      <c r="T385" s="224"/>
      <c r="U385" s="224"/>
      <c r="V385" s="224"/>
      <c r="W385" s="224"/>
      <c r="X385" s="224"/>
      <c r="Y385" s="224"/>
      <c r="Z385" s="224"/>
    </row>
    <row r="386" spans="1:26" ht="12.75" customHeight="1">
      <c r="A386" s="224"/>
      <c r="B386" s="226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224"/>
      <c r="T386" s="224"/>
      <c r="U386" s="224"/>
      <c r="V386" s="224"/>
      <c r="W386" s="224"/>
      <c r="X386" s="224"/>
      <c r="Y386" s="224"/>
      <c r="Z386" s="224"/>
    </row>
    <row r="387" spans="1:26" ht="12.75" customHeight="1">
      <c r="A387" s="224"/>
      <c r="B387" s="226"/>
      <c r="C387" s="224"/>
      <c r="D387" s="224"/>
      <c r="E387" s="224"/>
      <c r="F387" s="224"/>
      <c r="G387" s="224"/>
      <c r="H387" s="224"/>
      <c r="I387" s="224"/>
      <c r="J387" s="224"/>
      <c r="K387" s="224"/>
      <c r="L387" s="224"/>
      <c r="M387" s="224"/>
      <c r="N387" s="224"/>
      <c r="O387" s="224"/>
      <c r="P387" s="224"/>
      <c r="Q387" s="224"/>
      <c r="R387" s="224"/>
      <c r="S387" s="224"/>
      <c r="T387" s="224"/>
      <c r="U387" s="224"/>
      <c r="V387" s="224"/>
      <c r="W387" s="224"/>
      <c r="X387" s="224"/>
      <c r="Y387" s="224"/>
      <c r="Z387" s="224"/>
    </row>
    <row r="388" spans="1:26" ht="12.75" customHeight="1">
      <c r="A388" s="224"/>
      <c r="B388" s="226"/>
      <c r="C388" s="224"/>
      <c r="D388" s="224"/>
      <c r="E388" s="224"/>
      <c r="F388" s="224"/>
      <c r="G388" s="224"/>
      <c r="H388" s="224"/>
      <c r="I388" s="224"/>
      <c r="J388" s="224"/>
      <c r="K388" s="224"/>
      <c r="L388" s="224"/>
      <c r="M388" s="224"/>
      <c r="N388" s="224"/>
      <c r="O388" s="224"/>
      <c r="P388" s="224"/>
      <c r="Q388" s="224"/>
      <c r="R388" s="224"/>
      <c r="S388" s="224"/>
      <c r="T388" s="224"/>
      <c r="U388" s="224"/>
      <c r="V388" s="224"/>
      <c r="W388" s="224"/>
      <c r="X388" s="224"/>
      <c r="Y388" s="224"/>
      <c r="Z388" s="224"/>
    </row>
    <row r="389" spans="1:26" ht="12.75" customHeight="1">
      <c r="A389" s="224"/>
      <c r="B389" s="226"/>
      <c r="C389" s="224"/>
      <c r="D389" s="224"/>
      <c r="E389" s="224"/>
      <c r="F389" s="224"/>
      <c r="G389" s="224"/>
      <c r="H389" s="224"/>
      <c r="I389" s="224"/>
      <c r="J389" s="224"/>
      <c r="K389" s="224"/>
      <c r="L389" s="224"/>
      <c r="M389" s="224"/>
      <c r="N389" s="224"/>
      <c r="O389" s="224"/>
      <c r="P389" s="224"/>
      <c r="Q389" s="224"/>
      <c r="R389" s="224"/>
      <c r="S389" s="224"/>
      <c r="T389" s="224"/>
      <c r="U389" s="224"/>
      <c r="V389" s="224"/>
      <c r="W389" s="224"/>
      <c r="X389" s="224"/>
      <c r="Y389" s="224"/>
      <c r="Z389" s="224"/>
    </row>
    <row r="390" spans="1:26" ht="12.75" customHeight="1">
      <c r="A390" s="224"/>
      <c r="B390" s="226"/>
      <c r="C390" s="224"/>
      <c r="D390" s="224"/>
      <c r="E390" s="224"/>
      <c r="F390" s="224"/>
      <c r="G390" s="224"/>
      <c r="H390" s="224"/>
      <c r="I390" s="224"/>
      <c r="J390" s="224"/>
      <c r="K390" s="224"/>
      <c r="L390" s="224"/>
      <c r="M390" s="224"/>
      <c r="N390" s="224"/>
      <c r="O390" s="224"/>
      <c r="P390" s="224"/>
      <c r="Q390" s="224"/>
      <c r="R390" s="224"/>
      <c r="S390" s="224"/>
      <c r="T390" s="224"/>
      <c r="U390" s="224"/>
      <c r="V390" s="224"/>
      <c r="W390" s="224"/>
      <c r="X390" s="224"/>
      <c r="Y390" s="224"/>
      <c r="Z390" s="224"/>
    </row>
    <row r="391" spans="1:26" ht="12.75" customHeight="1">
      <c r="A391" s="224"/>
      <c r="B391" s="226"/>
      <c r="C391" s="224"/>
      <c r="D391" s="224"/>
      <c r="E391" s="224"/>
      <c r="F391" s="224"/>
      <c r="G391" s="224"/>
      <c r="H391" s="224"/>
      <c r="I391" s="224"/>
      <c r="J391" s="224"/>
      <c r="K391" s="224"/>
      <c r="L391" s="224"/>
      <c r="M391" s="224"/>
      <c r="N391" s="224"/>
      <c r="O391" s="224"/>
      <c r="P391" s="224"/>
      <c r="Q391" s="224"/>
      <c r="R391" s="224"/>
      <c r="S391" s="224"/>
      <c r="T391" s="224"/>
      <c r="U391" s="224"/>
      <c r="V391" s="224"/>
      <c r="W391" s="224"/>
      <c r="X391" s="224"/>
      <c r="Y391" s="224"/>
      <c r="Z391" s="224"/>
    </row>
    <row r="392" spans="1:26" ht="12.75" customHeight="1">
      <c r="A392" s="224"/>
      <c r="B392" s="226"/>
      <c r="C392" s="224"/>
      <c r="D392" s="224"/>
      <c r="E392" s="224"/>
      <c r="F392" s="224"/>
      <c r="G392" s="224"/>
      <c r="H392" s="224"/>
      <c r="I392" s="224"/>
      <c r="J392" s="224"/>
      <c r="K392" s="224"/>
      <c r="L392" s="224"/>
      <c r="M392" s="224"/>
      <c r="N392" s="224"/>
      <c r="O392" s="224"/>
      <c r="P392" s="224"/>
      <c r="Q392" s="224"/>
      <c r="R392" s="224"/>
      <c r="S392" s="224"/>
      <c r="T392" s="224"/>
      <c r="U392" s="224"/>
      <c r="V392" s="224"/>
      <c r="W392" s="224"/>
      <c r="X392" s="224"/>
      <c r="Y392" s="224"/>
      <c r="Z392" s="224"/>
    </row>
    <row r="393" spans="1:26" ht="12.75" customHeight="1">
      <c r="A393" s="224"/>
      <c r="B393" s="226"/>
      <c r="C393" s="224"/>
      <c r="D393" s="224"/>
      <c r="E393" s="224"/>
      <c r="F393" s="224"/>
      <c r="G393" s="224"/>
      <c r="H393" s="224"/>
      <c r="I393" s="224"/>
      <c r="J393" s="224"/>
      <c r="K393" s="224"/>
      <c r="L393" s="224"/>
      <c r="M393" s="224"/>
      <c r="N393" s="224"/>
      <c r="O393" s="224"/>
      <c r="P393" s="224"/>
      <c r="Q393" s="224"/>
      <c r="R393" s="224"/>
      <c r="S393" s="224"/>
      <c r="T393" s="224"/>
      <c r="U393" s="224"/>
      <c r="V393" s="224"/>
      <c r="W393" s="224"/>
      <c r="X393" s="224"/>
      <c r="Y393" s="224"/>
      <c r="Z393" s="224"/>
    </row>
    <row r="394" spans="1:26" ht="12.75" customHeight="1">
      <c r="A394" s="224"/>
      <c r="B394" s="226"/>
      <c r="C394" s="224"/>
      <c r="D394" s="224"/>
      <c r="E394" s="224"/>
      <c r="F394" s="224"/>
      <c r="G394" s="224"/>
      <c r="H394" s="224"/>
      <c r="I394" s="224"/>
      <c r="J394" s="224"/>
      <c r="K394" s="224"/>
      <c r="L394" s="224"/>
      <c r="M394" s="224"/>
      <c r="N394" s="224"/>
      <c r="O394" s="224"/>
      <c r="P394" s="224"/>
      <c r="Q394" s="224"/>
      <c r="R394" s="224"/>
      <c r="S394" s="224"/>
      <c r="T394" s="224"/>
      <c r="U394" s="224"/>
      <c r="V394" s="224"/>
      <c r="W394" s="224"/>
      <c r="X394" s="224"/>
      <c r="Y394" s="224"/>
      <c r="Z394" s="224"/>
    </row>
    <row r="395" spans="1:26" ht="12.75" customHeight="1">
      <c r="A395" s="224"/>
      <c r="B395" s="226"/>
      <c r="C395" s="224"/>
      <c r="D395" s="224"/>
      <c r="E395" s="224"/>
      <c r="F395" s="224"/>
      <c r="G395" s="224"/>
      <c r="H395" s="224"/>
      <c r="I395" s="224"/>
      <c r="J395" s="224"/>
      <c r="K395" s="224"/>
      <c r="L395" s="224"/>
      <c r="M395" s="224"/>
      <c r="N395" s="224"/>
      <c r="O395" s="224"/>
      <c r="P395" s="224"/>
      <c r="Q395" s="224"/>
      <c r="R395" s="224"/>
      <c r="S395" s="224"/>
      <c r="T395" s="224"/>
      <c r="U395" s="224"/>
      <c r="V395" s="224"/>
      <c r="W395" s="224"/>
      <c r="X395" s="224"/>
      <c r="Y395" s="224"/>
      <c r="Z395" s="224"/>
    </row>
    <row r="396" spans="1:26" ht="12.75" customHeight="1">
      <c r="A396" s="224"/>
      <c r="B396" s="226"/>
      <c r="C396" s="224"/>
      <c r="D396" s="224"/>
      <c r="E396" s="224"/>
      <c r="F396" s="224"/>
      <c r="G396" s="224"/>
      <c r="H396" s="224"/>
      <c r="I396" s="224"/>
      <c r="J396" s="224"/>
      <c r="K396" s="224"/>
      <c r="L396" s="224"/>
      <c r="M396" s="224"/>
      <c r="N396" s="224"/>
      <c r="O396" s="224"/>
      <c r="P396" s="224"/>
      <c r="Q396" s="224"/>
      <c r="R396" s="224"/>
      <c r="S396" s="224"/>
      <c r="T396" s="224"/>
      <c r="U396" s="224"/>
      <c r="V396" s="224"/>
      <c r="W396" s="224"/>
      <c r="X396" s="224"/>
      <c r="Y396" s="224"/>
      <c r="Z396" s="224"/>
    </row>
    <row r="397" spans="1:26" ht="12.75" customHeight="1">
      <c r="A397" s="224"/>
      <c r="B397" s="226"/>
      <c r="C397" s="224"/>
      <c r="D397" s="224"/>
      <c r="E397" s="224"/>
      <c r="F397" s="224"/>
      <c r="G397" s="224"/>
      <c r="H397" s="224"/>
      <c r="I397" s="224"/>
      <c r="J397" s="224"/>
      <c r="K397" s="224"/>
      <c r="L397" s="224"/>
      <c r="M397" s="224"/>
      <c r="N397" s="224"/>
      <c r="O397" s="224"/>
      <c r="P397" s="224"/>
      <c r="Q397" s="224"/>
      <c r="R397" s="224"/>
      <c r="S397" s="224"/>
      <c r="T397" s="224"/>
      <c r="U397" s="224"/>
      <c r="V397" s="224"/>
      <c r="W397" s="224"/>
      <c r="X397" s="224"/>
      <c r="Y397" s="224"/>
      <c r="Z397" s="224"/>
    </row>
    <row r="398" spans="1:26" ht="12.75" customHeight="1">
      <c r="A398" s="224"/>
      <c r="B398" s="226"/>
      <c r="C398" s="224"/>
      <c r="D398" s="224"/>
      <c r="E398" s="224"/>
      <c r="F398" s="224"/>
      <c r="G398" s="224"/>
      <c r="H398" s="224"/>
      <c r="I398" s="224"/>
      <c r="J398" s="224"/>
      <c r="K398" s="224"/>
      <c r="L398" s="224"/>
      <c r="M398" s="224"/>
      <c r="N398" s="224"/>
      <c r="O398" s="224"/>
      <c r="P398" s="224"/>
      <c r="Q398" s="224"/>
      <c r="R398" s="224"/>
      <c r="S398" s="224"/>
      <c r="T398" s="224"/>
      <c r="U398" s="224"/>
      <c r="V398" s="224"/>
      <c r="W398" s="224"/>
      <c r="X398" s="224"/>
      <c r="Y398" s="224"/>
      <c r="Z398" s="224"/>
    </row>
    <row r="399" spans="1:26" ht="12.75" customHeight="1">
      <c r="A399" s="224"/>
      <c r="B399" s="226"/>
      <c r="C399" s="224"/>
      <c r="D399" s="224"/>
      <c r="E399" s="224"/>
      <c r="F399" s="224"/>
      <c r="G399" s="224"/>
      <c r="H399" s="224"/>
      <c r="I399" s="224"/>
      <c r="J399" s="224"/>
      <c r="K399" s="224"/>
      <c r="L399" s="224"/>
      <c r="M399" s="224"/>
      <c r="N399" s="224"/>
      <c r="O399" s="224"/>
      <c r="P399" s="224"/>
      <c r="Q399" s="224"/>
      <c r="R399" s="224"/>
      <c r="S399" s="224"/>
      <c r="T399" s="224"/>
      <c r="U399" s="224"/>
      <c r="V399" s="224"/>
      <c r="W399" s="224"/>
      <c r="X399" s="224"/>
      <c r="Y399" s="224"/>
      <c r="Z399" s="224"/>
    </row>
    <row r="400" spans="1:26" ht="12.75" customHeight="1">
      <c r="A400" s="224"/>
      <c r="B400" s="226"/>
      <c r="C400" s="224"/>
      <c r="D400" s="224"/>
      <c r="E400" s="224"/>
      <c r="F400" s="224"/>
      <c r="G400" s="224"/>
      <c r="H400" s="224"/>
      <c r="I400" s="224"/>
      <c r="J400" s="224"/>
      <c r="K400" s="224"/>
      <c r="L400" s="224"/>
      <c r="M400" s="224"/>
      <c r="N400" s="224"/>
      <c r="O400" s="224"/>
      <c r="P400" s="224"/>
      <c r="Q400" s="224"/>
      <c r="R400" s="224"/>
      <c r="S400" s="224"/>
      <c r="T400" s="224"/>
      <c r="U400" s="224"/>
      <c r="V400" s="224"/>
      <c r="W400" s="224"/>
      <c r="X400" s="224"/>
      <c r="Y400" s="224"/>
      <c r="Z400" s="224"/>
    </row>
    <row r="401" spans="1:26" ht="12.75" customHeight="1">
      <c r="A401" s="224"/>
      <c r="B401" s="226"/>
      <c r="C401" s="224"/>
      <c r="D401" s="224"/>
      <c r="E401" s="224"/>
      <c r="F401" s="224"/>
      <c r="G401" s="224"/>
      <c r="H401" s="224"/>
      <c r="I401" s="224"/>
      <c r="J401" s="224"/>
      <c r="K401" s="224"/>
      <c r="L401" s="224"/>
      <c r="M401" s="224"/>
      <c r="N401" s="224"/>
      <c r="O401" s="224"/>
      <c r="P401" s="224"/>
      <c r="Q401" s="224"/>
      <c r="R401" s="224"/>
      <c r="S401" s="224"/>
      <c r="T401" s="224"/>
      <c r="U401" s="224"/>
      <c r="V401" s="224"/>
      <c r="W401" s="224"/>
      <c r="X401" s="224"/>
      <c r="Y401" s="224"/>
      <c r="Z401" s="224"/>
    </row>
    <row r="402" spans="1:26" ht="12.75" customHeight="1">
      <c r="A402" s="224"/>
      <c r="B402" s="226"/>
      <c r="C402" s="224"/>
      <c r="D402" s="224"/>
      <c r="E402" s="224"/>
      <c r="F402" s="224"/>
      <c r="G402" s="224"/>
      <c r="H402" s="224"/>
      <c r="I402" s="224"/>
      <c r="J402" s="224"/>
      <c r="K402" s="224"/>
      <c r="L402" s="224"/>
      <c r="M402" s="224"/>
      <c r="N402" s="224"/>
      <c r="O402" s="224"/>
      <c r="P402" s="224"/>
      <c r="Q402" s="224"/>
      <c r="R402" s="224"/>
      <c r="S402" s="224"/>
      <c r="T402" s="224"/>
      <c r="U402" s="224"/>
      <c r="V402" s="224"/>
      <c r="W402" s="224"/>
      <c r="X402" s="224"/>
      <c r="Y402" s="224"/>
      <c r="Z402" s="224"/>
    </row>
    <row r="403" spans="1:26" ht="12.75" customHeight="1">
      <c r="A403" s="224"/>
      <c r="B403" s="226"/>
      <c r="C403" s="224"/>
      <c r="D403" s="224"/>
      <c r="E403" s="224"/>
      <c r="F403" s="224"/>
      <c r="G403" s="224"/>
      <c r="H403" s="224"/>
      <c r="I403" s="224"/>
      <c r="J403" s="224"/>
      <c r="K403" s="224"/>
      <c r="L403" s="224"/>
      <c r="M403" s="224"/>
      <c r="N403" s="224"/>
      <c r="O403" s="224"/>
      <c r="P403" s="224"/>
      <c r="Q403" s="224"/>
      <c r="R403" s="224"/>
      <c r="S403" s="224"/>
      <c r="T403" s="224"/>
      <c r="U403" s="224"/>
      <c r="V403" s="224"/>
      <c r="W403" s="224"/>
      <c r="X403" s="224"/>
      <c r="Y403" s="224"/>
      <c r="Z403" s="224"/>
    </row>
    <row r="404" spans="1:26" ht="12.75" customHeight="1">
      <c r="A404" s="224"/>
      <c r="B404" s="226"/>
      <c r="C404" s="224"/>
      <c r="D404" s="224"/>
      <c r="E404" s="224"/>
      <c r="F404" s="224"/>
      <c r="G404" s="224"/>
      <c r="H404" s="224"/>
      <c r="I404" s="224"/>
      <c r="J404" s="224"/>
      <c r="K404" s="224"/>
      <c r="L404" s="224"/>
      <c r="M404" s="224"/>
      <c r="N404" s="224"/>
      <c r="O404" s="224"/>
      <c r="P404" s="224"/>
      <c r="Q404" s="224"/>
      <c r="R404" s="224"/>
      <c r="S404" s="224"/>
      <c r="T404" s="224"/>
      <c r="U404" s="224"/>
      <c r="V404" s="224"/>
      <c r="W404" s="224"/>
      <c r="X404" s="224"/>
      <c r="Y404" s="224"/>
      <c r="Z404" s="224"/>
    </row>
    <row r="405" spans="1:26" ht="12.75" customHeight="1">
      <c r="A405" s="224"/>
      <c r="B405" s="226"/>
      <c r="C405" s="224"/>
      <c r="D405" s="224"/>
      <c r="E405" s="224"/>
      <c r="F405" s="224"/>
      <c r="G405" s="224"/>
      <c r="H405" s="224"/>
      <c r="I405" s="224"/>
      <c r="J405" s="224"/>
      <c r="K405" s="224"/>
      <c r="L405" s="224"/>
      <c r="M405" s="224"/>
      <c r="N405" s="224"/>
      <c r="O405" s="224"/>
      <c r="P405" s="224"/>
      <c r="Q405" s="224"/>
      <c r="R405" s="224"/>
      <c r="S405" s="224"/>
      <c r="T405" s="224"/>
      <c r="U405" s="224"/>
      <c r="V405" s="224"/>
      <c r="W405" s="224"/>
      <c r="X405" s="224"/>
      <c r="Y405" s="224"/>
      <c r="Z405" s="224"/>
    </row>
    <row r="406" spans="1:26" ht="12.75" customHeight="1">
      <c r="A406" s="224"/>
      <c r="B406" s="226"/>
      <c r="C406" s="224"/>
      <c r="D406" s="224"/>
      <c r="E406" s="224"/>
      <c r="F406" s="224"/>
      <c r="G406" s="224"/>
      <c r="H406" s="224"/>
      <c r="I406" s="224"/>
      <c r="J406" s="224"/>
      <c r="K406" s="224"/>
      <c r="L406" s="224"/>
      <c r="M406" s="224"/>
      <c r="N406" s="224"/>
      <c r="O406" s="224"/>
      <c r="P406" s="224"/>
      <c r="Q406" s="224"/>
      <c r="R406" s="224"/>
      <c r="S406" s="224"/>
      <c r="T406" s="224"/>
      <c r="U406" s="224"/>
      <c r="V406" s="224"/>
      <c r="W406" s="224"/>
      <c r="X406" s="224"/>
      <c r="Y406" s="224"/>
      <c r="Z406" s="224"/>
    </row>
    <row r="407" spans="1:26" ht="12.75" customHeight="1">
      <c r="A407" s="224"/>
      <c r="B407" s="226"/>
      <c r="C407" s="224"/>
      <c r="D407" s="224"/>
      <c r="E407" s="224"/>
      <c r="F407" s="224"/>
      <c r="G407" s="224"/>
      <c r="H407" s="224"/>
      <c r="I407" s="224"/>
      <c r="J407" s="224"/>
      <c r="K407" s="224"/>
      <c r="L407" s="224"/>
      <c r="M407" s="224"/>
      <c r="N407" s="224"/>
      <c r="O407" s="224"/>
      <c r="P407" s="224"/>
      <c r="Q407" s="224"/>
      <c r="R407" s="224"/>
      <c r="S407" s="224"/>
      <c r="T407" s="224"/>
      <c r="U407" s="224"/>
      <c r="V407" s="224"/>
      <c r="W407" s="224"/>
      <c r="X407" s="224"/>
      <c r="Y407" s="224"/>
      <c r="Z407" s="224"/>
    </row>
    <row r="408" spans="1:26" ht="12.75" customHeight="1">
      <c r="A408" s="224"/>
      <c r="B408" s="226"/>
      <c r="C408" s="224"/>
      <c r="D408" s="224"/>
      <c r="E408" s="224"/>
      <c r="F408" s="224"/>
      <c r="G408" s="224"/>
      <c r="H408" s="224"/>
      <c r="I408" s="224"/>
      <c r="J408" s="224"/>
      <c r="K408" s="224"/>
      <c r="L408" s="224"/>
      <c r="M408" s="224"/>
      <c r="N408" s="224"/>
      <c r="O408" s="224"/>
      <c r="P408" s="224"/>
      <c r="Q408" s="224"/>
      <c r="R408" s="224"/>
      <c r="S408" s="224"/>
      <c r="T408" s="224"/>
      <c r="U408" s="224"/>
      <c r="V408" s="224"/>
      <c r="W408" s="224"/>
      <c r="X408" s="224"/>
      <c r="Y408" s="224"/>
      <c r="Z408" s="224"/>
    </row>
    <row r="409" spans="1:26" ht="12.75" customHeight="1">
      <c r="A409" s="224"/>
      <c r="B409" s="226"/>
      <c r="C409" s="224"/>
      <c r="D409" s="224"/>
      <c r="E409" s="224"/>
      <c r="F409" s="224"/>
      <c r="G409" s="224"/>
      <c r="H409" s="224"/>
      <c r="I409" s="224"/>
      <c r="J409" s="224"/>
      <c r="K409" s="224"/>
      <c r="L409" s="224"/>
      <c r="M409" s="224"/>
      <c r="N409" s="224"/>
      <c r="O409" s="224"/>
      <c r="P409" s="224"/>
      <c r="Q409" s="224"/>
      <c r="R409" s="224"/>
      <c r="S409" s="224"/>
      <c r="T409" s="224"/>
      <c r="U409" s="224"/>
      <c r="V409" s="224"/>
      <c r="W409" s="224"/>
      <c r="X409" s="224"/>
      <c r="Y409" s="224"/>
      <c r="Z409" s="224"/>
    </row>
    <row r="410" spans="1:26" ht="12.75" customHeight="1">
      <c r="A410" s="224"/>
      <c r="B410" s="226"/>
      <c r="C410" s="224"/>
      <c r="D410" s="224"/>
      <c r="E410" s="224"/>
      <c r="F410" s="224"/>
      <c r="G410" s="224"/>
      <c r="H410" s="224"/>
      <c r="I410" s="224"/>
      <c r="J410" s="224"/>
      <c r="K410" s="224"/>
      <c r="L410" s="224"/>
      <c r="M410" s="224"/>
      <c r="N410" s="224"/>
      <c r="O410" s="224"/>
      <c r="P410" s="224"/>
      <c r="Q410" s="224"/>
      <c r="R410" s="224"/>
      <c r="S410" s="224"/>
      <c r="T410" s="224"/>
      <c r="U410" s="224"/>
      <c r="V410" s="224"/>
      <c r="W410" s="224"/>
      <c r="X410" s="224"/>
      <c r="Y410" s="224"/>
      <c r="Z410" s="224"/>
    </row>
    <row r="411" spans="1:26" ht="12.75" customHeight="1">
      <c r="A411" s="224"/>
      <c r="B411" s="226"/>
      <c r="C411" s="224"/>
      <c r="D411" s="224"/>
      <c r="E411" s="224"/>
      <c r="F411" s="224"/>
      <c r="G411" s="224"/>
      <c r="H411" s="224"/>
      <c r="I411" s="224"/>
      <c r="J411" s="224"/>
      <c r="K411" s="224"/>
      <c r="L411" s="224"/>
      <c r="M411" s="224"/>
      <c r="N411" s="224"/>
      <c r="O411" s="224"/>
      <c r="P411" s="224"/>
      <c r="Q411" s="224"/>
      <c r="R411" s="224"/>
      <c r="S411" s="224"/>
      <c r="T411" s="224"/>
      <c r="U411" s="224"/>
      <c r="V411" s="224"/>
      <c r="W411" s="224"/>
      <c r="X411" s="224"/>
      <c r="Y411" s="224"/>
      <c r="Z411" s="224"/>
    </row>
    <row r="412" spans="1:26" ht="12.75" customHeight="1">
      <c r="A412" s="224"/>
      <c r="B412" s="226"/>
      <c r="C412" s="224"/>
      <c r="D412" s="224"/>
      <c r="E412" s="224"/>
      <c r="F412" s="224"/>
      <c r="G412" s="224"/>
      <c r="H412" s="224"/>
      <c r="I412" s="224"/>
      <c r="J412" s="224"/>
      <c r="K412" s="224"/>
      <c r="L412" s="224"/>
      <c r="M412" s="224"/>
      <c r="N412" s="224"/>
      <c r="O412" s="224"/>
      <c r="P412" s="224"/>
      <c r="Q412" s="224"/>
      <c r="R412" s="224"/>
      <c r="S412" s="224"/>
      <c r="T412" s="224"/>
      <c r="U412" s="224"/>
      <c r="V412" s="224"/>
      <c r="W412" s="224"/>
      <c r="X412" s="224"/>
      <c r="Y412" s="224"/>
      <c r="Z412" s="224"/>
    </row>
    <row r="413" spans="1:26" ht="12.75" customHeight="1">
      <c r="A413" s="224"/>
      <c r="B413" s="226"/>
      <c r="C413" s="224"/>
      <c r="D413" s="224"/>
      <c r="E413" s="224"/>
      <c r="F413" s="224"/>
      <c r="G413" s="224"/>
      <c r="H413" s="224"/>
      <c r="I413" s="224"/>
      <c r="J413" s="224"/>
      <c r="K413" s="224"/>
      <c r="L413" s="224"/>
      <c r="M413" s="224"/>
      <c r="N413" s="224"/>
      <c r="O413" s="224"/>
      <c r="P413" s="224"/>
      <c r="Q413" s="224"/>
      <c r="R413" s="224"/>
      <c r="S413" s="224"/>
      <c r="T413" s="224"/>
      <c r="U413" s="224"/>
      <c r="V413" s="224"/>
      <c r="W413" s="224"/>
      <c r="X413" s="224"/>
      <c r="Y413" s="224"/>
      <c r="Z413" s="224"/>
    </row>
    <row r="414" spans="1:26" ht="12.75" customHeight="1">
      <c r="A414" s="224"/>
      <c r="B414" s="226"/>
      <c r="C414" s="224"/>
      <c r="D414" s="224"/>
      <c r="E414" s="224"/>
      <c r="F414" s="224"/>
      <c r="G414" s="224"/>
      <c r="H414" s="224"/>
      <c r="I414" s="224"/>
      <c r="J414" s="224"/>
      <c r="K414" s="224"/>
      <c r="L414" s="224"/>
      <c r="M414" s="224"/>
      <c r="N414" s="224"/>
      <c r="O414" s="224"/>
      <c r="P414" s="224"/>
      <c r="Q414" s="224"/>
      <c r="R414" s="224"/>
      <c r="S414" s="224"/>
      <c r="T414" s="224"/>
      <c r="U414" s="224"/>
      <c r="V414" s="224"/>
      <c r="W414" s="224"/>
      <c r="X414" s="224"/>
      <c r="Y414" s="224"/>
      <c r="Z414" s="224"/>
    </row>
    <row r="415" spans="1:26" ht="12.75" customHeight="1">
      <c r="A415" s="224"/>
      <c r="B415" s="226"/>
      <c r="C415" s="224"/>
      <c r="D415" s="224"/>
      <c r="E415" s="224"/>
      <c r="F415" s="224"/>
      <c r="G415" s="224"/>
      <c r="H415" s="224"/>
      <c r="I415" s="224"/>
      <c r="J415" s="224"/>
      <c r="K415" s="224"/>
      <c r="L415" s="224"/>
      <c r="M415" s="224"/>
      <c r="N415" s="224"/>
      <c r="O415" s="224"/>
      <c r="P415" s="224"/>
      <c r="Q415" s="224"/>
      <c r="R415" s="224"/>
      <c r="S415" s="224"/>
      <c r="T415" s="224"/>
      <c r="U415" s="224"/>
      <c r="V415" s="224"/>
      <c r="W415" s="224"/>
      <c r="X415" s="224"/>
      <c r="Y415" s="224"/>
      <c r="Z415" s="224"/>
    </row>
    <row r="416" spans="1:26" ht="12.75" customHeight="1">
      <c r="A416" s="224"/>
      <c r="B416" s="226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224"/>
      <c r="T416" s="224"/>
      <c r="U416" s="224"/>
      <c r="V416" s="224"/>
      <c r="W416" s="224"/>
      <c r="X416" s="224"/>
      <c r="Y416" s="224"/>
      <c r="Z416" s="224"/>
    </row>
    <row r="417" spans="1:26" ht="12.75" customHeight="1">
      <c r="A417" s="224"/>
      <c r="B417" s="226"/>
      <c r="C417" s="224"/>
      <c r="D417" s="224"/>
      <c r="E417" s="224"/>
      <c r="F417" s="224"/>
      <c r="G417" s="224"/>
      <c r="H417" s="224"/>
      <c r="I417" s="224"/>
      <c r="J417" s="224"/>
      <c r="K417" s="224"/>
      <c r="L417" s="224"/>
      <c r="M417" s="224"/>
      <c r="N417" s="224"/>
      <c r="O417" s="224"/>
      <c r="P417" s="224"/>
      <c r="Q417" s="224"/>
      <c r="R417" s="224"/>
      <c r="S417" s="224"/>
      <c r="T417" s="224"/>
      <c r="U417" s="224"/>
      <c r="V417" s="224"/>
      <c r="W417" s="224"/>
      <c r="X417" s="224"/>
      <c r="Y417" s="224"/>
      <c r="Z417" s="224"/>
    </row>
    <row r="418" spans="1:26" ht="12.75" customHeight="1">
      <c r="A418" s="224"/>
      <c r="B418" s="226"/>
      <c r="C418" s="224"/>
      <c r="D418" s="224"/>
      <c r="E418" s="224"/>
      <c r="F418" s="224"/>
      <c r="G418" s="224"/>
      <c r="H418" s="224"/>
      <c r="I418" s="224"/>
      <c r="J418" s="224"/>
      <c r="K418" s="224"/>
      <c r="L418" s="224"/>
      <c r="M418" s="224"/>
      <c r="N418" s="224"/>
      <c r="O418" s="224"/>
      <c r="P418" s="224"/>
      <c r="Q418" s="224"/>
      <c r="R418" s="224"/>
      <c r="S418" s="224"/>
      <c r="T418" s="224"/>
      <c r="U418" s="224"/>
      <c r="V418" s="224"/>
      <c r="W418" s="224"/>
      <c r="X418" s="224"/>
      <c r="Y418" s="224"/>
      <c r="Z418" s="224"/>
    </row>
    <row r="419" spans="1:26" ht="12.75" customHeight="1">
      <c r="A419" s="224"/>
      <c r="B419" s="226"/>
      <c r="C419" s="224"/>
      <c r="D419" s="224"/>
      <c r="E419" s="224"/>
      <c r="F419" s="224"/>
      <c r="G419" s="224"/>
      <c r="H419" s="224"/>
      <c r="I419" s="224"/>
      <c r="J419" s="224"/>
      <c r="K419" s="224"/>
      <c r="L419" s="224"/>
      <c r="M419" s="224"/>
      <c r="N419" s="224"/>
      <c r="O419" s="224"/>
      <c r="P419" s="224"/>
      <c r="Q419" s="224"/>
      <c r="R419" s="224"/>
      <c r="S419" s="224"/>
      <c r="T419" s="224"/>
      <c r="U419" s="224"/>
      <c r="V419" s="224"/>
      <c r="W419" s="224"/>
      <c r="X419" s="224"/>
      <c r="Y419" s="224"/>
      <c r="Z419" s="224"/>
    </row>
    <row r="420" spans="1:26" ht="12.75" customHeight="1">
      <c r="A420" s="224"/>
      <c r="B420" s="226"/>
      <c r="C420" s="224"/>
      <c r="D420" s="224"/>
      <c r="E420" s="224"/>
      <c r="F420" s="224"/>
      <c r="G420" s="224"/>
      <c r="H420" s="224"/>
      <c r="I420" s="224"/>
      <c r="J420" s="224"/>
      <c r="K420" s="224"/>
      <c r="L420" s="224"/>
      <c r="M420" s="224"/>
      <c r="N420" s="224"/>
      <c r="O420" s="224"/>
      <c r="P420" s="224"/>
      <c r="Q420" s="224"/>
      <c r="R420" s="224"/>
      <c r="S420" s="224"/>
      <c r="T420" s="224"/>
      <c r="U420" s="224"/>
      <c r="V420" s="224"/>
      <c r="W420" s="224"/>
      <c r="X420" s="224"/>
      <c r="Y420" s="224"/>
      <c r="Z420" s="224"/>
    </row>
    <row r="421" spans="1:26" ht="12.75" customHeight="1">
      <c r="A421" s="224"/>
      <c r="B421" s="226"/>
      <c r="C421" s="224"/>
      <c r="D421" s="224"/>
      <c r="E421" s="224"/>
      <c r="F421" s="224"/>
      <c r="G421" s="224"/>
      <c r="H421" s="224"/>
      <c r="I421" s="224"/>
      <c r="J421" s="224"/>
      <c r="K421" s="224"/>
      <c r="L421" s="224"/>
      <c r="M421" s="224"/>
      <c r="N421" s="224"/>
      <c r="O421" s="224"/>
      <c r="P421" s="224"/>
      <c r="Q421" s="224"/>
      <c r="R421" s="224"/>
      <c r="S421" s="224"/>
      <c r="T421" s="224"/>
      <c r="U421" s="224"/>
      <c r="V421" s="224"/>
      <c r="W421" s="224"/>
      <c r="X421" s="224"/>
      <c r="Y421" s="224"/>
      <c r="Z421" s="224"/>
    </row>
    <row r="422" spans="1:26" ht="12.75" customHeight="1">
      <c r="A422" s="224"/>
      <c r="B422" s="226"/>
      <c r="C422" s="224"/>
      <c r="D422" s="224"/>
      <c r="E422" s="224"/>
      <c r="F422" s="224"/>
      <c r="G422" s="224"/>
      <c r="H422" s="224"/>
      <c r="I422" s="224"/>
      <c r="J422" s="224"/>
      <c r="K422" s="224"/>
      <c r="L422" s="224"/>
      <c r="M422" s="224"/>
      <c r="N422" s="224"/>
      <c r="O422" s="224"/>
      <c r="P422" s="224"/>
      <c r="Q422" s="224"/>
      <c r="R422" s="224"/>
      <c r="S422" s="224"/>
      <c r="T422" s="224"/>
      <c r="U422" s="224"/>
      <c r="V422" s="224"/>
      <c r="W422" s="224"/>
      <c r="X422" s="224"/>
      <c r="Y422" s="224"/>
      <c r="Z422" s="224"/>
    </row>
    <row r="423" spans="1:26" ht="12.75" customHeight="1">
      <c r="A423" s="224"/>
      <c r="B423" s="226"/>
      <c r="C423" s="224"/>
      <c r="D423" s="224"/>
      <c r="E423" s="224"/>
      <c r="F423" s="224"/>
      <c r="G423" s="224"/>
      <c r="H423" s="224"/>
      <c r="I423" s="224"/>
      <c r="J423" s="224"/>
      <c r="K423" s="224"/>
      <c r="L423" s="224"/>
      <c r="M423" s="224"/>
      <c r="N423" s="224"/>
      <c r="O423" s="224"/>
      <c r="P423" s="224"/>
      <c r="Q423" s="224"/>
      <c r="R423" s="224"/>
      <c r="S423" s="224"/>
      <c r="T423" s="224"/>
      <c r="U423" s="224"/>
      <c r="V423" s="224"/>
      <c r="W423" s="224"/>
      <c r="X423" s="224"/>
      <c r="Y423" s="224"/>
      <c r="Z423" s="224"/>
    </row>
    <row r="424" spans="1:26" ht="12.75" customHeight="1">
      <c r="A424" s="224"/>
      <c r="B424" s="226"/>
      <c r="C424" s="224"/>
      <c r="D424" s="224"/>
      <c r="E424" s="224"/>
      <c r="F424" s="224"/>
      <c r="G424" s="224"/>
      <c r="H424" s="224"/>
      <c r="I424" s="224"/>
      <c r="J424" s="224"/>
      <c r="K424" s="224"/>
      <c r="L424" s="224"/>
      <c r="M424" s="224"/>
      <c r="N424" s="224"/>
      <c r="O424" s="224"/>
      <c r="P424" s="224"/>
      <c r="Q424" s="224"/>
      <c r="R424" s="224"/>
      <c r="S424" s="224"/>
      <c r="T424" s="224"/>
      <c r="U424" s="224"/>
      <c r="V424" s="224"/>
      <c r="W424" s="224"/>
      <c r="X424" s="224"/>
      <c r="Y424" s="224"/>
      <c r="Z424" s="224"/>
    </row>
    <row r="425" spans="1:26" ht="12.75" customHeight="1">
      <c r="A425" s="224"/>
      <c r="B425" s="226"/>
      <c r="C425" s="224"/>
      <c r="D425" s="224"/>
      <c r="E425" s="224"/>
      <c r="F425" s="224"/>
      <c r="G425" s="224"/>
      <c r="H425" s="224"/>
      <c r="I425" s="224"/>
      <c r="J425" s="224"/>
      <c r="K425" s="224"/>
      <c r="L425" s="224"/>
      <c r="M425" s="224"/>
      <c r="N425" s="224"/>
      <c r="O425" s="224"/>
      <c r="P425" s="224"/>
      <c r="Q425" s="224"/>
      <c r="R425" s="224"/>
      <c r="S425" s="224"/>
      <c r="T425" s="224"/>
      <c r="U425" s="224"/>
      <c r="V425" s="224"/>
      <c r="W425" s="224"/>
      <c r="X425" s="224"/>
      <c r="Y425" s="224"/>
      <c r="Z425" s="224"/>
    </row>
    <row r="426" spans="1:26" ht="12.75" customHeight="1">
      <c r="A426" s="224"/>
      <c r="B426" s="226"/>
      <c r="C426" s="224"/>
      <c r="D426" s="224"/>
      <c r="E426" s="224"/>
      <c r="F426" s="224"/>
      <c r="G426" s="224"/>
      <c r="H426" s="224"/>
      <c r="I426" s="224"/>
      <c r="J426" s="224"/>
      <c r="K426" s="224"/>
      <c r="L426" s="224"/>
      <c r="M426" s="224"/>
      <c r="N426" s="224"/>
      <c r="O426" s="224"/>
      <c r="P426" s="224"/>
      <c r="Q426" s="224"/>
      <c r="R426" s="224"/>
      <c r="S426" s="224"/>
      <c r="T426" s="224"/>
      <c r="U426" s="224"/>
      <c r="V426" s="224"/>
      <c r="W426" s="224"/>
      <c r="X426" s="224"/>
      <c r="Y426" s="224"/>
      <c r="Z426" s="224"/>
    </row>
    <row r="427" spans="1:26" ht="12.75" customHeight="1">
      <c r="A427" s="224"/>
      <c r="B427" s="226"/>
      <c r="C427" s="224"/>
      <c r="D427" s="224"/>
      <c r="E427" s="224"/>
      <c r="F427" s="224"/>
      <c r="G427" s="224"/>
      <c r="H427" s="224"/>
      <c r="I427" s="224"/>
      <c r="J427" s="224"/>
      <c r="K427" s="224"/>
      <c r="L427" s="224"/>
      <c r="M427" s="224"/>
      <c r="N427" s="224"/>
      <c r="O427" s="224"/>
      <c r="P427" s="224"/>
      <c r="Q427" s="224"/>
      <c r="R427" s="224"/>
      <c r="S427" s="224"/>
      <c r="T427" s="224"/>
      <c r="U427" s="224"/>
      <c r="V427" s="224"/>
      <c r="W427" s="224"/>
      <c r="X427" s="224"/>
      <c r="Y427" s="224"/>
      <c r="Z427" s="224"/>
    </row>
    <row r="428" spans="1:26" ht="12.75" customHeight="1">
      <c r="A428" s="224"/>
      <c r="B428" s="226"/>
      <c r="C428" s="224"/>
      <c r="D428" s="224"/>
      <c r="E428" s="224"/>
      <c r="F428" s="224"/>
      <c r="G428" s="224"/>
      <c r="H428" s="224"/>
      <c r="I428" s="224"/>
      <c r="J428" s="224"/>
      <c r="K428" s="224"/>
      <c r="L428" s="224"/>
      <c r="M428" s="224"/>
      <c r="N428" s="224"/>
      <c r="O428" s="224"/>
      <c r="P428" s="224"/>
      <c r="Q428" s="224"/>
      <c r="R428" s="224"/>
      <c r="S428" s="224"/>
      <c r="T428" s="224"/>
      <c r="U428" s="224"/>
      <c r="V428" s="224"/>
      <c r="W428" s="224"/>
      <c r="X428" s="224"/>
      <c r="Y428" s="224"/>
      <c r="Z428" s="224"/>
    </row>
    <row r="429" spans="1:26" ht="12.75" customHeight="1">
      <c r="A429" s="224"/>
      <c r="B429" s="226"/>
      <c r="C429" s="224"/>
      <c r="D429" s="224"/>
      <c r="E429" s="224"/>
      <c r="F429" s="224"/>
      <c r="G429" s="224"/>
      <c r="H429" s="224"/>
      <c r="I429" s="224"/>
      <c r="J429" s="224"/>
      <c r="K429" s="224"/>
      <c r="L429" s="224"/>
      <c r="M429" s="224"/>
      <c r="N429" s="224"/>
      <c r="O429" s="224"/>
      <c r="P429" s="224"/>
      <c r="Q429" s="224"/>
      <c r="R429" s="224"/>
      <c r="S429" s="224"/>
      <c r="T429" s="224"/>
      <c r="U429" s="224"/>
      <c r="V429" s="224"/>
      <c r="W429" s="224"/>
      <c r="X429" s="224"/>
      <c r="Y429" s="224"/>
      <c r="Z429" s="224"/>
    </row>
    <row r="430" spans="1:26" ht="12.75" customHeight="1">
      <c r="A430" s="224"/>
      <c r="B430" s="226"/>
      <c r="C430" s="224"/>
      <c r="D430" s="224"/>
      <c r="E430" s="224"/>
      <c r="F430" s="224"/>
      <c r="G430" s="224"/>
      <c r="H430" s="224"/>
      <c r="I430" s="224"/>
      <c r="J430" s="224"/>
      <c r="K430" s="224"/>
      <c r="L430" s="224"/>
      <c r="M430" s="224"/>
      <c r="N430" s="224"/>
      <c r="O430" s="224"/>
      <c r="P430" s="224"/>
      <c r="Q430" s="224"/>
      <c r="R430" s="224"/>
      <c r="S430" s="224"/>
      <c r="T430" s="224"/>
      <c r="U430" s="224"/>
      <c r="V430" s="224"/>
      <c r="W430" s="224"/>
      <c r="X430" s="224"/>
      <c r="Y430" s="224"/>
      <c r="Z430" s="224"/>
    </row>
    <row r="431" spans="1:26" ht="12.75" customHeight="1">
      <c r="A431" s="224"/>
      <c r="B431" s="226"/>
      <c r="C431" s="224"/>
      <c r="D431" s="224"/>
      <c r="E431" s="224"/>
      <c r="F431" s="224"/>
      <c r="G431" s="224"/>
      <c r="H431" s="224"/>
      <c r="I431" s="224"/>
      <c r="J431" s="224"/>
      <c r="K431" s="224"/>
      <c r="L431" s="224"/>
      <c r="M431" s="224"/>
      <c r="N431" s="224"/>
      <c r="O431" s="224"/>
      <c r="P431" s="224"/>
      <c r="Q431" s="224"/>
      <c r="R431" s="224"/>
      <c r="S431" s="224"/>
      <c r="T431" s="224"/>
      <c r="U431" s="224"/>
      <c r="V431" s="224"/>
      <c r="W431" s="224"/>
      <c r="X431" s="224"/>
      <c r="Y431" s="224"/>
      <c r="Z431" s="224"/>
    </row>
    <row r="432" spans="1:26" ht="12.75" customHeight="1">
      <c r="A432" s="224"/>
      <c r="B432" s="226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224"/>
      <c r="T432" s="224"/>
      <c r="U432" s="224"/>
      <c r="V432" s="224"/>
      <c r="W432" s="224"/>
      <c r="X432" s="224"/>
      <c r="Y432" s="224"/>
      <c r="Z432" s="224"/>
    </row>
    <row r="433" spans="1:26" ht="12.75" customHeight="1">
      <c r="A433" s="224"/>
      <c r="B433" s="226"/>
      <c r="C433" s="224"/>
      <c r="D433" s="224"/>
      <c r="E433" s="224"/>
      <c r="F433" s="224"/>
      <c r="G433" s="224"/>
      <c r="H433" s="224"/>
      <c r="I433" s="224"/>
      <c r="J433" s="224"/>
      <c r="K433" s="224"/>
      <c r="L433" s="224"/>
      <c r="M433" s="224"/>
      <c r="N433" s="224"/>
      <c r="O433" s="224"/>
      <c r="P433" s="224"/>
      <c r="Q433" s="224"/>
      <c r="R433" s="224"/>
      <c r="S433" s="224"/>
      <c r="T433" s="224"/>
      <c r="U433" s="224"/>
      <c r="V433" s="224"/>
      <c r="W433" s="224"/>
      <c r="X433" s="224"/>
      <c r="Y433" s="224"/>
      <c r="Z433" s="224"/>
    </row>
    <row r="434" spans="1:26" ht="12.75" customHeight="1">
      <c r="A434" s="224"/>
      <c r="B434" s="226"/>
      <c r="C434" s="224"/>
      <c r="D434" s="224"/>
      <c r="E434" s="224"/>
      <c r="F434" s="224"/>
      <c r="G434" s="224"/>
      <c r="H434" s="224"/>
      <c r="I434" s="224"/>
      <c r="J434" s="224"/>
      <c r="K434" s="224"/>
      <c r="L434" s="224"/>
      <c r="M434" s="224"/>
      <c r="N434" s="224"/>
      <c r="O434" s="224"/>
      <c r="P434" s="224"/>
      <c r="Q434" s="224"/>
      <c r="R434" s="224"/>
      <c r="S434" s="224"/>
      <c r="T434" s="224"/>
      <c r="U434" s="224"/>
      <c r="V434" s="224"/>
      <c r="W434" s="224"/>
      <c r="X434" s="224"/>
      <c r="Y434" s="224"/>
      <c r="Z434" s="224"/>
    </row>
    <row r="435" spans="1:26" ht="12.75" customHeight="1">
      <c r="A435" s="224"/>
      <c r="B435" s="226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224"/>
      <c r="T435" s="224"/>
      <c r="U435" s="224"/>
      <c r="V435" s="224"/>
      <c r="W435" s="224"/>
      <c r="X435" s="224"/>
      <c r="Y435" s="224"/>
      <c r="Z435" s="224"/>
    </row>
    <row r="436" spans="1:26" ht="12.75" customHeight="1">
      <c r="A436" s="224"/>
      <c r="B436" s="226"/>
      <c r="C436" s="224"/>
      <c r="D436" s="224"/>
      <c r="E436" s="224"/>
      <c r="F436" s="224"/>
      <c r="G436" s="224"/>
      <c r="H436" s="224"/>
      <c r="I436" s="224"/>
      <c r="J436" s="224"/>
      <c r="K436" s="224"/>
      <c r="L436" s="224"/>
      <c r="M436" s="224"/>
      <c r="N436" s="224"/>
      <c r="O436" s="224"/>
      <c r="P436" s="224"/>
      <c r="Q436" s="224"/>
      <c r="R436" s="224"/>
      <c r="S436" s="224"/>
      <c r="T436" s="224"/>
      <c r="U436" s="224"/>
      <c r="V436" s="224"/>
      <c r="W436" s="224"/>
      <c r="X436" s="224"/>
      <c r="Y436" s="224"/>
      <c r="Z436" s="224"/>
    </row>
    <row r="437" spans="1:26" ht="12.75" customHeight="1">
      <c r="A437" s="224"/>
      <c r="B437" s="226"/>
      <c r="C437" s="224"/>
      <c r="D437" s="224"/>
      <c r="E437" s="224"/>
      <c r="F437" s="224"/>
      <c r="G437" s="224"/>
      <c r="H437" s="224"/>
      <c r="I437" s="224"/>
      <c r="J437" s="224"/>
      <c r="K437" s="224"/>
      <c r="L437" s="224"/>
      <c r="M437" s="224"/>
      <c r="N437" s="224"/>
      <c r="O437" s="224"/>
      <c r="P437" s="224"/>
      <c r="Q437" s="224"/>
      <c r="R437" s="224"/>
      <c r="S437" s="224"/>
      <c r="T437" s="224"/>
      <c r="U437" s="224"/>
      <c r="V437" s="224"/>
      <c r="W437" s="224"/>
      <c r="X437" s="224"/>
      <c r="Y437" s="224"/>
      <c r="Z437" s="224"/>
    </row>
    <row r="438" spans="1:26" ht="12.75" customHeight="1">
      <c r="A438" s="224"/>
      <c r="B438" s="226"/>
      <c r="C438" s="224"/>
      <c r="D438" s="224"/>
      <c r="E438" s="224"/>
      <c r="F438" s="224"/>
      <c r="G438" s="224"/>
      <c r="H438" s="224"/>
      <c r="I438" s="224"/>
      <c r="J438" s="224"/>
      <c r="K438" s="224"/>
      <c r="L438" s="224"/>
      <c r="M438" s="224"/>
      <c r="N438" s="224"/>
      <c r="O438" s="224"/>
      <c r="P438" s="224"/>
      <c r="Q438" s="224"/>
      <c r="R438" s="224"/>
      <c r="S438" s="224"/>
      <c r="T438" s="224"/>
      <c r="U438" s="224"/>
      <c r="V438" s="224"/>
      <c r="W438" s="224"/>
      <c r="X438" s="224"/>
      <c r="Y438" s="224"/>
      <c r="Z438" s="224"/>
    </row>
    <row r="439" spans="1:26" ht="12.75" customHeight="1">
      <c r="A439" s="224"/>
      <c r="B439" s="226"/>
      <c r="C439" s="224"/>
      <c r="D439" s="224"/>
      <c r="E439" s="224"/>
      <c r="F439" s="224"/>
      <c r="G439" s="224"/>
      <c r="H439" s="224"/>
      <c r="I439" s="224"/>
      <c r="J439" s="224"/>
      <c r="K439" s="224"/>
      <c r="L439" s="224"/>
      <c r="M439" s="224"/>
      <c r="N439" s="224"/>
      <c r="O439" s="224"/>
      <c r="P439" s="224"/>
      <c r="Q439" s="224"/>
      <c r="R439" s="224"/>
      <c r="S439" s="224"/>
      <c r="T439" s="224"/>
      <c r="U439" s="224"/>
      <c r="V439" s="224"/>
      <c r="W439" s="224"/>
      <c r="X439" s="224"/>
      <c r="Y439" s="224"/>
      <c r="Z439" s="224"/>
    </row>
    <row r="440" spans="1:26" ht="12.75" customHeight="1">
      <c r="A440" s="224"/>
      <c r="B440" s="226"/>
      <c r="C440" s="224"/>
      <c r="D440" s="224"/>
      <c r="E440" s="224"/>
      <c r="F440" s="224"/>
      <c r="G440" s="224"/>
      <c r="H440" s="224"/>
      <c r="I440" s="224"/>
      <c r="J440" s="224"/>
      <c r="K440" s="224"/>
      <c r="L440" s="224"/>
      <c r="M440" s="224"/>
      <c r="N440" s="224"/>
      <c r="O440" s="224"/>
      <c r="P440" s="224"/>
      <c r="Q440" s="224"/>
      <c r="R440" s="224"/>
      <c r="S440" s="224"/>
      <c r="T440" s="224"/>
      <c r="U440" s="224"/>
      <c r="V440" s="224"/>
      <c r="W440" s="224"/>
      <c r="X440" s="224"/>
      <c r="Y440" s="224"/>
      <c r="Z440" s="224"/>
    </row>
    <row r="441" spans="1:26" ht="12.75" customHeight="1">
      <c r="A441" s="224"/>
      <c r="B441" s="226"/>
      <c r="C441" s="224"/>
      <c r="D441" s="224"/>
      <c r="E441" s="224"/>
      <c r="F441" s="224"/>
      <c r="G441" s="224"/>
      <c r="H441" s="224"/>
      <c r="I441" s="224"/>
      <c r="J441" s="224"/>
      <c r="K441" s="224"/>
      <c r="L441" s="224"/>
      <c r="M441" s="224"/>
      <c r="N441" s="224"/>
      <c r="O441" s="224"/>
      <c r="P441" s="224"/>
      <c r="Q441" s="224"/>
      <c r="R441" s="224"/>
      <c r="S441" s="224"/>
      <c r="T441" s="224"/>
      <c r="U441" s="224"/>
      <c r="V441" s="224"/>
      <c r="W441" s="224"/>
      <c r="X441" s="224"/>
      <c r="Y441" s="224"/>
      <c r="Z441" s="224"/>
    </row>
    <row r="442" spans="1:26" ht="12.75" customHeight="1">
      <c r="A442" s="224"/>
      <c r="B442" s="226"/>
      <c r="C442" s="224"/>
      <c r="D442" s="224"/>
      <c r="E442" s="224"/>
      <c r="F442" s="224"/>
      <c r="G442" s="224"/>
      <c r="H442" s="224"/>
      <c r="I442" s="224"/>
      <c r="J442" s="224"/>
      <c r="K442" s="224"/>
      <c r="L442" s="224"/>
      <c r="M442" s="224"/>
      <c r="N442" s="224"/>
      <c r="O442" s="224"/>
      <c r="P442" s="224"/>
      <c r="Q442" s="224"/>
      <c r="R442" s="224"/>
      <c r="S442" s="224"/>
      <c r="T442" s="224"/>
      <c r="U442" s="224"/>
      <c r="V442" s="224"/>
      <c r="W442" s="224"/>
      <c r="X442" s="224"/>
      <c r="Y442" s="224"/>
      <c r="Z442" s="224"/>
    </row>
    <row r="443" spans="1:26" ht="12.75" customHeight="1">
      <c r="A443" s="224"/>
      <c r="B443" s="226"/>
      <c r="C443" s="224"/>
      <c r="D443" s="224"/>
      <c r="E443" s="224"/>
      <c r="F443" s="224"/>
      <c r="G443" s="224"/>
      <c r="H443" s="224"/>
      <c r="I443" s="224"/>
      <c r="J443" s="224"/>
      <c r="K443" s="224"/>
      <c r="L443" s="224"/>
      <c r="M443" s="224"/>
      <c r="N443" s="224"/>
      <c r="O443" s="224"/>
      <c r="P443" s="224"/>
      <c r="Q443" s="224"/>
      <c r="R443" s="224"/>
      <c r="S443" s="224"/>
      <c r="T443" s="224"/>
      <c r="U443" s="224"/>
      <c r="V443" s="224"/>
      <c r="W443" s="224"/>
      <c r="X443" s="224"/>
      <c r="Y443" s="224"/>
      <c r="Z443" s="224"/>
    </row>
    <row r="444" spans="1:26" ht="12.75" customHeight="1">
      <c r="A444" s="224"/>
      <c r="B444" s="226"/>
      <c r="C444" s="224"/>
      <c r="D444" s="224"/>
      <c r="E444" s="224"/>
      <c r="F444" s="224"/>
      <c r="G444" s="224"/>
      <c r="H444" s="224"/>
      <c r="I444" s="224"/>
      <c r="J444" s="224"/>
      <c r="K444" s="224"/>
      <c r="L444" s="224"/>
      <c r="M444" s="224"/>
      <c r="N444" s="224"/>
      <c r="O444" s="224"/>
      <c r="P444" s="224"/>
      <c r="Q444" s="224"/>
      <c r="R444" s="224"/>
      <c r="S444" s="224"/>
      <c r="T444" s="224"/>
      <c r="U444" s="224"/>
      <c r="V444" s="224"/>
      <c r="W444" s="224"/>
      <c r="X444" s="224"/>
      <c r="Y444" s="224"/>
      <c r="Z444" s="224"/>
    </row>
    <row r="445" spans="1:26" ht="12.75" customHeight="1">
      <c r="A445" s="224"/>
      <c r="B445" s="226"/>
      <c r="C445" s="224"/>
      <c r="D445" s="224"/>
      <c r="E445" s="224"/>
      <c r="F445" s="224"/>
      <c r="G445" s="224"/>
      <c r="H445" s="224"/>
      <c r="I445" s="224"/>
      <c r="J445" s="224"/>
      <c r="K445" s="224"/>
      <c r="L445" s="224"/>
      <c r="M445" s="224"/>
      <c r="N445" s="224"/>
      <c r="O445" s="224"/>
      <c r="P445" s="224"/>
      <c r="Q445" s="224"/>
      <c r="R445" s="224"/>
      <c r="S445" s="224"/>
      <c r="T445" s="224"/>
      <c r="U445" s="224"/>
      <c r="V445" s="224"/>
      <c r="W445" s="224"/>
      <c r="X445" s="224"/>
      <c r="Y445" s="224"/>
      <c r="Z445" s="224"/>
    </row>
    <row r="446" spans="1:26" ht="12.75" customHeight="1">
      <c r="A446" s="224"/>
      <c r="B446" s="226"/>
      <c r="C446" s="224"/>
      <c r="D446" s="224"/>
      <c r="E446" s="224"/>
      <c r="F446" s="224"/>
      <c r="G446" s="224"/>
      <c r="H446" s="224"/>
      <c r="I446" s="224"/>
      <c r="J446" s="224"/>
      <c r="K446" s="224"/>
      <c r="L446" s="224"/>
      <c r="M446" s="224"/>
      <c r="N446" s="224"/>
      <c r="O446" s="224"/>
      <c r="P446" s="224"/>
      <c r="Q446" s="224"/>
      <c r="R446" s="224"/>
      <c r="S446" s="224"/>
      <c r="T446" s="224"/>
      <c r="U446" s="224"/>
      <c r="V446" s="224"/>
      <c r="W446" s="224"/>
      <c r="X446" s="224"/>
      <c r="Y446" s="224"/>
      <c r="Z446" s="224"/>
    </row>
    <row r="447" spans="1:26" ht="12.75" customHeight="1">
      <c r="A447" s="224"/>
      <c r="B447" s="226"/>
      <c r="C447" s="224"/>
      <c r="D447" s="224"/>
      <c r="E447" s="224"/>
      <c r="F447" s="224"/>
      <c r="G447" s="224"/>
      <c r="H447" s="224"/>
      <c r="I447" s="224"/>
      <c r="J447" s="224"/>
      <c r="K447" s="224"/>
      <c r="L447" s="224"/>
      <c r="M447" s="224"/>
      <c r="N447" s="224"/>
      <c r="O447" s="224"/>
      <c r="P447" s="224"/>
      <c r="Q447" s="224"/>
      <c r="R447" s="224"/>
      <c r="S447" s="224"/>
      <c r="T447" s="224"/>
      <c r="U447" s="224"/>
      <c r="V447" s="224"/>
      <c r="W447" s="224"/>
      <c r="X447" s="224"/>
      <c r="Y447" s="224"/>
      <c r="Z447" s="224"/>
    </row>
    <row r="448" spans="1:26" ht="12.75" customHeight="1">
      <c r="A448" s="224"/>
      <c r="B448" s="226"/>
      <c r="C448" s="224"/>
      <c r="D448" s="224"/>
      <c r="E448" s="224"/>
      <c r="F448" s="224"/>
      <c r="G448" s="224"/>
      <c r="H448" s="224"/>
      <c r="I448" s="224"/>
      <c r="J448" s="224"/>
      <c r="K448" s="224"/>
      <c r="L448" s="224"/>
      <c r="M448" s="224"/>
      <c r="N448" s="224"/>
      <c r="O448" s="224"/>
      <c r="P448" s="224"/>
      <c r="Q448" s="224"/>
      <c r="R448" s="224"/>
      <c r="S448" s="224"/>
      <c r="T448" s="224"/>
      <c r="U448" s="224"/>
      <c r="V448" s="224"/>
      <c r="W448" s="224"/>
      <c r="X448" s="224"/>
      <c r="Y448" s="224"/>
      <c r="Z448" s="224"/>
    </row>
    <row r="449" spans="1:26" ht="12.75" customHeight="1">
      <c r="A449" s="224"/>
      <c r="B449" s="226"/>
      <c r="C449" s="224"/>
      <c r="D449" s="224"/>
      <c r="E449" s="224"/>
      <c r="F449" s="224"/>
      <c r="G449" s="224"/>
      <c r="H449" s="224"/>
      <c r="I449" s="224"/>
      <c r="J449" s="224"/>
      <c r="K449" s="224"/>
      <c r="L449" s="224"/>
      <c r="M449" s="224"/>
      <c r="N449" s="224"/>
      <c r="O449" s="224"/>
      <c r="P449" s="224"/>
      <c r="Q449" s="224"/>
      <c r="R449" s="224"/>
      <c r="S449" s="224"/>
      <c r="T449" s="224"/>
      <c r="U449" s="224"/>
      <c r="V449" s="224"/>
      <c r="W449" s="224"/>
      <c r="X449" s="224"/>
      <c r="Y449" s="224"/>
      <c r="Z449" s="224"/>
    </row>
    <row r="450" spans="1:26" ht="12.75" customHeight="1">
      <c r="A450" s="224"/>
      <c r="B450" s="226"/>
      <c r="C450" s="224"/>
      <c r="D450" s="224"/>
      <c r="E450" s="224"/>
      <c r="F450" s="224"/>
      <c r="G450" s="224"/>
      <c r="H450" s="224"/>
      <c r="I450" s="224"/>
      <c r="J450" s="224"/>
      <c r="K450" s="224"/>
      <c r="L450" s="224"/>
      <c r="M450" s="224"/>
      <c r="N450" s="224"/>
      <c r="O450" s="224"/>
      <c r="P450" s="224"/>
      <c r="Q450" s="224"/>
      <c r="R450" s="224"/>
      <c r="S450" s="224"/>
      <c r="T450" s="224"/>
      <c r="U450" s="224"/>
      <c r="V450" s="224"/>
      <c r="W450" s="224"/>
      <c r="X450" s="224"/>
      <c r="Y450" s="224"/>
      <c r="Z450" s="224"/>
    </row>
    <row r="451" spans="1:26" ht="12.75" customHeight="1">
      <c r="A451" s="224"/>
      <c r="B451" s="226"/>
      <c r="C451" s="224"/>
      <c r="D451" s="224"/>
      <c r="E451" s="224"/>
      <c r="F451" s="224"/>
      <c r="G451" s="224"/>
      <c r="H451" s="224"/>
      <c r="I451" s="224"/>
      <c r="J451" s="224"/>
      <c r="K451" s="224"/>
      <c r="L451" s="224"/>
      <c r="M451" s="224"/>
      <c r="N451" s="224"/>
      <c r="O451" s="224"/>
      <c r="P451" s="224"/>
      <c r="Q451" s="224"/>
      <c r="R451" s="224"/>
      <c r="S451" s="224"/>
      <c r="T451" s="224"/>
      <c r="U451" s="224"/>
      <c r="V451" s="224"/>
      <c r="W451" s="224"/>
      <c r="X451" s="224"/>
      <c r="Y451" s="224"/>
      <c r="Z451" s="224"/>
    </row>
    <row r="452" spans="1:26" ht="12.75" customHeight="1">
      <c r="A452" s="224"/>
      <c r="B452" s="226"/>
      <c r="C452" s="224"/>
      <c r="D452" s="224"/>
      <c r="E452" s="224"/>
      <c r="F452" s="224"/>
      <c r="G452" s="224"/>
      <c r="H452" s="224"/>
      <c r="I452" s="224"/>
      <c r="J452" s="224"/>
      <c r="K452" s="224"/>
      <c r="L452" s="224"/>
      <c r="M452" s="224"/>
      <c r="N452" s="224"/>
      <c r="O452" s="224"/>
      <c r="P452" s="224"/>
      <c r="Q452" s="224"/>
      <c r="R452" s="224"/>
      <c r="S452" s="224"/>
      <c r="T452" s="224"/>
      <c r="U452" s="224"/>
      <c r="V452" s="224"/>
      <c r="W452" s="224"/>
      <c r="X452" s="224"/>
      <c r="Y452" s="224"/>
      <c r="Z452" s="224"/>
    </row>
    <row r="453" spans="1:26" ht="12.75" customHeight="1">
      <c r="A453" s="224"/>
      <c r="B453" s="226"/>
      <c r="C453" s="224"/>
      <c r="D453" s="224"/>
      <c r="E453" s="224"/>
      <c r="F453" s="224"/>
      <c r="G453" s="224"/>
      <c r="H453" s="224"/>
      <c r="I453" s="224"/>
      <c r="J453" s="224"/>
      <c r="K453" s="224"/>
      <c r="L453" s="224"/>
      <c r="M453" s="224"/>
      <c r="N453" s="224"/>
      <c r="O453" s="224"/>
      <c r="P453" s="224"/>
      <c r="Q453" s="224"/>
      <c r="R453" s="224"/>
      <c r="S453" s="224"/>
      <c r="T453" s="224"/>
      <c r="U453" s="224"/>
      <c r="V453" s="224"/>
      <c r="W453" s="224"/>
      <c r="X453" s="224"/>
      <c r="Y453" s="224"/>
      <c r="Z453" s="224"/>
    </row>
    <row r="454" spans="1:26" ht="12.75" customHeight="1">
      <c r="A454" s="224"/>
      <c r="B454" s="226"/>
      <c r="C454" s="224"/>
      <c r="D454" s="224"/>
      <c r="E454" s="224"/>
      <c r="F454" s="224"/>
      <c r="G454" s="224"/>
      <c r="H454" s="224"/>
      <c r="I454" s="224"/>
      <c r="J454" s="224"/>
      <c r="K454" s="224"/>
      <c r="L454" s="224"/>
      <c r="M454" s="224"/>
      <c r="N454" s="224"/>
      <c r="O454" s="224"/>
      <c r="P454" s="224"/>
      <c r="Q454" s="224"/>
      <c r="R454" s="224"/>
      <c r="S454" s="224"/>
      <c r="T454" s="224"/>
      <c r="U454" s="224"/>
      <c r="V454" s="224"/>
      <c r="W454" s="224"/>
      <c r="X454" s="224"/>
      <c r="Y454" s="224"/>
      <c r="Z454" s="224"/>
    </row>
    <row r="455" spans="1:26" ht="12.75" customHeight="1">
      <c r="A455" s="224"/>
      <c r="B455" s="226"/>
      <c r="C455" s="224"/>
      <c r="D455" s="224"/>
      <c r="E455" s="224"/>
      <c r="F455" s="224"/>
      <c r="G455" s="224"/>
      <c r="H455" s="224"/>
      <c r="I455" s="224"/>
      <c r="J455" s="224"/>
      <c r="K455" s="224"/>
      <c r="L455" s="224"/>
      <c r="M455" s="224"/>
      <c r="N455" s="224"/>
      <c r="O455" s="224"/>
      <c r="P455" s="224"/>
      <c r="Q455" s="224"/>
      <c r="R455" s="224"/>
      <c r="S455" s="224"/>
      <c r="T455" s="224"/>
      <c r="U455" s="224"/>
      <c r="V455" s="224"/>
      <c r="W455" s="224"/>
      <c r="X455" s="224"/>
      <c r="Y455" s="224"/>
      <c r="Z455" s="224"/>
    </row>
    <row r="456" spans="1:26" ht="12.75" customHeight="1">
      <c r="A456" s="224"/>
      <c r="B456" s="226"/>
      <c r="C456" s="224"/>
      <c r="D456" s="224"/>
      <c r="E456" s="224"/>
      <c r="F456" s="224"/>
      <c r="G456" s="224"/>
      <c r="H456" s="224"/>
      <c r="I456" s="224"/>
      <c r="J456" s="224"/>
      <c r="K456" s="224"/>
      <c r="L456" s="224"/>
      <c r="M456" s="224"/>
      <c r="N456" s="224"/>
      <c r="O456" s="224"/>
      <c r="P456" s="224"/>
      <c r="Q456" s="224"/>
      <c r="R456" s="224"/>
      <c r="S456" s="224"/>
      <c r="T456" s="224"/>
      <c r="U456" s="224"/>
      <c r="V456" s="224"/>
      <c r="W456" s="224"/>
      <c r="X456" s="224"/>
      <c r="Y456" s="224"/>
      <c r="Z456" s="224"/>
    </row>
    <row r="457" spans="1:26" ht="12.75" customHeight="1">
      <c r="A457" s="224"/>
      <c r="B457" s="226"/>
      <c r="C457" s="224"/>
      <c r="D457" s="224"/>
      <c r="E457" s="224"/>
      <c r="F457" s="224"/>
      <c r="G457" s="224"/>
      <c r="H457" s="224"/>
      <c r="I457" s="224"/>
      <c r="J457" s="224"/>
      <c r="K457" s="224"/>
      <c r="L457" s="224"/>
      <c r="M457" s="224"/>
      <c r="N457" s="224"/>
      <c r="O457" s="224"/>
      <c r="P457" s="224"/>
      <c r="Q457" s="224"/>
      <c r="R457" s="224"/>
      <c r="S457" s="224"/>
      <c r="T457" s="224"/>
      <c r="U457" s="224"/>
      <c r="V457" s="224"/>
      <c r="W457" s="224"/>
      <c r="X457" s="224"/>
      <c r="Y457" s="224"/>
      <c r="Z457" s="224"/>
    </row>
    <row r="458" spans="1:26" ht="12.75" customHeight="1">
      <c r="A458" s="224"/>
      <c r="B458" s="226"/>
      <c r="C458" s="224"/>
      <c r="D458" s="224"/>
      <c r="E458" s="224"/>
      <c r="F458" s="224"/>
      <c r="G458" s="224"/>
      <c r="H458" s="224"/>
      <c r="I458" s="224"/>
      <c r="J458" s="224"/>
      <c r="K458" s="224"/>
      <c r="L458" s="224"/>
      <c r="M458" s="224"/>
      <c r="N458" s="224"/>
      <c r="O458" s="224"/>
      <c r="P458" s="224"/>
      <c r="Q458" s="224"/>
      <c r="R458" s="224"/>
      <c r="S458" s="224"/>
      <c r="T458" s="224"/>
      <c r="U458" s="224"/>
      <c r="V458" s="224"/>
      <c r="W458" s="224"/>
      <c r="X458" s="224"/>
      <c r="Y458" s="224"/>
      <c r="Z458" s="224"/>
    </row>
    <row r="459" spans="1:26" ht="12.75" customHeight="1">
      <c r="A459" s="224"/>
      <c r="B459" s="226"/>
      <c r="C459" s="224"/>
      <c r="D459" s="224"/>
      <c r="E459" s="224"/>
      <c r="F459" s="224"/>
      <c r="G459" s="224"/>
      <c r="H459" s="224"/>
      <c r="I459" s="224"/>
      <c r="J459" s="224"/>
      <c r="K459" s="224"/>
      <c r="L459" s="224"/>
      <c r="M459" s="224"/>
      <c r="N459" s="224"/>
      <c r="O459" s="224"/>
      <c r="P459" s="224"/>
      <c r="Q459" s="224"/>
      <c r="R459" s="224"/>
      <c r="S459" s="224"/>
      <c r="T459" s="224"/>
      <c r="U459" s="224"/>
      <c r="V459" s="224"/>
      <c r="W459" s="224"/>
      <c r="X459" s="224"/>
      <c r="Y459" s="224"/>
      <c r="Z459" s="224"/>
    </row>
    <row r="460" spans="1:26" ht="12.75" customHeight="1">
      <c r="A460" s="224"/>
      <c r="B460" s="226"/>
      <c r="C460" s="224"/>
      <c r="D460" s="224"/>
      <c r="E460" s="224"/>
      <c r="F460" s="224"/>
      <c r="G460" s="224"/>
      <c r="H460" s="224"/>
      <c r="I460" s="224"/>
      <c r="J460" s="224"/>
      <c r="K460" s="224"/>
      <c r="L460" s="224"/>
      <c r="M460" s="224"/>
      <c r="N460" s="224"/>
      <c r="O460" s="224"/>
      <c r="P460" s="224"/>
      <c r="Q460" s="224"/>
      <c r="R460" s="224"/>
      <c r="S460" s="224"/>
      <c r="T460" s="224"/>
      <c r="U460" s="224"/>
      <c r="V460" s="224"/>
      <c r="W460" s="224"/>
      <c r="X460" s="224"/>
      <c r="Y460" s="224"/>
      <c r="Z460" s="224"/>
    </row>
    <row r="461" spans="1:26" ht="12.75" customHeight="1">
      <c r="A461" s="224"/>
      <c r="B461" s="226"/>
      <c r="C461" s="224"/>
      <c r="D461" s="224"/>
      <c r="E461" s="224"/>
      <c r="F461" s="224"/>
      <c r="G461" s="224"/>
      <c r="H461" s="224"/>
      <c r="I461" s="224"/>
      <c r="J461" s="224"/>
      <c r="K461" s="224"/>
      <c r="L461" s="224"/>
      <c r="M461" s="224"/>
      <c r="N461" s="224"/>
      <c r="O461" s="224"/>
      <c r="P461" s="224"/>
      <c r="Q461" s="224"/>
      <c r="R461" s="224"/>
      <c r="S461" s="224"/>
      <c r="T461" s="224"/>
      <c r="U461" s="224"/>
      <c r="V461" s="224"/>
      <c r="W461" s="224"/>
      <c r="X461" s="224"/>
      <c r="Y461" s="224"/>
      <c r="Z461" s="224"/>
    </row>
    <row r="462" spans="1:26" ht="12.75" customHeight="1">
      <c r="A462" s="224"/>
      <c r="B462" s="226"/>
      <c r="C462" s="224"/>
      <c r="D462" s="224"/>
      <c r="E462" s="224"/>
      <c r="F462" s="224"/>
      <c r="G462" s="224"/>
      <c r="H462" s="224"/>
      <c r="I462" s="224"/>
      <c r="J462" s="224"/>
      <c r="K462" s="224"/>
      <c r="L462" s="224"/>
      <c r="M462" s="224"/>
      <c r="N462" s="224"/>
      <c r="O462" s="224"/>
      <c r="P462" s="224"/>
      <c r="Q462" s="224"/>
      <c r="R462" s="224"/>
      <c r="S462" s="224"/>
      <c r="T462" s="224"/>
      <c r="U462" s="224"/>
      <c r="V462" s="224"/>
      <c r="W462" s="224"/>
      <c r="X462" s="224"/>
      <c r="Y462" s="224"/>
      <c r="Z462" s="224"/>
    </row>
    <row r="463" spans="1:26" ht="12.75" customHeight="1">
      <c r="A463" s="224"/>
      <c r="B463" s="226"/>
      <c r="C463" s="224"/>
      <c r="D463" s="224"/>
      <c r="E463" s="224"/>
      <c r="F463" s="224"/>
      <c r="G463" s="224"/>
      <c r="H463" s="224"/>
      <c r="I463" s="224"/>
      <c r="J463" s="224"/>
      <c r="K463" s="224"/>
      <c r="L463" s="224"/>
      <c r="M463" s="224"/>
      <c r="N463" s="224"/>
      <c r="O463" s="224"/>
      <c r="P463" s="224"/>
      <c r="Q463" s="224"/>
      <c r="R463" s="224"/>
      <c r="S463" s="224"/>
      <c r="T463" s="224"/>
      <c r="U463" s="224"/>
      <c r="V463" s="224"/>
      <c r="W463" s="224"/>
      <c r="X463" s="224"/>
      <c r="Y463" s="224"/>
      <c r="Z463" s="224"/>
    </row>
    <row r="464" spans="1:26" ht="12.75" customHeight="1">
      <c r="A464" s="224"/>
      <c r="B464" s="226"/>
      <c r="C464" s="224"/>
      <c r="D464" s="224"/>
      <c r="E464" s="224"/>
      <c r="F464" s="224"/>
      <c r="G464" s="224"/>
      <c r="H464" s="224"/>
      <c r="I464" s="224"/>
      <c r="J464" s="224"/>
      <c r="K464" s="224"/>
      <c r="L464" s="224"/>
      <c r="M464" s="224"/>
      <c r="N464" s="224"/>
      <c r="O464" s="224"/>
      <c r="P464" s="224"/>
      <c r="Q464" s="224"/>
      <c r="R464" s="224"/>
      <c r="S464" s="224"/>
      <c r="T464" s="224"/>
      <c r="U464" s="224"/>
      <c r="V464" s="224"/>
      <c r="W464" s="224"/>
      <c r="X464" s="224"/>
      <c r="Y464" s="224"/>
      <c r="Z464" s="224"/>
    </row>
    <row r="465" spans="1:26" ht="12.75" customHeight="1">
      <c r="A465" s="224"/>
      <c r="B465" s="226"/>
      <c r="C465" s="224"/>
      <c r="D465" s="224"/>
      <c r="E465" s="224"/>
      <c r="F465" s="224"/>
      <c r="G465" s="224"/>
      <c r="H465" s="224"/>
      <c r="I465" s="224"/>
      <c r="J465" s="224"/>
      <c r="K465" s="224"/>
      <c r="L465" s="224"/>
      <c r="M465" s="224"/>
      <c r="N465" s="224"/>
      <c r="O465" s="224"/>
      <c r="P465" s="224"/>
      <c r="Q465" s="224"/>
      <c r="R465" s="224"/>
      <c r="S465" s="224"/>
      <c r="T465" s="224"/>
      <c r="U465" s="224"/>
      <c r="V465" s="224"/>
      <c r="W465" s="224"/>
      <c r="X465" s="224"/>
      <c r="Y465" s="224"/>
      <c r="Z465" s="224"/>
    </row>
    <row r="466" spans="1:26" ht="12.75" customHeight="1">
      <c r="A466" s="224"/>
      <c r="B466" s="226"/>
      <c r="C466" s="224"/>
      <c r="D466" s="224"/>
      <c r="E466" s="224"/>
      <c r="F466" s="224"/>
      <c r="G466" s="224"/>
      <c r="H466" s="224"/>
      <c r="I466" s="224"/>
      <c r="J466" s="224"/>
      <c r="K466" s="224"/>
      <c r="L466" s="224"/>
      <c r="M466" s="224"/>
      <c r="N466" s="224"/>
      <c r="O466" s="224"/>
      <c r="P466" s="224"/>
      <c r="Q466" s="224"/>
      <c r="R466" s="224"/>
      <c r="S466" s="224"/>
      <c r="T466" s="224"/>
      <c r="U466" s="224"/>
      <c r="V466" s="224"/>
      <c r="W466" s="224"/>
      <c r="X466" s="224"/>
      <c r="Y466" s="224"/>
      <c r="Z466" s="224"/>
    </row>
    <row r="467" spans="1:26" ht="12.75" customHeight="1">
      <c r="A467" s="224"/>
      <c r="B467" s="226"/>
      <c r="C467" s="224"/>
      <c r="D467" s="224"/>
      <c r="E467" s="224"/>
      <c r="F467" s="224"/>
      <c r="G467" s="224"/>
      <c r="H467" s="224"/>
      <c r="I467" s="224"/>
      <c r="J467" s="224"/>
      <c r="K467" s="224"/>
      <c r="L467" s="224"/>
      <c r="M467" s="224"/>
      <c r="N467" s="224"/>
      <c r="O467" s="224"/>
      <c r="P467" s="224"/>
      <c r="Q467" s="224"/>
      <c r="R467" s="224"/>
      <c r="S467" s="224"/>
      <c r="T467" s="224"/>
      <c r="U467" s="224"/>
      <c r="V467" s="224"/>
      <c r="W467" s="224"/>
      <c r="X467" s="224"/>
      <c r="Y467" s="224"/>
      <c r="Z467" s="224"/>
    </row>
    <row r="468" spans="1:26" ht="12.75" customHeight="1">
      <c r="A468" s="224"/>
      <c r="B468" s="226"/>
      <c r="C468" s="224"/>
      <c r="D468" s="224"/>
      <c r="E468" s="224"/>
      <c r="F468" s="224"/>
      <c r="G468" s="224"/>
      <c r="H468" s="224"/>
      <c r="I468" s="224"/>
      <c r="J468" s="224"/>
      <c r="K468" s="224"/>
      <c r="L468" s="224"/>
      <c r="M468" s="224"/>
      <c r="N468" s="224"/>
      <c r="O468" s="224"/>
      <c r="P468" s="224"/>
      <c r="Q468" s="224"/>
      <c r="R468" s="224"/>
      <c r="S468" s="224"/>
      <c r="T468" s="224"/>
      <c r="U468" s="224"/>
      <c r="V468" s="224"/>
      <c r="W468" s="224"/>
      <c r="X468" s="224"/>
      <c r="Y468" s="224"/>
      <c r="Z468" s="224"/>
    </row>
    <row r="469" spans="1:26" ht="12.75" customHeight="1">
      <c r="A469" s="224"/>
      <c r="B469" s="226"/>
      <c r="C469" s="224"/>
      <c r="D469" s="224"/>
      <c r="E469" s="224"/>
      <c r="F469" s="224"/>
      <c r="G469" s="224"/>
      <c r="H469" s="224"/>
      <c r="I469" s="224"/>
      <c r="J469" s="224"/>
      <c r="K469" s="224"/>
      <c r="L469" s="224"/>
      <c r="M469" s="224"/>
      <c r="N469" s="224"/>
      <c r="O469" s="224"/>
      <c r="P469" s="224"/>
      <c r="Q469" s="224"/>
      <c r="R469" s="224"/>
      <c r="S469" s="224"/>
      <c r="T469" s="224"/>
      <c r="U469" s="224"/>
      <c r="V469" s="224"/>
      <c r="W469" s="224"/>
      <c r="X469" s="224"/>
      <c r="Y469" s="224"/>
      <c r="Z469" s="224"/>
    </row>
    <row r="470" spans="1:26" ht="12.75" customHeight="1">
      <c r="A470" s="224"/>
      <c r="B470" s="226"/>
      <c r="C470" s="224"/>
      <c r="D470" s="224"/>
      <c r="E470" s="224"/>
      <c r="F470" s="224"/>
      <c r="G470" s="224"/>
      <c r="H470" s="224"/>
      <c r="I470" s="224"/>
      <c r="J470" s="224"/>
      <c r="K470" s="224"/>
      <c r="L470" s="224"/>
      <c r="M470" s="224"/>
      <c r="N470" s="224"/>
      <c r="O470" s="224"/>
      <c r="P470" s="224"/>
      <c r="Q470" s="224"/>
      <c r="R470" s="224"/>
      <c r="S470" s="224"/>
      <c r="T470" s="224"/>
      <c r="U470" s="224"/>
      <c r="V470" s="224"/>
      <c r="W470" s="224"/>
      <c r="X470" s="224"/>
      <c r="Y470" s="224"/>
      <c r="Z470" s="224"/>
    </row>
    <row r="471" spans="1:26" ht="12.75" customHeight="1">
      <c r="A471" s="224"/>
      <c r="B471" s="226"/>
      <c r="C471" s="224"/>
      <c r="D471" s="224"/>
      <c r="E471" s="224"/>
      <c r="F471" s="224"/>
      <c r="G471" s="224"/>
      <c r="H471" s="224"/>
      <c r="I471" s="224"/>
      <c r="J471" s="224"/>
      <c r="K471" s="224"/>
      <c r="L471" s="224"/>
      <c r="M471" s="224"/>
      <c r="N471" s="224"/>
      <c r="O471" s="224"/>
      <c r="P471" s="224"/>
      <c r="Q471" s="224"/>
      <c r="R471" s="224"/>
      <c r="S471" s="224"/>
      <c r="T471" s="224"/>
      <c r="U471" s="224"/>
      <c r="V471" s="224"/>
      <c r="W471" s="224"/>
      <c r="X471" s="224"/>
      <c r="Y471" s="224"/>
      <c r="Z471" s="224"/>
    </row>
    <row r="472" spans="1:26" ht="12.75" customHeight="1">
      <c r="A472" s="224"/>
      <c r="B472" s="226"/>
      <c r="C472" s="224"/>
      <c r="D472" s="224"/>
      <c r="E472" s="224"/>
      <c r="F472" s="224"/>
      <c r="G472" s="224"/>
      <c r="H472" s="224"/>
      <c r="I472" s="224"/>
      <c r="J472" s="224"/>
      <c r="K472" s="224"/>
      <c r="L472" s="224"/>
      <c r="M472" s="224"/>
      <c r="N472" s="224"/>
      <c r="O472" s="224"/>
      <c r="P472" s="224"/>
      <c r="Q472" s="224"/>
      <c r="R472" s="224"/>
      <c r="S472" s="224"/>
      <c r="T472" s="224"/>
      <c r="U472" s="224"/>
      <c r="V472" s="224"/>
      <c r="W472" s="224"/>
      <c r="X472" s="224"/>
      <c r="Y472" s="224"/>
      <c r="Z472" s="224"/>
    </row>
    <row r="473" spans="1:26" ht="12.75" customHeight="1">
      <c r="A473" s="224"/>
      <c r="B473" s="226"/>
      <c r="C473" s="224"/>
      <c r="D473" s="224"/>
      <c r="E473" s="224"/>
      <c r="F473" s="224"/>
      <c r="G473" s="224"/>
      <c r="H473" s="224"/>
      <c r="I473" s="224"/>
      <c r="J473" s="224"/>
      <c r="K473" s="224"/>
      <c r="L473" s="224"/>
      <c r="M473" s="224"/>
      <c r="N473" s="224"/>
      <c r="O473" s="224"/>
      <c r="P473" s="224"/>
      <c r="Q473" s="224"/>
      <c r="R473" s="224"/>
      <c r="S473" s="224"/>
      <c r="T473" s="224"/>
      <c r="U473" s="224"/>
      <c r="V473" s="224"/>
      <c r="W473" s="224"/>
      <c r="X473" s="224"/>
      <c r="Y473" s="224"/>
      <c r="Z473" s="224"/>
    </row>
    <row r="474" spans="1:26" ht="12.75" customHeight="1">
      <c r="A474" s="224"/>
      <c r="B474" s="226"/>
      <c r="C474" s="224"/>
      <c r="D474" s="224"/>
      <c r="E474" s="224"/>
      <c r="F474" s="224"/>
      <c r="G474" s="224"/>
      <c r="H474" s="224"/>
      <c r="I474" s="224"/>
      <c r="J474" s="224"/>
      <c r="K474" s="224"/>
      <c r="L474" s="224"/>
      <c r="M474" s="224"/>
      <c r="N474" s="224"/>
      <c r="O474" s="224"/>
      <c r="P474" s="224"/>
      <c r="Q474" s="224"/>
      <c r="R474" s="224"/>
      <c r="S474" s="224"/>
      <c r="T474" s="224"/>
      <c r="U474" s="224"/>
      <c r="V474" s="224"/>
      <c r="W474" s="224"/>
      <c r="X474" s="224"/>
      <c r="Y474" s="224"/>
      <c r="Z474" s="224"/>
    </row>
    <row r="475" spans="1:26" ht="12.75" customHeight="1">
      <c r="A475" s="224"/>
      <c r="B475" s="226"/>
      <c r="C475" s="224"/>
      <c r="D475" s="224"/>
      <c r="E475" s="224"/>
      <c r="F475" s="224"/>
      <c r="G475" s="224"/>
      <c r="H475" s="224"/>
      <c r="I475" s="224"/>
      <c r="J475" s="224"/>
      <c r="K475" s="224"/>
      <c r="L475" s="224"/>
      <c r="M475" s="224"/>
      <c r="N475" s="224"/>
      <c r="O475" s="224"/>
      <c r="P475" s="224"/>
      <c r="Q475" s="224"/>
      <c r="R475" s="224"/>
      <c r="S475" s="224"/>
      <c r="T475" s="224"/>
      <c r="U475" s="224"/>
      <c r="V475" s="224"/>
      <c r="W475" s="224"/>
      <c r="X475" s="224"/>
      <c r="Y475" s="224"/>
      <c r="Z475" s="224"/>
    </row>
    <row r="476" spans="1:26" ht="12.75" customHeight="1">
      <c r="A476" s="224"/>
      <c r="B476" s="226"/>
      <c r="C476" s="224"/>
      <c r="D476" s="224"/>
      <c r="E476" s="224"/>
      <c r="F476" s="224"/>
      <c r="G476" s="224"/>
      <c r="H476" s="224"/>
      <c r="I476" s="224"/>
      <c r="J476" s="224"/>
      <c r="K476" s="224"/>
      <c r="L476" s="224"/>
      <c r="M476" s="224"/>
      <c r="N476" s="224"/>
      <c r="O476" s="224"/>
      <c r="P476" s="224"/>
      <c r="Q476" s="224"/>
      <c r="R476" s="224"/>
      <c r="S476" s="224"/>
      <c r="T476" s="224"/>
      <c r="U476" s="224"/>
      <c r="V476" s="224"/>
      <c r="W476" s="224"/>
      <c r="X476" s="224"/>
      <c r="Y476" s="224"/>
      <c r="Z476" s="224"/>
    </row>
    <row r="477" spans="1:26" ht="12.75" customHeight="1">
      <c r="A477" s="224"/>
      <c r="B477" s="226"/>
      <c r="C477" s="224"/>
      <c r="D477" s="224"/>
      <c r="E477" s="224"/>
      <c r="F477" s="224"/>
      <c r="G477" s="224"/>
      <c r="H477" s="224"/>
      <c r="I477" s="224"/>
      <c r="J477" s="224"/>
      <c r="K477" s="224"/>
      <c r="L477" s="224"/>
      <c r="M477" s="224"/>
      <c r="N477" s="224"/>
      <c r="O477" s="224"/>
      <c r="P477" s="224"/>
      <c r="Q477" s="224"/>
      <c r="R477" s="224"/>
      <c r="S477" s="224"/>
      <c r="T477" s="224"/>
      <c r="U477" s="224"/>
      <c r="V477" s="224"/>
      <c r="W477" s="224"/>
      <c r="X477" s="224"/>
      <c r="Y477" s="224"/>
      <c r="Z477" s="224"/>
    </row>
    <row r="478" spans="1:26" ht="12.75" customHeight="1">
      <c r="A478" s="224"/>
      <c r="B478" s="226"/>
      <c r="C478" s="224"/>
      <c r="D478" s="224"/>
      <c r="E478" s="224"/>
      <c r="F478" s="224"/>
      <c r="G478" s="224"/>
      <c r="H478" s="224"/>
      <c r="I478" s="224"/>
      <c r="J478" s="224"/>
      <c r="K478" s="224"/>
      <c r="L478" s="224"/>
      <c r="M478" s="224"/>
      <c r="N478" s="224"/>
      <c r="O478" s="224"/>
      <c r="P478" s="224"/>
      <c r="Q478" s="224"/>
      <c r="R478" s="224"/>
      <c r="S478" s="224"/>
      <c r="T478" s="224"/>
      <c r="U478" s="224"/>
      <c r="V478" s="224"/>
      <c r="W478" s="224"/>
      <c r="X478" s="224"/>
      <c r="Y478" s="224"/>
      <c r="Z478" s="224"/>
    </row>
    <row r="479" spans="1:26" ht="12.75" customHeight="1">
      <c r="A479" s="224"/>
      <c r="B479" s="226"/>
      <c r="C479" s="224"/>
      <c r="D479" s="224"/>
      <c r="E479" s="224"/>
      <c r="F479" s="224"/>
      <c r="G479" s="224"/>
      <c r="H479" s="224"/>
      <c r="I479" s="224"/>
      <c r="J479" s="224"/>
      <c r="K479" s="224"/>
      <c r="L479" s="224"/>
      <c r="M479" s="224"/>
      <c r="N479" s="224"/>
      <c r="O479" s="224"/>
      <c r="P479" s="224"/>
      <c r="Q479" s="224"/>
      <c r="R479" s="224"/>
      <c r="S479" s="224"/>
      <c r="T479" s="224"/>
      <c r="U479" s="224"/>
      <c r="V479" s="224"/>
      <c r="W479" s="224"/>
      <c r="X479" s="224"/>
      <c r="Y479" s="224"/>
      <c r="Z479" s="224"/>
    </row>
    <row r="480" spans="1:26" ht="12.75" customHeight="1">
      <c r="A480" s="224"/>
      <c r="B480" s="226"/>
      <c r="C480" s="224"/>
      <c r="D480" s="224"/>
      <c r="E480" s="224"/>
      <c r="F480" s="224"/>
      <c r="G480" s="224"/>
      <c r="H480" s="224"/>
      <c r="I480" s="224"/>
      <c r="J480" s="224"/>
      <c r="K480" s="224"/>
      <c r="L480" s="224"/>
      <c r="M480" s="224"/>
      <c r="N480" s="224"/>
      <c r="O480" s="224"/>
      <c r="P480" s="224"/>
      <c r="Q480" s="224"/>
      <c r="R480" s="224"/>
      <c r="S480" s="224"/>
      <c r="T480" s="224"/>
      <c r="U480" s="224"/>
      <c r="V480" s="224"/>
      <c r="W480" s="224"/>
      <c r="X480" s="224"/>
      <c r="Y480" s="224"/>
      <c r="Z480" s="224"/>
    </row>
    <row r="481" spans="1:26" ht="12.75" customHeight="1">
      <c r="A481" s="224"/>
      <c r="B481" s="226"/>
      <c r="C481" s="224"/>
      <c r="D481" s="224"/>
      <c r="E481" s="224"/>
      <c r="F481" s="224"/>
      <c r="G481" s="224"/>
      <c r="H481" s="224"/>
      <c r="I481" s="224"/>
      <c r="J481" s="224"/>
      <c r="K481" s="224"/>
      <c r="L481" s="224"/>
      <c r="M481" s="224"/>
      <c r="N481" s="224"/>
      <c r="O481" s="224"/>
      <c r="P481" s="224"/>
      <c r="Q481" s="224"/>
      <c r="R481" s="224"/>
      <c r="S481" s="224"/>
      <c r="T481" s="224"/>
      <c r="U481" s="224"/>
      <c r="V481" s="224"/>
      <c r="W481" s="224"/>
      <c r="X481" s="224"/>
      <c r="Y481" s="224"/>
      <c r="Z481" s="224"/>
    </row>
    <row r="482" spans="1:26" ht="12.75" customHeight="1">
      <c r="A482" s="224"/>
      <c r="B482" s="226"/>
      <c r="C482" s="224"/>
      <c r="D482" s="224"/>
      <c r="E482" s="224"/>
      <c r="F482" s="224"/>
      <c r="G482" s="224"/>
      <c r="H482" s="224"/>
      <c r="I482" s="224"/>
      <c r="J482" s="224"/>
      <c r="K482" s="224"/>
      <c r="L482" s="224"/>
      <c r="M482" s="224"/>
      <c r="N482" s="224"/>
      <c r="O482" s="224"/>
      <c r="P482" s="224"/>
      <c r="Q482" s="224"/>
      <c r="R482" s="224"/>
      <c r="S482" s="224"/>
      <c r="T482" s="224"/>
      <c r="U482" s="224"/>
      <c r="V482" s="224"/>
      <c r="W482" s="224"/>
      <c r="X482" s="224"/>
      <c r="Y482" s="224"/>
      <c r="Z482" s="224"/>
    </row>
    <row r="483" spans="1:26" ht="12.75" customHeight="1">
      <c r="A483" s="224"/>
      <c r="B483" s="226"/>
      <c r="C483" s="224"/>
      <c r="D483" s="224"/>
      <c r="E483" s="224"/>
      <c r="F483" s="224"/>
      <c r="G483" s="224"/>
      <c r="H483" s="224"/>
      <c r="I483" s="224"/>
      <c r="J483" s="224"/>
      <c r="K483" s="224"/>
      <c r="L483" s="224"/>
      <c r="M483" s="224"/>
      <c r="N483" s="224"/>
      <c r="O483" s="224"/>
      <c r="P483" s="224"/>
      <c r="Q483" s="224"/>
      <c r="R483" s="224"/>
      <c r="S483" s="224"/>
      <c r="T483" s="224"/>
      <c r="U483" s="224"/>
      <c r="V483" s="224"/>
      <c r="W483" s="224"/>
      <c r="X483" s="224"/>
      <c r="Y483" s="224"/>
      <c r="Z483" s="224"/>
    </row>
    <row r="484" spans="1:26" ht="12.75" customHeight="1">
      <c r="A484" s="224"/>
      <c r="B484" s="226"/>
      <c r="C484" s="224"/>
      <c r="D484" s="224"/>
      <c r="E484" s="224"/>
      <c r="F484" s="224"/>
      <c r="G484" s="224"/>
      <c r="H484" s="224"/>
      <c r="I484" s="224"/>
      <c r="J484" s="224"/>
      <c r="K484" s="224"/>
      <c r="L484" s="224"/>
      <c r="M484" s="224"/>
      <c r="N484" s="224"/>
      <c r="O484" s="224"/>
      <c r="P484" s="224"/>
      <c r="Q484" s="224"/>
      <c r="R484" s="224"/>
      <c r="S484" s="224"/>
      <c r="T484" s="224"/>
      <c r="U484" s="224"/>
      <c r="V484" s="224"/>
      <c r="W484" s="224"/>
      <c r="X484" s="224"/>
      <c r="Y484" s="224"/>
      <c r="Z484" s="224"/>
    </row>
    <row r="485" spans="1:26" ht="12.75" customHeight="1">
      <c r="A485" s="224"/>
      <c r="B485" s="226"/>
      <c r="C485" s="224"/>
      <c r="D485" s="224"/>
      <c r="E485" s="224"/>
      <c r="F485" s="224"/>
      <c r="G485" s="224"/>
      <c r="H485" s="224"/>
      <c r="I485" s="224"/>
      <c r="J485" s="224"/>
      <c r="K485" s="224"/>
      <c r="L485" s="224"/>
      <c r="M485" s="224"/>
      <c r="N485" s="224"/>
      <c r="O485" s="224"/>
      <c r="P485" s="224"/>
      <c r="Q485" s="224"/>
      <c r="R485" s="224"/>
      <c r="S485" s="224"/>
      <c r="T485" s="224"/>
      <c r="U485" s="224"/>
      <c r="V485" s="224"/>
      <c r="W485" s="224"/>
      <c r="X485" s="224"/>
      <c r="Y485" s="224"/>
      <c r="Z485" s="224"/>
    </row>
    <row r="486" spans="1:26" ht="12.75" customHeight="1">
      <c r="A486" s="224"/>
      <c r="B486" s="226"/>
      <c r="C486" s="224"/>
      <c r="D486" s="224"/>
      <c r="E486" s="224"/>
      <c r="F486" s="224"/>
      <c r="G486" s="224"/>
      <c r="H486" s="224"/>
      <c r="I486" s="224"/>
      <c r="J486" s="224"/>
      <c r="K486" s="224"/>
      <c r="L486" s="224"/>
      <c r="M486" s="224"/>
      <c r="N486" s="224"/>
      <c r="O486" s="224"/>
      <c r="P486" s="224"/>
      <c r="Q486" s="224"/>
      <c r="R486" s="224"/>
      <c r="S486" s="224"/>
      <c r="T486" s="224"/>
      <c r="U486" s="224"/>
      <c r="V486" s="224"/>
      <c r="W486" s="224"/>
      <c r="X486" s="224"/>
      <c r="Y486" s="224"/>
      <c r="Z486" s="224"/>
    </row>
    <row r="487" spans="1:26" ht="12.75" customHeight="1">
      <c r="A487" s="224"/>
      <c r="B487" s="226"/>
      <c r="C487" s="224"/>
      <c r="D487" s="224"/>
      <c r="E487" s="224"/>
      <c r="F487" s="224"/>
      <c r="G487" s="224"/>
      <c r="H487" s="224"/>
      <c r="I487" s="224"/>
      <c r="J487" s="224"/>
      <c r="K487" s="224"/>
      <c r="L487" s="224"/>
      <c r="M487" s="224"/>
      <c r="N487" s="224"/>
      <c r="O487" s="224"/>
      <c r="P487" s="224"/>
      <c r="Q487" s="224"/>
      <c r="R487" s="224"/>
      <c r="S487" s="224"/>
      <c r="T487" s="224"/>
      <c r="U487" s="224"/>
      <c r="V487" s="224"/>
      <c r="W487" s="224"/>
      <c r="X487" s="224"/>
      <c r="Y487" s="224"/>
      <c r="Z487" s="224"/>
    </row>
    <row r="488" spans="1:26" ht="12.75" customHeight="1">
      <c r="A488" s="224"/>
      <c r="B488" s="226"/>
      <c r="C488" s="224"/>
      <c r="D488" s="224"/>
      <c r="E488" s="224"/>
      <c r="F488" s="224"/>
      <c r="G488" s="224"/>
      <c r="H488" s="224"/>
      <c r="I488" s="224"/>
      <c r="J488" s="224"/>
      <c r="K488" s="224"/>
      <c r="L488" s="224"/>
      <c r="M488" s="224"/>
      <c r="N488" s="224"/>
      <c r="O488" s="224"/>
      <c r="P488" s="224"/>
      <c r="Q488" s="224"/>
      <c r="R488" s="224"/>
      <c r="S488" s="224"/>
      <c r="T488" s="224"/>
      <c r="U488" s="224"/>
      <c r="V488" s="224"/>
      <c r="W488" s="224"/>
      <c r="X488" s="224"/>
      <c r="Y488" s="224"/>
      <c r="Z488" s="224"/>
    </row>
    <row r="489" spans="1:26" ht="12.75" customHeight="1">
      <c r="A489" s="224"/>
      <c r="B489" s="226"/>
      <c r="C489" s="224"/>
      <c r="D489" s="224"/>
      <c r="E489" s="224"/>
      <c r="F489" s="224"/>
      <c r="G489" s="224"/>
      <c r="H489" s="224"/>
      <c r="I489" s="224"/>
      <c r="J489" s="224"/>
      <c r="K489" s="224"/>
      <c r="L489" s="224"/>
      <c r="M489" s="224"/>
      <c r="N489" s="224"/>
      <c r="O489" s="224"/>
      <c r="P489" s="224"/>
      <c r="Q489" s="224"/>
      <c r="R489" s="224"/>
      <c r="S489" s="224"/>
      <c r="T489" s="224"/>
      <c r="U489" s="224"/>
      <c r="V489" s="224"/>
      <c r="W489" s="224"/>
      <c r="X489" s="224"/>
      <c r="Y489" s="224"/>
      <c r="Z489" s="224"/>
    </row>
    <row r="490" spans="1:26" ht="12.75" customHeight="1">
      <c r="A490" s="224"/>
      <c r="B490" s="226"/>
      <c r="C490" s="224"/>
      <c r="D490" s="224"/>
      <c r="E490" s="224"/>
      <c r="F490" s="224"/>
      <c r="G490" s="224"/>
      <c r="H490" s="224"/>
      <c r="I490" s="224"/>
      <c r="J490" s="224"/>
      <c r="K490" s="224"/>
      <c r="L490" s="224"/>
      <c r="M490" s="224"/>
      <c r="N490" s="224"/>
      <c r="O490" s="224"/>
      <c r="P490" s="224"/>
      <c r="Q490" s="224"/>
      <c r="R490" s="224"/>
      <c r="S490" s="224"/>
      <c r="T490" s="224"/>
      <c r="U490" s="224"/>
      <c r="V490" s="224"/>
      <c r="W490" s="224"/>
      <c r="X490" s="224"/>
      <c r="Y490" s="224"/>
      <c r="Z490" s="224"/>
    </row>
    <row r="491" spans="1:26" ht="12.75" customHeight="1">
      <c r="A491" s="224"/>
      <c r="B491" s="226"/>
      <c r="C491" s="224"/>
      <c r="D491" s="224"/>
      <c r="E491" s="224"/>
      <c r="F491" s="224"/>
      <c r="G491" s="224"/>
      <c r="H491" s="224"/>
      <c r="I491" s="224"/>
      <c r="J491" s="224"/>
      <c r="K491" s="224"/>
      <c r="L491" s="224"/>
      <c r="M491" s="224"/>
      <c r="N491" s="224"/>
      <c r="O491" s="224"/>
      <c r="P491" s="224"/>
      <c r="Q491" s="224"/>
      <c r="R491" s="224"/>
      <c r="S491" s="224"/>
      <c r="T491" s="224"/>
      <c r="U491" s="224"/>
      <c r="V491" s="224"/>
      <c r="W491" s="224"/>
      <c r="X491" s="224"/>
      <c r="Y491" s="224"/>
      <c r="Z491" s="224"/>
    </row>
    <row r="492" spans="1:26" ht="12.75" customHeight="1">
      <c r="A492" s="224"/>
      <c r="B492" s="226"/>
      <c r="C492" s="224"/>
      <c r="D492" s="224"/>
      <c r="E492" s="224"/>
      <c r="F492" s="224"/>
      <c r="G492" s="224"/>
      <c r="H492" s="224"/>
      <c r="I492" s="224"/>
      <c r="J492" s="224"/>
      <c r="K492" s="224"/>
      <c r="L492" s="224"/>
      <c r="M492" s="224"/>
      <c r="N492" s="224"/>
      <c r="O492" s="224"/>
      <c r="P492" s="224"/>
      <c r="Q492" s="224"/>
      <c r="R492" s="224"/>
      <c r="S492" s="224"/>
      <c r="T492" s="224"/>
      <c r="U492" s="224"/>
      <c r="V492" s="224"/>
      <c r="W492" s="224"/>
      <c r="X492" s="224"/>
      <c r="Y492" s="224"/>
      <c r="Z492" s="224"/>
    </row>
    <row r="493" spans="1:26" ht="12.75" customHeight="1">
      <c r="A493" s="224"/>
      <c r="B493" s="226"/>
      <c r="C493" s="224"/>
      <c r="D493" s="224"/>
      <c r="E493" s="224"/>
      <c r="F493" s="224"/>
      <c r="G493" s="224"/>
      <c r="H493" s="224"/>
      <c r="I493" s="224"/>
      <c r="J493" s="224"/>
      <c r="K493" s="224"/>
      <c r="L493" s="224"/>
      <c r="M493" s="224"/>
      <c r="N493" s="224"/>
      <c r="O493" s="224"/>
      <c r="P493" s="224"/>
      <c r="Q493" s="224"/>
      <c r="R493" s="224"/>
      <c r="S493" s="224"/>
      <c r="T493" s="224"/>
      <c r="U493" s="224"/>
      <c r="V493" s="224"/>
      <c r="W493" s="224"/>
      <c r="X493" s="224"/>
      <c r="Y493" s="224"/>
      <c r="Z493" s="224"/>
    </row>
    <row r="494" spans="1:26" ht="12.75" customHeight="1">
      <c r="A494" s="224"/>
      <c r="B494" s="226"/>
      <c r="C494" s="224"/>
      <c r="D494" s="224"/>
      <c r="E494" s="224"/>
      <c r="F494" s="224"/>
      <c r="G494" s="224"/>
      <c r="H494" s="224"/>
      <c r="I494" s="224"/>
      <c r="J494" s="224"/>
      <c r="K494" s="224"/>
      <c r="L494" s="224"/>
      <c r="M494" s="224"/>
      <c r="N494" s="224"/>
      <c r="O494" s="224"/>
      <c r="P494" s="224"/>
      <c r="Q494" s="224"/>
      <c r="R494" s="224"/>
      <c r="S494" s="224"/>
      <c r="T494" s="224"/>
      <c r="U494" s="224"/>
      <c r="V494" s="224"/>
      <c r="W494" s="224"/>
      <c r="X494" s="224"/>
      <c r="Y494" s="224"/>
      <c r="Z494" s="224"/>
    </row>
    <row r="495" spans="1:26" ht="12.75" customHeight="1">
      <c r="A495" s="224"/>
      <c r="B495" s="226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224"/>
      <c r="T495" s="224"/>
      <c r="U495" s="224"/>
      <c r="V495" s="224"/>
      <c r="W495" s="224"/>
      <c r="X495" s="224"/>
      <c r="Y495" s="224"/>
      <c r="Z495" s="224"/>
    </row>
    <row r="496" spans="1:26" ht="12.75" customHeight="1">
      <c r="A496" s="224"/>
      <c r="B496" s="226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224"/>
      <c r="T496" s="224"/>
      <c r="U496" s="224"/>
      <c r="V496" s="224"/>
      <c r="W496" s="224"/>
      <c r="X496" s="224"/>
      <c r="Y496" s="224"/>
      <c r="Z496" s="224"/>
    </row>
    <row r="497" spans="1:26" ht="12.75" customHeight="1">
      <c r="A497" s="224"/>
      <c r="B497" s="226"/>
      <c r="C497" s="224"/>
      <c r="D497" s="224"/>
      <c r="E497" s="224"/>
      <c r="F497" s="224"/>
      <c r="G497" s="224"/>
      <c r="H497" s="224"/>
      <c r="I497" s="224"/>
      <c r="J497" s="224"/>
      <c r="K497" s="224"/>
      <c r="L497" s="224"/>
      <c r="M497" s="224"/>
      <c r="N497" s="224"/>
      <c r="O497" s="224"/>
      <c r="P497" s="224"/>
      <c r="Q497" s="224"/>
      <c r="R497" s="224"/>
      <c r="S497" s="224"/>
      <c r="T497" s="224"/>
      <c r="U497" s="224"/>
      <c r="V497" s="224"/>
      <c r="W497" s="224"/>
      <c r="X497" s="224"/>
      <c r="Y497" s="224"/>
      <c r="Z497" s="224"/>
    </row>
    <row r="498" spans="1:26" ht="12.75" customHeight="1">
      <c r="A498" s="224"/>
      <c r="B498" s="226"/>
      <c r="C498" s="224"/>
      <c r="D498" s="224"/>
      <c r="E498" s="224"/>
      <c r="F498" s="224"/>
      <c r="G498" s="224"/>
      <c r="H498" s="224"/>
      <c r="I498" s="224"/>
      <c r="J498" s="224"/>
      <c r="K498" s="224"/>
      <c r="L498" s="224"/>
      <c r="M498" s="224"/>
      <c r="N498" s="224"/>
      <c r="O498" s="224"/>
      <c r="P498" s="224"/>
      <c r="Q498" s="224"/>
      <c r="R498" s="224"/>
      <c r="S498" s="224"/>
      <c r="T498" s="224"/>
      <c r="U498" s="224"/>
      <c r="V498" s="224"/>
      <c r="W498" s="224"/>
      <c r="X498" s="224"/>
      <c r="Y498" s="224"/>
      <c r="Z498" s="224"/>
    </row>
    <row r="499" spans="1:26" ht="12.75" customHeight="1">
      <c r="A499" s="224"/>
      <c r="B499" s="226"/>
      <c r="C499" s="224"/>
      <c r="D499" s="224"/>
      <c r="E499" s="224"/>
      <c r="F499" s="224"/>
      <c r="G499" s="224"/>
      <c r="H499" s="224"/>
      <c r="I499" s="224"/>
      <c r="J499" s="224"/>
      <c r="K499" s="224"/>
      <c r="L499" s="224"/>
      <c r="M499" s="224"/>
      <c r="N499" s="224"/>
      <c r="O499" s="224"/>
      <c r="P499" s="224"/>
      <c r="Q499" s="224"/>
      <c r="R499" s="224"/>
      <c r="S499" s="224"/>
      <c r="T499" s="224"/>
      <c r="U499" s="224"/>
      <c r="V499" s="224"/>
      <c r="W499" s="224"/>
      <c r="X499" s="224"/>
      <c r="Y499" s="224"/>
      <c r="Z499" s="224"/>
    </row>
    <row r="500" spans="1:26" ht="12.75" customHeight="1">
      <c r="A500" s="224"/>
      <c r="B500" s="226"/>
      <c r="C500" s="224"/>
      <c r="D500" s="224"/>
      <c r="E500" s="224"/>
      <c r="F500" s="224"/>
      <c r="G500" s="224"/>
      <c r="H500" s="224"/>
      <c r="I500" s="224"/>
      <c r="J500" s="224"/>
      <c r="K500" s="224"/>
      <c r="L500" s="224"/>
      <c r="M500" s="224"/>
      <c r="N500" s="224"/>
      <c r="O500" s="224"/>
      <c r="P500" s="224"/>
      <c r="Q500" s="224"/>
      <c r="R500" s="224"/>
      <c r="S500" s="224"/>
      <c r="T500" s="224"/>
      <c r="U500" s="224"/>
      <c r="V500" s="224"/>
      <c r="W500" s="224"/>
      <c r="X500" s="224"/>
      <c r="Y500" s="224"/>
      <c r="Z500" s="224"/>
    </row>
    <row r="501" spans="1:26" ht="12.75" customHeight="1">
      <c r="A501" s="224"/>
      <c r="B501" s="226"/>
      <c r="C501" s="224"/>
      <c r="D501" s="224"/>
      <c r="E501" s="224"/>
      <c r="F501" s="224"/>
      <c r="G501" s="224"/>
      <c r="H501" s="224"/>
      <c r="I501" s="224"/>
      <c r="J501" s="224"/>
      <c r="K501" s="224"/>
      <c r="L501" s="224"/>
      <c r="M501" s="224"/>
      <c r="N501" s="224"/>
      <c r="O501" s="224"/>
      <c r="P501" s="224"/>
      <c r="Q501" s="224"/>
      <c r="R501" s="224"/>
      <c r="S501" s="224"/>
      <c r="T501" s="224"/>
      <c r="U501" s="224"/>
      <c r="V501" s="224"/>
      <c r="W501" s="224"/>
      <c r="X501" s="224"/>
      <c r="Y501" s="224"/>
      <c r="Z501" s="224"/>
    </row>
    <row r="502" spans="1:26" ht="12.75" customHeight="1">
      <c r="A502" s="224"/>
      <c r="B502" s="226"/>
      <c r="C502" s="224"/>
      <c r="D502" s="224"/>
      <c r="E502" s="224"/>
      <c r="F502" s="224"/>
      <c r="G502" s="224"/>
      <c r="H502" s="224"/>
      <c r="I502" s="224"/>
      <c r="J502" s="224"/>
      <c r="K502" s="224"/>
      <c r="L502" s="224"/>
      <c r="M502" s="224"/>
      <c r="N502" s="224"/>
      <c r="O502" s="224"/>
      <c r="P502" s="224"/>
      <c r="Q502" s="224"/>
      <c r="R502" s="224"/>
      <c r="S502" s="224"/>
      <c r="T502" s="224"/>
      <c r="U502" s="224"/>
      <c r="V502" s="224"/>
      <c r="W502" s="224"/>
      <c r="X502" s="224"/>
      <c r="Y502" s="224"/>
      <c r="Z502" s="224"/>
    </row>
    <row r="503" spans="1:26" ht="12.75" customHeight="1">
      <c r="A503" s="224"/>
      <c r="B503" s="226"/>
      <c r="C503" s="224"/>
      <c r="D503" s="224"/>
      <c r="E503" s="224"/>
      <c r="F503" s="224"/>
      <c r="G503" s="224"/>
      <c r="H503" s="224"/>
      <c r="I503" s="224"/>
      <c r="J503" s="224"/>
      <c r="K503" s="224"/>
      <c r="L503" s="224"/>
      <c r="M503" s="224"/>
      <c r="N503" s="224"/>
      <c r="O503" s="224"/>
      <c r="P503" s="224"/>
      <c r="Q503" s="224"/>
      <c r="R503" s="224"/>
      <c r="S503" s="224"/>
      <c r="T503" s="224"/>
      <c r="U503" s="224"/>
      <c r="V503" s="224"/>
      <c r="W503" s="224"/>
      <c r="X503" s="224"/>
      <c r="Y503" s="224"/>
      <c r="Z503" s="224"/>
    </row>
    <row r="504" spans="1:26" ht="12.75" customHeight="1">
      <c r="A504" s="224"/>
      <c r="B504" s="226"/>
      <c r="C504" s="224"/>
      <c r="D504" s="224"/>
      <c r="E504" s="224"/>
      <c r="F504" s="224"/>
      <c r="G504" s="224"/>
      <c r="H504" s="224"/>
      <c r="I504" s="224"/>
      <c r="J504" s="224"/>
      <c r="K504" s="224"/>
      <c r="L504" s="224"/>
      <c r="M504" s="224"/>
      <c r="N504" s="224"/>
      <c r="O504" s="224"/>
      <c r="P504" s="224"/>
      <c r="Q504" s="224"/>
      <c r="R504" s="224"/>
      <c r="S504" s="224"/>
      <c r="T504" s="224"/>
      <c r="U504" s="224"/>
      <c r="V504" s="224"/>
      <c r="W504" s="224"/>
      <c r="X504" s="224"/>
      <c r="Y504" s="224"/>
      <c r="Z504" s="224"/>
    </row>
    <row r="505" spans="1:26" ht="12.75" customHeight="1">
      <c r="A505" s="224"/>
      <c r="B505" s="226"/>
      <c r="C505" s="224"/>
      <c r="D505" s="224"/>
      <c r="E505" s="224"/>
      <c r="F505" s="224"/>
      <c r="G505" s="224"/>
      <c r="H505" s="224"/>
      <c r="I505" s="224"/>
      <c r="J505" s="224"/>
      <c r="K505" s="224"/>
      <c r="L505" s="224"/>
      <c r="M505" s="224"/>
      <c r="N505" s="224"/>
      <c r="O505" s="224"/>
      <c r="P505" s="224"/>
      <c r="Q505" s="224"/>
      <c r="R505" s="224"/>
      <c r="S505" s="224"/>
      <c r="T505" s="224"/>
      <c r="U505" s="224"/>
      <c r="V505" s="224"/>
      <c r="W505" s="224"/>
      <c r="X505" s="224"/>
      <c r="Y505" s="224"/>
      <c r="Z505" s="224"/>
    </row>
    <row r="506" spans="1:26" ht="12.75" customHeight="1">
      <c r="A506" s="224"/>
      <c r="B506" s="226"/>
      <c r="C506" s="224"/>
      <c r="D506" s="224"/>
      <c r="E506" s="224"/>
      <c r="F506" s="224"/>
      <c r="G506" s="224"/>
      <c r="H506" s="224"/>
      <c r="I506" s="224"/>
      <c r="J506" s="224"/>
      <c r="K506" s="224"/>
      <c r="L506" s="224"/>
      <c r="M506" s="224"/>
      <c r="N506" s="224"/>
      <c r="O506" s="224"/>
      <c r="P506" s="224"/>
      <c r="Q506" s="224"/>
      <c r="R506" s="224"/>
      <c r="S506" s="224"/>
      <c r="T506" s="224"/>
      <c r="U506" s="224"/>
      <c r="V506" s="224"/>
      <c r="W506" s="224"/>
      <c r="X506" s="224"/>
      <c r="Y506" s="224"/>
      <c r="Z506" s="224"/>
    </row>
    <row r="507" spans="1:26" ht="12.75" customHeight="1">
      <c r="A507" s="224"/>
      <c r="B507" s="226"/>
      <c r="C507" s="224"/>
      <c r="D507" s="224"/>
      <c r="E507" s="224"/>
      <c r="F507" s="224"/>
      <c r="G507" s="224"/>
      <c r="H507" s="224"/>
      <c r="I507" s="224"/>
      <c r="J507" s="224"/>
      <c r="K507" s="224"/>
      <c r="L507" s="224"/>
      <c r="M507" s="224"/>
      <c r="N507" s="224"/>
      <c r="O507" s="224"/>
      <c r="P507" s="224"/>
      <c r="Q507" s="224"/>
      <c r="R507" s="224"/>
      <c r="S507" s="224"/>
      <c r="T507" s="224"/>
      <c r="U507" s="224"/>
      <c r="V507" s="224"/>
      <c r="W507" s="224"/>
      <c r="X507" s="224"/>
      <c r="Y507" s="224"/>
      <c r="Z507" s="224"/>
    </row>
    <row r="508" spans="1:26" ht="12.75" customHeight="1">
      <c r="A508" s="224"/>
      <c r="B508" s="226"/>
      <c r="C508" s="224"/>
      <c r="D508" s="224"/>
      <c r="E508" s="224"/>
      <c r="F508" s="224"/>
      <c r="G508" s="224"/>
      <c r="H508" s="224"/>
      <c r="I508" s="224"/>
      <c r="J508" s="224"/>
      <c r="K508" s="224"/>
      <c r="L508" s="224"/>
      <c r="M508" s="224"/>
      <c r="N508" s="224"/>
      <c r="O508" s="224"/>
      <c r="P508" s="224"/>
      <c r="Q508" s="224"/>
      <c r="R508" s="224"/>
      <c r="S508" s="224"/>
      <c r="T508" s="224"/>
      <c r="U508" s="224"/>
      <c r="V508" s="224"/>
      <c r="W508" s="224"/>
      <c r="X508" s="224"/>
      <c r="Y508" s="224"/>
      <c r="Z508" s="224"/>
    </row>
    <row r="509" spans="1:26" ht="12.75" customHeight="1">
      <c r="A509" s="224"/>
      <c r="B509" s="226"/>
      <c r="C509" s="224"/>
      <c r="D509" s="224"/>
      <c r="E509" s="224"/>
      <c r="F509" s="224"/>
      <c r="G509" s="224"/>
      <c r="H509" s="224"/>
      <c r="I509" s="224"/>
      <c r="J509" s="224"/>
      <c r="K509" s="224"/>
      <c r="L509" s="224"/>
      <c r="M509" s="224"/>
      <c r="N509" s="224"/>
      <c r="O509" s="224"/>
      <c r="P509" s="224"/>
      <c r="Q509" s="224"/>
      <c r="R509" s="224"/>
      <c r="S509" s="224"/>
      <c r="T509" s="224"/>
      <c r="U509" s="224"/>
      <c r="V509" s="224"/>
      <c r="W509" s="224"/>
      <c r="X509" s="224"/>
      <c r="Y509" s="224"/>
      <c r="Z509" s="224"/>
    </row>
    <row r="510" spans="1:26" ht="12.75" customHeight="1">
      <c r="A510" s="224"/>
      <c r="B510" s="226"/>
      <c r="C510" s="224"/>
      <c r="D510" s="224"/>
      <c r="E510" s="224"/>
      <c r="F510" s="224"/>
      <c r="G510" s="224"/>
      <c r="H510" s="224"/>
      <c r="I510" s="224"/>
      <c r="J510" s="224"/>
      <c r="K510" s="224"/>
      <c r="L510" s="224"/>
      <c r="M510" s="224"/>
      <c r="N510" s="224"/>
      <c r="O510" s="224"/>
      <c r="P510" s="224"/>
      <c r="Q510" s="224"/>
      <c r="R510" s="224"/>
      <c r="S510" s="224"/>
      <c r="T510" s="224"/>
      <c r="U510" s="224"/>
      <c r="V510" s="224"/>
      <c r="W510" s="224"/>
      <c r="X510" s="224"/>
      <c r="Y510" s="224"/>
      <c r="Z510" s="224"/>
    </row>
    <row r="511" spans="1:26" ht="12.75" customHeight="1">
      <c r="A511" s="224"/>
      <c r="B511" s="226"/>
      <c r="C511" s="224"/>
      <c r="D511" s="224"/>
      <c r="E511" s="224"/>
      <c r="F511" s="224"/>
      <c r="G511" s="224"/>
      <c r="H511" s="224"/>
      <c r="I511" s="224"/>
      <c r="J511" s="224"/>
      <c r="K511" s="224"/>
      <c r="L511" s="224"/>
      <c r="M511" s="224"/>
      <c r="N511" s="224"/>
      <c r="O511" s="224"/>
      <c r="P511" s="224"/>
      <c r="Q511" s="224"/>
      <c r="R511" s="224"/>
      <c r="S511" s="224"/>
      <c r="T511" s="224"/>
      <c r="U511" s="224"/>
      <c r="V511" s="224"/>
      <c r="W511" s="224"/>
      <c r="X511" s="224"/>
      <c r="Y511" s="224"/>
      <c r="Z511" s="224"/>
    </row>
    <row r="512" spans="1:26" ht="12.75" customHeight="1">
      <c r="A512" s="224"/>
      <c r="B512" s="226"/>
      <c r="C512" s="224"/>
      <c r="D512" s="224"/>
      <c r="E512" s="224"/>
      <c r="F512" s="224"/>
      <c r="G512" s="224"/>
      <c r="H512" s="224"/>
      <c r="I512" s="224"/>
      <c r="J512" s="224"/>
      <c r="K512" s="224"/>
      <c r="L512" s="224"/>
      <c r="M512" s="224"/>
      <c r="N512" s="224"/>
      <c r="O512" s="224"/>
      <c r="P512" s="224"/>
      <c r="Q512" s="224"/>
      <c r="R512" s="224"/>
      <c r="S512" s="224"/>
      <c r="T512" s="224"/>
      <c r="U512" s="224"/>
      <c r="V512" s="224"/>
      <c r="W512" s="224"/>
      <c r="X512" s="224"/>
      <c r="Y512" s="224"/>
      <c r="Z512" s="224"/>
    </row>
    <row r="513" spans="1:26" ht="12.75" customHeight="1">
      <c r="A513" s="224"/>
      <c r="B513" s="226"/>
      <c r="C513" s="224"/>
      <c r="D513" s="224"/>
      <c r="E513" s="224"/>
      <c r="F513" s="224"/>
      <c r="G513" s="224"/>
      <c r="H513" s="224"/>
      <c r="I513" s="224"/>
      <c r="J513" s="224"/>
      <c r="K513" s="224"/>
      <c r="L513" s="224"/>
      <c r="M513" s="224"/>
      <c r="N513" s="224"/>
      <c r="O513" s="224"/>
      <c r="P513" s="224"/>
      <c r="Q513" s="224"/>
      <c r="R513" s="224"/>
      <c r="S513" s="224"/>
      <c r="T513" s="224"/>
      <c r="U513" s="224"/>
      <c r="V513" s="224"/>
      <c r="W513" s="224"/>
      <c r="X513" s="224"/>
      <c r="Y513" s="224"/>
      <c r="Z513" s="224"/>
    </row>
    <row r="514" spans="1:26" ht="12.75" customHeight="1">
      <c r="A514" s="224"/>
      <c r="B514" s="226"/>
      <c r="C514" s="224"/>
      <c r="D514" s="224"/>
      <c r="E514" s="224"/>
      <c r="F514" s="224"/>
      <c r="G514" s="224"/>
      <c r="H514" s="224"/>
      <c r="I514" s="224"/>
      <c r="J514" s="224"/>
      <c r="K514" s="224"/>
      <c r="L514" s="224"/>
      <c r="M514" s="224"/>
      <c r="N514" s="224"/>
      <c r="O514" s="224"/>
      <c r="P514" s="224"/>
      <c r="Q514" s="224"/>
      <c r="R514" s="224"/>
      <c r="S514" s="224"/>
      <c r="T514" s="224"/>
      <c r="U514" s="224"/>
      <c r="V514" s="224"/>
      <c r="W514" s="224"/>
      <c r="X514" s="224"/>
      <c r="Y514" s="224"/>
      <c r="Z514" s="224"/>
    </row>
    <row r="515" spans="1:26" ht="12.75" customHeight="1">
      <c r="A515" s="224"/>
      <c r="B515" s="226"/>
      <c r="C515" s="224"/>
      <c r="D515" s="224"/>
      <c r="E515" s="224"/>
      <c r="F515" s="224"/>
      <c r="G515" s="224"/>
      <c r="H515" s="224"/>
      <c r="I515" s="224"/>
      <c r="J515" s="224"/>
      <c r="K515" s="224"/>
      <c r="L515" s="224"/>
      <c r="M515" s="224"/>
      <c r="N515" s="224"/>
      <c r="O515" s="224"/>
      <c r="P515" s="224"/>
      <c r="Q515" s="224"/>
      <c r="R515" s="224"/>
      <c r="S515" s="224"/>
      <c r="T515" s="224"/>
      <c r="U515" s="224"/>
      <c r="V515" s="224"/>
      <c r="W515" s="224"/>
      <c r="X515" s="224"/>
      <c r="Y515" s="224"/>
      <c r="Z515" s="224"/>
    </row>
    <row r="516" spans="1:26" ht="12.75" customHeight="1">
      <c r="A516" s="224"/>
      <c r="B516" s="226"/>
      <c r="C516" s="224"/>
      <c r="D516" s="224"/>
      <c r="E516" s="224"/>
      <c r="F516" s="224"/>
      <c r="G516" s="224"/>
      <c r="H516" s="224"/>
      <c r="I516" s="224"/>
      <c r="J516" s="224"/>
      <c r="K516" s="224"/>
      <c r="L516" s="224"/>
      <c r="M516" s="224"/>
      <c r="N516" s="224"/>
      <c r="O516" s="224"/>
      <c r="P516" s="224"/>
      <c r="Q516" s="224"/>
      <c r="R516" s="224"/>
      <c r="S516" s="224"/>
      <c r="T516" s="224"/>
      <c r="U516" s="224"/>
      <c r="V516" s="224"/>
      <c r="W516" s="224"/>
      <c r="X516" s="224"/>
      <c r="Y516" s="224"/>
      <c r="Z516" s="224"/>
    </row>
    <row r="517" spans="1:26" ht="12.75" customHeight="1">
      <c r="A517" s="224"/>
      <c r="B517" s="226"/>
      <c r="C517" s="224"/>
      <c r="D517" s="224"/>
      <c r="E517" s="224"/>
      <c r="F517" s="224"/>
      <c r="G517" s="224"/>
      <c r="H517" s="224"/>
      <c r="I517" s="224"/>
      <c r="J517" s="224"/>
      <c r="K517" s="224"/>
      <c r="L517" s="224"/>
      <c r="M517" s="224"/>
      <c r="N517" s="224"/>
      <c r="O517" s="224"/>
      <c r="P517" s="224"/>
      <c r="Q517" s="224"/>
      <c r="R517" s="224"/>
      <c r="S517" s="224"/>
      <c r="T517" s="224"/>
      <c r="U517" s="224"/>
      <c r="V517" s="224"/>
      <c r="W517" s="224"/>
      <c r="X517" s="224"/>
      <c r="Y517" s="224"/>
      <c r="Z517" s="224"/>
    </row>
    <row r="518" spans="1:26" ht="12.75" customHeight="1">
      <c r="A518" s="224"/>
      <c r="B518" s="226"/>
      <c r="C518" s="224"/>
      <c r="D518" s="224"/>
      <c r="E518" s="224"/>
      <c r="F518" s="224"/>
      <c r="G518" s="224"/>
      <c r="H518" s="224"/>
      <c r="I518" s="224"/>
      <c r="J518" s="224"/>
      <c r="K518" s="224"/>
      <c r="L518" s="224"/>
      <c r="M518" s="224"/>
      <c r="N518" s="224"/>
      <c r="O518" s="224"/>
      <c r="P518" s="224"/>
      <c r="Q518" s="224"/>
      <c r="R518" s="224"/>
      <c r="S518" s="224"/>
      <c r="T518" s="224"/>
      <c r="U518" s="224"/>
      <c r="V518" s="224"/>
      <c r="W518" s="224"/>
      <c r="X518" s="224"/>
      <c r="Y518" s="224"/>
      <c r="Z518" s="224"/>
    </row>
    <row r="519" spans="1:26" ht="12.75" customHeight="1">
      <c r="A519" s="224"/>
      <c r="B519" s="226"/>
      <c r="C519" s="224"/>
      <c r="D519" s="224"/>
      <c r="E519" s="224"/>
      <c r="F519" s="224"/>
      <c r="G519" s="224"/>
      <c r="H519" s="224"/>
      <c r="I519" s="224"/>
      <c r="J519" s="224"/>
      <c r="K519" s="224"/>
      <c r="L519" s="224"/>
      <c r="M519" s="224"/>
      <c r="N519" s="224"/>
      <c r="O519" s="224"/>
      <c r="P519" s="224"/>
      <c r="Q519" s="224"/>
      <c r="R519" s="224"/>
      <c r="S519" s="224"/>
      <c r="T519" s="224"/>
      <c r="U519" s="224"/>
      <c r="V519" s="224"/>
      <c r="W519" s="224"/>
      <c r="X519" s="224"/>
      <c r="Y519" s="224"/>
      <c r="Z519" s="224"/>
    </row>
    <row r="520" spans="1:26" ht="12.75" customHeight="1">
      <c r="A520" s="224"/>
      <c r="B520" s="226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224"/>
      <c r="T520" s="224"/>
      <c r="U520" s="224"/>
      <c r="V520" s="224"/>
      <c r="W520" s="224"/>
      <c r="X520" s="224"/>
      <c r="Y520" s="224"/>
      <c r="Z520" s="224"/>
    </row>
    <row r="521" spans="1:26" ht="12.75" customHeight="1">
      <c r="A521" s="224"/>
      <c r="B521" s="226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224"/>
      <c r="T521" s="224"/>
      <c r="U521" s="224"/>
      <c r="V521" s="224"/>
      <c r="W521" s="224"/>
      <c r="X521" s="224"/>
      <c r="Y521" s="224"/>
      <c r="Z521" s="224"/>
    </row>
    <row r="522" spans="1:26" ht="12.75" customHeight="1">
      <c r="A522" s="224"/>
      <c r="B522" s="226"/>
      <c r="C522" s="224"/>
      <c r="D522" s="224"/>
      <c r="E522" s="224"/>
      <c r="F522" s="224"/>
      <c r="G522" s="224"/>
      <c r="H522" s="224"/>
      <c r="I522" s="224"/>
      <c r="J522" s="224"/>
      <c r="K522" s="224"/>
      <c r="L522" s="224"/>
      <c r="M522" s="224"/>
      <c r="N522" s="224"/>
      <c r="O522" s="224"/>
      <c r="P522" s="224"/>
      <c r="Q522" s="224"/>
      <c r="R522" s="224"/>
      <c r="S522" s="224"/>
      <c r="T522" s="224"/>
      <c r="U522" s="224"/>
      <c r="V522" s="224"/>
      <c r="W522" s="224"/>
      <c r="X522" s="224"/>
      <c r="Y522" s="224"/>
      <c r="Z522" s="224"/>
    </row>
    <row r="523" spans="1:26" ht="12.75" customHeight="1">
      <c r="A523" s="224"/>
      <c r="B523" s="226"/>
      <c r="C523" s="224"/>
      <c r="D523" s="224"/>
      <c r="E523" s="224"/>
      <c r="F523" s="224"/>
      <c r="G523" s="224"/>
      <c r="H523" s="224"/>
      <c r="I523" s="224"/>
      <c r="J523" s="224"/>
      <c r="K523" s="224"/>
      <c r="L523" s="224"/>
      <c r="M523" s="224"/>
      <c r="N523" s="224"/>
      <c r="O523" s="224"/>
      <c r="P523" s="224"/>
      <c r="Q523" s="224"/>
      <c r="R523" s="224"/>
      <c r="S523" s="224"/>
      <c r="T523" s="224"/>
      <c r="U523" s="224"/>
      <c r="V523" s="224"/>
      <c r="W523" s="224"/>
      <c r="X523" s="224"/>
      <c r="Y523" s="224"/>
      <c r="Z523" s="224"/>
    </row>
    <row r="524" spans="1:26" ht="12.75" customHeight="1">
      <c r="A524" s="224"/>
      <c r="B524" s="226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224"/>
      <c r="T524" s="224"/>
      <c r="U524" s="224"/>
      <c r="V524" s="224"/>
      <c r="W524" s="224"/>
      <c r="X524" s="224"/>
      <c r="Y524" s="224"/>
      <c r="Z524" s="224"/>
    </row>
    <row r="525" spans="1:26" ht="12.75" customHeight="1">
      <c r="A525" s="224"/>
      <c r="B525" s="226"/>
      <c r="C525" s="224"/>
      <c r="D525" s="224"/>
      <c r="E525" s="224"/>
      <c r="F525" s="224"/>
      <c r="G525" s="224"/>
      <c r="H525" s="224"/>
      <c r="I525" s="224"/>
      <c r="J525" s="224"/>
      <c r="K525" s="224"/>
      <c r="L525" s="224"/>
      <c r="M525" s="224"/>
      <c r="N525" s="224"/>
      <c r="O525" s="224"/>
      <c r="P525" s="224"/>
      <c r="Q525" s="224"/>
      <c r="R525" s="224"/>
      <c r="S525" s="224"/>
      <c r="T525" s="224"/>
      <c r="U525" s="224"/>
      <c r="V525" s="224"/>
      <c r="W525" s="224"/>
      <c r="X525" s="224"/>
      <c r="Y525" s="224"/>
      <c r="Z525" s="224"/>
    </row>
    <row r="526" spans="1:26" ht="12.75" customHeight="1">
      <c r="A526" s="224"/>
      <c r="B526" s="226"/>
      <c r="C526" s="224"/>
      <c r="D526" s="224"/>
      <c r="E526" s="224"/>
      <c r="F526" s="224"/>
      <c r="G526" s="224"/>
      <c r="H526" s="224"/>
      <c r="I526" s="224"/>
      <c r="J526" s="224"/>
      <c r="K526" s="224"/>
      <c r="L526" s="224"/>
      <c r="M526" s="224"/>
      <c r="N526" s="224"/>
      <c r="O526" s="224"/>
      <c r="P526" s="224"/>
      <c r="Q526" s="224"/>
      <c r="R526" s="224"/>
      <c r="S526" s="224"/>
      <c r="T526" s="224"/>
      <c r="U526" s="224"/>
      <c r="V526" s="224"/>
      <c r="W526" s="224"/>
      <c r="X526" s="224"/>
      <c r="Y526" s="224"/>
      <c r="Z526" s="224"/>
    </row>
    <row r="527" spans="1:26" ht="12.75" customHeight="1">
      <c r="A527" s="224"/>
      <c r="B527" s="226"/>
      <c r="C527" s="224"/>
      <c r="D527" s="224"/>
      <c r="E527" s="224"/>
      <c r="F527" s="224"/>
      <c r="G527" s="224"/>
      <c r="H527" s="224"/>
      <c r="I527" s="224"/>
      <c r="J527" s="224"/>
      <c r="K527" s="224"/>
      <c r="L527" s="224"/>
      <c r="M527" s="224"/>
      <c r="N527" s="224"/>
      <c r="O527" s="224"/>
      <c r="P527" s="224"/>
      <c r="Q527" s="224"/>
      <c r="R527" s="224"/>
      <c r="S527" s="224"/>
      <c r="T527" s="224"/>
      <c r="U527" s="224"/>
      <c r="V527" s="224"/>
      <c r="W527" s="224"/>
      <c r="X527" s="224"/>
      <c r="Y527" s="224"/>
      <c r="Z527" s="224"/>
    </row>
    <row r="528" spans="1:26" ht="12.75" customHeight="1">
      <c r="A528" s="224"/>
      <c r="B528" s="226"/>
      <c r="C528" s="224"/>
      <c r="D528" s="224"/>
      <c r="E528" s="224"/>
      <c r="F528" s="224"/>
      <c r="G528" s="224"/>
      <c r="H528" s="224"/>
      <c r="I528" s="224"/>
      <c r="J528" s="224"/>
      <c r="K528" s="224"/>
      <c r="L528" s="224"/>
      <c r="M528" s="224"/>
      <c r="N528" s="224"/>
      <c r="O528" s="224"/>
      <c r="P528" s="224"/>
      <c r="Q528" s="224"/>
      <c r="R528" s="224"/>
      <c r="S528" s="224"/>
      <c r="T528" s="224"/>
      <c r="U528" s="224"/>
      <c r="V528" s="224"/>
      <c r="W528" s="224"/>
      <c r="X528" s="224"/>
      <c r="Y528" s="224"/>
      <c r="Z528" s="224"/>
    </row>
    <row r="529" spans="1:26" ht="12.75" customHeight="1">
      <c r="A529" s="224"/>
      <c r="B529" s="226"/>
      <c r="C529" s="224"/>
      <c r="D529" s="224"/>
      <c r="E529" s="224"/>
      <c r="F529" s="224"/>
      <c r="G529" s="224"/>
      <c r="H529" s="224"/>
      <c r="I529" s="224"/>
      <c r="J529" s="224"/>
      <c r="K529" s="224"/>
      <c r="L529" s="224"/>
      <c r="M529" s="224"/>
      <c r="N529" s="224"/>
      <c r="O529" s="224"/>
      <c r="P529" s="224"/>
      <c r="Q529" s="224"/>
      <c r="R529" s="224"/>
      <c r="S529" s="224"/>
      <c r="T529" s="224"/>
      <c r="U529" s="224"/>
      <c r="V529" s="224"/>
      <c r="W529" s="224"/>
      <c r="X529" s="224"/>
      <c r="Y529" s="224"/>
      <c r="Z529" s="224"/>
    </row>
    <row r="530" spans="1:26" ht="12.75" customHeight="1">
      <c r="A530" s="224"/>
      <c r="B530" s="226"/>
      <c r="C530" s="224"/>
      <c r="D530" s="224"/>
      <c r="E530" s="224"/>
      <c r="F530" s="224"/>
      <c r="G530" s="224"/>
      <c r="H530" s="224"/>
      <c r="I530" s="224"/>
      <c r="J530" s="224"/>
      <c r="K530" s="224"/>
      <c r="L530" s="224"/>
      <c r="M530" s="224"/>
      <c r="N530" s="224"/>
      <c r="O530" s="224"/>
      <c r="P530" s="224"/>
      <c r="Q530" s="224"/>
      <c r="R530" s="224"/>
      <c r="S530" s="224"/>
      <c r="T530" s="224"/>
      <c r="U530" s="224"/>
      <c r="V530" s="224"/>
      <c r="W530" s="224"/>
      <c r="X530" s="224"/>
      <c r="Y530" s="224"/>
      <c r="Z530" s="224"/>
    </row>
    <row r="531" spans="1:26" ht="12.75" customHeight="1">
      <c r="A531" s="224"/>
      <c r="B531" s="226"/>
      <c r="C531" s="224"/>
      <c r="D531" s="224"/>
      <c r="E531" s="224"/>
      <c r="F531" s="224"/>
      <c r="G531" s="224"/>
      <c r="H531" s="224"/>
      <c r="I531" s="224"/>
      <c r="J531" s="224"/>
      <c r="K531" s="224"/>
      <c r="L531" s="224"/>
      <c r="M531" s="224"/>
      <c r="N531" s="224"/>
      <c r="O531" s="224"/>
      <c r="P531" s="224"/>
      <c r="Q531" s="224"/>
      <c r="R531" s="224"/>
      <c r="S531" s="224"/>
      <c r="T531" s="224"/>
      <c r="U531" s="224"/>
      <c r="V531" s="224"/>
      <c r="W531" s="224"/>
      <c r="X531" s="224"/>
      <c r="Y531" s="224"/>
      <c r="Z531" s="224"/>
    </row>
    <row r="532" spans="1:26" ht="12.75" customHeight="1">
      <c r="A532" s="224"/>
      <c r="B532" s="226"/>
      <c r="C532" s="224"/>
      <c r="D532" s="224"/>
      <c r="E532" s="224"/>
      <c r="F532" s="224"/>
      <c r="G532" s="224"/>
      <c r="H532" s="224"/>
      <c r="I532" s="224"/>
      <c r="J532" s="224"/>
      <c r="K532" s="224"/>
      <c r="L532" s="224"/>
      <c r="M532" s="224"/>
      <c r="N532" s="224"/>
      <c r="O532" s="224"/>
      <c r="P532" s="224"/>
      <c r="Q532" s="224"/>
      <c r="R532" s="224"/>
      <c r="S532" s="224"/>
      <c r="T532" s="224"/>
      <c r="U532" s="224"/>
      <c r="V532" s="224"/>
      <c r="W532" s="224"/>
      <c r="X532" s="224"/>
      <c r="Y532" s="224"/>
      <c r="Z532" s="224"/>
    </row>
    <row r="533" spans="1:26" ht="12.75" customHeight="1">
      <c r="A533" s="224"/>
      <c r="B533" s="226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224"/>
      <c r="T533" s="224"/>
      <c r="U533" s="224"/>
      <c r="V533" s="224"/>
      <c r="W533" s="224"/>
      <c r="X533" s="224"/>
      <c r="Y533" s="224"/>
      <c r="Z533" s="224"/>
    </row>
    <row r="534" spans="1:26" ht="12.75" customHeight="1">
      <c r="A534" s="224"/>
      <c r="B534" s="226"/>
      <c r="C534" s="224"/>
      <c r="D534" s="224"/>
      <c r="E534" s="224"/>
      <c r="F534" s="224"/>
      <c r="G534" s="224"/>
      <c r="H534" s="224"/>
      <c r="I534" s="224"/>
      <c r="J534" s="224"/>
      <c r="K534" s="224"/>
      <c r="L534" s="224"/>
      <c r="M534" s="224"/>
      <c r="N534" s="224"/>
      <c r="O534" s="224"/>
      <c r="P534" s="224"/>
      <c r="Q534" s="224"/>
      <c r="R534" s="224"/>
      <c r="S534" s="224"/>
      <c r="T534" s="224"/>
      <c r="U534" s="224"/>
      <c r="V534" s="224"/>
      <c r="W534" s="224"/>
      <c r="X534" s="224"/>
      <c r="Y534" s="224"/>
      <c r="Z534" s="224"/>
    </row>
    <row r="535" spans="1:26" ht="12.75" customHeight="1">
      <c r="A535" s="224"/>
      <c r="B535" s="226"/>
      <c r="C535" s="224"/>
      <c r="D535" s="224"/>
      <c r="E535" s="224"/>
      <c r="F535" s="224"/>
      <c r="G535" s="224"/>
      <c r="H535" s="224"/>
      <c r="I535" s="224"/>
      <c r="J535" s="224"/>
      <c r="K535" s="224"/>
      <c r="L535" s="224"/>
      <c r="M535" s="224"/>
      <c r="N535" s="224"/>
      <c r="O535" s="224"/>
      <c r="P535" s="224"/>
      <c r="Q535" s="224"/>
      <c r="R535" s="224"/>
      <c r="S535" s="224"/>
      <c r="T535" s="224"/>
      <c r="U535" s="224"/>
      <c r="V535" s="224"/>
      <c r="W535" s="224"/>
      <c r="X535" s="224"/>
      <c r="Y535" s="224"/>
      <c r="Z535" s="224"/>
    </row>
    <row r="536" spans="1:26" ht="12.75" customHeight="1">
      <c r="A536" s="224"/>
      <c r="B536" s="226"/>
      <c r="C536" s="224"/>
      <c r="D536" s="224"/>
      <c r="E536" s="224"/>
      <c r="F536" s="224"/>
      <c r="G536" s="224"/>
      <c r="H536" s="224"/>
      <c r="I536" s="224"/>
      <c r="J536" s="224"/>
      <c r="K536" s="224"/>
      <c r="L536" s="224"/>
      <c r="M536" s="224"/>
      <c r="N536" s="224"/>
      <c r="O536" s="224"/>
      <c r="P536" s="224"/>
      <c r="Q536" s="224"/>
      <c r="R536" s="224"/>
      <c r="S536" s="224"/>
      <c r="T536" s="224"/>
      <c r="U536" s="224"/>
      <c r="V536" s="224"/>
      <c r="W536" s="224"/>
      <c r="X536" s="224"/>
      <c r="Y536" s="224"/>
      <c r="Z536" s="224"/>
    </row>
    <row r="537" spans="1:26" ht="12.75" customHeight="1">
      <c r="A537" s="224"/>
      <c r="B537" s="226"/>
      <c r="C537" s="224"/>
      <c r="D537" s="224"/>
      <c r="E537" s="224"/>
      <c r="F537" s="224"/>
      <c r="G537" s="224"/>
      <c r="H537" s="224"/>
      <c r="I537" s="224"/>
      <c r="J537" s="224"/>
      <c r="K537" s="224"/>
      <c r="L537" s="224"/>
      <c r="M537" s="224"/>
      <c r="N537" s="224"/>
      <c r="O537" s="224"/>
      <c r="P537" s="224"/>
      <c r="Q537" s="224"/>
      <c r="R537" s="224"/>
      <c r="S537" s="224"/>
      <c r="T537" s="224"/>
      <c r="U537" s="224"/>
      <c r="V537" s="224"/>
      <c r="W537" s="224"/>
      <c r="X537" s="224"/>
      <c r="Y537" s="224"/>
      <c r="Z537" s="224"/>
    </row>
    <row r="538" spans="1:26" ht="12.75" customHeight="1">
      <c r="A538" s="224"/>
      <c r="B538" s="226"/>
      <c r="C538" s="224"/>
      <c r="D538" s="224"/>
      <c r="E538" s="224"/>
      <c r="F538" s="224"/>
      <c r="G538" s="224"/>
      <c r="H538" s="224"/>
      <c r="I538" s="224"/>
      <c r="J538" s="224"/>
      <c r="K538" s="224"/>
      <c r="L538" s="224"/>
      <c r="M538" s="224"/>
      <c r="N538" s="224"/>
      <c r="O538" s="224"/>
      <c r="P538" s="224"/>
      <c r="Q538" s="224"/>
      <c r="R538" s="224"/>
      <c r="S538" s="224"/>
      <c r="T538" s="224"/>
      <c r="U538" s="224"/>
      <c r="V538" s="224"/>
      <c r="W538" s="224"/>
      <c r="X538" s="224"/>
      <c r="Y538" s="224"/>
      <c r="Z538" s="224"/>
    </row>
    <row r="539" spans="1:26" ht="12.75" customHeight="1">
      <c r="A539" s="224"/>
      <c r="B539" s="226"/>
      <c r="C539" s="224"/>
      <c r="D539" s="224"/>
      <c r="E539" s="224"/>
      <c r="F539" s="224"/>
      <c r="G539" s="224"/>
      <c r="H539" s="224"/>
      <c r="I539" s="224"/>
      <c r="J539" s="224"/>
      <c r="K539" s="224"/>
      <c r="L539" s="224"/>
      <c r="M539" s="224"/>
      <c r="N539" s="224"/>
      <c r="O539" s="224"/>
      <c r="P539" s="224"/>
      <c r="Q539" s="224"/>
      <c r="R539" s="224"/>
      <c r="S539" s="224"/>
      <c r="T539" s="224"/>
      <c r="U539" s="224"/>
      <c r="V539" s="224"/>
      <c r="W539" s="224"/>
      <c r="X539" s="224"/>
      <c r="Y539" s="224"/>
      <c r="Z539" s="224"/>
    </row>
    <row r="540" spans="1:26" ht="12.75" customHeight="1">
      <c r="A540" s="224"/>
      <c r="B540" s="226"/>
      <c r="C540" s="224"/>
      <c r="D540" s="224"/>
      <c r="E540" s="224"/>
      <c r="F540" s="224"/>
      <c r="G540" s="224"/>
      <c r="H540" s="224"/>
      <c r="I540" s="224"/>
      <c r="J540" s="224"/>
      <c r="K540" s="224"/>
      <c r="L540" s="224"/>
      <c r="M540" s="224"/>
      <c r="N540" s="224"/>
      <c r="O540" s="224"/>
      <c r="P540" s="224"/>
      <c r="Q540" s="224"/>
      <c r="R540" s="224"/>
      <c r="S540" s="224"/>
      <c r="T540" s="224"/>
      <c r="U540" s="224"/>
      <c r="V540" s="224"/>
      <c r="W540" s="224"/>
      <c r="X540" s="224"/>
      <c r="Y540" s="224"/>
      <c r="Z540" s="224"/>
    </row>
    <row r="541" spans="1:26" ht="12.75" customHeight="1">
      <c r="A541" s="224"/>
      <c r="B541" s="226"/>
      <c r="C541" s="224"/>
      <c r="D541" s="224"/>
      <c r="E541" s="224"/>
      <c r="F541" s="224"/>
      <c r="G541" s="224"/>
      <c r="H541" s="224"/>
      <c r="I541" s="224"/>
      <c r="J541" s="224"/>
      <c r="K541" s="224"/>
      <c r="L541" s="224"/>
      <c r="M541" s="224"/>
      <c r="N541" s="224"/>
      <c r="O541" s="224"/>
      <c r="P541" s="224"/>
      <c r="Q541" s="224"/>
      <c r="R541" s="224"/>
      <c r="S541" s="224"/>
      <c r="T541" s="224"/>
      <c r="U541" s="224"/>
      <c r="V541" s="224"/>
      <c r="W541" s="224"/>
      <c r="X541" s="224"/>
      <c r="Y541" s="224"/>
      <c r="Z541" s="224"/>
    </row>
    <row r="542" spans="1:26" ht="12.75" customHeight="1">
      <c r="A542" s="224"/>
      <c r="B542" s="226"/>
      <c r="C542" s="224"/>
      <c r="D542" s="224"/>
      <c r="E542" s="224"/>
      <c r="F542" s="224"/>
      <c r="G542" s="224"/>
      <c r="H542" s="224"/>
      <c r="I542" s="224"/>
      <c r="J542" s="224"/>
      <c r="K542" s="224"/>
      <c r="L542" s="224"/>
      <c r="M542" s="224"/>
      <c r="N542" s="224"/>
      <c r="O542" s="224"/>
      <c r="P542" s="224"/>
      <c r="Q542" s="224"/>
      <c r="R542" s="224"/>
      <c r="S542" s="224"/>
      <c r="T542" s="224"/>
      <c r="U542" s="224"/>
      <c r="V542" s="224"/>
      <c r="W542" s="224"/>
      <c r="X542" s="224"/>
      <c r="Y542" s="224"/>
      <c r="Z542" s="224"/>
    </row>
    <row r="543" spans="1:26" ht="12.75" customHeight="1">
      <c r="A543" s="224"/>
      <c r="B543" s="226"/>
      <c r="C543" s="224"/>
      <c r="D543" s="224"/>
      <c r="E543" s="224"/>
      <c r="F543" s="224"/>
      <c r="G543" s="224"/>
      <c r="H543" s="224"/>
      <c r="I543" s="224"/>
      <c r="J543" s="224"/>
      <c r="K543" s="224"/>
      <c r="L543" s="224"/>
      <c r="M543" s="224"/>
      <c r="N543" s="224"/>
      <c r="O543" s="224"/>
      <c r="P543" s="224"/>
      <c r="Q543" s="224"/>
      <c r="R543" s="224"/>
      <c r="S543" s="224"/>
      <c r="T543" s="224"/>
      <c r="U543" s="224"/>
      <c r="V543" s="224"/>
      <c r="W543" s="224"/>
      <c r="X543" s="224"/>
      <c r="Y543" s="224"/>
      <c r="Z543" s="224"/>
    </row>
    <row r="544" spans="1:26" ht="12.75" customHeight="1">
      <c r="A544" s="224"/>
      <c r="B544" s="226"/>
      <c r="C544" s="224"/>
      <c r="D544" s="224"/>
      <c r="E544" s="224"/>
      <c r="F544" s="224"/>
      <c r="G544" s="224"/>
      <c r="H544" s="224"/>
      <c r="I544" s="224"/>
      <c r="J544" s="224"/>
      <c r="K544" s="224"/>
      <c r="L544" s="224"/>
      <c r="M544" s="224"/>
      <c r="N544" s="224"/>
      <c r="O544" s="224"/>
      <c r="P544" s="224"/>
      <c r="Q544" s="224"/>
      <c r="R544" s="224"/>
      <c r="S544" s="224"/>
      <c r="T544" s="224"/>
      <c r="U544" s="224"/>
      <c r="V544" s="224"/>
      <c r="W544" s="224"/>
      <c r="X544" s="224"/>
      <c r="Y544" s="224"/>
      <c r="Z544" s="224"/>
    </row>
    <row r="545" spans="1:26" ht="12.75" customHeight="1">
      <c r="A545" s="224"/>
      <c r="B545" s="226"/>
      <c r="C545" s="224"/>
      <c r="D545" s="224"/>
      <c r="E545" s="224"/>
      <c r="F545" s="224"/>
      <c r="G545" s="224"/>
      <c r="H545" s="224"/>
      <c r="I545" s="224"/>
      <c r="J545" s="224"/>
      <c r="K545" s="224"/>
      <c r="L545" s="224"/>
      <c r="M545" s="224"/>
      <c r="N545" s="224"/>
      <c r="O545" s="224"/>
      <c r="P545" s="224"/>
      <c r="Q545" s="224"/>
      <c r="R545" s="224"/>
      <c r="S545" s="224"/>
      <c r="T545" s="224"/>
      <c r="U545" s="224"/>
      <c r="V545" s="224"/>
      <c r="W545" s="224"/>
      <c r="X545" s="224"/>
      <c r="Y545" s="224"/>
      <c r="Z545" s="224"/>
    </row>
    <row r="546" spans="1:26" ht="12.75" customHeight="1">
      <c r="A546" s="224"/>
      <c r="B546" s="226"/>
      <c r="C546" s="224"/>
      <c r="D546" s="224"/>
      <c r="E546" s="224"/>
      <c r="F546" s="224"/>
      <c r="G546" s="224"/>
      <c r="H546" s="224"/>
      <c r="I546" s="224"/>
      <c r="J546" s="224"/>
      <c r="K546" s="224"/>
      <c r="L546" s="224"/>
      <c r="M546" s="224"/>
      <c r="N546" s="224"/>
      <c r="O546" s="224"/>
      <c r="P546" s="224"/>
      <c r="Q546" s="224"/>
      <c r="R546" s="224"/>
      <c r="S546" s="224"/>
      <c r="T546" s="224"/>
      <c r="U546" s="224"/>
      <c r="V546" s="224"/>
      <c r="W546" s="224"/>
      <c r="X546" s="224"/>
      <c r="Y546" s="224"/>
      <c r="Z546" s="224"/>
    </row>
    <row r="547" spans="1:26" ht="12.75" customHeight="1">
      <c r="A547" s="224"/>
      <c r="B547" s="226"/>
      <c r="C547" s="224"/>
      <c r="D547" s="224"/>
      <c r="E547" s="224"/>
      <c r="F547" s="224"/>
      <c r="G547" s="224"/>
      <c r="H547" s="224"/>
      <c r="I547" s="224"/>
      <c r="J547" s="224"/>
      <c r="K547" s="224"/>
      <c r="L547" s="224"/>
      <c r="M547" s="224"/>
      <c r="N547" s="224"/>
      <c r="O547" s="224"/>
      <c r="P547" s="224"/>
      <c r="Q547" s="224"/>
      <c r="R547" s="224"/>
      <c r="S547" s="224"/>
      <c r="T547" s="224"/>
      <c r="U547" s="224"/>
      <c r="V547" s="224"/>
      <c r="W547" s="224"/>
      <c r="X547" s="224"/>
      <c r="Y547" s="224"/>
      <c r="Z547" s="224"/>
    </row>
    <row r="548" spans="1:26" ht="12.75" customHeight="1">
      <c r="A548" s="224"/>
      <c r="B548" s="226"/>
      <c r="C548" s="224"/>
      <c r="D548" s="224"/>
      <c r="E548" s="224"/>
      <c r="F548" s="224"/>
      <c r="G548" s="224"/>
      <c r="H548" s="224"/>
      <c r="I548" s="224"/>
      <c r="J548" s="224"/>
      <c r="K548" s="224"/>
      <c r="L548" s="224"/>
      <c r="M548" s="224"/>
      <c r="N548" s="224"/>
      <c r="O548" s="224"/>
      <c r="P548" s="224"/>
      <c r="Q548" s="224"/>
      <c r="R548" s="224"/>
      <c r="S548" s="224"/>
      <c r="T548" s="224"/>
      <c r="U548" s="224"/>
      <c r="V548" s="224"/>
      <c r="W548" s="224"/>
      <c r="X548" s="224"/>
      <c r="Y548" s="224"/>
      <c r="Z548" s="224"/>
    </row>
    <row r="549" spans="1:26" ht="12.75" customHeight="1">
      <c r="A549" s="224"/>
      <c r="B549" s="226"/>
      <c r="C549" s="224"/>
      <c r="D549" s="224"/>
      <c r="E549" s="224"/>
      <c r="F549" s="224"/>
      <c r="G549" s="224"/>
      <c r="H549" s="224"/>
      <c r="I549" s="224"/>
      <c r="J549" s="224"/>
      <c r="K549" s="224"/>
      <c r="L549" s="224"/>
      <c r="M549" s="224"/>
      <c r="N549" s="224"/>
      <c r="O549" s="224"/>
      <c r="P549" s="224"/>
      <c r="Q549" s="224"/>
      <c r="R549" s="224"/>
      <c r="S549" s="224"/>
      <c r="T549" s="224"/>
      <c r="U549" s="224"/>
      <c r="V549" s="224"/>
      <c r="W549" s="224"/>
      <c r="X549" s="224"/>
      <c r="Y549" s="224"/>
      <c r="Z549" s="224"/>
    </row>
    <row r="550" spans="1:26" ht="12.75" customHeight="1">
      <c r="A550" s="224"/>
      <c r="B550" s="226"/>
      <c r="C550" s="224"/>
      <c r="D550" s="224"/>
      <c r="E550" s="224"/>
      <c r="F550" s="224"/>
      <c r="G550" s="224"/>
      <c r="H550" s="224"/>
      <c r="I550" s="224"/>
      <c r="J550" s="224"/>
      <c r="K550" s="224"/>
      <c r="L550" s="224"/>
      <c r="M550" s="224"/>
      <c r="N550" s="224"/>
      <c r="O550" s="224"/>
      <c r="P550" s="224"/>
      <c r="Q550" s="224"/>
      <c r="R550" s="224"/>
      <c r="S550" s="224"/>
      <c r="T550" s="224"/>
      <c r="U550" s="224"/>
      <c r="V550" s="224"/>
      <c r="W550" s="224"/>
      <c r="X550" s="224"/>
      <c r="Y550" s="224"/>
      <c r="Z550" s="224"/>
    </row>
    <row r="551" spans="1:26" ht="12.75" customHeight="1">
      <c r="A551" s="224"/>
      <c r="B551" s="226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</row>
    <row r="552" spans="1:26" ht="12.75" customHeight="1">
      <c r="A552" s="224"/>
      <c r="B552" s="226"/>
      <c r="C552" s="224"/>
      <c r="D552" s="224"/>
      <c r="E552" s="224"/>
      <c r="F552" s="224"/>
      <c r="G552" s="224"/>
      <c r="H552" s="224"/>
      <c r="I552" s="224"/>
      <c r="J552" s="224"/>
      <c r="K552" s="224"/>
      <c r="L552" s="224"/>
      <c r="M552" s="224"/>
      <c r="N552" s="224"/>
      <c r="O552" s="224"/>
      <c r="P552" s="224"/>
      <c r="Q552" s="224"/>
      <c r="R552" s="224"/>
      <c r="S552" s="224"/>
      <c r="T552" s="224"/>
      <c r="U552" s="224"/>
      <c r="V552" s="224"/>
      <c r="W552" s="224"/>
      <c r="X552" s="224"/>
      <c r="Y552" s="224"/>
      <c r="Z552" s="224"/>
    </row>
    <row r="553" spans="1:26" ht="12.75" customHeight="1">
      <c r="A553" s="224"/>
      <c r="B553" s="226"/>
      <c r="C553" s="224"/>
      <c r="D553" s="224"/>
      <c r="E553" s="224"/>
      <c r="F553" s="224"/>
      <c r="G553" s="224"/>
      <c r="H553" s="224"/>
      <c r="I553" s="224"/>
      <c r="J553" s="224"/>
      <c r="K553" s="224"/>
      <c r="L553" s="224"/>
      <c r="M553" s="224"/>
      <c r="N553" s="224"/>
      <c r="O553" s="224"/>
      <c r="P553" s="224"/>
      <c r="Q553" s="224"/>
      <c r="R553" s="224"/>
      <c r="S553" s="224"/>
      <c r="T553" s="224"/>
      <c r="U553" s="224"/>
      <c r="V553" s="224"/>
      <c r="W553" s="224"/>
      <c r="X553" s="224"/>
      <c r="Y553" s="224"/>
      <c r="Z553" s="224"/>
    </row>
    <row r="554" spans="1:26" ht="12.75" customHeight="1">
      <c r="A554" s="224"/>
      <c r="B554" s="226"/>
      <c r="C554" s="224"/>
      <c r="D554" s="224"/>
      <c r="E554" s="224"/>
      <c r="F554" s="224"/>
      <c r="G554" s="224"/>
      <c r="H554" s="224"/>
      <c r="I554" s="224"/>
      <c r="J554" s="224"/>
      <c r="K554" s="224"/>
      <c r="L554" s="224"/>
      <c r="M554" s="224"/>
      <c r="N554" s="224"/>
      <c r="O554" s="224"/>
      <c r="P554" s="224"/>
      <c r="Q554" s="224"/>
      <c r="R554" s="224"/>
      <c r="S554" s="224"/>
      <c r="T554" s="224"/>
      <c r="U554" s="224"/>
      <c r="V554" s="224"/>
      <c r="W554" s="224"/>
      <c r="X554" s="224"/>
      <c r="Y554" s="224"/>
      <c r="Z554" s="224"/>
    </row>
    <row r="555" spans="1:26" ht="12.75" customHeight="1">
      <c r="A555" s="224"/>
      <c r="B555" s="226"/>
      <c r="C555" s="224"/>
      <c r="D555" s="224"/>
      <c r="E555" s="224"/>
      <c r="F555" s="224"/>
      <c r="G555" s="224"/>
      <c r="H555" s="224"/>
      <c r="I555" s="224"/>
      <c r="J555" s="224"/>
      <c r="K555" s="224"/>
      <c r="L555" s="224"/>
      <c r="M555" s="224"/>
      <c r="N555" s="224"/>
      <c r="O555" s="224"/>
      <c r="P555" s="224"/>
      <c r="Q555" s="224"/>
      <c r="R555" s="224"/>
      <c r="S555" s="224"/>
      <c r="T555" s="224"/>
      <c r="U555" s="224"/>
      <c r="V555" s="224"/>
      <c r="W555" s="224"/>
      <c r="X555" s="224"/>
      <c r="Y555" s="224"/>
      <c r="Z555" s="224"/>
    </row>
    <row r="556" spans="1:26" ht="12.75" customHeight="1">
      <c r="A556" s="224"/>
      <c r="B556" s="226"/>
      <c r="C556" s="224"/>
      <c r="D556" s="224"/>
      <c r="E556" s="224"/>
      <c r="F556" s="224"/>
      <c r="G556" s="224"/>
      <c r="H556" s="224"/>
      <c r="I556" s="224"/>
      <c r="J556" s="224"/>
      <c r="K556" s="224"/>
      <c r="L556" s="224"/>
      <c r="M556" s="224"/>
      <c r="N556" s="224"/>
      <c r="O556" s="224"/>
      <c r="P556" s="224"/>
      <c r="Q556" s="224"/>
      <c r="R556" s="224"/>
      <c r="S556" s="224"/>
      <c r="T556" s="224"/>
      <c r="U556" s="224"/>
      <c r="V556" s="224"/>
      <c r="W556" s="224"/>
      <c r="X556" s="224"/>
      <c r="Y556" s="224"/>
      <c r="Z556" s="224"/>
    </row>
    <row r="557" spans="1:26" ht="12.75" customHeight="1">
      <c r="A557" s="224"/>
      <c r="B557" s="226"/>
      <c r="C557" s="224"/>
      <c r="D557" s="224"/>
      <c r="E557" s="224"/>
      <c r="F557" s="224"/>
      <c r="G557" s="224"/>
      <c r="H557" s="224"/>
      <c r="I557" s="224"/>
      <c r="J557" s="224"/>
      <c r="K557" s="224"/>
      <c r="L557" s="224"/>
      <c r="M557" s="224"/>
      <c r="N557" s="224"/>
      <c r="O557" s="224"/>
      <c r="P557" s="224"/>
      <c r="Q557" s="224"/>
      <c r="R557" s="224"/>
      <c r="S557" s="224"/>
      <c r="T557" s="224"/>
      <c r="U557" s="224"/>
      <c r="V557" s="224"/>
      <c r="W557" s="224"/>
      <c r="X557" s="224"/>
      <c r="Y557" s="224"/>
      <c r="Z557" s="224"/>
    </row>
    <row r="558" spans="1:26" ht="12.75" customHeight="1">
      <c r="A558" s="224"/>
      <c r="B558" s="226"/>
      <c r="C558" s="224"/>
      <c r="D558" s="224"/>
      <c r="E558" s="224"/>
      <c r="F558" s="224"/>
      <c r="G558" s="224"/>
      <c r="H558" s="224"/>
      <c r="I558" s="224"/>
      <c r="J558" s="224"/>
      <c r="K558" s="224"/>
      <c r="L558" s="224"/>
      <c r="M558" s="224"/>
      <c r="N558" s="224"/>
      <c r="O558" s="224"/>
      <c r="P558" s="224"/>
      <c r="Q558" s="224"/>
      <c r="R558" s="224"/>
      <c r="S558" s="224"/>
      <c r="T558" s="224"/>
      <c r="U558" s="224"/>
      <c r="V558" s="224"/>
      <c r="W558" s="224"/>
      <c r="X558" s="224"/>
      <c r="Y558" s="224"/>
      <c r="Z558" s="224"/>
    </row>
    <row r="559" spans="1:26" ht="12.75" customHeight="1">
      <c r="A559" s="224"/>
      <c r="B559" s="226"/>
      <c r="C559" s="224"/>
      <c r="D559" s="224"/>
      <c r="E559" s="224"/>
      <c r="F559" s="224"/>
      <c r="G559" s="224"/>
      <c r="H559" s="224"/>
      <c r="I559" s="224"/>
      <c r="J559" s="224"/>
      <c r="K559" s="224"/>
      <c r="L559" s="224"/>
      <c r="M559" s="224"/>
      <c r="N559" s="224"/>
      <c r="O559" s="224"/>
      <c r="P559" s="224"/>
      <c r="Q559" s="224"/>
      <c r="R559" s="224"/>
      <c r="S559" s="224"/>
      <c r="T559" s="224"/>
      <c r="U559" s="224"/>
      <c r="V559" s="224"/>
      <c r="W559" s="224"/>
      <c r="X559" s="224"/>
      <c r="Y559" s="224"/>
      <c r="Z559" s="224"/>
    </row>
    <row r="560" spans="1:26" ht="12.75" customHeight="1">
      <c r="A560" s="224"/>
      <c r="B560" s="226"/>
      <c r="C560" s="224"/>
      <c r="D560" s="224"/>
      <c r="E560" s="224"/>
      <c r="F560" s="224"/>
      <c r="G560" s="224"/>
      <c r="H560" s="224"/>
      <c r="I560" s="224"/>
      <c r="J560" s="224"/>
      <c r="K560" s="224"/>
      <c r="L560" s="224"/>
      <c r="M560" s="224"/>
      <c r="N560" s="224"/>
      <c r="O560" s="224"/>
      <c r="P560" s="224"/>
      <c r="Q560" s="224"/>
      <c r="R560" s="224"/>
      <c r="S560" s="224"/>
      <c r="T560" s="224"/>
      <c r="U560" s="224"/>
      <c r="V560" s="224"/>
      <c r="W560" s="224"/>
      <c r="X560" s="224"/>
      <c r="Y560" s="224"/>
      <c r="Z560" s="224"/>
    </row>
    <row r="561" spans="1:26" ht="12.75" customHeight="1">
      <c r="A561" s="224"/>
      <c r="B561" s="226"/>
      <c r="C561" s="224"/>
      <c r="D561" s="224"/>
      <c r="E561" s="224"/>
      <c r="F561" s="224"/>
      <c r="G561" s="224"/>
      <c r="H561" s="224"/>
      <c r="I561" s="224"/>
      <c r="J561" s="224"/>
      <c r="K561" s="224"/>
      <c r="L561" s="224"/>
      <c r="M561" s="224"/>
      <c r="N561" s="224"/>
      <c r="O561" s="224"/>
      <c r="P561" s="224"/>
      <c r="Q561" s="224"/>
      <c r="R561" s="224"/>
      <c r="S561" s="224"/>
      <c r="T561" s="224"/>
      <c r="U561" s="224"/>
      <c r="V561" s="224"/>
      <c r="W561" s="224"/>
      <c r="X561" s="224"/>
      <c r="Y561" s="224"/>
      <c r="Z561" s="224"/>
    </row>
    <row r="562" spans="1:26" ht="12.75" customHeight="1">
      <c r="A562" s="224"/>
      <c r="B562" s="226"/>
      <c r="C562" s="224"/>
      <c r="D562" s="224"/>
      <c r="E562" s="224"/>
      <c r="F562" s="224"/>
      <c r="G562" s="224"/>
      <c r="H562" s="224"/>
      <c r="I562" s="224"/>
      <c r="J562" s="224"/>
      <c r="K562" s="224"/>
      <c r="L562" s="224"/>
      <c r="M562" s="224"/>
      <c r="N562" s="224"/>
      <c r="O562" s="224"/>
      <c r="P562" s="224"/>
      <c r="Q562" s="224"/>
      <c r="R562" s="224"/>
      <c r="S562" s="224"/>
      <c r="T562" s="224"/>
      <c r="U562" s="224"/>
      <c r="V562" s="224"/>
      <c r="W562" s="224"/>
      <c r="X562" s="224"/>
      <c r="Y562" s="224"/>
      <c r="Z562" s="224"/>
    </row>
    <row r="563" spans="1:26" ht="12.75" customHeight="1">
      <c r="A563" s="224"/>
      <c r="B563" s="226"/>
      <c r="C563" s="224"/>
      <c r="D563" s="224"/>
      <c r="E563" s="224"/>
      <c r="F563" s="224"/>
      <c r="G563" s="224"/>
      <c r="H563" s="224"/>
      <c r="I563" s="224"/>
      <c r="J563" s="224"/>
      <c r="K563" s="224"/>
      <c r="L563" s="224"/>
      <c r="M563" s="224"/>
      <c r="N563" s="224"/>
      <c r="O563" s="224"/>
      <c r="P563" s="224"/>
      <c r="Q563" s="224"/>
      <c r="R563" s="224"/>
      <c r="S563" s="224"/>
      <c r="T563" s="224"/>
      <c r="U563" s="224"/>
      <c r="V563" s="224"/>
      <c r="W563" s="224"/>
      <c r="X563" s="224"/>
      <c r="Y563" s="224"/>
      <c r="Z563" s="224"/>
    </row>
    <row r="564" spans="1:26" ht="12.75" customHeight="1">
      <c r="A564" s="224"/>
      <c r="B564" s="226"/>
      <c r="C564" s="224"/>
      <c r="D564" s="224"/>
      <c r="E564" s="224"/>
      <c r="F564" s="224"/>
      <c r="G564" s="224"/>
      <c r="H564" s="224"/>
      <c r="I564" s="224"/>
      <c r="J564" s="224"/>
      <c r="K564" s="224"/>
      <c r="L564" s="224"/>
      <c r="M564" s="224"/>
      <c r="N564" s="224"/>
      <c r="O564" s="224"/>
      <c r="P564" s="224"/>
      <c r="Q564" s="224"/>
      <c r="R564" s="224"/>
      <c r="S564" s="224"/>
      <c r="T564" s="224"/>
      <c r="U564" s="224"/>
      <c r="V564" s="224"/>
      <c r="W564" s="224"/>
      <c r="X564" s="224"/>
      <c r="Y564" s="224"/>
      <c r="Z564" s="224"/>
    </row>
    <row r="565" spans="1:26" ht="12.75" customHeight="1">
      <c r="A565" s="224"/>
      <c r="B565" s="226"/>
      <c r="C565" s="224"/>
      <c r="D565" s="224"/>
      <c r="E565" s="224"/>
      <c r="F565" s="224"/>
      <c r="G565" s="224"/>
      <c r="H565" s="224"/>
      <c r="I565" s="224"/>
      <c r="J565" s="224"/>
      <c r="K565" s="224"/>
      <c r="L565" s="224"/>
      <c r="M565" s="224"/>
      <c r="N565" s="224"/>
      <c r="O565" s="224"/>
      <c r="P565" s="224"/>
      <c r="Q565" s="224"/>
      <c r="R565" s="224"/>
      <c r="S565" s="224"/>
      <c r="T565" s="224"/>
      <c r="U565" s="224"/>
      <c r="V565" s="224"/>
      <c r="W565" s="224"/>
      <c r="X565" s="224"/>
      <c r="Y565" s="224"/>
      <c r="Z565" s="224"/>
    </row>
    <row r="566" spans="1:26" ht="12.75" customHeight="1">
      <c r="A566" s="224"/>
      <c r="B566" s="226"/>
      <c r="C566" s="224"/>
      <c r="D566" s="224"/>
      <c r="E566" s="224"/>
      <c r="F566" s="224"/>
      <c r="G566" s="224"/>
      <c r="H566" s="224"/>
      <c r="I566" s="224"/>
      <c r="J566" s="224"/>
      <c r="K566" s="224"/>
      <c r="L566" s="224"/>
      <c r="M566" s="224"/>
      <c r="N566" s="224"/>
      <c r="O566" s="224"/>
      <c r="P566" s="224"/>
      <c r="Q566" s="224"/>
      <c r="R566" s="224"/>
      <c r="S566" s="224"/>
      <c r="T566" s="224"/>
      <c r="U566" s="224"/>
      <c r="V566" s="224"/>
      <c r="W566" s="224"/>
      <c r="X566" s="224"/>
      <c r="Y566" s="224"/>
      <c r="Z566" s="224"/>
    </row>
    <row r="567" spans="1:26" ht="12.75" customHeight="1">
      <c r="A567" s="224"/>
      <c r="B567" s="226"/>
      <c r="C567" s="224"/>
      <c r="D567" s="224"/>
      <c r="E567" s="224"/>
      <c r="F567" s="224"/>
      <c r="G567" s="224"/>
      <c r="H567" s="224"/>
      <c r="I567" s="224"/>
      <c r="J567" s="224"/>
      <c r="K567" s="224"/>
      <c r="L567" s="224"/>
      <c r="M567" s="224"/>
      <c r="N567" s="224"/>
      <c r="O567" s="224"/>
      <c r="P567" s="224"/>
      <c r="Q567" s="224"/>
      <c r="R567" s="224"/>
      <c r="S567" s="224"/>
      <c r="T567" s="224"/>
      <c r="U567" s="224"/>
      <c r="V567" s="224"/>
      <c r="W567" s="224"/>
      <c r="X567" s="224"/>
      <c r="Y567" s="224"/>
      <c r="Z567" s="224"/>
    </row>
    <row r="568" spans="1:26" ht="12.75" customHeight="1">
      <c r="A568" s="224"/>
      <c r="B568" s="226"/>
      <c r="C568" s="224"/>
      <c r="D568" s="224"/>
      <c r="E568" s="224"/>
      <c r="F568" s="224"/>
      <c r="G568" s="224"/>
      <c r="H568" s="224"/>
      <c r="I568" s="224"/>
      <c r="J568" s="224"/>
      <c r="K568" s="224"/>
      <c r="L568" s="224"/>
      <c r="M568" s="224"/>
      <c r="N568" s="224"/>
      <c r="O568" s="224"/>
      <c r="P568" s="224"/>
      <c r="Q568" s="224"/>
      <c r="R568" s="224"/>
      <c r="S568" s="224"/>
      <c r="T568" s="224"/>
      <c r="U568" s="224"/>
      <c r="V568" s="224"/>
      <c r="W568" s="224"/>
      <c r="X568" s="224"/>
      <c r="Y568" s="224"/>
      <c r="Z568" s="224"/>
    </row>
    <row r="569" spans="1:26" ht="12.75" customHeight="1">
      <c r="A569" s="224"/>
      <c r="B569" s="226"/>
      <c r="C569" s="224"/>
      <c r="D569" s="224"/>
      <c r="E569" s="224"/>
      <c r="F569" s="224"/>
      <c r="G569" s="224"/>
      <c r="H569" s="224"/>
      <c r="I569" s="224"/>
      <c r="J569" s="224"/>
      <c r="K569" s="224"/>
      <c r="L569" s="224"/>
      <c r="M569" s="224"/>
      <c r="N569" s="224"/>
      <c r="O569" s="224"/>
      <c r="P569" s="224"/>
      <c r="Q569" s="224"/>
      <c r="R569" s="224"/>
      <c r="S569" s="224"/>
      <c r="T569" s="224"/>
      <c r="U569" s="224"/>
      <c r="V569" s="224"/>
      <c r="W569" s="224"/>
      <c r="X569" s="224"/>
      <c r="Y569" s="224"/>
      <c r="Z569" s="224"/>
    </row>
    <row r="570" spans="1:26" ht="12.75" customHeight="1">
      <c r="A570" s="224"/>
      <c r="B570" s="226"/>
      <c r="C570" s="224"/>
      <c r="D570" s="224"/>
      <c r="E570" s="224"/>
      <c r="F570" s="224"/>
      <c r="G570" s="224"/>
      <c r="H570" s="224"/>
      <c r="I570" s="224"/>
      <c r="J570" s="224"/>
      <c r="K570" s="224"/>
      <c r="L570" s="224"/>
      <c r="M570" s="224"/>
      <c r="N570" s="224"/>
      <c r="O570" s="224"/>
      <c r="P570" s="224"/>
      <c r="Q570" s="224"/>
      <c r="R570" s="224"/>
      <c r="S570" s="224"/>
      <c r="T570" s="224"/>
      <c r="U570" s="224"/>
      <c r="V570" s="224"/>
      <c r="W570" s="224"/>
      <c r="X570" s="224"/>
      <c r="Y570" s="224"/>
      <c r="Z570" s="224"/>
    </row>
    <row r="571" spans="1:26" ht="12.75" customHeight="1">
      <c r="A571" s="224"/>
      <c r="B571" s="226"/>
      <c r="C571" s="224"/>
      <c r="D571" s="224"/>
      <c r="E571" s="224"/>
      <c r="F571" s="224"/>
      <c r="G571" s="224"/>
      <c r="H571" s="224"/>
      <c r="I571" s="224"/>
      <c r="J571" s="224"/>
      <c r="K571" s="224"/>
      <c r="L571" s="224"/>
      <c r="M571" s="224"/>
      <c r="N571" s="224"/>
      <c r="O571" s="224"/>
      <c r="P571" s="224"/>
      <c r="Q571" s="224"/>
      <c r="R571" s="224"/>
      <c r="S571" s="224"/>
      <c r="T571" s="224"/>
      <c r="U571" s="224"/>
      <c r="V571" s="224"/>
      <c r="W571" s="224"/>
      <c r="X571" s="224"/>
      <c r="Y571" s="224"/>
      <c r="Z571" s="224"/>
    </row>
    <row r="572" spans="1:26" ht="12.75" customHeight="1">
      <c r="A572" s="224"/>
      <c r="B572" s="226"/>
      <c r="C572" s="224"/>
      <c r="D572" s="224"/>
      <c r="E572" s="224"/>
      <c r="F572" s="224"/>
      <c r="G572" s="224"/>
      <c r="H572" s="224"/>
      <c r="I572" s="224"/>
      <c r="J572" s="224"/>
      <c r="K572" s="224"/>
      <c r="L572" s="224"/>
      <c r="M572" s="224"/>
      <c r="N572" s="224"/>
      <c r="O572" s="224"/>
      <c r="P572" s="224"/>
      <c r="Q572" s="224"/>
      <c r="R572" s="224"/>
      <c r="S572" s="224"/>
      <c r="T572" s="224"/>
      <c r="U572" s="224"/>
      <c r="V572" s="224"/>
      <c r="W572" s="224"/>
      <c r="X572" s="224"/>
      <c r="Y572" s="224"/>
      <c r="Z572" s="224"/>
    </row>
    <row r="573" spans="1:26" ht="12.75" customHeight="1">
      <c r="A573" s="224"/>
      <c r="B573" s="226"/>
      <c r="C573" s="224"/>
      <c r="D573" s="224"/>
      <c r="E573" s="224"/>
      <c r="F573" s="224"/>
      <c r="G573" s="224"/>
      <c r="H573" s="224"/>
      <c r="I573" s="224"/>
      <c r="J573" s="224"/>
      <c r="K573" s="224"/>
      <c r="L573" s="224"/>
      <c r="M573" s="224"/>
      <c r="N573" s="224"/>
      <c r="O573" s="224"/>
      <c r="P573" s="224"/>
      <c r="Q573" s="224"/>
      <c r="R573" s="224"/>
      <c r="S573" s="224"/>
      <c r="T573" s="224"/>
      <c r="U573" s="224"/>
      <c r="V573" s="224"/>
      <c r="W573" s="224"/>
      <c r="X573" s="224"/>
      <c r="Y573" s="224"/>
      <c r="Z573" s="224"/>
    </row>
    <row r="574" spans="1:26" ht="12.75" customHeight="1">
      <c r="A574" s="224"/>
      <c r="B574" s="226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224"/>
      <c r="T574" s="224"/>
      <c r="U574" s="224"/>
      <c r="V574" s="224"/>
      <c r="W574" s="224"/>
      <c r="X574" s="224"/>
      <c r="Y574" s="224"/>
      <c r="Z574" s="224"/>
    </row>
    <row r="575" spans="1:26" ht="12.75" customHeight="1">
      <c r="A575" s="224"/>
      <c r="B575" s="226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224"/>
      <c r="T575" s="224"/>
      <c r="U575" s="224"/>
      <c r="V575" s="224"/>
      <c r="W575" s="224"/>
      <c r="X575" s="224"/>
      <c r="Y575" s="224"/>
      <c r="Z575" s="224"/>
    </row>
    <row r="576" spans="1:26" ht="12.75" customHeight="1">
      <c r="A576" s="224"/>
      <c r="B576" s="226"/>
      <c r="C576" s="224"/>
      <c r="D576" s="224"/>
      <c r="E576" s="224"/>
      <c r="F576" s="224"/>
      <c r="G576" s="224"/>
      <c r="H576" s="224"/>
      <c r="I576" s="224"/>
      <c r="J576" s="224"/>
      <c r="K576" s="224"/>
      <c r="L576" s="224"/>
      <c r="M576" s="224"/>
      <c r="N576" s="224"/>
      <c r="O576" s="224"/>
      <c r="P576" s="224"/>
      <c r="Q576" s="224"/>
      <c r="R576" s="224"/>
      <c r="S576" s="224"/>
      <c r="T576" s="224"/>
      <c r="U576" s="224"/>
      <c r="V576" s="224"/>
      <c r="W576" s="224"/>
      <c r="X576" s="224"/>
      <c r="Y576" s="224"/>
      <c r="Z576" s="224"/>
    </row>
    <row r="577" spans="1:26" ht="12.75" customHeight="1">
      <c r="A577" s="224"/>
      <c r="B577" s="226"/>
      <c r="C577" s="224"/>
      <c r="D577" s="224"/>
      <c r="E577" s="224"/>
      <c r="F577" s="224"/>
      <c r="G577" s="224"/>
      <c r="H577" s="224"/>
      <c r="I577" s="224"/>
      <c r="J577" s="224"/>
      <c r="K577" s="224"/>
      <c r="L577" s="224"/>
      <c r="M577" s="224"/>
      <c r="N577" s="224"/>
      <c r="O577" s="224"/>
      <c r="P577" s="224"/>
      <c r="Q577" s="224"/>
      <c r="R577" s="224"/>
      <c r="S577" s="224"/>
      <c r="T577" s="224"/>
      <c r="U577" s="224"/>
      <c r="V577" s="224"/>
      <c r="W577" s="224"/>
      <c r="X577" s="224"/>
      <c r="Y577" s="224"/>
      <c r="Z577" s="224"/>
    </row>
    <row r="578" spans="1:26" ht="12.75" customHeight="1">
      <c r="A578" s="224"/>
      <c r="B578" s="226"/>
      <c r="C578" s="224"/>
      <c r="D578" s="224"/>
      <c r="E578" s="224"/>
      <c r="F578" s="224"/>
      <c r="G578" s="224"/>
      <c r="H578" s="224"/>
      <c r="I578" s="224"/>
      <c r="J578" s="224"/>
      <c r="K578" s="224"/>
      <c r="L578" s="224"/>
      <c r="M578" s="224"/>
      <c r="N578" s="224"/>
      <c r="O578" s="224"/>
      <c r="P578" s="224"/>
      <c r="Q578" s="224"/>
      <c r="R578" s="224"/>
      <c r="S578" s="224"/>
      <c r="T578" s="224"/>
      <c r="U578" s="224"/>
      <c r="V578" s="224"/>
      <c r="W578" s="224"/>
      <c r="X578" s="224"/>
      <c r="Y578" s="224"/>
      <c r="Z578" s="224"/>
    </row>
    <row r="579" spans="1:26" ht="12.75" customHeight="1">
      <c r="A579" s="224"/>
      <c r="B579" s="226"/>
      <c r="C579" s="224"/>
      <c r="D579" s="224"/>
      <c r="E579" s="224"/>
      <c r="F579" s="224"/>
      <c r="G579" s="224"/>
      <c r="H579" s="224"/>
      <c r="I579" s="224"/>
      <c r="J579" s="224"/>
      <c r="K579" s="224"/>
      <c r="L579" s="224"/>
      <c r="M579" s="224"/>
      <c r="N579" s="224"/>
      <c r="O579" s="224"/>
      <c r="P579" s="224"/>
      <c r="Q579" s="224"/>
      <c r="R579" s="224"/>
      <c r="S579" s="224"/>
      <c r="T579" s="224"/>
      <c r="U579" s="224"/>
      <c r="V579" s="224"/>
      <c r="W579" s="224"/>
      <c r="X579" s="224"/>
      <c r="Y579" s="224"/>
      <c r="Z579" s="224"/>
    </row>
    <row r="580" spans="1:26" ht="12.75" customHeight="1">
      <c r="A580" s="224"/>
      <c r="B580" s="226"/>
      <c r="C580" s="224"/>
      <c r="D580" s="224"/>
      <c r="E580" s="224"/>
      <c r="F580" s="224"/>
      <c r="G580" s="224"/>
      <c r="H580" s="224"/>
      <c r="I580" s="224"/>
      <c r="J580" s="224"/>
      <c r="K580" s="224"/>
      <c r="L580" s="224"/>
      <c r="M580" s="224"/>
      <c r="N580" s="224"/>
      <c r="O580" s="224"/>
      <c r="P580" s="224"/>
      <c r="Q580" s="224"/>
      <c r="R580" s="224"/>
      <c r="S580" s="224"/>
      <c r="T580" s="224"/>
      <c r="U580" s="224"/>
      <c r="V580" s="224"/>
      <c r="W580" s="224"/>
      <c r="X580" s="224"/>
      <c r="Y580" s="224"/>
      <c r="Z580" s="224"/>
    </row>
    <row r="581" spans="1:26" ht="12.75" customHeight="1">
      <c r="A581" s="224"/>
      <c r="B581" s="226"/>
      <c r="C581" s="224"/>
      <c r="D581" s="224"/>
      <c r="E581" s="224"/>
      <c r="F581" s="224"/>
      <c r="G581" s="224"/>
      <c r="H581" s="224"/>
      <c r="I581" s="224"/>
      <c r="J581" s="224"/>
      <c r="K581" s="224"/>
      <c r="L581" s="224"/>
      <c r="M581" s="224"/>
      <c r="N581" s="224"/>
      <c r="O581" s="224"/>
      <c r="P581" s="224"/>
      <c r="Q581" s="224"/>
      <c r="R581" s="224"/>
      <c r="S581" s="224"/>
      <c r="T581" s="224"/>
      <c r="U581" s="224"/>
      <c r="V581" s="224"/>
      <c r="W581" s="224"/>
      <c r="X581" s="224"/>
      <c r="Y581" s="224"/>
      <c r="Z581" s="224"/>
    </row>
    <row r="582" spans="1:26" ht="12.75" customHeight="1">
      <c r="A582" s="224"/>
      <c r="B582" s="226"/>
      <c r="C582" s="224"/>
      <c r="D582" s="224"/>
      <c r="E582" s="224"/>
      <c r="F582" s="224"/>
      <c r="G582" s="224"/>
      <c r="H582" s="224"/>
      <c r="I582" s="224"/>
      <c r="J582" s="224"/>
      <c r="K582" s="224"/>
      <c r="L582" s="224"/>
      <c r="M582" s="224"/>
      <c r="N582" s="224"/>
      <c r="O582" s="224"/>
      <c r="P582" s="224"/>
      <c r="Q582" s="224"/>
      <c r="R582" s="224"/>
      <c r="S582" s="224"/>
      <c r="T582" s="224"/>
      <c r="U582" s="224"/>
      <c r="V582" s="224"/>
      <c r="W582" s="224"/>
      <c r="X582" s="224"/>
      <c r="Y582" s="224"/>
      <c r="Z582" s="224"/>
    </row>
    <row r="583" spans="1:26" ht="12.75" customHeight="1">
      <c r="A583" s="224"/>
      <c r="B583" s="226"/>
      <c r="C583" s="224"/>
      <c r="D583" s="224"/>
      <c r="E583" s="224"/>
      <c r="F583" s="224"/>
      <c r="G583" s="224"/>
      <c r="H583" s="224"/>
      <c r="I583" s="224"/>
      <c r="J583" s="224"/>
      <c r="K583" s="224"/>
      <c r="L583" s="224"/>
      <c r="M583" s="224"/>
      <c r="N583" s="224"/>
      <c r="O583" s="224"/>
      <c r="P583" s="224"/>
      <c r="Q583" s="224"/>
      <c r="R583" s="224"/>
      <c r="S583" s="224"/>
      <c r="T583" s="224"/>
      <c r="U583" s="224"/>
      <c r="V583" s="224"/>
      <c r="W583" s="224"/>
      <c r="X583" s="224"/>
      <c r="Y583" s="224"/>
      <c r="Z583" s="224"/>
    </row>
    <row r="584" spans="1:26" ht="12.75" customHeight="1">
      <c r="A584" s="224"/>
      <c r="B584" s="226"/>
      <c r="C584" s="224"/>
      <c r="D584" s="224"/>
      <c r="E584" s="224"/>
      <c r="F584" s="224"/>
      <c r="G584" s="224"/>
      <c r="H584" s="224"/>
      <c r="I584" s="224"/>
      <c r="J584" s="224"/>
      <c r="K584" s="224"/>
      <c r="L584" s="224"/>
      <c r="M584" s="224"/>
      <c r="N584" s="224"/>
      <c r="O584" s="224"/>
      <c r="P584" s="224"/>
      <c r="Q584" s="224"/>
      <c r="R584" s="224"/>
      <c r="S584" s="224"/>
      <c r="T584" s="224"/>
      <c r="U584" s="224"/>
      <c r="V584" s="224"/>
      <c r="W584" s="224"/>
      <c r="X584" s="224"/>
      <c r="Y584" s="224"/>
      <c r="Z584" s="224"/>
    </row>
    <row r="585" spans="1:26" ht="12.75" customHeight="1">
      <c r="A585" s="224"/>
      <c r="B585" s="226"/>
      <c r="C585" s="224"/>
      <c r="D585" s="224"/>
      <c r="E585" s="224"/>
      <c r="F585" s="224"/>
      <c r="G585" s="224"/>
      <c r="H585" s="224"/>
      <c r="I585" s="224"/>
      <c r="J585" s="224"/>
      <c r="K585" s="224"/>
      <c r="L585" s="224"/>
      <c r="M585" s="224"/>
      <c r="N585" s="224"/>
      <c r="O585" s="224"/>
      <c r="P585" s="224"/>
      <c r="Q585" s="224"/>
      <c r="R585" s="224"/>
      <c r="S585" s="224"/>
      <c r="T585" s="224"/>
      <c r="U585" s="224"/>
      <c r="V585" s="224"/>
      <c r="W585" s="224"/>
      <c r="X585" s="224"/>
      <c r="Y585" s="224"/>
      <c r="Z585" s="224"/>
    </row>
    <row r="586" spans="1:26" ht="12.75" customHeight="1">
      <c r="A586" s="224"/>
      <c r="B586" s="226"/>
      <c r="C586" s="224"/>
      <c r="D586" s="224"/>
      <c r="E586" s="224"/>
      <c r="F586" s="224"/>
      <c r="G586" s="224"/>
      <c r="H586" s="224"/>
      <c r="I586" s="224"/>
      <c r="J586" s="224"/>
      <c r="K586" s="224"/>
      <c r="L586" s="224"/>
      <c r="M586" s="224"/>
      <c r="N586" s="224"/>
      <c r="O586" s="224"/>
      <c r="P586" s="224"/>
      <c r="Q586" s="224"/>
      <c r="R586" s="224"/>
      <c r="S586" s="224"/>
      <c r="T586" s="224"/>
      <c r="U586" s="224"/>
      <c r="V586" s="224"/>
      <c r="W586" s="224"/>
      <c r="X586" s="224"/>
      <c r="Y586" s="224"/>
      <c r="Z586" s="224"/>
    </row>
    <row r="587" spans="1:26" ht="12.75" customHeight="1">
      <c r="A587" s="224"/>
      <c r="B587" s="226"/>
      <c r="C587" s="224"/>
      <c r="D587" s="224"/>
      <c r="E587" s="224"/>
      <c r="F587" s="224"/>
      <c r="G587" s="224"/>
      <c r="H587" s="224"/>
      <c r="I587" s="224"/>
      <c r="J587" s="224"/>
      <c r="K587" s="224"/>
      <c r="L587" s="224"/>
      <c r="M587" s="224"/>
      <c r="N587" s="224"/>
      <c r="O587" s="224"/>
      <c r="P587" s="224"/>
      <c r="Q587" s="224"/>
      <c r="R587" s="224"/>
      <c r="S587" s="224"/>
      <c r="T587" s="224"/>
      <c r="U587" s="224"/>
      <c r="V587" s="224"/>
      <c r="W587" s="224"/>
      <c r="X587" s="224"/>
      <c r="Y587" s="224"/>
      <c r="Z587" s="224"/>
    </row>
    <row r="588" spans="1:26" ht="12.75" customHeight="1">
      <c r="A588" s="224"/>
      <c r="B588" s="226"/>
      <c r="C588" s="224"/>
      <c r="D588" s="224"/>
      <c r="E588" s="224"/>
      <c r="F588" s="224"/>
      <c r="G588" s="224"/>
      <c r="H588" s="224"/>
      <c r="I588" s="224"/>
      <c r="J588" s="224"/>
      <c r="K588" s="224"/>
      <c r="L588" s="224"/>
      <c r="M588" s="224"/>
      <c r="N588" s="224"/>
      <c r="O588" s="224"/>
      <c r="P588" s="224"/>
      <c r="Q588" s="224"/>
      <c r="R588" s="224"/>
      <c r="S588" s="224"/>
      <c r="T588" s="224"/>
      <c r="U588" s="224"/>
      <c r="V588" s="224"/>
      <c r="W588" s="224"/>
      <c r="X588" s="224"/>
      <c r="Y588" s="224"/>
      <c r="Z588" s="224"/>
    </row>
    <row r="589" spans="1:26" ht="12.75" customHeight="1">
      <c r="A589" s="224"/>
      <c r="B589" s="226"/>
      <c r="C589" s="224"/>
      <c r="D589" s="224"/>
      <c r="E589" s="224"/>
      <c r="F589" s="224"/>
      <c r="G589" s="224"/>
      <c r="H589" s="224"/>
      <c r="I589" s="224"/>
      <c r="J589" s="224"/>
      <c r="K589" s="224"/>
      <c r="L589" s="224"/>
      <c r="M589" s="224"/>
      <c r="N589" s="224"/>
      <c r="O589" s="224"/>
      <c r="P589" s="224"/>
      <c r="Q589" s="224"/>
      <c r="R589" s="224"/>
      <c r="S589" s="224"/>
      <c r="T589" s="224"/>
      <c r="U589" s="224"/>
      <c r="V589" s="224"/>
      <c r="W589" s="224"/>
      <c r="X589" s="224"/>
      <c r="Y589" s="224"/>
      <c r="Z589" s="224"/>
    </row>
    <row r="590" spans="1:26" ht="12.75" customHeight="1">
      <c r="A590" s="224"/>
      <c r="B590" s="226"/>
      <c r="C590" s="224"/>
      <c r="D590" s="224"/>
      <c r="E590" s="224"/>
      <c r="F590" s="224"/>
      <c r="G590" s="224"/>
      <c r="H590" s="224"/>
      <c r="I590" s="224"/>
      <c r="J590" s="224"/>
      <c r="K590" s="224"/>
      <c r="L590" s="224"/>
      <c r="M590" s="224"/>
      <c r="N590" s="224"/>
      <c r="O590" s="224"/>
      <c r="P590" s="224"/>
      <c r="Q590" s="224"/>
      <c r="R590" s="224"/>
      <c r="S590" s="224"/>
      <c r="T590" s="224"/>
      <c r="U590" s="224"/>
      <c r="V590" s="224"/>
      <c r="W590" s="224"/>
      <c r="X590" s="224"/>
      <c r="Y590" s="224"/>
      <c r="Z590" s="224"/>
    </row>
    <row r="591" spans="1:26" ht="12.75" customHeight="1">
      <c r="A591" s="224"/>
      <c r="B591" s="226"/>
      <c r="C591" s="224"/>
      <c r="D591" s="224"/>
      <c r="E591" s="224"/>
      <c r="F591" s="224"/>
      <c r="G591" s="224"/>
      <c r="H591" s="224"/>
      <c r="I591" s="224"/>
      <c r="J591" s="224"/>
      <c r="K591" s="224"/>
      <c r="L591" s="224"/>
      <c r="M591" s="224"/>
      <c r="N591" s="224"/>
      <c r="O591" s="224"/>
      <c r="P591" s="224"/>
      <c r="Q591" s="224"/>
      <c r="R591" s="224"/>
      <c r="S591" s="224"/>
      <c r="T591" s="224"/>
      <c r="U591" s="224"/>
      <c r="V591" s="224"/>
      <c r="W591" s="224"/>
      <c r="X591" s="224"/>
      <c r="Y591" s="224"/>
      <c r="Z591" s="224"/>
    </row>
    <row r="592" spans="1:26" ht="12.75" customHeight="1">
      <c r="A592" s="224"/>
      <c r="B592" s="226"/>
      <c r="C592" s="224"/>
      <c r="D592" s="224"/>
      <c r="E592" s="224"/>
      <c r="F592" s="224"/>
      <c r="G592" s="224"/>
      <c r="H592" s="224"/>
      <c r="I592" s="224"/>
      <c r="J592" s="224"/>
      <c r="K592" s="224"/>
      <c r="L592" s="224"/>
      <c r="M592" s="224"/>
      <c r="N592" s="224"/>
      <c r="O592" s="224"/>
      <c r="P592" s="224"/>
      <c r="Q592" s="224"/>
      <c r="R592" s="224"/>
      <c r="S592" s="224"/>
      <c r="T592" s="224"/>
      <c r="U592" s="224"/>
      <c r="V592" s="224"/>
      <c r="W592" s="224"/>
      <c r="X592" s="224"/>
      <c r="Y592" s="224"/>
      <c r="Z592" s="224"/>
    </row>
    <row r="593" spans="1:26" ht="12.75" customHeight="1">
      <c r="A593" s="224"/>
      <c r="B593" s="226"/>
      <c r="C593" s="224"/>
      <c r="D593" s="224"/>
      <c r="E593" s="224"/>
      <c r="F593" s="224"/>
      <c r="G593" s="224"/>
      <c r="H593" s="224"/>
      <c r="I593" s="224"/>
      <c r="J593" s="224"/>
      <c r="K593" s="224"/>
      <c r="L593" s="224"/>
      <c r="M593" s="224"/>
      <c r="N593" s="224"/>
      <c r="O593" s="224"/>
      <c r="P593" s="224"/>
      <c r="Q593" s="224"/>
      <c r="R593" s="224"/>
      <c r="S593" s="224"/>
      <c r="T593" s="224"/>
      <c r="U593" s="224"/>
      <c r="V593" s="224"/>
      <c r="W593" s="224"/>
      <c r="X593" s="224"/>
      <c r="Y593" s="224"/>
      <c r="Z593" s="224"/>
    </row>
    <row r="594" spans="1:26" ht="12.75" customHeight="1">
      <c r="A594" s="224"/>
      <c r="B594" s="226"/>
      <c r="C594" s="224"/>
      <c r="D594" s="224"/>
      <c r="E594" s="224"/>
      <c r="F594" s="224"/>
      <c r="G594" s="224"/>
      <c r="H594" s="224"/>
      <c r="I594" s="224"/>
      <c r="J594" s="224"/>
      <c r="K594" s="224"/>
      <c r="L594" s="224"/>
      <c r="M594" s="224"/>
      <c r="N594" s="224"/>
      <c r="O594" s="224"/>
      <c r="P594" s="224"/>
      <c r="Q594" s="224"/>
      <c r="R594" s="224"/>
      <c r="S594" s="224"/>
      <c r="T594" s="224"/>
      <c r="U594" s="224"/>
      <c r="V594" s="224"/>
      <c r="W594" s="224"/>
      <c r="X594" s="224"/>
      <c r="Y594" s="224"/>
      <c r="Z594" s="224"/>
    </row>
    <row r="595" spans="1:26" ht="12.75" customHeight="1">
      <c r="A595" s="224"/>
      <c r="B595" s="226"/>
      <c r="C595" s="224"/>
      <c r="D595" s="224"/>
      <c r="E595" s="224"/>
      <c r="F595" s="224"/>
      <c r="G595" s="224"/>
      <c r="H595" s="224"/>
      <c r="I595" s="224"/>
      <c r="J595" s="224"/>
      <c r="K595" s="224"/>
      <c r="L595" s="224"/>
      <c r="M595" s="224"/>
      <c r="N595" s="224"/>
      <c r="O595" s="224"/>
      <c r="P595" s="224"/>
      <c r="Q595" s="224"/>
      <c r="R595" s="224"/>
      <c r="S595" s="224"/>
      <c r="T595" s="224"/>
      <c r="U595" s="224"/>
      <c r="V595" s="224"/>
      <c r="W595" s="224"/>
      <c r="X595" s="224"/>
      <c r="Y595" s="224"/>
      <c r="Z595" s="224"/>
    </row>
    <row r="596" spans="1:26" ht="12.75" customHeight="1">
      <c r="A596" s="224"/>
      <c r="B596" s="226"/>
      <c r="C596" s="224"/>
      <c r="D596" s="224"/>
      <c r="E596" s="224"/>
      <c r="F596" s="224"/>
      <c r="G596" s="224"/>
      <c r="H596" s="224"/>
      <c r="I596" s="224"/>
      <c r="J596" s="224"/>
      <c r="K596" s="224"/>
      <c r="L596" s="224"/>
      <c r="M596" s="224"/>
      <c r="N596" s="224"/>
      <c r="O596" s="224"/>
      <c r="P596" s="224"/>
      <c r="Q596" s="224"/>
      <c r="R596" s="224"/>
      <c r="S596" s="224"/>
      <c r="T596" s="224"/>
      <c r="U596" s="224"/>
      <c r="V596" s="224"/>
      <c r="W596" s="224"/>
      <c r="X596" s="224"/>
      <c r="Y596" s="224"/>
      <c r="Z596" s="224"/>
    </row>
    <row r="597" spans="1:26" ht="12.75" customHeight="1">
      <c r="A597" s="224"/>
      <c r="B597" s="226"/>
      <c r="C597" s="224"/>
      <c r="D597" s="224"/>
      <c r="E597" s="224"/>
      <c r="F597" s="224"/>
      <c r="G597" s="224"/>
      <c r="H597" s="224"/>
      <c r="I597" s="224"/>
      <c r="J597" s="224"/>
      <c r="K597" s="224"/>
      <c r="L597" s="224"/>
      <c r="M597" s="224"/>
      <c r="N597" s="224"/>
      <c r="O597" s="224"/>
      <c r="P597" s="224"/>
      <c r="Q597" s="224"/>
      <c r="R597" s="224"/>
      <c r="S597" s="224"/>
      <c r="T597" s="224"/>
      <c r="U597" s="224"/>
      <c r="V597" s="224"/>
      <c r="W597" s="224"/>
      <c r="X597" s="224"/>
      <c r="Y597" s="224"/>
      <c r="Z597" s="224"/>
    </row>
    <row r="598" spans="1:26" ht="12.75" customHeight="1">
      <c r="A598" s="224"/>
      <c r="B598" s="226"/>
      <c r="C598" s="224"/>
      <c r="D598" s="224"/>
      <c r="E598" s="224"/>
      <c r="F598" s="224"/>
      <c r="G598" s="224"/>
      <c r="H598" s="224"/>
      <c r="I598" s="224"/>
      <c r="J598" s="224"/>
      <c r="K598" s="224"/>
      <c r="L598" s="224"/>
      <c r="M598" s="224"/>
      <c r="N598" s="224"/>
      <c r="O598" s="224"/>
      <c r="P598" s="224"/>
      <c r="Q598" s="224"/>
      <c r="R598" s="224"/>
      <c r="S598" s="224"/>
      <c r="T598" s="224"/>
      <c r="U598" s="224"/>
      <c r="V598" s="224"/>
      <c r="W598" s="224"/>
      <c r="X598" s="224"/>
      <c r="Y598" s="224"/>
      <c r="Z598" s="224"/>
    </row>
    <row r="599" spans="1:26" ht="12.75" customHeight="1">
      <c r="A599" s="224"/>
      <c r="B599" s="226"/>
      <c r="C599" s="224"/>
      <c r="D599" s="224"/>
      <c r="E599" s="224"/>
      <c r="F599" s="224"/>
      <c r="G599" s="224"/>
      <c r="H599" s="224"/>
      <c r="I599" s="224"/>
      <c r="J599" s="224"/>
      <c r="K599" s="224"/>
      <c r="L599" s="224"/>
      <c r="M599" s="224"/>
      <c r="N599" s="224"/>
      <c r="O599" s="224"/>
      <c r="P599" s="224"/>
      <c r="Q599" s="224"/>
      <c r="R599" s="224"/>
      <c r="S599" s="224"/>
      <c r="T599" s="224"/>
      <c r="U599" s="224"/>
      <c r="V599" s="224"/>
      <c r="W599" s="224"/>
      <c r="X599" s="224"/>
      <c r="Y599" s="224"/>
      <c r="Z599" s="224"/>
    </row>
    <row r="600" spans="1:26" ht="12.75" customHeight="1">
      <c r="A600" s="224"/>
      <c r="B600" s="226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224"/>
      <c r="T600" s="224"/>
      <c r="U600" s="224"/>
      <c r="V600" s="224"/>
      <c r="W600" s="224"/>
      <c r="X600" s="224"/>
      <c r="Y600" s="224"/>
      <c r="Z600" s="224"/>
    </row>
    <row r="601" spans="1:26" ht="12.75" customHeight="1">
      <c r="A601" s="224"/>
      <c r="B601" s="226"/>
      <c r="C601" s="224"/>
      <c r="D601" s="224"/>
      <c r="E601" s="224"/>
      <c r="F601" s="224"/>
      <c r="G601" s="224"/>
      <c r="H601" s="224"/>
      <c r="I601" s="224"/>
      <c r="J601" s="224"/>
      <c r="K601" s="224"/>
      <c r="L601" s="224"/>
      <c r="M601" s="224"/>
      <c r="N601" s="224"/>
      <c r="O601" s="224"/>
      <c r="P601" s="224"/>
      <c r="Q601" s="224"/>
      <c r="R601" s="224"/>
      <c r="S601" s="224"/>
      <c r="T601" s="224"/>
      <c r="U601" s="224"/>
      <c r="V601" s="224"/>
      <c r="W601" s="224"/>
      <c r="X601" s="224"/>
      <c r="Y601" s="224"/>
      <c r="Z601" s="224"/>
    </row>
    <row r="602" spans="1:26" ht="12.75" customHeight="1">
      <c r="A602" s="224"/>
      <c r="B602" s="226"/>
      <c r="C602" s="224"/>
      <c r="D602" s="224"/>
      <c r="E602" s="224"/>
      <c r="F602" s="224"/>
      <c r="G602" s="224"/>
      <c r="H602" s="224"/>
      <c r="I602" s="224"/>
      <c r="J602" s="224"/>
      <c r="K602" s="224"/>
      <c r="L602" s="224"/>
      <c r="M602" s="224"/>
      <c r="N602" s="224"/>
      <c r="O602" s="224"/>
      <c r="P602" s="224"/>
      <c r="Q602" s="224"/>
      <c r="R602" s="224"/>
      <c r="S602" s="224"/>
      <c r="T602" s="224"/>
      <c r="U602" s="224"/>
      <c r="V602" s="224"/>
      <c r="W602" s="224"/>
      <c r="X602" s="224"/>
      <c r="Y602" s="224"/>
      <c r="Z602" s="224"/>
    </row>
    <row r="603" spans="1:26" ht="12.75" customHeight="1">
      <c r="A603" s="224"/>
      <c r="B603" s="226"/>
      <c r="C603" s="224"/>
      <c r="D603" s="224"/>
      <c r="E603" s="224"/>
      <c r="F603" s="224"/>
      <c r="G603" s="224"/>
      <c r="H603" s="224"/>
      <c r="I603" s="224"/>
      <c r="J603" s="224"/>
      <c r="K603" s="224"/>
      <c r="L603" s="224"/>
      <c r="M603" s="224"/>
      <c r="N603" s="224"/>
      <c r="O603" s="224"/>
      <c r="P603" s="224"/>
      <c r="Q603" s="224"/>
      <c r="R603" s="224"/>
      <c r="S603" s="224"/>
      <c r="T603" s="224"/>
      <c r="U603" s="224"/>
      <c r="V603" s="224"/>
      <c r="W603" s="224"/>
      <c r="X603" s="224"/>
      <c r="Y603" s="224"/>
      <c r="Z603" s="224"/>
    </row>
    <row r="604" spans="1:26" ht="12.75" customHeight="1">
      <c r="A604" s="224"/>
      <c r="B604" s="226"/>
      <c r="C604" s="224"/>
      <c r="D604" s="224"/>
      <c r="E604" s="224"/>
      <c r="F604" s="224"/>
      <c r="G604" s="224"/>
      <c r="H604" s="224"/>
      <c r="I604" s="224"/>
      <c r="J604" s="224"/>
      <c r="K604" s="224"/>
      <c r="L604" s="224"/>
      <c r="M604" s="224"/>
      <c r="N604" s="224"/>
      <c r="O604" s="224"/>
      <c r="P604" s="224"/>
      <c r="Q604" s="224"/>
      <c r="R604" s="224"/>
      <c r="S604" s="224"/>
      <c r="T604" s="224"/>
      <c r="U604" s="224"/>
      <c r="V604" s="224"/>
      <c r="W604" s="224"/>
      <c r="X604" s="224"/>
      <c r="Y604" s="224"/>
      <c r="Z604" s="224"/>
    </row>
    <row r="605" spans="1:26" ht="12.75" customHeight="1">
      <c r="A605" s="224"/>
      <c r="B605" s="226"/>
      <c r="C605" s="224"/>
      <c r="D605" s="224"/>
      <c r="E605" s="224"/>
      <c r="F605" s="224"/>
      <c r="G605" s="224"/>
      <c r="H605" s="224"/>
      <c r="I605" s="224"/>
      <c r="J605" s="224"/>
      <c r="K605" s="224"/>
      <c r="L605" s="224"/>
      <c r="M605" s="224"/>
      <c r="N605" s="224"/>
      <c r="O605" s="224"/>
      <c r="P605" s="224"/>
      <c r="Q605" s="224"/>
      <c r="R605" s="224"/>
      <c r="S605" s="224"/>
      <c r="T605" s="224"/>
      <c r="U605" s="224"/>
      <c r="V605" s="224"/>
      <c r="W605" s="224"/>
      <c r="X605" s="224"/>
      <c r="Y605" s="224"/>
      <c r="Z605" s="224"/>
    </row>
    <row r="606" spans="1:26" ht="12.75" customHeight="1">
      <c r="A606" s="224"/>
      <c r="B606" s="226"/>
      <c r="C606" s="224"/>
      <c r="D606" s="224"/>
      <c r="E606" s="224"/>
      <c r="F606" s="224"/>
      <c r="G606" s="224"/>
      <c r="H606" s="224"/>
      <c r="I606" s="224"/>
      <c r="J606" s="224"/>
      <c r="K606" s="224"/>
      <c r="L606" s="224"/>
      <c r="M606" s="224"/>
      <c r="N606" s="224"/>
      <c r="O606" s="224"/>
      <c r="P606" s="224"/>
      <c r="Q606" s="224"/>
      <c r="R606" s="224"/>
      <c r="S606" s="224"/>
      <c r="T606" s="224"/>
      <c r="U606" s="224"/>
      <c r="V606" s="224"/>
      <c r="W606" s="224"/>
      <c r="X606" s="224"/>
      <c r="Y606" s="224"/>
      <c r="Z606" s="224"/>
    </row>
    <row r="607" spans="1:26" ht="12.75" customHeight="1">
      <c r="A607" s="224"/>
      <c r="B607" s="226"/>
      <c r="C607" s="224"/>
      <c r="D607" s="224"/>
      <c r="E607" s="224"/>
      <c r="F607" s="224"/>
      <c r="G607" s="224"/>
      <c r="H607" s="224"/>
      <c r="I607" s="224"/>
      <c r="J607" s="224"/>
      <c r="K607" s="224"/>
      <c r="L607" s="224"/>
      <c r="M607" s="224"/>
      <c r="N607" s="224"/>
      <c r="O607" s="224"/>
      <c r="P607" s="224"/>
      <c r="Q607" s="224"/>
      <c r="R607" s="224"/>
      <c r="S607" s="224"/>
      <c r="T607" s="224"/>
      <c r="U607" s="224"/>
      <c r="V607" s="224"/>
      <c r="W607" s="224"/>
      <c r="X607" s="224"/>
      <c r="Y607" s="224"/>
      <c r="Z607" s="224"/>
    </row>
    <row r="608" spans="1:26" ht="12.75" customHeight="1">
      <c r="A608" s="224"/>
      <c r="B608" s="226"/>
      <c r="C608" s="224"/>
      <c r="D608" s="224"/>
      <c r="E608" s="224"/>
      <c r="F608" s="224"/>
      <c r="G608" s="224"/>
      <c r="H608" s="224"/>
      <c r="I608" s="224"/>
      <c r="J608" s="224"/>
      <c r="K608" s="224"/>
      <c r="L608" s="224"/>
      <c r="M608" s="224"/>
      <c r="N608" s="224"/>
      <c r="O608" s="224"/>
      <c r="P608" s="224"/>
      <c r="Q608" s="224"/>
      <c r="R608" s="224"/>
      <c r="S608" s="224"/>
      <c r="T608" s="224"/>
      <c r="U608" s="224"/>
      <c r="V608" s="224"/>
      <c r="W608" s="224"/>
      <c r="X608" s="224"/>
      <c r="Y608" s="224"/>
      <c r="Z608" s="224"/>
    </row>
    <row r="609" spans="1:26" ht="12.75" customHeight="1">
      <c r="A609" s="224"/>
      <c r="B609" s="226"/>
      <c r="C609" s="224"/>
      <c r="D609" s="224"/>
      <c r="E609" s="224"/>
      <c r="F609" s="224"/>
      <c r="G609" s="224"/>
      <c r="H609" s="224"/>
      <c r="I609" s="224"/>
      <c r="J609" s="224"/>
      <c r="K609" s="224"/>
      <c r="L609" s="224"/>
      <c r="M609" s="224"/>
      <c r="N609" s="224"/>
      <c r="O609" s="224"/>
      <c r="P609" s="224"/>
      <c r="Q609" s="224"/>
      <c r="R609" s="224"/>
      <c r="S609" s="224"/>
      <c r="T609" s="224"/>
      <c r="U609" s="224"/>
      <c r="V609" s="224"/>
      <c r="W609" s="224"/>
      <c r="X609" s="224"/>
      <c r="Y609" s="224"/>
      <c r="Z609" s="224"/>
    </row>
    <row r="610" spans="1:26" ht="12.75" customHeight="1">
      <c r="A610" s="224"/>
      <c r="B610" s="226"/>
      <c r="C610" s="224"/>
      <c r="D610" s="224"/>
      <c r="E610" s="224"/>
      <c r="F610" s="224"/>
      <c r="G610" s="224"/>
      <c r="H610" s="224"/>
      <c r="I610" s="224"/>
      <c r="J610" s="224"/>
      <c r="K610" s="224"/>
      <c r="L610" s="224"/>
      <c r="M610" s="224"/>
      <c r="N610" s="224"/>
      <c r="O610" s="224"/>
      <c r="P610" s="224"/>
      <c r="Q610" s="224"/>
      <c r="R610" s="224"/>
      <c r="S610" s="224"/>
      <c r="T610" s="224"/>
      <c r="U610" s="224"/>
      <c r="V610" s="224"/>
      <c r="W610" s="224"/>
      <c r="X610" s="224"/>
      <c r="Y610" s="224"/>
      <c r="Z610" s="224"/>
    </row>
    <row r="611" spans="1:26" ht="12.75" customHeight="1">
      <c r="A611" s="224"/>
      <c r="B611" s="226"/>
      <c r="C611" s="224"/>
      <c r="D611" s="224"/>
      <c r="E611" s="224"/>
      <c r="F611" s="224"/>
      <c r="G611" s="224"/>
      <c r="H611" s="224"/>
      <c r="I611" s="224"/>
      <c r="J611" s="224"/>
      <c r="K611" s="224"/>
      <c r="L611" s="224"/>
      <c r="M611" s="224"/>
      <c r="N611" s="224"/>
      <c r="O611" s="224"/>
      <c r="P611" s="224"/>
      <c r="Q611" s="224"/>
      <c r="R611" s="224"/>
      <c r="S611" s="224"/>
      <c r="T611" s="224"/>
      <c r="U611" s="224"/>
      <c r="V611" s="224"/>
      <c r="W611" s="224"/>
      <c r="X611" s="224"/>
      <c r="Y611" s="224"/>
      <c r="Z611" s="224"/>
    </row>
    <row r="612" spans="1:26" ht="12.75" customHeight="1">
      <c r="A612" s="224"/>
      <c r="B612" s="226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224"/>
      <c r="T612" s="224"/>
      <c r="U612" s="224"/>
      <c r="V612" s="224"/>
      <c r="W612" s="224"/>
      <c r="X612" s="224"/>
      <c r="Y612" s="224"/>
      <c r="Z612" s="224"/>
    </row>
    <row r="613" spans="1:26" ht="12.75" customHeight="1">
      <c r="A613" s="224"/>
      <c r="B613" s="226"/>
      <c r="C613" s="224"/>
      <c r="D613" s="224"/>
      <c r="E613" s="224"/>
      <c r="F613" s="224"/>
      <c r="G613" s="224"/>
      <c r="H613" s="224"/>
      <c r="I613" s="224"/>
      <c r="J613" s="224"/>
      <c r="K613" s="224"/>
      <c r="L613" s="224"/>
      <c r="M613" s="224"/>
      <c r="N613" s="224"/>
      <c r="O613" s="224"/>
      <c r="P613" s="224"/>
      <c r="Q613" s="224"/>
      <c r="R613" s="224"/>
      <c r="S613" s="224"/>
      <c r="T613" s="224"/>
      <c r="U613" s="224"/>
      <c r="V613" s="224"/>
      <c r="W613" s="224"/>
      <c r="X613" s="224"/>
      <c r="Y613" s="224"/>
      <c r="Z613" s="224"/>
    </row>
    <row r="614" spans="1:26" ht="12.75" customHeight="1">
      <c r="A614" s="224"/>
      <c r="B614" s="226"/>
      <c r="C614" s="224"/>
      <c r="D614" s="224"/>
      <c r="E614" s="224"/>
      <c r="F614" s="224"/>
      <c r="G614" s="224"/>
      <c r="H614" s="224"/>
      <c r="I614" s="224"/>
      <c r="J614" s="224"/>
      <c r="K614" s="224"/>
      <c r="L614" s="224"/>
      <c r="M614" s="224"/>
      <c r="N614" s="224"/>
      <c r="O614" s="224"/>
      <c r="P614" s="224"/>
      <c r="Q614" s="224"/>
      <c r="R614" s="224"/>
      <c r="S614" s="224"/>
      <c r="T614" s="224"/>
      <c r="U614" s="224"/>
      <c r="V614" s="224"/>
      <c r="W614" s="224"/>
      <c r="X614" s="224"/>
      <c r="Y614" s="224"/>
      <c r="Z614" s="224"/>
    </row>
    <row r="615" spans="1:26" ht="12.75" customHeight="1">
      <c r="A615" s="224"/>
      <c r="B615" s="226"/>
      <c r="C615" s="224"/>
      <c r="D615" s="224"/>
      <c r="E615" s="224"/>
      <c r="F615" s="224"/>
      <c r="G615" s="224"/>
      <c r="H615" s="224"/>
      <c r="I615" s="224"/>
      <c r="J615" s="224"/>
      <c r="K615" s="224"/>
      <c r="L615" s="224"/>
      <c r="M615" s="224"/>
      <c r="N615" s="224"/>
      <c r="O615" s="224"/>
      <c r="P615" s="224"/>
      <c r="Q615" s="224"/>
      <c r="R615" s="224"/>
      <c r="S615" s="224"/>
      <c r="T615" s="224"/>
      <c r="U615" s="224"/>
      <c r="V615" s="224"/>
      <c r="W615" s="224"/>
      <c r="X615" s="224"/>
      <c r="Y615" s="224"/>
      <c r="Z615" s="224"/>
    </row>
    <row r="616" spans="1:26" ht="12.75" customHeight="1">
      <c r="A616" s="224"/>
      <c r="B616" s="226"/>
      <c r="C616" s="224"/>
      <c r="D616" s="224"/>
      <c r="E616" s="224"/>
      <c r="F616" s="224"/>
      <c r="G616" s="224"/>
      <c r="H616" s="224"/>
      <c r="I616" s="224"/>
      <c r="J616" s="224"/>
      <c r="K616" s="224"/>
      <c r="L616" s="224"/>
      <c r="M616" s="224"/>
      <c r="N616" s="224"/>
      <c r="O616" s="224"/>
      <c r="P616" s="224"/>
      <c r="Q616" s="224"/>
      <c r="R616" s="224"/>
      <c r="S616" s="224"/>
      <c r="T616" s="224"/>
      <c r="U616" s="224"/>
      <c r="V616" s="224"/>
      <c r="W616" s="224"/>
      <c r="X616" s="224"/>
      <c r="Y616" s="224"/>
      <c r="Z616" s="224"/>
    </row>
    <row r="617" spans="1:26" ht="12.75" customHeight="1">
      <c r="A617" s="224"/>
      <c r="B617" s="226"/>
      <c r="C617" s="224"/>
      <c r="D617" s="224"/>
      <c r="E617" s="224"/>
      <c r="F617" s="224"/>
      <c r="G617" s="224"/>
      <c r="H617" s="224"/>
      <c r="I617" s="224"/>
      <c r="J617" s="224"/>
      <c r="K617" s="224"/>
      <c r="L617" s="224"/>
      <c r="M617" s="224"/>
      <c r="N617" s="224"/>
      <c r="O617" s="224"/>
      <c r="P617" s="224"/>
      <c r="Q617" s="224"/>
      <c r="R617" s="224"/>
      <c r="S617" s="224"/>
      <c r="T617" s="224"/>
      <c r="U617" s="224"/>
      <c r="V617" s="224"/>
      <c r="W617" s="224"/>
      <c r="X617" s="224"/>
      <c r="Y617" s="224"/>
      <c r="Z617" s="224"/>
    </row>
    <row r="618" spans="1:26" ht="12.75" customHeight="1">
      <c r="A618" s="224"/>
      <c r="B618" s="226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224"/>
      <c r="T618" s="224"/>
      <c r="U618" s="224"/>
      <c r="V618" s="224"/>
      <c r="W618" s="224"/>
      <c r="X618" s="224"/>
      <c r="Y618" s="224"/>
      <c r="Z618" s="224"/>
    </row>
    <row r="619" spans="1:26" ht="12.75" customHeight="1">
      <c r="A619" s="224"/>
      <c r="B619" s="226"/>
      <c r="C619" s="224"/>
      <c r="D619" s="224"/>
      <c r="E619" s="224"/>
      <c r="F619" s="224"/>
      <c r="G619" s="224"/>
      <c r="H619" s="224"/>
      <c r="I619" s="224"/>
      <c r="J619" s="224"/>
      <c r="K619" s="224"/>
      <c r="L619" s="224"/>
      <c r="M619" s="224"/>
      <c r="N619" s="224"/>
      <c r="O619" s="224"/>
      <c r="P619" s="224"/>
      <c r="Q619" s="224"/>
      <c r="R619" s="224"/>
      <c r="S619" s="224"/>
      <c r="T619" s="224"/>
      <c r="U619" s="224"/>
      <c r="V619" s="224"/>
      <c r="W619" s="224"/>
      <c r="X619" s="224"/>
      <c r="Y619" s="224"/>
      <c r="Z619" s="224"/>
    </row>
    <row r="620" spans="1:26" ht="12.75" customHeight="1">
      <c r="A620" s="224"/>
      <c r="B620" s="226"/>
      <c r="C620" s="224"/>
      <c r="D620" s="224"/>
      <c r="E620" s="224"/>
      <c r="F620" s="224"/>
      <c r="G620" s="224"/>
      <c r="H620" s="224"/>
      <c r="I620" s="224"/>
      <c r="J620" s="224"/>
      <c r="K620" s="224"/>
      <c r="L620" s="224"/>
      <c r="M620" s="224"/>
      <c r="N620" s="224"/>
      <c r="O620" s="224"/>
      <c r="P620" s="224"/>
      <c r="Q620" s="224"/>
      <c r="R620" s="224"/>
      <c r="S620" s="224"/>
      <c r="T620" s="224"/>
      <c r="U620" s="224"/>
      <c r="V620" s="224"/>
      <c r="W620" s="224"/>
      <c r="X620" s="224"/>
      <c r="Y620" s="224"/>
      <c r="Z620" s="224"/>
    </row>
    <row r="621" spans="1:26" ht="12.75" customHeight="1">
      <c r="A621" s="224"/>
      <c r="B621" s="226"/>
      <c r="C621" s="224"/>
      <c r="D621" s="224"/>
      <c r="E621" s="224"/>
      <c r="F621" s="224"/>
      <c r="G621" s="224"/>
      <c r="H621" s="224"/>
      <c r="I621" s="224"/>
      <c r="J621" s="224"/>
      <c r="K621" s="224"/>
      <c r="L621" s="224"/>
      <c r="M621" s="224"/>
      <c r="N621" s="224"/>
      <c r="O621" s="224"/>
      <c r="P621" s="224"/>
      <c r="Q621" s="224"/>
      <c r="R621" s="224"/>
      <c r="S621" s="224"/>
      <c r="T621" s="224"/>
      <c r="U621" s="224"/>
      <c r="V621" s="224"/>
      <c r="W621" s="224"/>
      <c r="X621" s="224"/>
      <c r="Y621" s="224"/>
      <c r="Z621" s="224"/>
    </row>
    <row r="622" spans="1:26" ht="12.75" customHeight="1">
      <c r="A622" s="224"/>
      <c r="B622" s="226"/>
      <c r="C622" s="224"/>
      <c r="D622" s="224"/>
      <c r="E622" s="224"/>
      <c r="F622" s="224"/>
      <c r="G622" s="224"/>
      <c r="H622" s="224"/>
      <c r="I622" s="224"/>
      <c r="J622" s="224"/>
      <c r="K622" s="224"/>
      <c r="L622" s="224"/>
      <c r="M622" s="224"/>
      <c r="N622" s="224"/>
      <c r="O622" s="224"/>
      <c r="P622" s="224"/>
      <c r="Q622" s="224"/>
      <c r="R622" s="224"/>
      <c r="S622" s="224"/>
      <c r="T622" s="224"/>
      <c r="U622" s="224"/>
      <c r="V622" s="224"/>
      <c r="W622" s="224"/>
      <c r="X622" s="224"/>
      <c r="Y622" s="224"/>
      <c r="Z622" s="224"/>
    </row>
    <row r="623" spans="1:26" ht="12.75" customHeight="1">
      <c r="A623" s="224"/>
      <c r="B623" s="226"/>
      <c r="C623" s="224"/>
      <c r="D623" s="224"/>
      <c r="E623" s="224"/>
      <c r="F623" s="224"/>
      <c r="G623" s="224"/>
      <c r="H623" s="224"/>
      <c r="I623" s="224"/>
      <c r="J623" s="224"/>
      <c r="K623" s="224"/>
      <c r="L623" s="224"/>
      <c r="M623" s="224"/>
      <c r="N623" s="224"/>
      <c r="O623" s="224"/>
      <c r="P623" s="224"/>
      <c r="Q623" s="224"/>
      <c r="R623" s="224"/>
      <c r="S623" s="224"/>
      <c r="T623" s="224"/>
      <c r="U623" s="224"/>
      <c r="V623" s="224"/>
      <c r="W623" s="224"/>
      <c r="X623" s="224"/>
      <c r="Y623" s="224"/>
      <c r="Z623" s="224"/>
    </row>
    <row r="624" spans="1:26" ht="12.75" customHeight="1">
      <c r="A624" s="224"/>
      <c r="B624" s="226"/>
      <c r="C624" s="224"/>
      <c r="D624" s="224"/>
      <c r="E624" s="224"/>
      <c r="F624" s="224"/>
      <c r="G624" s="224"/>
      <c r="H624" s="224"/>
      <c r="I624" s="224"/>
      <c r="J624" s="224"/>
      <c r="K624" s="224"/>
      <c r="L624" s="224"/>
      <c r="M624" s="224"/>
      <c r="N624" s="224"/>
      <c r="O624" s="224"/>
      <c r="P624" s="224"/>
      <c r="Q624" s="224"/>
      <c r="R624" s="224"/>
      <c r="S624" s="224"/>
      <c r="T624" s="224"/>
      <c r="U624" s="224"/>
      <c r="V624" s="224"/>
      <c r="W624" s="224"/>
      <c r="X624" s="224"/>
      <c r="Y624" s="224"/>
      <c r="Z624" s="224"/>
    </row>
    <row r="625" spans="1:26" ht="12.75" customHeight="1">
      <c r="A625" s="224"/>
      <c r="B625" s="226"/>
      <c r="C625" s="224"/>
      <c r="D625" s="224"/>
      <c r="E625" s="224"/>
      <c r="F625" s="224"/>
      <c r="G625" s="224"/>
      <c r="H625" s="224"/>
      <c r="I625" s="224"/>
      <c r="J625" s="224"/>
      <c r="K625" s="224"/>
      <c r="L625" s="224"/>
      <c r="M625" s="224"/>
      <c r="N625" s="224"/>
      <c r="O625" s="224"/>
      <c r="P625" s="224"/>
      <c r="Q625" s="224"/>
      <c r="R625" s="224"/>
      <c r="S625" s="224"/>
      <c r="T625" s="224"/>
      <c r="U625" s="224"/>
      <c r="V625" s="224"/>
      <c r="W625" s="224"/>
      <c r="X625" s="224"/>
      <c r="Y625" s="224"/>
      <c r="Z625" s="224"/>
    </row>
    <row r="626" spans="1:26" ht="12.75" customHeight="1">
      <c r="A626" s="224"/>
      <c r="B626" s="226"/>
      <c r="C626" s="224"/>
      <c r="D626" s="224"/>
      <c r="E626" s="224"/>
      <c r="F626" s="224"/>
      <c r="G626" s="224"/>
      <c r="H626" s="224"/>
      <c r="I626" s="224"/>
      <c r="J626" s="224"/>
      <c r="K626" s="224"/>
      <c r="L626" s="224"/>
      <c r="M626" s="224"/>
      <c r="N626" s="224"/>
      <c r="O626" s="224"/>
      <c r="P626" s="224"/>
      <c r="Q626" s="224"/>
      <c r="R626" s="224"/>
      <c r="S626" s="224"/>
      <c r="T626" s="224"/>
      <c r="U626" s="224"/>
      <c r="V626" s="224"/>
      <c r="W626" s="224"/>
      <c r="X626" s="224"/>
      <c r="Y626" s="224"/>
      <c r="Z626" s="224"/>
    </row>
    <row r="627" spans="1:26" ht="12.75" customHeight="1">
      <c r="A627" s="224"/>
      <c r="B627" s="226"/>
      <c r="C627" s="224"/>
      <c r="D627" s="224"/>
      <c r="E627" s="224"/>
      <c r="F627" s="224"/>
      <c r="G627" s="224"/>
      <c r="H627" s="224"/>
      <c r="I627" s="224"/>
      <c r="J627" s="224"/>
      <c r="K627" s="224"/>
      <c r="L627" s="224"/>
      <c r="M627" s="224"/>
      <c r="N627" s="224"/>
      <c r="O627" s="224"/>
      <c r="P627" s="224"/>
      <c r="Q627" s="224"/>
      <c r="R627" s="224"/>
      <c r="S627" s="224"/>
      <c r="T627" s="224"/>
      <c r="U627" s="224"/>
      <c r="V627" s="224"/>
      <c r="W627" s="224"/>
      <c r="X627" s="224"/>
      <c r="Y627" s="224"/>
      <c r="Z627" s="224"/>
    </row>
    <row r="628" spans="1:26" ht="12.75" customHeight="1">
      <c r="A628" s="224"/>
      <c r="B628" s="226"/>
      <c r="C628" s="224"/>
      <c r="D628" s="224"/>
      <c r="E628" s="224"/>
      <c r="F628" s="224"/>
      <c r="G628" s="224"/>
      <c r="H628" s="224"/>
      <c r="I628" s="224"/>
      <c r="J628" s="224"/>
      <c r="K628" s="224"/>
      <c r="L628" s="224"/>
      <c r="M628" s="224"/>
      <c r="N628" s="224"/>
      <c r="O628" s="224"/>
      <c r="P628" s="224"/>
      <c r="Q628" s="224"/>
      <c r="R628" s="224"/>
      <c r="S628" s="224"/>
      <c r="T628" s="224"/>
      <c r="U628" s="224"/>
      <c r="V628" s="224"/>
      <c r="W628" s="224"/>
      <c r="X628" s="224"/>
      <c r="Y628" s="224"/>
      <c r="Z628" s="224"/>
    </row>
    <row r="629" spans="1:26" ht="12.75" customHeight="1">
      <c r="A629" s="224"/>
      <c r="B629" s="226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224"/>
      <c r="T629" s="224"/>
      <c r="U629" s="224"/>
      <c r="V629" s="224"/>
      <c r="W629" s="224"/>
      <c r="X629" s="224"/>
      <c r="Y629" s="224"/>
      <c r="Z629" s="224"/>
    </row>
    <row r="630" spans="1:26" ht="12.75" customHeight="1">
      <c r="A630" s="224"/>
      <c r="B630" s="226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224"/>
      <c r="T630" s="224"/>
      <c r="U630" s="224"/>
      <c r="V630" s="224"/>
      <c r="W630" s="224"/>
      <c r="X630" s="224"/>
      <c r="Y630" s="224"/>
      <c r="Z630" s="224"/>
    </row>
    <row r="631" spans="1:26" ht="12.75" customHeight="1">
      <c r="A631" s="224"/>
      <c r="B631" s="226"/>
      <c r="C631" s="224"/>
      <c r="D631" s="224"/>
      <c r="E631" s="224"/>
      <c r="F631" s="224"/>
      <c r="G631" s="224"/>
      <c r="H631" s="224"/>
      <c r="I631" s="224"/>
      <c r="J631" s="224"/>
      <c r="K631" s="224"/>
      <c r="L631" s="224"/>
      <c r="M631" s="224"/>
      <c r="N631" s="224"/>
      <c r="O631" s="224"/>
      <c r="P631" s="224"/>
      <c r="Q631" s="224"/>
      <c r="R631" s="224"/>
      <c r="S631" s="224"/>
      <c r="T631" s="224"/>
      <c r="U631" s="224"/>
      <c r="V631" s="224"/>
      <c r="W631" s="224"/>
      <c r="X631" s="224"/>
      <c r="Y631" s="224"/>
      <c r="Z631" s="224"/>
    </row>
    <row r="632" spans="1:26" ht="12.75" customHeight="1">
      <c r="A632" s="224"/>
      <c r="B632" s="226"/>
      <c r="C632" s="224"/>
      <c r="D632" s="224"/>
      <c r="E632" s="224"/>
      <c r="F632" s="224"/>
      <c r="G632" s="224"/>
      <c r="H632" s="224"/>
      <c r="I632" s="224"/>
      <c r="J632" s="224"/>
      <c r="K632" s="224"/>
      <c r="L632" s="224"/>
      <c r="M632" s="224"/>
      <c r="N632" s="224"/>
      <c r="O632" s="224"/>
      <c r="P632" s="224"/>
      <c r="Q632" s="224"/>
      <c r="R632" s="224"/>
      <c r="S632" s="224"/>
      <c r="T632" s="224"/>
      <c r="U632" s="224"/>
      <c r="V632" s="224"/>
      <c r="W632" s="224"/>
      <c r="X632" s="224"/>
      <c r="Y632" s="224"/>
      <c r="Z632" s="224"/>
    </row>
    <row r="633" spans="1:26" ht="12.75" customHeight="1">
      <c r="A633" s="224"/>
      <c r="B633" s="226"/>
      <c r="C633" s="224"/>
      <c r="D633" s="224"/>
      <c r="E633" s="224"/>
      <c r="F633" s="224"/>
      <c r="G633" s="224"/>
      <c r="H633" s="224"/>
      <c r="I633" s="224"/>
      <c r="J633" s="224"/>
      <c r="K633" s="224"/>
      <c r="L633" s="224"/>
      <c r="M633" s="224"/>
      <c r="N633" s="224"/>
      <c r="O633" s="224"/>
      <c r="P633" s="224"/>
      <c r="Q633" s="224"/>
      <c r="R633" s="224"/>
      <c r="S633" s="224"/>
      <c r="T633" s="224"/>
      <c r="U633" s="224"/>
      <c r="V633" s="224"/>
      <c r="W633" s="224"/>
      <c r="X633" s="224"/>
      <c r="Y633" s="224"/>
      <c r="Z633" s="224"/>
    </row>
    <row r="634" spans="1:26" ht="12.75" customHeight="1">
      <c r="A634" s="224"/>
      <c r="B634" s="226"/>
      <c r="C634" s="224"/>
      <c r="D634" s="224"/>
      <c r="E634" s="224"/>
      <c r="F634" s="224"/>
      <c r="G634" s="224"/>
      <c r="H634" s="224"/>
      <c r="I634" s="224"/>
      <c r="J634" s="224"/>
      <c r="K634" s="224"/>
      <c r="L634" s="224"/>
      <c r="M634" s="224"/>
      <c r="N634" s="224"/>
      <c r="O634" s="224"/>
      <c r="P634" s="224"/>
      <c r="Q634" s="224"/>
      <c r="R634" s="224"/>
      <c r="S634" s="224"/>
      <c r="T634" s="224"/>
      <c r="U634" s="224"/>
      <c r="V634" s="224"/>
      <c r="W634" s="224"/>
      <c r="X634" s="224"/>
      <c r="Y634" s="224"/>
      <c r="Z634" s="224"/>
    </row>
    <row r="635" spans="1:26" ht="12.75" customHeight="1">
      <c r="A635" s="224"/>
      <c r="B635" s="226"/>
      <c r="C635" s="224"/>
      <c r="D635" s="224"/>
      <c r="E635" s="224"/>
      <c r="F635" s="224"/>
      <c r="G635" s="224"/>
      <c r="H635" s="224"/>
      <c r="I635" s="224"/>
      <c r="J635" s="224"/>
      <c r="K635" s="224"/>
      <c r="L635" s="224"/>
      <c r="M635" s="224"/>
      <c r="N635" s="224"/>
      <c r="O635" s="224"/>
      <c r="P635" s="224"/>
      <c r="Q635" s="224"/>
      <c r="R635" s="224"/>
      <c r="S635" s="224"/>
      <c r="T635" s="224"/>
      <c r="U635" s="224"/>
      <c r="V635" s="224"/>
      <c r="W635" s="224"/>
      <c r="X635" s="224"/>
      <c r="Y635" s="224"/>
      <c r="Z635" s="224"/>
    </row>
    <row r="636" spans="1:26" ht="12.75" customHeight="1">
      <c r="A636" s="224"/>
      <c r="B636" s="226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224"/>
      <c r="S636" s="224"/>
      <c r="T636" s="224"/>
      <c r="U636" s="224"/>
      <c r="V636" s="224"/>
      <c r="W636" s="224"/>
      <c r="X636" s="224"/>
      <c r="Y636" s="224"/>
      <c r="Z636" s="224"/>
    </row>
    <row r="637" spans="1:26" ht="12.75" customHeight="1">
      <c r="A637" s="224"/>
      <c r="B637" s="226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24"/>
      <c r="S637" s="224"/>
      <c r="T637" s="224"/>
      <c r="U637" s="224"/>
      <c r="V637" s="224"/>
      <c r="W637" s="224"/>
      <c r="X637" s="224"/>
      <c r="Y637" s="224"/>
      <c r="Z637" s="224"/>
    </row>
    <row r="638" spans="1:26" ht="12.75" customHeight="1">
      <c r="A638" s="224"/>
      <c r="B638" s="226"/>
      <c r="C638" s="224"/>
      <c r="D638" s="224"/>
      <c r="E638" s="224"/>
      <c r="F638" s="224"/>
      <c r="G638" s="224"/>
      <c r="H638" s="224"/>
      <c r="I638" s="224"/>
      <c r="J638" s="224"/>
      <c r="K638" s="224"/>
      <c r="L638" s="224"/>
      <c r="M638" s="224"/>
      <c r="N638" s="224"/>
      <c r="O638" s="224"/>
      <c r="P638" s="224"/>
      <c r="Q638" s="224"/>
      <c r="R638" s="224"/>
      <c r="S638" s="224"/>
      <c r="T638" s="224"/>
      <c r="U638" s="224"/>
      <c r="V638" s="224"/>
      <c r="W638" s="224"/>
      <c r="X638" s="224"/>
      <c r="Y638" s="224"/>
      <c r="Z638" s="224"/>
    </row>
    <row r="639" spans="1:26" ht="12.75" customHeight="1">
      <c r="A639" s="224"/>
      <c r="B639" s="226"/>
      <c r="C639" s="224"/>
      <c r="D639" s="224"/>
      <c r="E639" s="224"/>
      <c r="F639" s="224"/>
      <c r="G639" s="224"/>
      <c r="H639" s="224"/>
      <c r="I639" s="224"/>
      <c r="J639" s="224"/>
      <c r="K639" s="224"/>
      <c r="L639" s="224"/>
      <c r="M639" s="224"/>
      <c r="N639" s="224"/>
      <c r="O639" s="224"/>
      <c r="P639" s="224"/>
      <c r="Q639" s="224"/>
      <c r="R639" s="224"/>
      <c r="S639" s="224"/>
      <c r="T639" s="224"/>
      <c r="U639" s="224"/>
      <c r="V639" s="224"/>
      <c r="W639" s="224"/>
      <c r="X639" s="224"/>
      <c r="Y639" s="224"/>
      <c r="Z639" s="224"/>
    </row>
    <row r="640" spans="1:26" ht="12.75" customHeight="1">
      <c r="A640" s="224"/>
      <c r="B640" s="226"/>
      <c r="C640" s="224"/>
      <c r="D640" s="224"/>
      <c r="E640" s="224"/>
      <c r="F640" s="224"/>
      <c r="G640" s="224"/>
      <c r="H640" s="224"/>
      <c r="I640" s="224"/>
      <c r="J640" s="224"/>
      <c r="K640" s="224"/>
      <c r="L640" s="224"/>
      <c r="M640" s="224"/>
      <c r="N640" s="224"/>
      <c r="O640" s="224"/>
      <c r="P640" s="224"/>
      <c r="Q640" s="224"/>
      <c r="R640" s="224"/>
      <c r="S640" s="224"/>
      <c r="T640" s="224"/>
      <c r="U640" s="224"/>
      <c r="V640" s="224"/>
      <c r="W640" s="224"/>
      <c r="X640" s="224"/>
      <c r="Y640" s="224"/>
      <c r="Z640" s="224"/>
    </row>
    <row r="641" spans="1:26" ht="12.75" customHeight="1">
      <c r="A641" s="224"/>
      <c r="B641" s="226"/>
      <c r="C641" s="224"/>
      <c r="D641" s="224"/>
      <c r="E641" s="224"/>
      <c r="F641" s="224"/>
      <c r="G641" s="224"/>
      <c r="H641" s="224"/>
      <c r="I641" s="224"/>
      <c r="J641" s="224"/>
      <c r="K641" s="224"/>
      <c r="L641" s="224"/>
      <c r="M641" s="224"/>
      <c r="N641" s="224"/>
      <c r="O641" s="224"/>
      <c r="P641" s="224"/>
      <c r="Q641" s="224"/>
      <c r="R641" s="224"/>
      <c r="S641" s="224"/>
      <c r="T641" s="224"/>
      <c r="U641" s="224"/>
      <c r="V641" s="224"/>
      <c r="W641" s="224"/>
      <c r="X641" s="224"/>
      <c r="Y641" s="224"/>
      <c r="Z641" s="224"/>
    </row>
    <row r="642" spans="1:26" ht="12.75" customHeight="1">
      <c r="A642" s="224"/>
      <c r="B642" s="226"/>
      <c r="C642" s="224"/>
      <c r="D642" s="224"/>
      <c r="E642" s="224"/>
      <c r="F642" s="224"/>
      <c r="G642" s="224"/>
      <c r="H642" s="224"/>
      <c r="I642" s="224"/>
      <c r="J642" s="224"/>
      <c r="K642" s="224"/>
      <c r="L642" s="224"/>
      <c r="M642" s="224"/>
      <c r="N642" s="224"/>
      <c r="O642" s="224"/>
      <c r="P642" s="224"/>
      <c r="Q642" s="224"/>
      <c r="R642" s="224"/>
      <c r="S642" s="224"/>
      <c r="T642" s="224"/>
      <c r="U642" s="224"/>
      <c r="V642" s="224"/>
      <c r="W642" s="224"/>
      <c r="X642" s="224"/>
      <c r="Y642" s="224"/>
      <c r="Z642" s="224"/>
    </row>
    <row r="643" spans="1:26" ht="12.75" customHeight="1">
      <c r="A643" s="224"/>
      <c r="B643" s="226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</row>
    <row r="644" spans="1:26" ht="12.75" customHeight="1">
      <c r="A644" s="224"/>
      <c r="B644" s="226"/>
      <c r="C644" s="224"/>
      <c r="D644" s="224"/>
      <c r="E644" s="224"/>
      <c r="F644" s="224"/>
      <c r="G644" s="224"/>
      <c r="H644" s="224"/>
      <c r="I644" s="224"/>
      <c r="J644" s="224"/>
      <c r="K644" s="224"/>
      <c r="L644" s="224"/>
      <c r="M644" s="224"/>
      <c r="N644" s="224"/>
      <c r="O644" s="224"/>
      <c r="P644" s="224"/>
      <c r="Q644" s="224"/>
      <c r="R644" s="224"/>
      <c r="S644" s="224"/>
      <c r="T644" s="224"/>
      <c r="U644" s="224"/>
      <c r="V644" s="224"/>
      <c r="W644" s="224"/>
      <c r="X644" s="224"/>
      <c r="Y644" s="224"/>
      <c r="Z644" s="224"/>
    </row>
    <row r="645" spans="1:26" ht="12.75" customHeight="1">
      <c r="A645" s="224"/>
      <c r="B645" s="226"/>
      <c r="C645" s="224"/>
      <c r="D645" s="224"/>
      <c r="E645" s="224"/>
      <c r="F645" s="224"/>
      <c r="G645" s="224"/>
      <c r="H645" s="224"/>
      <c r="I645" s="224"/>
      <c r="J645" s="224"/>
      <c r="K645" s="224"/>
      <c r="L645" s="224"/>
      <c r="M645" s="224"/>
      <c r="N645" s="224"/>
      <c r="O645" s="224"/>
      <c r="P645" s="224"/>
      <c r="Q645" s="224"/>
      <c r="R645" s="224"/>
      <c r="S645" s="224"/>
      <c r="T645" s="224"/>
      <c r="U645" s="224"/>
      <c r="V645" s="224"/>
      <c r="W645" s="224"/>
      <c r="X645" s="224"/>
      <c r="Y645" s="224"/>
      <c r="Z645" s="224"/>
    </row>
    <row r="646" spans="1:26" ht="12.75" customHeight="1">
      <c r="A646" s="224"/>
      <c r="B646" s="226"/>
      <c r="C646" s="224"/>
      <c r="D646" s="224"/>
      <c r="E646" s="224"/>
      <c r="F646" s="224"/>
      <c r="G646" s="224"/>
      <c r="H646" s="224"/>
      <c r="I646" s="224"/>
      <c r="J646" s="224"/>
      <c r="K646" s="224"/>
      <c r="L646" s="224"/>
      <c r="M646" s="224"/>
      <c r="N646" s="224"/>
      <c r="O646" s="224"/>
      <c r="P646" s="224"/>
      <c r="Q646" s="224"/>
      <c r="R646" s="224"/>
      <c r="S646" s="224"/>
      <c r="T646" s="224"/>
      <c r="U646" s="224"/>
      <c r="V646" s="224"/>
      <c r="W646" s="224"/>
      <c r="X646" s="224"/>
      <c r="Y646" s="224"/>
      <c r="Z646" s="224"/>
    </row>
    <row r="647" spans="1:26" ht="12.75" customHeight="1">
      <c r="A647" s="224"/>
      <c r="B647" s="226"/>
      <c r="C647" s="224"/>
      <c r="D647" s="224"/>
      <c r="E647" s="224"/>
      <c r="F647" s="224"/>
      <c r="G647" s="224"/>
      <c r="H647" s="224"/>
      <c r="I647" s="224"/>
      <c r="J647" s="224"/>
      <c r="K647" s="224"/>
      <c r="L647" s="224"/>
      <c r="M647" s="224"/>
      <c r="N647" s="224"/>
      <c r="O647" s="224"/>
      <c r="P647" s="224"/>
      <c r="Q647" s="224"/>
      <c r="R647" s="224"/>
      <c r="S647" s="224"/>
      <c r="T647" s="224"/>
      <c r="U647" s="224"/>
      <c r="V647" s="224"/>
      <c r="W647" s="224"/>
      <c r="X647" s="224"/>
      <c r="Y647" s="224"/>
      <c r="Z647" s="224"/>
    </row>
    <row r="648" spans="1:26" ht="12.75" customHeight="1">
      <c r="A648" s="224"/>
      <c r="B648" s="226"/>
      <c r="C648" s="224"/>
      <c r="D648" s="224"/>
      <c r="E648" s="224"/>
      <c r="F648" s="224"/>
      <c r="G648" s="224"/>
      <c r="H648" s="224"/>
      <c r="I648" s="224"/>
      <c r="J648" s="224"/>
      <c r="K648" s="224"/>
      <c r="L648" s="224"/>
      <c r="M648" s="224"/>
      <c r="N648" s="224"/>
      <c r="O648" s="224"/>
      <c r="P648" s="224"/>
      <c r="Q648" s="224"/>
      <c r="R648" s="224"/>
      <c r="S648" s="224"/>
      <c r="T648" s="224"/>
      <c r="U648" s="224"/>
      <c r="V648" s="224"/>
      <c r="W648" s="224"/>
      <c r="X648" s="224"/>
      <c r="Y648" s="224"/>
      <c r="Z648" s="224"/>
    </row>
    <row r="649" spans="1:26" ht="12.75" customHeight="1">
      <c r="A649" s="224"/>
      <c r="B649" s="226"/>
      <c r="C649" s="224"/>
      <c r="D649" s="224"/>
      <c r="E649" s="224"/>
      <c r="F649" s="224"/>
      <c r="G649" s="224"/>
      <c r="H649" s="224"/>
      <c r="I649" s="224"/>
      <c r="J649" s="224"/>
      <c r="K649" s="224"/>
      <c r="L649" s="224"/>
      <c r="M649" s="224"/>
      <c r="N649" s="224"/>
      <c r="O649" s="224"/>
      <c r="P649" s="224"/>
      <c r="Q649" s="224"/>
      <c r="R649" s="224"/>
      <c r="S649" s="224"/>
      <c r="T649" s="224"/>
      <c r="U649" s="224"/>
      <c r="V649" s="224"/>
      <c r="W649" s="224"/>
      <c r="X649" s="224"/>
      <c r="Y649" s="224"/>
      <c r="Z649" s="224"/>
    </row>
    <row r="650" spans="1:26" ht="12.75" customHeight="1">
      <c r="A650" s="224"/>
      <c r="B650" s="226"/>
      <c r="C650" s="224"/>
      <c r="D650" s="224"/>
      <c r="E650" s="224"/>
      <c r="F650" s="224"/>
      <c r="G650" s="224"/>
      <c r="H650" s="224"/>
      <c r="I650" s="224"/>
      <c r="J650" s="224"/>
      <c r="K650" s="224"/>
      <c r="L650" s="224"/>
      <c r="M650" s="224"/>
      <c r="N650" s="224"/>
      <c r="O650" s="224"/>
      <c r="P650" s="224"/>
      <c r="Q650" s="224"/>
      <c r="R650" s="224"/>
      <c r="S650" s="224"/>
      <c r="T650" s="224"/>
      <c r="U650" s="224"/>
      <c r="V650" s="224"/>
      <c r="W650" s="224"/>
      <c r="X650" s="224"/>
      <c r="Y650" s="224"/>
      <c r="Z650" s="224"/>
    </row>
    <row r="651" spans="1:26" ht="12.75" customHeight="1">
      <c r="A651" s="224"/>
      <c r="B651" s="226"/>
      <c r="C651" s="224"/>
      <c r="D651" s="224"/>
      <c r="E651" s="224"/>
      <c r="F651" s="224"/>
      <c r="G651" s="224"/>
      <c r="H651" s="224"/>
      <c r="I651" s="224"/>
      <c r="J651" s="224"/>
      <c r="K651" s="224"/>
      <c r="L651" s="224"/>
      <c r="M651" s="224"/>
      <c r="N651" s="224"/>
      <c r="O651" s="224"/>
      <c r="P651" s="224"/>
      <c r="Q651" s="224"/>
      <c r="R651" s="224"/>
      <c r="S651" s="224"/>
      <c r="T651" s="224"/>
      <c r="U651" s="224"/>
      <c r="V651" s="224"/>
      <c r="W651" s="224"/>
      <c r="X651" s="224"/>
      <c r="Y651" s="224"/>
      <c r="Z651" s="224"/>
    </row>
    <row r="652" spans="1:26" ht="12.75" customHeight="1">
      <c r="A652" s="224"/>
      <c r="B652" s="226"/>
      <c r="C652" s="224"/>
      <c r="D652" s="224"/>
      <c r="E652" s="224"/>
      <c r="F652" s="224"/>
      <c r="G652" s="224"/>
      <c r="H652" s="224"/>
      <c r="I652" s="224"/>
      <c r="J652" s="224"/>
      <c r="K652" s="224"/>
      <c r="L652" s="224"/>
      <c r="M652" s="224"/>
      <c r="N652" s="224"/>
      <c r="O652" s="224"/>
      <c r="P652" s="224"/>
      <c r="Q652" s="224"/>
      <c r="R652" s="224"/>
      <c r="S652" s="224"/>
      <c r="T652" s="224"/>
      <c r="U652" s="224"/>
      <c r="V652" s="224"/>
      <c r="W652" s="224"/>
      <c r="X652" s="224"/>
      <c r="Y652" s="224"/>
      <c r="Z652" s="224"/>
    </row>
    <row r="653" spans="1:26" ht="12.75" customHeight="1">
      <c r="A653" s="224"/>
      <c r="B653" s="226"/>
      <c r="C653" s="224"/>
      <c r="D653" s="224"/>
      <c r="E653" s="224"/>
      <c r="F653" s="224"/>
      <c r="G653" s="224"/>
      <c r="H653" s="224"/>
      <c r="I653" s="224"/>
      <c r="J653" s="224"/>
      <c r="K653" s="224"/>
      <c r="L653" s="224"/>
      <c r="M653" s="224"/>
      <c r="N653" s="224"/>
      <c r="O653" s="224"/>
      <c r="P653" s="224"/>
      <c r="Q653" s="224"/>
      <c r="R653" s="224"/>
      <c r="S653" s="224"/>
      <c r="T653" s="224"/>
      <c r="U653" s="224"/>
      <c r="V653" s="224"/>
      <c r="W653" s="224"/>
      <c r="X653" s="224"/>
      <c r="Y653" s="224"/>
      <c r="Z653" s="224"/>
    </row>
    <row r="654" spans="1:26" ht="12.75" customHeight="1">
      <c r="A654" s="224"/>
      <c r="B654" s="226"/>
      <c r="C654" s="224"/>
      <c r="D654" s="224"/>
      <c r="E654" s="224"/>
      <c r="F654" s="224"/>
      <c r="G654" s="224"/>
      <c r="H654" s="224"/>
      <c r="I654" s="224"/>
      <c r="J654" s="224"/>
      <c r="K654" s="224"/>
      <c r="L654" s="224"/>
      <c r="M654" s="224"/>
      <c r="N654" s="224"/>
      <c r="O654" s="224"/>
      <c r="P654" s="224"/>
      <c r="Q654" s="224"/>
      <c r="R654" s="224"/>
      <c r="S654" s="224"/>
      <c r="T654" s="224"/>
      <c r="U654" s="224"/>
      <c r="V654" s="224"/>
      <c r="W654" s="224"/>
      <c r="X654" s="224"/>
      <c r="Y654" s="224"/>
      <c r="Z654" s="224"/>
    </row>
    <row r="655" spans="1:26" ht="12.75" customHeight="1">
      <c r="A655" s="224"/>
      <c r="B655" s="226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224"/>
      <c r="T655" s="224"/>
      <c r="U655" s="224"/>
      <c r="V655" s="224"/>
      <c r="W655" s="224"/>
      <c r="X655" s="224"/>
      <c r="Y655" s="224"/>
      <c r="Z655" s="224"/>
    </row>
    <row r="656" spans="1:26" ht="12.75" customHeight="1">
      <c r="A656" s="224"/>
      <c r="B656" s="226"/>
      <c r="C656" s="224"/>
      <c r="D656" s="224"/>
      <c r="E656" s="224"/>
      <c r="F656" s="224"/>
      <c r="G656" s="224"/>
      <c r="H656" s="224"/>
      <c r="I656" s="224"/>
      <c r="J656" s="224"/>
      <c r="K656" s="224"/>
      <c r="L656" s="224"/>
      <c r="M656" s="224"/>
      <c r="N656" s="224"/>
      <c r="O656" s="224"/>
      <c r="P656" s="224"/>
      <c r="Q656" s="224"/>
      <c r="R656" s="224"/>
      <c r="S656" s="224"/>
      <c r="T656" s="224"/>
      <c r="U656" s="224"/>
      <c r="V656" s="224"/>
      <c r="W656" s="224"/>
      <c r="X656" s="224"/>
      <c r="Y656" s="224"/>
      <c r="Z656" s="224"/>
    </row>
    <row r="657" spans="1:26" ht="12.75" customHeight="1">
      <c r="A657" s="224"/>
      <c r="B657" s="226"/>
      <c r="C657" s="224"/>
      <c r="D657" s="224"/>
      <c r="E657" s="224"/>
      <c r="F657" s="224"/>
      <c r="G657" s="224"/>
      <c r="H657" s="224"/>
      <c r="I657" s="224"/>
      <c r="J657" s="224"/>
      <c r="K657" s="224"/>
      <c r="L657" s="224"/>
      <c r="M657" s="224"/>
      <c r="N657" s="224"/>
      <c r="O657" s="224"/>
      <c r="P657" s="224"/>
      <c r="Q657" s="224"/>
      <c r="R657" s="224"/>
      <c r="S657" s="224"/>
      <c r="T657" s="224"/>
      <c r="U657" s="224"/>
      <c r="V657" s="224"/>
      <c r="W657" s="224"/>
      <c r="X657" s="224"/>
      <c r="Y657" s="224"/>
      <c r="Z657" s="224"/>
    </row>
    <row r="658" spans="1:26" ht="12.75" customHeight="1">
      <c r="A658" s="224"/>
      <c r="B658" s="226"/>
      <c r="C658" s="224"/>
      <c r="D658" s="224"/>
      <c r="E658" s="224"/>
      <c r="F658" s="224"/>
      <c r="G658" s="224"/>
      <c r="H658" s="224"/>
      <c r="I658" s="224"/>
      <c r="J658" s="224"/>
      <c r="K658" s="224"/>
      <c r="L658" s="224"/>
      <c r="M658" s="224"/>
      <c r="N658" s="224"/>
      <c r="O658" s="224"/>
      <c r="P658" s="224"/>
      <c r="Q658" s="224"/>
      <c r="R658" s="224"/>
      <c r="S658" s="224"/>
      <c r="T658" s="224"/>
      <c r="U658" s="224"/>
      <c r="V658" s="224"/>
      <c r="W658" s="224"/>
      <c r="X658" s="224"/>
      <c r="Y658" s="224"/>
      <c r="Z658" s="224"/>
    </row>
    <row r="659" spans="1:26" ht="12.75" customHeight="1">
      <c r="A659" s="224"/>
      <c r="B659" s="226"/>
      <c r="C659" s="224"/>
      <c r="D659" s="224"/>
      <c r="E659" s="224"/>
      <c r="F659" s="224"/>
      <c r="G659" s="224"/>
      <c r="H659" s="224"/>
      <c r="I659" s="224"/>
      <c r="J659" s="224"/>
      <c r="K659" s="224"/>
      <c r="L659" s="224"/>
      <c r="M659" s="224"/>
      <c r="N659" s="224"/>
      <c r="O659" s="224"/>
      <c r="P659" s="224"/>
      <c r="Q659" s="224"/>
      <c r="R659" s="224"/>
      <c r="S659" s="224"/>
      <c r="T659" s="224"/>
      <c r="U659" s="224"/>
      <c r="V659" s="224"/>
      <c r="W659" s="224"/>
      <c r="X659" s="224"/>
      <c r="Y659" s="224"/>
      <c r="Z659" s="224"/>
    </row>
    <row r="660" spans="1:26" ht="12.75" customHeight="1">
      <c r="A660" s="224"/>
      <c r="B660" s="226"/>
      <c r="C660" s="224"/>
      <c r="D660" s="224"/>
      <c r="E660" s="224"/>
      <c r="F660" s="224"/>
      <c r="G660" s="224"/>
      <c r="H660" s="224"/>
      <c r="I660" s="224"/>
      <c r="J660" s="224"/>
      <c r="K660" s="224"/>
      <c r="L660" s="224"/>
      <c r="M660" s="224"/>
      <c r="N660" s="224"/>
      <c r="O660" s="224"/>
      <c r="P660" s="224"/>
      <c r="Q660" s="224"/>
      <c r="R660" s="224"/>
      <c r="S660" s="224"/>
      <c r="T660" s="224"/>
      <c r="U660" s="224"/>
      <c r="V660" s="224"/>
      <c r="W660" s="224"/>
      <c r="X660" s="224"/>
      <c r="Y660" s="224"/>
      <c r="Z660" s="224"/>
    </row>
    <row r="661" spans="1:26" ht="12.75" customHeight="1">
      <c r="A661" s="224"/>
      <c r="B661" s="226"/>
      <c r="C661" s="224"/>
      <c r="D661" s="224"/>
      <c r="E661" s="224"/>
      <c r="F661" s="224"/>
      <c r="G661" s="224"/>
      <c r="H661" s="224"/>
      <c r="I661" s="224"/>
      <c r="J661" s="224"/>
      <c r="K661" s="224"/>
      <c r="L661" s="224"/>
      <c r="M661" s="224"/>
      <c r="N661" s="224"/>
      <c r="O661" s="224"/>
      <c r="P661" s="224"/>
      <c r="Q661" s="224"/>
      <c r="R661" s="224"/>
      <c r="S661" s="224"/>
      <c r="T661" s="224"/>
      <c r="U661" s="224"/>
      <c r="V661" s="224"/>
      <c r="W661" s="224"/>
      <c r="X661" s="224"/>
      <c r="Y661" s="224"/>
      <c r="Z661" s="224"/>
    </row>
    <row r="662" spans="1:26" ht="12.75" customHeight="1">
      <c r="A662" s="224"/>
      <c r="B662" s="226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224"/>
      <c r="T662" s="224"/>
      <c r="U662" s="224"/>
      <c r="V662" s="224"/>
      <c r="W662" s="224"/>
      <c r="X662" s="224"/>
      <c r="Y662" s="224"/>
      <c r="Z662" s="224"/>
    </row>
    <row r="663" spans="1:26" ht="12.75" customHeight="1">
      <c r="A663" s="224"/>
      <c r="B663" s="226"/>
      <c r="C663" s="224"/>
      <c r="D663" s="224"/>
      <c r="E663" s="224"/>
      <c r="F663" s="224"/>
      <c r="G663" s="224"/>
      <c r="H663" s="224"/>
      <c r="I663" s="224"/>
      <c r="J663" s="224"/>
      <c r="K663" s="224"/>
      <c r="L663" s="224"/>
      <c r="M663" s="224"/>
      <c r="N663" s="224"/>
      <c r="O663" s="224"/>
      <c r="P663" s="224"/>
      <c r="Q663" s="224"/>
      <c r="R663" s="224"/>
      <c r="S663" s="224"/>
      <c r="T663" s="224"/>
      <c r="U663" s="224"/>
      <c r="V663" s="224"/>
      <c r="W663" s="224"/>
      <c r="X663" s="224"/>
      <c r="Y663" s="224"/>
      <c r="Z663" s="224"/>
    </row>
    <row r="664" spans="1:26" ht="12.75" customHeight="1">
      <c r="A664" s="224"/>
      <c r="B664" s="226"/>
      <c r="C664" s="224"/>
      <c r="D664" s="224"/>
      <c r="E664" s="224"/>
      <c r="F664" s="224"/>
      <c r="G664" s="224"/>
      <c r="H664" s="224"/>
      <c r="I664" s="224"/>
      <c r="J664" s="224"/>
      <c r="K664" s="224"/>
      <c r="L664" s="224"/>
      <c r="M664" s="224"/>
      <c r="N664" s="224"/>
      <c r="O664" s="224"/>
      <c r="P664" s="224"/>
      <c r="Q664" s="224"/>
      <c r="R664" s="224"/>
      <c r="S664" s="224"/>
      <c r="T664" s="224"/>
      <c r="U664" s="224"/>
      <c r="V664" s="224"/>
      <c r="W664" s="224"/>
      <c r="X664" s="224"/>
      <c r="Y664" s="224"/>
      <c r="Z664" s="224"/>
    </row>
    <row r="665" spans="1:26" ht="12.75" customHeight="1">
      <c r="A665" s="224"/>
      <c r="B665" s="226"/>
      <c r="C665" s="224"/>
      <c r="D665" s="224"/>
      <c r="E665" s="224"/>
      <c r="F665" s="224"/>
      <c r="G665" s="224"/>
      <c r="H665" s="224"/>
      <c r="I665" s="224"/>
      <c r="J665" s="224"/>
      <c r="K665" s="224"/>
      <c r="L665" s="224"/>
      <c r="M665" s="224"/>
      <c r="N665" s="224"/>
      <c r="O665" s="224"/>
      <c r="P665" s="224"/>
      <c r="Q665" s="224"/>
      <c r="R665" s="224"/>
      <c r="S665" s="224"/>
      <c r="T665" s="224"/>
      <c r="U665" s="224"/>
      <c r="V665" s="224"/>
      <c r="W665" s="224"/>
      <c r="X665" s="224"/>
      <c r="Y665" s="224"/>
      <c r="Z665" s="224"/>
    </row>
    <row r="666" spans="1:26" ht="12.75" customHeight="1">
      <c r="A666" s="224"/>
      <c r="B666" s="226"/>
      <c r="C666" s="224"/>
      <c r="D666" s="224"/>
      <c r="E666" s="224"/>
      <c r="F666" s="224"/>
      <c r="G666" s="224"/>
      <c r="H666" s="224"/>
      <c r="I666" s="224"/>
      <c r="J666" s="224"/>
      <c r="K666" s="224"/>
      <c r="L666" s="224"/>
      <c r="M666" s="224"/>
      <c r="N666" s="224"/>
      <c r="O666" s="224"/>
      <c r="P666" s="224"/>
      <c r="Q666" s="224"/>
      <c r="R666" s="224"/>
      <c r="S666" s="224"/>
      <c r="T666" s="224"/>
      <c r="U666" s="224"/>
      <c r="V666" s="224"/>
      <c r="W666" s="224"/>
      <c r="X666" s="224"/>
      <c r="Y666" s="224"/>
      <c r="Z666" s="224"/>
    </row>
    <row r="667" spans="1:26" ht="12.75" customHeight="1">
      <c r="A667" s="224"/>
      <c r="B667" s="226"/>
      <c r="C667" s="224"/>
      <c r="D667" s="224"/>
      <c r="E667" s="224"/>
      <c r="F667" s="224"/>
      <c r="G667" s="224"/>
      <c r="H667" s="224"/>
      <c r="I667" s="224"/>
      <c r="J667" s="224"/>
      <c r="K667" s="224"/>
      <c r="L667" s="224"/>
      <c r="M667" s="224"/>
      <c r="N667" s="224"/>
      <c r="O667" s="224"/>
      <c r="P667" s="224"/>
      <c r="Q667" s="224"/>
      <c r="R667" s="224"/>
      <c r="S667" s="224"/>
      <c r="T667" s="224"/>
      <c r="U667" s="224"/>
      <c r="V667" s="224"/>
      <c r="W667" s="224"/>
      <c r="X667" s="224"/>
      <c r="Y667" s="224"/>
      <c r="Z667" s="224"/>
    </row>
    <row r="668" spans="1:26" ht="12.75" customHeight="1">
      <c r="A668" s="224"/>
      <c r="B668" s="226"/>
      <c r="C668" s="224"/>
      <c r="D668" s="224"/>
      <c r="E668" s="224"/>
      <c r="F668" s="224"/>
      <c r="G668" s="224"/>
      <c r="H668" s="224"/>
      <c r="I668" s="224"/>
      <c r="J668" s="224"/>
      <c r="K668" s="224"/>
      <c r="L668" s="224"/>
      <c r="M668" s="224"/>
      <c r="N668" s="224"/>
      <c r="O668" s="224"/>
      <c r="P668" s="224"/>
      <c r="Q668" s="224"/>
      <c r="R668" s="224"/>
      <c r="S668" s="224"/>
      <c r="T668" s="224"/>
      <c r="U668" s="224"/>
      <c r="V668" s="224"/>
      <c r="W668" s="224"/>
      <c r="X668" s="224"/>
      <c r="Y668" s="224"/>
      <c r="Z668" s="224"/>
    </row>
    <row r="669" spans="1:26" ht="12.75" customHeight="1">
      <c r="A669" s="224"/>
      <c r="B669" s="226"/>
      <c r="C669" s="224"/>
      <c r="D669" s="224"/>
      <c r="E669" s="224"/>
      <c r="F669" s="224"/>
      <c r="G669" s="224"/>
      <c r="H669" s="224"/>
      <c r="I669" s="224"/>
      <c r="J669" s="224"/>
      <c r="K669" s="224"/>
      <c r="L669" s="224"/>
      <c r="M669" s="224"/>
      <c r="N669" s="224"/>
      <c r="O669" s="224"/>
      <c r="P669" s="224"/>
      <c r="Q669" s="224"/>
      <c r="R669" s="224"/>
      <c r="S669" s="224"/>
      <c r="T669" s="224"/>
      <c r="U669" s="224"/>
      <c r="V669" s="224"/>
      <c r="W669" s="224"/>
      <c r="X669" s="224"/>
      <c r="Y669" s="224"/>
      <c r="Z669" s="224"/>
    </row>
    <row r="670" spans="1:26" ht="12.75" customHeight="1">
      <c r="A670" s="224"/>
      <c r="B670" s="226"/>
      <c r="C670" s="224"/>
      <c r="D670" s="224"/>
      <c r="E670" s="224"/>
      <c r="F670" s="224"/>
      <c r="G670" s="224"/>
      <c r="H670" s="224"/>
      <c r="I670" s="224"/>
      <c r="J670" s="224"/>
      <c r="K670" s="224"/>
      <c r="L670" s="224"/>
      <c r="M670" s="224"/>
      <c r="N670" s="224"/>
      <c r="O670" s="224"/>
      <c r="P670" s="224"/>
      <c r="Q670" s="224"/>
      <c r="R670" s="224"/>
      <c r="S670" s="224"/>
      <c r="T670" s="224"/>
      <c r="U670" s="224"/>
      <c r="V670" s="224"/>
      <c r="W670" s="224"/>
      <c r="X670" s="224"/>
      <c r="Y670" s="224"/>
      <c r="Z670" s="224"/>
    </row>
    <row r="671" spans="1:26" ht="12.75" customHeight="1">
      <c r="A671" s="224"/>
      <c r="B671" s="226"/>
      <c r="C671" s="224"/>
      <c r="D671" s="224"/>
      <c r="E671" s="224"/>
      <c r="F671" s="224"/>
      <c r="G671" s="224"/>
      <c r="H671" s="224"/>
      <c r="I671" s="224"/>
      <c r="J671" s="224"/>
      <c r="K671" s="224"/>
      <c r="L671" s="224"/>
      <c r="M671" s="224"/>
      <c r="N671" s="224"/>
      <c r="O671" s="224"/>
      <c r="P671" s="224"/>
      <c r="Q671" s="224"/>
      <c r="R671" s="224"/>
      <c r="S671" s="224"/>
      <c r="T671" s="224"/>
      <c r="U671" s="224"/>
      <c r="V671" s="224"/>
      <c r="W671" s="224"/>
      <c r="X671" s="224"/>
      <c r="Y671" s="224"/>
      <c r="Z671" s="224"/>
    </row>
    <row r="672" spans="1:26" ht="12.75" customHeight="1">
      <c r="A672" s="224"/>
      <c r="B672" s="226"/>
      <c r="C672" s="224"/>
      <c r="D672" s="224"/>
      <c r="E672" s="224"/>
      <c r="F672" s="224"/>
      <c r="G672" s="224"/>
      <c r="H672" s="224"/>
      <c r="I672" s="224"/>
      <c r="J672" s="224"/>
      <c r="K672" s="224"/>
      <c r="L672" s="224"/>
      <c r="M672" s="224"/>
      <c r="N672" s="224"/>
      <c r="O672" s="224"/>
      <c r="P672" s="224"/>
      <c r="Q672" s="224"/>
      <c r="R672" s="224"/>
      <c r="S672" s="224"/>
      <c r="T672" s="224"/>
      <c r="U672" s="224"/>
      <c r="V672" s="224"/>
      <c r="W672" s="224"/>
      <c r="X672" s="224"/>
      <c r="Y672" s="224"/>
      <c r="Z672" s="224"/>
    </row>
    <row r="673" spans="1:26" ht="12.75" customHeight="1">
      <c r="A673" s="224"/>
      <c r="B673" s="226"/>
      <c r="C673" s="224"/>
      <c r="D673" s="224"/>
      <c r="E673" s="224"/>
      <c r="F673" s="224"/>
      <c r="G673" s="224"/>
      <c r="H673" s="224"/>
      <c r="I673" s="224"/>
      <c r="J673" s="224"/>
      <c r="K673" s="224"/>
      <c r="L673" s="224"/>
      <c r="M673" s="224"/>
      <c r="N673" s="224"/>
      <c r="O673" s="224"/>
      <c r="P673" s="224"/>
      <c r="Q673" s="224"/>
      <c r="R673" s="224"/>
      <c r="S673" s="224"/>
      <c r="T673" s="224"/>
      <c r="U673" s="224"/>
      <c r="V673" s="224"/>
      <c r="W673" s="224"/>
      <c r="X673" s="224"/>
      <c r="Y673" s="224"/>
      <c r="Z673" s="224"/>
    </row>
    <row r="674" spans="1:26" ht="12.75" customHeight="1">
      <c r="A674" s="224"/>
      <c r="B674" s="226"/>
      <c r="C674" s="224"/>
      <c r="D674" s="224"/>
      <c r="E674" s="224"/>
      <c r="F674" s="224"/>
      <c r="G674" s="224"/>
      <c r="H674" s="224"/>
      <c r="I674" s="224"/>
      <c r="J674" s="224"/>
      <c r="K674" s="224"/>
      <c r="L674" s="224"/>
      <c r="M674" s="224"/>
      <c r="N674" s="224"/>
      <c r="O674" s="224"/>
      <c r="P674" s="224"/>
      <c r="Q674" s="224"/>
      <c r="R674" s="224"/>
      <c r="S674" s="224"/>
      <c r="T674" s="224"/>
      <c r="U674" s="224"/>
      <c r="V674" s="224"/>
      <c r="W674" s="224"/>
      <c r="X674" s="224"/>
      <c r="Y674" s="224"/>
      <c r="Z674" s="224"/>
    </row>
    <row r="675" spans="1:26" ht="12.75" customHeight="1">
      <c r="A675" s="224"/>
      <c r="B675" s="226"/>
      <c r="C675" s="224"/>
      <c r="D675" s="224"/>
      <c r="E675" s="224"/>
      <c r="F675" s="224"/>
      <c r="G675" s="224"/>
      <c r="H675" s="224"/>
      <c r="I675" s="224"/>
      <c r="J675" s="224"/>
      <c r="K675" s="224"/>
      <c r="L675" s="224"/>
      <c r="M675" s="224"/>
      <c r="N675" s="224"/>
      <c r="O675" s="224"/>
      <c r="P675" s="224"/>
      <c r="Q675" s="224"/>
      <c r="R675" s="224"/>
      <c r="S675" s="224"/>
      <c r="T675" s="224"/>
      <c r="U675" s="224"/>
      <c r="V675" s="224"/>
      <c r="W675" s="224"/>
      <c r="X675" s="224"/>
      <c r="Y675" s="224"/>
      <c r="Z675" s="224"/>
    </row>
    <row r="676" spans="1:26" ht="12.75" customHeight="1">
      <c r="A676" s="224"/>
      <c r="B676" s="226"/>
      <c r="C676" s="224"/>
      <c r="D676" s="224"/>
      <c r="E676" s="224"/>
      <c r="F676" s="224"/>
      <c r="G676" s="224"/>
      <c r="H676" s="224"/>
      <c r="I676" s="224"/>
      <c r="J676" s="224"/>
      <c r="K676" s="224"/>
      <c r="L676" s="224"/>
      <c r="M676" s="224"/>
      <c r="N676" s="224"/>
      <c r="O676" s="224"/>
      <c r="P676" s="224"/>
      <c r="Q676" s="224"/>
      <c r="R676" s="224"/>
      <c r="S676" s="224"/>
      <c r="T676" s="224"/>
      <c r="U676" s="224"/>
      <c r="V676" s="224"/>
      <c r="W676" s="224"/>
      <c r="X676" s="224"/>
      <c r="Y676" s="224"/>
      <c r="Z676" s="224"/>
    </row>
    <row r="677" spans="1:26" ht="12.75" customHeight="1">
      <c r="A677" s="224"/>
      <c r="B677" s="226"/>
      <c r="C677" s="224"/>
      <c r="D677" s="224"/>
      <c r="E677" s="224"/>
      <c r="F677" s="224"/>
      <c r="G677" s="224"/>
      <c r="H677" s="224"/>
      <c r="I677" s="224"/>
      <c r="J677" s="224"/>
      <c r="K677" s="224"/>
      <c r="L677" s="224"/>
      <c r="M677" s="224"/>
      <c r="N677" s="224"/>
      <c r="O677" s="224"/>
      <c r="P677" s="224"/>
      <c r="Q677" s="224"/>
      <c r="R677" s="224"/>
      <c r="S677" s="224"/>
      <c r="T677" s="224"/>
      <c r="U677" s="224"/>
      <c r="V677" s="224"/>
      <c r="W677" s="224"/>
      <c r="X677" s="224"/>
      <c r="Y677" s="224"/>
      <c r="Z677" s="224"/>
    </row>
    <row r="678" spans="1:26" ht="12.75" customHeight="1">
      <c r="A678" s="224"/>
      <c r="B678" s="226"/>
      <c r="C678" s="224"/>
      <c r="D678" s="224"/>
      <c r="E678" s="224"/>
      <c r="F678" s="224"/>
      <c r="G678" s="224"/>
      <c r="H678" s="224"/>
      <c r="I678" s="224"/>
      <c r="J678" s="224"/>
      <c r="K678" s="224"/>
      <c r="L678" s="224"/>
      <c r="M678" s="224"/>
      <c r="N678" s="224"/>
      <c r="O678" s="224"/>
      <c r="P678" s="224"/>
      <c r="Q678" s="224"/>
      <c r="R678" s="224"/>
      <c r="S678" s="224"/>
      <c r="T678" s="224"/>
      <c r="U678" s="224"/>
      <c r="V678" s="224"/>
      <c r="W678" s="224"/>
      <c r="X678" s="224"/>
      <c r="Y678" s="224"/>
      <c r="Z678" s="224"/>
    </row>
    <row r="679" spans="1:26" ht="12.75" customHeight="1">
      <c r="A679" s="224"/>
      <c r="B679" s="226"/>
      <c r="C679" s="224"/>
      <c r="D679" s="224"/>
      <c r="E679" s="224"/>
      <c r="F679" s="224"/>
      <c r="G679" s="224"/>
      <c r="H679" s="224"/>
      <c r="I679" s="224"/>
      <c r="J679" s="224"/>
      <c r="K679" s="224"/>
      <c r="L679" s="224"/>
      <c r="M679" s="224"/>
      <c r="N679" s="224"/>
      <c r="O679" s="224"/>
      <c r="P679" s="224"/>
      <c r="Q679" s="224"/>
      <c r="R679" s="224"/>
      <c r="S679" s="224"/>
      <c r="T679" s="224"/>
      <c r="U679" s="224"/>
      <c r="V679" s="224"/>
      <c r="W679" s="224"/>
      <c r="X679" s="224"/>
      <c r="Y679" s="224"/>
      <c r="Z679" s="224"/>
    </row>
    <row r="680" spans="1:26" ht="12.75" customHeight="1">
      <c r="A680" s="224"/>
      <c r="B680" s="226"/>
      <c r="C680" s="224"/>
      <c r="D680" s="224"/>
      <c r="E680" s="224"/>
      <c r="F680" s="224"/>
      <c r="G680" s="224"/>
      <c r="H680" s="224"/>
      <c r="I680" s="224"/>
      <c r="J680" s="224"/>
      <c r="K680" s="224"/>
      <c r="L680" s="224"/>
      <c r="M680" s="224"/>
      <c r="N680" s="224"/>
      <c r="O680" s="224"/>
      <c r="P680" s="224"/>
      <c r="Q680" s="224"/>
      <c r="R680" s="224"/>
      <c r="S680" s="224"/>
      <c r="T680" s="224"/>
      <c r="U680" s="224"/>
      <c r="V680" s="224"/>
      <c r="W680" s="224"/>
      <c r="X680" s="224"/>
      <c r="Y680" s="224"/>
      <c r="Z680" s="224"/>
    </row>
    <row r="681" spans="1:26" ht="12.75" customHeight="1">
      <c r="A681" s="224"/>
      <c r="B681" s="226"/>
      <c r="C681" s="224"/>
      <c r="D681" s="224"/>
      <c r="E681" s="224"/>
      <c r="F681" s="224"/>
      <c r="G681" s="224"/>
      <c r="H681" s="224"/>
      <c r="I681" s="224"/>
      <c r="J681" s="224"/>
      <c r="K681" s="224"/>
      <c r="L681" s="224"/>
      <c r="M681" s="224"/>
      <c r="N681" s="224"/>
      <c r="O681" s="224"/>
      <c r="P681" s="224"/>
      <c r="Q681" s="224"/>
      <c r="R681" s="224"/>
      <c r="S681" s="224"/>
      <c r="T681" s="224"/>
      <c r="U681" s="224"/>
      <c r="V681" s="224"/>
      <c r="W681" s="224"/>
      <c r="X681" s="224"/>
      <c r="Y681" s="224"/>
      <c r="Z681" s="224"/>
    </row>
    <row r="682" spans="1:26" ht="12.75" customHeight="1">
      <c r="A682" s="224"/>
      <c r="B682" s="226"/>
      <c r="C682" s="224"/>
      <c r="D682" s="224"/>
      <c r="E682" s="224"/>
      <c r="F682" s="224"/>
      <c r="G682" s="224"/>
      <c r="H682" s="224"/>
      <c r="I682" s="224"/>
      <c r="J682" s="224"/>
      <c r="K682" s="224"/>
      <c r="L682" s="224"/>
      <c r="M682" s="224"/>
      <c r="N682" s="224"/>
      <c r="O682" s="224"/>
      <c r="P682" s="224"/>
      <c r="Q682" s="224"/>
      <c r="R682" s="224"/>
      <c r="S682" s="224"/>
      <c r="T682" s="224"/>
      <c r="U682" s="224"/>
      <c r="V682" s="224"/>
      <c r="W682" s="224"/>
      <c r="X682" s="224"/>
      <c r="Y682" s="224"/>
      <c r="Z682" s="224"/>
    </row>
    <row r="683" spans="1:26" ht="12.75" customHeight="1">
      <c r="A683" s="224"/>
      <c r="B683" s="226"/>
      <c r="C683" s="224"/>
      <c r="D683" s="224"/>
      <c r="E683" s="224"/>
      <c r="F683" s="224"/>
      <c r="G683" s="224"/>
      <c r="H683" s="224"/>
      <c r="I683" s="224"/>
      <c r="J683" s="224"/>
      <c r="K683" s="224"/>
      <c r="L683" s="224"/>
      <c r="M683" s="224"/>
      <c r="N683" s="224"/>
      <c r="O683" s="224"/>
      <c r="P683" s="224"/>
      <c r="Q683" s="224"/>
      <c r="R683" s="224"/>
      <c r="S683" s="224"/>
      <c r="T683" s="224"/>
      <c r="U683" s="224"/>
      <c r="V683" s="224"/>
      <c r="W683" s="224"/>
      <c r="X683" s="224"/>
      <c r="Y683" s="224"/>
      <c r="Z683" s="224"/>
    </row>
    <row r="684" spans="1:26" ht="12.75" customHeight="1">
      <c r="A684" s="224"/>
      <c r="B684" s="226"/>
      <c r="C684" s="224"/>
      <c r="D684" s="224"/>
      <c r="E684" s="224"/>
      <c r="F684" s="224"/>
      <c r="G684" s="224"/>
      <c r="H684" s="224"/>
      <c r="I684" s="224"/>
      <c r="J684" s="224"/>
      <c r="K684" s="224"/>
      <c r="L684" s="224"/>
      <c r="M684" s="224"/>
      <c r="N684" s="224"/>
      <c r="O684" s="224"/>
      <c r="P684" s="224"/>
      <c r="Q684" s="224"/>
      <c r="R684" s="224"/>
      <c r="S684" s="224"/>
      <c r="T684" s="224"/>
      <c r="U684" s="224"/>
      <c r="V684" s="224"/>
      <c r="W684" s="224"/>
      <c r="X684" s="224"/>
      <c r="Y684" s="224"/>
      <c r="Z684" s="224"/>
    </row>
    <row r="685" spans="1:26" ht="12.75" customHeight="1">
      <c r="A685" s="224"/>
      <c r="B685" s="226"/>
      <c r="C685" s="224"/>
      <c r="D685" s="224"/>
      <c r="E685" s="224"/>
      <c r="F685" s="224"/>
      <c r="G685" s="224"/>
      <c r="H685" s="224"/>
      <c r="I685" s="224"/>
      <c r="J685" s="224"/>
      <c r="K685" s="224"/>
      <c r="L685" s="224"/>
      <c r="M685" s="224"/>
      <c r="N685" s="224"/>
      <c r="O685" s="224"/>
      <c r="P685" s="224"/>
      <c r="Q685" s="224"/>
      <c r="R685" s="224"/>
      <c r="S685" s="224"/>
      <c r="T685" s="224"/>
      <c r="U685" s="224"/>
      <c r="V685" s="224"/>
      <c r="W685" s="224"/>
      <c r="X685" s="224"/>
      <c r="Y685" s="224"/>
      <c r="Z685" s="224"/>
    </row>
    <row r="686" spans="1:26" ht="12.75" customHeight="1">
      <c r="A686" s="224"/>
      <c r="B686" s="226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24"/>
      <c r="P686" s="224"/>
      <c r="Q686" s="224"/>
      <c r="R686" s="224"/>
      <c r="S686" s="224"/>
      <c r="T686" s="224"/>
      <c r="U686" s="224"/>
      <c r="V686" s="224"/>
      <c r="W686" s="224"/>
      <c r="X686" s="224"/>
      <c r="Y686" s="224"/>
      <c r="Z686" s="224"/>
    </row>
    <row r="687" spans="1:26" ht="12.75" customHeight="1">
      <c r="A687" s="224"/>
      <c r="B687" s="226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24"/>
      <c r="P687" s="224"/>
      <c r="Q687" s="224"/>
      <c r="R687" s="224"/>
      <c r="S687" s="224"/>
      <c r="T687" s="224"/>
      <c r="U687" s="224"/>
      <c r="V687" s="224"/>
      <c r="W687" s="224"/>
      <c r="X687" s="224"/>
      <c r="Y687" s="224"/>
      <c r="Z687" s="224"/>
    </row>
    <row r="688" spans="1:26" ht="12.75" customHeight="1">
      <c r="A688" s="224"/>
      <c r="B688" s="226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24"/>
      <c r="P688" s="224"/>
      <c r="Q688" s="224"/>
      <c r="R688" s="224"/>
      <c r="S688" s="224"/>
      <c r="T688" s="224"/>
      <c r="U688" s="224"/>
      <c r="V688" s="224"/>
      <c r="W688" s="224"/>
      <c r="X688" s="224"/>
      <c r="Y688" s="224"/>
      <c r="Z688" s="224"/>
    </row>
    <row r="689" spans="1:26" ht="12.75" customHeight="1">
      <c r="A689" s="224"/>
      <c r="B689" s="226"/>
      <c r="C689" s="224"/>
      <c r="D689" s="224"/>
      <c r="E689" s="224"/>
      <c r="F689" s="224"/>
      <c r="G689" s="224"/>
      <c r="H689" s="224"/>
      <c r="I689" s="224"/>
      <c r="J689" s="224"/>
      <c r="K689" s="224"/>
      <c r="L689" s="224"/>
      <c r="M689" s="224"/>
      <c r="N689" s="224"/>
      <c r="O689" s="224"/>
      <c r="P689" s="224"/>
      <c r="Q689" s="224"/>
      <c r="R689" s="224"/>
      <c r="S689" s="224"/>
      <c r="T689" s="224"/>
      <c r="U689" s="224"/>
      <c r="V689" s="224"/>
      <c r="W689" s="224"/>
      <c r="X689" s="224"/>
      <c r="Y689" s="224"/>
      <c r="Z689" s="224"/>
    </row>
    <row r="690" spans="1:26" ht="12.75" customHeight="1">
      <c r="A690" s="224"/>
      <c r="B690" s="226"/>
      <c r="C690" s="224"/>
      <c r="D690" s="224"/>
      <c r="E690" s="224"/>
      <c r="F690" s="224"/>
      <c r="G690" s="224"/>
      <c r="H690" s="224"/>
      <c r="I690" s="224"/>
      <c r="J690" s="224"/>
      <c r="K690" s="224"/>
      <c r="L690" s="224"/>
      <c r="M690" s="224"/>
      <c r="N690" s="224"/>
      <c r="O690" s="224"/>
      <c r="P690" s="224"/>
      <c r="Q690" s="224"/>
      <c r="R690" s="224"/>
      <c r="S690" s="224"/>
      <c r="T690" s="224"/>
      <c r="U690" s="224"/>
      <c r="V690" s="224"/>
      <c r="W690" s="224"/>
      <c r="X690" s="224"/>
      <c r="Y690" s="224"/>
      <c r="Z690" s="224"/>
    </row>
    <row r="691" spans="1:26" ht="12.75" customHeight="1">
      <c r="A691" s="224"/>
      <c r="B691" s="226"/>
      <c r="C691" s="224"/>
      <c r="D691" s="224"/>
      <c r="E691" s="224"/>
      <c r="F691" s="224"/>
      <c r="G691" s="224"/>
      <c r="H691" s="224"/>
      <c r="I691" s="224"/>
      <c r="J691" s="224"/>
      <c r="K691" s="224"/>
      <c r="L691" s="224"/>
      <c r="M691" s="224"/>
      <c r="N691" s="224"/>
      <c r="O691" s="224"/>
      <c r="P691" s="224"/>
      <c r="Q691" s="224"/>
      <c r="R691" s="224"/>
      <c r="S691" s="224"/>
      <c r="T691" s="224"/>
      <c r="U691" s="224"/>
      <c r="V691" s="224"/>
      <c r="W691" s="224"/>
      <c r="X691" s="224"/>
      <c r="Y691" s="224"/>
      <c r="Z691" s="224"/>
    </row>
    <row r="692" spans="1:26" ht="12.75" customHeight="1">
      <c r="A692" s="224"/>
      <c r="B692" s="226"/>
      <c r="C692" s="224"/>
      <c r="D692" s="224"/>
      <c r="E692" s="224"/>
      <c r="F692" s="224"/>
      <c r="G692" s="224"/>
      <c r="H692" s="224"/>
      <c r="I692" s="224"/>
      <c r="J692" s="224"/>
      <c r="K692" s="224"/>
      <c r="L692" s="224"/>
      <c r="M692" s="224"/>
      <c r="N692" s="224"/>
      <c r="O692" s="224"/>
      <c r="P692" s="224"/>
      <c r="Q692" s="224"/>
      <c r="R692" s="224"/>
      <c r="S692" s="224"/>
      <c r="T692" s="224"/>
      <c r="U692" s="224"/>
      <c r="V692" s="224"/>
      <c r="W692" s="224"/>
      <c r="X692" s="224"/>
      <c r="Y692" s="224"/>
      <c r="Z692" s="224"/>
    </row>
    <row r="693" spans="1:26" ht="12.75" customHeight="1">
      <c r="A693" s="224"/>
      <c r="B693" s="226"/>
      <c r="C693" s="224"/>
      <c r="D693" s="224"/>
      <c r="E693" s="224"/>
      <c r="F693" s="224"/>
      <c r="G693" s="224"/>
      <c r="H693" s="224"/>
      <c r="I693" s="224"/>
      <c r="J693" s="224"/>
      <c r="K693" s="224"/>
      <c r="L693" s="224"/>
      <c r="M693" s="224"/>
      <c r="N693" s="224"/>
      <c r="O693" s="224"/>
      <c r="P693" s="224"/>
      <c r="Q693" s="224"/>
      <c r="R693" s="224"/>
      <c r="S693" s="224"/>
      <c r="T693" s="224"/>
      <c r="U693" s="224"/>
      <c r="V693" s="224"/>
      <c r="W693" s="224"/>
      <c r="X693" s="224"/>
      <c r="Y693" s="224"/>
      <c r="Z693" s="224"/>
    </row>
    <row r="694" spans="1:26" ht="12.75" customHeight="1">
      <c r="A694" s="224"/>
      <c r="B694" s="226"/>
      <c r="C694" s="224"/>
      <c r="D694" s="224"/>
      <c r="E694" s="224"/>
      <c r="F694" s="224"/>
      <c r="G694" s="224"/>
      <c r="H694" s="224"/>
      <c r="I694" s="224"/>
      <c r="J694" s="224"/>
      <c r="K694" s="224"/>
      <c r="L694" s="224"/>
      <c r="M694" s="224"/>
      <c r="N694" s="224"/>
      <c r="O694" s="224"/>
      <c r="P694" s="224"/>
      <c r="Q694" s="224"/>
      <c r="R694" s="224"/>
      <c r="S694" s="224"/>
      <c r="T694" s="224"/>
      <c r="U694" s="224"/>
      <c r="V694" s="224"/>
      <c r="W694" s="224"/>
      <c r="X694" s="224"/>
      <c r="Y694" s="224"/>
      <c r="Z694" s="224"/>
    </row>
    <row r="695" spans="1:26" ht="12.75" customHeight="1">
      <c r="A695" s="224"/>
      <c r="B695" s="226"/>
      <c r="C695" s="224"/>
      <c r="D695" s="224"/>
      <c r="E695" s="224"/>
      <c r="F695" s="224"/>
      <c r="G695" s="224"/>
      <c r="H695" s="224"/>
      <c r="I695" s="224"/>
      <c r="J695" s="224"/>
      <c r="K695" s="224"/>
      <c r="L695" s="224"/>
      <c r="M695" s="224"/>
      <c r="N695" s="224"/>
      <c r="O695" s="224"/>
      <c r="P695" s="224"/>
      <c r="Q695" s="224"/>
      <c r="R695" s="224"/>
      <c r="S695" s="224"/>
      <c r="T695" s="224"/>
      <c r="U695" s="224"/>
      <c r="V695" s="224"/>
      <c r="W695" s="224"/>
      <c r="X695" s="224"/>
      <c r="Y695" s="224"/>
      <c r="Z695" s="224"/>
    </row>
    <row r="696" spans="1:26" ht="12.75" customHeight="1">
      <c r="A696" s="224"/>
      <c r="B696" s="226"/>
      <c r="C696" s="224"/>
      <c r="D696" s="224"/>
      <c r="E696" s="224"/>
      <c r="F696" s="224"/>
      <c r="G696" s="224"/>
      <c r="H696" s="224"/>
      <c r="I696" s="224"/>
      <c r="J696" s="224"/>
      <c r="K696" s="224"/>
      <c r="L696" s="224"/>
      <c r="M696" s="224"/>
      <c r="N696" s="224"/>
      <c r="O696" s="224"/>
      <c r="P696" s="224"/>
      <c r="Q696" s="224"/>
      <c r="R696" s="224"/>
      <c r="S696" s="224"/>
      <c r="T696" s="224"/>
      <c r="U696" s="224"/>
      <c r="V696" s="224"/>
      <c r="W696" s="224"/>
      <c r="X696" s="224"/>
      <c r="Y696" s="224"/>
      <c r="Z696" s="224"/>
    </row>
    <row r="697" spans="1:26" ht="12.75" customHeight="1">
      <c r="A697" s="224"/>
      <c r="B697" s="226"/>
      <c r="C697" s="224"/>
      <c r="D697" s="224"/>
      <c r="E697" s="224"/>
      <c r="F697" s="224"/>
      <c r="G697" s="224"/>
      <c r="H697" s="224"/>
      <c r="I697" s="224"/>
      <c r="J697" s="224"/>
      <c r="K697" s="224"/>
      <c r="L697" s="224"/>
      <c r="M697" s="224"/>
      <c r="N697" s="224"/>
      <c r="O697" s="224"/>
      <c r="P697" s="224"/>
      <c r="Q697" s="224"/>
      <c r="R697" s="224"/>
      <c r="S697" s="224"/>
      <c r="T697" s="224"/>
      <c r="U697" s="224"/>
      <c r="V697" s="224"/>
      <c r="W697" s="224"/>
      <c r="X697" s="224"/>
      <c r="Y697" s="224"/>
      <c r="Z697" s="224"/>
    </row>
    <row r="698" spans="1:26" ht="12.75" customHeight="1">
      <c r="A698" s="224"/>
      <c r="B698" s="226"/>
      <c r="C698" s="224"/>
      <c r="D698" s="224"/>
      <c r="E698" s="224"/>
      <c r="F698" s="224"/>
      <c r="G698" s="224"/>
      <c r="H698" s="224"/>
      <c r="I698" s="224"/>
      <c r="J698" s="224"/>
      <c r="K698" s="224"/>
      <c r="L698" s="224"/>
      <c r="M698" s="224"/>
      <c r="N698" s="224"/>
      <c r="O698" s="224"/>
      <c r="P698" s="224"/>
      <c r="Q698" s="224"/>
      <c r="R698" s="224"/>
      <c r="S698" s="224"/>
      <c r="T698" s="224"/>
      <c r="U698" s="224"/>
      <c r="V698" s="224"/>
      <c r="W698" s="224"/>
      <c r="X698" s="224"/>
      <c r="Y698" s="224"/>
      <c r="Z698" s="224"/>
    </row>
    <row r="699" spans="1:26" ht="12.75" customHeight="1">
      <c r="A699" s="224"/>
      <c r="B699" s="226"/>
      <c r="C699" s="224"/>
      <c r="D699" s="224"/>
      <c r="E699" s="224"/>
      <c r="F699" s="224"/>
      <c r="G699" s="224"/>
      <c r="H699" s="224"/>
      <c r="I699" s="224"/>
      <c r="J699" s="224"/>
      <c r="K699" s="224"/>
      <c r="L699" s="224"/>
      <c r="M699" s="224"/>
      <c r="N699" s="224"/>
      <c r="O699" s="224"/>
      <c r="P699" s="224"/>
      <c r="Q699" s="224"/>
      <c r="R699" s="224"/>
      <c r="S699" s="224"/>
      <c r="T699" s="224"/>
      <c r="U699" s="224"/>
      <c r="V699" s="224"/>
      <c r="W699" s="224"/>
      <c r="X699" s="224"/>
      <c r="Y699" s="224"/>
      <c r="Z699" s="224"/>
    </row>
    <row r="700" spans="1:26" ht="12.75" customHeight="1">
      <c r="A700" s="224"/>
      <c r="B700" s="226"/>
      <c r="C700" s="224"/>
      <c r="D700" s="224"/>
      <c r="E700" s="224"/>
      <c r="F700" s="224"/>
      <c r="G700" s="224"/>
      <c r="H700" s="224"/>
      <c r="I700" s="224"/>
      <c r="J700" s="224"/>
      <c r="K700" s="224"/>
      <c r="L700" s="224"/>
      <c r="M700" s="224"/>
      <c r="N700" s="224"/>
      <c r="O700" s="224"/>
      <c r="P700" s="224"/>
      <c r="Q700" s="224"/>
      <c r="R700" s="224"/>
      <c r="S700" s="224"/>
      <c r="T700" s="224"/>
      <c r="U700" s="224"/>
      <c r="V700" s="224"/>
      <c r="W700" s="224"/>
      <c r="X700" s="224"/>
      <c r="Y700" s="224"/>
      <c r="Z700" s="224"/>
    </row>
    <row r="701" spans="1:26" ht="12.75" customHeight="1">
      <c r="A701" s="224"/>
      <c r="B701" s="226"/>
      <c r="C701" s="224"/>
      <c r="D701" s="224"/>
      <c r="E701" s="224"/>
      <c r="F701" s="224"/>
      <c r="G701" s="224"/>
      <c r="H701" s="224"/>
      <c r="I701" s="224"/>
      <c r="J701" s="224"/>
      <c r="K701" s="224"/>
      <c r="L701" s="224"/>
      <c r="M701" s="224"/>
      <c r="N701" s="224"/>
      <c r="O701" s="224"/>
      <c r="P701" s="224"/>
      <c r="Q701" s="224"/>
      <c r="R701" s="224"/>
      <c r="S701" s="224"/>
      <c r="T701" s="224"/>
      <c r="U701" s="224"/>
      <c r="V701" s="224"/>
      <c r="W701" s="224"/>
      <c r="X701" s="224"/>
      <c r="Y701" s="224"/>
      <c r="Z701" s="224"/>
    </row>
    <row r="702" spans="1:26" ht="12.75" customHeight="1">
      <c r="A702" s="224"/>
      <c r="B702" s="226"/>
      <c r="C702" s="224"/>
      <c r="D702" s="224"/>
      <c r="E702" s="224"/>
      <c r="F702" s="224"/>
      <c r="G702" s="224"/>
      <c r="H702" s="224"/>
      <c r="I702" s="224"/>
      <c r="J702" s="224"/>
      <c r="K702" s="224"/>
      <c r="L702" s="224"/>
      <c r="M702" s="224"/>
      <c r="N702" s="224"/>
      <c r="O702" s="224"/>
      <c r="P702" s="224"/>
      <c r="Q702" s="224"/>
      <c r="R702" s="224"/>
      <c r="S702" s="224"/>
      <c r="T702" s="224"/>
      <c r="U702" s="224"/>
      <c r="V702" s="224"/>
      <c r="W702" s="224"/>
      <c r="X702" s="224"/>
      <c r="Y702" s="224"/>
      <c r="Z702" s="224"/>
    </row>
    <row r="703" spans="1:26" ht="12.75" customHeight="1">
      <c r="A703" s="224"/>
      <c r="B703" s="226"/>
      <c r="C703" s="224"/>
      <c r="D703" s="224"/>
      <c r="E703" s="224"/>
      <c r="F703" s="224"/>
      <c r="G703" s="224"/>
      <c r="H703" s="224"/>
      <c r="I703" s="224"/>
      <c r="J703" s="224"/>
      <c r="K703" s="224"/>
      <c r="L703" s="224"/>
      <c r="M703" s="224"/>
      <c r="N703" s="224"/>
      <c r="O703" s="224"/>
      <c r="P703" s="224"/>
      <c r="Q703" s="224"/>
      <c r="R703" s="224"/>
      <c r="S703" s="224"/>
      <c r="T703" s="224"/>
      <c r="U703" s="224"/>
      <c r="V703" s="224"/>
      <c r="W703" s="224"/>
      <c r="X703" s="224"/>
      <c r="Y703" s="224"/>
      <c r="Z703" s="224"/>
    </row>
    <row r="704" spans="1:26" ht="12.75" customHeight="1">
      <c r="A704" s="224"/>
      <c r="B704" s="226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224"/>
      <c r="T704" s="224"/>
      <c r="U704" s="224"/>
      <c r="V704" s="224"/>
      <c r="W704" s="224"/>
      <c r="X704" s="224"/>
      <c r="Y704" s="224"/>
      <c r="Z704" s="224"/>
    </row>
    <row r="705" spans="1:26" ht="12.75" customHeight="1">
      <c r="A705" s="224"/>
      <c r="B705" s="226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224"/>
      <c r="T705" s="224"/>
      <c r="U705" s="224"/>
      <c r="V705" s="224"/>
      <c r="W705" s="224"/>
      <c r="X705" s="224"/>
      <c r="Y705" s="224"/>
      <c r="Z705" s="224"/>
    </row>
    <row r="706" spans="1:26" ht="12.75" customHeight="1">
      <c r="A706" s="224"/>
      <c r="B706" s="226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224"/>
      <c r="T706" s="224"/>
      <c r="U706" s="224"/>
      <c r="V706" s="224"/>
      <c r="W706" s="224"/>
      <c r="X706" s="224"/>
      <c r="Y706" s="224"/>
      <c r="Z706" s="224"/>
    </row>
    <row r="707" spans="1:26" ht="12.75" customHeight="1">
      <c r="A707" s="224"/>
      <c r="B707" s="226"/>
      <c r="C707" s="224"/>
      <c r="D707" s="224"/>
      <c r="E707" s="224"/>
      <c r="F707" s="224"/>
      <c r="G707" s="224"/>
      <c r="H707" s="224"/>
      <c r="I707" s="224"/>
      <c r="J707" s="224"/>
      <c r="K707" s="224"/>
      <c r="L707" s="224"/>
      <c r="M707" s="224"/>
      <c r="N707" s="224"/>
      <c r="O707" s="224"/>
      <c r="P707" s="224"/>
      <c r="Q707" s="224"/>
      <c r="R707" s="224"/>
      <c r="S707" s="224"/>
      <c r="T707" s="224"/>
      <c r="U707" s="224"/>
      <c r="V707" s="224"/>
      <c r="W707" s="224"/>
      <c r="X707" s="224"/>
      <c r="Y707" s="224"/>
      <c r="Z707" s="224"/>
    </row>
    <row r="708" spans="1:26" ht="12.75" customHeight="1">
      <c r="A708" s="224"/>
      <c r="B708" s="226"/>
      <c r="C708" s="224"/>
      <c r="D708" s="224"/>
      <c r="E708" s="224"/>
      <c r="F708" s="224"/>
      <c r="G708" s="224"/>
      <c r="H708" s="224"/>
      <c r="I708" s="224"/>
      <c r="J708" s="224"/>
      <c r="K708" s="224"/>
      <c r="L708" s="224"/>
      <c r="M708" s="224"/>
      <c r="N708" s="224"/>
      <c r="O708" s="224"/>
      <c r="P708" s="224"/>
      <c r="Q708" s="224"/>
      <c r="R708" s="224"/>
      <c r="S708" s="224"/>
      <c r="T708" s="224"/>
      <c r="U708" s="224"/>
      <c r="V708" s="224"/>
      <c r="W708" s="224"/>
      <c r="X708" s="224"/>
      <c r="Y708" s="224"/>
      <c r="Z708" s="224"/>
    </row>
    <row r="709" spans="1:26" ht="12.75" customHeight="1">
      <c r="A709" s="224"/>
      <c r="B709" s="226"/>
      <c r="C709" s="224"/>
      <c r="D709" s="224"/>
      <c r="E709" s="224"/>
      <c r="F709" s="224"/>
      <c r="G709" s="224"/>
      <c r="H709" s="224"/>
      <c r="I709" s="224"/>
      <c r="J709" s="224"/>
      <c r="K709" s="224"/>
      <c r="L709" s="224"/>
      <c r="M709" s="224"/>
      <c r="N709" s="224"/>
      <c r="O709" s="224"/>
      <c r="P709" s="224"/>
      <c r="Q709" s="224"/>
      <c r="R709" s="224"/>
      <c r="S709" s="224"/>
      <c r="T709" s="224"/>
      <c r="U709" s="224"/>
      <c r="V709" s="224"/>
      <c r="W709" s="224"/>
      <c r="X709" s="224"/>
      <c r="Y709" s="224"/>
      <c r="Z709" s="224"/>
    </row>
    <row r="710" spans="1:26" ht="12.75" customHeight="1">
      <c r="A710" s="224"/>
      <c r="B710" s="226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224"/>
      <c r="T710" s="224"/>
      <c r="U710" s="224"/>
      <c r="V710" s="224"/>
      <c r="W710" s="224"/>
      <c r="X710" s="224"/>
      <c r="Y710" s="224"/>
      <c r="Z710" s="224"/>
    </row>
    <row r="711" spans="1:26" ht="12.75" customHeight="1">
      <c r="A711" s="224"/>
      <c r="B711" s="226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224"/>
      <c r="T711" s="224"/>
      <c r="U711" s="224"/>
      <c r="V711" s="224"/>
      <c r="W711" s="224"/>
      <c r="X711" s="224"/>
      <c r="Y711" s="224"/>
      <c r="Z711" s="224"/>
    </row>
    <row r="712" spans="1:26" ht="12.75" customHeight="1">
      <c r="A712" s="224"/>
      <c r="B712" s="226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224"/>
      <c r="T712" s="224"/>
      <c r="U712" s="224"/>
      <c r="V712" s="224"/>
      <c r="W712" s="224"/>
      <c r="X712" s="224"/>
      <c r="Y712" s="224"/>
      <c r="Z712" s="224"/>
    </row>
    <row r="713" spans="1:26" ht="12.75" customHeight="1">
      <c r="A713" s="224"/>
      <c r="B713" s="226"/>
      <c r="C713" s="224"/>
      <c r="D713" s="224"/>
      <c r="E713" s="224"/>
      <c r="F713" s="224"/>
      <c r="G713" s="224"/>
      <c r="H713" s="224"/>
      <c r="I713" s="224"/>
      <c r="J713" s="224"/>
      <c r="K713" s="224"/>
      <c r="L713" s="224"/>
      <c r="M713" s="224"/>
      <c r="N713" s="224"/>
      <c r="O713" s="224"/>
      <c r="P713" s="224"/>
      <c r="Q713" s="224"/>
      <c r="R713" s="224"/>
      <c r="S713" s="224"/>
      <c r="T713" s="224"/>
      <c r="U713" s="224"/>
      <c r="V713" s="224"/>
      <c r="W713" s="224"/>
      <c r="X713" s="224"/>
      <c r="Y713" s="224"/>
      <c r="Z713" s="224"/>
    </row>
    <row r="714" spans="1:26" ht="12.75" customHeight="1">
      <c r="A714" s="224"/>
      <c r="B714" s="226"/>
      <c r="C714" s="224"/>
      <c r="D714" s="224"/>
      <c r="E714" s="224"/>
      <c r="F714" s="224"/>
      <c r="G714" s="224"/>
      <c r="H714" s="224"/>
      <c r="I714" s="224"/>
      <c r="J714" s="224"/>
      <c r="K714" s="224"/>
      <c r="L714" s="224"/>
      <c r="M714" s="224"/>
      <c r="N714" s="224"/>
      <c r="O714" s="224"/>
      <c r="P714" s="224"/>
      <c r="Q714" s="224"/>
      <c r="R714" s="224"/>
      <c r="S714" s="224"/>
      <c r="T714" s="224"/>
      <c r="U714" s="224"/>
      <c r="V714" s="224"/>
      <c r="W714" s="224"/>
      <c r="X714" s="224"/>
      <c r="Y714" s="224"/>
      <c r="Z714" s="224"/>
    </row>
    <row r="715" spans="1:26" ht="12.75" customHeight="1">
      <c r="A715" s="224"/>
      <c r="B715" s="226"/>
      <c r="C715" s="224"/>
      <c r="D715" s="224"/>
      <c r="E715" s="224"/>
      <c r="F715" s="224"/>
      <c r="G715" s="224"/>
      <c r="H715" s="224"/>
      <c r="I715" s="224"/>
      <c r="J715" s="224"/>
      <c r="K715" s="224"/>
      <c r="L715" s="224"/>
      <c r="M715" s="224"/>
      <c r="N715" s="224"/>
      <c r="O715" s="224"/>
      <c r="P715" s="224"/>
      <c r="Q715" s="224"/>
      <c r="R715" s="224"/>
      <c r="S715" s="224"/>
      <c r="T715" s="224"/>
      <c r="U715" s="224"/>
      <c r="V715" s="224"/>
      <c r="W715" s="224"/>
      <c r="X715" s="224"/>
      <c r="Y715" s="224"/>
      <c r="Z715" s="224"/>
    </row>
    <row r="716" spans="1:26" ht="12.75" customHeight="1">
      <c r="A716" s="224"/>
      <c r="B716" s="226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224"/>
      <c r="T716" s="224"/>
      <c r="U716" s="224"/>
      <c r="V716" s="224"/>
      <c r="W716" s="224"/>
      <c r="X716" s="224"/>
      <c r="Y716" s="224"/>
      <c r="Z716" s="224"/>
    </row>
    <row r="717" spans="1:26" ht="12.75" customHeight="1">
      <c r="A717" s="224"/>
      <c r="B717" s="226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224"/>
      <c r="T717" s="224"/>
      <c r="U717" s="224"/>
      <c r="V717" s="224"/>
      <c r="W717" s="224"/>
      <c r="X717" s="224"/>
      <c r="Y717" s="224"/>
      <c r="Z717" s="224"/>
    </row>
    <row r="718" spans="1:26" ht="12.75" customHeight="1">
      <c r="A718" s="224"/>
      <c r="B718" s="226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224"/>
      <c r="T718" s="224"/>
      <c r="U718" s="224"/>
      <c r="V718" s="224"/>
      <c r="W718" s="224"/>
      <c r="X718" s="224"/>
      <c r="Y718" s="224"/>
      <c r="Z718" s="224"/>
    </row>
    <row r="719" spans="1:26" ht="12.75" customHeight="1">
      <c r="A719" s="224"/>
      <c r="B719" s="226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</row>
    <row r="720" spans="1:26" ht="12.75" customHeight="1">
      <c r="A720" s="224"/>
      <c r="B720" s="226"/>
      <c r="C720" s="224"/>
      <c r="D720" s="224"/>
      <c r="E720" s="224"/>
      <c r="F720" s="224"/>
      <c r="G720" s="224"/>
      <c r="H720" s="224"/>
      <c r="I720" s="224"/>
      <c r="J720" s="224"/>
      <c r="K720" s="224"/>
      <c r="L720" s="224"/>
      <c r="M720" s="224"/>
      <c r="N720" s="224"/>
      <c r="O720" s="224"/>
      <c r="P720" s="224"/>
      <c r="Q720" s="224"/>
      <c r="R720" s="224"/>
      <c r="S720" s="224"/>
      <c r="T720" s="224"/>
      <c r="U720" s="224"/>
      <c r="V720" s="224"/>
      <c r="W720" s="224"/>
      <c r="X720" s="224"/>
      <c r="Y720" s="224"/>
      <c r="Z720" s="224"/>
    </row>
    <row r="721" spans="1:26" ht="12.75" customHeight="1">
      <c r="A721" s="224"/>
      <c r="B721" s="226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224"/>
      <c r="T721" s="224"/>
      <c r="U721" s="224"/>
      <c r="V721" s="224"/>
      <c r="W721" s="224"/>
      <c r="X721" s="224"/>
      <c r="Y721" s="224"/>
      <c r="Z721" s="224"/>
    </row>
    <row r="722" spans="1:26" ht="12.75" customHeight="1">
      <c r="A722" s="224"/>
      <c r="B722" s="226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224"/>
      <c r="T722" s="224"/>
      <c r="U722" s="224"/>
      <c r="V722" s="224"/>
      <c r="W722" s="224"/>
      <c r="X722" s="224"/>
      <c r="Y722" s="224"/>
      <c r="Z722" s="224"/>
    </row>
    <row r="723" spans="1:26" ht="12.75" customHeight="1">
      <c r="A723" s="224"/>
      <c r="B723" s="226"/>
      <c r="C723" s="224"/>
      <c r="D723" s="224"/>
      <c r="E723" s="224"/>
      <c r="F723" s="224"/>
      <c r="G723" s="224"/>
      <c r="H723" s="224"/>
      <c r="I723" s="224"/>
      <c r="J723" s="224"/>
      <c r="K723" s="224"/>
      <c r="L723" s="224"/>
      <c r="M723" s="224"/>
      <c r="N723" s="224"/>
      <c r="O723" s="224"/>
      <c r="P723" s="224"/>
      <c r="Q723" s="224"/>
      <c r="R723" s="224"/>
      <c r="S723" s="224"/>
      <c r="T723" s="224"/>
      <c r="U723" s="224"/>
      <c r="V723" s="224"/>
      <c r="W723" s="224"/>
      <c r="X723" s="224"/>
      <c r="Y723" s="224"/>
      <c r="Z723" s="224"/>
    </row>
    <row r="724" spans="1:26" ht="12.75" customHeight="1">
      <c r="A724" s="224"/>
      <c r="B724" s="226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224"/>
      <c r="T724" s="224"/>
      <c r="U724" s="224"/>
      <c r="V724" s="224"/>
      <c r="W724" s="224"/>
      <c r="X724" s="224"/>
      <c r="Y724" s="224"/>
      <c r="Z724" s="224"/>
    </row>
    <row r="725" spans="1:26" ht="12.75" customHeight="1">
      <c r="A725" s="224"/>
      <c r="B725" s="226"/>
      <c r="C725" s="224"/>
      <c r="D725" s="224"/>
      <c r="E725" s="224"/>
      <c r="F725" s="224"/>
      <c r="G725" s="224"/>
      <c r="H725" s="224"/>
      <c r="I725" s="224"/>
      <c r="J725" s="224"/>
      <c r="K725" s="224"/>
      <c r="L725" s="224"/>
      <c r="M725" s="224"/>
      <c r="N725" s="224"/>
      <c r="O725" s="224"/>
      <c r="P725" s="224"/>
      <c r="Q725" s="224"/>
      <c r="R725" s="224"/>
      <c r="S725" s="224"/>
      <c r="T725" s="224"/>
      <c r="U725" s="224"/>
      <c r="V725" s="224"/>
      <c r="W725" s="224"/>
      <c r="X725" s="224"/>
      <c r="Y725" s="224"/>
      <c r="Z725" s="224"/>
    </row>
    <row r="726" spans="1:26" ht="12.75" customHeight="1">
      <c r="A726" s="224"/>
      <c r="B726" s="226"/>
      <c r="C726" s="224"/>
      <c r="D726" s="224"/>
      <c r="E726" s="224"/>
      <c r="F726" s="224"/>
      <c r="G726" s="224"/>
      <c r="H726" s="224"/>
      <c r="I726" s="224"/>
      <c r="J726" s="224"/>
      <c r="K726" s="224"/>
      <c r="L726" s="224"/>
      <c r="M726" s="224"/>
      <c r="N726" s="224"/>
      <c r="O726" s="224"/>
      <c r="P726" s="224"/>
      <c r="Q726" s="224"/>
      <c r="R726" s="224"/>
      <c r="S726" s="224"/>
      <c r="T726" s="224"/>
      <c r="U726" s="224"/>
      <c r="V726" s="224"/>
      <c r="W726" s="224"/>
      <c r="X726" s="224"/>
      <c r="Y726" s="224"/>
      <c r="Z726" s="224"/>
    </row>
    <row r="727" spans="1:26" ht="12.75" customHeight="1">
      <c r="A727" s="224"/>
      <c r="B727" s="226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224"/>
      <c r="T727" s="224"/>
      <c r="U727" s="224"/>
      <c r="V727" s="224"/>
      <c r="W727" s="224"/>
      <c r="X727" s="224"/>
      <c r="Y727" s="224"/>
      <c r="Z727" s="224"/>
    </row>
    <row r="728" spans="1:26" ht="12.75" customHeight="1">
      <c r="A728" s="224"/>
      <c r="B728" s="226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224"/>
      <c r="T728" s="224"/>
      <c r="U728" s="224"/>
      <c r="V728" s="224"/>
      <c r="W728" s="224"/>
      <c r="X728" s="224"/>
      <c r="Y728" s="224"/>
      <c r="Z728" s="224"/>
    </row>
    <row r="729" spans="1:26" ht="12.75" customHeight="1">
      <c r="A729" s="224"/>
      <c r="B729" s="226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224"/>
      <c r="T729" s="224"/>
      <c r="U729" s="224"/>
      <c r="V729" s="224"/>
      <c r="W729" s="224"/>
      <c r="X729" s="224"/>
      <c r="Y729" s="224"/>
      <c r="Z729" s="224"/>
    </row>
    <row r="730" spans="1:26" ht="12.75" customHeight="1">
      <c r="A730" s="224"/>
      <c r="B730" s="226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224"/>
      <c r="T730" s="224"/>
      <c r="U730" s="224"/>
      <c r="V730" s="224"/>
      <c r="W730" s="224"/>
      <c r="X730" s="224"/>
      <c r="Y730" s="224"/>
      <c r="Z730" s="224"/>
    </row>
    <row r="731" spans="1:26" ht="12.75" customHeight="1">
      <c r="A731" s="224"/>
      <c r="B731" s="226"/>
      <c r="C731" s="224"/>
      <c r="D731" s="224"/>
      <c r="E731" s="224"/>
      <c r="F731" s="224"/>
      <c r="G731" s="224"/>
      <c r="H731" s="224"/>
      <c r="I731" s="224"/>
      <c r="J731" s="224"/>
      <c r="K731" s="224"/>
      <c r="L731" s="224"/>
      <c r="M731" s="224"/>
      <c r="N731" s="224"/>
      <c r="O731" s="224"/>
      <c r="P731" s="224"/>
      <c r="Q731" s="224"/>
      <c r="R731" s="224"/>
      <c r="S731" s="224"/>
      <c r="T731" s="224"/>
      <c r="U731" s="224"/>
      <c r="V731" s="224"/>
      <c r="W731" s="224"/>
      <c r="X731" s="224"/>
      <c r="Y731" s="224"/>
      <c r="Z731" s="224"/>
    </row>
    <row r="732" spans="1:26" ht="12.75" customHeight="1">
      <c r="A732" s="224"/>
      <c r="B732" s="226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224"/>
      <c r="T732" s="224"/>
      <c r="U732" s="224"/>
      <c r="V732" s="224"/>
      <c r="W732" s="224"/>
      <c r="X732" s="224"/>
      <c r="Y732" s="224"/>
      <c r="Z732" s="224"/>
    </row>
    <row r="733" spans="1:26" ht="12.75" customHeight="1">
      <c r="A733" s="224"/>
      <c r="B733" s="226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224"/>
      <c r="T733" s="224"/>
      <c r="U733" s="224"/>
      <c r="V733" s="224"/>
      <c r="W733" s="224"/>
      <c r="X733" s="224"/>
      <c r="Y733" s="224"/>
      <c r="Z733" s="224"/>
    </row>
    <row r="734" spans="1:26" ht="12.75" customHeight="1">
      <c r="A734" s="224"/>
      <c r="B734" s="226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224"/>
      <c r="T734" s="224"/>
      <c r="U734" s="224"/>
      <c r="V734" s="224"/>
      <c r="W734" s="224"/>
      <c r="X734" s="224"/>
      <c r="Y734" s="224"/>
      <c r="Z734" s="224"/>
    </row>
    <row r="735" spans="1:26" ht="12.75" customHeight="1">
      <c r="A735" s="224"/>
      <c r="B735" s="226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224"/>
      <c r="T735" s="224"/>
      <c r="U735" s="224"/>
      <c r="V735" s="224"/>
      <c r="W735" s="224"/>
      <c r="X735" s="224"/>
      <c r="Y735" s="224"/>
      <c r="Z735" s="224"/>
    </row>
    <row r="736" spans="1:26" ht="12.75" customHeight="1">
      <c r="A736" s="224"/>
      <c r="B736" s="226"/>
      <c r="C736" s="224"/>
      <c r="D736" s="224"/>
      <c r="E736" s="224"/>
      <c r="F736" s="224"/>
      <c r="G736" s="224"/>
      <c r="H736" s="224"/>
      <c r="I736" s="224"/>
      <c r="J736" s="224"/>
      <c r="K736" s="224"/>
      <c r="L736" s="224"/>
      <c r="M736" s="224"/>
      <c r="N736" s="224"/>
      <c r="O736" s="224"/>
      <c r="P736" s="224"/>
      <c r="Q736" s="224"/>
      <c r="R736" s="224"/>
      <c r="S736" s="224"/>
      <c r="T736" s="224"/>
      <c r="U736" s="224"/>
      <c r="V736" s="224"/>
      <c r="W736" s="224"/>
      <c r="X736" s="224"/>
      <c r="Y736" s="224"/>
      <c r="Z736" s="224"/>
    </row>
    <row r="737" spans="1:26" ht="12.75" customHeight="1">
      <c r="A737" s="224"/>
      <c r="B737" s="226"/>
      <c r="C737" s="224"/>
      <c r="D737" s="224"/>
      <c r="E737" s="224"/>
      <c r="F737" s="224"/>
      <c r="G737" s="224"/>
      <c r="H737" s="224"/>
      <c r="I737" s="224"/>
      <c r="J737" s="224"/>
      <c r="K737" s="224"/>
      <c r="L737" s="224"/>
      <c r="M737" s="224"/>
      <c r="N737" s="224"/>
      <c r="O737" s="224"/>
      <c r="P737" s="224"/>
      <c r="Q737" s="224"/>
      <c r="R737" s="224"/>
      <c r="S737" s="224"/>
      <c r="T737" s="224"/>
      <c r="U737" s="224"/>
      <c r="V737" s="224"/>
      <c r="W737" s="224"/>
      <c r="X737" s="224"/>
      <c r="Y737" s="224"/>
      <c r="Z737" s="224"/>
    </row>
    <row r="738" spans="1:26" ht="12.75" customHeight="1">
      <c r="A738" s="224"/>
      <c r="B738" s="226"/>
      <c r="C738" s="224"/>
      <c r="D738" s="224"/>
      <c r="E738" s="224"/>
      <c r="F738" s="224"/>
      <c r="G738" s="224"/>
      <c r="H738" s="224"/>
      <c r="I738" s="224"/>
      <c r="J738" s="224"/>
      <c r="K738" s="224"/>
      <c r="L738" s="224"/>
      <c r="M738" s="224"/>
      <c r="N738" s="224"/>
      <c r="O738" s="224"/>
      <c r="P738" s="224"/>
      <c r="Q738" s="224"/>
      <c r="R738" s="224"/>
      <c r="S738" s="224"/>
      <c r="T738" s="224"/>
      <c r="U738" s="224"/>
      <c r="V738" s="224"/>
      <c r="W738" s="224"/>
      <c r="X738" s="224"/>
      <c r="Y738" s="224"/>
      <c r="Z738" s="224"/>
    </row>
    <row r="739" spans="1:26" ht="12.75" customHeight="1">
      <c r="A739" s="224"/>
      <c r="B739" s="226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224"/>
      <c r="T739" s="224"/>
      <c r="U739" s="224"/>
      <c r="V739" s="224"/>
      <c r="W739" s="224"/>
      <c r="X739" s="224"/>
      <c r="Y739" s="224"/>
      <c r="Z739" s="224"/>
    </row>
    <row r="740" spans="1:26" ht="12.75" customHeight="1">
      <c r="A740" s="224"/>
      <c r="B740" s="226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224"/>
      <c r="T740" s="224"/>
      <c r="U740" s="224"/>
      <c r="V740" s="224"/>
      <c r="W740" s="224"/>
      <c r="X740" s="224"/>
      <c r="Y740" s="224"/>
      <c r="Z740" s="224"/>
    </row>
    <row r="741" spans="1:26" ht="12.75" customHeight="1">
      <c r="A741" s="224"/>
      <c r="B741" s="226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224"/>
      <c r="T741" s="224"/>
      <c r="U741" s="224"/>
      <c r="V741" s="224"/>
      <c r="W741" s="224"/>
      <c r="X741" s="224"/>
      <c r="Y741" s="224"/>
      <c r="Z741" s="224"/>
    </row>
    <row r="742" spans="1:26" ht="12.75" customHeight="1">
      <c r="A742" s="224"/>
      <c r="B742" s="226"/>
      <c r="C742" s="224"/>
      <c r="D742" s="224"/>
      <c r="E742" s="224"/>
      <c r="F742" s="224"/>
      <c r="G742" s="224"/>
      <c r="H742" s="224"/>
      <c r="I742" s="224"/>
      <c r="J742" s="224"/>
      <c r="K742" s="224"/>
      <c r="L742" s="224"/>
      <c r="M742" s="224"/>
      <c r="N742" s="224"/>
      <c r="O742" s="224"/>
      <c r="P742" s="224"/>
      <c r="Q742" s="224"/>
      <c r="R742" s="224"/>
      <c r="S742" s="224"/>
      <c r="T742" s="224"/>
      <c r="U742" s="224"/>
      <c r="V742" s="224"/>
      <c r="W742" s="224"/>
      <c r="X742" s="224"/>
      <c r="Y742" s="224"/>
      <c r="Z742" s="224"/>
    </row>
    <row r="743" spans="1:26" ht="12.75" customHeight="1">
      <c r="A743" s="224"/>
      <c r="B743" s="226"/>
      <c r="C743" s="224"/>
      <c r="D743" s="224"/>
      <c r="E743" s="224"/>
      <c r="F743" s="224"/>
      <c r="G743" s="224"/>
      <c r="H743" s="224"/>
      <c r="I743" s="224"/>
      <c r="J743" s="224"/>
      <c r="K743" s="224"/>
      <c r="L743" s="224"/>
      <c r="M743" s="224"/>
      <c r="N743" s="224"/>
      <c r="O743" s="224"/>
      <c r="P743" s="224"/>
      <c r="Q743" s="224"/>
      <c r="R743" s="224"/>
      <c r="S743" s="224"/>
      <c r="T743" s="224"/>
      <c r="U743" s="224"/>
      <c r="V743" s="224"/>
      <c r="W743" s="224"/>
      <c r="X743" s="224"/>
      <c r="Y743" s="224"/>
      <c r="Z743" s="224"/>
    </row>
    <row r="744" spans="1:26" ht="12.75" customHeight="1">
      <c r="A744" s="224"/>
      <c r="B744" s="226"/>
      <c r="C744" s="224"/>
      <c r="D744" s="224"/>
      <c r="E744" s="224"/>
      <c r="F744" s="224"/>
      <c r="G744" s="224"/>
      <c r="H744" s="224"/>
      <c r="I744" s="224"/>
      <c r="J744" s="224"/>
      <c r="K744" s="224"/>
      <c r="L744" s="224"/>
      <c r="M744" s="224"/>
      <c r="N744" s="224"/>
      <c r="O744" s="224"/>
      <c r="P744" s="224"/>
      <c r="Q744" s="224"/>
      <c r="R744" s="224"/>
      <c r="S744" s="224"/>
      <c r="T744" s="224"/>
      <c r="U744" s="224"/>
      <c r="V744" s="224"/>
      <c r="W744" s="224"/>
      <c r="X744" s="224"/>
      <c r="Y744" s="224"/>
      <c r="Z744" s="224"/>
    </row>
    <row r="745" spans="1:26" ht="12.75" customHeight="1">
      <c r="A745" s="224"/>
      <c r="B745" s="226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224"/>
      <c r="T745" s="224"/>
      <c r="U745" s="224"/>
      <c r="V745" s="224"/>
      <c r="W745" s="224"/>
      <c r="X745" s="224"/>
      <c r="Y745" s="224"/>
      <c r="Z745" s="224"/>
    </row>
    <row r="746" spans="1:26" ht="12.75" customHeight="1">
      <c r="A746" s="224"/>
      <c r="B746" s="226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224"/>
      <c r="T746" s="224"/>
      <c r="U746" s="224"/>
      <c r="V746" s="224"/>
      <c r="W746" s="224"/>
      <c r="X746" s="224"/>
      <c r="Y746" s="224"/>
      <c r="Z746" s="224"/>
    </row>
    <row r="747" spans="1:26" ht="12.75" customHeight="1">
      <c r="A747" s="224"/>
      <c r="B747" s="226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224"/>
      <c r="T747" s="224"/>
      <c r="U747" s="224"/>
      <c r="V747" s="224"/>
      <c r="W747" s="224"/>
      <c r="X747" s="224"/>
      <c r="Y747" s="224"/>
      <c r="Z747" s="224"/>
    </row>
    <row r="748" spans="1:26" ht="12.75" customHeight="1">
      <c r="A748" s="224"/>
      <c r="B748" s="226"/>
      <c r="C748" s="224"/>
      <c r="D748" s="224"/>
      <c r="E748" s="224"/>
      <c r="F748" s="224"/>
      <c r="G748" s="224"/>
      <c r="H748" s="224"/>
      <c r="I748" s="224"/>
      <c r="J748" s="224"/>
      <c r="K748" s="224"/>
      <c r="L748" s="224"/>
      <c r="M748" s="224"/>
      <c r="N748" s="224"/>
      <c r="O748" s="224"/>
      <c r="P748" s="224"/>
      <c r="Q748" s="224"/>
      <c r="R748" s="224"/>
      <c r="S748" s="224"/>
      <c r="T748" s="224"/>
      <c r="U748" s="224"/>
      <c r="V748" s="224"/>
      <c r="W748" s="224"/>
      <c r="X748" s="224"/>
      <c r="Y748" s="224"/>
      <c r="Z748" s="224"/>
    </row>
    <row r="749" spans="1:26" ht="12.75" customHeight="1">
      <c r="A749" s="224"/>
      <c r="B749" s="226"/>
      <c r="C749" s="224"/>
      <c r="D749" s="224"/>
      <c r="E749" s="224"/>
      <c r="F749" s="224"/>
      <c r="G749" s="224"/>
      <c r="H749" s="224"/>
      <c r="I749" s="224"/>
      <c r="J749" s="224"/>
      <c r="K749" s="224"/>
      <c r="L749" s="224"/>
      <c r="M749" s="224"/>
      <c r="N749" s="224"/>
      <c r="O749" s="224"/>
      <c r="P749" s="224"/>
      <c r="Q749" s="224"/>
      <c r="R749" s="224"/>
      <c r="S749" s="224"/>
      <c r="T749" s="224"/>
      <c r="U749" s="224"/>
      <c r="V749" s="224"/>
      <c r="W749" s="224"/>
      <c r="X749" s="224"/>
      <c r="Y749" s="224"/>
      <c r="Z749" s="224"/>
    </row>
    <row r="750" spans="1:26" ht="12.75" customHeight="1">
      <c r="A750" s="224"/>
      <c r="B750" s="226"/>
      <c r="C750" s="224"/>
      <c r="D750" s="224"/>
      <c r="E750" s="224"/>
      <c r="F750" s="224"/>
      <c r="G750" s="224"/>
      <c r="H750" s="224"/>
      <c r="I750" s="224"/>
      <c r="J750" s="224"/>
      <c r="K750" s="224"/>
      <c r="L750" s="224"/>
      <c r="M750" s="224"/>
      <c r="N750" s="224"/>
      <c r="O750" s="224"/>
      <c r="P750" s="224"/>
      <c r="Q750" s="224"/>
      <c r="R750" s="224"/>
      <c r="S750" s="224"/>
      <c r="T750" s="224"/>
      <c r="U750" s="224"/>
      <c r="V750" s="224"/>
      <c r="W750" s="224"/>
      <c r="X750" s="224"/>
      <c r="Y750" s="224"/>
      <c r="Z750" s="224"/>
    </row>
    <row r="751" spans="1:26" ht="12.75" customHeight="1">
      <c r="A751" s="224"/>
      <c r="B751" s="226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224"/>
      <c r="T751" s="224"/>
      <c r="U751" s="224"/>
      <c r="V751" s="224"/>
      <c r="W751" s="224"/>
      <c r="X751" s="224"/>
      <c r="Y751" s="224"/>
      <c r="Z751" s="224"/>
    </row>
    <row r="752" spans="1:26" ht="12.75" customHeight="1">
      <c r="A752" s="224"/>
      <c r="B752" s="226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224"/>
      <c r="T752" s="224"/>
      <c r="U752" s="224"/>
      <c r="V752" s="224"/>
      <c r="W752" s="224"/>
      <c r="X752" s="224"/>
      <c r="Y752" s="224"/>
      <c r="Z752" s="224"/>
    </row>
    <row r="753" spans="1:26" ht="12.75" customHeight="1">
      <c r="A753" s="224"/>
      <c r="B753" s="226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224"/>
      <c r="T753" s="224"/>
      <c r="U753" s="224"/>
      <c r="V753" s="224"/>
      <c r="W753" s="224"/>
      <c r="X753" s="224"/>
      <c r="Y753" s="224"/>
      <c r="Z753" s="224"/>
    </row>
    <row r="754" spans="1:26" ht="12.75" customHeight="1">
      <c r="A754" s="224"/>
      <c r="B754" s="226"/>
      <c r="C754" s="224"/>
      <c r="D754" s="224"/>
      <c r="E754" s="224"/>
      <c r="F754" s="224"/>
      <c r="G754" s="224"/>
      <c r="H754" s="224"/>
      <c r="I754" s="224"/>
      <c r="J754" s="224"/>
      <c r="K754" s="224"/>
      <c r="L754" s="224"/>
      <c r="M754" s="224"/>
      <c r="N754" s="224"/>
      <c r="O754" s="224"/>
      <c r="P754" s="224"/>
      <c r="Q754" s="224"/>
      <c r="R754" s="224"/>
      <c r="S754" s="224"/>
      <c r="T754" s="224"/>
      <c r="U754" s="224"/>
      <c r="V754" s="224"/>
      <c r="W754" s="224"/>
      <c r="X754" s="224"/>
      <c r="Y754" s="224"/>
      <c r="Z754" s="224"/>
    </row>
    <row r="755" spans="1:26" ht="12.75" customHeight="1">
      <c r="A755" s="224"/>
      <c r="B755" s="226"/>
      <c r="C755" s="224"/>
      <c r="D755" s="224"/>
      <c r="E755" s="224"/>
      <c r="F755" s="224"/>
      <c r="G755" s="224"/>
      <c r="H755" s="224"/>
      <c r="I755" s="224"/>
      <c r="J755" s="224"/>
      <c r="K755" s="224"/>
      <c r="L755" s="224"/>
      <c r="M755" s="224"/>
      <c r="N755" s="224"/>
      <c r="O755" s="224"/>
      <c r="P755" s="224"/>
      <c r="Q755" s="224"/>
      <c r="R755" s="224"/>
      <c r="S755" s="224"/>
      <c r="T755" s="224"/>
      <c r="U755" s="224"/>
      <c r="V755" s="224"/>
      <c r="W755" s="224"/>
      <c r="X755" s="224"/>
      <c r="Y755" s="224"/>
      <c r="Z755" s="224"/>
    </row>
    <row r="756" spans="1:26" ht="12.75" customHeight="1">
      <c r="A756" s="224"/>
      <c r="B756" s="226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224"/>
      <c r="T756" s="224"/>
      <c r="U756" s="224"/>
      <c r="V756" s="224"/>
      <c r="W756" s="224"/>
      <c r="X756" s="224"/>
      <c r="Y756" s="224"/>
      <c r="Z756" s="224"/>
    </row>
    <row r="757" spans="1:26" ht="12.75" customHeight="1">
      <c r="A757" s="224"/>
      <c r="B757" s="226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224"/>
      <c r="T757" s="224"/>
      <c r="U757" s="224"/>
      <c r="V757" s="224"/>
      <c r="W757" s="224"/>
      <c r="X757" s="224"/>
      <c r="Y757" s="224"/>
      <c r="Z757" s="224"/>
    </row>
    <row r="758" spans="1:26" ht="12.75" customHeight="1">
      <c r="A758" s="224"/>
      <c r="B758" s="226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224"/>
      <c r="T758" s="224"/>
      <c r="U758" s="224"/>
      <c r="V758" s="224"/>
      <c r="W758" s="224"/>
      <c r="X758" s="224"/>
      <c r="Y758" s="224"/>
      <c r="Z758" s="224"/>
    </row>
    <row r="759" spans="1:26" ht="12.75" customHeight="1">
      <c r="A759" s="224"/>
      <c r="B759" s="226"/>
      <c r="C759" s="224"/>
      <c r="D759" s="224"/>
      <c r="E759" s="224"/>
      <c r="F759" s="224"/>
      <c r="G759" s="224"/>
      <c r="H759" s="224"/>
      <c r="I759" s="224"/>
      <c r="J759" s="224"/>
      <c r="K759" s="224"/>
      <c r="L759" s="224"/>
      <c r="M759" s="224"/>
      <c r="N759" s="224"/>
      <c r="O759" s="224"/>
      <c r="P759" s="224"/>
      <c r="Q759" s="224"/>
      <c r="R759" s="224"/>
      <c r="S759" s="224"/>
      <c r="T759" s="224"/>
      <c r="U759" s="224"/>
      <c r="V759" s="224"/>
      <c r="W759" s="224"/>
      <c r="X759" s="224"/>
      <c r="Y759" s="224"/>
      <c r="Z759" s="224"/>
    </row>
    <row r="760" spans="1:26" ht="12.75" customHeight="1">
      <c r="A760" s="224"/>
      <c r="B760" s="226"/>
      <c r="C760" s="224"/>
      <c r="D760" s="224"/>
      <c r="E760" s="224"/>
      <c r="F760" s="224"/>
      <c r="G760" s="224"/>
      <c r="H760" s="224"/>
      <c r="I760" s="224"/>
      <c r="J760" s="224"/>
      <c r="K760" s="224"/>
      <c r="L760" s="224"/>
      <c r="M760" s="224"/>
      <c r="N760" s="224"/>
      <c r="O760" s="224"/>
      <c r="P760" s="224"/>
      <c r="Q760" s="224"/>
      <c r="R760" s="224"/>
      <c r="S760" s="224"/>
      <c r="T760" s="224"/>
      <c r="U760" s="224"/>
      <c r="V760" s="224"/>
      <c r="W760" s="224"/>
      <c r="X760" s="224"/>
      <c r="Y760" s="224"/>
      <c r="Z760" s="224"/>
    </row>
    <row r="761" spans="1:26" ht="12.75" customHeight="1">
      <c r="A761" s="224"/>
      <c r="B761" s="226"/>
      <c r="C761" s="224"/>
      <c r="D761" s="224"/>
      <c r="E761" s="224"/>
      <c r="F761" s="224"/>
      <c r="G761" s="224"/>
      <c r="H761" s="224"/>
      <c r="I761" s="224"/>
      <c r="J761" s="224"/>
      <c r="K761" s="224"/>
      <c r="L761" s="224"/>
      <c r="M761" s="224"/>
      <c r="N761" s="224"/>
      <c r="O761" s="224"/>
      <c r="P761" s="224"/>
      <c r="Q761" s="224"/>
      <c r="R761" s="224"/>
      <c r="S761" s="224"/>
      <c r="T761" s="224"/>
      <c r="U761" s="224"/>
      <c r="V761" s="224"/>
      <c r="W761" s="224"/>
      <c r="X761" s="224"/>
      <c r="Y761" s="224"/>
      <c r="Z761" s="224"/>
    </row>
    <row r="762" spans="1:26" ht="12.75" customHeight="1">
      <c r="A762" s="224"/>
      <c r="B762" s="226"/>
      <c r="C762" s="224"/>
      <c r="D762" s="224"/>
      <c r="E762" s="224"/>
      <c r="F762" s="224"/>
      <c r="G762" s="224"/>
      <c r="H762" s="224"/>
      <c r="I762" s="224"/>
      <c r="J762" s="224"/>
      <c r="K762" s="224"/>
      <c r="L762" s="224"/>
      <c r="M762" s="224"/>
      <c r="N762" s="224"/>
      <c r="O762" s="224"/>
      <c r="P762" s="224"/>
      <c r="Q762" s="224"/>
      <c r="R762" s="224"/>
      <c r="S762" s="224"/>
      <c r="T762" s="224"/>
      <c r="U762" s="224"/>
      <c r="V762" s="224"/>
      <c r="W762" s="224"/>
      <c r="X762" s="224"/>
      <c r="Y762" s="224"/>
      <c r="Z762" s="224"/>
    </row>
    <row r="763" spans="1:26" ht="12.75" customHeight="1">
      <c r="A763" s="224"/>
      <c r="B763" s="226"/>
      <c r="C763" s="224"/>
      <c r="D763" s="224"/>
      <c r="E763" s="224"/>
      <c r="F763" s="224"/>
      <c r="G763" s="224"/>
      <c r="H763" s="224"/>
      <c r="I763" s="224"/>
      <c r="J763" s="224"/>
      <c r="K763" s="224"/>
      <c r="L763" s="224"/>
      <c r="M763" s="224"/>
      <c r="N763" s="224"/>
      <c r="O763" s="224"/>
      <c r="P763" s="224"/>
      <c r="Q763" s="224"/>
      <c r="R763" s="224"/>
      <c r="S763" s="224"/>
      <c r="T763" s="224"/>
      <c r="U763" s="224"/>
      <c r="V763" s="224"/>
      <c r="W763" s="224"/>
      <c r="X763" s="224"/>
      <c r="Y763" s="224"/>
      <c r="Z763" s="224"/>
    </row>
    <row r="764" spans="1:26" ht="12.75" customHeight="1">
      <c r="A764" s="224"/>
      <c r="B764" s="226"/>
      <c r="C764" s="224"/>
      <c r="D764" s="224"/>
      <c r="E764" s="224"/>
      <c r="F764" s="224"/>
      <c r="G764" s="224"/>
      <c r="H764" s="224"/>
      <c r="I764" s="224"/>
      <c r="J764" s="224"/>
      <c r="K764" s="224"/>
      <c r="L764" s="224"/>
      <c r="M764" s="224"/>
      <c r="N764" s="224"/>
      <c r="O764" s="224"/>
      <c r="P764" s="224"/>
      <c r="Q764" s="224"/>
      <c r="R764" s="224"/>
      <c r="S764" s="224"/>
      <c r="T764" s="224"/>
      <c r="U764" s="224"/>
      <c r="V764" s="224"/>
      <c r="W764" s="224"/>
      <c r="X764" s="224"/>
      <c r="Y764" s="224"/>
      <c r="Z764" s="224"/>
    </row>
    <row r="765" spans="1:26" ht="12.75" customHeight="1">
      <c r="A765" s="224"/>
      <c r="B765" s="226"/>
      <c r="C765" s="224"/>
      <c r="D765" s="224"/>
      <c r="E765" s="224"/>
      <c r="F765" s="224"/>
      <c r="G765" s="224"/>
      <c r="H765" s="224"/>
      <c r="I765" s="224"/>
      <c r="J765" s="224"/>
      <c r="K765" s="224"/>
      <c r="L765" s="224"/>
      <c r="M765" s="224"/>
      <c r="N765" s="224"/>
      <c r="O765" s="224"/>
      <c r="P765" s="224"/>
      <c r="Q765" s="224"/>
      <c r="R765" s="224"/>
      <c r="S765" s="224"/>
      <c r="T765" s="224"/>
      <c r="U765" s="224"/>
      <c r="V765" s="224"/>
      <c r="W765" s="224"/>
      <c r="X765" s="224"/>
      <c r="Y765" s="224"/>
      <c r="Z765" s="224"/>
    </row>
    <row r="766" spans="1:26" ht="12.75" customHeight="1">
      <c r="A766" s="224"/>
      <c r="B766" s="226"/>
      <c r="C766" s="224"/>
      <c r="D766" s="224"/>
      <c r="E766" s="224"/>
      <c r="F766" s="224"/>
      <c r="G766" s="224"/>
      <c r="H766" s="224"/>
      <c r="I766" s="224"/>
      <c r="J766" s="224"/>
      <c r="K766" s="224"/>
      <c r="L766" s="224"/>
      <c r="M766" s="224"/>
      <c r="N766" s="224"/>
      <c r="O766" s="224"/>
      <c r="P766" s="224"/>
      <c r="Q766" s="224"/>
      <c r="R766" s="224"/>
      <c r="S766" s="224"/>
      <c r="T766" s="224"/>
      <c r="U766" s="224"/>
      <c r="V766" s="224"/>
      <c r="W766" s="224"/>
      <c r="X766" s="224"/>
      <c r="Y766" s="224"/>
      <c r="Z766" s="224"/>
    </row>
    <row r="767" spans="1:26" ht="12.75" customHeight="1">
      <c r="A767" s="224"/>
      <c r="B767" s="226"/>
      <c r="C767" s="224"/>
      <c r="D767" s="224"/>
      <c r="E767" s="224"/>
      <c r="F767" s="224"/>
      <c r="G767" s="224"/>
      <c r="H767" s="224"/>
      <c r="I767" s="224"/>
      <c r="J767" s="224"/>
      <c r="K767" s="224"/>
      <c r="L767" s="224"/>
      <c r="M767" s="224"/>
      <c r="N767" s="224"/>
      <c r="O767" s="224"/>
      <c r="P767" s="224"/>
      <c r="Q767" s="224"/>
      <c r="R767" s="224"/>
      <c r="S767" s="224"/>
      <c r="T767" s="224"/>
      <c r="U767" s="224"/>
      <c r="V767" s="224"/>
      <c r="W767" s="224"/>
      <c r="X767" s="224"/>
      <c r="Y767" s="224"/>
      <c r="Z767" s="224"/>
    </row>
    <row r="768" spans="1:26" ht="12.75" customHeight="1">
      <c r="A768" s="224"/>
      <c r="B768" s="226"/>
      <c r="C768" s="224"/>
      <c r="D768" s="224"/>
      <c r="E768" s="224"/>
      <c r="F768" s="224"/>
      <c r="G768" s="224"/>
      <c r="H768" s="224"/>
      <c r="I768" s="224"/>
      <c r="J768" s="224"/>
      <c r="K768" s="224"/>
      <c r="L768" s="224"/>
      <c r="M768" s="224"/>
      <c r="N768" s="224"/>
      <c r="O768" s="224"/>
      <c r="P768" s="224"/>
      <c r="Q768" s="224"/>
      <c r="R768" s="224"/>
      <c r="S768" s="224"/>
      <c r="T768" s="224"/>
      <c r="U768" s="224"/>
      <c r="V768" s="224"/>
      <c r="W768" s="224"/>
      <c r="X768" s="224"/>
      <c r="Y768" s="224"/>
      <c r="Z768" s="224"/>
    </row>
    <row r="769" spans="1:26" ht="12.75" customHeight="1">
      <c r="A769" s="224"/>
      <c r="B769" s="226"/>
      <c r="C769" s="224"/>
      <c r="D769" s="224"/>
      <c r="E769" s="224"/>
      <c r="F769" s="224"/>
      <c r="G769" s="224"/>
      <c r="H769" s="224"/>
      <c r="I769" s="224"/>
      <c r="J769" s="224"/>
      <c r="K769" s="224"/>
      <c r="L769" s="224"/>
      <c r="M769" s="224"/>
      <c r="N769" s="224"/>
      <c r="O769" s="224"/>
      <c r="P769" s="224"/>
      <c r="Q769" s="224"/>
      <c r="R769" s="224"/>
      <c r="S769" s="224"/>
      <c r="T769" s="224"/>
      <c r="U769" s="224"/>
      <c r="V769" s="224"/>
      <c r="W769" s="224"/>
      <c r="X769" s="224"/>
      <c r="Y769" s="224"/>
      <c r="Z769" s="224"/>
    </row>
    <row r="770" spans="1:26" ht="12.75" customHeight="1">
      <c r="A770" s="224"/>
      <c r="B770" s="226"/>
      <c r="C770" s="224"/>
      <c r="D770" s="224"/>
      <c r="E770" s="224"/>
      <c r="F770" s="224"/>
      <c r="G770" s="224"/>
      <c r="H770" s="224"/>
      <c r="I770" s="224"/>
      <c r="J770" s="224"/>
      <c r="K770" s="224"/>
      <c r="L770" s="224"/>
      <c r="M770" s="224"/>
      <c r="N770" s="224"/>
      <c r="O770" s="224"/>
      <c r="P770" s="224"/>
      <c r="Q770" s="224"/>
      <c r="R770" s="224"/>
      <c r="S770" s="224"/>
      <c r="T770" s="224"/>
      <c r="U770" s="224"/>
      <c r="V770" s="224"/>
      <c r="W770" s="224"/>
      <c r="X770" s="224"/>
      <c r="Y770" s="224"/>
      <c r="Z770" s="224"/>
    </row>
    <row r="771" spans="1:26" ht="12.75" customHeight="1">
      <c r="A771" s="224"/>
      <c r="B771" s="226"/>
      <c r="C771" s="224"/>
      <c r="D771" s="224"/>
      <c r="E771" s="224"/>
      <c r="F771" s="224"/>
      <c r="G771" s="224"/>
      <c r="H771" s="224"/>
      <c r="I771" s="224"/>
      <c r="J771" s="224"/>
      <c r="K771" s="224"/>
      <c r="L771" s="224"/>
      <c r="M771" s="224"/>
      <c r="N771" s="224"/>
      <c r="O771" s="224"/>
      <c r="P771" s="224"/>
      <c r="Q771" s="224"/>
      <c r="R771" s="224"/>
      <c r="S771" s="224"/>
      <c r="T771" s="224"/>
      <c r="U771" s="224"/>
      <c r="V771" s="224"/>
      <c r="W771" s="224"/>
      <c r="X771" s="224"/>
      <c r="Y771" s="224"/>
      <c r="Z771" s="224"/>
    </row>
    <row r="772" spans="1:26" ht="12.75" customHeight="1">
      <c r="A772" s="224"/>
      <c r="B772" s="226"/>
      <c r="C772" s="224"/>
      <c r="D772" s="224"/>
      <c r="E772" s="224"/>
      <c r="F772" s="224"/>
      <c r="G772" s="224"/>
      <c r="H772" s="224"/>
      <c r="I772" s="224"/>
      <c r="J772" s="224"/>
      <c r="K772" s="224"/>
      <c r="L772" s="224"/>
      <c r="M772" s="224"/>
      <c r="N772" s="224"/>
      <c r="O772" s="224"/>
      <c r="P772" s="224"/>
      <c r="Q772" s="224"/>
      <c r="R772" s="224"/>
      <c r="S772" s="224"/>
      <c r="T772" s="224"/>
      <c r="U772" s="224"/>
      <c r="V772" s="224"/>
      <c r="W772" s="224"/>
      <c r="X772" s="224"/>
      <c r="Y772" s="224"/>
      <c r="Z772" s="224"/>
    </row>
    <row r="773" spans="1:26" ht="12.75" customHeight="1">
      <c r="A773" s="224"/>
      <c r="B773" s="226"/>
      <c r="C773" s="224"/>
      <c r="D773" s="224"/>
      <c r="E773" s="224"/>
      <c r="F773" s="224"/>
      <c r="G773" s="224"/>
      <c r="H773" s="224"/>
      <c r="I773" s="224"/>
      <c r="J773" s="224"/>
      <c r="K773" s="224"/>
      <c r="L773" s="224"/>
      <c r="M773" s="224"/>
      <c r="N773" s="224"/>
      <c r="O773" s="224"/>
      <c r="P773" s="224"/>
      <c r="Q773" s="224"/>
      <c r="R773" s="224"/>
      <c r="S773" s="224"/>
      <c r="T773" s="224"/>
      <c r="U773" s="224"/>
      <c r="V773" s="224"/>
      <c r="W773" s="224"/>
      <c r="X773" s="224"/>
      <c r="Y773" s="224"/>
      <c r="Z773" s="224"/>
    </row>
    <row r="774" spans="1:26" ht="12.75" customHeight="1">
      <c r="A774" s="224"/>
      <c r="B774" s="226"/>
      <c r="C774" s="224"/>
      <c r="D774" s="224"/>
      <c r="E774" s="224"/>
      <c r="F774" s="224"/>
      <c r="G774" s="224"/>
      <c r="H774" s="224"/>
      <c r="I774" s="224"/>
      <c r="J774" s="224"/>
      <c r="K774" s="224"/>
      <c r="L774" s="224"/>
      <c r="M774" s="224"/>
      <c r="N774" s="224"/>
      <c r="O774" s="224"/>
      <c r="P774" s="224"/>
      <c r="Q774" s="224"/>
      <c r="R774" s="224"/>
      <c r="S774" s="224"/>
      <c r="T774" s="224"/>
      <c r="U774" s="224"/>
      <c r="V774" s="224"/>
      <c r="W774" s="224"/>
      <c r="X774" s="224"/>
      <c r="Y774" s="224"/>
      <c r="Z774" s="224"/>
    </row>
    <row r="775" spans="1:26" ht="12.75" customHeight="1">
      <c r="A775" s="224"/>
      <c r="B775" s="226"/>
      <c r="C775" s="224"/>
      <c r="D775" s="224"/>
      <c r="E775" s="224"/>
      <c r="F775" s="224"/>
      <c r="G775" s="224"/>
      <c r="H775" s="224"/>
      <c r="I775" s="224"/>
      <c r="J775" s="224"/>
      <c r="K775" s="224"/>
      <c r="L775" s="224"/>
      <c r="M775" s="224"/>
      <c r="N775" s="224"/>
      <c r="O775" s="224"/>
      <c r="P775" s="224"/>
      <c r="Q775" s="224"/>
      <c r="R775" s="224"/>
      <c r="S775" s="224"/>
      <c r="T775" s="224"/>
      <c r="U775" s="224"/>
      <c r="V775" s="224"/>
      <c r="W775" s="224"/>
      <c r="X775" s="224"/>
      <c r="Y775" s="224"/>
      <c r="Z775" s="224"/>
    </row>
    <row r="776" spans="1:26" ht="12.75" customHeight="1">
      <c r="A776" s="224"/>
      <c r="B776" s="226"/>
      <c r="C776" s="224"/>
      <c r="D776" s="224"/>
      <c r="E776" s="224"/>
      <c r="F776" s="224"/>
      <c r="G776" s="224"/>
      <c r="H776" s="224"/>
      <c r="I776" s="224"/>
      <c r="J776" s="224"/>
      <c r="K776" s="224"/>
      <c r="L776" s="224"/>
      <c r="M776" s="224"/>
      <c r="N776" s="224"/>
      <c r="O776" s="224"/>
      <c r="P776" s="224"/>
      <c r="Q776" s="224"/>
      <c r="R776" s="224"/>
      <c r="S776" s="224"/>
      <c r="T776" s="224"/>
      <c r="U776" s="224"/>
      <c r="V776" s="224"/>
      <c r="W776" s="224"/>
      <c r="X776" s="224"/>
      <c r="Y776" s="224"/>
      <c r="Z776" s="224"/>
    </row>
    <row r="777" spans="1:26" ht="12.75" customHeight="1">
      <c r="A777" s="224"/>
      <c r="B777" s="226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24"/>
      <c r="P777" s="224"/>
      <c r="Q777" s="224"/>
      <c r="R777" s="224"/>
      <c r="S777" s="224"/>
      <c r="T777" s="224"/>
      <c r="U777" s="224"/>
      <c r="V777" s="224"/>
      <c r="W777" s="224"/>
      <c r="X777" s="224"/>
      <c r="Y777" s="224"/>
      <c r="Z777" s="224"/>
    </row>
    <row r="778" spans="1:26" ht="12.75" customHeight="1">
      <c r="A778" s="224"/>
      <c r="B778" s="226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24"/>
      <c r="P778" s="224"/>
      <c r="Q778" s="224"/>
      <c r="R778" s="224"/>
      <c r="S778" s="224"/>
      <c r="T778" s="224"/>
      <c r="U778" s="224"/>
      <c r="V778" s="224"/>
      <c r="W778" s="224"/>
      <c r="X778" s="224"/>
      <c r="Y778" s="224"/>
      <c r="Z778" s="224"/>
    </row>
    <row r="779" spans="1:26" ht="12.75" customHeight="1">
      <c r="A779" s="224"/>
      <c r="B779" s="226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24"/>
      <c r="P779" s="224"/>
      <c r="Q779" s="224"/>
      <c r="R779" s="224"/>
      <c r="S779" s="224"/>
      <c r="T779" s="224"/>
      <c r="U779" s="224"/>
      <c r="V779" s="224"/>
      <c r="W779" s="224"/>
      <c r="X779" s="224"/>
      <c r="Y779" s="224"/>
      <c r="Z779" s="224"/>
    </row>
    <row r="780" spans="1:26" ht="12.75" customHeight="1">
      <c r="A780" s="224"/>
      <c r="B780" s="226"/>
      <c r="C780" s="224"/>
      <c r="D780" s="224"/>
      <c r="E780" s="224"/>
      <c r="F780" s="224"/>
      <c r="G780" s="224"/>
      <c r="H780" s="224"/>
      <c r="I780" s="224"/>
      <c r="J780" s="224"/>
      <c r="K780" s="224"/>
      <c r="L780" s="224"/>
      <c r="M780" s="224"/>
      <c r="N780" s="224"/>
      <c r="O780" s="224"/>
      <c r="P780" s="224"/>
      <c r="Q780" s="224"/>
      <c r="R780" s="224"/>
      <c r="S780" s="224"/>
      <c r="T780" s="224"/>
      <c r="U780" s="224"/>
      <c r="V780" s="224"/>
      <c r="W780" s="224"/>
      <c r="X780" s="224"/>
      <c r="Y780" s="224"/>
      <c r="Z780" s="224"/>
    </row>
    <row r="781" spans="1:26" ht="12.75" customHeight="1">
      <c r="A781" s="224"/>
      <c r="B781" s="226"/>
      <c r="C781" s="224"/>
      <c r="D781" s="224"/>
      <c r="E781" s="224"/>
      <c r="F781" s="224"/>
      <c r="G781" s="224"/>
      <c r="H781" s="224"/>
      <c r="I781" s="224"/>
      <c r="J781" s="224"/>
      <c r="K781" s="224"/>
      <c r="L781" s="224"/>
      <c r="M781" s="224"/>
      <c r="N781" s="224"/>
      <c r="O781" s="224"/>
      <c r="P781" s="224"/>
      <c r="Q781" s="224"/>
      <c r="R781" s="224"/>
      <c r="S781" s="224"/>
      <c r="T781" s="224"/>
      <c r="U781" s="224"/>
      <c r="V781" s="224"/>
      <c r="W781" s="224"/>
      <c r="X781" s="224"/>
      <c r="Y781" s="224"/>
      <c r="Z781" s="224"/>
    </row>
    <row r="782" spans="1:26" ht="12.75" customHeight="1">
      <c r="A782" s="224"/>
      <c r="B782" s="226"/>
      <c r="C782" s="224"/>
      <c r="D782" s="224"/>
      <c r="E782" s="224"/>
      <c r="F782" s="224"/>
      <c r="G782" s="224"/>
      <c r="H782" s="224"/>
      <c r="I782" s="224"/>
      <c r="J782" s="224"/>
      <c r="K782" s="224"/>
      <c r="L782" s="224"/>
      <c r="M782" s="224"/>
      <c r="N782" s="224"/>
      <c r="O782" s="224"/>
      <c r="P782" s="224"/>
      <c r="Q782" s="224"/>
      <c r="R782" s="224"/>
      <c r="S782" s="224"/>
      <c r="T782" s="224"/>
      <c r="U782" s="224"/>
      <c r="V782" s="224"/>
      <c r="W782" s="224"/>
      <c r="X782" s="224"/>
      <c r="Y782" s="224"/>
      <c r="Z782" s="224"/>
    </row>
    <row r="783" spans="1:26" ht="12.75" customHeight="1">
      <c r="A783" s="224"/>
      <c r="B783" s="226"/>
      <c r="C783" s="224"/>
      <c r="D783" s="224"/>
      <c r="E783" s="224"/>
      <c r="F783" s="224"/>
      <c r="G783" s="224"/>
      <c r="H783" s="224"/>
      <c r="I783" s="224"/>
      <c r="J783" s="224"/>
      <c r="K783" s="224"/>
      <c r="L783" s="224"/>
      <c r="M783" s="224"/>
      <c r="N783" s="224"/>
      <c r="O783" s="224"/>
      <c r="P783" s="224"/>
      <c r="Q783" s="224"/>
      <c r="R783" s="224"/>
      <c r="S783" s="224"/>
      <c r="T783" s="224"/>
      <c r="U783" s="224"/>
      <c r="V783" s="224"/>
      <c r="W783" s="224"/>
      <c r="X783" s="224"/>
      <c r="Y783" s="224"/>
      <c r="Z783" s="224"/>
    </row>
    <row r="784" spans="1:26" ht="12.75" customHeight="1">
      <c r="A784" s="224"/>
      <c r="B784" s="226"/>
      <c r="C784" s="224"/>
      <c r="D784" s="224"/>
      <c r="E784" s="224"/>
      <c r="F784" s="224"/>
      <c r="G784" s="224"/>
      <c r="H784" s="224"/>
      <c r="I784" s="224"/>
      <c r="J784" s="224"/>
      <c r="K784" s="224"/>
      <c r="L784" s="224"/>
      <c r="M784" s="224"/>
      <c r="N784" s="224"/>
      <c r="O784" s="224"/>
      <c r="P784" s="224"/>
      <c r="Q784" s="224"/>
      <c r="R784" s="224"/>
      <c r="S784" s="224"/>
      <c r="T784" s="224"/>
      <c r="U784" s="224"/>
      <c r="V784" s="224"/>
      <c r="W784" s="224"/>
      <c r="X784" s="224"/>
      <c r="Y784" s="224"/>
      <c r="Z784" s="224"/>
    </row>
    <row r="785" spans="1:26" ht="12.75" customHeight="1">
      <c r="A785" s="224"/>
      <c r="B785" s="226"/>
      <c r="C785" s="224"/>
      <c r="D785" s="224"/>
      <c r="E785" s="224"/>
      <c r="F785" s="224"/>
      <c r="G785" s="224"/>
      <c r="H785" s="224"/>
      <c r="I785" s="224"/>
      <c r="J785" s="224"/>
      <c r="K785" s="224"/>
      <c r="L785" s="224"/>
      <c r="M785" s="224"/>
      <c r="N785" s="224"/>
      <c r="O785" s="224"/>
      <c r="P785" s="224"/>
      <c r="Q785" s="224"/>
      <c r="R785" s="224"/>
      <c r="S785" s="224"/>
      <c r="T785" s="224"/>
      <c r="U785" s="224"/>
      <c r="V785" s="224"/>
      <c r="W785" s="224"/>
      <c r="X785" s="224"/>
      <c r="Y785" s="224"/>
      <c r="Z785" s="224"/>
    </row>
    <row r="786" spans="1:26" ht="12.75" customHeight="1">
      <c r="A786" s="224"/>
      <c r="B786" s="226"/>
      <c r="C786" s="224"/>
      <c r="D786" s="224"/>
      <c r="E786" s="224"/>
      <c r="F786" s="224"/>
      <c r="G786" s="224"/>
      <c r="H786" s="224"/>
      <c r="I786" s="224"/>
      <c r="J786" s="224"/>
      <c r="K786" s="224"/>
      <c r="L786" s="224"/>
      <c r="M786" s="224"/>
      <c r="N786" s="224"/>
      <c r="O786" s="224"/>
      <c r="P786" s="224"/>
      <c r="Q786" s="224"/>
      <c r="R786" s="224"/>
      <c r="S786" s="224"/>
      <c r="T786" s="224"/>
      <c r="U786" s="224"/>
      <c r="V786" s="224"/>
      <c r="W786" s="224"/>
      <c r="X786" s="224"/>
      <c r="Y786" s="224"/>
      <c r="Z786" s="224"/>
    </row>
    <row r="787" spans="1:26" ht="12.75" customHeight="1">
      <c r="A787" s="224"/>
      <c r="B787" s="226"/>
      <c r="C787" s="224"/>
      <c r="D787" s="224"/>
      <c r="E787" s="224"/>
      <c r="F787" s="224"/>
      <c r="G787" s="224"/>
      <c r="H787" s="224"/>
      <c r="I787" s="224"/>
      <c r="J787" s="224"/>
      <c r="K787" s="224"/>
      <c r="L787" s="224"/>
      <c r="M787" s="224"/>
      <c r="N787" s="224"/>
      <c r="O787" s="224"/>
      <c r="P787" s="224"/>
      <c r="Q787" s="224"/>
      <c r="R787" s="224"/>
      <c r="S787" s="224"/>
      <c r="T787" s="224"/>
      <c r="U787" s="224"/>
      <c r="V787" s="224"/>
      <c r="W787" s="224"/>
      <c r="X787" s="224"/>
      <c r="Y787" s="224"/>
      <c r="Z787" s="224"/>
    </row>
    <row r="788" spans="1:26" ht="12.75" customHeight="1">
      <c r="A788" s="224"/>
      <c r="B788" s="226"/>
      <c r="C788" s="224"/>
      <c r="D788" s="224"/>
      <c r="E788" s="224"/>
      <c r="F788" s="224"/>
      <c r="G788" s="224"/>
      <c r="H788" s="224"/>
      <c r="I788" s="224"/>
      <c r="J788" s="224"/>
      <c r="K788" s="224"/>
      <c r="L788" s="224"/>
      <c r="M788" s="224"/>
      <c r="N788" s="224"/>
      <c r="O788" s="224"/>
      <c r="P788" s="224"/>
      <c r="Q788" s="224"/>
      <c r="R788" s="224"/>
      <c r="S788" s="224"/>
      <c r="T788" s="224"/>
      <c r="U788" s="224"/>
      <c r="V788" s="224"/>
      <c r="W788" s="224"/>
      <c r="X788" s="224"/>
      <c r="Y788" s="224"/>
      <c r="Z788" s="224"/>
    </row>
    <row r="789" spans="1:26" ht="12.75" customHeight="1">
      <c r="A789" s="224"/>
      <c r="B789" s="226"/>
      <c r="C789" s="224"/>
      <c r="D789" s="224"/>
      <c r="E789" s="224"/>
      <c r="F789" s="224"/>
      <c r="G789" s="224"/>
      <c r="H789" s="224"/>
      <c r="I789" s="224"/>
      <c r="J789" s="224"/>
      <c r="K789" s="224"/>
      <c r="L789" s="224"/>
      <c r="M789" s="224"/>
      <c r="N789" s="224"/>
      <c r="O789" s="224"/>
      <c r="P789" s="224"/>
      <c r="Q789" s="224"/>
      <c r="R789" s="224"/>
      <c r="S789" s="224"/>
      <c r="T789" s="224"/>
      <c r="U789" s="224"/>
      <c r="V789" s="224"/>
      <c r="W789" s="224"/>
      <c r="X789" s="224"/>
      <c r="Y789" s="224"/>
      <c r="Z789" s="224"/>
    </row>
    <row r="790" spans="1:26" ht="12.75" customHeight="1">
      <c r="A790" s="224"/>
      <c r="B790" s="226"/>
      <c r="C790" s="224"/>
      <c r="D790" s="224"/>
      <c r="E790" s="224"/>
      <c r="F790" s="224"/>
      <c r="G790" s="224"/>
      <c r="H790" s="224"/>
      <c r="I790" s="224"/>
      <c r="J790" s="224"/>
      <c r="K790" s="224"/>
      <c r="L790" s="224"/>
      <c r="M790" s="224"/>
      <c r="N790" s="224"/>
      <c r="O790" s="224"/>
      <c r="P790" s="224"/>
      <c r="Q790" s="224"/>
      <c r="R790" s="224"/>
      <c r="S790" s="224"/>
      <c r="T790" s="224"/>
      <c r="U790" s="224"/>
      <c r="V790" s="224"/>
      <c r="W790" s="224"/>
      <c r="X790" s="224"/>
      <c r="Y790" s="224"/>
      <c r="Z790" s="224"/>
    </row>
    <row r="791" spans="1:26" ht="12.75" customHeight="1">
      <c r="A791" s="224"/>
      <c r="B791" s="226"/>
      <c r="C791" s="224"/>
      <c r="D791" s="224"/>
      <c r="E791" s="224"/>
      <c r="F791" s="224"/>
      <c r="G791" s="224"/>
      <c r="H791" s="224"/>
      <c r="I791" s="224"/>
      <c r="J791" s="224"/>
      <c r="K791" s="224"/>
      <c r="L791" s="224"/>
      <c r="M791" s="224"/>
      <c r="N791" s="224"/>
      <c r="O791" s="224"/>
      <c r="P791" s="224"/>
      <c r="Q791" s="224"/>
      <c r="R791" s="224"/>
      <c r="S791" s="224"/>
      <c r="T791" s="224"/>
      <c r="U791" s="224"/>
      <c r="V791" s="224"/>
      <c r="W791" s="224"/>
      <c r="X791" s="224"/>
      <c r="Y791" s="224"/>
      <c r="Z791" s="224"/>
    </row>
    <row r="792" spans="1:26" ht="12.75" customHeight="1">
      <c r="A792" s="224"/>
      <c r="B792" s="226"/>
      <c r="C792" s="224"/>
      <c r="D792" s="224"/>
      <c r="E792" s="224"/>
      <c r="F792" s="224"/>
      <c r="G792" s="224"/>
      <c r="H792" s="224"/>
      <c r="I792" s="224"/>
      <c r="J792" s="224"/>
      <c r="K792" s="224"/>
      <c r="L792" s="224"/>
      <c r="M792" s="224"/>
      <c r="N792" s="224"/>
      <c r="O792" s="224"/>
      <c r="P792" s="224"/>
      <c r="Q792" s="224"/>
      <c r="R792" s="224"/>
      <c r="S792" s="224"/>
      <c r="T792" s="224"/>
      <c r="U792" s="224"/>
      <c r="V792" s="224"/>
      <c r="W792" s="224"/>
      <c r="X792" s="224"/>
      <c r="Y792" s="224"/>
      <c r="Z792" s="224"/>
    </row>
    <row r="793" spans="1:26" ht="12.75" customHeight="1">
      <c r="A793" s="224"/>
      <c r="B793" s="226"/>
      <c r="C793" s="224"/>
      <c r="D793" s="224"/>
      <c r="E793" s="224"/>
      <c r="F793" s="224"/>
      <c r="G793" s="224"/>
      <c r="H793" s="224"/>
      <c r="I793" s="224"/>
      <c r="J793" s="224"/>
      <c r="K793" s="224"/>
      <c r="L793" s="224"/>
      <c r="M793" s="224"/>
      <c r="N793" s="224"/>
      <c r="O793" s="224"/>
      <c r="P793" s="224"/>
      <c r="Q793" s="224"/>
      <c r="R793" s="224"/>
      <c r="S793" s="224"/>
      <c r="T793" s="224"/>
      <c r="U793" s="224"/>
      <c r="V793" s="224"/>
      <c r="W793" s="224"/>
      <c r="X793" s="224"/>
      <c r="Y793" s="224"/>
      <c r="Z793" s="224"/>
    </row>
    <row r="794" spans="1:26" ht="12.75" customHeight="1">
      <c r="A794" s="224"/>
      <c r="B794" s="226"/>
      <c r="C794" s="224"/>
      <c r="D794" s="224"/>
      <c r="E794" s="224"/>
      <c r="F794" s="224"/>
      <c r="G794" s="224"/>
      <c r="H794" s="224"/>
      <c r="I794" s="224"/>
      <c r="J794" s="224"/>
      <c r="K794" s="224"/>
      <c r="L794" s="224"/>
      <c r="M794" s="224"/>
      <c r="N794" s="224"/>
      <c r="O794" s="224"/>
      <c r="P794" s="224"/>
      <c r="Q794" s="224"/>
      <c r="R794" s="224"/>
      <c r="S794" s="224"/>
      <c r="T794" s="224"/>
      <c r="U794" s="224"/>
      <c r="V794" s="224"/>
      <c r="W794" s="224"/>
      <c r="X794" s="224"/>
      <c r="Y794" s="224"/>
      <c r="Z794" s="224"/>
    </row>
    <row r="795" spans="1:26" ht="12.75" customHeight="1">
      <c r="A795" s="224"/>
      <c r="B795" s="226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224"/>
      <c r="T795" s="224"/>
      <c r="U795" s="224"/>
      <c r="V795" s="224"/>
      <c r="W795" s="224"/>
      <c r="X795" s="224"/>
      <c r="Y795" s="224"/>
      <c r="Z795" s="224"/>
    </row>
    <row r="796" spans="1:26" ht="12.75" customHeight="1">
      <c r="A796" s="224"/>
      <c r="B796" s="226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224"/>
      <c r="T796" s="224"/>
      <c r="U796" s="224"/>
      <c r="V796" s="224"/>
      <c r="W796" s="224"/>
      <c r="X796" s="224"/>
      <c r="Y796" s="224"/>
      <c r="Z796" s="224"/>
    </row>
    <row r="797" spans="1:26" ht="12.75" customHeight="1">
      <c r="A797" s="224"/>
      <c r="B797" s="226"/>
      <c r="C797" s="224"/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224"/>
      <c r="T797" s="224"/>
      <c r="U797" s="224"/>
      <c r="V797" s="224"/>
      <c r="W797" s="224"/>
      <c r="X797" s="224"/>
      <c r="Y797" s="224"/>
      <c r="Z797" s="224"/>
    </row>
    <row r="798" spans="1:26" ht="12.75" customHeight="1">
      <c r="A798" s="224"/>
      <c r="B798" s="226"/>
      <c r="C798" s="224"/>
      <c r="D798" s="224"/>
      <c r="E798" s="224"/>
      <c r="F798" s="224"/>
      <c r="G798" s="224"/>
      <c r="H798" s="224"/>
      <c r="I798" s="224"/>
      <c r="J798" s="224"/>
      <c r="K798" s="224"/>
      <c r="L798" s="224"/>
      <c r="M798" s="224"/>
      <c r="N798" s="224"/>
      <c r="O798" s="224"/>
      <c r="P798" s="224"/>
      <c r="Q798" s="224"/>
      <c r="R798" s="224"/>
      <c r="S798" s="224"/>
      <c r="T798" s="224"/>
      <c r="U798" s="224"/>
      <c r="V798" s="224"/>
      <c r="W798" s="224"/>
      <c r="X798" s="224"/>
      <c r="Y798" s="224"/>
      <c r="Z798" s="224"/>
    </row>
    <row r="799" spans="1:26" ht="12.75" customHeight="1">
      <c r="A799" s="224"/>
      <c r="B799" s="226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224"/>
      <c r="T799" s="224"/>
      <c r="U799" s="224"/>
      <c r="V799" s="224"/>
      <c r="W799" s="224"/>
      <c r="X799" s="224"/>
      <c r="Y799" s="224"/>
      <c r="Z799" s="224"/>
    </row>
    <row r="800" spans="1:26" ht="12.75" customHeight="1">
      <c r="A800" s="224"/>
      <c r="B800" s="226"/>
      <c r="C800" s="224"/>
      <c r="D800" s="224"/>
      <c r="E800" s="224"/>
      <c r="F800" s="224"/>
      <c r="G800" s="224"/>
      <c r="H800" s="224"/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224"/>
      <c r="T800" s="224"/>
      <c r="U800" s="224"/>
      <c r="V800" s="224"/>
      <c r="W800" s="224"/>
      <c r="X800" s="224"/>
      <c r="Y800" s="224"/>
      <c r="Z800" s="224"/>
    </row>
    <row r="801" spans="1:26" ht="12.75" customHeight="1">
      <c r="A801" s="224"/>
      <c r="B801" s="226"/>
      <c r="C801" s="224"/>
      <c r="D801" s="224"/>
      <c r="E801" s="224"/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224"/>
      <c r="T801" s="224"/>
      <c r="U801" s="224"/>
      <c r="V801" s="224"/>
      <c r="W801" s="224"/>
      <c r="X801" s="224"/>
      <c r="Y801" s="224"/>
      <c r="Z801" s="224"/>
    </row>
    <row r="802" spans="1:26" ht="12.75" customHeight="1">
      <c r="A802" s="224"/>
      <c r="B802" s="226"/>
      <c r="C802" s="224"/>
      <c r="D802" s="224"/>
      <c r="E802" s="224"/>
      <c r="F802" s="224"/>
      <c r="G802" s="224"/>
      <c r="H802" s="224"/>
      <c r="I802" s="224"/>
      <c r="J802" s="224"/>
      <c r="K802" s="224"/>
      <c r="L802" s="224"/>
      <c r="M802" s="224"/>
      <c r="N802" s="224"/>
      <c r="O802" s="224"/>
      <c r="P802" s="224"/>
      <c r="Q802" s="224"/>
      <c r="R802" s="224"/>
      <c r="S802" s="224"/>
      <c r="T802" s="224"/>
      <c r="U802" s="224"/>
      <c r="V802" s="224"/>
      <c r="W802" s="224"/>
      <c r="X802" s="224"/>
      <c r="Y802" s="224"/>
      <c r="Z802" s="224"/>
    </row>
    <row r="803" spans="1:26" ht="12.75" customHeight="1">
      <c r="A803" s="224"/>
      <c r="B803" s="226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224"/>
      <c r="T803" s="224"/>
      <c r="U803" s="224"/>
      <c r="V803" s="224"/>
      <c r="W803" s="224"/>
      <c r="X803" s="224"/>
      <c r="Y803" s="224"/>
      <c r="Z803" s="224"/>
    </row>
    <row r="804" spans="1:26" ht="12.75" customHeight="1">
      <c r="A804" s="224"/>
      <c r="B804" s="226"/>
      <c r="C804" s="224"/>
      <c r="D804" s="224"/>
      <c r="E804" s="224"/>
      <c r="F804" s="224"/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224"/>
      <c r="T804" s="224"/>
      <c r="U804" s="224"/>
      <c r="V804" s="224"/>
      <c r="W804" s="224"/>
      <c r="X804" s="224"/>
      <c r="Y804" s="224"/>
      <c r="Z804" s="224"/>
    </row>
    <row r="805" spans="1:26" ht="12.75" customHeight="1">
      <c r="A805" s="224"/>
      <c r="B805" s="226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224"/>
      <c r="T805" s="224"/>
      <c r="U805" s="224"/>
      <c r="V805" s="224"/>
      <c r="W805" s="224"/>
      <c r="X805" s="224"/>
      <c r="Y805" s="224"/>
      <c r="Z805" s="224"/>
    </row>
    <row r="806" spans="1:26" ht="12.75" customHeight="1">
      <c r="A806" s="224"/>
      <c r="B806" s="226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224"/>
      <c r="T806" s="224"/>
      <c r="U806" s="224"/>
      <c r="V806" s="224"/>
      <c r="W806" s="224"/>
      <c r="X806" s="224"/>
      <c r="Y806" s="224"/>
      <c r="Z806" s="224"/>
    </row>
    <row r="807" spans="1:26" ht="12.75" customHeight="1">
      <c r="A807" s="224"/>
      <c r="B807" s="226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224"/>
      <c r="T807" s="224"/>
      <c r="U807" s="224"/>
      <c r="V807" s="224"/>
      <c r="W807" s="224"/>
      <c r="X807" s="224"/>
      <c r="Y807" s="224"/>
      <c r="Z807" s="224"/>
    </row>
    <row r="808" spans="1:26" ht="12.75" customHeight="1">
      <c r="A808" s="224"/>
      <c r="B808" s="226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224"/>
      <c r="T808" s="224"/>
      <c r="U808" s="224"/>
      <c r="V808" s="224"/>
      <c r="W808" s="224"/>
      <c r="X808" s="224"/>
      <c r="Y808" s="224"/>
      <c r="Z808" s="224"/>
    </row>
    <row r="809" spans="1:26" ht="12.75" customHeight="1">
      <c r="A809" s="224"/>
      <c r="B809" s="226"/>
      <c r="C809" s="224"/>
      <c r="D809" s="224"/>
      <c r="E809" s="224"/>
      <c r="F809" s="224"/>
      <c r="G809" s="224"/>
      <c r="H809" s="224"/>
      <c r="I809" s="224"/>
      <c r="J809" s="224"/>
      <c r="K809" s="224"/>
      <c r="L809" s="224"/>
      <c r="M809" s="224"/>
      <c r="N809" s="224"/>
      <c r="O809" s="224"/>
      <c r="P809" s="224"/>
      <c r="Q809" s="224"/>
      <c r="R809" s="224"/>
      <c r="S809" s="224"/>
      <c r="T809" s="224"/>
      <c r="U809" s="224"/>
      <c r="V809" s="224"/>
      <c r="W809" s="224"/>
      <c r="X809" s="224"/>
      <c r="Y809" s="224"/>
      <c r="Z809" s="224"/>
    </row>
    <row r="810" spans="1:26" ht="12.75" customHeight="1">
      <c r="A810" s="224"/>
      <c r="B810" s="226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</row>
    <row r="811" spans="1:26" ht="12.75" customHeight="1">
      <c r="A811" s="224"/>
      <c r="B811" s="226"/>
      <c r="C811" s="224"/>
      <c r="D811" s="224"/>
      <c r="E811" s="224"/>
      <c r="F811" s="224"/>
      <c r="G811" s="224"/>
      <c r="H811" s="224"/>
      <c r="I811" s="224"/>
      <c r="J811" s="224"/>
      <c r="K811" s="224"/>
      <c r="L811" s="224"/>
      <c r="M811" s="224"/>
      <c r="N811" s="224"/>
      <c r="O811" s="224"/>
      <c r="P811" s="224"/>
      <c r="Q811" s="224"/>
      <c r="R811" s="224"/>
      <c r="S811" s="224"/>
      <c r="T811" s="224"/>
      <c r="U811" s="224"/>
      <c r="V811" s="224"/>
      <c r="W811" s="224"/>
      <c r="X811" s="224"/>
      <c r="Y811" s="224"/>
      <c r="Z811" s="224"/>
    </row>
    <row r="812" spans="1:26" ht="12.75" customHeight="1">
      <c r="A812" s="224"/>
      <c r="B812" s="226"/>
      <c r="C812" s="224"/>
      <c r="D812" s="224"/>
      <c r="E812" s="224"/>
      <c r="F812" s="224"/>
      <c r="G812" s="224"/>
      <c r="H812" s="224"/>
      <c r="I812" s="224"/>
      <c r="J812" s="224"/>
      <c r="K812" s="224"/>
      <c r="L812" s="224"/>
      <c r="M812" s="224"/>
      <c r="N812" s="224"/>
      <c r="O812" s="224"/>
      <c r="P812" s="224"/>
      <c r="Q812" s="224"/>
      <c r="R812" s="224"/>
      <c r="S812" s="224"/>
      <c r="T812" s="224"/>
      <c r="U812" s="224"/>
      <c r="V812" s="224"/>
      <c r="W812" s="224"/>
      <c r="X812" s="224"/>
      <c r="Y812" s="224"/>
      <c r="Z812" s="224"/>
    </row>
    <row r="813" spans="1:26" ht="12.75" customHeight="1">
      <c r="A813" s="224"/>
      <c r="B813" s="226"/>
      <c r="C813" s="224"/>
      <c r="D813" s="224"/>
      <c r="E813" s="224"/>
      <c r="F813" s="224"/>
      <c r="G813" s="224"/>
      <c r="H813" s="224"/>
      <c r="I813" s="224"/>
      <c r="J813" s="224"/>
      <c r="K813" s="224"/>
      <c r="L813" s="224"/>
      <c r="M813" s="224"/>
      <c r="N813" s="224"/>
      <c r="O813" s="224"/>
      <c r="P813" s="224"/>
      <c r="Q813" s="224"/>
      <c r="R813" s="224"/>
      <c r="S813" s="224"/>
      <c r="T813" s="224"/>
      <c r="U813" s="224"/>
      <c r="V813" s="224"/>
      <c r="W813" s="224"/>
      <c r="X813" s="224"/>
      <c r="Y813" s="224"/>
      <c r="Z813" s="224"/>
    </row>
    <row r="814" spans="1:26" ht="12.75" customHeight="1">
      <c r="A814" s="224"/>
      <c r="B814" s="226"/>
      <c r="C814" s="224"/>
      <c r="D814" s="224"/>
      <c r="E814" s="224"/>
      <c r="F814" s="224"/>
      <c r="G814" s="224"/>
      <c r="H814" s="224"/>
      <c r="I814" s="224"/>
      <c r="J814" s="224"/>
      <c r="K814" s="224"/>
      <c r="L814" s="224"/>
      <c r="M814" s="224"/>
      <c r="N814" s="224"/>
      <c r="O814" s="224"/>
      <c r="P814" s="224"/>
      <c r="Q814" s="224"/>
      <c r="R814" s="224"/>
      <c r="S814" s="224"/>
      <c r="T814" s="224"/>
      <c r="U814" s="224"/>
      <c r="V814" s="224"/>
      <c r="W814" s="224"/>
      <c r="X814" s="224"/>
      <c r="Y814" s="224"/>
      <c r="Z814" s="224"/>
    </row>
    <row r="815" spans="1:26" ht="12.75" customHeight="1">
      <c r="A815" s="224"/>
      <c r="B815" s="226"/>
      <c r="C815" s="224"/>
      <c r="D815" s="224"/>
      <c r="E815" s="224"/>
      <c r="F815" s="224"/>
      <c r="G815" s="224"/>
      <c r="H815" s="224"/>
      <c r="I815" s="224"/>
      <c r="J815" s="224"/>
      <c r="K815" s="224"/>
      <c r="L815" s="224"/>
      <c r="M815" s="224"/>
      <c r="N815" s="224"/>
      <c r="O815" s="224"/>
      <c r="P815" s="224"/>
      <c r="Q815" s="224"/>
      <c r="R815" s="224"/>
      <c r="S815" s="224"/>
      <c r="T815" s="224"/>
      <c r="U815" s="224"/>
      <c r="V815" s="224"/>
      <c r="W815" s="224"/>
      <c r="X815" s="224"/>
      <c r="Y815" s="224"/>
      <c r="Z815" s="224"/>
    </row>
    <row r="816" spans="1:26" ht="12.75" customHeight="1">
      <c r="A816" s="224"/>
      <c r="B816" s="226"/>
      <c r="C816" s="224"/>
      <c r="D816" s="224"/>
      <c r="E816" s="224"/>
      <c r="F816" s="224"/>
      <c r="G816" s="224"/>
      <c r="H816" s="224"/>
      <c r="I816" s="224"/>
      <c r="J816" s="224"/>
      <c r="K816" s="224"/>
      <c r="L816" s="224"/>
      <c r="M816" s="224"/>
      <c r="N816" s="224"/>
      <c r="O816" s="224"/>
      <c r="P816" s="224"/>
      <c r="Q816" s="224"/>
      <c r="R816" s="224"/>
      <c r="S816" s="224"/>
      <c r="T816" s="224"/>
      <c r="U816" s="224"/>
      <c r="V816" s="224"/>
      <c r="W816" s="224"/>
      <c r="X816" s="224"/>
      <c r="Y816" s="224"/>
      <c r="Z816" s="224"/>
    </row>
    <row r="817" spans="1:26" ht="12.75" customHeight="1">
      <c r="A817" s="224"/>
      <c r="B817" s="226"/>
      <c r="C817" s="224"/>
      <c r="D817" s="224"/>
      <c r="E817" s="224"/>
      <c r="F817" s="224"/>
      <c r="G817" s="224"/>
      <c r="H817" s="224"/>
      <c r="I817" s="224"/>
      <c r="J817" s="224"/>
      <c r="K817" s="224"/>
      <c r="L817" s="224"/>
      <c r="M817" s="224"/>
      <c r="N817" s="224"/>
      <c r="O817" s="224"/>
      <c r="P817" s="224"/>
      <c r="Q817" s="224"/>
      <c r="R817" s="224"/>
      <c r="S817" s="224"/>
      <c r="T817" s="224"/>
      <c r="U817" s="224"/>
      <c r="V817" s="224"/>
      <c r="W817" s="224"/>
      <c r="X817" s="224"/>
      <c r="Y817" s="224"/>
      <c r="Z817" s="224"/>
    </row>
    <row r="818" spans="1:26" ht="12.75" customHeight="1">
      <c r="A818" s="224"/>
      <c r="B818" s="226"/>
      <c r="C818" s="224"/>
      <c r="D818" s="224"/>
      <c r="E818" s="224"/>
      <c r="F818" s="224"/>
      <c r="G818" s="224"/>
      <c r="H818" s="224"/>
      <c r="I818" s="224"/>
      <c r="J818" s="224"/>
      <c r="K818" s="224"/>
      <c r="L818" s="224"/>
      <c r="M818" s="224"/>
      <c r="N818" s="224"/>
      <c r="O818" s="224"/>
      <c r="P818" s="224"/>
      <c r="Q818" s="224"/>
      <c r="R818" s="224"/>
      <c r="S818" s="224"/>
      <c r="T818" s="224"/>
      <c r="U818" s="224"/>
      <c r="V818" s="224"/>
      <c r="W818" s="224"/>
      <c r="X818" s="224"/>
      <c r="Y818" s="224"/>
      <c r="Z818" s="224"/>
    </row>
    <row r="819" spans="1:26" ht="12.75" customHeight="1">
      <c r="A819" s="224"/>
      <c r="B819" s="226"/>
      <c r="C819" s="224"/>
      <c r="D819" s="224"/>
      <c r="E819" s="224"/>
      <c r="F819" s="224"/>
      <c r="G819" s="224"/>
      <c r="H819" s="224"/>
      <c r="I819" s="224"/>
      <c r="J819" s="224"/>
      <c r="K819" s="224"/>
      <c r="L819" s="224"/>
      <c r="M819" s="224"/>
      <c r="N819" s="224"/>
      <c r="O819" s="224"/>
      <c r="P819" s="224"/>
      <c r="Q819" s="224"/>
      <c r="R819" s="224"/>
      <c r="S819" s="224"/>
      <c r="T819" s="224"/>
      <c r="U819" s="224"/>
      <c r="V819" s="224"/>
      <c r="W819" s="224"/>
      <c r="X819" s="224"/>
      <c r="Y819" s="224"/>
      <c r="Z819" s="224"/>
    </row>
    <row r="820" spans="1:26" ht="12.75" customHeight="1">
      <c r="A820" s="224"/>
      <c r="B820" s="226"/>
      <c r="C820" s="224"/>
      <c r="D820" s="224"/>
      <c r="E820" s="224"/>
      <c r="F820" s="224"/>
      <c r="G820" s="224"/>
      <c r="H820" s="224"/>
      <c r="I820" s="224"/>
      <c r="J820" s="224"/>
      <c r="K820" s="224"/>
      <c r="L820" s="224"/>
      <c r="M820" s="224"/>
      <c r="N820" s="224"/>
      <c r="O820" s="224"/>
      <c r="P820" s="224"/>
      <c r="Q820" s="224"/>
      <c r="R820" s="224"/>
      <c r="S820" s="224"/>
      <c r="T820" s="224"/>
      <c r="U820" s="224"/>
      <c r="V820" s="224"/>
      <c r="W820" s="224"/>
      <c r="X820" s="224"/>
      <c r="Y820" s="224"/>
      <c r="Z820" s="224"/>
    </row>
    <row r="821" spans="1:26" ht="12.75" customHeight="1">
      <c r="A821" s="224"/>
      <c r="B821" s="226"/>
      <c r="C821" s="224"/>
      <c r="D821" s="224"/>
      <c r="E821" s="224"/>
      <c r="F821" s="224"/>
      <c r="G821" s="224"/>
      <c r="H821" s="224"/>
      <c r="I821" s="224"/>
      <c r="J821" s="224"/>
      <c r="K821" s="224"/>
      <c r="L821" s="224"/>
      <c r="M821" s="224"/>
      <c r="N821" s="224"/>
      <c r="O821" s="224"/>
      <c r="P821" s="224"/>
      <c r="Q821" s="224"/>
      <c r="R821" s="224"/>
      <c r="S821" s="224"/>
      <c r="T821" s="224"/>
      <c r="U821" s="224"/>
      <c r="V821" s="224"/>
      <c r="W821" s="224"/>
      <c r="X821" s="224"/>
      <c r="Y821" s="224"/>
      <c r="Z821" s="224"/>
    </row>
    <row r="822" spans="1:26" ht="12.75" customHeight="1">
      <c r="A822" s="224"/>
      <c r="B822" s="226"/>
      <c r="C822" s="224"/>
      <c r="D822" s="224"/>
      <c r="E822" s="224"/>
      <c r="F822" s="224"/>
      <c r="G822" s="224"/>
      <c r="H822" s="224"/>
      <c r="I822" s="224"/>
      <c r="J822" s="224"/>
      <c r="K822" s="224"/>
      <c r="L822" s="224"/>
      <c r="M822" s="224"/>
      <c r="N822" s="224"/>
      <c r="O822" s="224"/>
      <c r="P822" s="224"/>
      <c r="Q822" s="224"/>
      <c r="R822" s="224"/>
      <c r="S822" s="224"/>
      <c r="T822" s="224"/>
      <c r="U822" s="224"/>
      <c r="V822" s="224"/>
      <c r="W822" s="224"/>
      <c r="X822" s="224"/>
      <c r="Y822" s="224"/>
      <c r="Z822" s="224"/>
    </row>
    <row r="823" spans="1:26" ht="12.75" customHeight="1">
      <c r="A823" s="224"/>
      <c r="B823" s="226"/>
      <c r="C823" s="224"/>
      <c r="D823" s="224"/>
      <c r="E823" s="224"/>
      <c r="F823" s="224"/>
      <c r="G823" s="224"/>
      <c r="H823" s="224"/>
      <c r="I823" s="224"/>
      <c r="J823" s="224"/>
      <c r="K823" s="224"/>
      <c r="L823" s="224"/>
      <c r="M823" s="224"/>
      <c r="N823" s="224"/>
      <c r="O823" s="224"/>
      <c r="P823" s="224"/>
      <c r="Q823" s="224"/>
      <c r="R823" s="224"/>
      <c r="S823" s="224"/>
      <c r="T823" s="224"/>
      <c r="U823" s="224"/>
      <c r="V823" s="224"/>
      <c r="W823" s="224"/>
      <c r="X823" s="224"/>
      <c r="Y823" s="224"/>
      <c r="Z823" s="224"/>
    </row>
    <row r="824" spans="1:26" ht="12.75" customHeight="1">
      <c r="A824" s="224"/>
      <c r="B824" s="226"/>
      <c r="C824" s="224"/>
      <c r="D824" s="224"/>
      <c r="E824" s="224"/>
      <c r="F824" s="224"/>
      <c r="G824" s="224"/>
      <c r="H824" s="224"/>
      <c r="I824" s="224"/>
      <c r="J824" s="224"/>
      <c r="K824" s="224"/>
      <c r="L824" s="224"/>
      <c r="M824" s="224"/>
      <c r="N824" s="224"/>
      <c r="O824" s="224"/>
      <c r="P824" s="224"/>
      <c r="Q824" s="224"/>
      <c r="R824" s="224"/>
      <c r="S824" s="224"/>
      <c r="T824" s="224"/>
      <c r="U824" s="224"/>
      <c r="V824" s="224"/>
      <c r="W824" s="224"/>
      <c r="X824" s="224"/>
      <c r="Y824" s="224"/>
      <c r="Z824" s="224"/>
    </row>
    <row r="825" spans="1:26" ht="12.75" customHeight="1">
      <c r="A825" s="224"/>
      <c r="B825" s="226"/>
      <c r="C825" s="224"/>
      <c r="D825" s="224"/>
      <c r="E825" s="224"/>
      <c r="F825" s="224"/>
      <c r="G825" s="224"/>
      <c r="H825" s="224"/>
      <c r="I825" s="224"/>
      <c r="J825" s="224"/>
      <c r="K825" s="224"/>
      <c r="L825" s="224"/>
      <c r="M825" s="224"/>
      <c r="N825" s="224"/>
      <c r="O825" s="224"/>
      <c r="P825" s="224"/>
      <c r="Q825" s="224"/>
      <c r="R825" s="224"/>
      <c r="S825" s="224"/>
      <c r="T825" s="224"/>
      <c r="U825" s="224"/>
      <c r="V825" s="224"/>
      <c r="W825" s="224"/>
      <c r="X825" s="224"/>
      <c r="Y825" s="224"/>
      <c r="Z825" s="224"/>
    </row>
    <row r="826" spans="1:26" ht="12.75" customHeight="1">
      <c r="A826" s="224"/>
      <c r="B826" s="226"/>
      <c r="C826" s="224"/>
      <c r="D826" s="224"/>
      <c r="E826" s="224"/>
      <c r="F826" s="224"/>
      <c r="G826" s="224"/>
      <c r="H826" s="224"/>
      <c r="I826" s="224"/>
      <c r="J826" s="224"/>
      <c r="K826" s="224"/>
      <c r="L826" s="224"/>
      <c r="M826" s="224"/>
      <c r="N826" s="224"/>
      <c r="O826" s="224"/>
      <c r="P826" s="224"/>
      <c r="Q826" s="224"/>
      <c r="R826" s="224"/>
      <c r="S826" s="224"/>
      <c r="T826" s="224"/>
      <c r="U826" s="224"/>
      <c r="V826" s="224"/>
      <c r="W826" s="224"/>
      <c r="X826" s="224"/>
      <c r="Y826" s="224"/>
      <c r="Z826" s="224"/>
    </row>
    <row r="827" spans="1:26" ht="12.75" customHeight="1">
      <c r="A827" s="224"/>
      <c r="B827" s="226"/>
      <c r="C827" s="224"/>
      <c r="D827" s="224"/>
      <c r="E827" s="224"/>
      <c r="F827" s="224"/>
      <c r="G827" s="224"/>
      <c r="H827" s="224"/>
      <c r="I827" s="224"/>
      <c r="J827" s="224"/>
      <c r="K827" s="224"/>
      <c r="L827" s="224"/>
      <c r="M827" s="224"/>
      <c r="N827" s="224"/>
      <c r="O827" s="224"/>
      <c r="P827" s="224"/>
      <c r="Q827" s="224"/>
      <c r="R827" s="224"/>
      <c r="S827" s="224"/>
      <c r="T827" s="224"/>
      <c r="U827" s="224"/>
      <c r="V827" s="224"/>
      <c r="W827" s="224"/>
      <c r="X827" s="224"/>
      <c r="Y827" s="224"/>
      <c r="Z827" s="224"/>
    </row>
    <row r="828" spans="1:26" ht="12.75" customHeight="1">
      <c r="A828" s="224"/>
      <c r="B828" s="226"/>
      <c r="C828" s="224"/>
      <c r="D828" s="224"/>
      <c r="E828" s="224"/>
      <c r="F828" s="224"/>
      <c r="G828" s="224"/>
      <c r="H828" s="224"/>
      <c r="I828" s="224"/>
      <c r="J828" s="224"/>
      <c r="K828" s="224"/>
      <c r="L828" s="224"/>
      <c r="M828" s="224"/>
      <c r="N828" s="224"/>
      <c r="O828" s="224"/>
      <c r="P828" s="224"/>
      <c r="Q828" s="224"/>
      <c r="R828" s="224"/>
      <c r="S828" s="224"/>
      <c r="T828" s="224"/>
      <c r="U828" s="224"/>
      <c r="V828" s="224"/>
      <c r="W828" s="224"/>
      <c r="X828" s="224"/>
      <c r="Y828" s="224"/>
      <c r="Z828" s="224"/>
    </row>
    <row r="829" spans="1:26" ht="12.75" customHeight="1">
      <c r="A829" s="224"/>
      <c r="B829" s="226"/>
      <c r="C829" s="224"/>
      <c r="D829" s="224"/>
      <c r="E829" s="224"/>
      <c r="F829" s="224"/>
      <c r="G829" s="224"/>
      <c r="H829" s="224"/>
      <c r="I829" s="224"/>
      <c r="J829" s="224"/>
      <c r="K829" s="224"/>
      <c r="L829" s="224"/>
      <c r="M829" s="224"/>
      <c r="N829" s="224"/>
      <c r="O829" s="224"/>
      <c r="P829" s="224"/>
      <c r="Q829" s="224"/>
      <c r="R829" s="224"/>
      <c r="S829" s="224"/>
      <c r="T829" s="224"/>
      <c r="U829" s="224"/>
      <c r="V829" s="224"/>
      <c r="W829" s="224"/>
      <c r="X829" s="224"/>
      <c r="Y829" s="224"/>
      <c r="Z829" s="224"/>
    </row>
    <row r="830" spans="1:26" ht="12.75" customHeight="1">
      <c r="A830" s="224"/>
      <c r="B830" s="226"/>
      <c r="C830" s="224"/>
      <c r="D830" s="224"/>
      <c r="E830" s="224"/>
      <c r="F830" s="224"/>
      <c r="G830" s="224"/>
      <c r="H830" s="224"/>
      <c r="I830" s="224"/>
      <c r="J830" s="224"/>
      <c r="K830" s="224"/>
      <c r="L830" s="224"/>
      <c r="M830" s="224"/>
      <c r="N830" s="224"/>
      <c r="O830" s="224"/>
      <c r="P830" s="224"/>
      <c r="Q830" s="224"/>
      <c r="R830" s="224"/>
      <c r="S830" s="224"/>
      <c r="T830" s="224"/>
      <c r="U830" s="224"/>
      <c r="V830" s="224"/>
      <c r="W830" s="224"/>
      <c r="X830" s="224"/>
      <c r="Y830" s="224"/>
      <c r="Z830" s="224"/>
    </row>
    <row r="831" spans="1:26" ht="12.75" customHeight="1">
      <c r="A831" s="224"/>
      <c r="B831" s="226"/>
      <c r="C831" s="224"/>
      <c r="D831" s="224"/>
      <c r="E831" s="224"/>
      <c r="F831" s="224"/>
      <c r="G831" s="224"/>
      <c r="H831" s="224"/>
      <c r="I831" s="224"/>
      <c r="J831" s="224"/>
      <c r="K831" s="224"/>
      <c r="L831" s="224"/>
      <c r="M831" s="224"/>
      <c r="N831" s="224"/>
      <c r="O831" s="224"/>
      <c r="P831" s="224"/>
      <c r="Q831" s="224"/>
      <c r="R831" s="224"/>
      <c r="S831" s="224"/>
      <c r="T831" s="224"/>
      <c r="U831" s="224"/>
      <c r="V831" s="224"/>
      <c r="W831" s="224"/>
      <c r="X831" s="224"/>
      <c r="Y831" s="224"/>
      <c r="Z831" s="224"/>
    </row>
    <row r="832" spans="1:26" ht="12.75" customHeight="1">
      <c r="A832" s="224"/>
      <c r="B832" s="226"/>
      <c r="C832" s="224"/>
      <c r="D832" s="224"/>
      <c r="E832" s="224"/>
      <c r="F832" s="224"/>
      <c r="G832" s="224"/>
      <c r="H832" s="224"/>
      <c r="I832" s="224"/>
      <c r="J832" s="224"/>
      <c r="K832" s="224"/>
      <c r="L832" s="224"/>
      <c r="M832" s="224"/>
      <c r="N832" s="224"/>
      <c r="O832" s="224"/>
      <c r="P832" s="224"/>
      <c r="Q832" s="224"/>
      <c r="R832" s="224"/>
      <c r="S832" s="224"/>
      <c r="T832" s="224"/>
      <c r="U832" s="224"/>
      <c r="V832" s="224"/>
      <c r="W832" s="224"/>
      <c r="X832" s="224"/>
      <c r="Y832" s="224"/>
      <c r="Z832" s="224"/>
    </row>
    <row r="833" spans="1:26" ht="12.75" customHeight="1">
      <c r="A833" s="224"/>
      <c r="B833" s="226"/>
      <c r="C833" s="224"/>
      <c r="D833" s="224"/>
      <c r="E833" s="224"/>
      <c r="F833" s="224"/>
      <c r="G833" s="224"/>
      <c r="H833" s="224"/>
      <c r="I833" s="224"/>
      <c r="J833" s="224"/>
      <c r="K833" s="224"/>
      <c r="L833" s="224"/>
      <c r="M833" s="224"/>
      <c r="N833" s="224"/>
      <c r="O833" s="224"/>
      <c r="P833" s="224"/>
      <c r="Q833" s="224"/>
      <c r="R833" s="224"/>
      <c r="S833" s="224"/>
      <c r="T833" s="224"/>
      <c r="U833" s="224"/>
      <c r="V833" s="224"/>
      <c r="W833" s="224"/>
      <c r="X833" s="224"/>
      <c r="Y833" s="224"/>
      <c r="Z833" s="224"/>
    </row>
    <row r="834" spans="1:26" ht="12.75" customHeight="1">
      <c r="A834" s="224"/>
      <c r="B834" s="226"/>
      <c r="C834" s="224"/>
      <c r="D834" s="224"/>
      <c r="E834" s="224"/>
      <c r="F834" s="224"/>
      <c r="G834" s="224"/>
      <c r="H834" s="224"/>
      <c r="I834" s="224"/>
      <c r="J834" s="224"/>
      <c r="K834" s="224"/>
      <c r="L834" s="224"/>
      <c r="M834" s="224"/>
      <c r="N834" s="224"/>
      <c r="O834" s="224"/>
      <c r="P834" s="224"/>
      <c r="Q834" s="224"/>
      <c r="R834" s="224"/>
      <c r="S834" s="224"/>
      <c r="T834" s="224"/>
      <c r="U834" s="224"/>
      <c r="V834" s="224"/>
      <c r="W834" s="224"/>
      <c r="X834" s="224"/>
      <c r="Y834" s="224"/>
      <c r="Z834" s="224"/>
    </row>
    <row r="835" spans="1:26" ht="12.75" customHeight="1">
      <c r="A835" s="224"/>
      <c r="B835" s="226"/>
      <c r="C835" s="224"/>
      <c r="D835" s="224"/>
      <c r="E835" s="224"/>
      <c r="F835" s="224"/>
      <c r="G835" s="224"/>
      <c r="H835" s="224"/>
      <c r="I835" s="224"/>
      <c r="J835" s="224"/>
      <c r="K835" s="224"/>
      <c r="L835" s="224"/>
      <c r="M835" s="224"/>
      <c r="N835" s="224"/>
      <c r="O835" s="224"/>
      <c r="P835" s="224"/>
      <c r="Q835" s="224"/>
      <c r="R835" s="224"/>
      <c r="S835" s="224"/>
      <c r="T835" s="224"/>
      <c r="U835" s="224"/>
      <c r="V835" s="224"/>
      <c r="W835" s="224"/>
      <c r="X835" s="224"/>
      <c r="Y835" s="224"/>
      <c r="Z835" s="224"/>
    </row>
    <row r="836" spans="1:26" ht="12.75" customHeight="1">
      <c r="A836" s="224"/>
      <c r="B836" s="226"/>
      <c r="C836" s="224"/>
      <c r="D836" s="224"/>
      <c r="E836" s="224"/>
      <c r="F836" s="224"/>
      <c r="G836" s="224"/>
      <c r="H836" s="224"/>
      <c r="I836" s="224"/>
      <c r="J836" s="224"/>
      <c r="K836" s="224"/>
      <c r="L836" s="224"/>
      <c r="M836" s="224"/>
      <c r="N836" s="224"/>
      <c r="O836" s="224"/>
      <c r="P836" s="224"/>
      <c r="Q836" s="224"/>
      <c r="R836" s="224"/>
      <c r="S836" s="224"/>
      <c r="T836" s="224"/>
      <c r="U836" s="224"/>
      <c r="V836" s="224"/>
      <c r="W836" s="224"/>
      <c r="X836" s="224"/>
      <c r="Y836" s="224"/>
      <c r="Z836" s="224"/>
    </row>
    <row r="837" spans="1:26" ht="12.75" customHeight="1">
      <c r="A837" s="224"/>
      <c r="B837" s="226"/>
      <c r="C837" s="224"/>
      <c r="D837" s="224"/>
      <c r="E837" s="224"/>
      <c r="F837" s="224"/>
      <c r="G837" s="224"/>
      <c r="H837" s="224"/>
      <c r="I837" s="224"/>
      <c r="J837" s="224"/>
      <c r="K837" s="224"/>
      <c r="L837" s="224"/>
      <c r="M837" s="224"/>
      <c r="N837" s="224"/>
      <c r="O837" s="224"/>
      <c r="P837" s="224"/>
      <c r="Q837" s="224"/>
      <c r="R837" s="224"/>
      <c r="S837" s="224"/>
      <c r="T837" s="224"/>
      <c r="U837" s="224"/>
      <c r="V837" s="224"/>
      <c r="W837" s="224"/>
      <c r="X837" s="224"/>
      <c r="Y837" s="224"/>
      <c r="Z837" s="224"/>
    </row>
    <row r="838" spans="1:26" ht="12.75" customHeight="1">
      <c r="A838" s="224"/>
      <c r="B838" s="226"/>
      <c r="C838" s="224"/>
      <c r="D838" s="224"/>
      <c r="E838" s="224"/>
      <c r="F838" s="224"/>
      <c r="G838" s="224"/>
      <c r="H838" s="224"/>
      <c r="I838" s="224"/>
      <c r="J838" s="224"/>
      <c r="K838" s="224"/>
      <c r="L838" s="224"/>
      <c r="M838" s="224"/>
      <c r="N838" s="224"/>
      <c r="O838" s="224"/>
      <c r="P838" s="224"/>
      <c r="Q838" s="224"/>
      <c r="R838" s="224"/>
      <c r="S838" s="224"/>
      <c r="T838" s="224"/>
      <c r="U838" s="224"/>
      <c r="V838" s="224"/>
      <c r="W838" s="224"/>
      <c r="X838" s="224"/>
      <c r="Y838" s="224"/>
      <c r="Z838" s="224"/>
    </row>
    <row r="839" spans="1:26" ht="12.75" customHeight="1">
      <c r="A839" s="224"/>
      <c r="B839" s="226"/>
      <c r="C839" s="224"/>
      <c r="D839" s="224"/>
      <c r="E839" s="224"/>
      <c r="F839" s="224"/>
      <c r="G839" s="224"/>
      <c r="H839" s="224"/>
      <c r="I839" s="224"/>
      <c r="J839" s="224"/>
      <c r="K839" s="224"/>
      <c r="L839" s="224"/>
      <c r="M839" s="224"/>
      <c r="N839" s="224"/>
      <c r="O839" s="224"/>
      <c r="P839" s="224"/>
      <c r="Q839" s="224"/>
      <c r="R839" s="224"/>
      <c r="S839" s="224"/>
      <c r="T839" s="224"/>
      <c r="U839" s="224"/>
      <c r="V839" s="224"/>
      <c r="W839" s="224"/>
      <c r="X839" s="224"/>
      <c r="Y839" s="224"/>
      <c r="Z839" s="224"/>
    </row>
    <row r="840" spans="1:26" ht="12.75" customHeight="1">
      <c r="A840" s="224"/>
      <c r="B840" s="226"/>
      <c r="C840" s="224"/>
      <c r="D840" s="224"/>
      <c r="E840" s="224"/>
      <c r="F840" s="224"/>
      <c r="G840" s="224"/>
      <c r="H840" s="224"/>
      <c r="I840" s="224"/>
      <c r="J840" s="224"/>
      <c r="K840" s="224"/>
      <c r="L840" s="224"/>
      <c r="M840" s="224"/>
      <c r="N840" s="224"/>
      <c r="O840" s="224"/>
      <c r="P840" s="224"/>
      <c r="Q840" s="224"/>
      <c r="R840" s="224"/>
      <c r="S840" s="224"/>
      <c r="T840" s="224"/>
      <c r="U840" s="224"/>
      <c r="V840" s="224"/>
      <c r="W840" s="224"/>
      <c r="X840" s="224"/>
      <c r="Y840" s="224"/>
      <c r="Z840" s="224"/>
    </row>
    <row r="841" spans="1:26" ht="12.75" customHeight="1">
      <c r="A841" s="224"/>
      <c r="B841" s="226"/>
      <c r="C841" s="224"/>
      <c r="D841" s="224"/>
      <c r="E841" s="224"/>
      <c r="F841" s="224"/>
      <c r="G841" s="224"/>
      <c r="H841" s="224"/>
      <c r="I841" s="224"/>
      <c r="J841" s="224"/>
      <c r="K841" s="224"/>
      <c r="L841" s="224"/>
      <c r="M841" s="224"/>
      <c r="N841" s="224"/>
      <c r="O841" s="224"/>
      <c r="P841" s="224"/>
      <c r="Q841" s="224"/>
      <c r="R841" s="224"/>
      <c r="S841" s="224"/>
      <c r="T841" s="224"/>
      <c r="U841" s="224"/>
      <c r="V841" s="224"/>
      <c r="W841" s="224"/>
      <c r="X841" s="224"/>
      <c r="Y841" s="224"/>
      <c r="Z841" s="224"/>
    </row>
    <row r="842" spans="1:26" ht="12.75" customHeight="1">
      <c r="A842" s="224"/>
      <c r="B842" s="226"/>
      <c r="C842" s="224"/>
      <c r="D842" s="224"/>
      <c r="E842" s="224"/>
      <c r="F842" s="224"/>
      <c r="G842" s="224"/>
      <c r="H842" s="224"/>
      <c r="I842" s="224"/>
      <c r="J842" s="224"/>
      <c r="K842" s="224"/>
      <c r="L842" s="224"/>
      <c r="M842" s="224"/>
      <c r="N842" s="224"/>
      <c r="O842" s="224"/>
      <c r="P842" s="224"/>
      <c r="Q842" s="224"/>
      <c r="R842" s="224"/>
      <c r="S842" s="224"/>
      <c r="T842" s="224"/>
      <c r="U842" s="224"/>
      <c r="V842" s="224"/>
      <c r="W842" s="224"/>
      <c r="X842" s="224"/>
      <c r="Y842" s="224"/>
      <c r="Z842" s="224"/>
    </row>
    <row r="843" spans="1:26" ht="12.75" customHeight="1">
      <c r="A843" s="224"/>
      <c r="B843" s="226"/>
      <c r="C843" s="224"/>
      <c r="D843" s="224"/>
      <c r="E843" s="224"/>
      <c r="F843" s="224"/>
      <c r="G843" s="224"/>
      <c r="H843" s="224"/>
      <c r="I843" s="224"/>
      <c r="J843" s="224"/>
      <c r="K843" s="224"/>
      <c r="L843" s="224"/>
      <c r="M843" s="224"/>
      <c r="N843" s="224"/>
      <c r="O843" s="224"/>
      <c r="P843" s="224"/>
      <c r="Q843" s="224"/>
      <c r="R843" s="224"/>
      <c r="S843" s="224"/>
      <c r="T843" s="224"/>
      <c r="U843" s="224"/>
      <c r="V843" s="224"/>
      <c r="W843" s="224"/>
      <c r="X843" s="224"/>
      <c r="Y843" s="224"/>
      <c r="Z843" s="224"/>
    </row>
    <row r="844" spans="1:26" ht="12.75" customHeight="1">
      <c r="A844" s="224"/>
      <c r="B844" s="226"/>
      <c r="C844" s="224"/>
      <c r="D844" s="224"/>
      <c r="E844" s="224"/>
      <c r="F844" s="224"/>
      <c r="G844" s="224"/>
      <c r="H844" s="224"/>
      <c r="I844" s="224"/>
      <c r="J844" s="224"/>
      <c r="K844" s="224"/>
      <c r="L844" s="224"/>
      <c r="M844" s="224"/>
      <c r="N844" s="224"/>
      <c r="O844" s="224"/>
      <c r="P844" s="224"/>
      <c r="Q844" s="224"/>
      <c r="R844" s="224"/>
      <c r="S844" s="224"/>
      <c r="T844" s="224"/>
      <c r="U844" s="224"/>
      <c r="V844" s="224"/>
      <c r="W844" s="224"/>
      <c r="X844" s="224"/>
      <c r="Y844" s="224"/>
      <c r="Z844" s="224"/>
    </row>
    <row r="845" spans="1:26" ht="12.75" customHeight="1">
      <c r="A845" s="224"/>
      <c r="B845" s="226"/>
      <c r="C845" s="224"/>
      <c r="D845" s="224"/>
      <c r="E845" s="224"/>
      <c r="F845" s="224"/>
      <c r="G845" s="224"/>
      <c r="H845" s="224"/>
      <c r="I845" s="224"/>
      <c r="J845" s="224"/>
      <c r="K845" s="224"/>
      <c r="L845" s="224"/>
      <c r="M845" s="224"/>
      <c r="N845" s="224"/>
      <c r="O845" s="224"/>
      <c r="P845" s="224"/>
      <c r="Q845" s="224"/>
      <c r="R845" s="224"/>
      <c r="S845" s="224"/>
      <c r="T845" s="224"/>
      <c r="U845" s="224"/>
      <c r="V845" s="224"/>
      <c r="W845" s="224"/>
      <c r="X845" s="224"/>
      <c r="Y845" s="224"/>
      <c r="Z845" s="224"/>
    </row>
    <row r="846" spans="1:26" ht="12.75" customHeight="1">
      <c r="A846" s="224"/>
      <c r="B846" s="226"/>
      <c r="C846" s="224"/>
      <c r="D846" s="224"/>
      <c r="E846" s="224"/>
      <c r="F846" s="224"/>
      <c r="G846" s="224"/>
      <c r="H846" s="224"/>
      <c r="I846" s="224"/>
      <c r="J846" s="224"/>
      <c r="K846" s="224"/>
      <c r="L846" s="224"/>
      <c r="M846" s="224"/>
      <c r="N846" s="224"/>
      <c r="O846" s="224"/>
      <c r="P846" s="224"/>
      <c r="Q846" s="224"/>
      <c r="R846" s="224"/>
      <c r="S846" s="224"/>
      <c r="T846" s="224"/>
      <c r="U846" s="224"/>
      <c r="V846" s="224"/>
      <c r="W846" s="224"/>
      <c r="X846" s="224"/>
      <c r="Y846" s="224"/>
      <c r="Z846" s="224"/>
    </row>
    <row r="847" spans="1:26" ht="12.75" customHeight="1">
      <c r="A847" s="224"/>
      <c r="B847" s="226"/>
      <c r="C847" s="224"/>
      <c r="D847" s="224"/>
      <c r="E847" s="224"/>
      <c r="F847" s="224"/>
      <c r="G847" s="224"/>
      <c r="H847" s="224"/>
      <c r="I847" s="224"/>
      <c r="J847" s="224"/>
      <c r="K847" s="224"/>
      <c r="L847" s="224"/>
      <c r="M847" s="224"/>
      <c r="N847" s="224"/>
      <c r="O847" s="224"/>
      <c r="P847" s="224"/>
      <c r="Q847" s="224"/>
      <c r="R847" s="224"/>
      <c r="S847" s="224"/>
      <c r="T847" s="224"/>
      <c r="U847" s="224"/>
      <c r="V847" s="224"/>
      <c r="W847" s="224"/>
      <c r="X847" s="224"/>
      <c r="Y847" s="224"/>
      <c r="Z847" s="224"/>
    </row>
    <row r="848" spans="1:26" ht="12.75" customHeight="1">
      <c r="A848" s="224"/>
      <c r="B848" s="226"/>
      <c r="C848" s="224"/>
      <c r="D848" s="224"/>
      <c r="E848" s="224"/>
      <c r="F848" s="224"/>
      <c r="G848" s="224"/>
      <c r="H848" s="224"/>
      <c r="I848" s="224"/>
      <c r="J848" s="224"/>
      <c r="K848" s="224"/>
      <c r="L848" s="224"/>
      <c r="M848" s="224"/>
      <c r="N848" s="224"/>
      <c r="O848" s="224"/>
      <c r="P848" s="224"/>
      <c r="Q848" s="224"/>
      <c r="R848" s="224"/>
      <c r="S848" s="224"/>
      <c r="T848" s="224"/>
      <c r="U848" s="224"/>
      <c r="V848" s="224"/>
      <c r="W848" s="224"/>
      <c r="X848" s="224"/>
      <c r="Y848" s="224"/>
      <c r="Z848" s="224"/>
    </row>
    <row r="849" spans="1:26" ht="12.75" customHeight="1">
      <c r="A849" s="224"/>
      <c r="B849" s="226"/>
      <c r="C849" s="224"/>
      <c r="D849" s="224"/>
      <c r="E849" s="224"/>
      <c r="F849" s="224"/>
      <c r="G849" s="224"/>
      <c r="H849" s="224"/>
      <c r="I849" s="224"/>
      <c r="J849" s="224"/>
      <c r="K849" s="224"/>
      <c r="L849" s="224"/>
      <c r="M849" s="224"/>
      <c r="N849" s="224"/>
      <c r="O849" s="224"/>
      <c r="P849" s="224"/>
      <c r="Q849" s="224"/>
      <c r="R849" s="224"/>
      <c r="S849" s="224"/>
      <c r="T849" s="224"/>
      <c r="U849" s="224"/>
      <c r="V849" s="224"/>
      <c r="W849" s="224"/>
      <c r="X849" s="224"/>
      <c r="Y849" s="224"/>
      <c r="Z849" s="224"/>
    </row>
    <row r="850" spans="1:26" ht="12.75" customHeight="1">
      <c r="A850" s="224"/>
      <c r="B850" s="226"/>
      <c r="C850" s="224"/>
      <c r="D850" s="224"/>
      <c r="E850" s="224"/>
      <c r="F850" s="224"/>
      <c r="G850" s="224"/>
      <c r="H850" s="224"/>
      <c r="I850" s="224"/>
      <c r="J850" s="224"/>
      <c r="K850" s="224"/>
      <c r="L850" s="224"/>
      <c r="M850" s="224"/>
      <c r="N850" s="224"/>
      <c r="O850" s="224"/>
      <c r="P850" s="224"/>
      <c r="Q850" s="224"/>
      <c r="R850" s="224"/>
      <c r="S850" s="224"/>
      <c r="T850" s="224"/>
      <c r="U850" s="224"/>
      <c r="V850" s="224"/>
      <c r="W850" s="224"/>
      <c r="X850" s="224"/>
      <c r="Y850" s="224"/>
      <c r="Z850" s="224"/>
    </row>
    <row r="851" spans="1:26" ht="12.75" customHeight="1">
      <c r="A851" s="224"/>
      <c r="B851" s="226"/>
      <c r="C851" s="224"/>
      <c r="D851" s="224"/>
      <c r="E851" s="224"/>
      <c r="F851" s="224"/>
      <c r="G851" s="224"/>
      <c r="H851" s="224"/>
      <c r="I851" s="224"/>
      <c r="J851" s="224"/>
      <c r="K851" s="224"/>
      <c r="L851" s="224"/>
      <c r="M851" s="224"/>
      <c r="N851" s="224"/>
      <c r="O851" s="224"/>
      <c r="P851" s="224"/>
      <c r="Q851" s="224"/>
      <c r="R851" s="224"/>
      <c r="S851" s="224"/>
      <c r="T851" s="224"/>
      <c r="U851" s="224"/>
      <c r="V851" s="224"/>
      <c r="W851" s="224"/>
      <c r="X851" s="224"/>
      <c r="Y851" s="224"/>
      <c r="Z851" s="224"/>
    </row>
    <row r="852" spans="1:26" ht="12.75" customHeight="1">
      <c r="A852" s="224"/>
      <c r="B852" s="226"/>
      <c r="C852" s="224"/>
      <c r="D852" s="224"/>
      <c r="E852" s="224"/>
      <c r="F852" s="224"/>
      <c r="G852" s="224"/>
      <c r="H852" s="224"/>
      <c r="I852" s="224"/>
      <c r="J852" s="224"/>
      <c r="K852" s="224"/>
      <c r="L852" s="224"/>
      <c r="M852" s="224"/>
      <c r="N852" s="224"/>
      <c r="O852" s="224"/>
      <c r="P852" s="224"/>
      <c r="Q852" s="224"/>
      <c r="R852" s="224"/>
      <c r="S852" s="224"/>
      <c r="T852" s="224"/>
      <c r="U852" s="224"/>
      <c r="V852" s="224"/>
      <c r="W852" s="224"/>
      <c r="X852" s="224"/>
      <c r="Y852" s="224"/>
      <c r="Z852" s="224"/>
    </row>
    <row r="853" spans="1:26" ht="12.75" customHeight="1">
      <c r="A853" s="224"/>
      <c r="B853" s="226"/>
      <c r="C853" s="224"/>
      <c r="D853" s="224"/>
      <c r="E853" s="224"/>
      <c r="F853" s="224"/>
      <c r="G853" s="224"/>
      <c r="H853" s="224"/>
      <c r="I853" s="224"/>
      <c r="J853" s="224"/>
      <c r="K853" s="224"/>
      <c r="L853" s="224"/>
      <c r="M853" s="224"/>
      <c r="N853" s="224"/>
      <c r="O853" s="224"/>
      <c r="P853" s="224"/>
      <c r="Q853" s="224"/>
      <c r="R853" s="224"/>
      <c r="S853" s="224"/>
      <c r="T853" s="224"/>
      <c r="U853" s="224"/>
      <c r="V853" s="224"/>
      <c r="W853" s="224"/>
      <c r="X853" s="224"/>
      <c r="Y853" s="224"/>
      <c r="Z853" s="224"/>
    </row>
    <row r="854" spans="1:26" ht="12.75" customHeight="1">
      <c r="A854" s="224"/>
      <c r="B854" s="226"/>
      <c r="C854" s="224"/>
      <c r="D854" s="224"/>
      <c r="E854" s="224"/>
      <c r="F854" s="224"/>
      <c r="G854" s="224"/>
      <c r="H854" s="224"/>
      <c r="I854" s="224"/>
      <c r="J854" s="224"/>
      <c r="K854" s="224"/>
      <c r="L854" s="224"/>
      <c r="M854" s="224"/>
      <c r="N854" s="224"/>
      <c r="O854" s="224"/>
      <c r="P854" s="224"/>
      <c r="Q854" s="224"/>
      <c r="R854" s="224"/>
      <c r="S854" s="224"/>
      <c r="T854" s="224"/>
      <c r="U854" s="224"/>
      <c r="V854" s="224"/>
      <c r="W854" s="224"/>
      <c r="X854" s="224"/>
      <c r="Y854" s="224"/>
      <c r="Z854" s="224"/>
    </row>
    <row r="855" spans="1:26" ht="12.75" customHeight="1">
      <c r="A855" s="224"/>
      <c r="B855" s="226"/>
      <c r="C855" s="224"/>
      <c r="D855" s="224"/>
      <c r="E855" s="224"/>
      <c r="F855" s="224"/>
      <c r="G855" s="224"/>
      <c r="H855" s="224"/>
      <c r="I855" s="224"/>
      <c r="J855" s="224"/>
      <c r="K855" s="224"/>
      <c r="L855" s="224"/>
      <c r="M855" s="224"/>
      <c r="N855" s="224"/>
      <c r="O855" s="224"/>
      <c r="P855" s="224"/>
      <c r="Q855" s="224"/>
      <c r="R855" s="224"/>
      <c r="S855" s="224"/>
      <c r="T855" s="224"/>
      <c r="U855" s="224"/>
      <c r="V855" s="224"/>
      <c r="W855" s="224"/>
      <c r="X855" s="224"/>
      <c r="Y855" s="224"/>
      <c r="Z855" s="224"/>
    </row>
    <row r="856" spans="1:26" ht="12.75" customHeight="1">
      <c r="A856" s="224"/>
      <c r="B856" s="226"/>
      <c r="C856" s="224"/>
      <c r="D856" s="224"/>
      <c r="E856" s="224"/>
      <c r="F856" s="224"/>
      <c r="G856" s="224"/>
      <c r="H856" s="224"/>
      <c r="I856" s="224"/>
      <c r="J856" s="224"/>
      <c r="K856" s="224"/>
      <c r="L856" s="224"/>
      <c r="M856" s="224"/>
      <c r="N856" s="224"/>
      <c r="O856" s="224"/>
      <c r="P856" s="224"/>
      <c r="Q856" s="224"/>
      <c r="R856" s="224"/>
      <c r="S856" s="224"/>
      <c r="T856" s="224"/>
      <c r="U856" s="224"/>
      <c r="V856" s="224"/>
      <c r="W856" s="224"/>
      <c r="X856" s="224"/>
      <c r="Y856" s="224"/>
      <c r="Z856" s="224"/>
    </row>
    <row r="857" spans="1:26" ht="12.75" customHeight="1">
      <c r="A857" s="224"/>
      <c r="B857" s="226"/>
      <c r="C857" s="224"/>
      <c r="D857" s="224"/>
      <c r="E857" s="224"/>
      <c r="F857" s="224"/>
      <c r="G857" s="224"/>
      <c r="H857" s="224"/>
      <c r="I857" s="224"/>
      <c r="J857" s="224"/>
      <c r="K857" s="224"/>
      <c r="L857" s="224"/>
      <c r="M857" s="224"/>
      <c r="N857" s="224"/>
      <c r="O857" s="224"/>
      <c r="P857" s="224"/>
      <c r="Q857" s="224"/>
      <c r="R857" s="224"/>
      <c r="S857" s="224"/>
      <c r="T857" s="224"/>
      <c r="U857" s="224"/>
      <c r="V857" s="224"/>
      <c r="W857" s="224"/>
      <c r="X857" s="224"/>
      <c r="Y857" s="224"/>
      <c r="Z857" s="224"/>
    </row>
    <row r="858" spans="1:26" ht="12.75" customHeight="1">
      <c r="A858" s="224"/>
      <c r="B858" s="226"/>
      <c r="C858" s="224"/>
      <c r="D858" s="224"/>
      <c r="E858" s="224"/>
      <c r="F858" s="224"/>
      <c r="G858" s="224"/>
      <c r="H858" s="224"/>
      <c r="I858" s="224"/>
      <c r="J858" s="224"/>
      <c r="K858" s="224"/>
      <c r="L858" s="224"/>
      <c r="M858" s="224"/>
      <c r="N858" s="224"/>
      <c r="O858" s="224"/>
      <c r="P858" s="224"/>
      <c r="Q858" s="224"/>
      <c r="R858" s="224"/>
      <c r="S858" s="224"/>
      <c r="T858" s="224"/>
      <c r="U858" s="224"/>
      <c r="V858" s="224"/>
      <c r="W858" s="224"/>
      <c r="X858" s="224"/>
      <c r="Y858" s="224"/>
      <c r="Z858" s="224"/>
    </row>
    <row r="859" spans="1:26" ht="12.75" customHeight="1">
      <c r="A859" s="224"/>
      <c r="B859" s="226"/>
      <c r="C859" s="224"/>
      <c r="D859" s="224"/>
      <c r="E859" s="224"/>
      <c r="F859" s="224"/>
      <c r="G859" s="224"/>
      <c r="H859" s="224"/>
      <c r="I859" s="224"/>
      <c r="J859" s="224"/>
      <c r="K859" s="224"/>
      <c r="L859" s="224"/>
      <c r="M859" s="224"/>
      <c r="N859" s="224"/>
      <c r="O859" s="224"/>
      <c r="P859" s="224"/>
      <c r="Q859" s="224"/>
      <c r="R859" s="224"/>
      <c r="S859" s="224"/>
      <c r="T859" s="224"/>
      <c r="U859" s="224"/>
      <c r="V859" s="224"/>
      <c r="W859" s="224"/>
      <c r="X859" s="224"/>
      <c r="Y859" s="224"/>
      <c r="Z859" s="224"/>
    </row>
    <row r="860" spans="1:26" ht="12.75" customHeight="1">
      <c r="A860" s="224"/>
      <c r="B860" s="226"/>
      <c r="C860" s="224"/>
      <c r="D860" s="224"/>
      <c r="E860" s="224"/>
      <c r="F860" s="224"/>
      <c r="G860" s="224"/>
      <c r="H860" s="224"/>
      <c r="I860" s="224"/>
      <c r="J860" s="224"/>
      <c r="K860" s="224"/>
      <c r="L860" s="224"/>
      <c r="M860" s="224"/>
      <c r="N860" s="224"/>
      <c r="O860" s="224"/>
      <c r="P860" s="224"/>
      <c r="Q860" s="224"/>
      <c r="R860" s="224"/>
      <c r="S860" s="224"/>
      <c r="T860" s="224"/>
      <c r="U860" s="224"/>
      <c r="V860" s="224"/>
      <c r="W860" s="224"/>
      <c r="X860" s="224"/>
      <c r="Y860" s="224"/>
      <c r="Z860" s="224"/>
    </row>
    <row r="861" spans="1:26" ht="12.75" customHeight="1">
      <c r="A861" s="224"/>
      <c r="B861" s="226"/>
      <c r="C861" s="224"/>
      <c r="D861" s="224"/>
      <c r="E861" s="224"/>
      <c r="F861" s="224"/>
      <c r="G861" s="224"/>
      <c r="H861" s="224"/>
      <c r="I861" s="224"/>
      <c r="J861" s="224"/>
      <c r="K861" s="224"/>
      <c r="L861" s="224"/>
      <c r="M861" s="224"/>
      <c r="N861" s="224"/>
      <c r="O861" s="224"/>
      <c r="P861" s="224"/>
      <c r="Q861" s="224"/>
      <c r="R861" s="224"/>
      <c r="S861" s="224"/>
      <c r="T861" s="224"/>
      <c r="U861" s="224"/>
      <c r="V861" s="224"/>
      <c r="W861" s="224"/>
      <c r="X861" s="224"/>
      <c r="Y861" s="224"/>
      <c r="Z861" s="224"/>
    </row>
    <row r="862" spans="1:26" ht="12.75" customHeight="1">
      <c r="A862" s="224"/>
      <c r="B862" s="226"/>
      <c r="C862" s="224"/>
      <c r="D862" s="224"/>
      <c r="E862" s="224"/>
      <c r="F862" s="224"/>
      <c r="G862" s="224"/>
      <c r="H862" s="224"/>
      <c r="I862" s="224"/>
      <c r="J862" s="224"/>
      <c r="K862" s="224"/>
      <c r="L862" s="224"/>
      <c r="M862" s="224"/>
      <c r="N862" s="224"/>
      <c r="O862" s="224"/>
      <c r="P862" s="224"/>
      <c r="Q862" s="224"/>
      <c r="R862" s="224"/>
      <c r="S862" s="224"/>
      <c r="T862" s="224"/>
      <c r="U862" s="224"/>
      <c r="V862" s="224"/>
      <c r="W862" s="224"/>
      <c r="X862" s="224"/>
      <c r="Y862" s="224"/>
      <c r="Z862" s="224"/>
    </row>
    <row r="863" spans="1:26" ht="12.75" customHeight="1">
      <c r="A863" s="224"/>
      <c r="B863" s="226"/>
      <c r="C863" s="224"/>
      <c r="D863" s="224"/>
      <c r="E863" s="224"/>
      <c r="F863" s="224"/>
      <c r="G863" s="224"/>
      <c r="H863" s="224"/>
      <c r="I863" s="224"/>
      <c r="J863" s="224"/>
      <c r="K863" s="224"/>
      <c r="L863" s="224"/>
      <c r="M863" s="224"/>
      <c r="N863" s="224"/>
      <c r="O863" s="224"/>
      <c r="P863" s="224"/>
      <c r="Q863" s="224"/>
      <c r="R863" s="224"/>
      <c r="S863" s="224"/>
      <c r="T863" s="224"/>
      <c r="U863" s="224"/>
      <c r="V863" s="224"/>
      <c r="W863" s="224"/>
      <c r="X863" s="224"/>
      <c r="Y863" s="224"/>
      <c r="Z863" s="224"/>
    </row>
    <row r="864" spans="1:26" ht="12.75" customHeight="1">
      <c r="A864" s="224"/>
      <c r="B864" s="226"/>
      <c r="C864" s="224"/>
      <c r="D864" s="224"/>
      <c r="E864" s="224"/>
      <c r="F864" s="224"/>
      <c r="G864" s="224"/>
      <c r="H864" s="224"/>
      <c r="I864" s="224"/>
      <c r="J864" s="224"/>
      <c r="K864" s="224"/>
      <c r="L864" s="224"/>
      <c r="M864" s="224"/>
      <c r="N864" s="224"/>
      <c r="O864" s="224"/>
      <c r="P864" s="224"/>
      <c r="Q864" s="224"/>
      <c r="R864" s="224"/>
      <c r="S864" s="224"/>
      <c r="T864" s="224"/>
      <c r="U864" s="224"/>
      <c r="V864" s="224"/>
      <c r="W864" s="224"/>
      <c r="X864" s="224"/>
      <c r="Y864" s="224"/>
      <c r="Z864" s="224"/>
    </row>
    <row r="865" spans="1:26" ht="12.75" customHeight="1">
      <c r="A865" s="224"/>
      <c r="B865" s="226"/>
      <c r="C865" s="224"/>
      <c r="D865" s="224"/>
      <c r="E865" s="224"/>
      <c r="F865" s="224"/>
      <c r="G865" s="224"/>
      <c r="H865" s="224"/>
      <c r="I865" s="224"/>
      <c r="J865" s="224"/>
      <c r="K865" s="224"/>
      <c r="L865" s="224"/>
      <c r="M865" s="224"/>
      <c r="N865" s="224"/>
      <c r="O865" s="224"/>
      <c r="P865" s="224"/>
      <c r="Q865" s="224"/>
      <c r="R865" s="224"/>
      <c r="S865" s="224"/>
      <c r="T865" s="224"/>
      <c r="U865" s="224"/>
      <c r="V865" s="224"/>
      <c r="W865" s="224"/>
      <c r="X865" s="224"/>
      <c r="Y865" s="224"/>
      <c r="Z865" s="224"/>
    </row>
    <row r="866" spans="1:26" ht="12.75" customHeight="1">
      <c r="A866" s="224"/>
      <c r="B866" s="226"/>
      <c r="C866" s="224"/>
      <c r="D866" s="224"/>
      <c r="E866" s="224"/>
      <c r="F866" s="224"/>
      <c r="G866" s="224"/>
      <c r="H866" s="224"/>
      <c r="I866" s="224"/>
      <c r="J866" s="224"/>
      <c r="K866" s="224"/>
      <c r="L866" s="224"/>
      <c r="M866" s="224"/>
      <c r="N866" s="224"/>
      <c r="O866" s="224"/>
      <c r="P866" s="224"/>
      <c r="Q866" s="224"/>
      <c r="R866" s="224"/>
      <c r="S866" s="224"/>
      <c r="T866" s="224"/>
      <c r="U866" s="224"/>
      <c r="V866" s="224"/>
      <c r="W866" s="224"/>
      <c r="X866" s="224"/>
      <c r="Y866" s="224"/>
      <c r="Z866" s="224"/>
    </row>
    <row r="867" spans="1:26" ht="12.75" customHeight="1">
      <c r="A867" s="224"/>
      <c r="B867" s="226"/>
      <c r="C867" s="224"/>
      <c r="D867" s="224"/>
      <c r="E867" s="224"/>
      <c r="F867" s="224"/>
      <c r="G867" s="224"/>
      <c r="H867" s="224"/>
      <c r="I867" s="224"/>
      <c r="J867" s="224"/>
      <c r="K867" s="224"/>
      <c r="L867" s="224"/>
      <c r="M867" s="224"/>
      <c r="N867" s="224"/>
      <c r="O867" s="224"/>
      <c r="P867" s="224"/>
      <c r="Q867" s="224"/>
      <c r="R867" s="224"/>
      <c r="S867" s="224"/>
      <c r="T867" s="224"/>
      <c r="U867" s="224"/>
      <c r="V867" s="224"/>
      <c r="W867" s="224"/>
      <c r="X867" s="224"/>
      <c r="Y867" s="224"/>
      <c r="Z867" s="224"/>
    </row>
    <row r="868" spans="1:26" ht="12.75" customHeight="1">
      <c r="A868" s="224"/>
      <c r="B868" s="226"/>
      <c r="C868" s="224"/>
      <c r="D868" s="224"/>
      <c r="E868" s="224"/>
      <c r="F868" s="224"/>
      <c r="G868" s="224"/>
      <c r="H868" s="224"/>
      <c r="I868" s="224"/>
      <c r="J868" s="224"/>
      <c r="K868" s="224"/>
      <c r="L868" s="224"/>
      <c r="M868" s="224"/>
      <c r="N868" s="224"/>
      <c r="O868" s="224"/>
      <c r="P868" s="224"/>
      <c r="Q868" s="224"/>
      <c r="R868" s="224"/>
      <c r="S868" s="224"/>
      <c r="T868" s="224"/>
      <c r="U868" s="224"/>
      <c r="V868" s="224"/>
      <c r="W868" s="224"/>
      <c r="X868" s="224"/>
      <c r="Y868" s="224"/>
      <c r="Z868" s="224"/>
    </row>
    <row r="869" spans="1:26" ht="12.75" customHeight="1">
      <c r="A869" s="224"/>
      <c r="B869" s="226"/>
      <c r="C869" s="224"/>
      <c r="D869" s="224"/>
      <c r="E869" s="224"/>
      <c r="F869" s="224"/>
      <c r="G869" s="224"/>
      <c r="H869" s="224"/>
      <c r="I869" s="224"/>
      <c r="J869" s="224"/>
      <c r="K869" s="224"/>
      <c r="L869" s="224"/>
      <c r="M869" s="224"/>
      <c r="N869" s="224"/>
      <c r="O869" s="224"/>
      <c r="P869" s="224"/>
      <c r="Q869" s="224"/>
      <c r="R869" s="224"/>
      <c r="S869" s="224"/>
      <c r="T869" s="224"/>
      <c r="U869" s="224"/>
      <c r="V869" s="224"/>
      <c r="W869" s="224"/>
      <c r="X869" s="224"/>
      <c r="Y869" s="224"/>
      <c r="Z869" s="224"/>
    </row>
    <row r="870" spans="1:26" ht="12.75" customHeight="1">
      <c r="A870" s="224"/>
      <c r="B870" s="226"/>
      <c r="C870" s="224"/>
      <c r="D870" s="224"/>
      <c r="E870" s="224"/>
      <c r="F870" s="224"/>
      <c r="G870" s="224"/>
      <c r="H870" s="224"/>
      <c r="I870" s="224"/>
      <c r="J870" s="224"/>
      <c r="K870" s="224"/>
      <c r="L870" s="224"/>
      <c r="M870" s="224"/>
      <c r="N870" s="224"/>
      <c r="O870" s="224"/>
      <c r="P870" s="224"/>
      <c r="Q870" s="224"/>
      <c r="R870" s="224"/>
      <c r="S870" s="224"/>
      <c r="T870" s="224"/>
      <c r="U870" s="224"/>
      <c r="V870" s="224"/>
      <c r="W870" s="224"/>
      <c r="X870" s="224"/>
      <c r="Y870" s="224"/>
      <c r="Z870" s="224"/>
    </row>
    <row r="871" spans="1:26" ht="12.75" customHeight="1">
      <c r="A871" s="224"/>
      <c r="B871" s="226"/>
      <c r="C871" s="224"/>
      <c r="D871" s="224"/>
      <c r="E871" s="224"/>
      <c r="F871" s="224"/>
      <c r="G871" s="224"/>
      <c r="H871" s="224"/>
      <c r="I871" s="224"/>
      <c r="J871" s="224"/>
      <c r="K871" s="224"/>
      <c r="L871" s="224"/>
      <c r="M871" s="224"/>
      <c r="N871" s="224"/>
      <c r="O871" s="224"/>
      <c r="P871" s="224"/>
      <c r="Q871" s="224"/>
      <c r="R871" s="224"/>
      <c r="S871" s="224"/>
      <c r="T871" s="224"/>
      <c r="U871" s="224"/>
      <c r="V871" s="224"/>
      <c r="W871" s="224"/>
      <c r="X871" s="224"/>
      <c r="Y871" s="224"/>
      <c r="Z871" s="224"/>
    </row>
    <row r="872" spans="1:26" ht="12.75" customHeight="1">
      <c r="A872" s="224"/>
      <c r="B872" s="226"/>
      <c r="C872" s="224"/>
      <c r="D872" s="224"/>
      <c r="E872" s="224"/>
      <c r="F872" s="224"/>
      <c r="G872" s="224"/>
      <c r="H872" s="224"/>
      <c r="I872" s="224"/>
      <c r="J872" s="224"/>
      <c r="K872" s="224"/>
      <c r="L872" s="224"/>
      <c r="M872" s="224"/>
      <c r="N872" s="224"/>
      <c r="O872" s="224"/>
      <c r="P872" s="224"/>
      <c r="Q872" s="224"/>
      <c r="R872" s="224"/>
      <c r="S872" s="224"/>
      <c r="T872" s="224"/>
      <c r="U872" s="224"/>
      <c r="V872" s="224"/>
      <c r="W872" s="224"/>
      <c r="X872" s="224"/>
      <c r="Y872" s="224"/>
      <c r="Z872" s="224"/>
    </row>
    <row r="873" spans="1:26" ht="12.75" customHeight="1">
      <c r="A873" s="224"/>
      <c r="B873" s="226"/>
      <c r="C873" s="224"/>
      <c r="D873" s="224"/>
      <c r="E873" s="224"/>
      <c r="F873" s="224"/>
      <c r="G873" s="224"/>
      <c r="H873" s="224"/>
      <c r="I873" s="224"/>
      <c r="J873" s="224"/>
      <c r="K873" s="224"/>
      <c r="L873" s="224"/>
      <c r="M873" s="224"/>
      <c r="N873" s="224"/>
      <c r="O873" s="224"/>
      <c r="P873" s="224"/>
      <c r="Q873" s="224"/>
      <c r="R873" s="224"/>
      <c r="S873" s="224"/>
      <c r="T873" s="224"/>
      <c r="U873" s="224"/>
      <c r="V873" s="224"/>
      <c r="W873" s="224"/>
      <c r="X873" s="224"/>
      <c r="Y873" s="224"/>
      <c r="Z873" s="224"/>
    </row>
    <row r="874" spans="1:26" ht="12.75" customHeight="1">
      <c r="A874" s="224"/>
      <c r="B874" s="226"/>
      <c r="C874" s="224"/>
      <c r="D874" s="224"/>
      <c r="E874" s="224"/>
      <c r="F874" s="224"/>
      <c r="G874" s="224"/>
      <c r="H874" s="224"/>
      <c r="I874" s="224"/>
      <c r="J874" s="224"/>
      <c r="K874" s="224"/>
      <c r="L874" s="224"/>
      <c r="M874" s="224"/>
      <c r="N874" s="224"/>
      <c r="O874" s="224"/>
      <c r="P874" s="224"/>
      <c r="Q874" s="224"/>
      <c r="R874" s="224"/>
      <c r="S874" s="224"/>
      <c r="T874" s="224"/>
      <c r="U874" s="224"/>
      <c r="V874" s="224"/>
      <c r="W874" s="224"/>
      <c r="X874" s="224"/>
      <c r="Y874" s="224"/>
      <c r="Z874" s="224"/>
    </row>
    <row r="875" spans="1:26" ht="12.75" customHeight="1">
      <c r="A875" s="224"/>
      <c r="B875" s="226"/>
      <c r="C875" s="224"/>
      <c r="D875" s="224"/>
      <c r="E875" s="224"/>
      <c r="F875" s="224"/>
      <c r="G875" s="224"/>
      <c r="H875" s="224"/>
      <c r="I875" s="224"/>
      <c r="J875" s="224"/>
      <c r="K875" s="224"/>
      <c r="L875" s="224"/>
      <c r="M875" s="224"/>
      <c r="N875" s="224"/>
      <c r="O875" s="224"/>
      <c r="P875" s="224"/>
      <c r="Q875" s="224"/>
      <c r="R875" s="224"/>
      <c r="S875" s="224"/>
      <c r="T875" s="224"/>
      <c r="U875" s="224"/>
      <c r="V875" s="224"/>
      <c r="W875" s="224"/>
      <c r="X875" s="224"/>
      <c r="Y875" s="224"/>
      <c r="Z875" s="224"/>
    </row>
    <row r="876" spans="1:26" ht="12.75" customHeight="1">
      <c r="A876" s="224"/>
      <c r="B876" s="226"/>
      <c r="C876" s="224"/>
      <c r="D876" s="224"/>
      <c r="E876" s="224"/>
      <c r="F876" s="224"/>
      <c r="G876" s="224"/>
      <c r="H876" s="224"/>
      <c r="I876" s="224"/>
      <c r="J876" s="224"/>
      <c r="K876" s="224"/>
      <c r="L876" s="224"/>
      <c r="M876" s="224"/>
      <c r="N876" s="224"/>
      <c r="O876" s="224"/>
      <c r="P876" s="224"/>
      <c r="Q876" s="224"/>
      <c r="R876" s="224"/>
      <c r="S876" s="224"/>
      <c r="T876" s="224"/>
      <c r="U876" s="224"/>
      <c r="V876" s="224"/>
      <c r="W876" s="224"/>
      <c r="X876" s="224"/>
      <c r="Y876" s="224"/>
      <c r="Z876" s="224"/>
    </row>
    <row r="877" spans="1:26" ht="12.75" customHeight="1">
      <c r="A877" s="224"/>
      <c r="B877" s="226"/>
      <c r="C877" s="224"/>
      <c r="D877" s="224"/>
      <c r="E877" s="224"/>
      <c r="F877" s="224"/>
      <c r="G877" s="224"/>
      <c r="H877" s="224"/>
      <c r="I877" s="224"/>
      <c r="J877" s="224"/>
      <c r="K877" s="224"/>
      <c r="L877" s="224"/>
      <c r="M877" s="224"/>
      <c r="N877" s="224"/>
      <c r="O877" s="224"/>
      <c r="P877" s="224"/>
      <c r="Q877" s="224"/>
      <c r="R877" s="224"/>
      <c r="S877" s="224"/>
      <c r="T877" s="224"/>
      <c r="U877" s="224"/>
      <c r="V877" s="224"/>
      <c r="W877" s="224"/>
      <c r="X877" s="224"/>
      <c r="Y877" s="224"/>
      <c r="Z877" s="224"/>
    </row>
    <row r="878" spans="1:26" ht="12.75" customHeight="1">
      <c r="A878" s="224"/>
      <c r="B878" s="226"/>
      <c r="C878" s="224"/>
      <c r="D878" s="224"/>
      <c r="E878" s="224"/>
      <c r="F878" s="224"/>
      <c r="G878" s="224"/>
      <c r="H878" s="224"/>
      <c r="I878" s="224"/>
      <c r="J878" s="224"/>
      <c r="K878" s="224"/>
      <c r="L878" s="224"/>
      <c r="M878" s="224"/>
      <c r="N878" s="224"/>
      <c r="O878" s="224"/>
      <c r="P878" s="224"/>
      <c r="Q878" s="224"/>
      <c r="R878" s="224"/>
      <c r="S878" s="224"/>
      <c r="T878" s="224"/>
      <c r="U878" s="224"/>
      <c r="V878" s="224"/>
      <c r="W878" s="224"/>
      <c r="X878" s="224"/>
      <c r="Y878" s="224"/>
      <c r="Z878" s="224"/>
    </row>
    <row r="879" spans="1:26" ht="12.75" customHeight="1">
      <c r="A879" s="224"/>
      <c r="B879" s="226"/>
      <c r="C879" s="224"/>
      <c r="D879" s="224"/>
      <c r="E879" s="224"/>
      <c r="F879" s="224"/>
      <c r="G879" s="224"/>
      <c r="H879" s="224"/>
      <c r="I879" s="224"/>
      <c r="J879" s="224"/>
      <c r="K879" s="224"/>
      <c r="L879" s="224"/>
      <c r="M879" s="224"/>
      <c r="N879" s="224"/>
      <c r="O879" s="224"/>
      <c r="P879" s="224"/>
      <c r="Q879" s="224"/>
      <c r="R879" s="224"/>
      <c r="S879" s="224"/>
      <c r="T879" s="224"/>
      <c r="U879" s="224"/>
      <c r="V879" s="224"/>
      <c r="W879" s="224"/>
      <c r="X879" s="224"/>
      <c r="Y879" s="224"/>
      <c r="Z879" s="224"/>
    </row>
    <row r="880" spans="1:26" ht="12.75" customHeight="1">
      <c r="A880" s="224"/>
      <c r="B880" s="226"/>
      <c r="C880" s="224"/>
      <c r="D880" s="224"/>
      <c r="E880" s="224"/>
      <c r="F880" s="224"/>
      <c r="G880" s="224"/>
      <c r="H880" s="224"/>
      <c r="I880" s="224"/>
      <c r="J880" s="224"/>
      <c r="K880" s="224"/>
      <c r="L880" s="224"/>
      <c r="M880" s="224"/>
      <c r="N880" s="224"/>
      <c r="O880" s="224"/>
      <c r="P880" s="224"/>
      <c r="Q880" s="224"/>
      <c r="R880" s="224"/>
      <c r="S880" s="224"/>
      <c r="T880" s="224"/>
      <c r="U880" s="224"/>
      <c r="V880" s="224"/>
      <c r="W880" s="224"/>
      <c r="X880" s="224"/>
      <c r="Y880" s="224"/>
      <c r="Z880" s="224"/>
    </row>
    <row r="881" spans="1:26" ht="12.75" customHeight="1">
      <c r="A881" s="224"/>
      <c r="B881" s="226"/>
      <c r="C881" s="224"/>
      <c r="D881" s="224"/>
      <c r="E881" s="224"/>
      <c r="F881" s="224"/>
      <c r="G881" s="224"/>
      <c r="H881" s="224"/>
      <c r="I881" s="224"/>
      <c r="J881" s="224"/>
      <c r="K881" s="224"/>
      <c r="L881" s="224"/>
      <c r="M881" s="224"/>
      <c r="N881" s="224"/>
      <c r="O881" s="224"/>
      <c r="P881" s="224"/>
      <c r="Q881" s="224"/>
      <c r="R881" s="224"/>
      <c r="S881" s="224"/>
      <c r="T881" s="224"/>
      <c r="U881" s="224"/>
      <c r="V881" s="224"/>
      <c r="W881" s="224"/>
      <c r="X881" s="224"/>
      <c r="Y881" s="224"/>
      <c r="Z881" s="224"/>
    </row>
    <row r="882" spans="1:26" ht="12.75" customHeight="1">
      <c r="A882" s="224"/>
      <c r="B882" s="226"/>
      <c r="C882" s="224"/>
      <c r="D882" s="224"/>
      <c r="E882" s="224"/>
      <c r="F882" s="224"/>
      <c r="G882" s="224"/>
      <c r="H882" s="224"/>
      <c r="I882" s="224"/>
      <c r="J882" s="224"/>
      <c r="K882" s="224"/>
      <c r="L882" s="224"/>
      <c r="M882" s="224"/>
      <c r="N882" s="224"/>
      <c r="O882" s="224"/>
      <c r="P882" s="224"/>
      <c r="Q882" s="224"/>
      <c r="R882" s="224"/>
      <c r="S882" s="224"/>
      <c r="T882" s="224"/>
      <c r="U882" s="224"/>
      <c r="V882" s="224"/>
      <c r="W882" s="224"/>
      <c r="X882" s="224"/>
      <c r="Y882" s="224"/>
      <c r="Z882" s="224"/>
    </row>
    <row r="883" spans="1:26" ht="12.75" customHeight="1">
      <c r="A883" s="224"/>
      <c r="B883" s="226"/>
      <c r="C883" s="224"/>
      <c r="D883" s="224"/>
      <c r="E883" s="224"/>
      <c r="F883" s="224"/>
      <c r="G883" s="224"/>
      <c r="H883" s="224"/>
      <c r="I883" s="224"/>
      <c r="J883" s="224"/>
      <c r="K883" s="224"/>
      <c r="L883" s="224"/>
      <c r="M883" s="224"/>
      <c r="N883" s="224"/>
      <c r="O883" s="224"/>
      <c r="P883" s="224"/>
      <c r="Q883" s="224"/>
      <c r="R883" s="224"/>
      <c r="S883" s="224"/>
      <c r="T883" s="224"/>
      <c r="U883" s="224"/>
      <c r="V883" s="224"/>
      <c r="W883" s="224"/>
      <c r="X883" s="224"/>
      <c r="Y883" s="224"/>
      <c r="Z883" s="224"/>
    </row>
    <row r="884" spans="1:26" ht="12.75" customHeight="1">
      <c r="A884" s="224"/>
      <c r="B884" s="226"/>
      <c r="C884" s="224"/>
      <c r="D884" s="224"/>
      <c r="E884" s="224"/>
      <c r="F884" s="224"/>
      <c r="G884" s="224"/>
      <c r="H884" s="224"/>
      <c r="I884" s="224"/>
      <c r="J884" s="224"/>
      <c r="K884" s="224"/>
      <c r="L884" s="224"/>
      <c r="M884" s="224"/>
      <c r="N884" s="224"/>
      <c r="O884" s="224"/>
      <c r="P884" s="224"/>
      <c r="Q884" s="224"/>
      <c r="R884" s="224"/>
      <c r="S884" s="224"/>
      <c r="T884" s="224"/>
      <c r="U884" s="224"/>
      <c r="V884" s="224"/>
      <c r="W884" s="224"/>
      <c r="X884" s="224"/>
      <c r="Y884" s="224"/>
      <c r="Z884" s="224"/>
    </row>
    <row r="885" spans="1:26" ht="12.75" customHeight="1">
      <c r="A885" s="224"/>
      <c r="B885" s="226"/>
      <c r="C885" s="224"/>
      <c r="D885" s="224"/>
      <c r="E885" s="224"/>
      <c r="F885" s="224"/>
      <c r="G885" s="224"/>
      <c r="H885" s="224"/>
      <c r="I885" s="224"/>
      <c r="J885" s="224"/>
      <c r="K885" s="224"/>
      <c r="L885" s="224"/>
      <c r="M885" s="224"/>
      <c r="N885" s="224"/>
      <c r="O885" s="224"/>
      <c r="P885" s="224"/>
      <c r="Q885" s="224"/>
      <c r="R885" s="224"/>
      <c r="S885" s="224"/>
      <c r="T885" s="224"/>
      <c r="U885" s="224"/>
      <c r="V885" s="224"/>
      <c r="W885" s="224"/>
      <c r="X885" s="224"/>
      <c r="Y885" s="224"/>
      <c r="Z885" s="224"/>
    </row>
    <row r="886" spans="1:26" ht="12.75" customHeight="1">
      <c r="A886" s="224"/>
      <c r="B886" s="226"/>
      <c r="C886" s="224"/>
      <c r="D886" s="224"/>
      <c r="E886" s="224"/>
      <c r="F886" s="224"/>
      <c r="G886" s="224"/>
      <c r="H886" s="224"/>
      <c r="I886" s="224"/>
      <c r="J886" s="224"/>
      <c r="K886" s="224"/>
      <c r="L886" s="224"/>
      <c r="M886" s="224"/>
      <c r="N886" s="224"/>
      <c r="O886" s="224"/>
      <c r="P886" s="224"/>
      <c r="Q886" s="224"/>
      <c r="R886" s="224"/>
      <c r="S886" s="224"/>
      <c r="T886" s="224"/>
      <c r="U886" s="224"/>
      <c r="V886" s="224"/>
      <c r="W886" s="224"/>
      <c r="X886" s="224"/>
      <c r="Y886" s="224"/>
      <c r="Z886" s="224"/>
    </row>
    <row r="887" spans="1:26" ht="12.75" customHeight="1">
      <c r="A887" s="224"/>
      <c r="B887" s="226"/>
      <c r="C887" s="224"/>
      <c r="D887" s="224"/>
      <c r="E887" s="224"/>
      <c r="F887" s="224"/>
      <c r="G887" s="224"/>
      <c r="H887" s="224"/>
      <c r="I887" s="224"/>
      <c r="J887" s="224"/>
      <c r="K887" s="224"/>
      <c r="L887" s="224"/>
      <c r="M887" s="224"/>
      <c r="N887" s="224"/>
      <c r="O887" s="224"/>
      <c r="P887" s="224"/>
      <c r="Q887" s="224"/>
      <c r="R887" s="224"/>
      <c r="S887" s="224"/>
      <c r="T887" s="224"/>
      <c r="U887" s="224"/>
      <c r="V887" s="224"/>
      <c r="W887" s="224"/>
      <c r="X887" s="224"/>
      <c r="Y887" s="224"/>
      <c r="Z887" s="224"/>
    </row>
    <row r="888" spans="1:26" ht="12.75" customHeight="1">
      <c r="A888" s="224"/>
      <c r="B888" s="226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</row>
    <row r="889" spans="1:26" ht="12.75" customHeight="1">
      <c r="A889" s="224"/>
      <c r="B889" s="226"/>
      <c r="C889" s="224"/>
      <c r="D889" s="224"/>
      <c r="E889" s="224"/>
      <c r="F889" s="224"/>
      <c r="G889" s="224"/>
      <c r="H889" s="224"/>
      <c r="I889" s="224"/>
      <c r="J889" s="224"/>
      <c r="K889" s="224"/>
      <c r="L889" s="224"/>
      <c r="M889" s="224"/>
      <c r="N889" s="224"/>
      <c r="O889" s="224"/>
      <c r="P889" s="224"/>
      <c r="Q889" s="224"/>
      <c r="R889" s="224"/>
      <c r="S889" s="224"/>
      <c r="T889" s="224"/>
      <c r="U889" s="224"/>
      <c r="V889" s="224"/>
      <c r="W889" s="224"/>
      <c r="X889" s="224"/>
      <c r="Y889" s="224"/>
      <c r="Z889" s="224"/>
    </row>
    <row r="890" spans="1:26" ht="12.75" customHeight="1">
      <c r="A890" s="224"/>
      <c r="B890" s="226"/>
      <c r="C890" s="224"/>
      <c r="D890" s="224"/>
      <c r="E890" s="224"/>
      <c r="F890" s="224"/>
      <c r="G890" s="224"/>
      <c r="H890" s="224"/>
      <c r="I890" s="224"/>
      <c r="J890" s="224"/>
      <c r="K890" s="224"/>
      <c r="L890" s="224"/>
      <c r="M890" s="224"/>
      <c r="N890" s="224"/>
      <c r="O890" s="224"/>
      <c r="P890" s="224"/>
      <c r="Q890" s="224"/>
      <c r="R890" s="224"/>
      <c r="S890" s="224"/>
      <c r="T890" s="224"/>
      <c r="U890" s="224"/>
      <c r="V890" s="224"/>
      <c r="W890" s="224"/>
      <c r="X890" s="224"/>
      <c r="Y890" s="224"/>
      <c r="Z890" s="224"/>
    </row>
    <row r="891" spans="1:26" ht="12.75" customHeight="1">
      <c r="A891" s="224"/>
      <c r="B891" s="226"/>
      <c r="C891" s="224"/>
      <c r="D891" s="224"/>
      <c r="E891" s="224"/>
      <c r="F891" s="224"/>
      <c r="G891" s="224"/>
      <c r="H891" s="224"/>
      <c r="I891" s="224"/>
      <c r="J891" s="224"/>
      <c r="K891" s="224"/>
      <c r="L891" s="224"/>
      <c r="M891" s="224"/>
      <c r="N891" s="224"/>
      <c r="O891" s="224"/>
      <c r="P891" s="224"/>
      <c r="Q891" s="224"/>
      <c r="R891" s="224"/>
      <c r="S891" s="224"/>
      <c r="T891" s="224"/>
      <c r="U891" s="224"/>
      <c r="V891" s="224"/>
      <c r="W891" s="224"/>
      <c r="X891" s="224"/>
      <c r="Y891" s="224"/>
      <c r="Z891" s="224"/>
    </row>
    <row r="892" spans="1:26" ht="12.75" customHeight="1">
      <c r="A892" s="224"/>
      <c r="B892" s="226"/>
      <c r="C892" s="224"/>
      <c r="D892" s="224"/>
      <c r="E892" s="224"/>
      <c r="F892" s="224"/>
      <c r="G892" s="224"/>
      <c r="H892" s="224"/>
      <c r="I892" s="224"/>
      <c r="J892" s="224"/>
      <c r="K892" s="224"/>
      <c r="L892" s="224"/>
      <c r="M892" s="224"/>
      <c r="N892" s="224"/>
      <c r="O892" s="224"/>
      <c r="P892" s="224"/>
      <c r="Q892" s="224"/>
      <c r="R892" s="224"/>
      <c r="S892" s="224"/>
      <c r="T892" s="224"/>
      <c r="U892" s="224"/>
      <c r="V892" s="224"/>
      <c r="W892" s="224"/>
      <c r="X892" s="224"/>
      <c r="Y892" s="224"/>
      <c r="Z892" s="224"/>
    </row>
    <row r="893" spans="1:26" ht="12.75" customHeight="1">
      <c r="A893" s="224"/>
      <c r="B893" s="226"/>
      <c r="C893" s="224"/>
      <c r="D893" s="224"/>
      <c r="E893" s="224"/>
      <c r="F893" s="224"/>
      <c r="G893" s="224"/>
      <c r="H893" s="224"/>
      <c r="I893" s="224"/>
      <c r="J893" s="224"/>
      <c r="K893" s="224"/>
      <c r="L893" s="224"/>
      <c r="M893" s="224"/>
      <c r="N893" s="224"/>
      <c r="O893" s="224"/>
      <c r="P893" s="224"/>
      <c r="Q893" s="224"/>
      <c r="R893" s="224"/>
      <c r="S893" s="224"/>
      <c r="T893" s="224"/>
      <c r="U893" s="224"/>
      <c r="V893" s="224"/>
      <c r="W893" s="224"/>
      <c r="X893" s="224"/>
      <c r="Y893" s="224"/>
      <c r="Z893" s="224"/>
    </row>
    <row r="894" spans="1:26" ht="12.75" customHeight="1">
      <c r="A894" s="224"/>
      <c r="B894" s="226"/>
      <c r="C894" s="224"/>
      <c r="D894" s="224"/>
      <c r="E894" s="224"/>
      <c r="F894" s="224"/>
      <c r="G894" s="224"/>
      <c r="H894" s="224"/>
      <c r="I894" s="224"/>
      <c r="J894" s="224"/>
      <c r="K894" s="224"/>
      <c r="L894" s="224"/>
      <c r="M894" s="224"/>
      <c r="N894" s="224"/>
      <c r="O894" s="224"/>
      <c r="P894" s="224"/>
      <c r="Q894" s="224"/>
      <c r="R894" s="224"/>
      <c r="S894" s="224"/>
      <c r="T894" s="224"/>
      <c r="U894" s="224"/>
      <c r="V894" s="224"/>
      <c r="W894" s="224"/>
      <c r="X894" s="224"/>
      <c r="Y894" s="224"/>
      <c r="Z894" s="224"/>
    </row>
    <row r="895" spans="1:26" ht="12.75" customHeight="1">
      <c r="A895" s="224"/>
      <c r="B895" s="226"/>
      <c r="C895" s="224"/>
      <c r="D895" s="224"/>
      <c r="E895" s="224"/>
      <c r="F895" s="224"/>
      <c r="G895" s="224"/>
      <c r="H895" s="224"/>
      <c r="I895" s="224"/>
      <c r="J895" s="224"/>
      <c r="K895" s="224"/>
      <c r="L895" s="224"/>
      <c r="M895" s="224"/>
      <c r="N895" s="224"/>
      <c r="O895" s="224"/>
      <c r="P895" s="224"/>
      <c r="Q895" s="224"/>
      <c r="R895" s="224"/>
      <c r="S895" s="224"/>
      <c r="T895" s="224"/>
      <c r="U895" s="224"/>
      <c r="V895" s="224"/>
      <c r="W895" s="224"/>
      <c r="X895" s="224"/>
      <c r="Y895" s="224"/>
      <c r="Z895" s="224"/>
    </row>
    <row r="896" spans="1:26" ht="12.75" customHeight="1">
      <c r="A896" s="224"/>
      <c r="B896" s="226"/>
      <c r="C896" s="224"/>
      <c r="D896" s="224"/>
      <c r="E896" s="224"/>
      <c r="F896" s="224"/>
      <c r="G896" s="224"/>
      <c r="H896" s="224"/>
      <c r="I896" s="224"/>
      <c r="J896" s="224"/>
      <c r="K896" s="224"/>
      <c r="L896" s="224"/>
      <c r="M896" s="224"/>
      <c r="N896" s="224"/>
      <c r="O896" s="224"/>
      <c r="P896" s="224"/>
      <c r="Q896" s="224"/>
      <c r="R896" s="224"/>
      <c r="S896" s="224"/>
      <c r="T896" s="224"/>
      <c r="U896" s="224"/>
      <c r="V896" s="224"/>
      <c r="W896" s="224"/>
      <c r="X896" s="224"/>
      <c r="Y896" s="224"/>
      <c r="Z896" s="224"/>
    </row>
    <row r="897" spans="1:26" ht="12.75" customHeight="1">
      <c r="A897" s="224"/>
      <c r="B897" s="226"/>
      <c r="C897" s="224"/>
      <c r="D897" s="224"/>
      <c r="E897" s="224"/>
      <c r="F897" s="224"/>
      <c r="G897" s="224"/>
      <c r="H897" s="224"/>
      <c r="I897" s="224"/>
      <c r="J897" s="224"/>
      <c r="K897" s="224"/>
      <c r="L897" s="224"/>
      <c r="M897" s="224"/>
      <c r="N897" s="224"/>
      <c r="O897" s="224"/>
      <c r="P897" s="224"/>
      <c r="Q897" s="224"/>
      <c r="R897" s="224"/>
      <c r="S897" s="224"/>
      <c r="T897" s="224"/>
      <c r="U897" s="224"/>
      <c r="V897" s="224"/>
      <c r="W897" s="224"/>
      <c r="X897" s="224"/>
      <c r="Y897" s="224"/>
      <c r="Z897" s="224"/>
    </row>
    <row r="898" spans="1:26" ht="12.75" customHeight="1">
      <c r="A898" s="224"/>
      <c r="B898" s="226"/>
      <c r="C898" s="224"/>
      <c r="D898" s="224"/>
      <c r="E898" s="224"/>
      <c r="F898" s="224"/>
      <c r="G898" s="224"/>
      <c r="H898" s="224"/>
      <c r="I898" s="224"/>
      <c r="J898" s="224"/>
      <c r="K898" s="224"/>
      <c r="L898" s="224"/>
      <c r="M898" s="224"/>
      <c r="N898" s="224"/>
      <c r="O898" s="224"/>
      <c r="P898" s="224"/>
      <c r="Q898" s="224"/>
      <c r="R898" s="224"/>
      <c r="S898" s="224"/>
      <c r="T898" s="224"/>
      <c r="U898" s="224"/>
      <c r="V898" s="224"/>
      <c r="W898" s="224"/>
      <c r="X898" s="224"/>
      <c r="Y898" s="224"/>
      <c r="Z898" s="224"/>
    </row>
    <row r="899" spans="1:26" ht="12.75" customHeight="1">
      <c r="A899" s="224"/>
      <c r="B899" s="226"/>
      <c r="C899" s="224"/>
      <c r="D899" s="224"/>
      <c r="E899" s="224"/>
      <c r="F899" s="224"/>
      <c r="G899" s="224"/>
      <c r="H899" s="224"/>
      <c r="I899" s="224"/>
      <c r="J899" s="224"/>
      <c r="K899" s="224"/>
      <c r="L899" s="224"/>
      <c r="M899" s="224"/>
      <c r="N899" s="224"/>
      <c r="O899" s="224"/>
      <c r="P899" s="224"/>
      <c r="Q899" s="224"/>
      <c r="R899" s="224"/>
      <c r="S899" s="224"/>
      <c r="T899" s="224"/>
      <c r="U899" s="224"/>
      <c r="V899" s="224"/>
      <c r="W899" s="224"/>
      <c r="X899" s="224"/>
      <c r="Y899" s="224"/>
      <c r="Z899" s="224"/>
    </row>
    <row r="900" spans="1:26" ht="12.75" customHeight="1">
      <c r="A900" s="224"/>
      <c r="B900" s="226"/>
      <c r="C900" s="224"/>
      <c r="D900" s="224"/>
      <c r="E900" s="224"/>
      <c r="F900" s="224"/>
      <c r="G900" s="224"/>
      <c r="H900" s="224"/>
      <c r="I900" s="224"/>
      <c r="J900" s="224"/>
      <c r="K900" s="224"/>
      <c r="L900" s="224"/>
      <c r="M900" s="224"/>
      <c r="N900" s="224"/>
      <c r="O900" s="224"/>
      <c r="P900" s="224"/>
      <c r="Q900" s="224"/>
      <c r="R900" s="224"/>
      <c r="S900" s="224"/>
      <c r="T900" s="224"/>
      <c r="U900" s="224"/>
      <c r="V900" s="224"/>
      <c r="W900" s="224"/>
      <c r="X900" s="224"/>
      <c r="Y900" s="224"/>
      <c r="Z900" s="224"/>
    </row>
    <row r="901" spans="1:26" ht="12.75" customHeight="1">
      <c r="A901" s="224"/>
      <c r="B901" s="226"/>
      <c r="C901" s="224"/>
      <c r="D901" s="224"/>
      <c r="E901" s="224"/>
      <c r="F901" s="224"/>
      <c r="G901" s="224"/>
      <c r="H901" s="224"/>
      <c r="I901" s="224"/>
      <c r="J901" s="224"/>
      <c r="K901" s="224"/>
      <c r="L901" s="224"/>
      <c r="M901" s="224"/>
      <c r="N901" s="224"/>
      <c r="O901" s="224"/>
      <c r="P901" s="224"/>
      <c r="Q901" s="224"/>
      <c r="R901" s="224"/>
      <c r="S901" s="224"/>
      <c r="T901" s="224"/>
      <c r="U901" s="224"/>
      <c r="V901" s="224"/>
      <c r="W901" s="224"/>
      <c r="X901" s="224"/>
      <c r="Y901" s="224"/>
      <c r="Z901" s="224"/>
    </row>
    <row r="902" spans="1:26" ht="12.75" customHeight="1">
      <c r="A902" s="224"/>
      <c r="B902" s="226"/>
      <c r="C902" s="224"/>
      <c r="D902" s="224"/>
      <c r="E902" s="224"/>
      <c r="F902" s="224"/>
      <c r="G902" s="224"/>
      <c r="H902" s="224"/>
      <c r="I902" s="224"/>
      <c r="J902" s="224"/>
      <c r="K902" s="224"/>
      <c r="L902" s="224"/>
      <c r="M902" s="224"/>
      <c r="N902" s="224"/>
      <c r="O902" s="224"/>
      <c r="P902" s="224"/>
      <c r="Q902" s="224"/>
      <c r="R902" s="224"/>
      <c r="S902" s="224"/>
      <c r="T902" s="224"/>
      <c r="U902" s="224"/>
      <c r="V902" s="224"/>
      <c r="W902" s="224"/>
      <c r="X902" s="224"/>
      <c r="Y902" s="224"/>
      <c r="Z902" s="224"/>
    </row>
    <row r="903" spans="1:26" ht="12.75" customHeight="1">
      <c r="A903" s="224"/>
      <c r="B903" s="226"/>
      <c r="C903" s="224"/>
      <c r="D903" s="224"/>
      <c r="E903" s="224"/>
      <c r="F903" s="224"/>
      <c r="G903" s="224"/>
      <c r="H903" s="224"/>
      <c r="I903" s="224"/>
      <c r="J903" s="224"/>
      <c r="K903" s="224"/>
      <c r="L903" s="224"/>
      <c r="M903" s="224"/>
      <c r="N903" s="224"/>
      <c r="O903" s="224"/>
      <c r="P903" s="224"/>
      <c r="Q903" s="224"/>
      <c r="R903" s="224"/>
      <c r="S903" s="224"/>
      <c r="T903" s="224"/>
      <c r="U903" s="224"/>
      <c r="V903" s="224"/>
      <c r="W903" s="224"/>
      <c r="X903" s="224"/>
      <c r="Y903" s="224"/>
      <c r="Z903" s="224"/>
    </row>
    <row r="904" spans="1:26" ht="12.75" customHeight="1">
      <c r="A904" s="224"/>
      <c r="B904" s="226"/>
      <c r="C904" s="224"/>
      <c r="D904" s="224"/>
      <c r="E904" s="224"/>
      <c r="F904" s="224"/>
      <c r="G904" s="224"/>
      <c r="H904" s="224"/>
      <c r="I904" s="224"/>
      <c r="J904" s="224"/>
      <c r="K904" s="224"/>
      <c r="L904" s="224"/>
      <c r="M904" s="224"/>
      <c r="N904" s="224"/>
      <c r="O904" s="224"/>
      <c r="P904" s="224"/>
      <c r="Q904" s="224"/>
      <c r="R904" s="224"/>
      <c r="S904" s="224"/>
      <c r="T904" s="224"/>
      <c r="U904" s="224"/>
      <c r="V904" s="224"/>
      <c r="W904" s="224"/>
      <c r="X904" s="224"/>
      <c r="Y904" s="224"/>
      <c r="Z904" s="224"/>
    </row>
    <row r="905" spans="1:26" ht="12.75" customHeight="1">
      <c r="A905" s="224"/>
      <c r="B905" s="226"/>
      <c r="C905" s="224"/>
      <c r="D905" s="224"/>
      <c r="E905" s="224"/>
      <c r="F905" s="224"/>
      <c r="G905" s="224"/>
      <c r="H905" s="224"/>
      <c r="I905" s="224"/>
      <c r="J905" s="224"/>
      <c r="K905" s="224"/>
      <c r="L905" s="224"/>
      <c r="M905" s="224"/>
      <c r="N905" s="224"/>
      <c r="O905" s="224"/>
      <c r="P905" s="224"/>
      <c r="Q905" s="224"/>
      <c r="R905" s="224"/>
      <c r="S905" s="224"/>
      <c r="T905" s="224"/>
      <c r="U905" s="224"/>
      <c r="V905" s="224"/>
      <c r="W905" s="224"/>
      <c r="X905" s="224"/>
      <c r="Y905" s="224"/>
      <c r="Z905" s="224"/>
    </row>
    <row r="906" spans="1:26" ht="12.75" customHeight="1">
      <c r="A906" s="224"/>
      <c r="B906" s="226"/>
      <c r="C906" s="224"/>
      <c r="D906" s="224"/>
      <c r="E906" s="224"/>
      <c r="F906" s="224"/>
      <c r="G906" s="224"/>
      <c r="H906" s="224"/>
      <c r="I906" s="224"/>
      <c r="J906" s="224"/>
      <c r="K906" s="224"/>
      <c r="L906" s="224"/>
      <c r="M906" s="224"/>
      <c r="N906" s="224"/>
      <c r="O906" s="224"/>
      <c r="P906" s="224"/>
      <c r="Q906" s="224"/>
      <c r="R906" s="224"/>
      <c r="S906" s="224"/>
      <c r="T906" s="224"/>
      <c r="U906" s="224"/>
      <c r="V906" s="224"/>
      <c r="W906" s="224"/>
      <c r="X906" s="224"/>
      <c r="Y906" s="224"/>
      <c r="Z906" s="224"/>
    </row>
    <row r="907" spans="1:26" ht="12.75" customHeight="1">
      <c r="A907" s="224"/>
      <c r="B907" s="226"/>
      <c r="C907" s="224"/>
      <c r="D907" s="224"/>
      <c r="E907" s="224"/>
      <c r="F907" s="224"/>
      <c r="G907" s="224"/>
      <c r="H907" s="224"/>
      <c r="I907" s="224"/>
      <c r="J907" s="224"/>
      <c r="K907" s="224"/>
      <c r="L907" s="224"/>
      <c r="M907" s="224"/>
      <c r="N907" s="224"/>
      <c r="O907" s="224"/>
      <c r="P907" s="224"/>
      <c r="Q907" s="224"/>
      <c r="R907" s="224"/>
      <c r="S907" s="224"/>
      <c r="T907" s="224"/>
      <c r="U907" s="224"/>
      <c r="V907" s="224"/>
      <c r="W907" s="224"/>
      <c r="X907" s="224"/>
      <c r="Y907" s="224"/>
      <c r="Z907" s="224"/>
    </row>
    <row r="908" spans="1:26" ht="12.75" customHeight="1">
      <c r="A908" s="224"/>
      <c r="B908" s="226"/>
      <c r="C908" s="224"/>
      <c r="D908" s="224"/>
      <c r="E908" s="224"/>
      <c r="F908" s="224"/>
      <c r="G908" s="224"/>
      <c r="H908" s="224"/>
      <c r="I908" s="224"/>
      <c r="J908" s="224"/>
      <c r="K908" s="224"/>
      <c r="L908" s="224"/>
      <c r="M908" s="224"/>
      <c r="N908" s="224"/>
      <c r="O908" s="224"/>
      <c r="P908" s="224"/>
      <c r="Q908" s="224"/>
      <c r="R908" s="224"/>
      <c r="S908" s="224"/>
      <c r="T908" s="224"/>
      <c r="U908" s="224"/>
      <c r="V908" s="224"/>
      <c r="W908" s="224"/>
      <c r="X908" s="224"/>
      <c r="Y908" s="224"/>
      <c r="Z908" s="224"/>
    </row>
    <row r="909" spans="1:26" ht="12.75" customHeight="1">
      <c r="A909" s="224"/>
      <c r="B909" s="226"/>
      <c r="C909" s="224"/>
      <c r="D909" s="224"/>
      <c r="E909" s="224"/>
      <c r="F909" s="224"/>
      <c r="G909" s="224"/>
      <c r="H909" s="224"/>
      <c r="I909" s="224"/>
      <c r="J909" s="224"/>
      <c r="K909" s="224"/>
      <c r="L909" s="224"/>
      <c r="M909" s="224"/>
      <c r="N909" s="224"/>
      <c r="O909" s="224"/>
      <c r="P909" s="224"/>
      <c r="Q909" s="224"/>
      <c r="R909" s="224"/>
      <c r="S909" s="224"/>
      <c r="T909" s="224"/>
      <c r="U909" s="224"/>
      <c r="V909" s="224"/>
      <c r="W909" s="224"/>
      <c r="X909" s="224"/>
      <c r="Y909" s="224"/>
      <c r="Z909" s="224"/>
    </row>
    <row r="910" spans="1:26" ht="12.75" customHeight="1">
      <c r="A910" s="224"/>
      <c r="B910" s="226"/>
      <c r="C910" s="224"/>
      <c r="D910" s="224"/>
      <c r="E910" s="224"/>
      <c r="F910" s="224"/>
      <c r="G910" s="224"/>
      <c r="H910" s="224"/>
      <c r="I910" s="224"/>
      <c r="J910" s="224"/>
      <c r="K910" s="224"/>
      <c r="L910" s="224"/>
      <c r="M910" s="224"/>
      <c r="N910" s="224"/>
      <c r="O910" s="224"/>
      <c r="P910" s="224"/>
      <c r="Q910" s="224"/>
      <c r="R910" s="224"/>
      <c r="S910" s="224"/>
      <c r="T910" s="224"/>
      <c r="U910" s="224"/>
      <c r="V910" s="224"/>
      <c r="W910" s="224"/>
      <c r="X910" s="224"/>
      <c r="Y910" s="224"/>
      <c r="Z910" s="224"/>
    </row>
    <row r="911" spans="1:26" ht="12.75" customHeight="1">
      <c r="A911" s="224"/>
      <c r="B911" s="226"/>
      <c r="C911" s="224"/>
      <c r="D911" s="224"/>
      <c r="E911" s="224"/>
      <c r="F911" s="224"/>
      <c r="G911" s="224"/>
      <c r="H911" s="224"/>
      <c r="I911" s="224"/>
      <c r="J911" s="224"/>
      <c r="K911" s="224"/>
      <c r="L911" s="224"/>
      <c r="M911" s="224"/>
      <c r="N911" s="224"/>
      <c r="O911" s="224"/>
      <c r="P911" s="224"/>
      <c r="Q911" s="224"/>
      <c r="R911" s="224"/>
      <c r="S911" s="224"/>
      <c r="T911" s="224"/>
      <c r="U911" s="224"/>
      <c r="V911" s="224"/>
      <c r="W911" s="224"/>
      <c r="X911" s="224"/>
      <c r="Y911" s="224"/>
      <c r="Z911" s="224"/>
    </row>
    <row r="912" spans="1:26" ht="12.75" customHeight="1">
      <c r="A912" s="224"/>
      <c r="B912" s="226"/>
      <c r="C912" s="224"/>
      <c r="D912" s="224"/>
      <c r="E912" s="224"/>
      <c r="F912" s="224"/>
      <c r="G912" s="224"/>
      <c r="H912" s="224"/>
      <c r="I912" s="224"/>
      <c r="J912" s="224"/>
      <c r="K912" s="224"/>
      <c r="L912" s="224"/>
      <c r="M912" s="224"/>
      <c r="N912" s="224"/>
      <c r="O912" s="224"/>
      <c r="P912" s="224"/>
      <c r="Q912" s="224"/>
      <c r="R912" s="224"/>
      <c r="S912" s="224"/>
      <c r="T912" s="224"/>
      <c r="U912" s="224"/>
      <c r="V912" s="224"/>
      <c r="W912" s="224"/>
      <c r="X912" s="224"/>
      <c r="Y912" s="224"/>
      <c r="Z912" s="224"/>
    </row>
    <row r="913" spans="1:26" ht="12.75" customHeight="1">
      <c r="A913" s="224"/>
      <c r="B913" s="226"/>
      <c r="C913" s="224"/>
      <c r="D913" s="224"/>
      <c r="E913" s="224"/>
      <c r="F913" s="224"/>
      <c r="G913" s="224"/>
      <c r="H913" s="224"/>
      <c r="I913" s="224"/>
      <c r="J913" s="224"/>
      <c r="K913" s="224"/>
      <c r="L913" s="224"/>
      <c r="M913" s="224"/>
      <c r="N913" s="224"/>
      <c r="O913" s="224"/>
      <c r="P913" s="224"/>
      <c r="Q913" s="224"/>
      <c r="R913" s="224"/>
      <c r="S913" s="224"/>
      <c r="T913" s="224"/>
      <c r="U913" s="224"/>
      <c r="V913" s="224"/>
      <c r="W913" s="224"/>
      <c r="X913" s="224"/>
      <c r="Y913" s="224"/>
      <c r="Z913" s="224"/>
    </row>
    <row r="914" spans="1:26" ht="12.75" customHeight="1">
      <c r="A914" s="224"/>
      <c r="B914" s="226"/>
      <c r="C914" s="224"/>
      <c r="D914" s="224"/>
      <c r="E914" s="224"/>
      <c r="F914" s="224"/>
      <c r="G914" s="224"/>
      <c r="H914" s="224"/>
      <c r="I914" s="224"/>
      <c r="J914" s="224"/>
      <c r="K914" s="224"/>
      <c r="L914" s="224"/>
      <c r="M914" s="224"/>
      <c r="N914" s="224"/>
      <c r="O914" s="224"/>
      <c r="P914" s="224"/>
      <c r="Q914" s="224"/>
      <c r="R914" s="224"/>
      <c r="S914" s="224"/>
      <c r="T914" s="224"/>
      <c r="U914" s="224"/>
      <c r="V914" s="224"/>
      <c r="W914" s="224"/>
      <c r="X914" s="224"/>
      <c r="Y914" s="224"/>
      <c r="Z914" s="224"/>
    </row>
    <row r="915" spans="1:26" ht="12.75" customHeight="1">
      <c r="A915" s="224"/>
      <c r="B915" s="226"/>
      <c r="C915" s="224"/>
      <c r="D915" s="224"/>
      <c r="E915" s="224"/>
      <c r="F915" s="224"/>
      <c r="G915" s="224"/>
      <c r="H915" s="224"/>
      <c r="I915" s="224"/>
      <c r="J915" s="224"/>
      <c r="K915" s="224"/>
      <c r="L915" s="224"/>
      <c r="M915" s="224"/>
      <c r="N915" s="224"/>
      <c r="O915" s="224"/>
      <c r="P915" s="224"/>
      <c r="Q915" s="224"/>
      <c r="R915" s="224"/>
      <c r="S915" s="224"/>
      <c r="T915" s="224"/>
      <c r="U915" s="224"/>
      <c r="V915" s="224"/>
      <c r="W915" s="224"/>
      <c r="X915" s="224"/>
      <c r="Y915" s="224"/>
      <c r="Z915" s="224"/>
    </row>
    <row r="916" spans="1:26" ht="12.75" customHeight="1">
      <c r="A916" s="224"/>
      <c r="B916" s="226"/>
      <c r="C916" s="224"/>
      <c r="D916" s="224"/>
      <c r="E916" s="224"/>
      <c r="F916" s="224"/>
      <c r="G916" s="224"/>
      <c r="H916" s="224"/>
      <c r="I916" s="224"/>
      <c r="J916" s="224"/>
      <c r="K916" s="224"/>
      <c r="L916" s="224"/>
      <c r="M916" s="224"/>
      <c r="N916" s="224"/>
      <c r="O916" s="224"/>
      <c r="P916" s="224"/>
      <c r="Q916" s="224"/>
      <c r="R916" s="224"/>
      <c r="S916" s="224"/>
      <c r="T916" s="224"/>
      <c r="U916" s="224"/>
      <c r="V916" s="224"/>
      <c r="W916" s="224"/>
      <c r="X916" s="224"/>
      <c r="Y916" s="224"/>
      <c r="Z916" s="224"/>
    </row>
    <row r="917" spans="1:26" ht="12.75" customHeight="1">
      <c r="A917" s="224"/>
      <c r="B917" s="226"/>
      <c r="C917" s="224"/>
      <c r="D917" s="224"/>
      <c r="E917" s="224"/>
      <c r="F917" s="224"/>
      <c r="G917" s="224"/>
      <c r="H917" s="224"/>
      <c r="I917" s="224"/>
      <c r="J917" s="224"/>
      <c r="K917" s="224"/>
      <c r="L917" s="224"/>
      <c r="M917" s="224"/>
      <c r="N917" s="224"/>
      <c r="O917" s="224"/>
      <c r="P917" s="224"/>
      <c r="Q917" s="224"/>
      <c r="R917" s="224"/>
      <c r="S917" s="224"/>
      <c r="T917" s="224"/>
      <c r="U917" s="224"/>
      <c r="V917" s="224"/>
      <c r="W917" s="224"/>
      <c r="X917" s="224"/>
      <c r="Y917" s="224"/>
      <c r="Z917" s="224"/>
    </row>
    <row r="918" spans="1:26" ht="12.75" customHeight="1">
      <c r="A918" s="224"/>
      <c r="B918" s="226"/>
      <c r="C918" s="224"/>
      <c r="D918" s="224"/>
      <c r="E918" s="224"/>
      <c r="F918" s="224"/>
      <c r="G918" s="224"/>
      <c r="H918" s="224"/>
      <c r="I918" s="224"/>
      <c r="J918" s="224"/>
      <c r="K918" s="224"/>
      <c r="L918" s="224"/>
      <c r="M918" s="224"/>
      <c r="N918" s="224"/>
      <c r="O918" s="224"/>
      <c r="P918" s="224"/>
      <c r="Q918" s="224"/>
      <c r="R918" s="224"/>
      <c r="S918" s="224"/>
      <c r="T918" s="224"/>
      <c r="U918" s="224"/>
      <c r="V918" s="224"/>
      <c r="W918" s="224"/>
      <c r="X918" s="224"/>
      <c r="Y918" s="224"/>
      <c r="Z918" s="224"/>
    </row>
    <row r="919" spans="1:26" ht="12.75" customHeight="1">
      <c r="A919" s="224"/>
      <c r="B919" s="226"/>
      <c r="C919" s="224"/>
      <c r="D919" s="224"/>
      <c r="E919" s="224"/>
      <c r="F919" s="224"/>
      <c r="G919" s="224"/>
      <c r="H919" s="224"/>
      <c r="I919" s="224"/>
      <c r="J919" s="224"/>
      <c r="K919" s="224"/>
      <c r="L919" s="224"/>
      <c r="M919" s="224"/>
      <c r="N919" s="224"/>
      <c r="O919" s="224"/>
      <c r="P919" s="224"/>
      <c r="Q919" s="224"/>
      <c r="R919" s="224"/>
      <c r="S919" s="224"/>
      <c r="T919" s="224"/>
      <c r="U919" s="224"/>
      <c r="V919" s="224"/>
      <c r="W919" s="224"/>
      <c r="X919" s="224"/>
      <c r="Y919" s="224"/>
      <c r="Z919" s="224"/>
    </row>
    <row r="920" spans="1:26" ht="12.75" customHeight="1">
      <c r="A920" s="224"/>
      <c r="B920" s="226"/>
      <c r="C920" s="224"/>
      <c r="D920" s="224"/>
      <c r="E920" s="224"/>
      <c r="F920" s="224"/>
      <c r="G920" s="224"/>
      <c r="H920" s="224"/>
      <c r="I920" s="224"/>
      <c r="J920" s="224"/>
      <c r="K920" s="224"/>
      <c r="L920" s="224"/>
      <c r="M920" s="224"/>
      <c r="N920" s="224"/>
      <c r="O920" s="224"/>
      <c r="P920" s="224"/>
      <c r="Q920" s="224"/>
      <c r="R920" s="224"/>
      <c r="S920" s="224"/>
      <c r="T920" s="224"/>
      <c r="U920" s="224"/>
      <c r="V920" s="224"/>
      <c r="W920" s="224"/>
      <c r="X920" s="224"/>
      <c r="Y920" s="224"/>
      <c r="Z920" s="224"/>
    </row>
    <row r="921" spans="1:26" ht="12.75" customHeight="1">
      <c r="A921" s="224"/>
      <c r="B921" s="226"/>
      <c r="C921" s="224"/>
      <c r="D921" s="224"/>
      <c r="E921" s="224"/>
      <c r="F921" s="224"/>
      <c r="G921" s="224"/>
      <c r="H921" s="224"/>
      <c r="I921" s="224"/>
      <c r="J921" s="224"/>
      <c r="K921" s="224"/>
      <c r="L921" s="224"/>
      <c r="M921" s="224"/>
      <c r="N921" s="224"/>
      <c r="O921" s="224"/>
      <c r="P921" s="224"/>
      <c r="Q921" s="224"/>
      <c r="R921" s="224"/>
      <c r="S921" s="224"/>
      <c r="T921" s="224"/>
      <c r="U921" s="224"/>
      <c r="V921" s="224"/>
      <c r="W921" s="224"/>
      <c r="X921" s="224"/>
      <c r="Y921" s="224"/>
      <c r="Z921" s="224"/>
    </row>
    <row r="922" spans="1:26" ht="12.75" customHeight="1">
      <c r="A922" s="224"/>
      <c r="B922" s="226"/>
      <c r="C922" s="224"/>
      <c r="D922" s="224"/>
      <c r="E922" s="224"/>
      <c r="F922" s="224"/>
      <c r="G922" s="224"/>
      <c r="H922" s="224"/>
      <c r="I922" s="224"/>
      <c r="J922" s="224"/>
      <c r="K922" s="224"/>
      <c r="L922" s="224"/>
      <c r="M922" s="224"/>
      <c r="N922" s="224"/>
      <c r="O922" s="224"/>
      <c r="P922" s="224"/>
      <c r="Q922" s="224"/>
      <c r="R922" s="224"/>
      <c r="S922" s="224"/>
      <c r="T922" s="224"/>
      <c r="U922" s="224"/>
      <c r="V922" s="224"/>
      <c r="W922" s="224"/>
      <c r="X922" s="224"/>
      <c r="Y922" s="224"/>
      <c r="Z922" s="224"/>
    </row>
    <row r="923" spans="1:26" ht="12.75" customHeight="1">
      <c r="A923" s="224"/>
      <c r="B923" s="226"/>
      <c r="C923" s="224"/>
      <c r="D923" s="224"/>
      <c r="E923" s="224"/>
      <c r="F923" s="224"/>
      <c r="G923" s="224"/>
      <c r="H923" s="224"/>
      <c r="I923" s="224"/>
      <c r="J923" s="224"/>
      <c r="K923" s="224"/>
      <c r="L923" s="224"/>
      <c r="M923" s="224"/>
      <c r="N923" s="224"/>
      <c r="O923" s="224"/>
      <c r="P923" s="224"/>
      <c r="Q923" s="224"/>
      <c r="R923" s="224"/>
      <c r="S923" s="224"/>
      <c r="T923" s="224"/>
      <c r="U923" s="224"/>
      <c r="V923" s="224"/>
      <c r="W923" s="224"/>
      <c r="X923" s="224"/>
      <c r="Y923" s="224"/>
      <c r="Z923" s="224"/>
    </row>
    <row r="924" spans="1:26" ht="12.75" customHeight="1">
      <c r="A924" s="224"/>
      <c r="B924" s="226"/>
      <c r="C924" s="224"/>
      <c r="D924" s="224"/>
      <c r="E924" s="224"/>
      <c r="F924" s="224"/>
      <c r="G924" s="224"/>
      <c r="H924" s="224"/>
      <c r="I924" s="224"/>
      <c r="J924" s="224"/>
      <c r="K924" s="224"/>
      <c r="L924" s="224"/>
      <c r="M924" s="224"/>
      <c r="N924" s="224"/>
      <c r="O924" s="224"/>
      <c r="P924" s="224"/>
      <c r="Q924" s="224"/>
      <c r="R924" s="224"/>
      <c r="S924" s="224"/>
      <c r="T924" s="224"/>
      <c r="U924" s="224"/>
      <c r="V924" s="224"/>
      <c r="W924" s="224"/>
      <c r="X924" s="224"/>
      <c r="Y924" s="224"/>
      <c r="Z924" s="224"/>
    </row>
    <row r="925" spans="1:26" ht="12.75" customHeight="1">
      <c r="A925" s="224"/>
      <c r="B925" s="226"/>
      <c r="C925" s="224"/>
      <c r="D925" s="224"/>
      <c r="E925" s="224"/>
      <c r="F925" s="224"/>
      <c r="G925" s="224"/>
      <c r="H925" s="224"/>
      <c r="I925" s="224"/>
      <c r="J925" s="224"/>
      <c r="K925" s="224"/>
      <c r="L925" s="224"/>
      <c r="M925" s="224"/>
      <c r="N925" s="224"/>
      <c r="O925" s="224"/>
      <c r="P925" s="224"/>
      <c r="Q925" s="224"/>
      <c r="R925" s="224"/>
      <c r="S925" s="224"/>
      <c r="T925" s="224"/>
      <c r="U925" s="224"/>
      <c r="V925" s="224"/>
      <c r="W925" s="224"/>
      <c r="X925" s="224"/>
      <c r="Y925" s="224"/>
      <c r="Z925" s="224"/>
    </row>
    <row r="926" spans="1:26" ht="12.75" customHeight="1">
      <c r="A926" s="224"/>
      <c r="B926" s="226"/>
      <c r="C926" s="224"/>
      <c r="D926" s="224"/>
      <c r="E926" s="224"/>
      <c r="F926" s="224"/>
      <c r="G926" s="224"/>
      <c r="H926" s="224"/>
      <c r="I926" s="224"/>
      <c r="J926" s="224"/>
      <c r="K926" s="224"/>
      <c r="L926" s="224"/>
      <c r="M926" s="224"/>
      <c r="N926" s="224"/>
      <c r="O926" s="224"/>
      <c r="P926" s="224"/>
      <c r="Q926" s="224"/>
      <c r="R926" s="224"/>
      <c r="S926" s="224"/>
      <c r="T926" s="224"/>
      <c r="U926" s="224"/>
      <c r="V926" s="224"/>
      <c r="W926" s="224"/>
      <c r="X926" s="224"/>
      <c r="Y926" s="224"/>
      <c r="Z926" s="224"/>
    </row>
    <row r="927" spans="1:26" ht="12.75" customHeight="1">
      <c r="A927" s="224"/>
      <c r="B927" s="226"/>
      <c r="C927" s="224"/>
      <c r="D927" s="224"/>
      <c r="E927" s="224"/>
      <c r="F927" s="224"/>
      <c r="G927" s="224"/>
      <c r="H927" s="224"/>
      <c r="I927" s="224"/>
      <c r="J927" s="224"/>
      <c r="K927" s="224"/>
      <c r="L927" s="224"/>
      <c r="M927" s="224"/>
      <c r="N927" s="224"/>
      <c r="O927" s="224"/>
      <c r="P927" s="224"/>
      <c r="Q927" s="224"/>
      <c r="R927" s="224"/>
      <c r="S927" s="224"/>
      <c r="T927" s="224"/>
      <c r="U927" s="224"/>
      <c r="V927" s="224"/>
      <c r="W927" s="224"/>
      <c r="X927" s="224"/>
      <c r="Y927" s="224"/>
      <c r="Z927" s="224"/>
    </row>
    <row r="928" spans="1:26" ht="12.75" customHeight="1">
      <c r="A928" s="224"/>
      <c r="B928" s="226"/>
      <c r="C928" s="224"/>
      <c r="D928" s="224"/>
      <c r="E928" s="224"/>
      <c r="F928" s="224"/>
      <c r="G928" s="224"/>
      <c r="H928" s="224"/>
      <c r="I928" s="224"/>
      <c r="J928" s="224"/>
      <c r="K928" s="224"/>
      <c r="L928" s="224"/>
      <c r="M928" s="224"/>
      <c r="N928" s="224"/>
      <c r="O928" s="224"/>
      <c r="P928" s="224"/>
      <c r="Q928" s="224"/>
      <c r="R928" s="224"/>
      <c r="S928" s="224"/>
      <c r="T928" s="224"/>
      <c r="U928" s="224"/>
      <c r="V928" s="224"/>
      <c r="W928" s="224"/>
      <c r="X928" s="224"/>
      <c r="Y928" s="224"/>
      <c r="Z928" s="224"/>
    </row>
    <row r="929" spans="1:26" ht="12.75" customHeight="1">
      <c r="A929" s="224"/>
      <c r="B929" s="226"/>
      <c r="C929" s="224"/>
      <c r="D929" s="224"/>
      <c r="E929" s="224"/>
      <c r="F929" s="224"/>
      <c r="G929" s="224"/>
      <c r="H929" s="224"/>
      <c r="I929" s="224"/>
      <c r="J929" s="224"/>
      <c r="K929" s="224"/>
      <c r="L929" s="224"/>
      <c r="M929" s="224"/>
      <c r="N929" s="224"/>
      <c r="O929" s="224"/>
      <c r="P929" s="224"/>
      <c r="Q929" s="224"/>
      <c r="R929" s="224"/>
      <c r="S929" s="224"/>
      <c r="T929" s="224"/>
      <c r="U929" s="224"/>
      <c r="V929" s="224"/>
      <c r="W929" s="224"/>
      <c r="X929" s="224"/>
      <c r="Y929" s="224"/>
      <c r="Z929" s="224"/>
    </row>
    <row r="930" spans="1:26" ht="12.75" customHeight="1">
      <c r="A930" s="224"/>
      <c r="B930" s="226"/>
      <c r="C930" s="224"/>
      <c r="D930" s="224"/>
      <c r="E930" s="224"/>
      <c r="F930" s="224"/>
      <c r="G930" s="224"/>
      <c r="H930" s="224"/>
      <c r="I930" s="224"/>
      <c r="J930" s="224"/>
      <c r="K930" s="224"/>
      <c r="L930" s="224"/>
      <c r="M930" s="224"/>
      <c r="N930" s="224"/>
      <c r="O930" s="224"/>
      <c r="P930" s="224"/>
      <c r="Q930" s="224"/>
      <c r="R930" s="224"/>
      <c r="S930" s="224"/>
      <c r="T930" s="224"/>
      <c r="U930" s="224"/>
      <c r="V930" s="224"/>
      <c r="W930" s="224"/>
      <c r="X930" s="224"/>
      <c r="Y930" s="224"/>
      <c r="Z930" s="224"/>
    </row>
    <row r="931" spans="1:26" ht="12.75" customHeight="1">
      <c r="A931" s="224"/>
      <c r="B931" s="226"/>
      <c r="C931" s="224"/>
      <c r="D931" s="224"/>
      <c r="E931" s="224"/>
      <c r="F931" s="224"/>
      <c r="G931" s="224"/>
      <c r="H931" s="224"/>
      <c r="I931" s="224"/>
      <c r="J931" s="224"/>
      <c r="K931" s="224"/>
      <c r="L931" s="224"/>
      <c r="M931" s="224"/>
      <c r="N931" s="224"/>
      <c r="O931" s="224"/>
      <c r="P931" s="224"/>
      <c r="Q931" s="224"/>
      <c r="R931" s="224"/>
      <c r="S931" s="224"/>
      <c r="T931" s="224"/>
      <c r="U931" s="224"/>
      <c r="V931" s="224"/>
      <c r="W931" s="224"/>
      <c r="X931" s="224"/>
      <c r="Y931" s="224"/>
      <c r="Z931" s="224"/>
    </row>
    <row r="932" spans="1:26" ht="12.75" customHeight="1">
      <c r="A932" s="224"/>
      <c r="B932" s="226"/>
      <c r="C932" s="224"/>
      <c r="D932" s="224"/>
      <c r="E932" s="224"/>
      <c r="F932" s="224"/>
      <c r="G932" s="224"/>
      <c r="H932" s="224"/>
      <c r="I932" s="224"/>
      <c r="J932" s="224"/>
      <c r="K932" s="224"/>
      <c r="L932" s="224"/>
      <c r="M932" s="224"/>
      <c r="N932" s="224"/>
      <c r="O932" s="224"/>
      <c r="P932" s="224"/>
      <c r="Q932" s="224"/>
      <c r="R932" s="224"/>
      <c r="S932" s="224"/>
      <c r="T932" s="224"/>
      <c r="U932" s="224"/>
      <c r="V932" s="224"/>
      <c r="W932" s="224"/>
      <c r="X932" s="224"/>
      <c r="Y932" s="224"/>
      <c r="Z932" s="224"/>
    </row>
    <row r="933" spans="1:26" ht="12.75" customHeight="1">
      <c r="A933" s="224"/>
      <c r="B933" s="226"/>
      <c r="C933" s="224"/>
      <c r="D933" s="224"/>
      <c r="E933" s="224"/>
      <c r="F933" s="224"/>
      <c r="G933" s="224"/>
      <c r="H933" s="224"/>
      <c r="I933" s="224"/>
      <c r="J933" s="224"/>
      <c r="K933" s="224"/>
      <c r="L933" s="224"/>
      <c r="M933" s="224"/>
      <c r="N933" s="224"/>
      <c r="O933" s="224"/>
      <c r="P933" s="224"/>
      <c r="Q933" s="224"/>
      <c r="R933" s="224"/>
      <c r="S933" s="224"/>
      <c r="T933" s="224"/>
      <c r="U933" s="224"/>
      <c r="V933" s="224"/>
      <c r="W933" s="224"/>
      <c r="X933" s="224"/>
      <c r="Y933" s="224"/>
      <c r="Z933" s="224"/>
    </row>
    <row r="934" spans="1:26" ht="12.75" customHeight="1">
      <c r="A934" s="224"/>
      <c r="B934" s="226"/>
      <c r="C934" s="224"/>
      <c r="D934" s="224"/>
      <c r="E934" s="224"/>
      <c r="F934" s="224"/>
      <c r="G934" s="224"/>
      <c r="H934" s="224"/>
      <c r="I934" s="224"/>
      <c r="J934" s="224"/>
      <c r="K934" s="224"/>
      <c r="L934" s="224"/>
      <c r="M934" s="224"/>
      <c r="N934" s="224"/>
      <c r="O934" s="224"/>
      <c r="P934" s="224"/>
      <c r="Q934" s="224"/>
      <c r="R934" s="224"/>
      <c r="S934" s="224"/>
      <c r="T934" s="224"/>
      <c r="U934" s="224"/>
      <c r="V934" s="224"/>
      <c r="W934" s="224"/>
      <c r="X934" s="224"/>
      <c r="Y934" s="224"/>
      <c r="Z934" s="224"/>
    </row>
    <row r="935" spans="1:26" ht="12.75" customHeight="1">
      <c r="A935" s="224"/>
      <c r="B935" s="226"/>
      <c r="C935" s="224"/>
      <c r="D935" s="224"/>
      <c r="E935" s="224"/>
      <c r="F935" s="224"/>
      <c r="G935" s="224"/>
      <c r="H935" s="224"/>
      <c r="I935" s="224"/>
      <c r="J935" s="224"/>
      <c r="K935" s="224"/>
      <c r="L935" s="224"/>
      <c r="M935" s="224"/>
      <c r="N935" s="224"/>
      <c r="O935" s="224"/>
      <c r="P935" s="224"/>
      <c r="Q935" s="224"/>
      <c r="R935" s="224"/>
      <c r="S935" s="224"/>
      <c r="T935" s="224"/>
      <c r="U935" s="224"/>
      <c r="V935" s="224"/>
      <c r="W935" s="224"/>
      <c r="X935" s="224"/>
      <c r="Y935" s="224"/>
      <c r="Z935" s="224"/>
    </row>
    <row r="936" spans="1:26" ht="12.75" customHeight="1">
      <c r="A936" s="224"/>
      <c r="B936" s="226"/>
      <c r="C936" s="224"/>
      <c r="D936" s="224"/>
      <c r="E936" s="224"/>
      <c r="F936" s="224"/>
      <c r="G936" s="224"/>
      <c r="H936" s="224"/>
      <c r="I936" s="224"/>
      <c r="J936" s="224"/>
      <c r="K936" s="224"/>
      <c r="L936" s="224"/>
      <c r="M936" s="224"/>
      <c r="N936" s="224"/>
      <c r="O936" s="224"/>
      <c r="P936" s="224"/>
      <c r="Q936" s="224"/>
      <c r="R936" s="224"/>
      <c r="S936" s="224"/>
      <c r="T936" s="224"/>
      <c r="U936" s="224"/>
      <c r="V936" s="224"/>
      <c r="W936" s="224"/>
      <c r="X936" s="224"/>
      <c r="Y936" s="224"/>
      <c r="Z936" s="224"/>
    </row>
    <row r="937" spans="1:26" ht="12.75" customHeight="1">
      <c r="A937" s="224"/>
      <c r="B937" s="226"/>
      <c r="C937" s="224"/>
      <c r="D937" s="224"/>
      <c r="E937" s="224"/>
      <c r="F937" s="224"/>
      <c r="G937" s="224"/>
      <c r="H937" s="224"/>
      <c r="I937" s="224"/>
      <c r="J937" s="224"/>
      <c r="K937" s="224"/>
      <c r="L937" s="224"/>
      <c r="M937" s="224"/>
      <c r="N937" s="224"/>
      <c r="O937" s="224"/>
      <c r="P937" s="224"/>
      <c r="Q937" s="224"/>
      <c r="R937" s="224"/>
      <c r="S937" s="224"/>
      <c r="T937" s="224"/>
      <c r="U937" s="224"/>
      <c r="V937" s="224"/>
      <c r="W937" s="224"/>
      <c r="X937" s="224"/>
      <c r="Y937" s="224"/>
      <c r="Z937" s="224"/>
    </row>
    <row r="938" spans="1:26" ht="12.75" customHeight="1">
      <c r="A938" s="224"/>
      <c r="B938" s="226"/>
      <c r="C938" s="224"/>
      <c r="D938" s="224"/>
      <c r="E938" s="224"/>
      <c r="F938" s="224"/>
      <c r="G938" s="224"/>
      <c r="H938" s="224"/>
      <c r="I938" s="224"/>
      <c r="J938" s="224"/>
      <c r="K938" s="224"/>
      <c r="L938" s="224"/>
      <c r="M938" s="224"/>
      <c r="N938" s="224"/>
      <c r="O938" s="224"/>
      <c r="P938" s="224"/>
      <c r="Q938" s="224"/>
      <c r="R938" s="224"/>
      <c r="S938" s="224"/>
      <c r="T938" s="224"/>
      <c r="U938" s="224"/>
      <c r="V938" s="224"/>
      <c r="W938" s="224"/>
      <c r="X938" s="224"/>
      <c r="Y938" s="224"/>
      <c r="Z938" s="224"/>
    </row>
    <row r="939" spans="1:26" ht="12.75" customHeight="1">
      <c r="A939" s="224"/>
      <c r="B939" s="226"/>
      <c r="C939" s="224"/>
      <c r="D939" s="224"/>
      <c r="E939" s="224"/>
      <c r="F939" s="224"/>
      <c r="G939" s="224"/>
      <c r="H939" s="224"/>
      <c r="I939" s="224"/>
      <c r="J939" s="224"/>
      <c r="K939" s="224"/>
      <c r="L939" s="224"/>
      <c r="M939" s="224"/>
      <c r="N939" s="224"/>
      <c r="O939" s="224"/>
      <c r="P939" s="224"/>
      <c r="Q939" s="224"/>
      <c r="R939" s="224"/>
      <c r="S939" s="224"/>
      <c r="T939" s="224"/>
      <c r="U939" s="224"/>
      <c r="V939" s="224"/>
      <c r="W939" s="224"/>
      <c r="X939" s="224"/>
      <c r="Y939" s="224"/>
      <c r="Z939" s="224"/>
    </row>
    <row r="940" spans="1:26" ht="12.75" customHeight="1">
      <c r="A940" s="224"/>
      <c r="B940" s="226"/>
      <c r="C940" s="224"/>
      <c r="D940" s="224"/>
      <c r="E940" s="224"/>
      <c r="F940" s="224"/>
      <c r="G940" s="224"/>
      <c r="H940" s="224"/>
      <c r="I940" s="224"/>
      <c r="J940" s="224"/>
      <c r="K940" s="224"/>
      <c r="L940" s="224"/>
      <c r="M940" s="224"/>
      <c r="N940" s="224"/>
      <c r="O940" s="224"/>
      <c r="P940" s="224"/>
      <c r="Q940" s="224"/>
      <c r="R940" s="224"/>
      <c r="S940" s="224"/>
      <c r="T940" s="224"/>
      <c r="U940" s="224"/>
      <c r="V940" s="224"/>
      <c r="W940" s="224"/>
      <c r="X940" s="224"/>
      <c r="Y940" s="224"/>
      <c r="Z940" s="224"/>
    </row>
    <row r="941" spans="1:26" ht="12.75" customHeight="1">
      <c r="A941" s="224"/>
      <c r="B941" s="226"/>
      <c r="C941" s="224"/>
      <c r="D941" s="224"/>
      <c r="E941" s="224"/>
      <c r="F941" s="224"/>
      <c r="G941" s="224"/>
      <c r="H941" s="224"/>
      <c r="I941" s="224"/>
      <c r="J941" s="224"/>
      <c r="K941" s="224"/>
      <c r="L941" s="224"/>
      <c r="M941" s="224"/>
      <c r="N941" s="224"/>
      <c r="O941" s="224"/>
      <c r="P941" s="224"/>
      <c r="Q941" s="224"/>
      <c r="R941" s="224"/>
      <c r="S941" s="224"/>
      <c r="T941" s="224"/>
      <c r="U941" s="224"/>
      <c r="V941" s="224"/>
      <c r="W941" s="224"/>
      <c r="X941" s="224"/>
      <c r="Y941" s="224"/>
      <c r="Z941" s="224"/>
    </row>
    <row r="942" spans="1:26" ht="12.75" customHeight="1">
      <c r="A942" s="224"/>
      <c r="B942" s="226"/>
      <c r="C942" s="224"/>
      <c r="D942" s="224"/>
      <c r="E942" s="224"/>
      <c r="F942" s="224"/>
      <c r="G942" s="224"/>
      <c r="H942" s="224"/>
      <c r="I942" s="224"/>
      <c r="J942" s="224"/>
      <c r="K942" s="224"/>
      <c r="L942" s="224"/>
      <c r="M942" s="224"/>
      <c r="N942" s="224"/>
      <c r="O942" s="224"/>
      <c r="P942" s="224"/>
      <c r="Q942" s="224"/>
      <c r="R942" s="224"/>
      <c r="S942" s="224"/>
      <c r="T942" s="224"/>
      <c r="U942" s="224"/>
      <c r="V942" s="224"/>
      <c r="W942" s="224"/>
      <c r="X942" s="224"/>
      <c r="Y942" s="224"/>
      <c r="Z942" s="224"/>
    </row>
    <row r="943" spans="1:26" ht="12.75" customHeight="1">
      <c r="A943" s="224"/>
      <c r="B943" s="226"/>
      <c r="C943" s="224"/>
      <c r="D943" s="224"/>
      <c r="E943" s="224"/>
      <c r="F943" s="224"/>
      <c r="G943" s="224"/>
      <c r="H943" s="224"/>
      <c r="I943" s="224"/>
      <c r="J943" s="224"/>
      <c r="K943" s="224"/>
      <c r="L943" s="224"/>
      <c r="M943" s="224"/>
      <c r="N943" s="224"/>
      <c r="O943" s="224"/>
      <c r="P943" s="224"/>
      <c r="Q943" s="224"/>
      <c r="R943" s="224"/>
      <c r="S943" s="224"/>
      <c r="T943" s="224"/>
      <c r="U943" s="224"/>
      <c r="V943" s="224"/>
      <c r="W943" s="224"/>
      <c r="X943" s="224"/>
      <c r="Y943" s="224"/>
      <c r="Z943" s="224"/>
    </row>
    <row r="944" spans="1:26" ht="12.75" customHeight="1">
      <c r="A944" s="224"/>
      <c r="B944" s="226"/>
      <c r="C944" s="224"/>
      <c r="D944" s="224"/>
      <c r="E944" s="224"/>
      <c r="F944" s="224"/>
      <c r="G944" s="224"/>
      <c r="H944" s="224"/>
      <c r="I944" s="224"/>
      <c r="J944" s="224"/>
      <c r="K944" s="224"/>
      <c r="L944" s="224"/>
      <c r="M944" s="224"/>
      <c r="N944" s="224"/>
      <c r="O944" s="224"/>
      <c r="P944" s="224"/>
      <c r="Q944" s="224"/>
      <c r="R944" s="224"/>
      <c r="S944" s="224"/>
      <c r="T944" s="224"/>
      <c r="U944" s="224"/>
      <c r="V944" s="224"/>
      <c r="W944" s="224"/>
      <c r="X944" s="224"/>
      <c r="Y944" s="224"/>
      <c r="Z944" s="224"/>
    </row>
    <row r="945" spans="1:26" ht="12.75" customHeight="1">
      <c r="A945" s="224"/>
      <c r="B945" s="226"/>
      <c r="C945" s="224"/>
      <c r="D945" s="224"/>
      <c r="E945" s="224"/>
      <c r="F945" s="224"/>
      <c r="G945" s="224"/>
      <c r="H945" s="224"/>
      <c r="I945" s="224"/>
      <c r="J945" s="224"/>
      <c r="K945" s="224"/>
      <c r="L945" s="224"/>
      <c r="M945" s="224"/>
      <c r="N945" s="224"/>
      <c r="O945" s="224"/>
      <c r="P945" s="224"/>
      <c r="Q945" s="224"/>
      <c r="R945" s="224"/>
      <c r="S945" s="224"/>
      <c r="T945" s="224"/>
      <c r="U945" s="224"/>
      <c r="V945" s="224"/>
      <c r="W945" s="224"/>
      <c r="X945" s="224"/>
      <c r="Y945" s="224"/>
      <c r="Z945" s="224"/>
    </row>
    <row r="946" spans="1:26" ht="12.75" customHeight="1">
      <c r="A946" s="224"/>
      <c r="B946" s="226"/>
      <c r="C946" s="224"/>
      <c r="D946" s="224"/>
      <c r="E946" s="224"/>
      <c r="F946" s="224"/>
      <c r="G946" s="224"/>
      <c r="H946" s="224"/>
      <c r="I946" s="224"/>
      <c r="J946" s="224"/>
      <c r="K946" s="224"/>
      <c r="L946" s="224"/>
      <c r="M946" s="224"/>
      <c r="N946" s="224"/>
      <c r="O946" s="224"/>
      <c r="P946" s="224"/>
      <c r="Q946" s="224"/>
      <c r="R946" s="224"/>
      <c r="S946" s="224"/>
      <c r="T946" s="224"/>
      <c r="U946" s="224"/>
      <c r="V946" s="224"/>
      <c r="W946" s="224"/>
      <c r="X946" s="224"/>
      <c r="Y946" s="224"/>
      <c r="Z946" s="224"/>
    </row>
    <row r="947" spans="1:26" ht="12.75" customHeight="1">
      <c r="A947" s="224"/>
      <c r="B947" s="226"/>
      <c r="C947" s="224"/>
      <c r="D947" s="224"/>
      <c r="E947" s="224"/>
      <c r="F947" s="224"/>
      <c r="G947" s="224"/>
      <c r="H947" s="224"/>
      <c r="I947" s="224"/>
      <c r="J947" s="224"/>
      <c r="K947" s="224"/>
      <c r="L947" s="224"/>
      <c r="M947" s="224"/>
      <c r="N947" s="224"/>
      <c r="O947" s="224"/>
      <c r="P947" s="224"/>
      <c r="Q947" s="224"/>
      <c r="R947" s="224"/>
      <c r="S947" s="224"/>
      <c r="T947" s="224"/>
      <c r="U947" s="224"/>
      <c r="V947" s="224"/>
      <c r="W947" s="224"/>
      <c r="X947" s="224"/>
      <c r="Y947" s="224"/>
      <c r="Z947" s="224"/>
    </row>
    <row r="948" spans="1:26" ht="12.75" customHeight="1">
      <c r="A948" s="224"/>
      <c r="B948" s="226"/>
      <c r="C948" s="224"/>
      <c r="D948" s="224"/>
      <c r="E948" s="224"/>
      <c r="F948" s="224"/>
      <c r="G948" s="224"/>
      <c r="H948" s="224"/>
      <c r="I948" s="224"/>
      <c r="J948" s="224"/>
      <c r="K948" s="224"/>
      <c r="L948" s="224"/>
      <c r="M948" s="224"/>
      <c r="N948" s="224"/>
      <c r="O948" s="224"/>
      <c r="P948" s="224"/>
      <c r="Q948" s="224"/>
      <c r="R948" s="224"/>
      <c r="S948" s="224"/>
      <c r="T948" s="224"/>
      <c r="U948" s="224"/>
      <c r="V948" s="224"/>
      <c r="W948" s="224"/>
      <c r="X948" s="224"/>
      <c r="Y948" s="224"/>
      <c r="Z948" s="224"/>
    </row>
    <row r="949" spans="1:26" ht="12.75" customHeight="1">
      <c r="A949" s="224"/>
      <c r="B949" s="226"/>
      <c r="C949" s="224"/>
      <c r="D949" s="224"/>
      <c r="E949" s="224"/>
      <c r="F949" s="224"/>
      <c r="G949" s="224"/>
      <c r="H949" s="224"/>
      <c r="I949" s="224"/>
      <c r="J949" s="224"/>
      <c r="K949" s="224"/>
      <c r="L949" s="224"/>
      <c r="M949" s="224"/>
      <c r="N949" s="224"/>
      <c r="O949" s="224"/>
      <c r="P949" s="224"/>
      <c r="Q949" s="224"/>
      <c r="R949" s="224"/>
      <c r="S949" s="224"/>
      <c r="T949" s="224"/>
      <c r="U949" s="224"/>
      <c r="V949" s="224"/>
      <c r="W949" s="224"/>
      <c r="X949" s="224"/>
      <c r="Y949" s="224"/>
      <c r="Z949" s="224"/>
    </row>
    <row r="950" spans="1:26" ht="12.75" customHeight="1">
      <c r="A950" s="224"/>
      <c r="B950" s="226"/>
      <c r="C950" s="224"/>
      <c r="D950" s="224"/>
      <c r="E950" s="224"/>
      <c r="F950" s="224"/>
      <c r="G950" s="224"/>
      <c r="H950" s="224"/>
      <c r="I950" s="224"/>
      <c r="J950" s="224"/>
      <c r="K950" s="224"/>
      <c r="L950" s="224"/>
      <c r="M950" s="224"/>
      <c r="N950" s="224"/>
      <c r="O950" s="224"/>
      <c r="P950" s="224"/>
      <c r="Q950" s="224"/>
      <c r="R950" s="224"/>
      <c r="S950" s="224"/>
      <c r="T950" s="224"/>
      <c r="U950" s="224"/>
      <c r="V950" s="224"/>
      <c r="W950" s="224"/>
      <c r="X950" s="224"/>
      <c r="Y950" s="224"/>
      <c r="Z950" s="224"/>
    </row>
    <row r="951" spans="1:26" ht="12.75" customHeight="1">
      <c r="A951" s="224"/>
      <c r="B951" s="226"/>
      <c r="C951" s="224"/>
      <c r="D951" s="224"/>
      <c r="E951" s="224"/>
      <c r="F951" s="224"/>
      <c r="G951" s="224"/>
      <c r="H951" s="224"/>
      <c r="I951" s="224"/>
      <c r="J951" s="224"/>
      <c r="K951" s="224"/>
      <c r="L951" s="224"/>
      <c r="M951" s="224"/>
      <c r="N951" s="224"/>
      <c r="O951" s="224"/>
      <c r="P951" s="224"/>
      <c r="Q951" s="224"/>
      <c r="R951" s="224"/>
      <c r="S951" s="224"/>
      <c r="T951" s="224"/>
      <c r="U951" s="224"/>
      <c r="V951" s="224"/>
      <c r="W951" s="224"/>
      <c r="X951" s="224"/>
      <c r="Y951" s="224"/>
      <c r="Z951" s="224"/>
    </row>
    <row r="952" spans="1:26" ht="12.75" customHeight="1">
      <c r="A952" s="224"/>
      <c r="B952" s="226"/>
      <c r="C952" s="224"/>
      <c r="D952" s="224"/>
      <c r="E952" s="224"/>
      <c r="F952" s="224"/>
      <c r="G952" s="224"/>
      <c r="H952" s="224"/>
      <c r="I952" s="224"/>
      <c r="J952" s="224"/>
      <c r="K952" s="224"/>
      <c r="L952" s="224"/>
      <c r="M952" s="224"/>
      <c r="N952" s="224"/>
      <c r="O952" s="224"/>
      <c r="P952" s="224"/>
      <c r="Q952" s="224"/>
      <c r="R952" s="224"/>
      <c r="S952" s="224"/>
      <c r="T952" s="224"/>
      <c r="U952" s="224"/>
      <c r="V952" s="224"/>
      <c r="W952" s="224"/>
      <c r="X952" s="224"/>
      <c r="Y952" s="224"/>
      <c r="Z952" s="224"/>
    </row>
    <row r="953" spans="1:26" ht="12.75" customHeight="1">
      <c r="A953" s="224"/>
      <c r="B953" s="226"/>
      <c r="C953" s="224"/>
      <c r="D953" s="224"/>
      <c r="E953" s="224"/>
      <c r="F953" s="224"/>
      <c r="G953" s="224"/>
      <c r="H953" s="224"/>
      <c r="I953" s="224"/>
      <c r="J953" s="224"/>
      <c r="K953" s="224"/>
      <c r="L953" s="224"/>
      <c r="M953" s="224"/>
      <c r="N953" s="224"/>
      <c r="O953" s="224"/>
      <c r="P953" s="224"/>
      <c r="Q953" s="224"/>
      <c r="R953" s="224"/>
      <c r="S953" s="224"/>
      <c r="T953" s="224"/>
      <c r="U953" s="224"/>
      <c r="V953" s="224"/>
      <c r="W953" s="224"/>
      <c r="X953" s="224"/>
      <c r="Y953" s="224"/>
      <c r="Z953" s="224"/>
    </row>
    <row r="954" spans="1:26" ht="12.75" customHeight="1">
      <c r="A954" s="224"/>
      <c r="B954" s="226"/>
      <c r="C954" s="224"/>
      <c r="D954" s="224"/>
      <c r="E954" s="224"/>
      <c r="F954" s="224"/>
      <c r="G954" s="224"/>
      <c r="H954" s="224"/>
      <c r="I954" s="224"/>
      <c r="J954" s="224"/>
      <c r="K954" s="224"/>
      <c r="L954" s="224"/>
      <c r="M954" s="224"/>
      <c r="N954" s="224"/>
      <c r="O954" s="224"/>
      <c r="P954" s="224"/>
      <c r="Q954" s="224"/>
      <c r="R954" s="224"/>
      <c r="S954" s="224"/>
      <c r="T954" s="224"/>
      <c r="U954" s="224"/>
      <c r="V954" s="224"/>
      <c r="W954" s="224"/>
      <c r="X954" s="224"/>
      <c r="Y954" s="224"/>
      <c r="Z954" s="224"/>
    </row>
    <row r="955" spans="1:26" ht="12.75" customHeight="1">
      <c r="A955" s="224"/>
      <c r="B955" s="226"/>
      <c r="C955" s="224"/>
      <c r="D955" s="224"/>
      <c r="E955" s="224"/>
      <c r="F955" s="224"/>
      <c r="G955" s="224"/>
      <c r="H955" s="224"/>
      <c r="I955" s="224"/>
      <c r="J955" s="224"/>
      <c r="K955" s="224"/>
      <c r="L955" s="224"/>
      <c r="M955" s="224"/>
      <c r="N955" s="224"/>
      <c r="O955" s="224"/>
      <c r="P955" s="224"/>
      <c r="Q955" s="224"/>
      <c r="R955" s="224"/>
      <c r="S955" s="224"/>
      <c r="T955" s="224"/>
      <c r="U955" s="224"/>
      <c r="V955" s="224"/>
      <c r="W955" s="224"/>
      <c r="X955" s="224"/>
      <c r="Y955" s="224"/>
      <c r="Z955" s="224"/>
    </row>
    <row r="956" spans="1:26" ht="12.75" customHeight="1">
      <c r="A956" s="224"/>
      <c r="B956" s="226"/>
      <c r="C956" s="224"/>
      <c r="D956" s="224"/>
      <c r="E956" s="224"/>
      <c r="F956" s="224"/>
      <c r="G956" s="224"/>
      <c r="H956" s="224"/>
      <c r="I956" s="224"/>
      <c r="J956" s="224"/>
      <c r="K956" s="224"/>
      <c r="L956" s="224"/>
      <c r="M956" s="224"/>
      <c r="N956" s="224"/>
      <c r="O956" s="224"/>
      <c r="P956" s="224"/>
      <c r="Q956" s="224"/>
      <c r="R956" s="224"/>
      <c r="S956" s="224"/>
      <c r="T956" s="224"/>
      <c r="U956" s="224"/>
      <c r="V956" s="224"/>
      <c r="W956" s="224"/>
      <c r="X956" s="224"/>
      <c r="Y956" s="224"/>
      <c r="Z956" s="224"/>
    </row>
    <row r="957" spans="1:26" ht="12.75" customHeight="1">
      <c r="A957" s="224"/>
      <c r="B957" s="226"/>
      <c r="C957" s="224"/>
      <c r="D957" s="224"/>
      <c r="E957" s="224"/>
      <c r="F957" s="224"/>
      <c r="G957" s="224"/>
      <c r="H957" s="224"/>
      <c r="I957" s="224"/>
      <c r="J957" s="224"/>
      <c r="K957" s="224"/>
      <c r="L957" s="224"/>
      <c r="M957" s="224"/>
      <c r="N957" s="224"/>
      <c r="O957" s="224"/>
      <c r="P957" s="224"/>
      <c r="Q957" s="224"/>
      <c r="R957" s="224"/>
      <c r="S957" s="224"/>
      <c r="T957" s="224"/>
      <c r="U957" s="224"/>
      <c r="V957" s="224"/>
      <c r="W957" s="224"/>
      <c r="X957" s="224"/>
      <c r="Y957" s="224"/>
      <c r="Z957" s="224"/>
    </row>
    <row r="958" spans="1:26" ht="12.75" customHeight="1">
      <c r="A958" s="224"/>
      <c r="B958" s="226"/>
      <c r="C958" s="224"/>
      <c r="D958" s="224"/>
      <c r="E958" s="224"/>
      <c r="F958" s="224"/>
      <c r="G958" s="224"/>
      <c r="H958" s="224"/>
      <c r="I958" s="224"/>
      <c r="J958" s="224"/>
      <c r="K958" s="224"/>
      <c r="L958" s="224"/>
      <c r="M958" s="224"/>
      <c r="N958" s="224"/>
      <c r="O958" s="224"/>
      <c r="P958" s="224"/>
      <c r="Q958" s="224"/>
      <c r="R958" s="224"/>
      <c r="S958" s="224"/>
      <c r="T958" s="224"/>
      <c r="U958" s="224"/>
      <c r="V958" s="224"/>
      <c r="W958" s="224"/>
      <c r="X958" s="224"/>
      <c r="Y958" s="224"/>
      <c r="Z958" s="224"/>
    </row>
    <row r="959" spans="1:26" ht="12.75" customHeight="1">
      <c r="A959" s="224"/>
      <c r="B959" s="226"/>
      <c r="C959" s="224"/>
      <c r="D959" s="224"/>
      <c r="E959" s="224"/>
      <c r="F959" s="224"/>
      <c r="G959" s="224"/>
      <c r="H959" s="224"/>
      <c r="I959" s="224"/>
      <c r="J959" s="224"/>
      <c r="K959" s="224"/>
      <c r="L959" s="224"/>
      <c r="M959" s="224"/>
      <c r="N959" s="224"/>
      <c r="O959" s="224"/>
      <c r="P959" s="224"/>
      <c r="Q959" s="224"/>
      <c r="R959" s="224"/>
      <c r="S959" s="224"/>
      <c r="T959" s="224"/>
      <c r="U959" s="224"/>
      <c r="V959" s="224"/>
      <c r="W959" s="224"/>
      <c r="X959" s="224"/>
      <c r="Y959" s="224"/>
      <c r="Z959" s="224"/>
    </row>
    <row r="960" spans="1:26" ht="12.75" customHeight="1">
      <c r="A960" s="224"/>
      <c r="B960" s="226"/>
      <c r="C960" s="224"/>
      <c r="D960" s="224"/>
      <c r="E960" s="224"/>
      <c r="F960" s="224"/>
      <c r="G960" s="224"/>
      <c r="H960" s="224"/>
      <c r="I960" s="224"/>
      <c r="J960" s="224"/>
      <c r="K960" s="224"/>
      <c r="L960" s="224"/>
      <c r="M960" s="224"/>
      <c r="N960" s="224"/>
      <c r="O960" s="224"/>
      <c r="P960" s="224"/>
      <c r="Q960" s="224"/>
      <c r="R960" s="224"/>
      <c r="S960" s="224"/>
      <c r="T960" s="224"/>
      <c r="U960" s="224"/>
      <c r="V960" s="224"/>
      <c r="W960" s="224"/>
      <c r="X960" s="224"/>
      <c r="Y960" s="224"/>
      <c r="Z960" s="224"/>
    </row>
    <row r="961" spans="1:26" ht="12.75" customHeight="1">
      <c r="A961" s="224"/>
      <c r="B961" s="226"/>
      <c r="C961" s="224"/>
      <c r="D961" s="224"/>
      <c r="E961" s="224"/>
      <c r="F961" s="224"/>
      <c r="G961" s="224"/>
      <c r="H961" s="224"/>
      <c r="I961" s="224"/>
      <c r="J961" s="224"/>
      <c r="K961" s="224"/>
      <c r="L961" s="224"/>
      <c r="M961" s="224"/>
      <c r="N961" s="224"/>
      <c r="O961" s="224"/>
      <c r="P961" s="224"/>
      <c r="Q961" s="224"/>
      <c r="R961" s="224"/>
      <c r="S961" s="224"/>
      <c r="T961" s="224"/>
      <c r="U961" s="224"/>
      <c r="V961" s="224"/>
      <c r="W961" s="224"/>
      <c r="X961" s="224"/>
      <c r="Y961" s="224"/>
      <c r="Z961" s="224"/>
    </row>
    <row r="962" spans="1:26" ht="12.75" customHeight="1">
      <c r="A962" s="224"/>
      <c r="B962" s="226"/>
      <c r="C962" s="224"/>
      <c r="D962" s="224"/>
      <c r="E962" s="224"/>
      <c r="F962" s="224"/>
      <c r="G962" s="224"/>
      <c r="H962" s="224"/>
      <c r="I962" s="224"/>
      <c r="J962" s="224"/>
      <c r="K962" s="224"/>
      <c r="L962" s="224"/>
      <c r="M962" s="224"/>
      <c r="N962" s="224"/>
      <c r="O962" s="224"/>
      <c r="P962" s="224"/>
      <c r="Q962" s="224"/>
      <c r="R962" s="224"/>
      <c r="S962" s="224"/>
      <c r="T962" s="224"/>
      <c r="U962" s="224"/>
      <c r="V962" s="224"/>
      <c r="W962" s="224"/>
      <c r="X962" s="224"/>
      <c r="Y962" s="224"/>
      <c r="Z962" s="224"/>
    </row>
    <row r="963" spans="1:26" ht="12.75" customHeight="1">
      <c r="A963" s="224"/>
      <c r="B963" s="226"/>
      <c r="C963" s="224"/>
      <c r="D963" s="224"/>
      <c r="E963" s="224"/>
      <c r="F963" s="224"/>
      <c r="G963" s="224"/>
      <c r="H963" s="224"/>
      <c r="I963" s="224"/>
      <c r="J963" s="224"/>
      <c r="K963" s="224"/>
      <c r="L963" s="224"/>
      <c r="M963" s="224"/>
      <c r="N963" s="224"/>
      <c r="O963" s="224"/>
      <c r="P963" s="224"/>
      <c r="Q963" s="224"/>
      <c r="R963" s="224"/>
      <c r="S963" s="224"/>
      <c r="T963" s="224"/>
      <c r="U963" s="224"/>
      <c r="V963" s="224"/>
      <c r="W963" s="224"/>
      <c r="X963" s="224"/>
      <c r="Y963" s="224"/>
      <c r="Z963" s="224"/>
    </row>
    <row r="964" spans="1:26" ht="12.75" customHeight="1">
      <c r="A964" s="224"/>
      <c r="B964" s="226"/>
      <c r="C964" s="224"/>
      <c r="D964" s="224"/>
      <c r="E964" s="224"/>
      <c r="F964" s="224"/>
      <c r="G964" s="224"/>
      <c r="H964" s="224"/>
      <c r="I964" s="224"/>
      <c r="J964" s="224"/>
      <c r="K964" s="224"/>
      <c r="L964" s="224"/>
      <c r="M964" s="224"/>
      <c r="N964" s="224"/>
      <c r="O964" s="224"/>
      <c r="P964" s="224"/>
      <c r="Q964" s="224"/>
      <c r="R964" s="224"/>
      <c r="S964" s="224"/>
      <c r="T964" s="224"/>
      <c r="U964" s="224"/>
      <c r="V964" s="224"/>
      <c r="W964" s="224"/>
      <c r="X964" s="224"/>
      <c r="Y964" s="224"/>
      <c r="Z964" s="224"/>
    </row>
    <row r="965" spans="1:26" ht="12.75" customHeight="1">
      <c r="A965" s="224"/>
      <c r="B965" s="226"/>
      <c r="C965" s="224"/>
      <c r="D965" s="224"/>
      <c r="E965" s="224"/>
      <c r="F965" s="224"/>
      <c r="G965" s="224"/>
      <c r="H965" s="224"/>
      <c r="I965" s="224"/>
      <c r="J965" s="224"/>
      <c r="K965" s="224"/>
      <c r="L965" s="224"/>
      <c r="M965" s="224"/>
      <c r="N965" s="224"/>
      <c r="O965" s="224"/>
      <c r="P965" s="224"/>
      <c r="Q965" s="224"/>
      <c r="R965" s="224"/>
      <c r="S965" s="224"/>
      <c r="T965" s="224"/>
      <c r="U965" s="224"/>
      <c r="V965" s="224"/>
      <c r="W965" s="224"/>
      <c r="X965" s="224"/>
      <c r="Y965" s="224"/>
      <c r="Z965" s="224"/>
    </row>
    <row r="966" spans="1:26" ht="12.75" customHeight="1">
      <c r="A966" s="224"/>
      <c r="B966" s="226"/>
      <c r="C966" s="224"/>
      <c r="D966" s="224"/>
      <c r="E966" s="224"/>
      <c r="F966" s="224"/>
      <c r="G966" s="224"/>
      <c r="H966" s="224"/>
      <c r="I966" s="224"/>
      <c r="J966" s="224"/>
      <c r="K966" s="224"/>
      <c r="L966" s="224"/>
      <c r="M966" s="224"/>
      <c r="N966" s="224"/>
      <c r="O966" s="224"/>
      <c r="P966" s="224"/>
      <c r="Q966" s="224"/>
      <c r="R966" s="224"/>
      <c r="S966" s="224"/>
      <c r="T966" s="224"/>
      <c r="U966" s="224"/>
      <c r="V966" s="224"/>
      <c r="W966" s="224"/>
      <c r="X966" s="224"/>
      <c r="Y966" s="224"/>
      <c r="Z966" s="224"/>
    </row>
    <row r="967" spans="1:26" ht="12.75" customHeight="1">
      <c r="A967" s="224"/>
      <c r="B967" s="226"/>
      <c r="C967" s="224"/>
      <c r="D967" s="224"/>
      <c r="E967" s="224"/>
      <c r="F967" s="224"/>
      <c r="G967" s="224"/>
      <c r="H967" s="224"/>
      <c r="I967" s="224"/>
      <c r="J967" s="224"/>
      <c r="K967" s="224"/>
      <c r="L967" s="224"/>
      <c r="M967" s="224"/>
      <c r="N967" s="224"/>
      <c r="O967" s="224"/>
      <c r="P967" s="224"/>
      <c r="Q967" s="224"/>
      <c r="R967" s="224"/>
      <c r="S967" s="224"/>
      <c r="T967" s="224"/>
      <c r="U967" s="224"/>
      <c r="V967" s="224"/>
      <c r="W967" s="224"/>
      <c r="X967" s="224"/>
      <c r="Y967" s="224"/>
      <c r="Z967" s="224"/>
    </row>
    <row r="968" spans="1:26" ht="12.75" customHeight="1">
      <c r="A968" s="224"/>
      <c r="B968" s="226"/>
      <c r="C968" s="224"/>
      <c r="D968" s="224"/>
      <c r="E968" s="224"/>
      <c r="F968" s="224"/>
      <c r="G968" s="224"/>
      <c r="H968" s="224"/>
      <c r="I968" s="224"/>
      <c r="J968" s="224"/>
      <c r="K968" s="224"/>
      <c r="L968" s="224"/>
      <c r="M968" s="224"/>
      <c r="N968" s="224"/>
      <c r="O968" s="224"/>
      <c r="P968" s="224"/>
      <c r="Q968" s="224"/>
      <c r="R968" s="224"/>
      <c r="S968" s="224"/>
      <c r="T968" s="224"/>
      <c r="U968" s="224"/>
      <c r="V968" s="224"/>
      <c r="W968" s="224"/>
      <c r="X968" s="224"/>
      <c r="Y968" s="224"/>
      <c r="Z968" s="224"/>
    </row>
    <row r="969" spans="1:26" ht="12.75" customHeight="1">
      <c r="A969" s="224"/>
      <c r="B969" s="226"/>
      <c r="C969" s="224"/>
      <c r="D969" s="224"/>
      <c r="E969" s="224"/>
      <c r="F969" s="224"/>
      <c r="G969" s="224"/>
      <c r="H969" s="224"/>
      <c r="I969" s="224"/>
      <c r="J969" s="224"/>
      <c r="K969" s="224"/>
      <c r="L969" s="224"/>
      <c r="M969" s="224"/>
      <c r="N969" s="224"/>
      <c r="O969" s="224"/>
      <c r="P969" s="224"/>
      <c r="Q969" s="224"/>
      <c r="R969" s="224"/>
      <c r="S969" s="224"/>
      <c r="T969" s="224"/>
      <c r="U969" s="224"/>
      <c r="V969" s="224"/>
      <c r="W969" s="224"/>
      <c r="X969" s="224"/>
      <c r="Y969" s="224"/>
      <c r="Z969" s="224"/>
    </row>
    <row r="970" spans="1:26" ht="12.75" customHeight="1">
      <c r="A970" s="224"/>
      <c r="B970" s="226"/>
      <c r="C970" s="224"/>
      <c r="D970" s="224"/>
      <c r="E970" s="224"/>
      <c r="F970" s="224"/>
      <c r="G970" s="224"/>
      <c r="H970" s="224"/>
      <c r="I970" s="224"/>
      <c r="J970" s="224"/>
      <c r="K970" s="224"/>
      <c r="L970" s="224"/>
      <c r="M970" s="224"/>
      <c r="N970" s="224"/>
      <c r="O970" s="224"/>
      <c r="P970" s="224"/>
      <c r="Q970" s="224"/>
      <c r="R970" s="224"/>
      <c r="S970" s="224"/>
      <c r="T970" s="224"/>
      <c r="U970" s="224"/>
      <c r="V970" s="224"/>
      <c r="W970" s="224"/>
      <c r="X970" s="224"/>
      <c r="Y970" s="224"/>
      <c r="Z970" s="224"/>
    </row>
    <row r="971" spans="1:26" ht="12.75" customHeight="1">
      <c r="A971" s="224"/>
      <c r="B971" s="226"/>
      <c r="C971" s="224"/>
      <c r="D971" s="224"/>
      <c r="E971" s="224"/>
      <c r="F971" s="224"/>
      <c r="G971" s="224"/>
      <c r="H971" s="224"/>
      <c r="I971" s="224"/>
      <c r="J971" s="224"/>
      <c r="K971" s="224"/>
      <c r="L971" s="224"/>
      <c r="M971" s="224"/>
      <c r="N971" s="224"/>
      <c r="O971" s="224"/>
      <c r="P971" s="224"/>
      <c r="Q971" s="224"/>
      <c r="R971" s="224"/>
      <c r="S971" s="224"/>
      <c r="T971" s="224"/>
      <c r="U971" s="224"/>
      <c r="V971" s="224"/>
      <c r="W971" s="224"/>
      <c r="X971" s="224"/>
      <c r="Y971" s="224"/>
      <c r="Z971" s="224"/>
    </row>
    <row r="972" spans="1:26" ht="12.75" customHeight="1">
      <c r="A972" s="224"/>
      <c r="B972" s="226"/>
      <c r="C972" s="224"/>
      <c r="D972" s="224"/>
      <c r="E972" s="224"/>
      <c r="F972" s="224"/>
      <c r="G972" s="224"/>
      <c r="H972" s="224"/>
      <c r="I972" s="224"/>
      <c r="J972" s="224"/>
      <c r="K972" s="224"/>
      <c r="L972" s="224"/>
      <c r="M972" s="224"/>
      <c r="N972" s="224"/>
      <c r="O972" s="224"/>
      <c r="P972" s="224"/>
      <c r="Q972" s="224"/>
      <c r="R972" s="224"/>
      <c r="S972" s="224"/>
      <c r="T972" s="224"/>
      <c r="U972" s="224"/>
      <c r="V972" s="224"/>
      <c r="W972" s="224"/>
      <c r="X972" s="224"/>
      <c r="Y972" s="224"/>
      <c r="Z972" s="224"/>
    </row>
    <row r="973" spans="1:26" ht="12.75" customHeight="1">
      <c r="A973" s="224"/>
      <c r="B973" s="226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</row>
    <row r="974" spans="1:26" ht="12.75" customHeight="1">
      <c r="A974" s="224"/>
      <c r="B974" s="226"/>
      <c r="C974" s="224"/>
      <c r="D974" s="224"/>
      <c r="E974" s="224"/>
      <c r="F974" s="224"/>
      <c r="G974" s="224"/>
      <c r="H974" s="224"/>
      <c r="I974" s="224"/>
      <c r="J974" s="224"/>
      <c r="K974" s="224"/>
      <c r="L974" s="224"/>
      <c r="M974" s="224"/>
      <c r="N974" s="224"/>
      <c r="O974" s="224"/>
      <c r="P974" s="224"/>
      <c r="Q974" s="224"/>
      <c r="R974" s="224"/>
      <c r="S974" s="224"/>
      <c r="T974" s="224"/>
      <c r="U974" s="224"/>
      <c r="V974" s="224"/>
      <c r="W974" s="224"/>
      <c r="X974" s="224"/>
      <c r="Y974" s="224"/>
      <c r="Z974" s="224"/>
    </row>
    <row r="975" spans="1:26" ht="12.75" customHeight="1">
      <c r="A975" s="224"/>
      <c r="B975" s="226"/>
      <c r="C975" s="224"/>
      <c r="D975" s="224"/>
      <c r="E975" s="224"/>
      <c r="F975" s="224"/>
      <c r="G975" s="224"/>
      <c r="H975" s="224"/>
      <c r="I975" s="224"/>
      <c r="J975" s="224"/>
      <c r="K975" s="224"/>
      <c r="L975" s="224"/>
      <c r="M975" s="224"/>
      <c r="N975" s="224"/>
      <c r="O975" s="224"/>
      <c r="P975" s="224"/>
      <c r="Q975" s="224"/>
      <c r="R975" s="224"/>
      <c r="S975" s="224"/>
      <c r="T975" s="224"/>
      <c r="U975" s="224"/>
      <c r="V975" s="224"/>
      <c r="W975" s="224"/>
      <c r="X975" s="224"/>
      <c r="Y975" s="224"/>
      <c r="Z975" s="224"/>
    </row>
    <row r="976" spans="1:26" ht="12.75" customHeight="1">
      <c r="A976" s="224"/>
      <c r="B976" s="226"/>
      <c r="C976" s="224"/>
      <c r="D976" s="224"/>
      <c r="E976" s="224"/>
      <c r="F976" s="224"/>
      <c r="G976" s="224"/>
      <c r="H976" s="224"/>
      <c r="I976" s="224"/>
      <c r="J976" s="224"/>
      <c r="K976" s="224"/>
      <c r="L976" s="224"/>
      <c r="M976" s="224"/>
      <c r="N976" s="224"/>
      <c r="O976" s="224"/>
      <c r="P976" s="224"/>
      <c r="Q976" s="224"/>
      <c r="R976" s="224"/>
      <c r="S976" s="224"/>
      <c r="T976" s="224"/>
      <c r="U976" s="224"/>
      <c r="V976" s="224"/>
      <c r="W976" s="224"/>
      <c r="X976" s="224"/>
      <c r="Y976" s="224"/>
      <c r="Z976" s="224"/>
    </row>
    <row r="977" spans="1:26" ht="12.75" customHeight="1">
      <c r="A977" s="224"/>
      <c r="B977" s="226"/>
      <c r="C977" s="224"/>
      <c r="D977" s="224"/>
      <c r="E977" s="224"/>
      <c r="F977" s="224"/>
      <c r="G977" s="224"/>
      <c r="H977" s="224"/>
      <c r="I977" s="224"/>
      <c r="J977" s="224"/>
      <c r="K977" s="224"/>
      <c r="L977" s="224"/>
      <c r="M977" s="224"/>
      <c r="N977" s="224"/>
      <c r="O977" s="224"/>
      <c r="P977" s="224"/>
      <c r="Q977" s="224"/>
      <c r="R977" s="224"/>
      <c r="S977" s="224"/>
      <c r="T977" s="224"/>
      <c r="U977" s="224"/>
      <c r="V977" s="224"/>
      <c r="W977" s="224"/>
      <c r="X977" s="224"/>
      <c r="Y977" s="224"/>
      <c r="Z977" s="224"/>
    </row>
    <row r="978" spans="1:26" ht="12.75" customHeight="1">
      <c r="A978" s="224"/>
      <c r="B978" s="226"/>
      <c r="C978" s="224"/>
      <c r="D978" s="224"/>
      <c r="E978" s="224"/>
      <c r="F978" s="224"/>
      <c r="G978" s="224"/>
      <c r="H978" s="224"/>
      <c r="I978" s="224"/>
      <c r="J978" s="224"/>
      <c r="K978" s="224"/>
      <c r="L978" s="224"/>
      <c r="M978" s="224"/>
      <c r="N978" s="224"/>
      <c r="O978" s="224"/>
      <c r="P978" s="224"/>
      <c r="Q978" s="224"/>
      <c r="R978" s="224"/>
      <c r="S978" s="224"/>
      <c r="T978" s="224"/>
      <c r="U978" s="224"/>
      <c r="V978" s="224"/>
      <c r="W978" s="224"/>
      <c r="X978" s="224"/>
      <c r="Y978" s="224"/>
      <c r="Z978" s="224"/>
    </row>
    <row r="979" spans="1:26" ht="12.75" customHeight="1">
      <c r="A979" s="224"/>
      <c r="B979" s="226"/>
      <c r="C979" s="224"/>
      <c r="D979" s="224"/>
      <c r="E979" s="224"/>
      <c r="F979" s="224"/>
      <c r="G979" s="224"/>
      <c r="H979" s="224"/>
      <c r="I979" s="224"/>
      <c r="J979" s="224"/>
      <c r="K979" s="224"/>
      <c r="L979" s="224"/>
      <c r="M979" s="224"/>
      <c r="N979" s="224"/>
      <c r="O979" s="224"/>
      <c r="P979" s="224"/>
      <c r="Q979" s="224"/>
      <c r="R979" s="224"/>
      <c r="S979" s="224"/>
      <c r="T979" s="224"/>
      <c r="U979" s="224"/>
      <c r="V979" s="224"/>
      <c r="W979" s="224"/>
      <c r="X979" s="224"/>
      <c r="Y979" s="224"/>
      <c r="Z979" s="224"/>
    </row>
    <row r="980" spans="1:26" ht="12.75" customHeight="1">
      <c r="A980" s="224"/>
      <c r="B980" s="226"/>
      <c r="C980" s="224"/>
      <c r="D980" s="224"/>
      <c r="E980" s="224"/>
      <c r="F980" s="224"/>
      <c r="G980" s="224"/>
      <c r="H980" s="224"/>
      <c r="I980" s="224"/>
      <c r="J980" s="224"/>
      <c r="K980" s="224"/>
      <c r="L980" s="224"/>
      <c r="M980" s="224"/>
      <c r="N980" s="224"/>
      <c r="O980" s="224"/>
      <c r="P980" s="224"/>
      <c r="Q980" s="224"/>
      <c r="R980" s="224"/>
      <c r="S980" s="224"/>
      <c r="T980" s="224"/>
      <c r="U980" s="224"/>
      <c r="V980" s="224"/>
      <c r="W980" s="224"/>
      <c r="X980" s="224"/>
      <c r="Y980" s="224"/>
      <c r="Z980" s="224"/>
    </row>
    <row r="981" spans="1:26" ht="12.75" customHeight="1">
      <c r="A981" s="224"/>
      <c r="B981" s="226"/>
      <c r="C981" s="224"/>
      <c r="D981" s="224"/>
      <c r="E981" s="224"/>
      <c r="F981" s="224"/>
      <c r="G981" s="224"/>
      <c r="H981" s="224"/>
      <c r="I981" s="224"/>
      <c r="J981" s="224"/>
      <c r="K981" s="224"/>
      <c r="L981" s="224"/>
      <c r="M981" s="224"/>
      <c r="N981" s="224"/>
      <c r="O981" s="224"/>
      <c r="P981" s="224"/>
      <c r="Q981" s="224"/>
      <c r="R981" s="224"/>
      <c r="S981" s="224"/>
      <c r="T981" s="224"/>
      <c r="U981" s="224"/>
      <c r="V981" s="224"/>
      <c r="W981" s="224"/>
      <c r="X981" s="224"/>
      <c r="Y981" s="224"/>
      <c r="Z981" s="224"/>
    </row>
    <row r="982" spans="1:26" ht="12.75" customHeight="1">
      <c r="A982" s="224"/>
      <c r="B982" s="226"/>
      <c r="C982" s="224"/>
      <c r="D982" s="224"/>
      <c r="E982" s="224"/>
      <c r="F982" s="224"/>
      <c r="G982" s="224"/>
      <c r="H982" s="224"/>
      <c r="I982" s="224"/>
      <c r="J982" s="224"/>
      <c r="K982" s="224"/>
      <c r="L982" s="224"/>
      <c r="M982" s="224"/>
      <c r="N982" s="224"/>
      <c r="O982" s="224"/>
      <c r="P982" s="224"/>
      <c r="Q982" s="224"/>
      <c r="R982" s="224"/>
      <c r="S982" s="224"/>
      <c r="T982" s="224"/>
      <c r="U982" s="224"/>
      <c r="V982" s="224"/>
      <c r="W982" s="224"/>
      <c r="X982" s="224"/>
      <c r="Y982" s="224"/>
      <c r="Z982" s="224"/>
    </row>
    <row r="983" spans="1:26" ht="12.75" customHeight="1">
      <c r="A983" s="224"/>
      <c r="B983" s="226"/>
      <c r="C983" s="224"/>
      <c r="D983" s="224"/>
      <c r="E983" s="224"/>
      <c r="F983" s="224"/>
      <c r="G983" s="224"/>
      <c r="H983" s="224"/>
      <c r="I983" s="224"/>
      <c r="J983" s="224"/>
      <c r="K983" s="224"/>
      <c r="L983" s="224"/>
      <c r="M983" s="224"/>
      <c r="N983" s="224"/>
      <c r="O983" s="224"/>
      <c r="P983" s="224"/>
      <c r="Q983" s="224"/>
      <c r="R983" s="224"/>
      <c r="S983" s="224"/>
      <c r="T983" s="224"/>
      <c r="U983" s="224"/>
      <c r="V983" s="224"/>
      <c r="W983" s="224"/>
      <c r="X983" s="224"/>
      <c r="Y983" s="224"/>
      <c r="Z983" s="224"/>
    </row>
    <row r="984" spans="1:26" ht="12.75" customHeight="1">
      <c r="A984" s="224"/>
      <c r="B984" s="226"/>
      <c r="C984" s="224"/>
      <c r="D984" s="224"/>
      <c r="E984" s="224"/>
      <c r="F984" s="224"/>
      <c r="G984" s="224"/>
      <c r="H984" s="224"/>
      <c r="I984" s="224"/>
      <c r="J984" s="224"/>
      <c r="K984" s="224"/>
      <c r="L984" s="224"/>
      <c r="M984" s="224"/>
      <c r="N984" s="224"/>
      <c r="O984" s="224"/>
      <c r="P984" s="224"/>
      <c r="Q984" s="224"/>
      <c r="R984" s="224"/>
      <c r="S984" s="224"/>
      <c r="T984" s="224"/>
      <c r="U984" s="224"/>
      <c r="V984" s="224"/>
      <c r="W984" s="224"/>
      <c r="X984" s="224"/>
      <c r="Y984" s="224"/>
      <c r="Z984" s="224"/>
    </row>
    <row r="985" spans="1:26" ht="12.75" customHeight="1">
      <c r="A985" s="224"/>
      <c r="B985" s="226"/>
      <c r="C985" s="224"/>
      <c r="D985" s="224"/>
      <c r="E985" s="224"/>
      <c r="F985" s="224"/>
      <c r="G985" s="224"/>
      <c r="H985" s="224"/>
      <c r="I985" s="224"/>
      <c r="J985" s="224"/>
      <c r="K985" s="224"/>
      <c r="L985" s="224"/>
      <c r="M985" s="224"/>
      <c r="N985" s="224"/>
      <c r="O985" s="224"/>
      <c r="P985" s="224"/>
      <c r="Q985" s="224"/>
      <c r="R985" s="224"/>
      <c r="S985" s="224"/>
      <c r="T985" s="224"/>
      <c r="U985" s="224"/>
      <c r="V985" s="224"/>
      <c r="W985" s="224"/>
      <c r="X985" s="224"/>
      <c r="Y985" s="224"/>
      <c r="Z985" s="224"/>
    </row>
    <row r="986" spans="1:26" ht="12.75" customHeight="1">
      <c r="A986" s="224"/>
      <c r="B986" s="226"/>
      <c r="C986" s="224"/>
      <c r="D986" s="224"/>
      <c r="E986" s="224"/>
      <c r="F986" s="224"/>
      <c r="G986" s="224"/>
      <c r="H986" s="224"/>
      <c r="I986" s="224"/>
      <c r="J986" s="224"/>
      <c r="K986" s="224"/>
      <c r="L986" s="224"/>
      <c r="M986" s="224"/>
      <c r="N986" s="224"/>
      <c r="O986" s="224"/>
      <c r="P986" s="224"/>
      <c r="Q986" s="224"/>
      <c r="R986" s="224"/>
      <c r="S986" s="224"/>
      <c r="T986" s="224"/>
      <c r="U986" s="224"/>
      <c r="V986" s="224"/>
      <c r="W986" s="224"/>
      <c r="X986" s="224"/>
      <c r="Y986" s="224"/>
      <c r="Z986" s="224"/>
    </row>
    <row r="987" spans="1:26" ht="12.75" customHeight="1">
      <c r="A987" s="224"/>
      <c r="B987" s="226"/>
      <c r="C987" s="224"/>
      <c r="D987" s="224"/>
      <c r="E987" s="224"/>
      <c r="F987" s="224"/>
      <c r="G987" s="224"/>
      <c r="H987" s="224"/>
      <c r="I987" s="224"/>
      <c r="J987" s="224"/>
      <c r="K987" s="224"/>
      <c r="L987" s="224"/>
      <c r="M987" s="224"/>
      <c r="N987" s="224"/>
      <c r="O987" s="224"/>
      <c r="P987" s="224"/>
      <c r="Q987" s="224"/>
      <c r="R987" s="224"/>
      <c r="S987" s="224"/>
      <c r="T987" s="224"/>
      <c r="U987" s="224"/>
      <c r="V987" s="224"/>
      <c r="W987" s="224"/>
      <c r="X987" s="224"/>
      <c r="Y987" s="224"/>
      <c r="Z987" s="224"/>
    </row>
    <row r="988" spans="1:26" ht="12.75" customHeight="1">
      <c r="A988" s="224"/>
      <c r="B988" s="226"/>
      <c r="C988" s="224"/>
      <c r="D988" s="224"/>
      <c r="E988" s="224"/>
      <c r="F988" s="224"/>
      <c r="G988" s="224"/>
      <c r="H988" s="224"/>
      <c r="I988" s="224"/>
      <c r="J988" s="224"/>
      <c r="K988" s="224"/>
      <c r="L988" s="224"/>
      <c r="M988" s="224"/>
      <c r="N988" s="224"/>
      <c r="O988" s="224"/>
      <c r="P988" s="224"/>
      <c r="Q988" s="224"/>
      <c r="R988" s="224"/>
      <c r="S988" s="224"/>
      <c r="T988" s="224"/>
      <c r="U988" s="224"/>
      <c r="V988" s="224"/>
      <c r="W988" s="224"/>
      <c r="X988" s="224"/>
      <c r="Y988" s="224"/>
      <c r="Z988" s="224"/>
    </row>
    <row r="989" spans="1:26" ht="12.75" customHeight="1">
      <c r="A989" s="224"/>
      <c r="B989" s="226"/>
      <c r="C989" s="224"/>
      <c r="D989" s="224"/>
      <c r="E989" s="224"/>
      <c r="F989" s="224"/>
      <c r="G989" s="224"/>
      <c r="H989" s="224"/>
      <c r="I989" s="224"/>
      <c r="J989" s="224"/>
      <c r="K989" s="224"/>
      <c r="L989" s="224"/>
      <c r="M989" s="224"/>
      <c r="N989" s="224"/>
      <c r="O989" s="224"/>
      <c r="P989" s="224"/>
      <c r="Q989" s="224"/>
      <c r="R989" s="224"/>
      <c r="S989" s="224"/>
      <c r="T989" s="224"/>
      <c r="U989" s="224"/>
      <c r="V989" s="224"/>
      <c r="W989" s="224"/>
      <c r="X989" s="224"/>
      <c r="Y989" s="224"/>
      <c r="Z989" s="224"/>
    </row>
    <row r="990" spans="1:26" ht="12.75" customHeight="1">
      <c r="A990" s="224"/>
      <c r="B990" s="226"/>
      <c r="C990" s="224"/>
      <c r="D990" s="224"/>
      <c r="E990" s="224"/>
      <c r="F990" s="224"/>
      <c r="G990" s="224"/>
      <c r="H990" s="224"/>
      <c r="I990" s="224"/>
      <c r="J990" s="224"/>
      <c r="K990" s="224"/>
      <c r="L990" s="224"/>
      <c r="M990" s="224"/>
      <c r="N990" s="224"/>
      <c r="O990" s="224"/>
      <c r="P990" s="224"/>
      <c r="Q990" s="224"/>
      <c r="R990" s="224"/>
      <c r="S990" s="224"/>
      <c r="T990" s="224"/>
      <c r="U990" s="224"/>
      <c r="V990" s="224"/>
      <c r="W990" s="224"/>
      <c r="X990" s="224"/>
      <c r="Y990" s="224"/>
      <c r="Z990" s="224"/>
    </row>
    <row r="991" spans="1:26" ht="12.75" customHeight="1">
      <c r="A991" s="224"/>
      <c r="B991" s="226"/>
      <c r="C991" s="224"/>
      <c r="D991" s="224"/>
      <c r="E991" s="224"/>
      <c r="F991" s="224"/>
      <c r="G991" s="224"/>
      <c r="H991" s="224"/>
      <c r="I991" s="224"/>
      <c r="J991" s="224"/>
      <c r="K991" s="224"/>
      <c r="L991" s="224"/>
      <c r="M991" s="224"/>
      <c r="N991" s="224"/>
      <c r="O991" s="224"/>
      <c r="P991" s="224"/>
      <c r="Q991" s="224"/>
      <c r="R991" s="224"/>
      <c r="S991" s="224"/>
      <c r="T991" s="224"/>
      <c r="U991" s="224"/>
      <c r="V991" s="224"/>
      <c r="W991" s="224"/>
      <c r="X991" s="224"/>
      <c r="Y991" s="224"/>
      <c r="Z991" s="224"/>
    </row>
    <row r="992" spans="1:26" ht="12.75" customHeight="1">
      <c r="A992" s="224"/>
      <c r="B992" s="226"/>
      <c r="C992" s="224"/>
      <c r="D992" s="224"/>
      <c r="E992" s="224"/>
      <c r="F992" s="224"/>
      <c r="G992" s="224"/>
      <c r="H992" s="224"/>
      <c r="I992" s="224"/>
      <c r="J992" s="224"/>
      <c r="K992" s="224"/>
      <c r="L992" s="224"/>
      <c r="M992" s="224"/>
      <c r="N992" s="224"/>
      <c r="O992" s="224"/>
      <c r="P992" s="224"/>
      <c r="Q992" s="224"/>
      <c r="R992" s="224"/>
      <c r="S992" s="224"/>
      <c r="T992" s="224"/>
      <c r="U992" s="224"/>
      <c r="V992" s="224"/>
      <c r="W992" s="224"/>
      <c r="X992" s="224"/>
      <c r="Y992" s="224"/>
      <c r="Z992" s="224"/>
    </row>
    <row r="993" spans="1:26" ht="12.75" customHeight="1">
      <c r="A993" s="224"/>
      <c r="B993" s="226"/>
      <c r="C993" s="224"/>
      <c r="D993" s="224"/>
      <c r="E993" s="224"/>
      <c r="F993" s="224"/>
      <c r="G993" s="224"/>
      <c r="H993" s="224"/>
      <c r="I993" s="224"/>
      <c r="J993" s="224"/>
      <c r="K993" s="224"/>
      <c r="L993" s="224"/>
      <c r="M993" s="224"/>
      <c r="N993" s="224"/>
      <c r="O993" s="224"/>
      <c r="P993" s="224"/>
      <c r="Q993" s="224"/>
      <c r="R993" s="224"/>
      <c r="S993" s="224"/>
      <c r="T993" s="224"/>
      <c r="U993" s="224"/>
      <c r="V993" s="224"/>
      <c r="W993" s="224"/>
      <c r="X993" s="224"/>
      <c r="Y993" s="224"/>
      <c r="Z993" s="224"/>
    </row>
    <row r="994" spans="1:26" ht="12.75" customHeight="1">
      <c r="A994" s="224"/>
      <c r="B994" s="226"/>
      <c r="C994" s="224"/>
      <c r="D994" s="224"/>
      <c r="E994" s="224"/>
      <c r="F994" s="224"/>
      <c r="G994" s="224"/>
      <c r="H994" s="224"/>
      <c r="I994" s="224"/>
      <c r="J994" s="224"/>
      <c r="K994" s="224"/>
      <c r="L994" s="224"/>
      <c r="M994" s="224"/>
      <c r="N994" s="224"/>
      <c r="O994" s="224"/>
      <c r="P994" s="224"/>
      <c r="Q994" s="224"/>
      <c r="R994" s="224"/>
      <c r="S994" s="224"/>
      <c r="T994" s="224"/>
      <c r="U994" s="224"/>
      <c r="V994" s="224"/>
      <c r="W994" s="224"/>
      <c r="X994" s="224"/>
      <c r="Y994" s="224"/>
      <c r="Z994" s="224"/>
    </row>
    <row r="995" spans="1:26" ht="12.75" customHeight="1">
      <c r="A995" s="224"/>
      <c r="B995" s="226"/>
      <c r="C995" s="224"/>
      <c r="D995" s="224"/>
      <c r="E995" s="224"/>
      <c r="F995" s="224"/>
      <c r="G995" s="224"/>
      <c r="H995" s="224"/>
      <c r="I995" s="224"/>
      <c r="J995" s="224"/>
      <c r="K995" s="224"/>
      <c r="L995" s="224"/>
      <c r="M995" s="224"/>
      <c r="N995" s="224"/>
      <c r="O995" s="224"/>
      <c r="P995" s="224"/>
      <c r="Q995" s="224"/>
      <c r="R995" s="224"/>
      <c r="S995" s="224"/>
      <c r="T995" s="224"/>
      <c r="U995" s="224"/>
      <c r="V995" s="224"/>
      <c r="W995" s="224"/>
      <c r="X995" s="224"/>
      <c r="Y995" s="224"/>
      <c r="Z995" s="224"/>
    </row>
    <row r="996" spans="1:26" ht="12.75" customHeight="1">
      <c r="A996" s="224"/>
      <c r="B996" s="226"/>
      <c r="C996" s="224"/>
      <c r="D996" s="224"/>
      <c r="E996" s="224"/>
      <c r="F996" s="224"/>
      <c r="G996" s="224"/>
      <c r="H996" s="224"/>
      <c r="I996" s="224"/>
      <c r="J996" s="224"/>
      <c r="K996" s="224"/>
      <c r="L996" s="224"/>
      <c r="M996" s="224"/>
      <c r="N996" s="224"/>
      <c r="O996" s="224"/>
      <c r="P996" s="224"/>
      <c r="Q996" s="224"/>
      <c r="R996" s="224"/>
      <c r="S996" s="224"/>
      <c r="T996" s="224"/>
      <c r="U996" s="224"/>
      <c r="V996" s="224"/>
      <c r="W996" s="224"/>
      <c r="X996" s="224"/>
      <c r="Y996" s="224"/>
      <c r="Z996" s="224"/>
    </row>
    <row r="997" spans="1:26" ht="12.75" customHeight="1">
      <c r="A997" s="224"/>
      <c r="B997" s="226"/>
      <c r="C997" s="224"/>
      <c r="D997" s="224"/>
      <c r="E997" s="224"/>
      <c r="F997" s="224"/>
      <c r="G997" s="224"/>
      <c r="H997" s="224"/>
      <c r="I997" s="224"/>
      <c r="J997" s="224"/>
      <c r="K997" s="224"/>
      <c r="L997" s="224"/>
      <c r="M997" s="224"/>
      <c r="N997" s="224"/>
      <c r="O997" s="224"/>
      <c r="P997" s="224"/>
      <c r="Q997" s="224"/>
      <c r="R997" s="224"/>
      <c r="S997" s="224"/>
      <c r="T997" s="224"/>
      <c r="U997" s="224"/>
      <c r="V997" s="224"/>
      <c r="W997" s="224"/>
      <c r="X997" s="224"/>
      <c r="Y997" s="224"/>
      <c r="Z997" s="224"/>
    </row>
    <row r="998" spans="1:26" ht="12.75" customHeight="1">
      <c r="A998" s="224"/>
      <c r="B998" s="226"/>
      <c r="C998" s="224"/>
      <c r="D998" s="224"/>
      <c r="E998" s="224"/>
      <c r="F998" s="224"/>
      <c r="G998" s="224"/>
      <c r="H998" s="224"/>
      <c r="I998" s="224"/>
      <c r="J998" s="224"/>
      <c r="K998" s="224"/>
      <c r="L998" s="224"/>
      <c r="M998" s="224"/>
      <c r="N998" s="224"/>
      <c r="O998" s="224"/>
      <c r="P998" s="224"/>
      <c r="Q998" s="224"/>
      <c r="R998" s="224"/>
      <c r="S998" s="224"/>
      <c r="T998" s="224"/>
      <c r="U998" s="224"/>
      <c r="V998" s="224"/>
      <c r="W998" s="224"/>
      <c r="X998" s="224"/>
      <c r="Y998" s="224"/>
      <c r="Z998" s="224"/>
    </row>
    <row r="999" spans="1:26" ht="12.75" customHeight="1">
      <c r="A999" s="224"/>
      <c r="B999" s="226"/>
      <c r="C999" s="224"/>
      <c r="D999" s="224"/>
      <c r="E999" s="224"/>
      <c r="F999" s="224"/>
      <c r="G999" s="224"/>
      <c r="H999" s="224"/>
      <c r="I999" s="224"/>
      <c r="J999" s="224"/>
      <c r="K999" s="224"/>
      <c r="L999" s="224"/>
      <c r="M999" s="224"/>
      <c r="N999" s="224"/>
      <c r="O999" s="224"/>
      <c r="P999" s="224"/>
      <c r="Q999" s="224"/>
      <c r="R999" s="224"/>
      <c r="S999" s="224"/>
      <c r="T999" s="224"/>
      <c r="U999" s="224"/>
      <c r="V999" s="224"/>
      <c r="W999" s="224"/>
      <c r="X999" s="224"/>
      <c r="Y999" s="224"/>
      <c r="Z999" s="224"/>
    </row>
    <row r="1000" spans="1:26" ht="12.75" customHeight="1">
      <c r="A1000" s="224"/>
      <c r="B1000" s="226"/>
      <c r="C1000" s="224"/>
      <c r="D1000" s="224"/>
      <c r="E1000" s="224"/>
      <c r="F1000" s="224"/>
      <c r="G1000" s="224"/>
      <c r="H1000" s="224"/>
      <c r="I1000" s="224"/>
      <c r="J1000" s="224"/>
      <c r="K1000" s="224"/>
      <c r="L1000" s="224"/>
      <c r="M1000" s="224"/>
      <c r="N1000" s="224"/>
      <c r="O1000" s="224"/>
      <c r="P1000" s="224"/>
      <c r="Q1000" s="224"/>
      <c r="R1000" s="224"/>
      <c r="S1000" s="224"/>
      <c r="T1000" s="224"/>
      <c r="U1000" s="224"/>
      <c r="V1000" s="224"/>
      <c r="W1000" s="224"/>
      <c r="X1000" s="224"/>
      <c r="Y1000" s="224"/>
      <c r="Z1000" s="224"/>
    </row>
    <row r="1001" spans="1:26" ht="12.75" customHeight="1">
      <c r="A1001" s="224"/>
      <c r="B1001" s="226"/>
      <c r="C1001" s="224"/>
      <c r="D1001" s="224"/>
      <c r="E1001" s="224"/>
      <c r="F1001" s="224"/>
      <c r="G1001" s="224"/>
      <c r="H1001" s="224"/>
      <c r="I1001" s="224"/>
      <c r="J1001" s="224"/>
      <c r="K1001" s="224"/>
      <c r="L1001" s="224"/>
      <c r="M1001" s="224"/>
      <c r="N1001" s="224"/>
      <c r="O1001" s="224"/>
      <c r="P1001" s="224"/>
      <c r="Q1001" s="224"/>
      <c r="R1001" s="224"/>
      <c r="S1001" s="224"/>
      <c r="T1001" s="224"/>
      <c r="U1001" s="224"/>
      <c r="V1001" s="224"/>
      <c r="W1001" s="224"/>
      <c r="X1001" s="224"/>
      <c r="Y1001" s="224"/>
      <c r="Z1001" s="224"/>
    </row>
    <row r="1002" spans="1:26" ht="12.75" customHeight="1">
      <c r="A1002" s="224"/>
      <c r="B1002" s="226"/>
      <c r="C1002" s="224"/>
      <c r="D1002" s="224"/>
      <c r="E1002" s="224"/>
      <c r="F1002" s="224"/>
      <c r="G1002" s="224"/>
      <c r="H1002" s="224"/>
      <c r="I1002" s="224"/>
      <c r="J1002" s="224"/>
      <c r="K1002" s="224"/>
      <c r="L1002" s="224"/>
      <c r="M1002" s="224"/>
      <c r="N1002" s="224"/>
      <c r="O1002" s="224"/>
      <c r="P1002" s="224"/>
      <c r="Q1002" s="224"/>
      <c r="R1002" s="224"/>
      <c r="S1002" s="224"/>
      <c r="T1002" s="224"/>
      <c r="U1002" s="224"/>
      <c r="V1002" s="224"/>
      <c r="W1002" s="224"/>
      <c r="X1002" s="224"/>
      <c r="Y1002" s="224"/>
      <c r="Z1002" s="224"/>
    </row>
  </sheetData>
  <mergeCells count="6">
    <mergeCell ref="B192:H192"/>
    <mergeCell ref="B1:H1"/>
    <mergeCell ref="B3:H3"/>
    <mergeCell ref="B124:H124"/>
    <mergeCell ref="B165:H165"/>
    <mergeCell ref="B175:H175"/>
  </mergeCell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93737-7333-4F31-ACAA-95B261539640}">
  <dimension ref="C1:EC194"/>
  <sheetViews>
    <sheetView workbookViewId="0">
      <pane xSplit="10" ySplit="6" topLeftCell="CY155" activePane="bottomRight" state="frozen"/>
      <selection pane="topRight" activeCell="I1" sqref="I1"/>
      <selection pane="bottomLeft" activeCell="A4" sqref="A4"/>
      <selection pane="bottomRight" activeCell="G171" sqref="G171"/>
    </sheetView>
  </sheetViews>
  <sheetFormatPr defaultRowHeight="14.4"/>
  <cols>
    <col min="3" max="3" width="11.88671875" customWidth="1"/>
    <col min="4" max="4" width="7.5546875" customWidth="1"/>
    <col min="5" max="5" width="7.109375" customWidth="1"/>
    <col min="6" max="7" width="9.44140625" customWidth="1"/>
    <col min="8" max="8" width="12.33203125" customWidth="1"/>
    <col min="9" max="9" width="6.5546875" customWidth="1"/>
    <col min="10" max="10" width="9.33203125" bestFit="1" customWidth="1"/>
    <col min="11" max="11" width="14.5546875" customWidth="1"/>
    <col min="12" max="16" width="0" hidden="1" customWidth="1"/>
    <col min="17" max="17" width="12.5546875" customWidth="1"/>
    <col min="18" max="18" width="12.6640625" customWidth="1"/>
    <col min="19" max="19" width="11.88671875" style="281" customWidth="1"/>
    <col min="20" max="20" width="26.33203125" customWidth="1"/>
    <col min="21" max="21" width="44.5546875" customWidth="1"/>
    <col min="22" max="22" width="18.33203125" customWidth="1"/>
    <col min="23" max="23" width="3.33203125" customWidth="1"/>
    <col min="24" max="25" width="17" customWidth="1"/>
    <col min="26" max="26" width="21.5546875" bestFit="1" customWidth="1"/>
    <col min="27" max="27" width="14.33203125" bestFit="1" customWidth="1"/>
    <col min="28" max="56" width="0" hidden="1" customWidth="1"/>
    <col min="57" max="57" width="12" bestFit="1" customWidth="1"/>
    <col min="58" max="58" width="15.44140625" bestFit="1" customWidth="1"/>
    <col min="59" max="59" width="9.88671875" bestFit="1" customWidth="1"/>
    <col min="60" max="60" width="11.109375" bestFit="1" customWidth="1"/>
    <col min="61" max="61" width="9.88671875" bestFit="1" customWidth="1"/>
    <col min="67" max="67" width="9.88671875" bestFit="1" customWidth="1"/>
    <col min="69" max="69" width="9.88671875" bestFit="1" customWidth="1"/>
    <col min="71" max="71" width="11.109375" bestFit="1" customWidth="1"/>
    <col min="72" max="72" width="11.33203125" bestFit="1" customWidth="1"/>
    <col min="73" max="73" width="9.88671875" bestFit="1" customWidth="1"/>
    <col min="74" max="74" width="15.109375" customWidth="1"/>
    <col min="75" max="75" width="12.44140625" customWidth="1"/>
    <col min="76" max="76" width="11.44140625" customWidth="1"/>
    <col min="77" max="77" width="12" bestFit="1" customWidth="1"/>
    <col min="78" max="78" width="9.88671875" bestFit="1" customWidth="1"/>
    <col min="81" max="81" width="0" hidden="1" customWidth="1"/>
    <col min="82" max="82" width="11.33203125" customWidth="1"/>
    <col min="83" max="83" width="0" hidden="1" customWidth="1"/>
    <col min="84" max="84" width="12" bestFit="1" customWidth="1"/>
    <col min="85" max="85" width="9.88671875" bestFit="1" customWidth="1"/>
    <col min="88" max="88" width="11.109375" bestFit="1" customWidth="1"/>
    <col min="90" max="90" width="9.5546875" bestFit="1" customWidth="1"/>
    <col min="97" max="97" width="9.88671875" bestFit="1" customWidth="1"/>
    <col min="102" max="102" width="9.88671875" bestFit="1" customWidth="1"/>
    <col min="104" max="104" width="9.88671875" bestFit="1" customWidth="1"/>
    <col min="114" max="114" width="11.33203125" bestFit="1" customWidth="1"/>
    <col min="129" max="129" width="9.88671875" bestFit="1" customWidth="1"/>
    <col min="130" max="130" width="11.109375" bestFit="1" customWidth="1"/>
  </cols>
  <sheetData>
    <row r="1" spans="3:133" s="32" customFormat="1" ht="12.75" customHeight="1">
      <c r="C1" s="288" t="s">
        <v>786</v>
      </c>
      <c r="D1" s="113"/>
      <c r="E1" s="114"/>
      <c r="F1" s="115"/>
      <c r="G1" s="115"/>
      <c r="H1" s="116"/>
      <c r="I1" s="113"/>
      <c r="J1" s="116"/>
      <c r="K1" s="116"/>
      <c r="L1" s="116"/>
      <c r="M1" s="116"/>
      <c r="N1" s="113"/>
      <c r="O1" s="113"/>
      <c r="P1" s="113"/>
      <c r="Q1" s="117"/>
      <c r="R1" s="117"/>
      <c r="S1" s="118"/>
      <c r="T1" s="119"/>
      <c r="U1" s="119"/>
      <c r="V1" s="122"/>
      <c r="W1" s="28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</row>
    <row r="2" spans="3:133" s="32" customFormat="1" ht="16.5" customHeight="1">
      <c r="C2" s="288" t="s">
        <v>784</v>
      </c>
      <c r="D2" s="113"/>
      <c r="E2" s="114"/>
      <c r="F2" s="115"/>
      <c r="G2" s="115"/>
      <c r="H2" s="116"/>
      <c r="I2" s="113"/>
      <c r="J2" s="116"/>
      <c r="K2" s="116"/>
      <c r="L2" s="116"/>
      <c r="M2" s="116"/>
      <c r="N2" s="113"/>
      <c r="O2" s="113"/>
      <c r="P2" s="113"/>
      <c r="Q2" s="117"/>
      <c r="R2" s="117"/>
      <c r="S2" s="118"/>
      <c r="T2" s="290"/>
      <c r="U2" s="119"/>
      <c r="V2" s="122"/>
      <c r="W2" s="28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</row>
    <row r="3" spans="3:133" s="32" customFormat="1" ht="16.5" customHeight="1">
      <c r="C3" s="288" t="s">
        <v>785</v>
      </c>
      <c r="D3" s="113"/>
      <c r="E3" s="114"/>
      <c r="F3" s="115"/>
      <c r="G3" s="115"/>
      <c r="H3" s="116"/>
      <c r="I3" s="113"/>
      <c r="J3" s="116"/>
      <c r="K3" s="116"/>
      <c r="L3" s="116"/>
      <c r="M3" s="116"/>
      <c r="N3" s="113"/>
      <c r="O3" s="113"/>
      <c r="P3" s="113"/>
      <c r="Q3" s="117"/>
      <c r="R3" s="117"/>
      <c r="S3" s="118"/>
      <c r="T3" s="290"/>
      <c r="U3" s="291"/>
      <c r="V3" s="122"/>
      <c r="W3" s="28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</row>
    <row r="4" spans="3:133" s="169" customFormat="1" ht="13.8">
      <c r="C4" s="172"/>
      <c r="D4" s="173"/>
      <c r="E4" s="174"/>
      <c r="F4" s="175"/>
      <c r="G4" s="175"/>
      <c r="H4" s="176"/>
      <c r="I4" s="177"/>
      <c r="J4" s="178"/>
      <c r="K4" s="178"/>
      <c r="L4" s="178"/>
      <c r="M4" s="178"/>
      <c r="N4" s="179" t="s">
        <v>80</v>
      </c>
      <c r="O4" s="179" t="s">
        <v>80</v>
      </c>
      <c r="P4" s="179" t="s">
        <v>80</v>
      </c>
      <c r="Q4" s="180"/>
      <c r="R4" s="180"/>
      <c r="S4" s="181"/>
      <c r="T4" s="182"/>
      <c r="U4" s="182"/>
      <c r="V4" s="183"/>
      <c r="W4" s="184"/>
      <c r="X4" s="183"/>
      <c r="Y4" s="183"/>
      <c r="Z4" s="185"/>
      <c r="AA4" s="186"/>
      <c r="AB4" s="187"/>
      <c r="AC4" s="187"/>
      <c r="AD4" s="187" t="s">
        <v>81</v>
      </c>
      <c r="AE4" s="187" t="s">
        <v>81</v>
      </c>
      <c r="AF4" s="187" t="s">
        <v>81</v>
      </c>
      <c r="AG4" s="188"/>
      <c r="AH4" s="188"/>
      <c r="AI4" s="188"/>
      <c r="AJ4" s="187"/>
      <c r="AK4" s="187"/>
      <c r="AL4" s="187"/>
      <c r="AM4" s="187"/>
      <c r="AN4" s="187"/>
      <c r="AO4" s="187"/>
      <c r="AP4" s="187"/>
      <c r="AQ4" s="187"/>
      <c r="AR4" s="187"/>
      <c r="AS4" s="187"/>
      <c r="AT4" s="187"/>
      <c r="AU4" s="187"/>
      <c r="AV4" s="187"/>
      <c r="AW4" s="187"/>
      <c r="AX4" s="187"/>
      <c r="AY4" s="187"/>
      <c r="AZ4" s="187"/>
      <c r="BA4" s="187"/>
      <c r="BB4" s="187"/>
      <c r="BC4" s="187" t="s">
        <v>82</v>
      </c>
      <c r="BD4" s="187"/>
      <c r="BE4" s="187"/>
      <c r="BF4" s="187"/>
      <c r="BG4" s="187"/>
      <c r="BH4" s="187"/>
      <c r="BI4" s="187"/>
      <c r="BJ4" s="187"/>
      <c r="BK4" s="187"/>
      <c r="BL4" s="189"/>
      <c r="BM4" s="189"/>
      <c r="BN4" s="189"/>
      <c r="BO4" s="189"/>
      <c r="BP4" s="189"/>
      <c r="BQ4" s="189"/>
      <c r="BR4" s="189"/>
      <c r="BS4" s="189"/>
      <c r="BT4" s="189"/>
      <c r="BU4" s="189"/>
      <c r="BV4" s="190">
        <v>0.3</v>
      </c>
      <c r="BW4" s="3">
        <v>0.7</v>
      </c>
      <c r="BX4" s="2"/>
      <c r="BY4" s="2"/>
      <c r="BZ4" s="2"/>
      <c r="CA4" s="2"/>
      <c r="CB4" s="1"/>
      <c r="CC4" s="191"/>
      <c r="CD4" s="191"/>
      <c r="CE4" s="191"/>
      <c r="CF4" s="191"/>
      <c r="CG4" s="189"/>
      <c r="CH4" s="189"/>
      <c r="CI4" s="189"/>
      <c r="CJ4" s="189"/>
      <c r="CK4" s="189"/>
      <c r="CL4" s="189"/>
      <c r="CM4" s="189"/>
      <c r="CN4" s="189"/>
      <c r="CO4" s="189"/>
      <c r="CP4" s="189"/>
      <c r="CQ4" s="189"/>
      <c r="CR4" s="189"/>
      <c r="CS4" s="189"/>
      <c r="CT4" s="189"/>
      <c r="CU4" s="189"/>
      <c r="CV4" s="189"/>
      <c r="CW4" s="189"/>
      <c r="CX4" s="189"/>
      <c r="CY4" s="189"/>
      <c r="CZ4" s="189"/>
      <c r="DA4" s="189"/>
      <c r="DB4" s="189"/>
      <c r="DC4" s="189"/>
      <c r="DD4" s="189"/>
      <c r="DE4" s="189"/>
      <c r="DF4" s="189"/>
      <c r="DG4" s="191"/>
      <c r="DH4" s="189"/>
      <c r="DI4" s="189"/>
      <c r="DJ4" s="189"/>
      <c r="DK4" s="189"/>
      <c r="DL4" s="189"/>
      <c r="DM4" s="189"/>
      <c r="DN4" s="189"/>
      <c r="DO4" s="189"/>
      <c r="DP4" s="189"/>
      <c r="DQ4" s="189"/>
      <c r="DR4" s="189"/>
      <c r="DS4" s="189"/>
      <c r="DT4" s="189"/>
      <c r="DU4" s="189"/>
      <c r="DV4" s="189"/>
      <c r="DW4" s="189"/>
      <c r="DX4" s="189"/>
      <c r="DY4" s="192"/>
      <c r="DZ4" s="193"/>
      <c r="EA4" s="193"/>
      <c r="EB4" s="194"/>
    </row>
    <row r="5" spans="3:133" s="169" customFormat="1" ht="30" customHeight="1">
      <c r="C5" s="195" t="s">
        <v>27</v>
      </c>
      <c r="D5" s="196" t="s">
        <v>83</v>
      </c>
      <c r="E5" s="197"/>
      <c r="F5" s="198"/>
      <c r="G5" s="198"/>
      <c r="H5" s="40"/>
      <c r="I5" s="199"/>
      <c r="J5" s="200" t="s">
        <v>84</v>
      </c>
      <c r="K5" s="200"/>
      <c r="L5" s="200"/>
      <c r="M5" s="200"/>
      <c r="N5" s="201" t="s">
        <v>85</v>
      </c>
      <c r="O5" s="201" t="s">
        <v>85</v>
      </c>
      <c r="P5" s="201" t="s">
        <v>85</v>
      </c>
      <c r="Q5" s="40" t="s">
        <v>86</v>
      </c>
      <c r="R5" s="40"/>
      <c r="S5" s="78"/>
      <c r="T5" s="79"/>
      <c r="U5" s="202"/>
      <c r="V5" s="203" t="s">
        <v>87</v>
      </c>
      <c r="W5" s="204"/>
      <c r="X5" s="203" t="s">
        <v>12</v>
      </c>
      <c r="Y5" s="47" t="s">
        <v>13</v>
      </c>
      <c r="Z5" s="45"/>
      <c r="AA5" s="205"/>
      <c r="AB5" s="206" t="s">
        <v>88</v>
      </c>
      <c r="AC5" s="206" t="s">
        <v>89</v>
      </c>
      <c r="AD5" s="206" t="s">
        <v>90</v>
      </c>
      <c r="AE5" s="206" t="s">
        <v>90</v>
      </c>
      <c r="AF5" s="206" t="s">
        <v>90</v>
      </c>
      <c r="AG5" s="80" t="s">
        <v>91</v>
      </c>
      <c r="AH5" s="80"/>
      <c r="AI5" s="80" t="s">
        <v>91</v>
      </c>
      <c r="AJ5" s="206" t="s">
        <v>92</v>
      </c>
      <c r="AK5" s="206" t="s">
        <v>92</v>
      </c>
      <c r="AL5" s="206" t="s">
        <v>92</v>
      </c>
      <c r="AM5" s="206" t="s">
        <v>93</v>
      </c>
      <c r="AN5" s="206" t="s">
        <v>93</v>
      </c>
      <c r="AO5" s="206" t="s">
        <v>93</v>
      </c>
      <c r="AP5" s="206" t="s">
        <v>94</v>
      </c>
      <c r="AQ5" s="206" t="s">
        <v>94</v>
      </c>
      <c r="AR5" s="206" t="s">
        <v>94</v>
      </c>
      <c r="AS5" s="206" t="s">
        <v>95</v>
      </c>
      <c r="AT5" s="206" t="s">
        <v>95</v>
      </c>
      <c r="AU5" s="206" t="s">
        <v>95</v>
      </c>
      <c r="AV5" s="206" t="s">
        <v>96</v>
      </c>
      <c r="AW5" s="206" t="s">
        <v>96</v>
      </c>
      <c r="AX5" s="206" t="s">
        <v>96</v>
      </c>
      <c r="AY5" s="206" t="s">
        <v>97</v>
      </c>
      <c r="AZ5" s="206" t="s">
        <v>97</v>
      </c>
      <c r="BA5" s="206" t="s">
        <v>98</v>
      </c>
      <c r="BB5" s="206" t="s">
        <v>99</v>
      </c>
      <c r="BC5" s="206" t="s">
        <v>12</v>
      </c>
      <c r="BD5" s="206"/>
      <c r="BE5" s="206" t="s">
        <v>27</v>
      </c>
      <c r="BF5" s="206" t="s">
        <v>28</v>
      </c>
      <c r="BG5" s="80" t="s">
        <v>29</v>
      </c>
      <c r="BH5" s="47" t="s">
        <v>30</v>
      </c>
      <c r="BI5" s="122" t="s">
        <v>31</v>
      </c>
      <c r="BJ5" s="207" t="s">
        <v>32</v>
      </c>
      <c r="BK5" s="207" t="s">
        <v>33</v>
      </c>
      <c r="BL5" s="80" t="s">
        <v>34</v>
      </c>
      <c r="BM5" s="80" t="s">
        <v>35</v>
      </c>
      <c r="BN5" s="80" t="s">
        <v>36</v>
      </c>
      <c r="BO5" s="80" t="s">
        <v>37</v>
      </c>
      <c r="BP5" s="207" t="s">
        <v>38</v>
      </c>
      <c r="BQ5" s="80" t="s">
        <v>39</v>
      </c>
      <c r="BR5" s="80" t="s">
        <v>40</v>
      </c>
      <c r="BS5" s="80" t="s">
        <v>41</v>
      </c>
      <c r="BT5" s="80" t="s">
        <v>42</v>
      </c>
      <c r="BU5" s="80"/>
      <c r="BV5" s="208">
        <v>0.24</v>
      </c>
      <c r="BW5" s="208">
        <v>7.0000000000000007E-2</v>
      </c>
      <c r="BX5" s="208">
        <v>0.31</v>
      </c>
      <c r="BY5" s="208">
        <v>0.17</v>
      </c>
      <c r="BZ5" s="208">
        <v>0.12</v>
      </c>
      <c r="CA5" s="208"/>
      <c r="CB5" s="208">
        <v>0.09</v>
      </c>
      <c r="CC5" s="209"/>
      <c r="CD5" s="209" t="s">
        <v>82</v>
      </c>
      <c r="CE5" s="209"/>
      <c r="CF5" s="209" t="s">
        <v>100</v>
      </c>
      <c r="CG5" s="210" t="s">
        <v>101</v>
      </c>
      <c r="CH5" s="211" t="s">
        <v>102</v>
      </c>
      <c r="CI5" s="210" t="s">
        <v>103</v>
      </c>
      <c r="CJ5" s="210" t="s">
        <v>103</v>
      </c>
      <c r="CK5" s="210" t="s">
        <v>104</v>
      </c>
      <c r="CL5" s="210" t="s">
        <v>105</v>
      </c>
      <c r="CM5" s="210" t="s">
        <v>106</v>
      </c>
      <c r="CN5" s="210" t="s">
        <v>107</v>
      </c>
      <c r="CO5" s="210" t="s">
        <v>108</v>
      </c>
      <c r="CP5" s="210" t="s">
        <v>109</v>
      </c>
      <c r="CQ5" s="210" t="s">
        <v>110</v>
      </c>
      <c r="CR5" s="210" t="s">
        <v>111</v>
      </c>
      <c r="CS5" s="210" t="s">
        <v>112</v>
      </c>
      <c r="CT5" s="210" t="s">
        <v>113</v>
      </c>
      <c r="CU5" s="210" t="s">
        <v>114</v>
      </c>
      <c r="CV5" s="210" t="s">
        <v>115</v>
      </c>
      <c r="CW5" s="210" t="s">
        <v>116</v>
      </c>
      <c r="CX5" s="210" t="s">
        <v>117</v>
      </c>
      <c r="CY5" s="212" t="s">
        <v>118</v>
      </c>
      <c r="CZ5" s="210" t="s">
        <v>119</v>
      </c>
      <c r="DA5" s="210" t="s">
        <v>120</v>
      </c>
      <c r="DB5" s="210" t="s">
        <v>121</v>
      </c>
      <c r="DC5" s="210" t="s">
        <v>122</v>
      </c>
      <c r="DD5" s="210" t="s">
        <v>123</v>
      </c>
      <c r="DE5" s="210" t="s">
        <v>124</v>
      </c>
      <c r="DF5" s="210" t="s">
        <v>125</v>
      </c>
      <c r="DG5" s="210" t="s">
        <v>126</v>
      </c>
      <c r="DH5" s="210" t="s">
        <v>127</v>
      </c>
      <c r="DI5" s="210" t="s">
        <v>128</v>
      </c>
      <c r="DJ5" s="210" t="s">
        <v>129</v>
      </c>
      <c r="DK5" s="210" t="s">
        <v>130</v>
      </c>
      <c r="DL5" s="210" t="s">
        <v>131</v>
      </c>
      <c r="DM5" s="210" t="s">
        <v>132</v>
      </c>
      <c r="DN5" s="210" t="s">
        <v>133</v>
      </c>
      <c r="DO5" s="210" t="s">
        <v>134</v>
      </c>
      <c r="DP5" s="210" t="s">
        <v>135</v>
      </c>
      <c r="DQ5" s="210" t="s">
        <v>136</v>
      </c>
      <c r="DR5" s="210" t="s">
        <v>137</v>
      </c>
      <c r="DS5" s="210" t="s">
        <v>138</v>
      </c>
      <c r="DT5" s="210" t="s">
        <v>139</v>
      </c>
      <c r="DU5" s="210" t="s">
        <v>140</v>
      </c>
      <c r="DV5" s="210" t="s">
        <v>141</v>
      </c>
      <c r="DW5" s="210" t="s">
        <v>142</v>
      </c>
      <c r="DX5" s="210" t="s">
        <v>143</v>
      </c>
      <c r="DY5" s="210" t="s">
        <v>144</v>
      </c>
      <c r="DZ5" s="206" t="s">
        <v>145</v>
      </c>
      <c r="EA5" s="206" t="s">
        <v>145</v>
      </c>
      <c r="EB5" s="206" t="s">
        <v>145</v>
      </c>
    </row>
    <row r="6" spans="3:133" s="169" customFormat="1" ht="30" customHeight="1">
      <c r="C6" s="213" t="s">
        <v>146</v>
      </c>
      <c r="D6" s="214" t="s">
        <v>147</v>
      </c>
      <c r="E6" s="215"/>
      <c r="F6" s="216" t="s">
        <v>148</v>
      </c>
      <c r="G6" s="216" t="s">
        <v>149</v>
      </c>
      <c r="H6" s="104" t="s">
        <v>150</v>
      </c>
      <c r="I6" s="213" t="s">
        <v>151</v>
      </c>
      <c r="J6" s="217" t="s">
        <v>152</v>
      </c>
      <c r="K6" s="217"/>
      <c r="L6" s="217"/>
      <c r="M6" s="217"/>
      <c r="N6" s="218" t="s">
        <v>12</v>
      </c>
      <c r="O6" s="218" t="s">
        <v>153</v>
      </c>
      <c r="P6" s="218" t="s">
        <v>145</v>
      </c>
      <c r="Q6" s="104" t="s">
        <v>86</v>
      </c>
      <c r="R6" s="104"/>
      <c r="S6" s="105" t="s">
        <v>154</v>
      </c>
      <c r="T6" s="219" t="s">
        <v>155</v>
      </c>
      <c r="U6" s="219" t="s">
        <v>156</v>
      </c>
      <c r="V6" s="220" t="s">
        <v>157</v>
      </c>
      <c r="W6" s="221"/>
      <c r="X6" s="220" t="s">
        <v>158</v>
      </c>
      <c r="Y6" s="222" t="s">
        <v>159</v>
      </c>
      <c r="Z6" s="223"/>
      <c r="AA6" s="213"/>
      <c r="AB6" s="199" t="s">
        <v>158</v>
      </c>
      <c r="AC6" s="199"/>
      <c r="AD6" s="206" t="s">
        <v>160</v>
      </c>
      <c r="AE6" s="206" t="s">
        <v>87</v>
      </c>
      <c r="AF6" s="206" t="s">
        <v>161</v>
      </c>
      <c r="AG6" s="80" t="s">
        <v>160</v>
      </c>
      <c r="AH6" s="202"/>
      <c r="AI6" s="80" t="s">
        <v>162</v>
      </c>
      <c r="AJ6" s="213" t="s">
        <v>160</v>
      </c>
      <c r="AK6" s="213" t="s">
        <v>87</v>
      </c>
      <c r="AL6" s="213" t="s">
        <v>162</v>
      </c>
      <c r="AM6" s="213" t="s">
        <v>160</v>
      </c>
      <c r="AN6" s="213" t="s">
        <v>87</v>
      </c>
      <c r="AO6" s="213" t="s">
        <v>162</v>
      </c>
      <c r="AP6" s="213" t="s">
        <v>160</v>
      </c>
      <c r="AQ6" s="213" t="s">
        <v>87</v>
      </c>
      <c r="AR6" s="213" t="s">
        <v>162</v>
      </c>
      <c r="AS6" s="213" t="s">
        <v>160</v>
      </c>
      <c r="AT6" s="213" t="s">
        <v>87</v>
      </c>
      <c r="AU6" s="213" t="s">
        <v>162</v>
      </c>
      <c r="AV6" s="213" t="s">
        <v>160</v>
      </c>
      <c r="AW6" s="213" t="s">
        <v>87</v>
      </c>
      <c r="AX6" s="213" t="s">
        <v>162</v>
      </c>
      <c r="AY6" s="213" t="s">
        <v>87</v>
      </c>
      <c r="AZ6" s="213" t="s">
        <v>162</v>
      </c>
      <c r="BA6" s="213"/>
      <c r="BB6" s="213"/>
      <c r="BC6" s="213"/>
      <c r="BD6" s="213"/>
      <c r="BE6" s="213" t="s">
        <v>163</v>
      </c>
      <c r="BF6" s="199" t="s">
        <v>164</v>
      </c>
      <c r="BG6" s="199" t="s">
        <v>165</v>
      </c>
      <c r="BH6" s="199" t="s">
        <v>166</v>
      </c>
      <c r="BI6" s="196" t="s">
        <v>167</v>
      </c>
      <c r="BJ6" s="199" t="s">
        <v>168</v>
      </c>
      <c r="BK6" s="199" t="s">
        <v>169</v>
      </c>
      <c r="BL6" s="199" t="s">
        <v>170</v>
      </c>
      <c r="BM6" s="199" t="s">
        <v>171</v>
      </c>
      <c r="BN6" s="199" t="s">
        <v>172</v>
      </c>
      <c r="BO6" s="199" t="s">
        <v>173</v>
      </c>
      <c r="BP6" s="199" t="s">
        <v>174</v>
      </c>
      <c r="BQ6" s="199" t="s">
        <v>175</v>
      </c>
      <c r="BR6" s="199" t="s">
        <v>176</v>
      </c>
      <c r="BS6" s="199" t="s">
        <v>177</v>
      </c>
      <c r="BT6" s="199" t="s">
        <v>178</v>
      </c>
      <c r="BU6" s="199" t="s">
        <v>179</v>
      </c>
      <c r="BV6" s="213" t="s">
        <v>3</v>
      </c>
      <c r="BW6" s="213" t="s">
        <v>11</v>
      </c>
      <c r="BX6" s="213" t="s">
        <v>8</v>
      </c>
      <c r="BY6" s="213" t="s">
        <v>4</v>
      </c>
      <c r="BZ6" s="213" t="s">
        <v>180</v>
      </c>
      <c r="CA6" s="213" t="s">
        <v>180</v>
      </c>
      <c r="CB6" s="213" t="s">
        <v>181</v>
      </c>
      <c r="CC6" s="220" t="s">
        <v>99</v>
      </c>
      <c r="CD6" s="220" t="s">
        <v>13</v>
      </c>
      <c r="CE6" s="220" t="s">
        <v>182</v>
      </c>
      <c r="CF6" s="220" t="s">
        <v>43</v>
      </c>
      <c r="CG6" s="213" t="s">
        <v>44</v>
      </c>
      <c r="CH6" s="213">
        <v>752</v>
      </c>
      <c r="CI6" s="213" t="s">
        <v>45</v>
      </c>
      <c r="CJ6" s="213" t="s">
        <v>46</v>
      </c>
      <c r="CK6" s="213" t="s">
        <v>47</v>
      </c>
      <c r="CL6" s="213">
        <v>761</v>
      </c>
      <c r="CM6" s="213" t="s">
        <v>48</v>
      </c>
      <c r="CN6" s="213" t="s">
        <v>49</v>
      </c>
      <c r="CO6" s="213">
        <v>767</v>
      </c>
      <c r="CP6" s="213" t="s">
        <v>50</v>
      </c>
      <c r="CQ6" s="213" t="s">
        <v>51</v>
      </c>
      <c r="CR6" s="213" t="s">
        <v>52</v>
      </c>
      <c r="CS6" s="213" t="s">
        <v>53</v>
      </c>
      <c r="CT6" s="213" t="s">
        <v>54</v>
      </c>
      <c r="CU6" s="213" t="s">
        <v>55</v>
      </c>
      <c r="CV6" s="213" t="s">
        <v>56</v>
      </c>
      <c r="CW6" s="213" t="s">
        <v>57</v>
      </c>
      <c r="CX6" s="213" t="s">
        <v>58</v>
      </c>
      <c r="CY6" s="213" t="s">
        <v>58</v>
      </c>
      <c r="CZ6" s="213" t="s">
        <v>59</v>
      </c>
      <c r="DA6" s="213" t="s">
        <v>60</v>
      </c>
      <c r="DB6" s="213" t="s">
        <v>61</v>
      </c>
      <c r="DC6" s="213" t="s">
        <v>62</v>
      </c>
      <c r="DD6" s="213" t="s">
        <v>63</v>
      </c>
      <c r="DE6" s="213" t="s">
        <v>64</v>
      </c>
      <c r="DF6" s="213">
        <v>793</v>
      </c>
      <c r="DG6" s="213">
        <v>795</v>
      </c>
      <c r="DH6" s="213">
        <v>796</v>
      </c>
      <c r="DI6" s="213">
        <v>797</v>
      </c>
      <c r="DJ6" s="213" t="s">
        <v>65</v>
      </c>
      <c r="DK6" s="213" t="s">
        <v>66</v>
      </c>
      <c r="DL6" s="213" t="s">
        <v>67</v>
      </c>
      <c r="DM6" s="213" t="s">
        <v>68</v>
      </c>
      <c r="DN6" s="213" t="s">
        <v>69</v>
      </c>
      <c r="DO6" s="213" t="s">
        <v>70</v>
      </c>
      <c r="DP6" s="213" t="s">
        <v>71</v>
      </c>
      <c r="DQ6" s="213" t="s">
        <v>72</v>
      </c>
      <c r="DR6" s="213" t="s">
        <v>73</v>
      </c>
      <c r="DS6" s="213" t="s">
        <v>74</v>
      </c>
      <c r="DT6" s="213">
        <v>879</v>
      </c>
      <c r="DU6" s="213" t="s">
        <v>75</v>
      </c>
      <c r="DV6" s="213" t="s">
        <v>76</v>
      </c>
      <c r="DW6" s="213" t="s">
        <v>77</v>
      </c>
      <c r="DX6" s="213" t="s">
        <v>78</v>
      </c>
      <c r="DY6" s="213" t="s">
        <v>79</v>
      </c>
      <c r="DZ6" s="213">
        <v>226</v>
      </c>
      <c r="EA6" s="213">
        <v>223</v>
      </c>
      <c r="EB6" s="213">
        <v>222</v>
      </c>
    </row>
    <row r="7" spans="3:133" s="32" customFormat="1">
      <c r="C7" s="11" t="s">
        <v>758</v>
      </c>
      <c r="D7" s="12"/>
      <c r="E7" s="13"/>
      <c r="F7" s="14"/>
      <c r="G7" s="14"/>
      <c r="H7" s="15"/>
      <c r="I7" s="16"/>
      <c r="J7" s="17"/>
      <c r="K7" s="18"/>
      <c r="L7" s="17"/>
      <c r="M7" s="17"/>
      <c r="N7" s="12"/>
      <c r="O7" s="12"/>
      <c r="P7" s="12"/>
      <c r="Q7" s="19"/>
      <c r="R7" s="20"/>
      <c r="S7" s="21"/>
      <c r="T7" s="22"/>
      <c r="U7" s="22"/>
      <c r="V7" s="23"/>
      <c r="W7" s="24"/>
      <c r="X7" s="25"/>
      <c r="Y7" s="23"/>
      <c r="Z7" s="26"/>
      <c r="AA7" s="27"/>
      <c r="AB7" s="28"/>
      <c r="AC7" s="28"/>
      <c r="AD7" s="28"/>
      <c r="AE7" s="28"/>
      <c r="AF7" s="28"/>
      <c r="AG7" s="29"/>
      <c r="AH7" s="29"/>
      <c r="AI7" s="29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9"/>
      <c r="BB7" s="29"/>
      <c r="BC7" s="29"/>
      <c r="BD7" s="29"/>
      <c r="BE7" s="29"/>
      <c r="BF7" s="30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31"/>
      <c r="BS7" s="29"/>
      <c r="BT7" s="29"/>
      <c r="BU7" s="29"/>
      <c r="BV7" s="31"/>
      <c r="BW7" s="28"/>
      <c r="BX7" s="29"/>
      <c r="BY7" s="23"/>
      <c r="BZ7" s="29"/>
      <c r="CA7" s="29"/>
      <c r="CB7" s="29"/>
      <c r="CC7" s="29"/>
      <c r="CD7" s="29"/>
      <c r="CE7" s="29"/>
      <c r="CF7" s="23"/>
      <c r="CG7" s="29"/>
      <c r="CH7" s="29"/>
      <c r="CI7" s="29"/>
      <c r="CJ7" s="28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8"/>
      <c r="EA7" s="28"/>
      <c r="EB7" s="28"/>
    </row>
    <row r="8" spans="3:133" s="32" customFormat="1">
      <c r="C8" s="33">
        <v>44209</v>
      </c>
      <c r="D8" s="34" t="s">
        <v>759</v>
      </c>
      <c r="E8" s="286" t="s">
        <v>11</v>
      </c>
      <c r="F8" s="36">
        <v>0.48749999999999999</v>
      </c>
      <c r="G8" s="36">
        <v>0.49236111111111108</v>
      </c>
      <c r="H8" s="37" t="s">
        <v>0</v>
      </c>
      <c r="I8" s="38">
        <v>1</v>
      </c>
      <c r="J8" s="39">
        <v>713</v>
      </c>
      <c r="K8" s="51" t="str">
        <f>VLOOKUP(J8,'[2]Chart of accounts'!A:H,2,FALSE)</f>
        <v>50102020 00</v>
      </c>
      <c r="L8" s="39"/>
      <c r="M8" s="39"/>
      <c r="N8" s="34"/>
      <c r="O8" s="34"/>
      <c r="P8" s="34"/>
      <c r="Q8" s="53" t="s">
        <v>1</v>
      </c>
      <c r="R8" s="53" t="s">
        <v>1</v>
      </c>
      <c r="S8" s="57" t="s">
        <v>2</v>
      </c>
      <c r="T8" s="42" t="s">
        <v>6</v>
      </c>
      <c r="U8" s="42" t="s">
        <v>760</v>
      </c>
      <c r="V8" s="43">
        <v>9000</v>
      </c>
      <c r="W8" s="52"/>
      <c r="X8" s="43">
        <v>9000</v>
      </c>
      <c r="Y8" s="44"/>
      <c r="Z8" s="59"/>
      <c r="AA8" s="46"/>
      <c r="AB8" s="47"/>
      <c r="AC8" s="47"/>
      <c r="AD8" s="47"/>
      <c r="AE8" s="47"/>
      <c r="AF8" s="47"/>
      <c r="AG8" s="44"/>
      <c r="AH8" s="44"/>
      <c r="AI8" s="44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4"/>
      <c r="BB8" s="44"/>
      <c r="BC8" s="44"/>
      <c r="BD8" s="44"/>
      <c r="BE8" s="44"/>
      <c r="BF8" s="48"/>
      <c r="BG8" s="44"/>
      <c r="BH8" s="43">
        <v>9000</v>
      </c>
      <c r="BI8" s="44"/>
      <c r="BJ8" s="44"/>
      <c r="BK8" s="44"/>
      <c r="BL8" s="44"/>
      <c r="BM8" s="44"/>
      <c r="BN8" s="44"/>
      <c r="BO8" s="44"/>
      <c r="BP8" s="44"/>
      <c r="BQ8" s="44"/>
      <c r="BR8" s="49"/>
      <c r="BS8" s="44"/>
      <c r="BT8" s="44"/>
      <c r="BU8" s="44"/>
      <c r="BV8" s="43">
        <v>9000</v>
      </c>
      <c r="BW8" s="47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7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7"/>
      <c r="EA8" s="47"/>
      <c r="EB8" s="47"/>
    </row>
    <row r="9" spans="3:133" s="32" customFormat="1">
      <c r="C9" s="33">
        <v>44209</v>
      </c>
      <c r="D9" s="34" t="s">
        <v>759</v>
      </c>
      <c r="E9" s="286" t="s">
        <v>11</v>
      </c>
      <c r="F9" s="36">
        <v>0.48749999999999999</v>
      </c>
      <c r="G9" s="36">
        <v>0.49236111111111108</v>
      </c>
      <c r="H9" s="37" t="s">
        <v>0</v>
      </c>
      <c r="I9" s="38">
        <v>1</v>
      </c>
      <c r="J9" s="39">
        <v>714</v>
      </c>
      <c r="K9" s="51" t="str">
        <f>VLOOKUP(J9,'[2]Chart of accounts'!A:H,2,FALSE)</f>
        <v>50102030 01</v>
      </c>
      <c r="L9" s="39"/>
      <c r="M9" s="39"/>
      <c r="N9" s="34"/>
      <c r="O9" s="34"/>
      <c r="P9" s="34"/>
      <c r="Q9" s="53" t="s">
        <v>1</v>
      </c>
      <c r="R9" s="53" t="s">
        <v>1</v>
      </c>
      <c r="S9" s="57" t="s">
        <v>2</v>
      </c>
      <c r="T9" s="42" t="s">
        <v>6</v>
      </c>
      <c r="U9" s="42" t="s">
        <v>760</v>
      </c>
      <c r="V9" s="43">
        <v>9000</v>
      </c>
      <c r="W9" s="52"/>
      <c r="X9" s="43">
        <v>9000</v>
      </c>
      <c r="Y9" s="44"/>
      <c r="Z9" s="59"/>
      <c r="AA9" s="46"/>
      <c r="AB9" s="47"/>
      <c r="AC9" s="47"/>
      <c r="AD9" s="47"/>
      <c r="AE9" s="47"/>
      <c r="AF9" s="47"/>
      <c r="AG9" s="44"/>
      <c r="AH9" s="44"/>
      <c r="AI9" s="44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4"/>
      <c r="BB9" s="44"/>
      <c r="BC9" s="44"/>
      <c r="BD9" s="44"/>
      <c r="BE9" s="44"/>
      <c r="BF9" s="48"/>
      <c r="BG9" s="44"/>
      <c r="BI9" s="43">
        <v>9000</v>
      </c>
      <c r="BJ9" s="44"/>
      <c r="BK9" s="44"/>
      <c r="BL9" s="44"/>
      <c r="BM9" s="44"/>
      <c r="BN9" s="44"/>
      <c r="BO9" s="44"/>
      <c r="BP9" s="44"/>
      <c r="BQ9" s="44"/>
      <c r="BR9" s="49"/>
      <c r="BS9" s="44"/>
      <c r="BT9" s="44"/>
      <c r="BU9" s="44"/>
      <c r="BV9" s="43">
        <v>9000</v>
      </c>
      <c r="BW9" s="47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7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4"/>
      <c r="DZ9" s="47"/>
      <c r="EA9" s="47"/>
      <c r="EB9" s="47"/>
    </row>
    <row r="10" spans="3:133" s="32" customFormat="1">
      <c r="C10" s="33">
        <v>44209</v>
      </c>
      <c r="D10" s="34" t="s">
        <v>759</v>
      </c>
      <c r="E10" s="286" t="s">
        <v>11</v>
      </c>
      <c r="F10" s="36">
        <v>0.48749999999999999</v>
      </c>
      <c r="G10" s="36">
        <v>0.49236111111111108</v>
      </c>
      <c r="H10" s="37" t="s">
        <v>0</v>
      </c>
      <c r="I10" s="38">
        <v>1</v>
      </c>
      <c r="J10" s="39">
        <v>713</v>
      </c>
      <c r="K10" s="51" t="str">
        <f>VLOOKUP(J10,'[2]Chart of accounts'!A:H,2,FALSE)</f>
        <v>50102020 00</v>
      </c>
      <c r="L10" s="39"/>
      <c r="M10" s="39"/>
      <c r="N10" s="34"/>
      <c r="O10" s="34"/>
      <c r="P10" s="34"/>
      <c r="Q10" s="53" t="s">
        <v>1</v>
      </c>
      <c r="R10" s="53" t="s">
        <v>1</v>
      </c>
      <c r="S10" s="57" t="s">
        <v>2</v>
      </c>
      <c r="T10" s="42" t="s">
        <v>796</v>
      </c>
      <c r="U10" s="42" t="s">
        <v>760</v>
      </c>
      <c r="V10" s="43">
        <v>8500</v>
      </c>
      <c r="W10" s="52"/>
      <c r="X10" s="43">
        <v>8500</v>
      </c>
      <c r="Y10" s="44"/>
      <c r="Z10" s="59"/>
      <c r="AA10" s="46"/>
      <c r="AB10" s="47"/>
      <c r="AC10" s="47"/>
      <c r="AD10" s="47"/>
      <c r="AE10" s="47"/>
      <c r="AF10" s="47"/>
      <c r="AG10" s="44"/>
      <c r="AH10" s="44"/>
      <c r="AI10" s="44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4"/>
      <c r="BB10" s="44"/>
      <c r="BC10" s="44"/>
      <c r="BD10" s="44"/>
      <c r="BE10" s="44"/>
      <c r="BF10" s="48"/>
      <c r="BG10" s="44"/>
      <c r="BH10" s="43">
        <v>8500</v>
      </c>
      <c r="BI10" s="44"/>
      <c r="BJ10" s="44"/>
      <c r="BK10" s="44"/>
      <c r="BL10" s="44"/>
      <c r="BM10" s="44"/>
      <c r="BN10" s="44"/>
      <c r="BO10" s="44"/>
      <c r="BP10" s="44"/>
      <c r="BQ10" s="44"/>
      <c r="BR10" s="49"/>
      <c r="BS10" s="44"/>
      <c r="BT10" s="44"/>
      <c r="BU10" s="44"/>
      <c r="BV10" s="43">
        <v>8500</v>
      </c>
      <c r="BW10" s="47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7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4"/>
      <c r="DY10" s="44"/>
      <c r="DZ10" s="47"/>
      <c r="EA10" s="47"/>
      <c r="EB10" s="47"/>
    </row>
    <row r="11" spans="3:133" s="32" customFormat="1">
      <c r="C11" s="33">
        <v>44209</v>
      </c>
      <c r="D11" s="34" t="s">
        <v>759</v>
      </c>
      <c r="E11" s="286" t="s">
        <v>11</v>
      </c>
      <c r="F11" s="36">
        <v>0.48749999999999999</v>
      </c>
      <c r="G11" s="36">
        <v>0.49236111111111108</v>
      </c>
      <c r="H11" s="37" t="s">
        <v>0</v>
      </c>
      <c r="I11" s="38">
        <v>1</v>
      </c>
      <c r="J11" s="39">
        <v>714</v>
      </c>
      <c r="K11" s="51" t="str">
        <f>VLOOKUP(J11,'[2]Chart of accounts'!A:H,2,FALSE)</f>
        <v>50102030 01</v>
      </c>
      <c r="L11" s="39"/>
      <c r="M11" s="39"/>
      <c r="N11" s="34"/>
      <c r="O11" s="34"/>
      <c r="P11" s="34"/>
      <c r="Q11" s="53" t="s">
        <v>1</v>
      </c>
      <c r="R11" s="53" t="s">
        <v>1</v>
      </c>
      <c r="S11" s="57" t="s">
        <v>2</v>
      </c>
      <c r="T11" s="42" t="s">
        <v>796</v>
      </c>
      <c r="U11" s="42" t="s">
        <v>760</v>
      </c>
      <c r="V11" s="43">
        <v>8500</v>
      </c>
      <c r="W11" s="52"/>
      <c r="X11" s="43">
        <v>8500</v>
      </c>
      <c r="Y11" s="44"/>
      <c r="Z11" s="59"/>
      <c r="AA11" s="46"/>
      <c r="AB11" s="47"/>
      <c r="AC11" s="47"/>
      <c r="AD11" s="47"/>
      <c r="AE11" s="47"/>
      <c r="AF11" s="47"/>
      <c r="AG11" s="44"/>
      <c r="AH11" s="44"/>
      <c r="AI11" s="44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4"/>
      <c r="BB11" s="44"/>
      <c r="BC11" s="44"/>
      <c r="BD11" s="44"/>
      <c r="BE11" s="44"/>
      <c r="BF11" s="48"/>
      <c r="BG11" s="44"/>
      <c r="BI11" s="43">
        <v>8500</v>
      </c>
      <c r="BJ11" s="44"/>
      <c r="BK11" s="44"/>
      <c r="BL11" s="44"/>
      <c r="BM11" s="44"/>
      <c r="BN11" s="44"/>
      <c r="BO11" s="44"/>
      <c r="BP11" s="44"/>
      <c r="BQ11" s="44"/>
      <c r="BR11" s="49"/>
      <c r="BS11" s="44"/>
      <c r="BT11" s="44"/>
      <c r="BU11" s="44"/>
      <c r="BV11" s="43">
        <v>8500</v>
      </c>
      <c r="BW11" s="47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7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44"/>
      <c r="DY11" s="44"/>
      <c r="DZ11" s="47"/>
      <c r="EA11" s="47"/>
      <c r="EB11" s="47"/>
    </row>
    <row r="12" spans="3:133" s="32" customFormat="1">
      <c r="C12" s="33">
        <v>44209</v>
      </c>
      <c r="D12" s="34" t="s">
        <v>759</v>
      </c>
      <c r="E12" s="286" t="s">
        <v>11</v>
      </c>
      <c r="F12" s="36">
        <v>0.48749999999999999</v>
      </c>
      <c r="G12" s="36">
        <v>0.49236111111111108</v>
      </c>
      <c r="H12" s="37" t="s">
        <v>0</v>
      </c>
      <c r="I12" s="38">
        <v>1</v>
      </c>
      <c r="J12" s="39">
        <v>713</v>
      </c>
      <c r="K12" s="51" t="str">
        <f>VLOOKUP(J12,'[2]Chart of accounts'!A:H,2,FALSE)</f>
        <v>50102020 00</v>
      </c>
      <c r="L12" s="39"/>
      <c r="M12" s="39"/>
      <c r="N12" s="34"/>
      <c r="O12" s="34"/>
      <c r="P12" s="34"/>
      <c r="Q12" s="53" t="s">
        <v>1</v>
      </c>
      <c r="R12" s="53" t="s">
        <v>1</v>
      </c>
      <c r="S12" s="57" t="s">
        <v>2</v>
      </c>
      <c r="T12" s="42" t="s">
        <v>797</v>
      </c>
      <c r="U12" s="42" t="s">
        <v>760</v>
      </c>
      <c r="V12" s="43">
        <v>5000</v>
      </c>
      <c r="W12" s="52"/>
      <c r="X12" s="43">
        <v>5000</v>
      </c>
      <c r="Y12" s="44"/>
      <c r="Z12" s="59"/>
      <c r="AA12" s="46"/>
      <c r="AB12" s="47"/>
      <c r="AC12" s="47"/>
      <c r="AD12" s="47"/>
      <c r="AE12" s="47"/>
      <c r="AF12" s="47"/>
      <c r="AG12" s="44"/>
      <c r="AH12" s="44"/>
      <c r="AI12" s="44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4"/>
      <c r="BB12" s="44"/>
      <c r="BC12" s="44"/>
      <c r="BD12" s="44"/>
      <c r="BE12" s="44"/>
      <c r="BF12" s="48"/>
      <c r="BG12" s="44"/>
      <c r="BH12" s="43">
        <v>5000</v>
      </c>
      <c r="BI12" s="44"/>
      <c r="BJ12" s="44"/>
      <c r="BK12" s="44"/>
      <c r="BL12" s="44"/>
      <c r="BM12" s="44"/>
      <c r="BN12" s="44"/>
      <c r="BO12" s="44"/>
      <c r="BP12" s="44"/>
      <c r="BQ12" s="44"/>
      <c r="BR12" s="49"/>
      <c r="BS12" s="44"/>
      <c r="BT12" s="44"/>
      <c r="BU12" s="44"/>
      <c r="BV12" s="43">
        <v>5000</v>
      </c>
      <c r="BW12" s="47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7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44"/>
      <c r="DY12" s="44"/>
      <c r="DZ12" s="47"/>
      <c r="EA12" s="47"/>
      <c r="EB12" s="47"/>
    </row>
    <row r="13" spans="3:133" s="32" customFormat="1">
      <c r="C13" s="33">
        <v>44209</v>
      </c>
      <c r="D13" s="34" t="s">
        <v>759</v>
      </c>
      <c r="E13" s="286" t="s">
        <v>11</v>
      </c>
      <c r="F13" s="36">
        <v>0.48749999999999999</v>
      </c>
      <c r="G13" s="36">
        <v>0.49236111111111108</v>
      </c>
      <c r="H13" s="37" t="s">
        <v>0</v>
      </c>
      <c r="I13" s="38">
        <v>1</v>
      </c>
      <c r="J13" s="39">
        <v>714</v>
      </c>
      <c r="K13" s="51" t="str">
        <f>VLOOKUP(J13,'[2]Chart of accounts'!A:H,2,FALSE)</f>
        <v>50102030 01</v>
      </c>
      <c r="L13" s="39"/>
      <c r="M13" s="39"/>
      <c r="N13" s="34"/>
      <c r="O13" s="34"/>
      <c r="P13" s="34"/>
      <c r="Q13" s="53" t="s">
        <v>1</v>
      </c>
      <c r="R13" s="53" t="s">
        <v>1</v>
      </c>
      <c r="S13" s="57" t="s">
        <v>2</v>
      </c>
      <c r="T13" s="42" t="s">
        <v>797</v>
      </c>
      <c r="U13" s="42" t="s">
        <v>760</v>
      </c>
      <c r="V13" s="43">
        <v>5000</v>
      </c>
      <c r="W13" s="52"/>
      <c r="X13" s="43">
        <v>5000</v>
      </c>
      <c r="Y13" s="44"/>
      <c r="Z13" s="59"/>
      <c r="AA13" s="46"/>
      <c r="AB13" s="47"/>
      <c r="AC13" s="47"/>
      <c r="AD13" s="47"/>
      <c r="AE13" s="47"/>
      <c r="AF13" s="47"/>
      <c r="AG13" s="44"/>
      <c r="AH13" s="44"/>
      <c r="AI13" s="44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4"/>
      <c r="BB13" s="44"/>
      <c r="BC13" s="44"/>
      <c r="BD13" s="44"/>
      <c r="BE13" s="44"/>
      <c r="BF13" s="48"/>
      <c r="BG13" s="44"/>
      <c r="BI13" s="43">
        <v>5000</v>
      </c>
      <c r="BJ13" s="44"/>
      <c r="BK13" s="44"/>
      <c r="BL13" s="44"/>
      <c r="BM13" s="44"/>
      <c r="BN13" s="44"/>
      <c r="BO13" s="44"/>
      <c r="BP13" s="44"/>
      <c r="BQ13" s="44"/>
      <c r="BR13" s="49"/>
      <c r="BS13" s="44"/>
      <c r="BT13" s="44"/>
      <c r="BU13" s="44"/>
      <c r="BV13" s="43">
        <v>5000</v>
      </c>
      <c r="BW13" s="47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7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4"/>
      <c r="DY13" s="44"/>
      <c r="DZ13" s="47"/>
      <c r="EA13" s="47"/>
      <c r="EB13" s="47"/>
    </row>
    <row r="14" spans="3:133" s="32" customFormat="1">
      <c r="C14" s="33">
        <v>44209</v>
      </c>
      <c r="D14" s="34" t="s">
        <v>759</v>
      </c>
      <c r="E14" s="286" t="s">
        <v>11</v>
      </c>
      <c r="F14" s="36">
        <v>0.48749999999999999</v>
      </c>
      <c r="G14" s="36">
        <v>0.49236111111111108</v>
      </c>
      <c r="H14" s="37" t="s">
        <v>0</v>
      </c>
      <c r="I14" s="38">
        <v>1</v>
      </c>
      <c r="J14" s="39">
        <v>713</v>
      </c>
      <c r="K14" s="51" t="str">
        <f>VLOOKUP(J14,'[2]Chart of accounts'!A:H,2,FALSE)</f>
        <v>50102020 00</v>
      </c>
      <c r="L14" s="39"/>
      <c r="M14" s="39"/>
      <c r="N14" s="34"/>
      <c r="O14" s="34"/>
      <c r="P14" s="34"/>
      <c r="Q14" s="53" t="s">
        <v>1</v>
      </c>
      <c r="R14" s="53" t="s">
        <v>1</v>
      </c>
      <c r="S14" s="57" t="s">
        <v>2</v>
      </c>
      <c r="T14" s="42" t="s">
        <v>798</v>
      </c>
      <c r="U14" s="42" t="s">
        <v>760</v>
      </c>
      <c r="V14" s="43">
        <v>5000</v>
      </c>
      <c r="W14" s="52"/>
      <c r="X14" s="43">
        <v>5000</v>
      </c>
      <c r="Y14" s="44"/>
      <c r="Z14" s="59"/>
      <c r="AA14" s="46"/>
      <c r="AB14" s="47"/>
      <c r="AC14" s="47"/>
      <c r="AD14" s="47"/>
      <c r="AE14" s="47"/>
      <c r="AF14" s="47"/>
      <c r="AG14" s="44"/>
      <c r="AH14" s="44"/>
      <c r="AI14" s="44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4"/>
      <c r="BB14" s="44"/>
      <c r="BC14" s="44"/>
      <c r="BD14" s="44"/>
      <c r="BE14" s="44"/>
      <c r="BF14" s="48"/>
      <c r="BG14" s="44"/>
      <c r="BH14" s="43">
        <v>5000</v>
      </c>
      <c r="BI14" s="44"/>
      <c r="BJ14" s="44"/>
      <c r="BK14" s="44"/>
      <c r="BL14" s="44"/>
      <c r="BM14" s="44"/>
      <c r="BN14" s="44"/>
      <c r="BO14" s="44"/>
      <c r="BP14" s="44"/>
      <c r="BQ14" s="44"/>
      <c r="BR14" s="49"/>
      <c r="BS14" s="44"/>
      <c r="BT14" s="44"/>
      <c r="BU14" s="44"/>
      <c r="BV14" s="43">
        <v>5000</v>
      </c>
      <c r="BW14" s="47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4"/>
      <c r="CI14" s="44"/>
      <c r="CJ14" s="47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44"/>
      <c r="DY14" s="44"/>
      <c r="DZ14" s="47"/>
      <c r="EA14" s="47"/>
      <c r="EB14" s="47"/>
    </row>
    <row r="15" spans="3:133" s="32" customFormat="1">
      <c r="C15" s="33">
        <v>44209</v>
      </c>
      <c r="D15" s="34" t="s">
        <v>759</v>
      </c>
      <c r="E15" s="286" t="s">
        <v>11</v>
      </c>
      <c r="F15" s="36">
        <v>0.48749999999999999</v>
      </c>
      <c r="G15" s="36">
        <v>0.49236111111111108</v>
      </c>
      <c r="H15" s="37" t="s">
        <v>0</v>
      </c>
      <c r="I15" s="38">
        <v>1</v>
      </c>
      <c r="J15" s="39">
        <v>714</v>
      </c>
      <c r="K15" s="51" t="str">
        <f>VLOOKUP(J15,'[2]Chart of accounts'!A:H,2,FALSE)</f>
        <v>50102030 01</v>
      </c>
      <c r="L15" s="39"/>
      <c r="M15" s="39"/>
      <c r="N15" s="34"/>
      <c r="O15" s="34"/>
      <c r="P15" s="34"/>
      <c r="Q15" s="53" t="s">
        <v>1</v>
      </c>
      <c r="R15" s="53" t="s">
        <v>1</v>
      </c>
      <c r="S15" s="57" t="s">
        <v>2</v>
      </c>
      <c r="T15" s="42" t="s">
        <v>798</v>
      </c>
      <c r="U15" s="42" t="s">
        <v>760</v>
      </c>
      <c r="V15" s="43">
        <v>5000</v>
      </c>
      <c r="W15" s="52"/>
      <c r="X15" s="43">
        <v>5000</v>
      </c>
      <c r="Y15" s="44"/>
      <c r="Z15" s="59"/>
      <c r="AA15" s="46"/>
      <c r="AB15" s="47"/>
      <c r="AC15" s="47"/>
      <c r="AD15" s="47"/>
      <c r="AE15" s="47"/>
      <c r="AF15" s="47"/>
      <c r="AG15" s="44"/>
      <c r="AH15" s="44"/>
      <c r="AI15" s="44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4"/>
      <c r="BB15" s="44"/>
      <c r="BC15" s="44"/>
      <c r="BD15" s="44"/>
      <c r="BE15" s="44"/>
      <c r="BF15" s="48"/>
      <c r="BG15" s="44"/>
      <c r="BI15" s="43">
        <v>5000</v>
      </c>
      <c r="BJ15" s="44"/>
      <c r="BK15" s="44"/>
      <c r="BL15" s="44"/>
      <c r="BM15" s="44"/>
      <c r="BN15" s="44"/>
      <c r="BO15" s="44"/>
      <c r="BP15" s="44"/>
      <c r="BQ15" s="44"/>
      <c r="BR15" s="49"/>
      <c r="BS15" s="44"/>
      <c r="BT15" s="44"/>
      <c r="BU15" s="44"/>
      <c r="BV15" s="43">
        <v>5000</v>
      </c>
      <c r="BW15" s="47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44"/>
      <c r="CI15" s="44"/>
      <c r="CJ15" s="47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44"/>
      <c r="DY15" s="44"/>
      <c r="DZ15" s="47"/>
      <c r="EA15" s="47"/>
      <c r="EB15" s="47"/>
    </row>
    <row r="16" spans="3:133" s="32" customFormat="1">
      <c r="C16" s="33">
        <v>44209</v>
      </c>
      <c r="D16" s="34" t="s">
        <v>759</v>
      </c>
      <c r="E16" s="286" t="s">
        <v>11</v>
      </c>
      <c r="F16" s="36">
        <v>0.48749999999999999</v>
      </c>
      <c r="G16" s="36">
        <v>0.49236111111111108</v>
      </c>
      <c r="H16" s="37" t="s">
        <v>0</v>
      </c>
      <c r="I16" s="38">
        <v>1</v>
      </c>
      <c r="J16" s="39">
        <v>713</v>
      </c>
      <c r="K16" s="51" t="str">
        <f>VLOOKUP(J16,'[2]Chart of accounts'!A:H,2,FALSE)</f>
        <v>50102020 00</v>
      </c>
      <c r="L16" s="39"/>
      <c r="M16" s="39"/>
      <c r="N16" s="34"/>
      <c r="O16" s="34"/>
      <c r="P16" s="34"/>
      <c r="Q16" s="53" t="s">
        <v>1</v>
      </c>
      <c r="R16" s="53" t="s">
        <v>1</v>
      </c>
      <c r="S16" s="57" t="s">
        <v>2</v>
      </c>
      <c r="T16" s="42" t="s">
        <v>799</v>
      </c>
      <c r="U16" s="42" t="s">
        <v>760</v>
      </c>
      <c r="V16" s="43">
        <v>5000</v>
      </c>
      <c r="W16" s="52"/>
      <c r="X16" s="43">
        <v>5000</v>
      </c>
      <c r="Y16" s="44"/>
      <c r="Z16" s="59"/>
      <c r="AA16" s="46"/>
      <c r="AB16" s="47"/>
      <c r="AC16" s="47"/>
      <c r="AD16" s="47"/>
      <c r="AE16" s="47"/>
      <c r="AF16" s="47"/>
      <c r="AG16" s="44"/>
      <c r="AH16" s="44"/>
      <c r="AI16" s="44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4"/>
      <c r="BB16" s="44"/>
      <c r="BC16" s="44"/>
      <c r="BD16" s="44"/>
      <c r="BE16" s="44"/>
      <c r="BF16" s="48"/>
      <c r="BG16" s="44"/>
      <c r="BH16" s="43">
        <v>5000</v>
      </c>
      <c r="BI16" s="44"/>
      <c r="BJ16" s="44"/>
      <c r="BK16" s="44"/>
      <c r="BL16" s="44"/>
      <c r="BM16" s="44"/>
      <c r="BN16" s="44"/>
      <c r="BO16" s="44"/>
      <c r="BP16" s="44"/>
      <c r="BQ16" s="44"/>
      <c r="BR16" s="49"/>
      <c r="BS16" s="44"/>
      <c r="BT16" s="44"/>
      <c r="BU16" s="44"/>
      <c r="BV16" s="43">
        <v>5000</v>
      </c>
      <c r="BW16" s="47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44"/>
      <c r="CI16" s="44"/>
      <c r="CJ16" s="47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44"/>
      <c r="DY16" s="44"/>
      <c r="DZ16" s="47"/>
      <c r="EA16" s="47"/>
      <c r="EB16" s="47"/>
    </row>
    <row r="17" spans="3:132" s="32" customFormat="1">
      <c r="C17" s="33">
        <v>44209</v>
      </c>
      <c r="D17" s="34" t="s">
        <v>759</v>
      </c>
      <c r="E17" s="286" t="s">
        <v>11</v>
      </c>
      <c r="F17" s="36">
        <v>0.48749999999999999</v>
      </c>
      <c r="G17" s="36">
        <v>0.49236111111111108</v>
      </c>
      <c r="H17" s="37" t="s">
        <v>0</v>
      </c>
      <c r="I17" s="38">
        <v>1</v>
      </c>
      <c r="J17" s="39">
        <v>714</v>
      </c>
      <c r="K17" s="51" t="str">
        <f>VLOOKUP(J17,'[2]Chart of accounts'!A:H,2,FALSE)</f>
        <v>50102030 01</v>
      </c>
      <c r="L17" s="39"/>
      <c r="M17" s="39"/>
      <c r="N17" s="34"/>
      <c r="O17" s="34"/>
      <c r="P17" s="34"/>
      <c r="Q17" s="53" t="s">
        <v>1</v>
      </c>
      <c r="R17" s="53" t="s">
        <v>1</v>
      </c>
      <c r="S17" s="57" t="s">
        <v>2</v>
      </c>
      <c r="T17" s="42" t="s">
        <v>799</v>
      </c>
      <c r="U17" s="42" t="s">
        <v>760</v>
      </c>
      <c r="V17" s="43">
        <v>5000</v>
      </c>
      <c r="W17" s="52"/>
      <c r="X17" s="43">
        <v>5000</v>
      </c>
      <c r="Y17" s="44"/>
      <c r="Z17" s="59"/>
      <c r="AA17" s="46"/>
      <c r="AB17" s="47"/>
      <c r="AC17" s="47"/>
      <c r="AD17" s="47"/>
      <c r="AE17" s="47"/>
      <c r="AF17" s="47"/>
      <c r="AG17" s="44"/>
      <c r="AH17" s="44"/>
      <c r="AI17" s="44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4"/>
      <c r="BB17" s="44"/>
      <c r="BC17" s="44"/>
      <c r="BD17" s="44"/>
      <c r="BE17" s="44"/>
      <c r="BF17" s="48"/>
      <c r="BG17" s="44"/>
      <c r="BI17" s="43">
        <v>5000</v>
      </c>
      <c r="BJ17" s="44"/>
      <c r="BK17" s="44"/>
      <c r="BL17" s="44"/>
      <c r="BM17" s="44"/>
      <c r="BN17" s="44"/>
      <c r="BO17" s="44"/>
      <c r="BP17" s="44"/>
      <c r="BQ17" s="44"/>
      <c r="BR17" s="49"/>
      <c r="BS17" s="44"/>
      <c r="BT17" s="44"/>
      <c r="BU17" s="44"/>
      <c r="BV17" s="43">
        <v>5000</v>
      </c>
      <c r="BW17" s="47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44"/>
      <c r="CI17" s="44"/>
      <c r="CJ17" s="47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44"/>
      <c r="DY17" s="44"/>
      <c r="DZ17" s="47"/>
      <c r="EA17" s="47"/>
      <c r="EB17" s="47"/>
    </row>
    <row r="18" spans="3:132" s="32" customFormat="1">
      <c r="C18" s="33">
        <v>44209</v>
      </c>
      <c r="D18" s="34" t="s">
        <v>759</v>
      </c>
      <c r="E18" s="286" t="s">
        <v>11</v>
      </c>
      <c r="F18" s="36">
        <v>0.48749999999999999</v>
      </c>
      <c r="G18" s="36">
        <v>0.49236111111111108</v>
      </c>
      <c r="H18" s="37" t="s">
        <v>0</v>
      </c>
      <c r="I18" s="38">
        <v>1</v>
      </c>
      <c r="J18" s="39">
        <v>713</v>
      </c>
      <c r="K18" s="51" t="str">
        <f>VLOOKUP(J18,'[2]Chart of accounts'!A:H,2,FALSE)</f>
        <v>50102020 00</v>
      </c>
      <c r="L18" s="39"/>
      <c r="M18" s="39"/>
      <c r="N18" s="34"/>
      <c r="O18" s="34"/>
      <c r="P18" s="34"/>
      <c r="Q18" s="53" t="s">
        <v>1</v>
      </c>
      <c r="R18" s="53" t="s">
        <v>1</v>
      </c>
      <c r="S18" s="57" t="s">
        <v>2</v>
      </c>
      <c r="T18" s="42" t="s">
        <v>800</v>
      </c>
      <c r="U18" s="42" t="s">
        <v>760</v>
      </c>
      <c r="V18" s="43">
        <v>5000</v>
      </c>
      <c r="W18" s="52"/>
      <c r="X18" s="43">
        <v>5000</v>
      </c>
      <c r="Y18" s="44"/>
      <c r="Z18" s="59"/>
      <c r="AA18" s="46"/>
      <c r="AB18" s="47"/>
      <c r="AC18" s="47"/>
      <c r="AD18" s="47"/>
      <c r="AE18" s="47"/>
      <c r="AF18" s="47"/>
      <c r="AG18" s="44"/>
      <c r="AH18" s="44"/>
      <c r="AI18" s="44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4"/>
      <c r="BB18" s="44"/>
      <c r="BC18" s="44"/>
      <c r="BD18" s="44"/>
      <c r="BE18" s="44"/>
      <c r="BF18" s="48"/>
      <c r="BG18" s="44"/>
      <c r="BH18" s="43">
        <v>5000</v>
      </c>
      <c r="BI18" s="44"/>
      <c r="BJ18" s="44"/>
      <c r="BK18" s="44"/>
      <c r="BL18" s="44"/>
      <c r="BM18" s="44"/>
      <c r="BN18" s="44"/>
      <c r="BO18" s="44"/>
      <c r="BP18" s="44"/>
      <c r="BQ18" s="44"/>
      <c r="BR18" s="49"/>
      <c r="BS18" s="44"/>
      <c r="BT18" s="44"/>
      <c r="BU18" s="44"/>
      <c r="BV18" s="43">
        <v>5000</v>
      </c>
      <c r="BW18" s="47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4"/>
      <c r="CI18" s="44"/>
      <c r="CJ18" s="47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4"/>
      <c r="DY18" s="44"/>
      <c r="DZ18" s="47"/>
      <c r="EA18" s="47"/>
      <c r="EB18" s="47"/>
    </row>
    <row r="19" spans="3:132" s="32" customFormat="1">
      <c r="C19" s="33">
        <v>44209</v>
      </c>
      <c r="D19" s="34" t="s">
        <v>759</v>
      </c>
      <c r="E19" s="286" t="s">
        <v>11</v>
      </c>
      <c r="F19" s="36">
        <v>0.48749999999999999</v>
      </c>
      <c r="G19" s="36">
        <v>0.49236111111111108</v>
      </c>
      <c r="H19" s="37" t="s">
        <v>0</v>
      </c>
      <c r="I19" s="38">
        <v>1</v>
      </c>
      <c r="J19" s="39">
        <v>714</v>
      </c>
      <c r="K19" s="51" t="str">
        <f>VLOOKUP(J19,'[2]Chart of accounts'!A:H,2,FALSE)</f>
        <v>50102030 01</v>
      </c>
      <c r="L19" s="39"/>
      <c r="M19" s="39"/>
      <c r="N19" s="34"/>
      <c r="O19" s="34"/>
      <c r="P19" s="34"/>
      <c r="Q19" s="53" t="s">
        <v>1</v>
      </c>
      <c r="R19" s="53" t="s">
        <v>1</v>
      </c>
      <c r="S19" s="57" t="s">
        <v>2</v>
      </c>
      <c r="T19" s="42" t="s">
        <v>800</v>
      </c>
      <c r="U19" s="42" t="s">
        <v>760</v>
      </c>
      <c r="V19" s="43">
        <v>5000</v>
      </c>
      <c r="W19" s="52"/>
      <c r="X19" s="43">
        <v>5000</v>
      </c>
      <c r="Y19" s="44"/>
      <c r="Z19" s="59"/>
      <c r="AA19" s="46"/>
      <c r="AB19" s="47"/>
      <c r="AC19" s="47"/>
      <c r="AD19" s="47"/>
      <c r="AE19" s="47"/>
      <c r="AF19" s="47"/>
      <c r="AG19" s="44"/>
      <c r="AH19" s="44"/>
      <c r="AI19" s="44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4"/>
      <c r="BB19" s="44"/>
      <c r="BC19" s="44"/>
      <c r="BD19" s="44"/>
      <c r="BE19" s="44"/>
      <c r="BF19" s="48"/>
      <c r="BG19" s="44"/>
      <c r="BI19" s="43">
        <v>5000</v>
      </c>
      <c r="BJ19" s="44"/>
      <c r="BK19" s="44"/>
      <c r="BL19" s="44"/>
      <c r="BM19" s="44"/>
      <c r="BN19" s="44"/>
      <c r="BO19" s="44"/>
      <c r="BP19" s="44"/>
      <c r="BQ19" s="44"/>
      <c r="BR19" s="49"/>
      <c r="BS19" s="44"/>
      <c r="BT19" s="44"/>
      <c r="BU19" s="44"/>
      <c r="BV19" s="43">
        <v>5000</v>
      </c>
      <c r="BW19" s="47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44"/>
      <c r="CI19" s="44"/>
      <c r="CJ19" s="47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4"/>
      <c r="DY19" s="44"/>
      <c r="DZ19" s="47"/>
      <c r="EA19" s="47"/>
      <c r="EB19" s="47"/>
    </row>
    <row r="20" spans="3:132" s="32" customFormat="1">
      <c r="C20" s="33">
        <v>44209</v>
      </c>
      <c r="D20" s="34" t="s">
        <v>759</v>
      </c>
      <c r="E20" s="286" t="s">
        <v>11</v>
      </c>
      <c r="F20" s="36">
        <v>0.48749999999999999</v>
      </c>
      <c r="G20" s="36">
        <v>0.49236111111111108</v>
      </c>
      <c r="H20" s="37" t="s">
        <v>0</v>
      </c>
      <c r="I20" s="38">
        <v>1</v>
      </c>
      <c r="J20" s="39">
        <v>713</v>
      </c>
      <c r="K20" s="51" t="str">
        <f>VLOOKUP(J20,'[2]Chart of accounts'!A:H,2,FALSE)</f>
        <v>50102020 00</v>
      </c>
      <c r="L20" s="39"/>
      <c r="M20" s="39"/>
      <c r="N20" s="34"/>
      <c r="O20" s="34"/>
      <c r="P20" s="34"/>
      <c r="Q20" s="53" t="s">
        <v>1</v>
      </c>
      <c r="R20" s="53" t="s">
        <v>1</v>
      </c>
      <c r="S20" s="57" t="s">
        <v>2</v>
      </c>
      <c r="T20" s="42" t="s">
        <v>801</v>
      </c>
      <c r="U20" s="42" t="s">
        <v>760</v>
      </c>
      <c r="V20" s="43">
        <v>7500</v>
      </c>
      <c r="W20" s="52"/>
      <c r="X20" s="43">
        <v>7500</v>
      </c>
      <c r="Y20" s="44"/>
      <c r="Z20" s="59"/>
      <c r="AA20" s="46"/>
      <c r="AB20" s="47"/>
      <c r="AC20" s="47"/>
      <c r="AD20" s="47"/>
      <c r="AE20" s="47"/>
      <c r="AF20" s="47"/>
      <c r="AG20" s="44"/>
      <c r="AH20" s="44"/>
      <c r="AI20" s="44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4"/>
      <c r="BB20" s="44"/>
      <c r="BC20" s="44"/>
      <c r="BD20" s="44"/>
      <c r="BE20" s="44"/>
      <c r="BF20" s="48"/>
      <c r="BG20" s="44"/>
      <c r="BH20" s="43">
        <v>7500</v>
      </c>
      <c r="BI20" s="44"/>
      <c r="BJ20" s="44"/>
      <c r="BK20" s="44"/>
      <c r="BL20" s="44"/>
      <c r="BM20" s="44"/>
      <c r="BN20" s="44"/>
      <c r="BO20" s="44"/>
      <c r="BP20" s="44"/>
      <c r="BQ20" s="44"/>
      <c r="BR20" s="49"/>
      <c r="BS20" s="44"/>
      <c r="BT20" s="44"/>
      <c r="BU20" s="44"/>
      <c r="BV20" s="43">
        <v>7500</v>
      </c>
      <c r="BW20" s="47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4"/>
      <c r="CI20" s="44"/>
      <c r="CJ20" s="47"/>
      <c r="CK20" s="44"/>
      <c r="CL20" s="44"/>
      <c r="CM20" s="44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44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/>
      <c r="DV20" s="44"/>
      <c r="DW20" s="44"/>
      <c r="DX20" s="44"/>
      <c r="DY20" s="44"/>
      <c r="DZ20" s="47"/>
      <c r="EA20" s="47"/>
      <c r="EB20" s="47"/>
    </row>
    <row r="21" spans="3:132" s="32" customFormat="1">
      <c r="C21" s="33">
        <v>44209</v>
      </c>
      <c r="D21" s="34" t="s">
        <v>759</v>
      </c>
      <c r="E21" s="286" t="s">
        <v>11</v>
      </c>
      <c r="F21" s="36">
        <v>0.48749999999999999</v>
      </c>
      <c r="G21" s="36">
        <v>0.49236111111111108</v>
      </c>
      <c r="H21" s="37" t="s">
        <v>0</v>
      </c>
      <c r="I21" s="38">
        <v>1</v>
      </c>
      <c r="J21" s="39">
        <v>714</v>
      </c>
      <c r="K21" s="51" t="str">
        <f>VLOOKUP(J21,'[2]Chart of accounts'!A:H,2,FALSE)</f>
        <v>50102030 01</v>
      </c>
      <c r="L21" s="39"/>
      <c r="M21" s="39"/>
      <c r="N21" s="34"/>
      <c r="O21" s="34"/>
      <c r="P21" s="34"/>
      <c r="Q21" s="53" t="s">
        <v>1</v>
      </c>
      <c r="R21" s="53" t="s">
        <v>1</v>
      </c>
      <c r="S21" s="57" t="s">
        <v>2</v>
      </c>
      <c r="T21" s="42" t="s">
        <v>801</v>
      </c>
      <c r="U21" s="42" t="s">
        <v>760</v>
      </c>
      <c r="V21" s="43">
        <v>7500</v>
      </c>
      <c r="W21" s="52"/>
      <c r="X21" s="43">
        <v>7500</v>
      </c>
      <c r="Y21" s="44"/>
      <c r="Z21" s="59"/>
      <c r="AA21" s="46"/>
      <c r="AB21" s="47"/>
      <c r="AC21" s="47"/>
      <c r="AD21" s="47"/>
      <c r="AE21" s="47"/>
      <c r="AF21" s="47"/>
      <c r="AG21" s="44"/>
      <c r="AH21" s="44"/>
      <c r="AI21" s="44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4"/>
      <c r="BB21" s="44"/>
      <c r="BC21" s="44"/>
      <c r="BD21" s="44"/>
      <c r="BE21" s="44"/>
      <c r="BF21" s="48"/>
      <c r="BG21" s="44"/>
      <c r="BI21" s="43">
        <v>7500</v>
      </c>
      <c r="BJ21" s="44"/>
      <c r="BK21" s="44"/>
      <c r="BL21" s="44"/>
      <c r="BM21" s="44"/>
      <c r="BN21" s="44"/>
      <c r="BO21" s="44"/>
      <c r="BP21" s="44"/>
      <c r="BQ21" s="44"/>
      <c r="BR21" s="49"/>
      <c r="BS21" s="44"/>
      <c r="BT21" s="44"/>
      <c r="BU21" s="44"/>
      <c r="BV21" s="43">
        <v>7500</v>
      </c>
      <c r="BW21" s="47"/>
      <c r="BX21" s="44"/>
      <c r="BY21" s="44"/>
      <c r="BZ21" s="44"/>
      <c r="CA21" s="44"/>
      <c r="CB21" s="44"/>
      <c r="CC21" s="44"/>
      <c r="CD21" s="44"/>
      <c r="CE21" s="44"/>
      <c r="CF21" s="44"/>
      <c r="CG21" s="44"/>
      <c r="CH21" s="44"/>
      <c r="CI21" s="44"/>
      <c r="CJ21" s="47"/>
      <c r="CK21" s="44"/>
      <c r="CL21" s="44"/>
      <c r="CM21" s="44"/>
      <c r="CN21" s="44"/>
      <c r="CO21" s="44"/>
      <c r="CP21" s="44"/>
      <c r="CQ21" s="44"/>
      <c r="CR21" s="44"/>
      <c r="CS21" s="44"/>
      <c r="CT21" s="44"/>
      <c r="CU21" s="44"/>
      <c r="CV21" s="44"/>
      <c r="CW21" s="44"/>
      <c r="CX21" s="44"/>
      <c r="CY21" s="44"/>
      <c r="CZ21" s="44"/>
      <c r="DA21" s="44"/>
      <c r="DB21" s="44"/>
      <c r="DC21" s="44"/>
      <c r="DD21" s="44"/>
      <c r="DE21" s="44"/>
      <c r="DF21" s="44"/>
      <c r="DG21" s="44"/>
      <c r="DH21" s="44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4"/>
      <c r="DY21" s="44"/>
      <c r="DZ21" s="47"/>
      <c r="EA21" s="47"/>
      <c r="EB21" s="47"/>
    </row>
    <row r="22" spans="3:132" s="32" customFormat="1">
      <c r="C22" s="33">
        <v>44209</v>
      </c>
      <c r="D22" s="34" t="s">
        <v>759</v>
      </c>
      <c r="E22" s="286" t="s">
        <v>11</v>
      </c>
      <c r="F22" s="36">
        <v>0.48749999999999999</v>
      </c>
      <c r="G22" s="36">
        <v>0.49236111111111108</v>
      </c>
      <c r="H22" s="37" t="s">
        <v>0</v>
      </c>
      <c r="I22" s="38">
        <v>1</v>
      </c>
      <c r="J22" s="39">
        <v>713</v>
      </c>
      <c r="K22" s="51" t="str">
        <f>VLOOKUP(J22,'[2]Chart of accounts'!A:H,2,FALSE)</f>
        <v>50102020 00</v>
      </c>
      <c r="L22" s="39"/>
      <c r="M22" s="39"/>
      <c r="N22" s="34"/>
      <c r="O22" s="34"/>
      <c r="P22" s="34"/>
      <c r="Q22" s="53" t="s">
        <v>1</v>
      </c>
      <c r="R22" s="53" t="s">
        <v>1</v>
      </c>
      <c r="S22" s="57" t="s">
        <v>2</v>
      </c>
      <c r="T22" s="42" t="s">
        <v>802</v>
      </c>
      <c r="U22" s="42" t="s">
        <v>760</v>
      </c>
      <c r="V22" s="43">
        <v>5000</v>
      </c>
      <c r="W22" s="52"/>
      <c r="X22" s="43">
        <v>5000</v>
      </c>
      <c r="Y22" s="44"/>
      <c r="Z22" s="59"/>
      <c r="AA22" s="46"/>
      <c r="AB22" s="47"/>
      <c r="AC22" s="47"/>
      <c r="AD22" s="47"/>
      <c r="AE22" s="47"/>
      <c r="AF22" s="47"/>
      <c r="AG22" s="44"/>
      <c r="AH22" s="44"/>
      <c r="AI22" s="44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4"/>
      <c r="BB22" s="44"/>
      <c r="BC22" s="44"/>
      <c r="BD22" s="44"/>
      <c r="BE22" s="44"/>
      <c r="BF22" s="48"/>
      <c r="BG22" s="44"/>
      <c r="BH22" s="43">
        <v>5000</v>
      </c>
      <c r="BI22" s="44"/>
      <c r="BJ22" s="44"/>
      <c r="BK22" s="44"/>
      <c r="BL22" s="44"/>
      <c r="BM22" s="44"/>
      <c r="BN22" s="44"/>
      <c r="BO22" s="44"/>
      <c r="BP22" s="44"/>
      <c r="BQ22" s="44"/>
      <c r="BR22" s="49"/>
      <c r="BS22" s="44"/>
      <c r="BT22" s="44"/>
      <c r="BU22" s="44"/>
      <c r="BV22" s="43">
        <v>5000</v>
      </c>
      <c r="BW22" s="47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7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4"/>
      <c r="DY22" s="44"/>
      <c r="DZ22" s="47"/>
      <c r="EA22" s="47"/>
      <c r="EB22" s="47"/>
    </row>
    <row r="23" spans="3:132" s="32" customFormat="1">
      <c r="C23" s="33">
        <v>44209</v>
      </c>
      <c r="D23" s="34" t="s">
        <v>759</v>
      </c>
      <c r="E23" s="286" t="s">
        <v>11</v>
      </c>
      <c r="F23" s="36">
        <v>0.48749999999999999</v>
      </c>
      <c r="G23" s="36">
        <v>0.49236111111111108</v>
      </c>
      <c r="H23" s="37" t="s">
        <v>0</v>
      </c>
      <c r="I23" s="38">
        <v>1</v>
      </c>
      <c r="J23" s="39">
        <v>714</v>
      </c>
      <c r="K23" s="51" t="str">
        <f>VLOOKUP(J23,'[2]Chart of accounts'!A:H,2,FALSE)</f>
        <v>50102030 01</v>
      </c>
      <c r="L23" s="39"/>
      <c r="M23" s="39"/>
      <c r="N23" s="34"/>
      <c r="O23" s="34"/>
      <c r="P23" s="34"/>
      <c r="Q23" s="53" t="s">
        <v>1</v>
      </c>
      <c r="R23" s="53" t="s">
        <v>1</v>
      </c>
      <c r="S23" s="57" t="s">
        <v>2</v>
      </c>
      <c r="T23" s="42" t="s">
        <v>802</v>
      </c>
      <c r="U23" s="42" t="s">
        <v>760</v>
      </c>
      <c r="V23" s="43">
        <v>5000</v>
      </c>
      <c r="W23" s="52"/>
      <c r="X23" s="43">
        <v>5000</v>
      </c>
      <c r="Y23" s="44"/>
      <c r="Z23" s="59"/>
      <c r="AA23" s="46"/>
      <c r="AB23" s="47"/>
      <c r="AC23" s="47"/>
      <c r="AD23" s="47"/>
      <c r="AE23" s="47"/>
      <c r="AF23" s="47"/>
      <c r="AG23" s="44"/>
      <c r="AH23" s="44"/>
      <c r="AI23" s="44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4"/>
      <c r="BB23" s="44"/>
      <c r="BC23" s="44"/>
      <c r="BD23" s="44"/>
      <c r="BE23" s="44"/>
      <c r="BF23" s="48"/>
      <c r="BG23" s="44"/>
      <c r="BI23" s="43">
        <v>5000</v>
      </c>
      <c r="BJ23" s="44"/>
      <c r="BK23" s="44"/>
      <c r="BL23" s="44"/>
      <c r="BM23" s="44"/>
      <c r="BN23" s="44"/>
      <c r="BO23" s="44"/>
      <c r="BP23" s="44"/>
      <c r="BQ23" s="44"/>
      <c r="BR23" s="49"/>
      <c r="BS23" s="44"/>
      <c r="BT23" s="44"/>
      <c r="BU23" s="44"/>
      <c r="BV23" s="43">
        <v>5000</v>
      </c>
      <c r="BW23" s="47"/>
      <c r="BX23" s="44"/>
      <c r="BY23" s="44"/>
      <c r="BZ23" s="44"/>
      <c r="CA23" s="44"/>
      <c r="CB23" s="44"/>
      <c r="CC23" s="44"/>
      <c r="CD23" s="44"/>
      <c r="CE23" s="44"/>
      <c r="CF23" s="44"/>
      <c r="CG23" s="44"/>
      <c r="CH23" s="44"/>
      <c r="CI23" s="44"/>
      <c r="CJ23" s="47"/>
      <c r="CK23" s="44"/>
      <c r="CL23" s="44"/>
      <c r="CM23" s="44"/>
      <c r="CN23" s="44"/>
      <c r="CO23" s="44"/>
      <c r="CP23" s="44"/>
      <c r="CQ23" s="44"/>
      <c r="CR23" s="44"/>
      <c r="CS23" s="44"/>
      <c r="CT23" s="44"/>
      <c r="CU23" s="44"/>
      <c r="CV23" s="44"/>
      <c r="CW23" s="44"/>
      <c r="CX23" s="44"/>
      <c r="CY23" s="44"/>
      <c r="CZ23" s="44"/>
      <c r="DA23" s="44"/>
      <c r="DB23" s="44"/>
      <c r="DC23" s="44"/>
      <c r="DD23" s="44"/>
      <c r="DE23" s="44"/>
      <c r="DF23" s="44"/>
      <c r="DG23" s="4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4"/>
      <c r="DY23" s="44"/>
      <c r="DZ23" s="47"/>
      <c r="EA23" s="47"/>
      <c r="EB23" s="47"/>
    </row>
    <row r="24" spans="3:132" s="32" customFormat="1">
      <c r="C24" s="33">
        <v>44209</v>
      </c>
      <c r="D24" s="34" t="s">
        <v>759</v>
      </c>
      <c r="E24" s="286" t="s">
        <v>11</v>
      </c>
      <c r="F24" s="36">
        <v>0.48749999999999999</v>
      </c>
      <c r="G24" s="36">
        <v>0.49236111111111108</v>
      </c>
      <c r="H24" s="37" t="s">
        <v>0</v>
      </c>
      <c r="I24" s="38">
        <v>1</v>
      </c>
      <c r="J24" s="39">
        <v>713</v>
      </c>
      <c r="K24" s="51" t="str">
        <f>VLOOKUP(J24,'[2]Chart of accounts'!A:H,2,FALSE)</f>
        <v>50102020 00</v>
      </c>
      <c r="L24" s="39"/>
      <c r="M24" s="39"/>
      <c r="N24" s="34"/>
      <c r="O24" s="34"/>
      <c r="P24" s="34"/>
      <c r="Q24" s="53" t="s">
        <v>1</v>
      </c>
      <c r="R24" s="53" t="s">
        <v>1</v>
      </c>
      <c r="S24" s="57" t="s">
        <v>2</v>
      </c>
      <c r="T24" s="42" t="s">
        <v>803</v>
      </c>
      <c r="U24" s="42" t="s">
        <v>760</v>
      </c>
      <c r="V24" s="43">
        <v>5000</v>
      </c>
      <c r="W24" s="52"/>
      <c r="X24" s="43">
        <v>5000</v>
      </c>
      <c r="Y24" s="44"/>
      <c r="Z24" s="59"/>
      <c r="AA24" s="46"/>
      <c r="AB24" s="47"/>
      <c r="AC24" s="47"/>
      <c r="AD24" s="47"/>
      <c r="AE24" s="47"/>
      <c r="AF24" s="47"/>
      <c r="AG24" s="44"/>
      <c r="AH24" s="44"/>
      <c r="AI24" s="44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4"/>
      <c r="BB24" s="44"/>
      <c r="BC24" s="44"/>
      <c r="BD24" s="44"/>
      <c r="BE24" s="44"/>
      <c r="BF24" s="48"/>
      <c r="BG24" s="44"/>
      <c r="BH24" s="43">
        <v>5000</v>
      </c>
      <c r="BI24" s="44"/>
      <c r="BJ24" s="44"/>
      <c r="BK24" s="44"/>
      <c r="BL24" s="44"/>
      <c r="BM24" s="44"/>
      <c r="BN24" s="44"/>
      <c r="BO24" s="44"/>
      <c r="BP24" s="44"/>
      <c r="BQ24" s="44"/>
      <c r="BR24" s="49"/>
      <c r="BS24" s="44"/>
      <c r="BT24" s="44"/>
      <c r="BU24" s="44"/>
      <c r="BV24" s="43">
        <v>5000</v>
      </c>
      <c r="BW24" s="47"/>
      <c r="BX24" s="44"/>
      <c r="BY24" s="44"/>
      <c r="BZ24" s="44"/>
      <c r="CA24" s="44"/>
      <c r="CB24" s="44"/>
      <c r="CC24" s="44"/>
      <c r="CD24" s="44"/>
      <c r="CE24" s="44"/>
      <c r="CF24" s="44"/>
      <c r="CG24" s="44"/>
      <c r="CH24" s="44"/>
      <c r="CI24" s="44"/>
      <c r="CJ24" s="47"/>
      <c r="CK24" s="44"/>
      <c r="CL24" s="44"/>
      <c r="CM24" s="44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44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4"/>
      <c r="DY24" s="44"/>
      <c r="DZ24" s="47"/>
      <c r="EA24" s="47"/>
      <c r="EB24" s="47"/>
    </row>
    <row r="25" spans="3:132" s="32" customFormat="1">
      <c r="C25" s="33">
        <v>44209</v>
      </c>
      <c r="D25" s="34" t="s">
        <v>759</v>
      </c>
      <c r="E25" s="286" t="s">
        <v>11</v>
      </c>
      <c r="F25" s="36">
        <v>0.48749999999999999</v>
      </c>
      <c r="G25" s="36">
        <v>0.49236111111111108</v>
      </c>
      <c r="H25" s="37" t="s">
        <v>0</v>
      </c>
      <c r="I25" s="38">
        <v>1</v>
      </c>
      <c r="J25" s="39">
        <v>714</v>
      </c>
      <c r="K25" s="51" t="str">
        <f>VLOOKUP(J25,'[2]Chart of accounts'!A:H,2,FALSE)</f>
        <v>50102030 01</v>
      </c>
      <c r="L25" s="39"/>
      <c r="M25" s="39"/>
      <c r="N25" s="34"/>
      <c r="O25" s="34"/>
      <c r="P25" s="34"/>
      <c r="Q25" s="53" t="s">
        <v>1</v>
      </c>
      <c r="R25" s="53" t="s">
        <v>1</v>
      </c>
      <c r="S25" s="57" t="s">
        <v>2</v>
      </c>
      <c r="T25" s="42" t="s">
        <v>803</v>
      </c>
      <c r="U25" s="42" t="s">
        <v>760</v>
      </c>
      <c r="V25" s="43">
        <v>5000</v>
      </c>
      <c r="W25" s="52"/>
      <c r="X25" s="43">
        <v>5000</v>
      </c>
      <c r="Y25" s="44"/>
      <c r="Z25" s="59"/>
      <c r="AA25" s="46"/>
      <c r="AB25" s="47"/>
      <c r="AC25" s="47"/>
      <c r="AD25" s="47"/>
      <c r="AE25" s="47"/>
      <c r="AF25" s="47"/>
      <c r="AG25" s="44"/>
      <c r="AH25" s="44"/>
      <c r="AI25" s="44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4"/>
      <c r="BB25" s="44"/>
      <c r="BC25" s="44"/>
      <c r="BD25" s="44"/>
      <c r="BE25" s="44"/>
      <c r="BF25" s="48"/>
      <c r="BG25" s="44"/>
      <c r="BI25" s="43">
        <v>5000</v>
      </c>
      <c r="BJ25" s="44"/>
      <c r="BK25" s="44"/>
      <c r="BL25" s="44"/>
      <c r="BM25" s="44"/>
      <c r="BN25" s="44"/>
      <c r="BO25" s="44"/>
      <c r="BP25" s="44"/>
      <c r="BQ25" s="44"/>
      <c r="BR25" s="49"/>
      <c r="BS25" s="44"/>
      <c r="BT25" s="44"/>
      <c r="BU25" s="44"/>
      <c r="BV25" s="43">
        <v>5000</v>
      </c>
      <c r="BW25" s="47"/>
      <c r="BX25" s="44"/>
      <c r="BY25" s="44"/>
      <c r="BZ25" s="44"/>
      <c r="CA25" s="44"/>
      <c r="CB25" s="44"/>
      <c r="CC25" s="44"/>
      <c r="CD25" s="44"/>
      <c r="CE25" s="44"/>
      <c r="CF25" s="44"/>
      <c r="CG25" s="44"/>
      <c r="CH25" s="44"/>
      <c r="CI25" s="44"/>
      <c r="CJ25" s="47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4"/>
      <c r="DC25" s="44"/>
      <c r="DD25" s="44"/>
      <c r="DE25" s="44"/>
      <c r="DF25" s="44"/>
      <c r="DG25" s="44"/>
      <c r="DH25" s="44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/>
      <c r="DX25" s="44"/>
      <c r="DY25" s="44"/>
      <c r="DZ25" s="47"/>
      <c r="EA25" s="47"/>
      <c r="EB25" s="47"/>
    </row>
    <row r="26" spans="3:132" s="32" customFormat="1">
      <c r="C26" s="33">
        <v>44209</v>
      </c>
      <c r="D26" s="34" t="s">
        <v>759</v>
      </c>
      <c r="E26" s="286" t="s">
        <v>11</v>
      </c>
      <c r="F26" s="36">
        <v>0.48749999999999999</v>
      </c>
      <c r="G26" s="36">
        <v>0.49236111111111108</v>
      </c>
      <c r="H26" s="37" t="s">
        <v>0</v>
      </c>
      <c r="I26" s="38">
        <v>1</v>
      </c>
      <c r="J26" s="39">
        <v>713</v>
      </c>
      <c r="K26" s="51" t="str">
        <f>VLOOKUP(J26,'[2]Chart of accounts'!A:H,2,FALSE)</f>
        <v>50102020 00</v>
      </c>
      <c r="L26" s="39"/>
      <c r="M26" s="39"/>
      <c r="N26" s="34"/>
      <c r="O26" s="34"/>
      <c r="P26" s="34"/>
      <c r="Q26" s="53" t="s">
        <v>1</v>
      </c>
      <c r="R26" s="53" t="s">
        <v>1</v>
      </c>
      <c r="S26" s="57" t="s">
        <v>2</v>
      </c>
      <c r="T26" s="42" t="s">
        <v>804</v>
      </c>
      <c r="U26" s="42" t="s">
        <v>760</v>
      </c>
      <c r="V26" s="43">
        <v>7500</v>
      </c>
      <c r="W26" s="52"/>
      <c r="X26" s="43">
        <v>7500</v>
      </c>
      <c r="Y26" s="44"/>
      <c r="Z26" s="59"/>
      <c r="AA26" s="46"/>
      <c r="AB26" s="47"/>
      <c r="AC26" s="47"/>
      <c r="AD26" s="47"/>
      <c r="AE26" s="47"/>
      <c r="AF26" s="47"/>
      <c r="AG26" s="44"/>
      <c r="AH26" s="44"/>
      <c r="AI26" s="44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4"/>
      <c r="BB26" s="44"/>
      <c r="BC26" s="44"/>
      <c r="BD26" s="44"/>
      <c r="BE26" s="44"/>
      <c r="BF26" s="48"/>
      <c r="BG26" s="44"/>
      <c r="BH26" s="43">
        <v>7500</v>
      </c>
      <c r="BI26" s="44"/>
      <c r="BJ26" s="44"/>
      <c r="BK26" s="44"/>
      <c r="BL26" s="44"/>
      <c r="BM26" s="44"/>
      <c r="BN26" s="44"/>
      <c r="BO26" s="44"/>
      <c r="BP26" s="44"/>
      <c r="BQ26" s="44"/>
      <c r="BR26" s="49"/>
      <c r="BS26" s="44"/>
      <c r="BT26" s="44"/>
      <c r="BU26" s="44"/>
      <c r="BV26" s="43">
        <v>7500</v>
      </c>
      <c r="BW26" s="47"/>
      <c r="BX26" s="44"/>
      <c r="BY26" s="44"/>
      <c r="BZ26" s="44"/>
      <c r="CA26" s="44"/>
      <c r="CB26" s="44"/>
      <c r="CC26" s="44"/>
      <c r="CD26" s="44"/>
      <c r="CE26" s="44"/>
      <c r="CF26" s="44"/>
      <c r="CG26" s="44"/>
      <c r="CH26" s="44"/>
      <c r="CI26" s="44"/>
      <c r="CJ26" s="47"/>
      <c r="CK26" s="44"/>
      <c r="CL26" s="44"/>
      <c r="CM26" s="44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44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4"/>
      <c r="DY26" s="44"/>
      <c r="DZ26" s="47"/>
      <c r="EA26" s="47"/>
      <c r="EB26" s="47"/>
    </row>
    <row r="27" spans="3:132" s="32" customFormat="1">
      <c r="C27" s="33">
        <v>44209</v>
      </c>
      <c r="D27" s="34" t="s">
        <v>759</v>
      </c>
      <c r="E27" s="286" t="s">
        <v>11</v>
      </c>
      <c r="F27" s="36">
        <v>0.48749999999999999</v>
      </c>
      <c r="G27" s="36">
        <v>0.49236111111111108</v>
      </c>
      <c r="H27" s="37" t="s">
        <v>0</v>
      </c>
      <c r="I27" s="38">
        <v>1</v>
      </c>
      <c r="J27" s="39">
        <v>714</v>
      </c>
      <c r="K27" s="51" t="str">
        <f>VLOOKUP(J27,'[2]Chart of accounts'!A:H,2,FALSE)</f>
        <v>50102030 01</v>
      </c>
      <c r="L27" s="39"/>
      <c r="M27" s="39"/>
      <c r="N27" s="34"/>
      <c r="O27" s="34"/>
      <c r="P27" s="34"/>
      <c r="Q27" s="53" t="s">
        <v>1</v>
      </c>
      <c r="R27" s="53" t="s">
        <v>1</v>
      </c>
      <c r="S27" s="57" t="s">
        <v>2</v>
      </c>
      <c r="T27" s="42" t="s">
        <v>804</v>
      </c>
      <c r="U27" s="42" t="s">
        <v>760</v>
      </c>
      <c r="V27" s="43">
        <v>7500</v>
      </c>
      <c r="W27" s="52"/>
      <c r="X27" s="43">
        <v>7500</v>
      </c>
      <c r="Y27" s="44"/>
      <c r="Z27" s="59"/>
      <c r="AA27" s="46"/>
      <c r="AB27" s="47"/>
      <c r="AC27" s="47"/>
      <c r="AD27" s="47"/>
      <c r="AE27" s="47"/>
      <c r="AF27" s="47"/>
      <c r="AG27" s="44"/>
      <c r="AH27" s="44"/>
      <c r="AI27" s="44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4"/>
      <c r="BB27" s="44"/>
      <c r="BC27" s="44"/>
      <c r="BD27" s="44"/>
      <c r="BE27" s="44"/>
      <c r="BF27" s="48"/>
      <c r="BG27" s="44"/>
      <c r="BI27" s="43">
        <v>7500</v>
      </c>
      <c r="BJ27" s="44"/>
      <c r="BK27" s="44"/>
      <c r="BL27" s="44"/>
      <c r="BM27" s="44"/>
      <c r="BN27" s="44"/>
      <c r="BO27" s="44"/>
      <c r="BP27" s="44"/>
      <c r="BQ27" s="44"/>
      <c r="BR27" s="49"/>
      <c r="BS27" s="44"/>
      <c r="BT27" s="44"/>
      <c r="BU27" s="44"/>
      <c r="BV27" s="43">
        <v>7500</v>
      </c>
      <c r="BW27" s="47"/>
      <c r="BX27" s="44"/>
      <c r="BY27" s="44"/>
      <c r="BZ27" s="44"/>
      <c r="CA27" s="44"/>
      <c r="CB27" s="44"/>
      <c r="CC27" s="44"/>
      <c r="CD27" s="44"/>
      <c r="CE27" s="44"/>
      <c r="CF27" s="44"/>
      <c r="CG27" s="44"/>
      <c r="CH27" s="44"/>
      <c r="CI27" s="44"/>
      <c r="CJ27" s="47"/>
      <c r="CK27" s="44"/>
      <c r="CL27" s="44"/>
      <c r="CM27" s="44"/>
      <c r="CN27" s="44"/>
      <c r="CO27" s="44"/>
      <c r="CP27" s="44"/>
      <c r="CQ27" s="44"/>
      <c r="CR27" s="44"/>
      <c r="CS27" s="44"/>
      <c r="CT27" s="44"/>
      <c r="CU27" s="44"/>
      <c r="CV27" s="44"/>
      <c r="CW27" s="44"/>
      <c r="CX27" s="44"/>
      <c r="CY27" s="44"/>
      <c r="CZ27" s="44"/>
      <c r="DA27" s="44"/>
      <c r="DB27" s="44"/>
      <c r="DC27" s="44"/>
      <c r="DD27" s="44"/>
      <c r="DE27" s="44"/>
      <c r="DF27" s="44"/>
      <c r="DG27" s="44"/>
      <c r="DH27" s="44"/>
      <c r="DI27" s="44"/>
      <c r="DJ27" s="44"/>
      <c r="DK27" s="44"/>
      <c r="DL27" s="44"/>
      <c r="DM27" s="44"/>
      <c r="DN27" s="44"/>
      <c r="DO27" s="44"/>
      <c r="DP27" s="44"/>
      <c r="DQ27" s="44"/>
      <c r="DR27" s="44"/>
      <c r="DS27" s="44"/>
      <c r="DT27" s="44"/>
      <c r="DU27" s="44"/>
      <c r="DV27" s="44"/>
      <c r="DW27" s="44"/>
      <c r="DX27" s="44"/>
      <c r="DY27" s="44"/>
      <c r="DZ27" s="47"/>
      <c r="EA27" s="47"/>
      <c r="EB27" s="47"/>
    </row>
    <row r="28" spans="3:132" s="32" customFormat="1">
      <c r="C28" s="33">
        <v>44209</v>
      </c>
      <c r="D28" s="34" t="s">
        <v>759</v>
      </c>
      <c r="E28" s="286" t="s">
        <v>11</v>
      </c>
      <c r="F28" s="36">
        <v>0.48749999999999999</v>
      </c>
      <c r="G28" s="36">
        <v>0.49236111111111108</v>
      </c>
      <c r="H28" s="37" t="s">
        <v>0</v>
      </c>
      <c r="I28" s="38">
        <v>1</v>
      </c>
      <c r="J28" s="39">
        <v>713</v>
      </c>
      <c r="K28" s="51" t="str">
        <f>VLOOKUP(J28,'[2]Chart of accounts'!A:H,2,FALSE)</f>
        <v>50102020 00</v>
      </c>
      <c r="L28" s="39"/>
      <c r="M28" s="39"/>
      <c r="N28" s="34"/>
      <c r="O28" s="34"/>
      <c r="P28" s="34"/>
      <c r="Q28" s="53" t="s">
        <v>1</v>
      </c>
      <c r="R28" s="53" t="s">
        <v>1</v>
      </c>
      <c r="S28" s="57" t="s">
        <v>2</v>
      </c>
      <c r="T28" s="42" t="s">
        <v>805</v>
      </c>
      <c r="U28" s="42" t="s">
        <v>760</v>
      </c>
      <c r="V28" s="43">
        <v>5000</v>
      </c>
      <c r="W28" s="52"/>
      <c r="X28" s="43">
        <v>5000</v>
      </c>
      <c r="Y28" s="44"/>
      <c r="Z28" s="59"/>
      <c r="AA28" s="46"/>
      <c r="AB28" s="47"/>
      <c r="AC28" s="47"/>
      <c r="AD28" s="47"/>
      <c r="AE28" s="47"/>
      <c r="AF28" s="47"/>
      <c r="AG28" s="44"/>
      <c r="AH28" s="44"/>
      <c r="AI28" s="44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4"/>
      <c r="BB28" s="44"/>
      <c r="BC28" s="44"/>
      <c r="BD28" s="44"/>
      <c r="BE28" s="44"/>
      <c r="BF28" s="48"/>
      <c r="BG28" s="44"/>
      <c r="BH28" s="43">
        <v>5000</v>
      </c>
      <c r="BI28" s="44"/>
      <c r="BJ28" s="44"/>
      <c r="BK28" s="44"/>
      <c r="BL28" s="44"/>
      <c r="BM28" s="44"/>
      <c r="BN28" s="44"/>
      <c r="BO28" s="44"/>
      <c r="BP28" s="44"/>
      <c r="BQ28" s="44"/>
      <c r="BR28" s="49"/>
      <c r="BS28" s="44"/>
      <c r="BT28" s="44"/>
      <c r="BU28" s="44"/>
      <c r="BV28" s="43">
        <v>5000</v>
      </c>
      <c r="BW28" s="47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4"/>
      <c r="CI28" s="44"/>
      <c r="CJ28" s="47"/>
      <c r="CK28" s="44"/>
      <c r="CL28" s="44"/>
      <c r="CM28" s="44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44"/>
      <c r="CY28" s="44"/>
      <c r="CZ28" s="44"/>
      <c r="DA28" s="44"/>
      <c r="DB28" s="44"/>
      <c r="DC28" s="44"/>
      <c r="DD28" s="44"/>
      <c r="DE28" s="44"/>
      <c r="DF28" s="44"/>
      <c r="DG28" s="44"/>
      <c r="DH28" s="44"/>
      <c r="DI28" s="44"/>
      <c r="DJ28" s="44"/>
      <c r="DK28" s="44"/>
      <c r="DL28" s="44"/>
      <c r="DM28" s="44"/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4"/>
      <c r="DY28" s="44"/>
      <c r="DZ28" s="47"/>
      <c r="EA28" s="47"/>
      <c r="EB28" s="47"/>
    </row>
    <row r="29" spans="3:132" s="32" customFormat="1">
      <c r="C29" s="33">
        <v>44209</v>
      </c>
      <c r="D29" s="34" t="s">
        <v>759</v>
      </c>
      <c r="E29" s="286" t="s">
        <v>11</v>
      </c>
      <c r="F29" s="36">
        <v>0.48749999999999999</v>
      </c>
      <c r="G29" s="36">
        <v>0.49236111111111108</v>
      </c>
      <c r="H29" s="37" t="s">
        <v>0</v>
      </c>
      <c r="I29" s="38">
        <v>1</v>
      </c>
      <c r="J29" s="39">
        <v>714</v>
      </c>
      <c r="K29" s="51" t="str">
        <f>VLOOKUP(J29,'[2]Chart of accounts'!A:H,2,FALSE)</f>
        <v>50102030 01</v>
      </c>
      <c r="L29" s="39"/>
      <c r="M29" s="39"/>
      <c r="N29" s="34"/>
      <c r="O29" s="34"/>
      <c r="P29" s="34"/>
      <c r="Q29" s="53" t="s">
        <v>1</v>
      </c>
      <c r="R29" s="53" t="s">
        <v>1</v>
      </c>
      <c r="S29" s="57" t="s">
        <v>2</v>
      </c>
      <c r="T29" s="42" t="s">
        <v>805</v>
      </c>
      <c r="U29" s="42" t="s">
        <v>760</v>
      </c>
      <c r="V29" s="43">
        <v>5000</v>
      </c>
      <c r="W29" s="52"/>
      <c r="X29" s="43">
        <v>5000</v>
      </c>
      <c r="Y29" s="44"/>
      <c r="Z29" s="59"/>
      <c r="AA29" s="46"/>
      <c r="AB29" s="47"/>
      <c r="AC29" s="47"/>
      <c r="AD29" s="47"/>
      <c r="AE29" s="47"/>
      <c r="AF29" s="47"/>
      <c r="AG29" s="44"/>
      <c r="AH29" s="44"/>
      <c r="AI29" s="44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4"/>
      <c r="BB29" s="44"/>
      <c r="BC29" s="44"/>
      <c r="BD29" s="44"/>
      <c r="BE29" s="44"/>
      <c r="BF29" s="48"/>
      <c r="BG29" s="44"/>
      <c r="BI29" s="43">
        <v>5000</v>
      </c>
      <c r="BJ29" s="44"/>
      <c r="BK29" s="44"/>
      <c r="BL29" s="44"/>
      <c r="BM29" s="44"/>
      <c r="BN29" s="44"/>
      <c r="BO29" s="44"/>
      <c r="BP29" s="44"/>
      <c r="BQ29" s="44"/>
      <c r="BR29" s="49"/>
      <c r="BS29" s="44"/>
      <c r="BT29" s="44"/>
      <c r="BU29" s="44"/>
      <c r="BV29" s="43">
        <v>5000</v>
      </c>
      <c r="BW29" s="47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7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  <c r="CZ29" s="44"/>
      <c r="DA29" s="44"/>
      <c r="DB29" s="44"/>
      <c r="DC29" s="44"/>
      <c r="DD29" s="44"/>
      <c r="DE29" s="44"/>
      <c r="DF29" s="44"/>
      <c r="DG29" s="44"/>
      <c r="DH29" s="44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4"/>
      <c r="DY29" s="44"/>
      <c r="DZ29" s="47"/>
      <c r="EA29" s="47"/>
      <c r="EB29" s="47"/>
    </row>
    <row r="30" spans="3:132" s="32" customFormat="1">
      <c r="C30" s="33">
        <v>44209</v>
      </c>
      <c r="D30" s="34" t="s">
        <v>759</v>
      </c>
      <c r="E30" s="286" t="s">
        <v>11</v>
      </c>
      <c r="F30" s="36">
        <v>0.48749999999999999</v>
      </c>
      <c r="G30" s="36">
        <v>0.49236111111111108</v>
      </c>
      <c r="H30" s="37" t="s">
        <v>0</v>
      </c>
      <c r="I30" s="38">
        <v>1</v>
      </c>
      <c r="J30" s="39">
        <v>713</v>
      </c>
      <c r="K30" s="51" t="str">
        <f>VLOOKUP(J30,'[2]Chart of accounts'!A:H,2,FALSE)</f>
        <v>50102020 00</v>
      </c>
      <c r="L30" s="39"/>
      <c r="M30" s="39"/>
      <c r="N30" s="34"/>
      <c r="O30" s="34"/>
      <c r="P30" s="34"/>
      <c r="Q30" s="53" t="s">
        <v>1</v>
      </c>
      <c r="R30" s="53" t="s">
        <v>1</v>
      </c>
      <c r="S30" s="57" t="s">
        <v>2</v>
      </c>
      <c r="T30" s="42" t="s">
        <v>806</v>
      </c>
      <c r="U30" s="42" t="s">
        <v>760</v>
      </c>
      <c r="V30" s="43">
        <v>7500</v>
      </c>
      <c r="W30" s="52"/>
      <c r="X30" s="43">
        <v>7500</v>
      </c>
      <c r="Y30" s="44"/>
      <c r="Z30" s="59"/>
      <c r="AA30" s="46"/>
      <c r="AB30" s="47"/>
      <c r="AC30" s="47"/>
      <c r="AD30" s="47"/>
      <c r="AE30" s="47"/>
      <c r="AF30" s="47"/>
      <c r="AG30" s="44"/>
      <c r="AH30" s="44"/>
      <c r="AI30" s="44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4"/>
      <c r="BB30" s="44"/>
      <c r="BC30" s="44"/>
      <c r="BD30" s="44"/>
      <c r="BE30" s="44"/>
      <c r="BF30" s="48"/>
      <c r="BG30" s="44"/>
      <c r="BH30" s="43">
        <v>7500</v>
      </c>
      <c r="BI30" s="44"/>
      <c r="BJ30" s="44"/>
      <c r="BK30" s="44"/>
      <c r="BL30" s="44"/>
      <c r="BM30" s="44"/>
      <c r="BN30" s="44"/>
      <c r="BO30" s="44"/>
      <c r="BP30" s="44"/>
      <c r="BQ30" s="44"/>
      <c r="BR30" s="49"/>
      <c r="BS30" s="44"/>
      <c r="BT30" s="44"/>
      <c r="BU30" s="44"/>
      <c r="BV30" s="43">
        <v>7500</v>
      </c>
      <c r="BW30" s="47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7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44"/>
      <c r="CY30" s="44"/>
      <c r="CZ30" s="44"/>
      <c r="DA30" s="44"/>
      <c r="DB30" s="44"/>
      <c r="DC30" s="44"/>
      <c r="DD30" s="44"/>
      <c r="DE30" s="44"/>
      <c r="DF30" s="44"/>
      <c r="DG30" s="4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4"/>
      <c r="DY30" s="44"/>
      <c r="DZ30" s="47"/>
      <c r="EA30" s="47"/>
      <c r="EB30" s="47"/>
    </row>
    <row r="31" spans="3:132" s="32" customFormat="1">
      <c r="C31" s="33">
        <v>44209</v>
      </c>
      <c r="D31" s="34" t="s">
        <v>759</v>
      </c>
      <c r="E31" s="286" t="s">
        <v>11</v>
      </c>
      <c r="F31" s="36">
        <v>0.48749999999999999</v>
      </c>
      <c r="G31" s="36">
        <v>0.49236111111111108</v>
      </c>
      <c r="H31" s="37" t="s">
        <v>0</v>
      </c>
      <c r="I31" s="38">
        <v>1</v>
      </c>
      <c r="J31" s="39">
        <v>714</v>
      </c>
      <c r="K31" s="51" t="str">
        <f>VLOOKUP(J31,'[2]Chart of accounts'!A:H,2,FALSE)</f>
        <v>50102030 01</v>
      </c>
      <c r="L31" s="39"/>
      <c r="M31" s="39"/>
      <c r="N31" s="34"/>
      <c r="O31" s="34"/>
      <c r="P31" s="34"/>
      <c r="Q31" s="53" t="s">
        <v>1</v>
      </c>
      <c r="R31" s="53" t="s">
        <v>1</v>
      </c>
      <c r="S31" s="57" t="s">
        <v>2</v>
      </c>
      <c r="T31" s="42" t="s">
        <v>806</v>
      </c>
      <c r="U31" s="42" t="s">
        <v>760</v>
      </c>
      <c r="V31" s="43">
        <v>7500</v>
      </c>
      <c r="W31" s="52"/>
      <c r="X31" s="43">
        <v>7500</v>
      </c>
      <c r="Y31" s="44"/>
      <c r="Z31" s="59"/>
      <c r="AA31" s="46"/>
      <c r="AB31" s="47"/>
      <c r="AC31" s="47"/>
      <c r="AD31" s="47"/>
      <c r="AE31" s="47"/>
      <c r="AF31" s="47"/>
      <c r="AG31" s="44"/>
      <c r="AH31" s="44"/>
      <c r="AI31" s="44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4"/>
      <c r="BB31" s="44"/>
      <c r="BC31" s="44"/>
      <c r="BD31" s="44"/>
      <c r="BE31" s="44"/>
      <c r="BF31" s="48"/>
      <c r="BG31" s="44"/>
      <c r="BI31" s="43">
        <v>7500</v>
      </c>
      <c r="BJ31" s="44"/>
      <c r="BK31" s="44"/>
      <c r="BL31" s="44"/>
      <c r="BM31" s="44"/>
      <c r="BN31" s="44"/>
      <c r="BO31" s="44"/>
      <c r="BP31" s="44"/>
      <c r="BQ31" s="44"/>
      <c r="BR31" s="49"/>
      <c r="BS31" s="44"/>
      <c r="BT31" s="44"/>
      <c r="BU31" s="44"/>
      <c r="BV31" s="43">
        <v>7500</v>
      </c>
      <c r="BW31" s="47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4"/>
      <c r="CI31" s="44"/>
      <c r="CJ31" s="47"/>
      <c r="CK31" s="44"/>
      <c r="CL31" s="44"/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4"/>
      <c r="DY31" s="44"/>
      <c r="DZ31" s="47"/>
      <c r="EA31" s="47"/>
      <c r="EB31" s="47"/>
    </row>
    <row r="32" spans="3:132" s="32" customFormat="1">
      <c r="C32" s="33">
        <v>44209</v>
      </c>
      <c r="D32" s="34" t="s">
        <v>759</v>
      </c>
      <c r="E32" s="286" t="s">
        <v>8</v>
      </c>
      <c r="F32" s="36">
        <v>0.49236111111111108</v>
      </c>
      <c r="G32" s="36">
        <v>0.49305555555555558</v>
      </c>
      <c r="H32" s="37" t="s">
        <v>0</v>
      </c>
      <c r="I32" s="38">
        <v>1</v>
      </c>
      <c r="J32" s="39">
        <v>883</v>
      </c>
      <c r="K32" s="51" t="str">
        <f>VLOOKUP(J32,'[2]Chart of accounts'!A:H,2,FALSE)</f>
        <v>50210030 00</v>
      </c>
      <c r="L32" s="39"/>
      <c r="M32" s="39"/>
      <c r="N32" s="34"/>
      <c r="O32" s="34"/>
      <c r="P32" s="34"/>
      <c r="Q32" s="53" t="s">
        <v>3</v>
      </c>
      <c r="R32" s="53" t="s">
        <v>3</v>
      </c>
      <c r="S32" s="54" t="s">
        <v>2</v>
      </c>
      <c r="T32" s="42" t="s">
        <v>6</v>
      </c>
      <c r="U32" s="42" t="s">
        <v>761</v>
      </c>
      <c r="V32" s="43">
        <v>10000</v>
      </c>
      <c r="W32" s="52"/>
      <c r="X32" s="43"/>
      <c r="Y32" s="44">
        <f t="shared" ref="Y32:Y38" si="0">+V32-X32</f>
        <v>10000</v>
      </c>
      <c r="Z32" s="59"/>
      <c r="AA32" s="46"/>
      <c r="AB32" s="47"/>
      <c r="AC32" s="47"/>
      <c r="AD32" s="47"/>
      <c r="AE32" s="47"/>
      <c r="AF32" s="47"/>
      <c r="AG32" s="44"/>
      <c r="AH32" s="44"/>
      <c r="AI32" s="44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4"/>
      <c r="BB32" s="44"/>
      <c r="BC32" s="44"/>
      <c r="BD32" s="44"/>
      <c r="BE32" s="44"/>
      <c r="BF32" s="48"/>
      <c r="BG32" s="44"/>
      <c r="BH32" s="43"/>
      <c r="BI32" s="44"/>
      <c r="BJ32" s="44"/>
      <c r="BK32" s="44"/>
      <c r="BL32" s="44"/>
      <c r="BM32" s="44"/>
      <c r="BN32" s="44"/>
      <c r="BO32" s="44"/>
      <c r="BP32" s="44"/>
      <c r="BQ32" s="44"/>
      <c r="BR32" s="49"/>
      <c r="BS32" s="44"/>
      <c r="BT32" s="44"/>
      <c r="BU32" s="44"/>
      <c r="BV32" s="43">
        <v>10000</v>
      </c>
      <c r="BW32" s="47"/>
      <c r="BX32" s="44"/>
      <c r="BY32" s="44"/>
      <c r="BZ32" s="44"/>
      <c r="CA32" s="44"/>
      <c r="CB32" s="44"/>
      <c r="CC32" s="44"/>
      <c r="CD32" s="44"/>
      <c r="CE32" s="44"/>
      <c r="CF32" s="44"/>
      <c r="CG32" s="44"/>
      <c r="CH32" s="44"/>
      <c r="CI32" s="44"/>
      <c r="CJ32" s="47"/>
      <c r="CK32" s="44"/>
      <c r="CL32" s="44"/>
      <c r="CM32" s="44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44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44"/>
      <c r="DJ32" s="44"/>
      <c r="DK32" s="44"/>
      <c r="DL32" s="44"/>
      <c r="DM32" s="44"/>
      <c r="DN32" s="44"/>
      <c r="DO32" s="44"/>
      <c r="DP32" s="44"/>
      <c r="DQ32" s="43">
        <v>10000</v>
      </c>
      <c r="DR32" s="44"/>
      <c r="DS32" s="44"/>
      <c r="DT32" s="44"/>
      <c r="DU32" s="44"/>
      <c r="DV32" s="44"/>
      <c r="DW32" s="44"/>
      <c r="DX32" s="44"/>
      <c r="DY32" s="44"/>
      <c r="DZ32" s="47"/>
      <c r="EA32" s="47"/>
      <c r="EB32" s="47"/>
    </row>
    <row r="33" spans="3:132" s="32" customFormat="1" ht="27.6">
      <c r="C33" s="33">
        <v>44210</v>
      </c>
      <c r="D33" s="34" t="s">
        <v>759</v>
      </c>
      <c r="E33" s="286" t="s">
        <v>4</v>
      </c>
      <c r="F33" s="36">
        <v>0.57777777777777783</v>
      </c>
      <c r="G33" s="36">
        <v>0.58680555555555558</v>
      </c>
      <c r="H33" s="37" t="s">
        <v>0</v>
      </c>
      <c r="I33" s="38">
        <v>1</v>
      </c>
      <c r="J33" s="39">
        <v>701</v>
      </c>
      <c r="K33" s="51" t="str">
        <f>VLOOKUP(J33,'[2]Chart of accounts'!A:H,2,FALSE)</f>
        <v>50101010 01</v>
      </c>
      <c r="L33" s="39"/>
      <c r="M33" s="39"/>
      <c r="N33" s="34"/>
      <c r="O33" s="34"/>
      <c r="P33" s="34"/>
      <c r="Q33" s="53" t="s">
        <v>1</v>
      </c>
      <c r="R33" s="53" t="s">
        <v>1</v>
      </c>
      <c r="S33" s="54" t="s">
        <v>2</v>
      </c>
      <c r="T33" s="42" t="s">
        <v>10</v>
      </c>
      <c r="U33" s="42" t="s">
        <v>762</v>
      </c>
      <c r="V33" s="43">
        <v>1634515</v>
      </c>
      <c r="W33" s="52"/>
      <c r="X33" s="43">
        <v>1634515</v>
      </c>
      <c r="Y33" s="44">
        <f t="shared" si="0"/>
        <v>0</v>
      </c>
      <c r="Z33" s="59"/>
      <c r="AA33" s="46"/>
      <c r="AB33" s="47"/>
      <c r="AC33" s="47"/>
      <c r="AD33" s="47"/>
      <c r="AE33" s="47"/>
      <c r="AF33" s="47"/>
      <c r="AG33" s="44"/>
      <c r="AH33" s="44"/>
      <c r="AI33" s="44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4"/>
      <c r="BB33" s="44"/>
      <c r="BC33" s="44"/>
      <c r="BD33" s="44"/>
      <c r="BE33" s="43">
        <v>1634515</v>
      </c>
      <c r="BF33" s="48"/>
      <c r="BG33" s="44"/>
      <c r="BI33" s="43"/>
      <c r="BJ33" s="44"/>
      <c r="BK33" s="44"/>
      <c r="BL33" s="44"/>
      <c r="BM33" s="44"/>
      <c r="BN33" s="44"/>
      <c r="BO33" s="44"/>
      <c r="BP33" s="44"/>
      <c r="BQ33" s="44"/>
      <c r="BR33" s="49"/>
      <c r="BS33" s="44"/>
      <c r="BT33" s="44"/>
      <c r="BU33" s="44"/>
      <c r="BV33" s="43">
        <v>1634515</v>
      </c>
      <c r="BW33" s="47"/>
      <c r="BX33" s="44"/>
      <c r="BY33" s="44"/>
      <c r="BZ33" s="44"/>
      <c r="CA33" s="44"/>
      <c r="CB33" s="44"/>
      <c r="CC33" s="44"/>
      <c r="CD33" s="44"/>
      <c r="CE33" s="44"/>
      <c r="CF33" s="44"/>
      <c r="CG33" s="44"/>
      <c r="CH33" s="44"/>
      <c r="CI33" s="44"/>
      <c r="CJ33" s="47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/>
      <c r="CW33" s="44"/>
      <c r="CX33" s="44"/>
      <c r="CY33" s="44"/>
      <c r="CZ33" s="44"/>
      <c r="DA33" s="44"/>
      <c r="DB33" s="44"/>
      <c r="DC33" s="44"/>
      <c r="DD33" s="44"/>
      <c r="DE33" s="44"/>
      <c r="DF33" s="44"/>
      <c r="DG33" s="4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44"/>
      <c r="DY33" s="44"/>
      <c r="DZ33" s="47"/>
      <c r="EA33" s="47"/>
      <c r="EB33" s="47"/>
    </row>
    <row r="34" spans="3:132" s="32" customFormat="1" ht="27.6">
      <c r="C34" s="33">
        <v>44210</v>
      </c>
      <c r="D34" s="34" t="s">
        <v>759</v>
      </c>
      <c r="E34" s="286" t="s">
        <v>4</v>
      </c>
      <c r="F34" s="36">
        <v>0.57777777777777783</v>
      </c>
      <c r="G34" s="36">
        <v>0.58680555555555558</v>
      </c>
      <c r="H34" s="37" t="s">
        <v>0</v>
      </c>
      <c r="I34" s="38">
        <v>1</v>
      </c>
      <c r="J34" s="39">
        <v>711</v>
      </c>
      <c r="K34" s="51" t="str">
        <f>VLOOKUP(J34,'[2]Chart of accounts'!A:H,2,FALSE)</f>
        <v>50102010 01</v>
      </c>
      <c r="L34" s="39"/>
      <c r="M34" s="39"/>
      <c r="N34" s="34"/>
      <c r="O34" s="34"/>
      <c r="P34" s="34"/>
      <c r="Q34" s="53" t="s">
        <v>1</v>
      </c>
      <c r="R34" s="53" t="s">
        <v>1</v>
      </c>
      <c r="S34" s="54" t="s">
        <v>2</v>
      </c>
      <c r="T34" s="42" t="s">
        <v>10</v>
      </c>
      <c r="U34" s="42" t="s">
        <v>762</v>
      </c>
      <c r="V34" s="43">
        <v>76000</v>
      </c>
      <c r="W34" s="52"/>
      <c r="X34" s="43">
        <v>76000</v>
      </c>
      <c r="Y34" s="44">
        <f t="shared" si="0"/>
        <v>0</v>
      </c>
      <c r="Z34" s="59"/>
      <c r="AA34" s="46"/>
      <c r="AB34" s="47"/>
      <c r="AC34" s="47"/>
      <c r="AD34" s="47"/>
      <c r="AE34" s="47"/>
      <c r="AF34" s="47"/>
      <c r="AG34" s="44"/>
      <c r="AH34" s="44"/>
      <c r="AI34" s="44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4"/>
      <c r="BB34" s="44"/>
      <c r="BC34" s="44"/>
      <c r="BD34" s="44"/>
      <c r="BF34" s="48"/>
      <c r="BG34" s="43">
        <v>76000</v>
      </c>
      <c r="BH34" s="43"/>
      <c r="BI34" s="44"/>
      <c r="BJ34" s="44"/>
      <c r="BK34" s="44"/>
      <c r="BL34" s="44"/>
      <c r="BM34" s="44"/>
      <c r="BN34" s="44"/>
      <c r="BO34" s="44"/>
      <c r="BP34" s="44"/>
      <c r="BQ34" s="44"/>
      <c r="BR34" s="49"/>
      <c r="BS34" s="44"/>
      <c r="BT34" s="44"/>
      <c r="BU34" s="44"/>
      <c r="BV34" s="43">
        <v>76000</v>
      </c>
      <c r="BW34" s="47"/>
      <c r="BX34" s="44"/>
      <c r="BY34" s="44"/>
      <c r="BZ34" s="44"/>
      <c r="CA34" s="44"/>
      <c r="CB34" s="44"/>
      <c r="CC34" s="44"/>
      <c r="CD34" s="44"/>
      <c r="CE34" s="44"/>
      <c r="CF34" s="44"/>
      <c r="CG34" s="44"/>
      <c r="CH34" s="44"/>
      <c r="CI34" s="44"/>
      <c r="CJ34" s="47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4"/>
      <c r="DY34" s="44"/>
      <c r="DZ34" s="47"/>
      <c r="EA34" s="47"/>
      <c r="EB34" s="47"/>
    </row>
    <row r="35" spans="3:132" s="32" customFormat="1" ht="27.6">
      <c r="C35" s="33">
        <v>44210</v>
      </c>
      <c r="D35" s="34" t="s">
        <v>759</v>
      </c>
      <c r="E35" s="286" t="s">
        <v>4</v>
      </c>
      <c r="F35" s="36">
        <v>0.57777777777777783</v>
      </c>
      <c r="G35" s="36">
        <v>0.58680555555555558</v>
      </c>
      <c r="H35" s="37" t="s">
        <v>0</v>
      </c>
      <c r="I35" s="38">
        <v>1</v>
      </c>
      <c r="J35" s="39">
        <v>731</v>
      </c>
      <c r="K35" s="51" t="str">
        <f>VLOOKUP(J35,'[2]Chart of accounts'!A:H,2,FALSE)</f>
        <v>50103010 00</v>
      </c>
      <c r="L35" s="39"/>
      <c r="M35" s="39"/>
      <c r="N35" s="34"/>
      <c r="O35" s="34"/>
      <c r="P35" s="34"/>
      <c r="Q35" s="53" t="s">
        <v>1</v>
      </c>
      <c r="R35" s="53" t="s">
        <v>1</v>
      </c>
      <c r="S35" s="54" t="s">
        <v>2</v>
      </c>
      <c r="T35" s="42" t="s">
        <v>10</v>
      </c>
      <c r="U35" s="42" t="s">
        <v>762</v>
      </c>
      <c r="V35" s="43">
        <v>196141.8</v>
      </c>
      <c r="W35" s="52"/>
      <c r="X35" s="43">
        <v>196141.8</v>
      </c>
      <c r="Y35" s="44">
        <f t="shared" si="0"/>
        <v>0</v>
      </c>
      <c r="Z35" s="59"/>
      <c r="AA35" s="46"/>
      <c r="AB35" s="47"/>
      <c r="AC35" s="47"/>
      <c r="AD35" s="47"/>
      <c r="AE35" s="47"/>
      <c r="AF35" s="47"/>
      <c r="AG35" s="44"/>
      <c r="AH35" s="44"/>
      <c r="AI35" s="44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4"/>
      <c r="BB35" s="44"/>
      <c r="BC35" s="44"/>
      <c r="BD35" s="44"/>
      <c r="BF35" s="73"/>
      <c r="BG35" s="43"/>
      <c r="BI35" s="43"/>
      <c r="BJ35" s="44"/>
      <c r="BK35" s="44"/>
      <c r="BL35" s="44"/>
      <c r="BM35" s="44"/>
      <c r="BN35" s="44"/>
      <c r="BO35" s="43">
        <v>196141.8</v>
      </c>
      <c r="BP35" s="44"/>
      <c r="BQ35" s="44"/>
      <c r="BR35" s="49"/>
      <c r="BS35" s="44"/>
      <c r="BT35" s="44"/>
      <c r="BU35" s="44"/>
      <c r="BV35" s="43">
        <v>196141.8</v>
      </c>
      <c r="BW35" s="47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  <c r="CJ35" s="47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4"/>
      <c r="DY35" s="44"/>
      <c r="DZ35" s="47"/>
      <c r="EA35" s="47"/>
      <c r="EB35" s="47"/>
    </row>
    <row r="36" spans="3:132" s="75" customFormat="1" ht="27.6">
      <c r="C36" s="33">
        <v>44210</v>
      </c>
      <c r="D36" s="34" t="s">
        <v>759</v>
      </c>
      <c r="E36" s="286" t="s">
        <v>4</v>
      </c>
      <c r="F36" s="36">
        <v>0.57777777777777783</v>
      </c>
      <c r="G36" s="36">
        <v>0.58680555555555558</v>
      </c>
      <c r="H36" s="37" t="s">
        <v>0</v>
      </c>
      <c r="I36" s="38">
        <v>1</v>
      </c>
      <c r="J36" s="39">
        <v>732</v>
      </c>
      <c r="K36" s="51" t="str">
        <f>VLOOKUP(J36,'[2]Chart of accounts'!A:H,2,FALSE)</f>
        <v>50103020 01</v>
      </c>
      <c r="L36" s="55"/>
      <c r="M36" s="55"/>
      <c r="N36" s="56"/>
      <c r="O36" s="56"/>
      <c r="P36" s="56"/>
      <c r="Q36" s="53" t="s">
        <v>1</v>
      </c>
      <c r="R36" s="53" t="s">
        <v>1</v>
      </c>
      <c r="S36" s="54" t="s">
        <v>2</v>
      </c>
      <c r="T36" s="42" t="s">
        <v>10</v>
      </c>
      <c r="U36" s="42" t="s">
        <v>762</v>
      </c>
      <c r="V36" s="58">
        <v>3800</v>
      </c>
      <c r="W36" s="67"/>
      <c r="X36" s="58">
        <v>3800</v>
      </c>
      <c r="Y36" s="44">
        <f t="shared" si="0"/>
        <v>0</v>
      </c>
      <c r="Z36" s="69"/>
      <c r="AA36" s="70"/>
      <c r="AB36" s="71"/>
      <c r="AC36" s="71"/>
      <c r="AD36" s="71"/>
      <c r="AE36" s="71"/>
      <c r="AF36" s="71"/>
      <c r="AG36" s="43"/>
      <c r="AH36" s="43"/>
      <c r="AI36" s="43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43"/>
      <c r="BB36" s="43"/>
      <c r="BC36" s="43"/>
      <c r="BD36" s="43"/>
      <c r="BF36" s="73"/>
      <c r="BG36" s="43"/>
      <c r="BH36" s="43"/>
      <c r="BI36" s="43"/>
      <c r="BJ36" s="43"/>
      <c r="BK36" s="43"/>
      <c r="BL36" s="43"/>
      <c r="BM36" s="43"/>
      <c r="BN36" s="43"/>
      <c r="BP36" s="58">
        <v>3800</v>
      </c>
      <c r="BQ36" s="43"/>
      <c r="BR36" s="74"/>
      <c r="BS36" s="43"/>
      <c r="BT36" s="43"/>
      <c r="BU36" s="43"/>
      <c r="BV36" s="58">
        <v>3800</v>
      </c>
      <c r="BW36" s="71"/>
      <c r="BX36" s="43"/>
      <c r="BY36" s="43"/>
      <c r="BZ36" s="43"/>
      <c r="CA36" s="43"/>
      <c r="CB36" s="43"/>
      <c r="CC36" s="43"/>
      <c r="CD36" s="43">
        <f t="shared" ref="CD36:CD43" si="1">SUM(CF36:EB36)-Y36</f>
        <v>0</v>
      </c>
      <c r="CE36" s="43"/>
      <c r="CF36" s="58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71"/>
      <c r="EA36" s="71"/>
      <c r="EB36" s="71"/>
    </row>
    <row r="37" spans="3:132" s="75" customFormat="1" ht="27.6">
      <c r="C37" s="33">
        <v>44210</v>
      </c>
      <c r="D37" s="34" t="s">
        <v>759</v>
      </c>
      <c r="E37" s="286" t="s">
        <v>4</v>
      </c>
      <c r="F37" s="36">
        <v>0.57777777777777783</v>
      </c>
      <c r="G37" s="36">
        <v>0.58680555555555558</v>
      </c>
      <c r="H37" s="37" t="s">
        <v>0</v>
      </c>
      <c r="I37" s="38">
        <v>1</v>
      </c>
      <c r="J37" s="55">
        <v>733</v>
      </c>
      <c r="K37" s="51" t="str">
        <f>VLOOKUP(J37,'[2]Chart of accounts'!A:H,2,FALSE)</f>
        <v>50103030 01</v>
      </c>
      <c r="L37" s="55"/>
      <c r="M37" s="55"/>
      <c r="N37" s="56"/>
      <c r="O37" s="56"/>
      <c r="P37" s="56"/>
      <c r="Q37" s="53" t="s">
        <v>1</v>
      </c>
      <c r="R37" s="53" t="s">
        <v>1</v>
      </c>
      <c r="S37" s="54" t="s">
        <v>2</v>
      </c>
      <c r="T37" s="42" t="s">
        <v>10</v>
      </c>
      <c r="U37" s="42" t="s">
        <v>762</v>
      </c>
      <c r="V37" s="43">
        <v>21044.43</v>
      </c>
      <c r="W37" s="67"/>
      <c r="X37" s="43">
        <v>21044.43</v>
      </c>
      <c r="Y37" s="44">
        <f t="shared" si="0"/>
        <v>0</v>
      </c>
      <c r="Z37" s="69"/>
      <c r="AA37" s="70"/>
      <c r="AB37" s="71"/>
      <c r="AC37" s="71"/>
      <c r="AD37" s="71"/>
      <c r="AE37" s="71"/>
      <c r="AF37" s="71"/>
      <c r="AG37" s="43"/>
      <c r="AH37" s="43"/>
      <c r="AI37" s="43"/>
      <c r="AJ37" s="71"/>
      <c r="AK37" s="71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43"/>
      <c r="BB37" s="43"/>
      <c r="BC37" s="43"/>
      <c r="BD37" s="43"/>
      <c r="BF37" s="73"/>
      <c r="BG37" s="43"/>
      <c r="BH37" s="43"/>
      <c r="BI37" s="43"/>
      <c r="BJ37" s="43"/>
      <c r="BK37" s="43"/>
      <c r="BL37" s="43"/>
      <c r="BM37" s="43"/>
      <c r="BN37" s="43"/>
      <c r="BO37" s="72"/>
      <c r="BP37" s="72"/>
      <c r="BQ37" s="43">
        <v>21044.43</v>
      </c>
      <c r="BR37" s="43"/>
      <c r="BS37" s="43"/>
      <c r="BT37" s="43"/>
      <c r="BU37" s="43"/>
      <c r="BV37" s="43">
        <v>21044.43</v>
      </c>
      <c r="BW37" s="71"/>
      <c r="BX37" s="43"/>
      <c r="BY37" s="43"/>
      <c r="BZ37" s="43"/>
      <c r="CA37" s="43"/>
      <c r="CB37" s="43"/>
      <c r="CC37" s="43"/>
      <c r="CD37" s="43">
        <f t="shared" si="1"/>
        <v>0</v>
      </c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71"/>
      <c r="EA37" s="71"/>
      <c r="EB37" s="71"/>
    </row>
    <row r="38" spans="3:132" s="75" customFormat="1" ht="27.6">
      <c r="C38" s="33">
        <v>44210</v>
      </c>
      <c r="D38" s="34" t="s">
        <v>759</v>
      </c>
      <c r="E38" s="286" t="s">
        <v>4</v>
      </c>
      <c r="F38" s="36">
        <v>0.57777777777777783</v>
      </c>
      <c r="G38" s="36">
        <v>0.58680555555555558</v>
      </c>
      <c r="H38" s="37" t="s">
        <v>0</v>
      </c>
      <c r="I38" s="38">
        <v>1</v>
      </c>
      <c r="J38" s="55">
        <v>734</v>
      </c>
      <c r="K38" s="51" t="str">
        <f>VLOOKUP(J38,'[2]Chart of accounts'!A:H,2,FALSE)</f>
        <v>50103040 01</v>
      </c>
      <c r="L38" s="55"/>
      <c r="M38" s="55"/>
      <c r="N38" s="56"/>
      <c r="O38" s="56"/>
      <c r="P38" s="56"/>
      <c r="Q38" s="53" t="s">
        <v>1</v>
      </c>
      <c r="R38" s="53" t="s">
        <v>1</v>
      </c>
      <c r="S38" s="54" t="s">
        <v>2</v>
      </c>
      <c r="T38" s="42" t="s">
        <v>10</v>
      </c>
      <c r="U38" s="42" t="s">
        <v>762</v>
      </c>
      <c r="V38" s="43">
        <v>3800</v>
      </c>
      <c r="W38" s="67"/>
      <c r="X38" s="43">
        <v>3800</v>
      </c>
      <c r="Y38" s="44">
        <f t="shared" si="0"/>
        <v>0</v>
      </c>
      <c r="Z38" s="69"/>
      <c r="AA38" s="70"/>
      <c r="AB38" s="71"/>
      <c r="AC38" s="71"/>
      <c r="AD38" s="71"/>
      <c r="AE38" s="71"/>
      <c r="AF38" s="71"/>
      <c r="AG38" s="43"/>
      <c r="AH38" s="43"/>
      <c r="AI38" s="43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43"/>
      <c r="BB38" s="43"/>
      <c r="BC38" s="43"/>
      <c r="BD38" s="43"/>
      <c r="BF38" s="73"/>
      <c r="BG38" s="43"/>
      <c r="BH38" s="43"/>
      <c r="BI38" s="43"/>
      <c r="BJ38" s="43"/>
      <c r="BK38" s="43"/>
      <c r="BL38" s="43"/>
      <c r="BM38" s="43"/>
      <c r="BN38" s="43"/>
      <c r="BO38" s="72"/>
      <c r="BP38" s="72"/>
      <c r="BQ38" s="72"/>
      <c r="BR38" s="43">
        <v>3800</v>
      </c>
      <c r="BS38" s="43"/>
      <c r="BT38" s="43"/>
      <c r="BU38" s="43"/>
      <c r="BV38" s="43">
        <v>3800</v>
      </c>
      <c r="BW38" s="71"/>
      <c r="BX38" s="43"/>
      <c r="BY38" s="43"/>
      <c r="BZ38" s="43"/>
      <c r="CA38" s="43"/>
      <c r="CB38" s="43"/>
      <c r="CC38" s="43"/>
      <c r="CD38" s="43">
        <f t="shared" si="1"/>
        <v>0</v>
      </c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71"/>
      <c r="EA38" s="71"/>
      <c r="EB38" s="71"/>
    </row>
    <row r="39" spans="3:132" s="75" customFormat="1" ht="27.6">
      <c r="C39" s="76">
        <v>44211</v>
      </c>
      <c r="D39" s="34" t="s">
        <v>759</v>
      </c>
      <c r="E39" s="286" t="s">
        <v>763</v>
      </c>
      <c r="F39" s="61">
        <v>0.59097222222222223</v>
      </c>
      <c r="G39" s="61">
        <v>0.59513888888888888</v>
      </c>
      <c r="H39" s="55" t="s">
        <v>0</v>
      </c>
      <c r="I39" s="38">
        <v>1</v>
      </c>
      <c r="J39" s="39">
        <v>701</v>
      </c>
      <c r="K39" s="51" t="str">
        <f>VLOOKUP(J39,'[2]Chart of accounts'!A:H,2,FALSE)</f>
        <v>50101010 01</v>
      </c>
      <c r="L39" s="39"/>
      <c r="M39" s="39"/>
      <c r="N39" s="34"/>
      <c r="O39" s="34"/>
      <c r="P39" s="34"/>
      <c r="Q39" s="53" t="s">
        <v>1</v>
      </c>
      <c r="R39" s="53" t="s">
        <v>1</v>
      </c>
      <c r="S39" s="66" t="s">
        <v>769</v>
      </c>
      <c r="T39" s="58" t="s">
        <v>764</v>
      </c>
      <c r="U39" s="42" t="s">
        <v>762</v>
      </c>
      <c r="V39" s="43">
        <v>377575</v>
      </c>
      <c r="W39" s="67"/>
      <c r="X39" s="68">
        <v>377575</v>
      </c>
      <c r="Y39" s="44">
        <f t="shared" ref="Y39:Y62" si="2">+V39-X39</f>
        <v>0</v>
      </c>
      <c r="Z39" s="69"/>
      <c r="AA39" s="70"/>
      <c r="AB39" s="71"/>
      <c r="AC39" s="71"/>
      <c r="AD39" s="71"/>
      <c r="AE39" s="71"/>
      <c r="AF39" s="71"/>
      <c r="AG39" s="43"/>
      <c r="AH39" s="43"/>
      <c r="AI39" s="43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43"/>
      <c r="BB39" s="43"/>
      <c r="BC39" s="43"/>
      <c r="BD39" s="43"/>
      <c r="BE39" s="43">
        <v>377575</v>
      </c>
      <c r="BF39" s="7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74"/>
      <c r="BS39" s="43"/>
      <c r="BT39" s="43"/>
      <c r="BU39" s="43"/>
      <c r="BV39" s="43">
        <v>377575</v>
      </c>
      <c r="BW39" s="71"/>
      <c r="BX39" s="43"/>
      <c r="BY39" s="43"/>
      <c r="BZ39" s="43"/>
      <c r="CA39" s="43"/>
      <c r="CB39" s="43"/>
      <c r="CC39" s="43"/>
      <c r="CD39" s="43">
        <f t="shared" si="1"/>
        <v>0</v>
      </c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71"/>
      <c r="EA39" s="71"/>
      <c r="EB39" s="71"/>
    </row>
    <row r="40" spans="3:132" s="32" customFormat="1" ht="27.6">
      <c r="C40" s="76">
        <v>44211</v>
      </c>
      <c r="D40" s="34" t="s">
        <v>759</v>
      </c>
      <c r="E40" s="286" t="s">
        <v>763</v>
      </c>
      <c r="F40" s="61">
        <v>0.59097222222222223</v>
      </c>
      <c r="G40" s="61">
        <v>0.59513888888888888</v>
      </c>
      <c r="H40" s="55" t="s">
        <v>0</v>
      </c>
      <c r="I40" s="38">
        <v>1</v>
      </c>
      <c r="J40" s="39">
        <v>711</v>
      </c>
      <c r="K40" s="51" t="str">
        <f>VLOOKUP(J40,'[2]Chart of accounts'!A:H,2,FALSE)</f>
        <v>50102010 01</v>
      </c>
      <c r="L40" s="39"/>
      <c r="M40" s="39"/>
      <c r="N40" s="34"/>
      <c r="O40" s="34"/>
      <c r="P40" s="34"/>
      <c r="Q40" s="53" t="s">
        <v>1</v>
      </c>
      <c r="R40" s="53" t="s">
        <v>1</v>
      </c>
      <c r="S40" s="66" t="s">
        <v>769</v>
      </c>
      <c r="T40" s="58" t="s">
        <v>764</v>
      </c>
      <c r="U40" s="42" t="s">
        <v>762</v>
      </c>
      <c r="V40" s="43">
        <v>22000</v>
      </c>
      <c r="W40" s="52"/>
      <c r="X40" s="49">
        <v>22000</v>
      </c>
      <c r="Y40" s="44">
        <f t="shared" si="2"/>
        <v>0</v>
      </c>
      <c r="Z40" s="45"/>
      <c r="AA40" s="46"/>
      <c r="AB40" s="47"/>
      <c r="AC40" s="47"/>
      <c r="AD40" s="47"/>
      <c r="AE40" s="47"/>
      <c r="AF40" s="47"/>
      <c r="AG40" s="44"/>
      <c r="AH40" s="44"/>
      <c r="AI40" s="44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4"/>
      <c r="BB40" s="44"/>
      <c r="BC40" s="44"/>
      <c r="BD40" s="44"/>
      <c r="BE40" s="43"/>
      <c r="BF40" s="48"/>
      <c r="BG40" s="43">
        <v>22000</v>
      </c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9"/>
      <c r="BS40" s="44"/>
      <c r="BT40" s="44"/>
      <c r="BU40" s="44"/>
      <c r="BV40" s="43">
        <v>22000</v>
      </c>
      <c r="BW40" s="47"/>
      <c r="BX40" s="44"/>
      <c r="BY40" s="44"/>
      <c r="BZ40" s="44"/>
      <c r="CA40" s="44"/>
      <c r="CB40" s="44"/>
      <c r="CC40" s="44"/>
      <c r="CD40" s="43">
        <f t="shared" si="1"/>
        <v>0</v>
      </c>
      <c r="CE40" s="44"/>
      <c r="CF40" s="44"/>
      <c r="CG40" s="44"/>
      <c r="CH40" s="44"/>
      <c r="CI40" s="44"/>
      <c r="CJ40" s="47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44"/>
      <c r="CY40" s="44"/>
      <c r="CZ40" s="44"/>
      <c r="DA40" s="44"/>
      <c r="DB40" s="44"/>
      <c r="DC40" s="44"/>
      <c r="DD40" s="44"/>
      <c r="DE40" s="43"/>
      <c r="DF40" s="44"/>
      <c r="DH40" s="44"/>
      <c r="DI40" s="44"/>
      <c r="DJ40" s="62"/>
      <c r="DK40" s="44"/>
      <c r="DL40" s="44"/>
      <c r="DM40" s="44"/>
      <c r="DN40" s="44"/>
      <c r="DO40" s="44"/>
      <c r="DP40" s="44"/>
      <c r="DQ40" s="44"/>
      <c r="DR40" s="44"/>
      <c r="DS40" s="44"/>
      <c r="DT40" s="44"/>
      <c r="DU40" s="44"/>
      <c r="DV40" s="44"/>
      <c r="DW40" s="44"/>
      <c r="DX40" s="44"/>
      <c r="DY40" s="44"/>
      <c r="DZ40" s="47"/>
      <c r="EA40" s="47"/>
      <c r="EB40" s="47"/>
    </row>
    <row r="41" spans="3:132" s="32" customFormat="1" ht="27.6">
      <c r="C41" s="76">
        <v>44211</v>
      </c>
      <c r="D41" s="34" t="s">
        <v>759</v>
      </c>
      <c r="E41" s="286" t="s">
        <v>763</v>
      </c>
      <c r="F41" s="61">
        <v>0.59097222222222223</v>
      </c>
      <c r="G41" s="61">
        <v>0.59513888888888888</v>
      </c>
      <c r="H41" s="55" t="s">
        <v>0</v>
      </c>
      <c r="I41" s="38">
        <v>1</v>
      </c>
      <c r="J41" s="39">
        <v>731</v>
      </c>
      <c r="K41" s="51" t="str">
        <f>VLOOKUP(J41,'[2]Chart of accounts'!A:H,2,FALSE)</f>
        <v>50103010 00</v>
      </c>
      <c r="L41" s="39"/>
      <c r="M41" s="39"/>
      <c r="N41" s="34"/>
      <c r="O41" s="34"/>
      <c r="P41" s="34"/>
      <c r="Q41" s="53" t="s">
        <v>1</v>
      </c>
      <c r="R41" s="53" t="s">
        <v>1</v>
      </c>
      <c r="S41" s="66" t="s">
        <v>769</v>
      </c>
      <c r="T41" s="58" t="s">
        <v>764</v>
      </c>
      <c r="U41" s="42" t="s">
        <v>762</v>
      </c>
      <c r="V41" s="43">
        <v>45309</v>
      </c>
      <c r="W41" s="52"/>
      <c r="X41" s="49">
        <v>45309</v>
      </c>
      <c r="Y41" s="44">
        <f t="shared" si="2"/>
        <v>0</v>
      </c>
      <c r="Z41" s="45"/>
      <c r="AA41" s="46"/>
      <c r="AB41" s="47"/>
      <c r="AC41" s="47"/>
      <c r="AD41" s="47"/>
      <c r="AE41" s="47"/>
      <c r="AF41" s="47"/>
      <c r="AG41" s="44"/>
      <c r="AH41" s="44"/>
      <c r="AI41" s="44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4"/>
      <c r="BB41" s="44"/>
      <c r="BC41" s="44"/>
      <c r="BD41" s="44"/>
      <c r="BE41" s="43"/>
      <c r="BF41" s="48"/>
      <c r="BH41" s="44"/>
      <c r="BI41" s="44"/>
      <c r="BJ41" s="44"/>
      <c r="BK41" s="44"/>
      <c r="BL41" s="44"/>
      <c r="BM41" s="44"/>
      <c r="BN41" s="44"/>
      <c r="BO41" s="43">
        <v>45309</v>
      </c>
      <c r="BP41" s="44"/>
      <c r="BQ41" s="44"/>
      <c r="BR41" s="49"/>
      <c r="BS41" s="44"/>
      <c r="BT41" s="44"/>
      <c r="BU41" s="44"/>
      <c r="BV41" s="43">
        <v>45309</v>
      </c>
      <c r="BW41" s="47"/>
      <c r="BX41" s="44"/>
      <c r="BY41" s="43"/>
      <c r="BZ41" s="44"/>
      <c r="CA41" s="44"/>
      <c r="CB41" s="44"/>
      <c r="CC41" s="44"/>
      <c r="CD41" s="43">
        <f t="shared" si="1"/>
        <v>0</v>
      </c>
      <c r="CE41" s="44"/>
      <c r="CF41" s="44"/>
      <c r="CG41" s="44"/>
      <c r="CH41" s="44"/>
      <c r="CI41" s="44"/>
      <c r="CJ41" s="47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44"/>
      <c r="DD41" s="44"/>
      <c r="DF41" s="44"/>
      <c r="DG41" s="43"/>
      <c r="DH41" s="62"/>
      <c r="DI41" s="44"/>
      <c r="DJ41" s="62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44"/>
      <c r="DY41" s="44"/>
      <c r="DZ41" s="47"/>
      <c r="EA41" s="47"/>
      <c r="EB41" s="47"/>
    </row>
    <row r="42" spans="3:132" s="32" customFormat="1" ht="27.6">
      <c r="C42" s="76">
        <v>44211</v>
      </c>
      <c r="D42" s="34" t="s">
        <v>759</v>
      </c>
      <c r="E42" s="286" t="s">
        <v>763</v>
      </c>
      <c r="F42" s="61">
        <v>0.59097222222222223</v>
      </c>
      <c r="G42" s="61">
        <v>0.59513888888888888</v>
      </c>
      <c r="H42" s="55" t="s">
        <v>0</v>
      </c>
      <c r="I42" s="38">
        <v>1</v>
      </c>
      <c r="J42" s="39">
        <v>732</v>
      </c>
      <c r="K42" s="51" t="str">
        <f>VLOOKUP(J42,'[2]Chart of accounts'!A:H,2,FALSE)</f>
        <v>50103020 01</v>
      </c>
      <c r="L42" s="55"/>
      <c r="M42" s="55"/>
      <c r="N42" s="56"/>
      <c r="O42" s="56"/>
      <c r="P42" s="56"/>
      <c r="Q42" s="53" t="s">
        <v>1</v>
      </c>
      <c r="R42" s="53" t="s">
        <v>1</v>
      </c>
      <c r="S42" s="66" t="s">
        <v>769</v>
      </c>
      <c r="T42" s="58" t="s">
        <v>764</v>
      </c>
      <c r="U42" s="42" t="s">
        <v>762</v>
      </c>
      <c r="V42" s="43">
        <v>1100</v>
      </c>
      <c r="W42" s="52"/>
      <c r="X42" s="49">
        <v>1100</v>
      </c>
      <c r="Y42" s="44">
        <f t="shared" si="2"/>
        <v>0</v>
      </c>
      <c r="Z42" s="45"/>
      <c r="AA42" s="46"/>
      <c r="AB42" s="47"/>
      <c r="AC42" s="47"/>
      <c r="AD42" s="47"/>
      <c r="AE42" s="47"/>
      <c r="AF42" s="47"/>
      <c r="AG42" s="44"/>
      <c r="AH42" s="44"/>
      <c r="AI42" s="44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4"/>
      <c r="BB42" s="44"/>
      <c r="BC42" s="44"/>
      <c r="BD42" s="44"/>
      <c r="BE42" s="43"/>
      <c r="BF42" s="48"/>
      <c r="BH42" s="44"/>
      <c r="BI42" s="44"/>
      <c r="BJ42" s="44"/>
      <c r="BK42" s="44"/>
      <c r="BL42" s="44"/>
      <c r="BM42" s="44"/>
      <c r="BN42" s="44"/>
      <c r="BP42" s="43">
        <v>1100</v>
      </c>
      <c r="BQ42" s="44"/>
      <c r="BR42" s="49"/>
      <c r="BS42" s="44"/>
      <c r="BT42" s="44"/>
      <c r="BU42" s="44"/>
      <c r="BV42" s="43">
        <v>1100</v>
      </c>
      <c r="BW42" s="47"/>
      <c r="BX42" s="44"/>
      <c r="BY42" s="43"/>
      <c r="BZ42" s="44"/>
      <c r="CA42" s="44"/>
      <c r="CB42" s="44"/>
      <c r="CC42" s="44"/>
      <c r="CD42" s="43">
        <f t="shared" si="1"/>
        <v>0</v>
      </c>
      <c r="CE42" s="44"/>
      <c r="CF42" s="44"/>
      <c r="CG42" s="44"/>
      <c r="CH42" s="44"/>
      <c r="CI42" s="44"/>
      <c r="CJ42" s="47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44"/>
      <c r="CY42" s="44"/>
      <c r="CZ42" s="44"/>
      <c r="DA42" s="44"/>
      <c r="DB42" s="44"/>
      <c r="DC42" s="44"/>
      <c r="DD42" s="44"/>
      <c r="DF42" s="44"/>
      <c r="DH42" s="62"/>
      <c r="DI42" s="44"/>
      <c r="DJ42" s="43"/>
      <c r="DK42" s="44"/>
      <c r="DL42" s="44"/>
      <c r="DM42" s="44"/>
      <c r="DN42" s="44"/>
      <c r="DO42" s="44"/>
      <c r="DP42" s="44"/>
      <c r="DQ42" s="44"/>
      <c r="DR42" s="44"/>
      <c r="DS42" s="44"/>
      <c r="DT42" s="44"/>
      <c r="DU42" s="44"/>
      <c r="DV42" s="44"/>
      <c r="DW42" s="44"/>
      <c r="DX42" s="44"/>
      <c r="DY42" s="44"/>
      <c r="DZ42" s="47"/>
      <c r="EA42" s="47"/>
      <c r="EB42" s="47"/>
    </row>
    <row r="43" spans="3:132" s="32" customFormat="1" ht="27.6">
      <c r="C43" s="76">
        <v>44211</v>
      </c>
      <c r="D43" s="34" t="s">
        <v>759</v>
      </c>
      <c r="E43" s="286" t="s">
        <v>763</v>
      </c>
      <c r="F43" s="61">
        <v>0.59097222222222223</v>
      </c>
      <c r="G43" s="61">
        <v>0.59513888888888888</v>
      </c>
      <c r="H43" s="55" t="s">
        <v>0</v>
      </c>
      <c r="I43" s="38">
        <v>1</v>
      </c>
      <c r="J43" s="55">
        <v>733</v>
      </c>
      <c r="K43" s="51" t="str">
        <f>VLOOKUP(J43,'[2]Chart of accounts'!A:H,2,FALSE)</f>
        <v>50103030 01</v>
      </c>
      <c r="L43" s="55"/>
      <c r="M43" s="55"/>
      <c r="N43" s="56"/>
      <c r="O43" s="56"/>
      <c r="P43" s="56"/>
      <c r="Q43" s="53" t="s">
        <v>1</v>
      </c>
      <c r="R43" s="53" t="s">
        <v>1</v>
      </c>
      <c r="S43" s="66" t="s">
        <v>769</v>
      </c>
      <c r="T43" s="58" t="s">
        <v>764</v>
      </c>
      <c r="U43" s="42" t="s">
        <v>762</v>
      </c>
      <c r="V43" s="43">
        <v>5560.64</v>
      </c>
      <c r="W43" s="52"/>
      <c r="X43" s="43">
        <v>5560.64</v>
      </c>
      <c r="Y43" s="44">
        <f t="shared" si="2"/>
        <v>0</v>
      </c>
      <c r="Z43" s="45"/>
      <c r="AA43" s="46"/>
      <c r="AB43" s="47"/>
      <c r="AC43" s="47"/>
      <c r="AD43" s="47"/>
      <c r="AE43" s="47"/>
      <c r="AF43" s="47"/>
      <c r="AG43" s="44"/>
      <c r="AH43" s="44"/>
      <c r="AI43" s="44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4"/>
      <c r="BB43" s="44"/>
      <c r="BC43" s="44"/>
      <c r="BD43" s="44"/>
      <c r="BE43" s="43"/>
      <c r="BF43" s="48"/>
      <c r="BH43" s="44"/>
      <c r="BI43" s="44"/>
      <c r="BJ43" s="44"/>
      <c r="BK43" s="44"/>
      <c r="BL43" s="44"/>
      <c r="BM43" s="44"/>
      <c r="BN43" s="44"/>
      <c r="BQ43" s="43">
        <v>5560.64</v>
      </c>
      <c r="BR43" s="49"/>
      <c r="BS43" s="44"/>
      <c r="BT43" s="44"/>
      <c r="BU43" s="44"/>
      <c r="BV43" s="43">
        <v>5560.64</v>
      </c>
      <c r="BW43" s="47"/>
      <c r="BX43" s="44"/>
      <c r="BY43" s="50"/>
      <c r="BZ43" s="44"/>
      <c r="CA43" s="44"/>
      <c r="CB43" s="44"/>
      <c r="CC43" s="44"/>
      <c r="CD43" s="43">
        <f t="shared" si="1"/>
        <v>0</v>
      </c>
      <c r="CE43" s="44"/>
      <c r="CF43" s="65"/>
      <c r="CG43" s="44"/>
      <c r="CH43" s="44"/>
      <c r="CI43" s="44"/>
      <c r="CJ43" s="47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50"/>
      <c r="DA43" s="44"/>
      <c r="DB43" s="44"/>
      <c r="DC43" s="44"/>
      <c r="DD43" s="44"/>
      <c r="DE43" s="44"/>
      <c r="DF43" s="44"/>
      <c r="DG43" s="44"/>
      <c r="DH43" s="44"/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/>
      <c r="DT43" s="44"/>
      <c r="DU43" s="44"/>
      <c r="DV43" s="44"/>
      <c r="DW43" s="44"/>
      <c r="DX43" s="44"/>
      <c r="DY43" s="44"/>
      <c r="DZ43" s="47"/>
      <c r="EA43" s="47"/>
      <c r="EB43" s="47"/>
    </row>
    <row r="44" spans="3:132" s="32" customFormat="1" ht="27.6">
      <c r="C44" s="76">
        <v>44211</v>
      </c>
      <c r="D44" s="34" t="s">
        <v>759</v>
      </c>
      <c r="E44" s="286" t="s">
        <v>763</v>
      </c>
      <c r="F44" s="61">
        <v>0.59097222222222223</v>
      </c>
      <c r="G44" s="61">
        <v>0.59513888888888888</v>
      </c>
      <c r="H44" s="55" t="s">
        <v>0</v>
      </c>
      <c r="I44" s="38">
        <v>1</v>
      </c>
      <c r="J44" s="55">
        <v>734</v>
      </c>
      <c r="K44" s="51" t="str">
        <f>VLOOKUP(J44,'[2]Chart of accounts'!A:H,2,FALSE)</f>
        <v>50103040 01</v>
      </c>
      <c r="L44" s="55"/>
      <c r="M44" s="55"/>
      <c r="N44" s="56"/>
      <c r="O44" s="56"/>
      <c r="P44" s="56"/>
      <c r="Q44" s="53" t="s">
        <v>1</v>
      </c>
      <c r="R44" s="53" t="s">
        <v>1</v>
      </c>
      <c r="S44" s="66" t="s">
        <v>769</v>
      </c>
      <c r="T44" s="58" t="s">
        <v>764</v>
      </c>
      <c r="U44" s="42" t="s">
        <v>762</v>
      </c>
      <c r="V44" s="43">
        <v>1100</v>
      </c>
      <c r="W44" s="52"/>
      <c r="X44" s="43">
        <v>1100</v>
      </c>
      <c r="Y44" s="44">
        <f t="shared" si="2"/>
        <v>0</v>
      </c>
      <c r="Z44" s="45"/>
      <c r="AA44" s="46"/>
      <c r="AB44" s="47"/>
      <c r="AC44" s="47"/>
      <c r="AD44" s="47"/>
      <c r="AE44" s="47"/>
      <c r="AF44" s="47"/>
      <c r="AG44" s="44"/>
      <c r="AH44" s="44"/>
      <c r="AI44" s="44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4"/>
      <c r="BB44" s="44"/>
      <c r="BC44" s="44"/>
      <c r="BD44" s="44"/>
      <c r="BE44" s="43"/>
      <c r="BF44" s="48"/>
      <c r="BH44" s="44"/>
      <c r="BI44" s="44"/>
      <c r="BJ44" s="44"/>
      <c r="BK44" s="44"/>
      <c r="BL44" s="44"/>
      <c r="BM44" s="44"/>
      <c r="BN44" s="44"/>
      <c r="BR44" s="43">
        <v>1100</v>
      </c>
      <c r="BS44" s="44"/>
      <c r="BT44" s="44"/>
      <c r="BU44" s="44"/>
      <c r="BV44" s="43">
        <v>1100</v>
      </c>
      <c r="BW44" s="47"/>
      <c r="BX44" s="44"/>
      <c r="BY44" s="50"/>
      <c r="BZ44" s="44"/>
      <c r="CA44" s="44"/>
      <c r="CB44" s="44"/>
      <c r="CC44" s="44"/>
      <c r="CD44" s="43">
        <f t="shared" ref="CD44:CD62" si="3">SUM(CF44:EB44)-Y44</f>
        <v>0</v>
      </c>
      <c r="CE44" s="44"/>
      <c r="CF44" s="65"/>
      <c r="CG44" s="44"/>
      <c r="CH44" s="44"/>
      <c r="CI44" s="44"/>
      <c r="CJ44" s="47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50"/>
      <c r="DA44" s="44"/>
      <c r="DB44" s="44"/>
      <c r="DC44" s="44"/>
      <c r="DD44" s="44"/>
      <c r="DE44" s="44"/>
      <c r="DF44" s="44"/>
      <c r="DG44" s="44"/>
      <c r="DH44" s="44"/>
      <c r="DI44" s="44"/>
      <c r="DJ44" s="44"/>
      <c r="DK44" s="44"/>
      <c r="DL44" s="44"/>
      <c r="DM44" s="44"/>
      <c r="DN44" s="44"/>
      <c r="DO44" s="44"/>
      <c r="DP44" s="44"/>
      <c r="DQ44" s="44"/>
      <c r="DR44" s="44"/>
      <c r="DS44" s="44"/>
      <c r="DT44" s="44"/>
      <c r="DU44" s="44"/>
      <c r="DV44" s="44"/>
      <c r="DW44" s="44"/>
      <c r="DX44" s="44"/>
      <c r="DY44" s="44"/>
      <c r="DZ44" s="47"/>
      <c r="EA44" s="47"/>
      <c r="EB44" s="47"/>
    </row>
    <row r="45" spans="3:132" s="32" customFormat="1" ht="27.6">
      <c r="C45" s="76">
        <v>44211</v>
      </c>
      <c r="D45" s="34" t="s">
        <v>759</v>
      </c>
      <c r="E45" s="286" t="s">
        <v>766</v>
      </c>
      <c r="F45" s="61">
        <v>0.59861111111111109</v>
      </c>
      <c r="G45" s="61">
        <v>0.6</v>
      </c>
      <c r="H45" s="55" t="s">
        <v>0</v>
      </c>
      <c r="I45" s="38">
        <v>1</v>
      </c>
      <c r="J45" s="39">
        <v>701</v>
      </c>
      <c r="K45" s="51" t="str">
        <f>VLOOKUP(J45,'[2]Chart of accounts'!A:H,2,FALSE)</f>
        <v>50101010 01</v>
      </c>
      <c r="L45" s="39"/>
      <c r="M45" s="39"/>
      <c r="N45" s="34"/>
      <c r="O45" s="34"/>
      <c r="P45" s="34"/>
      <c r="Q45" s="53" t="s">
        <v>1</v>
      </c>
      <c r="R45" s="53" t="s">
        <v>1</v>
      </c>
      <c r="S45" s="41" t="s">
        <v>770</v>
      </c>
      <c r="T45" s="42" t="s">
        <v>765</v>
      </c>
      <c r="U45" s="42" t="s">
        <v>762</v>
      </c>
      <c r="V45" s="43">
        <v>273461</v>
      </c>
      <c r="W45" s="52"/>
      <c r="X45" s="49">
        <v>273461</v>
      </c>
      <c r="Y45" s="44">
        <f t="shared" si="2"/>
        <v>0</v>
      </c>
      <c r="Z45" s="45"/>
      <c r="AA45" s="46"/>
      <c r="AB45" s="47"/>
      <c r="AC45" s="47"/>
      <c r="AD45" s="47"/>
      <c r="AE45" s="47"/>
      <c r="AF45" s="47"/>
      <c r="AG45" s="44"/>
      <c r="AH45" s="44"/>
      <c r="AI45" s="44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4"/>
      <c r="BB45" s="44"/>
      <c r="BC45" s="44"/>
      <c r="BD45" s="44"/>
      <c r="BE45" s="43">
        <v>273461</v>
      </c>
      <c r="BF45" s="48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9"/>
      <c r="BS45" s="44"/>
      <c r="BT45" s="44"/>
      <c r="BU45" s="44"/>
      <c r="BV45" s="43">
        <v>273461</v>
      </c>
      <c r="BW45" s="47"/>
      <c r="BX45" s="44"/>
      <c r="BY45" s="50"/>
      <c r="BZ45" s="44"/>
      <c r="CA45" s="44"/>
      <c r="CB45" s="44"/>
      <c r="CC45" s="44"/>
      <c r="CD45" s="43">
        <f t="shared" si="3"/>
        <v>0</v>
      </c>
      <c r="CE45" s="44"/>
      <c r="CF45" s="65"/>
      <c r="CG45" s="44"/>
      <c r="CH45" s="44"/>
      <c r="CI45" s="44"/>
      <c r="CJ45" s="47"/>
      <c r="CK45" s="44"/>
      <c r="CL45" s="44"/>
      <c r="CM45" s="44"/>
      <c r="CN45" s="44"/>
      <c r="CO45" s="44"/>
      <c r="CP45" s="44"/>
      <c r="CQ45" s="44"/>
      <c r="CR45" s="44"/>
      <c r="CS45" s="44"/>
      <c r="CT45" s="44"/>
      <c r="CU45" s="44"/>
      <c r="CV45" s="44"/>
      <c r="CW45" s="44"/>
      <c r="CX45" s="44"/>
      <c r="CY45" s="44"/>
      <c r="CZ45" s="50"/>
      <c r="DA45" s="44"/>
      <c r="DB45" s="44"/>
      <c r="DC45" s="44"/>
      <c r="DD45" s="44"/>
      <c r="DE45" s="44"/>
      <c r="DF45" s="44"/>
      <c r="DG45" s="44"/>
      <c r="DH45" s="44"/>
      <c r="DI45" s="44"/>
      <c r="DJ45" s="44"/>
      <c r="DK45" s="44"/>
      <c r="DL45" s="44"/>
      <c r="DM45" s="44"/>
      <c r="DN45" s="44"/>
      <c r="DO45" s="44"/>
      <c r="DP45" s="44"/>
      <c r="DQ45" s="44"/>
      <c r="DR45" s="44"/>
      <c r="DS45" s="44"/>
      <c r="DT45" s="44"/>
      <c r="DU45" s="44"/>
      <c r="DV45" s="44"/>
      <c r="DW45" s="44"/>
      <c r="DX45" s="44"/>
      <c r="DY45" s="44"/>
      <c r="DZ45" s="47"/>
      <c r="EA45" s="47"/>
      <c r="EB45" s="47"/>
    </row>
    <row r="46" spans="3:132" s="32" customFormat="1" ht="27.6">
      <c r="C46" s="76">
        <v>44211</v>
      </c>
      <c r="D46" s="34" t="s">
        <v>759</v>
      </c>
      <c r="E46" s="286" t="s">
        <v>766</v>
      </c>
      <c r="F46" s="61">
        <v>0.59861111111111109</v>
      </c>
      <c r="G46" s="61">
        <v>0.6</v>
      </c>
      <c r="H46" s="55" t="s">
        <v>0</v>
      </c>
      <c r="I46" s="38">
        <v>1</v>
      </c>
      <c r="J46" s="39">
        <v>711</v>
      </c>
      <c r="K46" s="51" t="str">
        <f>VLOOKUP(J46,'[2]Chart of accounts'!A:H,2,FALSE)</f>
        <v>50102010 01</v>
      </c>
      <c r="L46" s="39"/>
      <c r="M46" s="39"/>
      <c r="N46" s="34"/>
      <c r="O46" s="34"/>
      <c r="P46" s="34"/>
      <c r="Q46" s="53" t="s">
        <v>1</v>
      </c>
      <c r="R46" s="53" t="s">
        <v>1</v>
      </c>
      <c r="S46" s="41" t="s">
        <v>770</v>
      </c>
      <c r="T46" s="42" t="s">
        <v>765</v>
      </c>
      <c r="U46" s="42" t="s">
        <v>762</v>
      </c>
      <c r="V46" s="43">
        <v>14000</v>
      </c>
      <c r="W46" s="52"/>
      <c r="X46" s="49">
        <v>14000</v>
      </c>
      <c r="Y46" s="44">
        <f t="shared" si="2"/>
        <v>0</v>
      </c>
      <c r="Z46" s="45"/>
      <c r="AA46" s="46"/>
      <c r="AB46" s="47"/>
      <c r="AC46" s="47"/>
      <c r="AD46" s="47"/>
      <c r="AE46" s="47"/>
      <c r="AF46" s="47"/>
      <c r="AG46" s="44"/>
      <c r="AH46" s="44"/>
      <c r="AI46" s="44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4"/>
      <c r="BB46" s="44"/>
      <c r="BC46" s="44"/>
      <c r="BD46" s="44"/>
      <c r="BF46" s="48"/>
      <c r="BG46" s="43">
        <v>14000</v>
      </c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9"/>
      <c r="BS46" s="44"/>
      <c r="BT46" s="44"/>
      <c r="BU46" s="44"/>
      <c r="BV46" s="43">
        <v>14000</v>
      </c>
      <c r="BW46" s="47"/>
      <c r="BX46" s="44"/>
      <c r="BY46" s="50"/>
      <c r="BZ46" s="44"/>
      <c r="CA46" s="44"/>
      <c r="CB46" s="44"/>
      <c r="CC46" s="44"/>
      <c r="CD46" s="43">
        <f t="shared" si="3"/>
        <v>0</v>
      </c>
      <c r="CE46" s="44"/>
      <c r="CF46" s="65"/>
      <c r="CG46" s="44"/>
      <c r="CH46" s="44"/>
      <c r="CI46" s="44"/>
      <c r="CJ46" s="47"/>
      <c r="CK46" s="44"/>
      <c r="CL46" s="44"/>
      <c r="CM46" s="44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44"/>
      <c r="CY46" s="44"/>
      <c r="CZ46" s="50"/>
      <c r="DA46" s="44"/>
      <c r="DB46" s="44"/>
      <c r="DC46" s="44"/>
      <c r="DD46" s="44"/>
      <c r="DE46" s="44"/>
      <c r="DF46" s="44"/>
      <c r="DG46" s="44"/>
      <c r="DH46" s="44"/>
      <c r="DI46" s="44"/>
      <c r="DJ46" s="44"/>
      <c r="DK46" s="44"/>
      <c r="DL46" s="44"/>
      <c r="DM46" s="44"/>
      <c r="DN46" s="44"/>
      <c r="DO46" s="44"/>
      <c r="DP46" s="44"/>
      <c r="DQ46" s="44"/>
      <c r="DR46" s="44"/>
      <c r="DS46" s="44"/>
      <c r="DT46" s="44"/>
      <c r="DU46" s="44"/>
      <c r="DV46" s="44"/>
      <c r="DW46" s="44"/>
      <c r="DX46" s="44"/>
      <c r="DY46" s="44"/>
      <c r="DZ46" s="47"/>
      <c r="EA46" s="47"/>
      <c r="EB46" s="47"/>
    </row>
    <row r="47" spans="3:132" s="32" customFormat="1" ht="27.6">
      <c r="C47" s="76">
        <v>44211</v>
      </c>
      <c r="D47" s="34" t="s">
        <v>759</v>
      </c>
      <c r="E47" s="286" t="s">
        <v>766</v>
      </c>
      <c r="F47" s="61">
        <v>0.59861111111111109</v>
      </c>
      <c r="G47" s="61">
        <v>0.6</v>
      </c>
      <c r="H47" s="55" t="s">
        <v>0</v>
      </c>
      <c r="I47" s="38">
        <v>1</v>
      </c>
      <c r="J47" s="39">
        <v>731</v>
      </c>
      <c r="K47" s="51" t="str">
        <f>VLOOKUP(J47,'[2]Chart of accounts'!A:H,2,FALSE)</f>
        <v>50103010 00</v>
      </c>
      <c r="L47" s="39"/>
      <c r="M47" s="39"/>
      <c r="N47" s="34"/>
      <c r="O47" s="34"/>
      <c r="P47" s="34"/>
      <c r="Q47" s="53" t="s">
        <v>1</v>
      </c>
      <c r="R47" s="53" t="s">
        <v>1</v>
      </c>
      <c r="S47" s="41" t="s">
        <v>770</v>
      </c>
      <c r="T47" s="42" t="s">
        <v>765</v>
      </c>
      <c r="U47" s="42" t="s">
        <v>762</v>
      </c>
      <c r="V47" s="43">
        <v>32815.32</v>
      </c>
      <c r="W47" s="52"/>
      <c r="X47" s="49">
        <v>32815.32</v>
      </c>
      <c r="Y47" s="44">
        <f t="shared" si="2"/>
        <v>0</v>
      </c>
      <c r="Z47" s="45"/>
      <c r="AA47" s="46"/>
      <c r="AB47" s="47"/>
      <c r="AC47" s="47"/>
      <c r="AD47" s="47"/>
      <c r="AE47" s="47"/>
      <c r="AF47" s="47"/>
      <c r="AG47" s="44"/>
      <c r="AH47" s="44"/>
      <c r="AI47" s="44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4"/>
      <c r="BB47" s="44"/>
      <c r="BC47" s="44"/>
      <c r="BD47" s="44"/>
      <c r="BF47" s="48"/>
      <c r="BH47" s="44"/>
      <c r="BI47" s="44"/>
      <c r="BJ47" s="44"/>
      <c r="BK47" s="44"/>
      <c r="BL47" s="44"/>
      <c r="BM47" s="44"/>
      <c r="BN47" s="44"/>
      <c r="BO47" s="43">
        <v>32815.32</v>
      </c>
      <c r="BP47" s="44"/>
      <c r="BQ47" s="44"/>
      <c r="BR47" s="49"/>
      <c r="BS47" s="44"/>
      <c r="BT47" s="44"/>
      <c r="BU47" s="44"/>
      <c r="BV47" s="43">
        <v>32815.32</v>
      </c>
      <c r="BW47" s="47"/>
      <c r="BX47" s="44"/>
      <c r="BY47" s="50"/>
      <c r="BZ47" s="44"/>
      <c r="CA47" s="44"/>
      <c r="CB47" s="44"/>
      <c r="CC47" s="44"/>
      <c r="CD47" s="43">
        <f t="shared" si="3"/>
        <v>0</v>
      </c>
      <c r="CE47" s="44"/>
      <c r="CF47" s="65"/>
      <c r="CG47" s="44"/>
      <c r="CH47" s="44"/>
      <c r="CI47" s="44"/>
      <c r="CJ47" s="47"/>
      <c r="CK47" s="44"/>
      <c r="CL47" s="44"/>
      <c r="CM47" s="44"/>
      <c r="CN47" s="44"/>
      <c r="CO47" s="44"/>
      <c r="CP47" s="44"/>
      <c r="CQ47" s="44"/>
      <c r="CR47" s="44"/>
      <c r="CS47" s="44"/>
      <c r="CT47" s="44"/>
      <c r="CU47" s="44"/>
      <c r="CV47" s="44"/>
      <c r="CW47" s="44"/>
      <c r="CX47" s="44"/>
      <c r="CY47" s="44"/>
      <c r="CZ47" s="50"/>
      <c r="DA47" s="44"/>
      <c r="DB47" s="44"/>
      <c r="DC47" s="44"/>
      <c r="DD47" s="44"/>
      <c r="DE47" s="44"/>
      <c r="DF47" s="44"/>
      <c r="DG47" s="44"/>
      <c r="DH47" s="44"/>
      <c r="DI47" s="44"/>
      <c r="DJ47" s="44"/>
      <c r="DK47" s="44"/>
      <c r="DL47" s="44"/>
      <c r="DM47" s="44"/>
      <c r="DN47" s="44"/>
      <c r="DO47" s="44"/>
      <c r="DP47" s="44"/>
      <c r="DQ47" s="44"/>
      <c r="DR47" s="44"/>
      <c r="DS47" s="44"/>
      <c r="DT47" s="44"/>
      <c r="DU47" s="44"/>
      <c r="DV47" s="44"/>
      <c r="DW47" s="44"/>
      <c r="DX47" s="44"/>
      <c r="DY47" s="44"/>
      <c r="DZ47" s="47"/>
      <c r="EA47" s="47"/>
      <c r="EB47" s="47"/>
    </row>
    <row r="48" spans="3:132" s="32" customFormat="1" ht="27.6">
      <c r="C48" s="76">
        <v>44211</v>
      </c>
      <c r="D48" s="34" t="s">
        <v>759</v>
      </c>
      <c r="E48" s="286" t="s">
        <v>766</v>
      </c>
      <c r="F48" s="61">
        <v>0.59861111111111109</v>
      </c>
      <c r="G48" s="61">
        <v>0.6</v>
      </c>
      <c r="H48" s="55" t="s">
        <v>0</v>
      </c>
      <c r="I48" s="38">
        <v>1</v>
      </c>
      <c r="J48" s="39">
        <v>732</v>
      </c>
      <c r="K48" s="51" t="str">
        <f>VLOOKUP(J48,'[2]Chart of accounts'!A:H,2,FALSE)</f>
        <v>50103020 01</v>
      </c>
      <c r="L48" s="55"/>
      <c r="M48" s="55"/>
      <c r="N48" s="56"/>
      <c r="O48" s="56"/>
      <c r="P48" s="56"/>
      <c r="Q48" s="53" t="s">
        <v>1</v>
      </c>
      <c r="R48" s="53" t="s">
        <v>1</v>
      </c>
      <c r="S48" s="41" t="s">
        <v>770</v>
      </c>
      <c r="T48" s="42" t="s">
        <v>765</v>
      </c>
      <c r="U48" s="42" t="s">
        <v>762</v>
      </c>
      <c r="V48" s="43">
        <v>700</v>
      </c>
      <c r="W48" s="52"/>
      <c r="X48" s="49">
        <v>700</v>
      </c>
      <c r="Y48" s="44">
        <f t="shared" si="2"/>
        <v>0</v>
      </c>
      <c r="Z48" s="45"/>
      <c r="AA48" s="46"/>
      <c r="AB48" s="47"/>
      <c r="AC48" s="47"/>
      <c r="AD48" s="47"/>
      <c r="AE48" s="47"/>
      <c r="AF48" s="47"/>
      <c r="AG48" s="44"/>
      <c r="AH48" s="44"/>
      <c r="AI48" s="44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4"/>
      <c r="BB48" s="44"/>
      <c r="BC48" s="44"/>
      <c r="BD48" s="44"/>
      <c r="BF48" s="48"/>
      <c r="BH48" s="44"/>
      <c r="BI48" s="44"/>
      <c r="BJ48" s="44"/>
      <c r="BK48" s="44"/>
      <c r="BL48" s="44"/>
      <c r="BM48" s="44"/>
      <c r="BN48" s="44"/>
      <c r="BP48" s="43">
        <v>700</v>
      </c>
      <c r="BQ48" s="44"/>
      <c r="BR48" s="49"/>
      <c r="BS48" s="44"/>
      <c r="BT48" s="44"/>
      <c r="BU48" s="44"/>
      <c r="BV48" s="43">
        <v>700</v>
      </c>
      <c r="BW48" s="47"/>
      <c r="BX48" s="44"/>
      <c r="BY48" s="50"/>
      <c r="BZ48" s="44"/>
      <c r="CA48" s="44"/>
      <c r="CB48" s="44"/>
      <c r="CC48" s="44"/>
      <c r="CD48" s="43">
        <f t="shared" si="3"/>
        <v>0</v>
      </c>
      <c r="CE48" s="44"/>
      <c r="CF48" s="65"/>
      <c r="CG48" s="44"/>
      <c r="CH48" s="44"/>
      <c r="CI48" s="44"/>
      <c r="CJ48" s="47"/>
      <c r="CK48" s="44"/>
      <c r="CL48" s="44"/>
      <c r="CM48" s="44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44"/>
      <c r="CY48" s="44"/>
      <c r="CZ48" s="50"/>
      <c r="DA48" s="44"/>
      <c r="DB48" s="44"/>
      <c r="DC48" s="44"/>
      <c r="DD48" s="44"/>
      <c r="DE48" s="44"/>
      <c r="DF48" s="44"/>
      <c r="DG48" s="44"/>
      <c r="DH48" s="44"/>
      <c r="DI48" s="44"/>
      <c r="DJ48" s="44"/>
      <c r="DK48" s="44"/>
      <c r="DL48" s="44"/>
      <c r="DM48" s="44"/>
      <c r="DN48" s="44"/>
      <c r="DO48" s="44"/>
      <c r="DP48" s="44"/>
      <c r="DQ48" s="44"/>
      <c r="DR48" s="44"/>
      <c r="DS48" s="44"/>
      <c r="DT48" s="44"/>
      <c r="DU48" s="44"/>
      <c r="DV48" s="44"/>
      <c r="DW48" s="44"/>
      <c r="DX48" s="44"/>
      <c r="DY48" s="44"/>
      <c r="DZ48" s="47"/>
      <c r="EA48" s="47"/>
      <c r="EB48" s="47"/>
    </row>
    <row r="49" spans="3:132" s="32" customFormat="1" ht="27.6">
      <c r="C49" s="76">
        <v>44211</v>
      </c>
      <c r="D49" s="34" t="s">
        <v>759</v>
      </c>
      <c r="E49" s="286" t="s">
        <v>766</v>
      </c>
      <c r="F49" s="61">
        <v>0.59861111111111109</v>
      </c>
      <c r="G49" s="61">
        <v>0.6</v>
      </c>
      <c r="H49" s="55" t="s">
        <v>0</v>
      </c>
      <c r="I49" s="38">
        <v>1</v>
      </c>
      <c r="J49" s="55">
        <v>733</v>
      </c>
      <c r="K49" s="51" t="str">
        <f>VLOOKUP(J49,'[2]Chart of accounts'!A:H,2,FALSE)</f>
        <v>50103030 01</v>
      </c>
      <c r="L49" s="55"/>
      <c r="M49" s="55"/>
      <c r="N49" s="56"/>
      <c r="O49" s="56"/>
      <c r="P49" s="56"/>
      <c r="Q49" s="53" t="s">
        <v>1</v>
      </c>
      <c r="R49" s="53" t="s">
        <v>1</v>
      </c>
      <c r="S49" s="41" t="s">
        <v>770</v>
      </c>
      <c r="T49" s="42" t="s">
        <v>765</v>
      </c>
      <c r="U49" s="42" t="s">
        <v>762</v>
      </c>
      <c r="V49" s="43">
        <v>3358.03</v>
      </c>
      <c r="W49" s="52"/>
      <c r="X49" s="49">
        <v>3358.03</v>
      </c>
      <c r="Y49" s="44">
        <f t="shared" si="2"/>
        <v>0</v>
      </c>
      <c r="Z49" s="45"/>
      <c r="AA49" s="46"/>
      <c r="AB49" s="47"/>
      <c r="AC49" s="47"/>
      <c r="AD49" s="47"/>
      <c r="AE49" s="47"/>
      <c r="AF49" s="47"/>
      <c r="AG49" s="44"/>
      <c r="AH49" s="44"/>
      <c r="AI49" s="44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4"/>
      <c r="BB49" s="44"/>
      <c r="BC49" s="44"/>
      <c r="BD49" s="44"/>
      <c r="BF49" s="48"/>
      <c r="BH49" s="44"/>
      <c r="BI49" s="44"/>
      <c r="BJ49" s="44"/>
      <c r="BK49" s="44"/>
      <c r="BL49" s="44"/>
      <c r="BM49" s="44"/>
      <c r="BN49" s="44"/>
      <c r="BQ49" s="43">
        <v>3358.03</v>
      </c>
      <c r="BR49" s="49"/>
      <c r="BS49" s="44"/>
      <c r="BT49" s="44"/>
      <c r="BU49" s="44"/>
      <c r="BV49" s="43">
        <v>3358.03</v>
      </c>
      <c r="BW49" s="47"/>
      <c r="BX49" s="44"/>
      <c r="BY49" s="50"/>
      <c r="BZ49" s="44"/>
      <c r="CA49" s="44"/>
      <c r="CB49" s="44"/>
      <c r="CC49" s="44"/>
      <c r="CD49" s="43">
        <f t="shared" si="3"/>
        <v>0</v>
      </c>
      <c r="CE49" s="44"/>
      <c r="CF49" s="65"/>
      <c r="CG49" s="44"/>
      <c r="CH49" s="44"/>
      <c r="CI49" s="44"/>
      <c r="CJ49" s="47"/>
      <c r="CK49" s="44"/>
      <c r="CL49" s="44"/>
      <c r="CM49" s="44"/>
      <c r="CN49" s="44"/>
      <c r="CO49" s="44"/>
      <c r="CP49" s="44"/>
      <c r="CQ49" s="44"/>
      <c r="CR49" s="44"/>
      <c r="CS49" s="44"/>
      <c r="CT49" s="44"/>
      <c r="CU49" s="44"/>
      <c r="CV49" s="44"/>
      <c r="CW49" s="44"/>
      <c r="CX49" s="44"/>
      <c r="CY49" s="44"/>
      <c r="CZ49" s="50"/>
      <c r="DA49" s="44"/>
      <c r="DB49" s="44"/>
      <c r="DC49" s="44"/>
      <c r="DD49" s="44"/>
      <c r="DE49" s="44"/>
      <c r="DF49" s="44"/>
      <c r="DG49" s="44"/>
      <c r="DH49" s="44"/>
      <c r="DI49" s="44"/>
      <c r="DJ49" s="44"/>
      <c r="DK49" s="44"/>
      <c r="DL49" s="44"/>
      <c r="DM49" s="44"/>
      <c r="DN49" s="44"/>
      <c r="DO49" s="44"/>
      <c r="DP49" s="44"/>
      <c r="DQ49" s="44"/>
      <c r="DR49" s="44"/>
      <c r="DS49" s="44"/>
      <c r="DT49" s="44"/>
      <c r="DU49" s="44"/>
      <c r="DV49" s="44"/>
      <c r="DW49" s="44"/>
      <c r="DX49" s="44"/>
      <c r="DY49" s="44"/>
      <c r="DZ49" s="47"/>
      <c r="EA49" s="47"/>
      <c r="EB49" s="47"/>
    </row>
    <row r="50" spans="3:132" s="32" customFormat="1" ht="27.6">
      <c r="C50" s="76">
        <v>44211</v>
      </c>
      <c r="D50" s="34" t="s">
        <v>759</v>
      </c>
      <c r="E50" s="286" t="s">
        <v>766</v>
      </c>
      <c r="F50" s="61">
        <v>0.59861111111111109</v>
      </c>
      <c r="G50" s="61">
        <v>0.6</v>
      </c>
      <c r="H50" s="55" t="s">
        <v>0</v>
      </c>
      <c r="I50" s="38">
        <v>1</v>
      </c>
      <c r="J50" s="55">
        <v>734</v>
      </c>
      <c r="K50" s="51" t="str">
        <f>VLOOKUP(J50,'[2]Chart of accounts'!A:H,2,FALSE)</f>
        <v>50103040 01</v>
      </c>
      <c r="L50" s="55"/>
      <c r="M50" s="55"/>
      <c r="N50" s="56"/>
      <c r="O50" s="56"/>
      <c r="P50" s="56"/>
      <c r="Q50" s="53" t="s">
        <v>1</v>
      </c>
      <c r="R50" s="53" t="s">
        <v>1</v>
      </c>
      <c r="S50" s="41" t="s">
        <v>770</v>
      </c>
      <c r="T50" s="42" t="s">
        <v>765</v>
      </c>
      <c r="U50" s="42" t="s">
        <v>762</v>
      </c>
      <c r="V50" s="43">
        <v>700</v>
      </c>
      <c r="W50" s="52"/>
      <c r="X50" s="49">
        <v>700</v>
      </c>
      <c r="Y50" s="44">
        <f t="shared" si="2"/>
        <v>0</v>
      </c>
      <c r="Z50" s="45"/>
      <c r="AA50" s="46"/>
      <c r="AB50" s="47"/>
      <c r="AC50" s="47"/>
      <c r="AD50" s="47"/>
      <c r="AE50" s="47"/>
      <c r="AF50" s="47"/>
      <c r="AG50" s="44"/>
      <c r="AH50" s="44"/>
      <c r="AI50" s="44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4"/>
      <c r="BB50" s="44"/>
      <c r="BC50" s="44"/>
      <c r="BD50" s="44"/>
      <c r="BF50" s="48"/>
      <c r="BH50" s="44"/>
      <c r="BI50" s="44"/>
      <c r="BJ50" s="44"/>
      <c r="BK50" s="44"/>
      <c r="BL50" s="44"/>
      <c r="BM50" s="44"/>
      <c r="BN50" s="44"/>
      <c r="BR50" s="43">
        <v>700</v>
      </c>
      <c r="BS50" s="44"/>
      <c r="BT50" s="44"/>
      <c r="BU50" s="44"/>
      <c r="BV50" s="43">
        <v>700</v>
      </c>
      <c r="BW50" s="47"/>
      <c r="BX50" s="44"/>
      <c r="BY50" s="50"/>
      <c r="BZ50" s="44"/>
      <c r="CA50" s="44"/>
      <c r="CB50" s="44"/>
      <c r="CC50" s="44"/>
      <c r="CD50" s="43">
        <f t="shared" si="3"/>
        <v>0</v>
      </c>
      <c r="CE50" s="44"/>
      <c r="CF50" s="65"/>
      <c r="CG50" s="44"/>
      <c r="CH50" s="44"/>
      <c r="CI50" s="44"/>
      <c r="CJ50" s="47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44"/>
      <c r="CY50" s="44"/>
      <c r="CZ50" s="50"/>
      <c r="DA50" s="44"/>
      <c r="DB50" s="44"/>
      <c r="DC50" s="44"/>
      <c r="DD50" s="44"/>
      <c r="DE50" s="44"/>
      <c r="DF50" s="44"/>
      <c r="DG50" s="44"/>
      <c r="DH50" s="44"/>
      <c r="DI50" s="44"/>
      <c r="DJ50" s="44"/>
      <c r="DK50" s="44"/>
      <c r="DL50" s="44"/>
      <c r="DM50" s="44"/>
      <c r="DN50" s="44"/>
      <c r="DO50" s="44"/>
      <c r="DP50" s="44"/>
      <c r="DQ50" s="44"/>
      <c r="DR50" s="44"/>
      <c r="DS50" s="44"/>
      <c r="DT50" s="44"/>
      <c r="DU50" s="44"/>
      <c r="DV50" s="44"/>
      <c r="DW50" s="44"/>
      <c r="DX50" s="44"/>
      <c r="DY50" s="44"/>
      <c r="DZ50" s="47"/>
      <c r="EA50" s="47"/>
      <c r="EB50" s="47"/>
    </row>
    <row r="51" spans="3:132" s="32" customFormat="1" ht="27.6">
      <c r="C51" s="76">
        <v>44211</v>
      </c>
      <c r="D51" s="34" t="s">
        <v>759</v>
      </c>
      <c r="E51" s="286" t="s">
        <v>767</v>
      </c>
      <c r="F51" s="61">
        <v>0.60069444444444442</v>
      </c>
      <c r="G51" s="61">
        <v>0.6069444444444444</v>
      </c>
      <c r="H51" s="55" t="s">
        <v>0</v>
      </c>
      <c r="I51" s="38">
        <v>1</v>
      </c>
      <c r="J51" s="39">
        <v>701</v>
      </c>
      <c r="K51" s="51" t="str">
        <f>VLOOKUP(J51,'[2]Chart of accounts'!A:H,2,FALSE)</f>
        <v>50101010 01</v>
      </c>
      <c r="L51" s="39"/>
      <c r="M51" s="39"/>
      <c r="N51" s="34"/>
      <c r="O51" s="34"/>
      <c r="P51" s="34"/>
      <c r="Q51" s="53" t="s">
        <v>1</v>
      </c>
      <c r="R51" s="53" t="s">
        <v>1</v>
      </c>
      <c r="S51" s="41" t="s">
        <v>771</v>
      </c>
      <c r="T51" s="42" t="s">
        <v>768</v>
      </c>
      <c r="U51" s="42" t="s">
        <v>762</v>
      </c>
      <c r="V51" s="43">
        <v>565193</v>
      </c>
      <c r="W51" s="52"/>
      <c r="X51" s="49">
        <v>565193</v>
      </c>
      <c r="Y51" s="44">
        <f t="shared" si="2"/>
        <v>0</v>
      </c>
      <c r="Z51" s="45"/>
      <c r="AA51" s="46"/>
      <c r="AB51" s="47"/>
      <c r="AC51" s="47"/>
      <c r="AD51" s="47"/>
      <c r="AE51" s="47"/>
      <c r="AF51" s="47"/>
      <c r="AG51" s="44"/>
      <c r="AH51" s="44"/>
      <c r="AI51" s="44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4"/>
      <c r="BB51" s="44"/>
      <c r="BC51" s="44"/>
      <c r="BD51" s="44"/>
      <c r="BE51" s="43">
        <v>565193</v>
      </c>
      <c r="BF51" s="48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4"/>
      <c r="BR51" s="49"/>
      <c r="BS51" s="44"/>
      <c r="BT51" s="44"/>
      <c r="BU51" s="44"/>
      <c r="BV51" s="43">
        <v>565193</v>
      </c>
      <c r="BW51" s="47"/>
      <c r="BX51" s="44"/>
      <c r="BY51" s="50"/>
      <c r="BZ51" s="44"/>
      <c r="CA51" s="44"/>
      <c r="CB51" s="44"/>
      <c r="CC51" s="44"/>
      <c r="CD51" s="43">
        <f t="shared" si="3"/>
        <v>0</v>
      </c>
      <c r="CE51" s="44"/>
      <c r="CF51" s="65"/>
      <c r="CG51" s="44"/>
      <c r="CH51" s="44"/>
      <c r="CI51" s="44"/>
      <c r="CJ51" s="47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4"/>
      <c r="CV51" s="44"/>
      <c r="CW51" s="44"/>
      <c r="CX51" s="44"/>
      <c r="CY51" s="44"/>
      <c r="CZ51" s="50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4"/>
      <c r="DZ51" s="47"/>
      <c r="EA51" s="47"/>
      <c r="EB51" s="47"/>
    </row>
    <row r="52" spans="3:132" s="32" customFormat="1" ht="27.6">
      <c r="C52" s="76">
        <v>44211</v>
      </c>
      <c r="D52" s="34" t="s">
        <v>759</v>
      </c>
      <c r="E52" s="286" t="s">
        <v>767</v>
      </c>
      <c r="F52" s="61">
        <v>0.60069444444444442</v>
      </c>
      <c r="G52" s="61">
        <v>0.6069444444444444</v>
      </c>
      <c r="H52" s="55" t="s">
        <v>0</v>
      </c>
      <c r="I52" s="38">
        <v>1</v>
      </c>
      <c r="J52" s="39">
        <v>711</v>
      </c>
      <c r="K52" s="51" t="str">
        <f>VLOOKUP(J52,'[2]Chart of accounts'!A:H,2,FALSE)</f>
        <v>50102010 01</v>
      </c>
      <c r="L52" s="39"/>
      <c r="M52" s="39"/>
      <c r="N52" s="34"/>
      <c r="O52" s="34"/>
      <c r="P52" s="34"/>
      <c r="Q52" s="53" t="s">
        <v>1</v>
      </c>
      <c r="R52" s="53" t="s">
        <v>1</v>
      </c>
      <c r="S52" s="41" t="s">
        <v>771</v>
      </c>
      <c r="T52" s="42" t="s">
        <v>768</v>
      </c>
      <c r="U52" s="42" t="s">
        <v>762</v>
      </c>
      <c r="V52" s="43">
        <v>24000</v>
      </c>
      <c r="W52" s="52"/>
      <c r="X52" s="49">
        <v>24000</v>
      </c>
      <c r="Y52" s="44">
        <f t="shared" si="2"/>
        <v>0</v>
      </c>
      <c r="Z52" s="45"/>
      <c r="AA52" s="46"/>
      <c r="AB52" s="47"/>
      <c r="AC52" s="47"/>
      <c r="AD52" s="47"/>
      <c r="AE52" s="47"/>
      <c r="AF52" s="47"/>
      <c r="AG52" s="44"/>
      <c r="AH52" s="44"/>
      <c r="AI52" s="44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4"/>
      <c r="BB52" s="44"/>
      <c r="BC52" s="44"/>
      <c r="BD52" s="44"/>
      <c r="BF52" s="48"/>
      <c r="BG52" s="43">
        <v>24000</v>
      </c>
      <c r="BH52" s="44"/>
      <c r="BI52" s="44"/>
      <c r="BJ52" s="44"/>
      <c r="BK52" s="44"/>
      <c r="BL52" s="44"/>
      <c r="BM52" s="44"/>
      <c r="BN52" s="44"/>
      <c r="BO52" s="44"/>
      <c r="BP52" s="44"/>
      <c r="BQ52" s="44"/>
      <c r="BR52" s="49"/>
      <c r="BS52" s="44"/>
      <c r="BT52" s="44"/>
      <c r="BU52" s="44"/>
      <c r="BV52" s="43">
        <v>24000</v>
      </c>
      <c r="BW52" s="47"/>
      <c r="BX52" s="44"/>
      <c r="BY52" s="50"/>
      <c r="BZ52" s="44"/>
      <c r="CA52" s="44"/>
      <c r="CB52" s="44"/>
      <c r="CC52" s="44"/>
      <c r="CD52" s="43">
        <f t="shared" si="3"/>
        <v>0</v>
      </c>
      <c r="CE52" s="44"/>
      <c r="CF52" s="65"/>
      <c r="CG52" s="44"/>
      <c r="CH52" s="44"/>
      <c r="CI52" s="44"/>
      <c r="CJ52" s="47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44"/>
      <c r="CY52" s="44"/>
      <c r="CZ52" s="50"/>
      <c r="DA52" s="44"/>
      <c r="DB52" s="44"/>
      <c r="DC52" s="44"/>
      <c r="DD52" s="44"/>
      <c r="DE52" s="44"/>
      <c r="DF52" s="44"/>
      <c r="DG52" s="44"/>
      <c r="DH52" s="44"/>
      <c r="DI52" s="44"/>
      <c r="DJ52" s="44"/>
      <c r="DK52" s="44"/>
      <c r="DL52" s="44"/>
      <c r="DM52" s="44"/>
      <c r="DN52" s="44"/>
      <c r="DO52" s="44"/>
      <c r="DP52" s="44"/>
      <c r="DQ52" s="44"/>
      <c r="DR52" s="44"/>
      <c r="DS52" s="44"/>
      <c r="DT52" s="44"/>
      <c r="DU52" s="44"/>
      <c r="DV52" s="44"/>
      <c r="DW52" s="44"/>
      <c r="DX52" s="44"/>
      <c r="DY52" s="44"/>
      <c r="DZ52" s="47"/>
      <c r="EA52" s="47"/>
      <c r="EB52" s="47"/>
    </row>
    <row r="53" spans="3:132" s="32" customFormat="1" ht="27.6">
      <c r="C53" s="76">
        <v>44211</v>
      </c>
      <c r="D53" s="34" t="s">
        <v>759</v>
      </c>
      <c r="E53" s="286" t="s">
        <v>767</v>
      </c>
      <c r="F53" s="61">
        <v>0.60069444444444442</v>
      </c>
      <c r="G53" s="61">
        <v>0.6069444444444444</v>
      </c>
      <c r="H53" s="55" t="s">
        <v>0</v>
      </c>
      <c r="I53" s="38">
        <v>1</v>
      </c>
      <c r="J53" s="39">
        <v>731</v>
      </c>
      <c r="K53" s="51" t="str">
        <f>VLOOKUP(J53,'[2]Chart of accounts'!A:H,2,FALSE)</f>
        <v>50103010 00</v>
      </c>
      <c r="L53" s="39"/>
      <c r="M53" s="39"/>
      <c r="N53" s="34"/>
      <c r="O53" s="34"/>
      <c r="P53" s="34"/>
      <c r="Q53" s="53" t="s">
        <v>1</v>
      </c>
      <c r="R53" s="53" t="s">
        <v>1</v>
      </c>
      <c r="S53" s="41" t="s">
        <v>771</v>
      </c>
      <c r="T53" s="42" t="s">
        <v>768</v>
      </c>
      <c r="U53" s="42" t="s">
        <v>762</v>
      </c>
      <c r="V53" s="43">
        <v>67823.16</v>
      </c>
      <c r="W53" s="52"/>
      <c r="X53" s="49">
        <v>67823.16</v>
      </c>
      <c r="Y53" s="44">
        <f t="shared" si="2"/>
        <v>0</v>
      </c>
      <c r="Z53" s="45"/>
      <c r="AA53" s="46"/>
      <c r="AB53" s="47"/>
      <c r="AC53" s="47"/>
      <c r="AD53" s="47"/>
      <c r="AE53" s="47"/>
      <c r="AF53" s="47"/>
      <c r="AG53" s="44"/>
      <c r="AH53" s="44"/>
      <c r="AI53" s="44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4"/>
      <c r="BB53" s="44"/>
      <c r="BC53" s="44"/>
      <c r="BD53" s="44"/>
      <c r="BF53" s="48"/>
      <c r="BG53" s="44"/>
      <c r="BH53" s="44"/>
      <c r="BI53" s="44"/>
      <c r="BJ53" s="44"/>
      <c r="BK53" s="44"/>
      <c r="BL53" s="44"/>
      <c r="BM53" s="44"/>
      <c r="BN53" s="44"/>
      <c r="BO53" s="43">
        <v>67823.16</v>
      </c>
      <c r="BP53" s="44"/>
      <c r="BQ53" s="44"/>
      <c r="BR53" s="49"/>
      <c r="BS53" s="44"/>
      <c r="BT53" s="44"/>
      <c r="BU53" s="44"/>
      <c r="BV53" s="43">
        <v>67823.16</v>
      </c>
      <c r="BW53" s="47"/>
      <c r="BX53" s="44"/>
      <c r="BY53" s="50"/>
      <c r="BZ53" s="44"/>
      <c r="CA53" s="44"/>
      <c r="CB53" s="44"/>
      <c r="CC53" s="44"/>
      <c r="CD53" s="43">
        <f t="shared" si="3"/>
        <v>0</v>
      </c>
      <c r="CE53" s="44"/>
      <c r="CF53" s="65"/>
      <c r="CG53" s="44"/>
      <c r="CH53" s="44"/>
      <c r="CI53" s="44"/>
      <c r="CJ53" s="47"/>
      <c r="CK53" s="44"/>
      <c r="CL53" s="44"/>
      <c r="CM53" s="44"/>
      <c r="CN53" s="44"/>
      <c r="CO53" s="44"/>
      <c r="CP53" s="44"/>
      <c r="CQ53" s="44"/>
      <c r="CR53" s="44"/>
      <c r="CS53" s="44"/>
      <c r="CT53" s="44"/>
      <c r="CU53" s="44"/>
      <c r="CV53" s="44"/>
      <c r="CW53" s="44"/>
      <c r="CX53" s="44"/>
      <c r="CY53" s="44"/>
      <c r="CZ53" s="50"/>
      <c r="DA53" s="44"/>
      <c r="DB53" s="44"/>
      <c r="DC53" s="44"/>
      <c r="DD53" s="44"/>
      <c r="DE53" s="44"/>
      <c r="DF53" s="44"/>
      <c r="DG53" s="44"/>
      <c r="DH53" s="44"/>
      <c r="DI53" s="44"/>
      <c r="DJ53" s="44"/>
      <c r="DK53" s="44"/>
      <c r="DL53" s="44"/>
      <c r="DM53" s="44"/>
      <c r="DN53" s="44"/>
      <c r="DO53" s="44"/>
      <c r="DP53" s="44"/>
      <c r="DQ53" s="44"/>
      <c r="DR53" s="44"/>
      <c r="DS53" s="44"/>
      <c r="DT53" s="44"/>
      <c r="DU53" s="44"/>
      <c r="DV53" s="44"/>
      <c r="DW53" s="44"/>
      <c r="DX53" s="44"/>
      <c r="DY53" s="44"/>
      <c r="DZ53" s="47"/>
      <c r="EA53" s="47"/>
      <c r="EB53" s="47"/>
    </row>
    <row r="54" spans="3:132" s="32" customFormat="1" ht="27.6">
      <c r="C54" s="76">
        <v>44211</v>
      </c>
      <c r="D54" s="34" t="s">
        <v>759</v>
      </c>
      <c r="E54" s="286" t="s">
        <v>767</v>
      </c>
      <c r="F54" s="61">
        <v>0.60069444444444442</v>
      </c>
      <c r="G54" s="61">
        <v>0.6069444444444444</v>
      </c>
      <c r="H54" s="55" t="s">
        <v>0</v>
      </c>
      <c r="I54" s="38">
        <v>1</v>
      </c>
      <c r="J54" s="39">
        <v>732</v>
      </c>
      <c r="K54" s="51" t="str">
        <f>VLOOKUP(J54,'[2]Chart of accounts'!A:H,2,FALSE)</f>
        <v>50103020 01</v>
      </c>
      <c r="L54" s="55"/>
      <c r="M54" s="55"/>
      <c r="N54" s="56"/>
      <c r="O54" s="56"/>
      <c r="P54" s="56"/>
      <c r="Q54" s="53" t="s">
        <v>1</v>
      </c>
      <c r="R54" s="53" t="s">
        <v>1</v>
      </c>
      <c r="S54" s="41" t="s">
        <v>771</v>
      </c>
      <c r="T54" s="42" t="s">
        <v>768</v>
      </c>
      <c r="U54" s="42" t="s">
        <v>762</v>
      </c>
      <c r="V54" s="43">
        <v>1200</v>
      </c>
      <c r="W54" s="52"/>
      <c r="X54" s="49">
        <v>1200</v>
      </c>
      <c r="Y54" s="44">
        <f t="shared" si="2"/>
        <v>0</v>
      </c>
      <c r="Z54" s="45"/>
      <c r="AA54" s="46"/>
      <c r="AB54" s="47"/>
      <c r="AC54" s="47"/>
      <c r="AD54" s="47"/>
      <c r="AE54" s="47"/>
      <c r="AF54" s="47"/>
      <c r="AG54" s="44"/>
      <c r="AH54" s="44"/>
      <c r="AI54" s="44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  <c r="AZ54" s="47"/>
      <c r="BA54" s="44"/>
      <c r="BB54" s="44"/>
      <c r="BC54" s="44"/>
      <c r="BD54" s="44"/>
      <c r="BF54" s="48"/>
      <c r="BG54" s="44"/>
      <c r="BH54" s="44"/>
      <c r="BI54" s="44"/>
      <c r="BJ54" s="44"/>
      <c r="BK54" s="44"/>
      <c r="BL54" s="44"/>
      <c r="BM54" s="44"/>
      <c r="BN54" s="44"/>
      <c r="BP54" s="43">
        <v>1200</v>
      </c>
      <c r="BQ54" s="44"/>
      <c r="BR54" s="49"/>
      <c r="BS54" s="44"/>
      <c r="BT54" s="44"/>
      <c r="BU54" s="44"/>
      <c r="BV54" s="43">
        <v>1200</v>
      </c>
      <c r="BW54" s="47"/>
      <c r="BX54" s="44"/>
      <c r="BY54" s="50"/>
      <c r="BZ54" s="44"/>
      <c r="CA54" s="44"/>
      <c r="CB54" s="44"/>
      <c r="CC54" s="44"/>
      <c r="CD54" s="43">
        <f t="shared" si="3"/>
        <v>0</v>
      </c>
      <c r="CE54" s="44"/>
      <c r="CF54" s="65"/>
      <c r="CG54" s="44"/>
      <c r="CH54" s="44"/>
      <c r="CI54" s="44"/>
      <c r="CJ54" s="47"/>
      <c r="CK54" s="44"/>
      <c r="CL54" s="44"/>
      <c r="CM54" s="44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44"/>
      <c r="CY54" s="44"/>
      <c r="CZ54" s="50"/>
      <c r="DA54" s="44"/>
      <c r="DB54" s="44"/>
      <c r="DC54" s="44"/>
      <c r="DD54" s="44"/>
      <c r="DE54" s="44"/>
      <c r="DF54" s="44"/>
      <c r="DG54" s="44"/>
      <c r="DH54" s="44"/>
      <c r="DI54" s="44"/>
      <c r="DJ54" s="44"/>
      <c r="DK54" s="44"/>
      <c r="DL54" s="44"/>
      <c r="DM54" s="44"/>
      <c r="DN54" s="44"/>
      <c r="DO54" s="44"/>
      <c r="DP54" s="44"/>
      <c r="DQ54" s="44"/>
      <c r="DR54" s="44"/>
      <c r="DS54" s="44"/>
      <c r="DT54" s="44"/>
      <c r="DU54" s="44"/>
      <c r="DV54" s="44"/>
      <c r="DW54" s="44"/>
      <c r="DX54" s="44"/>
      <c r="DY54" s="44"/>
      <c r="DZ54" s="47"/>
      <c r="EA54" s="47"/>
      <c r="EB54" s="47"/>
    </row>
    <row r="55" spans="3:132" s="32" customFormat="1" ht="27.6">
      <c r="C55" s="76">
        <v>44211</v>
      </c>
      <c r="D55" s="34" t="s">
        <v>759</v>
      </c>
      <c r="E55" s="286" t="s">
        <v>767</v>
      </c>
      <c r="F55" s="61">
        <v>0.60069444444444442</v>
      </c>
      <c r="G55" s="61">
        <v>0.6069444444444444</v>
      </c>
      <c r="H55" s="55" t="s">
        <v>0</v>
      </c>
      <c r="I55" s="38">
        <v>1</v>
      </c>
      <c r="J55" s="55">
        <v>733</v>
      </c>
      <c r="K55" s="51" t="str">
        <f>VLOOKUP(J55,'[2]Chart of accounts'!A:H,2,FALSE)</f>
        <v>50103030 01</v>
      </c>
      <c r="L55" s="55"/>
      <c r="M55" s="55"/>
      <c r="N55" s="56"/>
      <c r="O55" s="56"/>
      <c r="P55" s="56"/>
      <c r="Q55" s="53" t="s">
        <v>1</v>
      </c>
      <c r="R55" s="53" t="s">
        <v>1</v>
      </c>
      <c r="S55" s="41" t="s">
        <v>771</v>
      </c>
      <c r="T55" s="42" t="s">
        <v>768</v>
      </c>
      <c r="U55" s="42" t="s">
        <v>762</v>
      </c>
      <c r="V55" s="43">
        <v>7357.93</v>
      </c>
      <c r="W55" s="52"/>
      <c r="X55" s="49">
        <v>7357.93</v>
      </c>
      <c r="Y55" s="44">
        <f t="shared" si="2"/>
        <v>0</v>
      </c>
      <c r="Z55" s="45"/>
      <c r="AA55" s="46"/>
      <c r="AB55" s="47"/>
      <c r="AC55" s="47"/>
      <c r="AD55" s="47"/>
      <c r="AE55" s="47"/>
      <c r="AF55" s="47"/>
      <c r="AG55" s="44"/>
      <c r="AH55" s="44"/>
      <c r="AI55" s="44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  <c r="AZ55" s="47"/>
      <c r="BA55" s="44"/>
      <c r="BB55" s="44"/>
      <c r="BC55" s="44"/>
      <c r="BD55" s="44"/>
      <c r="BF55" s="48"/>
      <c r="BG55" s="44"/>
      <c r="BH55" s="44"/>
      <c r="BI55" s="44"/>
      <c r="BJ55" s="44"/>
      <c r="BK55" s="44"/>
      <c r="BL55" s="44"/>
      <c r="BM55" s="44"/>
      <c r="BN55" s="44"/>
      <c r="BO55" s="44"/>
      <c r="BP55" s="44"/>
      <c r="BQ55" s="43">
        <v>7357.93</v>
      </c>
      <c r="BS55" s="44"/>
      <c r="BT55" s="44"/>
      <c r="BU55" s="44"/>
      <c r="BV55" s="43">
        <v>7357.93</v>
      </c>
      <c r="BW55" s="47"/>
      <c r="BX55" s="44"/>
      <c r="BY55" s="50"/>
      <c r="BZ55" s="44"/>
      <c r="CA55" s="44"/>
      <c r="CB55" s="44"/>
      <c r="CC55" s="44"/>
      <c r="CD55" s="43">
        <f t="shared" si="3"/>
        <v>0</v>
      </c>
      <c r="CE55" s="44"/>
      <c r="CF55" s="65"/>
      <c r="CG55" s="44"/>
      <c r="CH55" s="44"/>
      <c r="CI55" s="44"/>
      <c r="CJ55" s="47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44"/>
      <c r="CY55" s="44"/>
      <c r="CZ55" s="50"/>
      <c r="DA55" s="44"/>
      <c r="DB55" s="44"/>
      <c r="DC55" s="44"/>
      <c r="DD55" s="44"/>
      <c r="DE55" s="44"/>
      <c r="DF55" s="44"/>
      <c r="DG55" s="44"/>
      <c r="DH55" s="44"/>
      <c r="DI55" s="44"/>
      <c r="DJ55" s="44"/>
      <c r="DK55" s="44"/>
      <c r="DL55" s="44"/>
      <c r="DM55" s="44"/>
      <c r="DN55" s="44"/>
      <c r="DO55" s="44"/>
      <c r="DP55" s="44"/>
      <c r="DQ55" s="44"/>
      <c r="DR55" s="44"/>
      <c r="DS55" s="44"/>
      <c r="DT55" s="44"/>
      <c r="DU55" s="44"/>
      <c r="DV55" s="44"/>
      <c r="DW55" s="44"/>
      <c r="DX55" s="44"/>
      <c r="DY55" s="44"/>
      <c r="DZ55" s="47"/>
      <c r="EA55" s="47"/>
      <c r="EB55" s="47"/>
    </row>
    <row r="56" spans="3:132" s="32" customFormat="1" ht="27.6">
      <c r="C56" s="76">
        <v>44211</v>
      </c>
      <c r="D56" s="34" t="s">
        <v>759</v>
      </c>
      <c r="E56" s="286" t="s">
        <v>767</v>
      </c>
      <c r="F56" s="61">
        <v>0.60069444444444442</v>
      </c>
      <c r="G56" s="61">
        <v>0.6069444444444444</v>
      </c>
      <c r="H56" s="55" t="s">
        <v>0</v>
      </c>
      <c r="I56" s="38">
        <v>1</v>
      </c>
      <c r="J56" s="55">
        <v>734</v>
      </c>
      <c r="K56" s="51" t="str">
        <f>VLOOKUP(J56,'[2]Chart of accounts'!A:H,2,FALSE)</f>
        <v>50103040 01</v>
      </c>
      <c r="L56" s="55"/>
      <c r="M56" s="55"/>
      <c r="N56" s="56"/>
      <c r="O56" s="56"/>
      <c r="P56" s="56"/>
      <c r="Q56" s="53" t="s">
        <v>1</v>
      </c>
      <c r="R56" s="53" t="s">
        <v>1</v>
      </c>
      <c r="S56" s="41" t="s">
        <v>771</v>
      </c>
      <c r="T56" s="42" t="s">
        <v>768</v>
      </c>
      <c r="U56" s="42" t="s">
        <v>762</v>
      </c>
      <c r="V56" s="43">
        <v>1200</v>
      </c>
      <c r="W56" s="52"/>
      <c r="X56" s="49">
        <v>1200</v>
      </c>
      <c r="Y56" s="44">
        <f t="shared" si="2"/>
        <v>0</v>
      </c>
      <c r="Z56" s="45"/>
      <c r="AA56" s="46"/>
      <c r="AB56" s="47"/>
      <c r="AC56" s="47"/>
      <c r="AD56" s="47"/>
      <c r="AE56" s="47"/>
      <c r="AF56" s="47"/>
      <c r="AG56" s="44"/>
      <c r="AH56" s="44"/>
      <c r="AI56" s="44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4"/>
      <c r="BB56" s="44"/>
      <c r="BC56" s="44"/>
      <c r="BD56" s="44"/>
      <c r="BF56" s="48"/>
      <c r="BG56" s="44"/>
      <c r="BH56" s="44"/>
      <c r="BI56" s="44"/>
      <c r="BJ56" s="44"/>
      <c r="BK56" s="44"/>
      <c r="BL56" s="44"/>
      <c r="BM56" s="44"/>
      <c r="BN56" s="44"/>
      <c r="BO56" s="44"/>
      <c r="BP56" s="44"/>
      <c r="BR56" s="43">
        <v>1200</v>
      </c>
      <c r="BS56" s="44"/>
      <c r="BT56" s="44"/>
      <c r="BU56" s="44"/>
      <c r="BV56" s="43">
        <v>1200</v>
      </c>
      <c r="BW56" s="47"/>
      <c r="BX56" s="44"/>
      <c r="BY56" s="50"/>
      <c r="BZ56" s="44"/>
      <c r="CA56" s="44"/>
      <c r="CB56" s="44"/>
      <c r="CC56" s="44"/>
      <c r="CD56" s="43">
        <f t="shared" si="3"/>
        <v>0</v>
      </c>
      <c r="CE56" s="44"/>
      <c r="CF56" s="65"/>
      <c r="CG56" s="44"/>
      <c r="CH56" s="44"/>
      <c r="CI56" s="44"/>
      <c r="CJ56" s="47"/>
      <c r="CK56" s="44"/>
      <c r="CL56" s="44"/>
      <c r="CM56" s="44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44"/>
      <c r="CY56" s="44"/>
      <c r="CZ56" s="50"/>
      <c r="DA56" s="44"/>
      <c r="DB56" s="44"/>
      <c r="DC56" s="44"/>
      <c r="DD56" s="44"/>
      <c r="DE56" s="44"/>
      <c r="DF56" s="44"/>
      <c r="DG56" s="44"/>
      <c r="DH56" s="44"/>
      <c r="DI56" s="44"/>
      <c r="DJ56" s="44"/>
      <c r="DK56" s="44"/>
      <c r="DL56" s="44"/>
      <c r="DM56" s="44"/>
      <c r="DN56" s="44"/>
      <c r="DO56" s="44"/>
      <c r="DP56" s="44"/>
      <c r="DQ56" s="44"/>
      <c r="DR56" s="44"/>
      <c r="DS56" s="44"/>
      <c r="DT56" s="44"/>
      <c r="DU56" s="44"/>
      <c r="DV56" s="44"/>
      <c r="DW56" s="44"/>
      <c r="DX56" s="44"/>
      <c r="DY56" s="44"/>
      <c r="DZ56" s="47"/>
      <c r="EA56" s="47"/>
      <c r="EB56" s="47"/>
    </row>
    <row r="57" spans="3:132" s="32" customFormat="1">
      <c r="C57" s="76">
        <v>44214</v>
      </c>
      <c r="D57" s="34" t="s">
        <v>759</v>
      </c>
      <c r="E57" s="286" t="s">
        <v>772</v>
      </c>
      <c r="F57" s="36">
        <v>0.38958333333333334</v>
      </c>
      <c r="G57" s="36">
        <v>0.39444444444444443</v>
      </c>
      <c r="H57" s="55" t="s">
        <v>0</v>
      </c>
      <c r="I57" s="38">
        <v>2</v>
      </c>
      <c r="J57" s="39">
        <v>755</v>
      </c>
      <c r="K57" s="39" t="str">
        <f>VLOOKUP(J57,'[3]Chart of accounts'!A:H,2,FALSE)</f>
        <v>50203010 00</v>
      </c>
      <c r="L57" s="39"/>
      <c r="M57" s="39"/>
      <c r="N57" s="34"/>
      <c r="O57" s="34"/>
      <c r="P57" s="34"/>
      <c r="Q57" s="40" t="s">
        <v>3</v>
      </c>
      <c r="R57" s="40" t="s">
        <v>3</v>
      </c>
      <c r="S57" s="78" t="s">
        <v>2</v>
      </c>
      <c r="T57" s="42" t="s">
        <v>773</v>
      </c>
      <c r="U57" s="42" t="s">
        <v>774</v>
      </c>
      <c r="V57" s="47">
        <v>1000</v>
      </c>
      <c r="W57" s="52"/>
      <c r="X57" s="49"/>
      <c r="Y57" s="44">
        <f t="shared" si="2"/>
        <v>1000</v>
      </c>
      <c r="Z57" s="45"/>
      <c r="AA57" s="46"/>
      <c r="AB57" s="47"/>
      <c r="AC57" s="47"/>
      <c r="AD57" s="47"/>
      <c r="AE57" s="47"/>
      <c r="AF57" s="47"/>
      <c r="AG57" s="44"/>
      <c r="AH57" s="44"/>
      <c r="AI57" s="44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  <c r="AZ57" s="47"/>
      <c r="BA57" s="44"/>
      <c r="BB57" s="44"/>
      <c r="BC57" s="44"/>
      <c r="BD57" s="44"/>
      <c r="BE57" s="44"/>
      <c r="BF57" s="48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4"/>
      <c r="BR57" s="49"/>
      <c r="BS57" s="44"/>
      <c r="BT57" s="44"/>
      <c r="BU57" s="44"/>
      <c r="BV57" s="47">
        <v>1000</v>
      </c>
      <c r="BW57" s="47"/>
      <c r="BX57" s="44"/>
      <c r="BY57" s="50"/>
      <c r="BZ57" s="44"/>
      <c r="CA57" s="44"/>
      <c r="CB57" s="44"/>
      <c r="CC57" s="44"/>
      <c r="CD57" s="43">
        <f t="shared" si="3"/>
        <v>0</v>
      </c>
      <c r="CE57" s="44"/>
      <c r="CF57" s="65"/>
      <c r="CG57" s="44"/>
      <c r="CH57" s="44"/>
      <c r="CI57" s="44"/>
      <c r="CJ57" s="47">
        <v>1000</v>
      </c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4"/>
      <c r="CV57" s="44"/>
      <c r="CW57" s="44"/>
      <c r="CX57" s="44"/>
      <c r="CY57" s="44"/>
      <c r="CZ57" s="50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4"/>
      <c r="DZ57" s="47"/>
      <c r="EA57" s="47"/>
      <c r="EB57" s="47"/>
    </row>
    <row r="58" spans="3:132" s="32" customFormat="1">
      <c r="C58" s="76">
        <v>44214</v>
      </c>
      <c r="D58" s="34" t="s">
        <v>759</v>
      </c>
      <c r="E58" s="286" t="s">
        <v>772</v>
      </c>
      <c r="F58" s="36">
        <v>0.38958333333333334</v>
      </c>
      <c r="G58" s="36">
        <v>0.39444444444444443</v>
      </c>
      <c r="H58" s="55" t="s">
        <v>0</v>
      </c>
      <c r="I58" s="38">
        <v>2</v>
      </c>
      <c r="J58" s="39">
        <v>765</v>
      </c>
      <c r="K58" s="39" t="str">
        <f>VLOOKUP(J58,'[3]Chart of accounts'!A:H,2,FALSE)</f>
        <v>50203990 00</v>
      </c>
      <c r="L58" s="39"/>
      <c r="M58" s="39"/>
      <c r="N58" s="34"/>
      <c r="O58" s="34"/>
      <c r="P58" s="34"/>
      <c r="Q58" s="40" t="s">
        <v>3</v>
      </c>
      <c r="R58" s="40" t="s">
        <v>3</v>
      </c>
      <c r="S58" s="78" t="s">
        <v>2</v>
      </c>
      <c r="T58" s="42" t="s">
        <v>773</v>
      </c>
      <c r="U58" s="42" t="s">
        <v>774</v>
      </c>
      <c r="V58" s="47">
        <v>600</v>
      </c>
      <c r="W58" s="52"/>
      <c r="X58" s="49"/>
      <c r="Y58" s="44">
        <f t="shared" si="2"/>
        <v>600</v>
      </c>
      <c r="Z58" s="45"/>
      <c r="AA58" s="46"/>
      <c r="AB58" s="47"/>
      <c r="AC58" s="47"/>
      <c r="AD58" s="47"/>
      <c r="AE58" s="47"/>
      <c r="AF58" s="47"/>
      <c r="AG58" s="44"/>
      <c r="AH58" s="44"/>
      <c r="AI58" s="44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7"/>
      <c r="AZ58" s="47"/>
      <c r="BA58" s="44"/>
      <c r="BB58" s="44"/>
      <c r="BC58" s="44"/>
      <c r="BD58" s="44"/>
      <c r="BE58" s="44"/>
      <c r="BF58" s="48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44"/>
      <c r="BR58" s="49"/>
      <c r="BS58" s="44"/>
      <c r="BT58" s="44"/>
      <c r="BU58" s="44"/>
      <c r="BV58" s="47">
        <v>600</v>
      </c>
      <c r="BW58" s="47"/>
      <c r="BX58" s="44"/>
      <c r="BY58" s="50"/>
      <c r="BZ58" s="44"/>
      <c r="CA58" s="44"/>
      <c r="CB58" s="44"/>
      <c r="CC58" s="44"/>
      <c r="CD58" s="43">
        <f t="shared" si="3"/>
        <v>0</v>
      </c>
      <c r="CE58" s="44"/>
      <c r="CF58" s="65"/>
      <c r="CG58" s="44"/>
      <c r="CH58" s="44"/>
      <c r="CI58" s="44"/>
      <c r="CK58" s="44"/>
      <c r="CL58" s="44"/>
      <c r="CM58" s="47">
        <v>600</v>
      </c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44"/>
      <c r="CY58" s="44"/>
      <c r="CZ58" s="50"/>
      <c r="DA58" s="44"/>
      <c r="DB58" s="44"/>
      <c r="DC58" s="44"/>
      <c r="DD58" s="44"/>
      <c r="DE58" s="44"/>
      <c r="DF58" s="44"/>
      <c r="DG58" s="44"/>
      <c r="DH58" s="44"/>
      <c r="DI58" s="44"/>
      <c r="DJ58" s="44"/>
      <c r="DK58" s="44"/>
      <c r="DL58" s="44"/>
      <c r="DM58" s="44"/>
      <c r="DN58" s="44"/>
      <c r="DO58" s="44"/>
      <c r="DP58" s="44"/>
      <c r="DQ58" s="44"/>
      <c r="DR58" s="44"/>
      <c r="DS58" s="44"/>
      <c r="DT58" s="44"/>
      <c r="DU58" s="44"/>
      <c r="DV58" s="44"/>
      <c r="DW58" s="44"/>
      <c r="DX58" s="44"/>
      <c r="DY58" s="44"/>
      <c r="DZ58" s="47"/>
      <c r="EA58" s="47"/>
      <c r="EB58" s="47"/>
    </row>
    <row r="59" spans="3:132" s="32" customFormat="1">
      <c r="C59" s="76">
        <v>44214</v>
      </c>
      <c r="D59" s="34" t="s">
        <v>759</v>
      </c>
      <c r="E59" s="286" t="s">
        <v>772</v>
      </c>
      <c r="F59" s="36">
        <v>0.38958333333333334</v>
      </c>
      <c r="G59" s="36">
        <v>0.39444444444444443</v>
      </c>
      <c r="H59" s="55" t="s">
        <v>0</v>
      </c>
      <c r="I59" s="38">
        <v>2</v>
      </c>
      <c r="J59" s="39">
        <v>781</v>
      </c>
      <c r="K59" s="39" t="str">
        <f>VLOOKUP(J59,'[3]Chart of accounts'!A:H,2,FALSE)</f>
        <v>50299020 00</v>
      </c>
      <c r="L59" s="39"/>
      <c r="M59" s="39"/>
      <c r="N59" s="34"/>
      <c r="O59" s="34"/>
      <c r="P59" s="34"/>
      <c r="Q59" s="40" t="s">
        <v>3</v>
      </c>
      <c r="R59" s="40" t="s">
        <v>3</v>
      </c>
      <c r="S59" s="78" t="s">
        <v>2</v>
      </c>
      <c r="T59" s="42" t="s">
        <v>773</v>
      </c>
      <c r="U59" s="42" t="s">
        <v>774</v>
      </c>
      <c r="V59" s="47">
        <v>300</v>
      </c>
      <c r="W59" s="52"/>
      <c r="X59" s="49"/>
      <c r="Y59" s="44">
        <f t="shared" si="2"/>
        <v>300</v>
      </c>
      <c r="Z59" s="45"/>
      <c r="AA59" s="46"/>
      <c r="AB59" s="47"/>
      <c r="AC59" s="47"/>
      <c r="AD59" s="47"/>
      <c r="AE59" s="47"/>
      <c r="AF59" s="47"/>
      <c r="AG59" s="44"/>
      <c r="AH59" s="44"/>
      <c r="AI59" s="44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  <c r="BA59" s="44"/>
      <c r="BB59" s="44"/>
      <c r="BC59" s="44"/>
      <c r="BD59" s="44"/>
      <c r="BE59" s="44"/>
      <c r="BF59" s="48"/>
      <c r="BG59" s="44"/>
      <c r="BH59" s="44"/>
      <c r="BI59" s="44"/>
      <c r="BJ59" s="44"/>
      <c r="BK59" s="44"/>
      <c r="BL59" s="44"/>
      <c r="BM59" s="44"/>
      <c r="BN59" s="44"/>
      <c r="BO59" s="44"/>
      <c r="BP59" s="44"/>
      <c r="BQ59" s="44"/>
      <c r="BR59" s="49"/>
      <c r="BS59" s="44"/>
      <c r="BT59" s="44"/>
      <c r="BU59" s="44"/>
      <c r="BV59" s="47">
        <v>300</v>
      </c>
      <c r="BW59" s="47"/>
      <c r="BX59" s="44"/>
      <c r="BY59" s="50"/>
      <c r="BZ59" s="44"/>
      <c r="CA59" s="44"/>
      <c r="CB59" s="44"/>
      <c r="CC59" s="44"/>
      <c r="CD59" s="43">
        <f t="shared" si="3"/>
        <v>0</v>
      </c>
      <c r="CE59" s="44"/>
      <c r="CF59" s="65"/>
      <c r="CG59" s="44"/>
      <c r="CH59" s="44"/>
      <c r="CI59" s="44"/>
      <c r="CK59" s="44"/>
      <c r="CL59" s="44"/>
      <c r="CN59" s="44"/>
      <c r="CO59" s="44"/>
      <c r="CP59" s="44"/>
      <c r="CQ59" s="44"/>
      <c r="CR59" s="44"/>
      <c r="CS59" s="44"/>
      <c r="CT59" s="44"/>
      <c r="CU59" s="44"/>
      <c r="CV59" s="44"/>
      <c r="CW59" s="47">
        <v>300</v>
      </c>
      <c r="CX59" s="44"/>
      <c r="CY59" s="44"/>
      <c r="CZ59" s="50"/>
      <c r="DA59" s="44"/>
      <c r="DB59" s="44"/>
      <c r="DC59" s="44"/>
      <c r="DD59" s="44"/>
      <c r="DE59" s="44"/>
      <c r="DF59" s="44"/>
      <c r="DG59" s="44"/>
      <c r="DH59" s="44"/>
      <c r="DI59" s="44"/>
      <c r="DJ59" s="44"/>
      <c r="DK59" s="44"/>
      <c r="DL59" s="44"/>
      <c r="DM59" s="44"/>
      <c r="DN59" s="44"/>
      <c r="DO59" s="44"/>
      <c r="DP59" s="44"/>
      <c r="DQ59" s="44"/>
      <c r="DR59" s="44"/>
      <c r="DS59" s="44"/>
      <c r="DT59" s="44"/>
      <c r="DU59" s="44"/>
      <c r="DV59" s="44"/>
      <c r="DW59" s="44"/>
      <c r="DX59" s="44"/>
      <c r="DY59" s="44"/>
      <c r="DZ59" s="47"/>
      <c r="EA59" s="47"/>
      <c r="EB59" s="47"/>
    </row>
    <row r="60" spans="3:132" s="32" customFormat="1">
      <c r="C60" s="76">
        <v>44214</v>
      </c>
      <c r="D60" s="34" t="s">
        <v>759</v>
      </c>
      <c r="E60" s="286" t="s">
        <v>772</v>
      </c>
      <c r="F60" s="36">
        <v>0.38958333333333334</v>
      </c>
      <c r="G60" s="36">
        <v>0.39444444444444443</v>
      </c>
      <c r="H60" s="55" t="s">
        <v>0</v>
      </c>
      <c r="I60" s="38">
        <v>2</v>
      </c>
      <c r="J60" s="39">
        <v>795</v>
      </c>
      <c r="K60" s="39" t="str">
        <f>VLOOKUP(J60,'[3]Chart of accounts'!A:H,2,FALSE)</f>
        <v>50212990 00</v>
      </c>
      <c r="L60" s="39"/>
      <c r="M60" s="39"/>
      <c r="N60" s="34"/>
      <c r="O60" s="34"/>
      <c r="P60" s="34"/>
      <c r="Q60" s="40" t="s">
        <v>3</v>
      </c>
      <c r="R60" s="40" t="s">
        <v>3</v>
      </c>
      <c r="S60" s="78" t="s">
        <v>2</v>
      </c>
      <c r="T60" s="42" t="s">
        <v>773</v>
      </c>
      <c r="U60" s="42" t="s">
        <v>774</v>
      </c>
      <c r="V60" s="47">
        <v>1500</v>
      </c>
      <c r="W60" s="52"/>
      <c r="X60" s="49"/>
      <c r="Y60" s="44">
        <f t="shared" si="2"/>
        <v>1500</v>
      </c>
      <c r="Z60" s="45"/>
      <c r="AA60" s="46"/>
      <c r="AB60" s="47"/>
      <c r="AC60" s="47"/>
      <c r="AD60" s="47"/>
      <c r="AE60" s="47"/>
      <c r="AF60" s="47"/>
      <c r="AG60" s="44"/>
      <c r="AH60" s="44"/>
      <c r="AI60" s="44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  <c r="BA60" s="44"/>
      <c r="BB60" s="44"/>
      <c r="BC60" s="44"/>
      <c r="BD60" s="44"/>
      <c r="BE60" s="44"/>
      <c r="BF60" s="48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9"/>
      <c r="BS60" s="44"/>
      <c r="BT60" s="44"/>
      <c r="BU60" s="44"/>
      <c r="BV60" s="47">
        <v>1500</v>
      </c>
      <c r="BW60" s="47"/>
      <c r="BX60" s="44"/>
      <c r="BY60" s="50"/>
      <c r="BZ60" s="44"/>
      <c r="CA60" s="44"/>
      <c r="CB60" s="44"/>
      <c r="CC60" s="44"/>
      <c r="CD60" s="43">
        <f t="shared" si="3"/>
        <v>0</v>
      </c>
      <c r="CE60" s="44"/>
      <c r="CF60" s="65"/>
      <c r="CG60" s="44"/>
      <c r="CH60" s="44"/>
      <c r="CI60" s="44"/>
      <c r="CK60" s="44"/>
      <c r="CL60" s="44"/>
      <c r="CN60" s="44"/>
      <c r="CO60" s="44"/>
      <c r="CP60" s="44"/>
      <c r="CQ60" s="44"/>
      <c r="CR60" s="44"/>
      <c r="CS60" s="44"/>
      <c r="CT60" s="44"/>
      <c r="CU60" s="44"/>
      <c r="CV60" s="44"/>
      <c r="CX60" s="44"/>
      <c r="CY60" s="44"/>
      <c r="CZ60" s="50"/>
      <c r="DA60" s="44"/>
      <c r="DB60" s="44"/>
      <c r="DC60" s="44"/>
      <c r="DD60" s="44"/>
      <c r="DE60" s="44"/>
      <c r="DF60" s="44"/>
      <c r="DG60" s="47">
        <v>1500</v>
      </c>
      <c r="DH60" s="44"/>
      <c r="DI60" s="44"/>
      <c r="DJ60" s="44"/>
      <c r="DK60" s="44"/>
      <c r="DL60" s="44"/>
      <c r="DM60" s="44"/>
      <c r="DN60" s="44"/>
      <c r="DO60" s="44"/>
      <c r="DP60" s="44"/>
      <c r="DQ60" s="44"/>
      <c r="DR60" s="44"/>
      <c r="DS60" s="44"/>
      <c r="DT60" s="44"/>
      <c r="DU60" s="44"/>
      <c r="DV60" s="44"/>
      <c r="DW60" s="44"/>
      <c r="DX60" s="44"/>
      <c r="DY60" s="44"/>
      <c r="DZ60" s="47"/>
      <c r="EA60" s="47"/>
      <c r="EB60" s="47"/>
    </row>
    <row r="61" spans="3:132" s="32" customFormat="1">
      <c r="C61" s="76">
        <v>44214</v>
      </c>
      <c r="D61" s="34" t="s">
        <v>759</v>
      </c>
      <c r="E61" s="286" t="s">
        <v>772</v>
      </c>
      <c r="F61" s="36">
        <v>0.38958333333333334</v>
      </c>
      <c r="G61" s="36">
        <v>0.39444444444444443</v>
      </c>
      <c r="H61" s="55" t="s">
        <v>0</v>
      </c>
      <c r="I61" s="38">
        <v>2</v>
      </c>
      <c r="J61" s="39">
        <v>799</v>
      </c>
      <c r="K61" s="39" t="str">
        <f>VLOOKUP(J61,'[3]Chart of accounts'!A:H,2,FALSE)</f>
        <v>50211990 00</v>
      </c>
      <c r="L61" s="39"/>
      <c r="M61" s="39"/>
      <c r="N61" s="34"/>
      <c r="O61" s="34"/>
      <c r="P61" s="34"/>
      <c r="Q61" s="40" t="s">
        <v>3</v>
      </c>
      <c r="R61" s="40" t="s">
        <v>3</v>
      </c>
      <c r="S61" s="78" t="s">
        <v>2</v>
      </c>
      <c r="T61" s="42" t="s">
        <v>773</v>
      </c>
      <c r="U61" s="42" t="s">
        <v>774</v>
      </c>
      <c r="V61" s="44">
        <v>1000</v>
      </c>
      <c r="W61" s="52"/>
      <c r="X61" s="49"/>
      <c r="Y61" s="44">
        <f t="shared" si="2"/>
        <v>1000</v>
      </c>
      <c r="Z61" s="45"/>
      <c r="AA61" s="46"/>
      <c r="AB61" s="47"/>
      <c r="AC61" s="47"/>
      <c r="AD61" s="47"/>
      <c r="AE61" s="47"/>
      <c r="AF61" s="47"/>
      <c r="AG61" s="44"/>
      <c r="AH61" s="44"/>
      <c r="AI61" s="44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  <c r="AZ61" s="47"/>
      <c r="BA61" s="44"/>
      <c r="BB61" s="44"/>
      <c r="BC61" s="44"/>
      <c r="BD61" s="44"/>
      <c r="BE61" s="44"/>
      <c r="BF61" s="48"/>
      <c r="BG61" s="44"/>
      <c r="BH61" s="44"/>
      <c r="BI61" s="44"/>
      <c r="BJ61" s="44"/>
      <c r="BK61" s="44"/>
      <c r="BL61" s="44"/>
      <c r="BM61" s="44"/>
      <c r="BN61" s="44"/>
      <c r="BO61" s="44"/>
      <c r="BP61" s="44"/>
      <c r="BQ61" s="44"/>
      <c r="BR61" s="49"/>
      <c r="BS61" s="44"/>
      <c r="BT61" s="44"/>
      <c r="BU61" s="44"/>
      <c r="BV61" s="44">
        <v>1000</v>
      </c>
      <c r="BW61" s="47"/>
      <c r="BX61" s="44"/>
      <c r="BY61" s="50"/>
      <c r="BZ61" s="44"/>
      <c r="CA61" s="44"/>
      <c r="CB61" s="44"/>
      <c r="CC61" s="44"/>
      <c r="CD61" s="43">
        <f t="shared" si="3"/>
        <v>0</v>
      </c>
      <c r="CE61" s="44"/>
      <c r="CF61" s="65"/>
      <c r="CG61" s="44"/>
      <c r="CH61" s="44"/>
      <c r="CI61" s="44"/>
      <c r="CK61" s="44"/>
      <c r="CL61" s="44"/>
      <c r="CN61" s="44"/>
      <c r="CO61" s="44"/>
      <c r="CP61" s="44"/>
      <c r="CQ61" s="44"/>
      <c r="CR61" s="44"/>
      <c r="CS61" s="44"/>
      <c r="CT61" s="44"/>
      <c r="CU61" s="44"/>
      <c r="CV61" s="44"/>
      <c r="CX61" s="44"/>
      <c r="CY61" s="44"/>
      <c r="CZ61" s="50"/>
      <c r="DA61" s="44"/>
      <c r="DB61" s="44"/>
      <c r="DC61" s="44"/>
      <c r="DD61" s="44"/>
      <c r="DE61" s="44"/>
      <c r="DF61" s="44"/>
      <c r="DH61" s="44"/>
      <c r="DI61" s="44"/>
      <c r="DJ61" s="44">
        <v>1000</v>
      </c>
      <c r="DK61" s="44"/>
      <c r="DL61" s="44"/>
      <c r="DM61" s="44"/>
      <c r="DN61" s="44"/>
      <c r="DO61" s="44"/>
      <c r="DP61" s="44"/>
      <c r="DQ61" s="44"/>
      <c r="DR61" s="44"/>
      <c r="DS61" s="44"/>
      <c r="DT61" s="44"/>
      <c r="DU61" s="44"/>
      <c r="DV61" s="44"/>
      <c r="DW61" s="44"/>
      <c r="DX61" s="44"/>
      <c r="DY61" s="44"/>
      <c r="DZ61" s="47"/>
      <c r="EA61" s="47"/>
      <c r="EB61" s="47"/>
    </row>
    <row r="62" spans="3:132" s="32" customFormat="1">
      <c r="C62" s="76">
        <v>44214</v>
      </c>
      <c r="D62" s="34" t="s">
        <v>759</v>
      </c>
      <c r="E62" s="286" t="s">
        <v>772</v>
      </c>
      <c r="F62" s="36">
        <v>0.38958333333333334</v>
      </c>
      <c r="G62" s="36">
        <v>0.39444444444444443</v>
      </c>
      <c r="H62" s="55" t="s">
        <v>0</v>
      </c>
      <c r="I62" s="38">
        <v>2</v>
      </c>
      <c r="J62" s="39">
        <v>969</v>
      </c>
      <c r="K62" s="39" t="str">
        <f>VLOOKUP(J62,'[3]Chart of accounts'!A:H,2,FALSE)</f>
        <v>50299990 99</v>
      </c>
      <c r="L62" s="39"/>
      <c r="M62" s="39"/>
      <c r="N62" s="34"/>
      <c r="O62" s="34"/>
      <c r="P62" s="34"/>
      <c r="Q62" s="40" t="s">
        <v>3</v>
      </c>
      <c r="R62" s="40" t="s">
        <v>3</v>
      </c>
      <c r="S62" s="78" t="s">
        <v>2</v>
      </c>
      <c r="T62" s="42" t="s">
        <v>773</v>
      </c>
      <c r="U62" s="42" t="s">
        <v>774</v>
      </c>
      <c r="V62" s="44">
        <v>600</v>
      </c>
      <c r="W62" s="52"/>
      <c r="X62" s="49"/>
      <c r="Y62" s="44">
        <f t="shared" si="2"/>
        <v>600</v>
      </c>
      <c r="Z62" s="45"/>
      <c r="AA62" s="46"/>
      <c r="AB62" s="47"/>
      <c r="AC62" s="47"/>
      <c r="AD62" s="47"/>
      <c r="AE62" s="47"/>
      <c r="AF62" s="47"/>
      <c r="AG62" s="44"/>
      <c r="AH62" s="44"/>
      <c r="AI62" s="44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7"/>
      <c r="AZ62" s="47"/>
      <c r="BA62" s="44"/>
      <c r="BB62" s="44"/>
      <c r="BC62" s="44"/>
      <c r="BD62" s="44"/>
      <c r="BE62" s="44"/>
      <c r="BF62" s="48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44"/>
      <c r="BR62" s="49"/>
      <c r="BS62" s="44"/>
      <c r="BT62" s="44"/>
      <c r="BU62" s="44"/>
      <c r="BV62" s="44">
        <v>600</v>
      </c>
      <c r="BW62" s="47"/>
      <c r="BX62" s="44"/>
      <c r="BY62" s="50"/>
      <c r="BZ62" s="44"/>
      <c r="CA62" s="44"/>
      <c r="CB62" s="44"/>
      <c r="CC62" s="44"/>
      <c r="CD62" s="43">
        <f t="shared" si="3"/>
        <v>0</v>
      </c>
      <c r="CE62" s="44"/>
      <c r="CF62" s="65"/>
      <c r="CG62" s="44"/>
      <c r="CH62" s="44"/>
      <c r="CI62" s="44"/>
      <c r="CK62" s="44"/>
      <c r="CL62" s="44"/>
      <c r="CN62" s="44"/>
      <c r="CO62" s="44"/>
      <c r="CP62" s="44"/>
      <c r="CQ62" s="44"/>
      <c r="CR62" s="44"/>
      <c r="CS62" s="44"/>
      <c r="CT62" s="44"/>
      <c r="CU62" s="44"/>
      <c r="CV62" s="44"/>
      <c r="CX62" s="44"/>
      <c r="CY62" s="44"/>
      <c r="CZ62" s="50"/>
      <c r="DA62" s="44"/>
      <c r="DB62" s="44"/>
      <c r="DC62" s="44"/>
      <c r="DD62" s="44"/>
      <c r="DE62" s="44"/>
      <c r="DF62" s="44"/>
      <c r="DH62" s="44"/>
      <c r="DI62" s="44"/>
      <c r="DK62" s="44"/>
      <c r="DL62" s="44"/>
      <c r="DM62" s="44"/>
      <c r="DN62" s="44"/>
      <c r="DO62" s="44"/>
      <c r="DP62" s="44"/>
      <c r="DQ62" s="44"/>
      <c r="DR62" s="44"/>
      <c r="DS62" s="44"/>
      <c r="DT62" s="44"/>
      <c r="DU62" s="44"/>
      <c r="DV62" s="44"/>
      <c r="DW62" s="44"/>
      <c r="DX62" s="44"/>
      <c r="DY62" s="44">
        <v>600</v>
      </c>
      <c r="DZ62" s="47"/>
      <c r="EA62" s="47"/>
      <c r="EB62" s="47"/>
    </row>
    <row r="63" spans="3:132" s="32" customFormat="1" ht="27.6">
      <c r="C63" s="76">
        <v>44214</v>
      </c>
      <c r="D63" s="34" t="s">
        <v>759</v>
      </c>
      <c r="E63" s="286" t="s">
        <v>775</v>
      </c>
      <c r="F63" s="61">
        <v>0.72083333333333333</v>
      </c>
      <c r="G63" s="61">
        <v>0.72152777777777777</v>
      </c>
      <c r="H63" s="55" t="s">
        <v>0</v>
      </c>
      <c r="I63" s="38">
        <v>1</v>
      </c>
      <c r="J63" s="39">
        <v>701</v>
      </c>
      <c r="K63" s="51" t="str">
        <f>VLOOKUP(J63,'[2]Chart of accounts'!A:H,2,FALSE)</f>
        <v>50101010 01</v>
      </c>
      <c r="L63" s="39"/>
      <c r="M63" s="39"/>
      <c r="N63" s="34"/>
      <c r="O63" s="34"/>
      <c r="P63" s="34"/>
      <c r="Q63" s="53" t="s">
        <v>1</v>
      </c>
      <c r="R63" s="53" t="s">
        <v>1</v>
      </c>
      <c r="S63" s="41" t="s">
        <v>776</v>
      </c>
      <c r="T63" s="42" t="s">
        <v>777</v>
      </c>
      <c r="U63" s="42" t="s">
        <v>762</v>
      </c>
      <c r="V63" s="43">
        <v>377147</v>
      </c>
      <c r="W63" s="52"/>
      <c r="X63" s="49">
        <v>377147</v>
      </c>
      <c r="Y63" s="44">
        <f t="shared" ref="Y63:Y120" si="4">+V63-X63</f>
        <v>0</v>
      </c>
      <c r="Z63" s="45"/>
      <c r="AA63" s="46"/>
      <c r="AB63" s="47"/>
      <c r="AC63" s="47"/>
      <c r="AD63" s="47"/>
      <c r="AE63" s="47"/>
      <c r="AF63" s="47"/>
      <c r="AG63" s="44"/>
      <c r="AH63" s="44"/>
      <c r="AI63" s="44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44"/>
      <c r="BB63" s="44"/>
      <c r="BC63" s="44"/>
      <c r="BD63" s="44"/>
      <c r="BE63" s="43">
        <v>377147</v>
      </c>
      <c r="BF63" s="48"/>
      <c r="BG63" s="44"/>
      <c r="BH63" s="44"/>
      <c r="BI63" s="44"/>
      <c r="BJ63" s="44"/>
      <c r="BK63" s="44"/>
      <c r="BL63" s="44"/>
      <c r="BM63" s="44"/>
      <c r="BN63" s="44"/>
      <c r="BO63" s="44"/>
      <c r="BP63" s="44"/>
      <c r="BQ63" s="44"/>
      <c r="BR63" s="49"/>
      <c r="BS63" s="44"/>
      <c r="BT63" s="44"/>
      <c r="BU63" s="44"/>
      <c r="BV63" s="43">
        <v>377147</v>
      </c>
      <c r="BW63" s="47"/>
      <c r="BX63" s="44"/>
      <c r="BY63" s="50"/>
      <c r="BZ63" s="44"/>
      <c r="CA63" s="44"/>
      <c r="CB63" s="44"/>
      <c r="CC63" s="44"/>
      <c r="CD63" s="43">
        <f t="shared" ref="CD63:CD68" si="5">SUM(CF63:EB63)-Y63</f>
        <v>0</v>
      </c>
      <c r="CE63" s="44"/>
      <c r="CF63" s="65"/>
      <c r="CG63" s="44"/>
      <c r="CH63" s="44"/>
      <c r="CI63" s="44"/>
      <c r="CJ63" s="47"/>
      <c r="CK63" s="44"/>
      <c r="CL63" s="44"/>
      <c r="CM63" s="44"/>
      <c r="CN63" s="44"/>
      <c r="CO63" s="44"/>
      <c r="CP63" s="44"/>
      <c r="CQ63" s="44"/>
      <c r="CR63" s="44"/>
      <c r="CS63" s="44"/>
      <c r="CT63" s="44"/>
      <c r="CU63" s="44"/>
      <c r="CV63" s="44"/>
      <c r="CW63" s="44"/>
      <c r="CX63" s="44"/>
      <c r="CY63" s="44"/>
      <c r="CZ63" s="50"/>
      <c r="DA63" s="44"/>
      <c r="DB63" s="44"/>
      <c r="DC63" s="44"/>
      <c r="DD63" s="44"/>
      <c r="DE63" s="44"/>
      <c r="DF63" s="44"/>
      <c r="DG63" s="44"/>
      <c r="DH63" s="44"/>
      <c r="DI63" s="44"/>
      <c r="DJ63" s="44"/>
      <c r="DK63" s="44"/>
      <c r="DL63" s="44"/>
      <c r="DM63" s="44"/>
      <c r="DN63" s="44"/>
      <c r="DO63" s="44"/>
      <c r="DP63" s="44"/>
      <c r="DQ63" s="44"/>
      <c r="DR63" s="44"/>
      <c r="DS63" s="44"/>
      <c r="DT63" s="44"/>
      <c r="DU63" s="44"/>
      <c r="DV63" s="44"/>
      <c r="DW63" s="44"/>
      <c r="DX63" s="44"/>
      <c r="DY63" s="44"/>
      <c r="DZ63" s="47"/>
      <c r="EA63" s="47"/>
      <c r="EB63" s="47"/>
    </row>
    <row r="64" spans="3:132" s="32" customFormat="1" ht="27.6">
      <c r="C64" s="76">
        <v>44214</v>
      </c>
      <c r="D64" s="34" t="s">
        <v>759</v>
      </c>
      <c r="E64" s="286" t="s">
        <v>775</v>
      </c>
      <c r="F64" s="61">
        <v>0.72083333333333333</v>
      </c>
      <c r="G64" s="61">
        <v>0.72152777777777777</v>
      </c>
      <c r="H64" s="55" t="s">
        <v>0</v>
      </c>
      <c r="I64" s="38">
        <v>1</v>
      </c>
      <c r="J64" s="39">
        <v>711</v>
      </c>
      <c r="K64" s="51" t="str">
        <f>VLOOKUP(J64,'[2]Chart of accounts'!A:H,2,FALSE)</f>
        <v>50102010 01</v>
      </c>
      <c r="L64" s="39"/>
      <c r="M64" s="39"/>
      <c r="N64" s="34"/>
      <c r="O64" s="34"/>
      <c r="P64" s="34"/>
      <c r="Q64" s="53" t="s">
        <v>1</v>
      </c>
      <c r="R64" s="53" t="s">
        <v>1</v>
      </c>
      <c r="S64" s="41" t="s">
        <v>776</v>
      </c>
      <c r="T64" s="42" t="s">
        <v>777</v>
      </c>
      <c r="U64" s="42" t="s">
        <v>762</v>
      </c>
      <c r="V64" s="43">
        <v>22000</v>
      </c>
      <c r="W64" s="52"/>
      <c r="X64" s="49">
        <v>22000</v>
      </c>
      <c r="Y64" s="44">
        <f t="shared" si="4"/>
        <v>0</v>
      </c>
      <c r="Z64" s="45"/>
      <c r="AA64" s="46"/>
      <c r="AB64" s="47"/>
      <c r="AC64" s="47"/>
      <c r="AD64" s="47"/>
      <c r="AE64" s="47"/>
      <c r="AF64" s="47"/>
      <c r="AG64" s="44"/>
      <c r="AH64" s="44"/>
      <c r="AI64" s="44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4"/>
      <c r="BB64" s="44"/>
      <c r="BC64" s="44"/>
      <c r="BD64" s="44"/>
      <c r="BF64" s="48"/>
      <c r="BG64" s="43">
        <v>22000</v>
      </c>
      <c r="BH64" s="44"/>
      <c r="BI64" s="44"/>
      <c r="BJ64" s="44"/>
      <c r="BK64" s="44"/>
      <c r="BL64" s="44"/>
      <c r="BM64" s="44"/>
      <c r="BN64" s="44"/>
      <c r="BO64" s="44"/>
      <c r="BP64" s="44"/>
      <c r="BQ64" s="44"/>
      <c r="BR64" s="49"/>
      <c r="BS64" s="44"/>
      <c r="BT64" s="44"/>
      <c r="BU64" s="44"/>
      <c r="BV64" s="43">
        <v>22000</v>
      </c>
      <c r="BW64" s="47"/>
      <c r="BX64" s="44"/>
      <c r="BY64" s="50"/>
      <c r="BZ64" s="44"/>
      <c r="CA64" s="44"/>
      <c r="CB64" s="44"/>
      <c r="CC64" s="44"/>
      <c r="CD64" s="43">
        <f t="shared" si="5"/>
        <v>0</v>
      </c>
      <c r="CE64" s="44"/>
      <c r="CF64" s="65"/>
      <c r="CG64" s="44"/>
      <c r="CH64" s="44"/>
      <c r="CI64" s="44"/>
      <c r="CJ64" s="47"/>
      <c r="CK64" s="44"/>
      <c r="CL64" s="44"/>
      <c r="CM64" s="44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44"/>
      <c r="CY64" s="44"/>
      <c r="CZ64" s="50"/>
      <c r="DA64" s="44"/>
      <c r="DB64" s="44"/>
      <c r="DC64" s="44"/>
      <c r="DD64" s="44"/>
      <c r="DE64" s="44"/>
      <c r="DF64" s="44"/>
      <c r="DG64" s="44"/>
      <c r="DH64" s="44"/>
      <c r="DI64" s="44"/>
      <c r="DJ64" s="44"/>
      <c r="DK64" s="44"/>
      <c r="DL64" s="44"/>
      <c r="DM64" s="44"/>
      <c r="DN64" s="44"/>
      <c r="DO64" s="44"/>
      <c r="DP64" s="44"/>
      <c r="DQ64" s="44"/>
      <c r="DR64" s="44"/>
      <c r="DS64" s="44"/>
      <c r="DT64" s="44"/>
      <c r="DU64" s="44"/>
      <c r="DV64" s="44"/>
      <c r="DW64" s="44"/>
      <c r="DX64" s="44"/>
      <c r="DY64" s="44"/>
      <c r="DZ64" s="47"/>
      <c r="EA64" s="47"/>
      <c r="EB64" s="47"/>
    </row>
    <row r="65" spans="3:132" s="32" customFormat="1" ht="27.6">
      <c r="C65" s="76">
        <v>44214</v>
      </c>
      <c r="D65" s="34" t="s">
        <v>759</v>
      </c>
      <c r="E65" s="286" t="s">
        <v>775</v>
      </c>
      <c r="F65" s="61">
        <v>0.72083333333333333</v>
      </c>
      <c r="G65" s="61">
        <v>0.72152777777777777</v>
      </c>
      <c r="H65" s="55" t="s">
        <v>0</v>
      </c>
      <c r="I65" s="38">
        <v>1</v>
      </c>
      <c r="J65" s="39">
        <v>731</v>
      </c>
      <c r="K65" s="51" t="str">
        <f>VLOOKUP(J65,'[2]Chart of accounts'!A:H,2,FALSE)</f>
        <v>50103010 00</v>
      </c>
      <c r="L65" s="39"/>
      <c r="M65" s="39"/>
      <c r="N65" s="34"/>
      <c r="O65" s="34"/>
      <c r="P65" s="34"/>
      <c r="Q65" s="53" t="s">
        <v>1</v>
      </c>
      <c r="R65" s="53" t="s">
        <v>1</v>
      </c>
      <c r="S65" s="41" t="s">
        <v>776</v>
      </c>
      <c r="T65" s="42" t="s">
        <v>777</v>
      </c>
      <c r="U65" s="42" t="s">
        <v>762</v>
      </c>
      <c r="V65" s="43">
        <v>45257.64</v>
      </c>
      <c r="W65" s="52"/>
      <c r="X65" s="49">
        <v>45257.64</v>
      </c>
      <c r="Y65" s="44">
        <f t="shared" si="4"/>
        <v>0</v>
      </c>
      <c r="Z65" s="45"/>
      <c r="AA65" s="46"/>
      <c r="AB65" s="47"/>
      <c r="AC65" s="47"/>
      <c r="AD65" s="47"/>
      <c r="AE65" s="47"/>
      <c r="AF65" s="47"/>
      <c r="AG65" s="44"/>
      <c r="AH65" s="44"/>
      <c r="AI65" s="44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7"/>
      <c r="AZ65" s="47"/>
      <c r="BA65" s="44"/>
      <c r="BB65" s="44"/>
      <c r="BC65" s="44"/>
      <c r="BD65" s="44"/>
      <c r="BF65" s="48"/>
      <c r="BG65" s="44"/>
      <c r="BH65" s="44"/>
      <c r="BI65" s="44"/>
      <c r="BJ65" s="44"/>
      <c r="BK65" s="44"/>
      <c r="BL65" s="44"/>
      <c r="BM65" s="44"/>
      <c r="BN65" s="44"/>
      <c r="BO65" s="43">
        <v>45257.64</v>
      </c>
      <c r="BP65" s="44"/>
      <c r="BQ65" s="44"/>
      <c r="BR65" s="49"/>
      <c r="BS65" s="44"/>
      <c r="BT65" s="44"/>
      <c r="BU65" s="44"/>
      <c r="BV65" s="43">
        <v>45257.64</v>
      </c>
      <c r="BW65" s="47"/>
      <c r="BX65" s="44"/>
      <c r="BY65" s="50"/>
      <c r="BZ65" s="44"/>
      <c r="CA65" s="44"/>
      <c r="CB65" s="44"/>
      <c r="CC65" s="44"/>
      <c r="CD65" s="43">
        <f t="shared" si="5"/>
        <v>0</v>
      </c>
      <c r="CE65" s="44"/>
      <c r="CF65" s="65"/>
      <c r="CG65" s="44"/>
      <c r="CH65" s="44"/>
      <c r="CI65" s="44"/>
      <c r="CJ65" s="47"/>
      <c r="CK65" s="44"/>
      <c r="CL65" s="44"/>
      <c r="CM65" s="44"/>
      <c r="CN65" s="44"/>
      <c r="CO65" s="44"/>
      <c r="CP65" s="44"/>
      <c r="CQ65" s="44"/>
      <c r="CR65" s="44"/>
      <c r="CS65" s="44"/>
      <c r="CT65" s="44"/>
      <c r="CU65" s="44"/>
      <c r="CV65" s="44"/>
      <c r="CW65" s="44"/>
      <c r="CX65" s="44"/>
      <c r="CY65" s="44"/>
      <c r="CZ65" s="50"/>
      <c r="DA65" s="44"/>
      <c r="DB65" s="44"/>
      <c r="DC65" s="44"/>
      <c r="DD65" s="44"/>
      <c r="DE65" s="44"/>
      <c r="DF65" s="44"/>
      <c r="DG65" s="44"/>
      <c r="DH65" s="44"/>
      <c r="DI65" s="44"/>
      <c r="DJ65" s="44"/>
      <c r="DK65" s="44"/>
      <c r="DL65" s="44"/>
      <c r="DM65" s="44"/>
      <c r="DN65" s="44"/>
      <c r="DO65" s="44"/>
      <c r="DP65" s="44"/>
      <c r="DQ65" s="44"/>
      <c r="DR65" s="44"/>
      <c r="DS65" s="44"/>
      <c r="DT65" s="44"/>
      <c r="DU65" s="44"/>
      <c r="DV65" s="44"/>
      <c r="DW65" s="44"/>
      <c r="DX65" s="44"/>
      <c r="DY65" s="44"/>
      <c r="DZ65" s="47"/>
      <c r="EA65" s="47"/>
      <c r="EB65" s="47"/>
    </row>
    <row r="66" spans="3:132" s="32" customFormat="1" ht="27.6">
      <c r="C66" s="76">
        <v>44214</v>
      </c>
      <c r="D66" s="34" t="s">
        <v>759</v>
      </c>
      <c r="E66" s="286" t="s">
        <v>775</v>
      </c>
      <c r="F66" s="61">
        <v>0.72083333333333333</v>
      </c>
      <c r="G66" s="61">
        <v>0.72152777777777777</v>
      </c>
      <c r="H66" s="55" t="s">
        <v>0</v>
      </c>
      <c r="I66" s="38">
        <v>1</v>
      </c>
      <c r="J66" s="39">
        <v>732</v>
      </c>
      <c r="K66" s="51" t="str">
        <f>VLOOKUP(J66,'[2]Chart of accounts'!A:H,2,FALSE)</f>
        <v>50103020 01</v>
      </c>
      <c r="L66" s="55"/>
      <c r="M66" s="55"/>
      <c r="N66" s="56"/>
      <c r="O66" s="56"/>
      <c r="P66" s="56"/>
      <c r="Q66" s="53" t="s">
        <v>1</v>
      </c>
      <c r="R66" s="53" t="s">
        <v>1</v>
      </c>
      <c r="S66" s="41" t="s">
        <v>776</v>
      </c>
      <c r="T66" s="42" t="s">
        <v>777</v>
      </c>
      <c r="U66" s="42" t="s">
        <v>762</v>
      </c>
      <c r="V66" s="43">
        <v>1100</v>
      </c>
      <c r="W66" s="52"/>
      <c r="X66" s="49">
        <v>1100</v>
      </c>
      <c r="Y66" s="44">
        <f t="shared" si="4"/>
        <v>0</v>
      </c>
      <c r="Z66" s="45"/>
      <c r="AA66" s="46"/>
      <c r="AB66" s="47"/>
      <c r="AC66" s="47"/>
      <c r="AD66" s="47"/>
      <c r="AE66" s="47"/>
      <c r="AF66" s="47"/>
      <c r="AG66" s="44"/>
      <c r="AH66" s="44"/>
      <c r="AI66" s="44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4"/>
      <c r="BB66" s="44"/>
      <c r="BC66" s="44"/>
      <c r="BD66" s="44"/>
      <c r="BF66" s="48"/>
      <c r="BG66" s="44"/>
      <c r="BH66" s="44"/>
      <c r="BI66" s="44"/>
      <c r="BJ66" s="44"/>
      <c r="BK66" s="44"/>
      <c r="BL66" s="44"/>
      <c r="BM66" s="44"/>
      <c r="BN66" s="44"/>
      <c r="BP66" s="43">
        <v>1100</v>
      </c>
      <c r="BQ66" s="44"/>
      <c r="BR66" s="49"/>
      <c r="BS66" s="44"/>
      <c r="BT66" s="44"/>
      <c r="BU66" s="44"/>
      <c r="BV66" s="43">
        <v>1100</v>
      </c>
      <c r="BW66" s="47"/>
      <c r="BX66" s="44"/>
      <c r="BY66" s="50"/>
      <c r="BZ66" s="44"/>
      <c r="CA66" s="44"/>
      <c r="CB66" s="44"/>
      <c r="CC66" s="44"/>
      <c r="CD66" s="43">
        <f t="shared" si="5"/>
        <v>0</v>
      </c>
      <c r="CE66" s="44"/>
      <c r="CF66" s="65"/>
      <c r="CG66" s="44"/>
      <c r="CH66" s="44"/>
      <c r="CI66" s="44"/>
      <c r="CJ66" s="47"/>
      <c r="CK66" s="44"/>
      <c r="CL66" s="44"/>
      <c r="CM66" s="44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44"/>
      <c r="CY66" s="44"/>
      <c r="CZ66" s="50"/>
      <c r="DA66" s="44"/>
      <c r="DB66" s="44"/>
      <c r="DC66" s="44"/>
      <c r="DD66" s="44"/>
      <c r="DE66" s="44"/>
      <c r="DF66" s="44"/>
      <c r="DG66" s="44"/>
      <c r="DH66" s="44"/>
      <c r="DI66" s="44"/>
      <c r="DJ66" s="44"/>
      <c r="DK66" s="44"/>
      <c r="DL66" s="44"/>
      <c r="DM66" s="44"/>
      <c r="DN66" s="44"/>
      <c r="DO66" s="44"/>
      <c r="DP66" s="44"/>
      <c r="DQ66" s="44"/>
      <c r="DR66" s="44"/>
      <c r="DS66" s="44"/>
      <c r="DT66" s="44"/>
      <c r="DU66" s="44"/>
      <c r="DV66" s="44"/>
      <c r="DW66" s="44"/>
      <c r="DX66" s="44"/>
      <c r="DY66" s="44"/>
      <c r="DZ66" s="47"/>
      <c r="EA66" s="47"/>
      <c r="EB66" s="47"/>
    </row>
    <row r="67" spans="3:132" s="32" customFormat="1" ht="27.6">
      <c r="C67" s="76">
        <v>44214</v>
      </c>
      <c r="D67" s="34" t="s">
        <v>759</v>
      </c>
      <c r="E67" s="286" t="s">
        <v>775</v>
      </c>
      <c r="F67" s="61">
        <v>0.72083333333333333</v>
      </c>
      <c r="G67" s="61">
        <v>0.72152777777777777</v>
      </c>
      <c r="H67" s="55" t="s">
        <v>0</v>
      </c>
      <c r="I67" s="38">
        <v>1</v>
      </c>
      <c r="J67" s="55">
        <v>733</v>
      </c>
      <c r="K67" s="51" t="str">
        <f>VLOOKUP(J67,'[2]Chart of accounts'!A:H,2,FALSE)</f>
        <v>50103030 01</v>
      </c>
      <c r="L67" s="55"/>
      <c r="M67" s="55"/>
      <c r="N67" s="56"/>
      <c r="O67" s="56"/>
      <c r="P67" s="56"/>
      <c r="Q67" s="53" t="s">
        <v>1</v>
      </c>
      <c r="R67" s="53" t="s">
        <v>1</v>
      </c>
      <c r="S67" s="41" t="s">
        <v>776</v>
      </c>
      <c r="T67" s="42" t="s">
        <v>777</v>
      </c>
      <c r="U67" s="42" t="s">
        <v>762</v>
      </c>
      <c r="V67" s="43">
        <v>5521.98</v>
      </c>
      <c r="W67" s="52"/>
      <c r="X67" s="49">
        <v>5521.98</v>
      </c>
      <c r="Y67" s="44">
        <f t="shared" si="4"/>
        <v>0</v>
      </c>
      <c r="Z67" s="45"/>
      <c r="AA67" s="46"/>
      <c r="AB67" s="47"/>
      <c r="AC67" s="47"/>
      <c r="AD67" s="47"/>
      <c r="AE67" s="47"/>
      <c r="AF67" s="47"/>
      <c r="AG67" s="44"/>
      <c r="AH67" s="44"/>
      <c r="AI67" s="44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  <c r="AZ67" s="47"/>
      <c r="BA67" s="44"/>
      <c r="BB67" s="44"/>
      <c r="BC67" s="44"/>
      <c r="BD67" s="44"/>
      <c r="BF67" s="48"/>
      <c r="BG67" s="44"/>
      <c r="BH67" s="44"/>
      <c r="BI67" s="44"/>
      <c r="BJ67" s="44"/>
      <c r="BK67" s="44"/>
      <c r="BL67" s="44"/>
      <c r="BM67" s="44"/>
      <c r="BN67" s="44"/>
      <c r="BO67" s="44"/>
      <c r="BP67" s="44"/>
      <c r="BQ67" s="43">
        <v>5521.98</v>
      </c>
      <c r="BR67" s="49"/>
      <c r="BS67" s="44"/>
      <c r="BT67" s="44"/>
      <c r="BU67" s="44"/>
      <c r="BV67" s="43">
        <v>5521.98</v>
      </c>
      <c r="BW67" s="47"/>
      <c r="BX67" s="44"/>
      <c r="BY67" s="50"/>
      <c r="BZ67" s="44"/>
      <c r="CA67" s="44"/>
      <c r="CB67" s="44"/>
      <c r="CC67" s="44"/>
      <c r="CD67" s="43">
        <f t="shared" si="5"/>
        <v>0</v>
      </c>
      <c r="CE67" s="44"/>
      <c r="CF67" s="65"/>
      <c r="CG67" s="44"/>
      <c r="CH67" s="44"/>
      <c r="CI67" s="44"/>
      <c r="CJ67" s="47"/>
      <c r="CK67" s="44"/>
      <c r="CL67" s="44"/>
      <c r="CM67" s="44"/>
      <c r="CN67" s="44"/>
      <c r="CO67" s="44"/>
      <c r="CP67" s="44"/>
      <c r="CQ67" s="44"/>
      <c r="CR67" s="44"/>
      <c r="CS67" s="44"/>
      <c r="CT67" s="44"/>
      <c r="CU67" s="44"/>
      <c r="CV67" s="44"/>
      <c r="CW67" s="44"/>
      <c r="CX67" s="44"/>
      <c r="CY67" s="44"/>
      <c r="CZ67" s="50"/>
      <c r="DA67" s="44"/>
      <c r="DB67" s="44"/>
      <c r="DC67" s="44"/>
      <c r="DD67" s="44"/>
      <c r="DE67" s="44"/>
      <c r="DF67" s="44"/>
      <c r="DG67" s="44"/>
      <c r="DH67" s="44"/>
      <c r="DI67" s="44"/>
      <c r="DJ67" s="44"/>
      <c r="DK67" s="44"/>
      <c r="DL67" s="44"/>
      <c r="DM67" s="44"/>
      <c r="DN67" s="44"/>
      <c r="DO67" s="44"/>
      <c r="DP67" s="44"/>
      <c r="DQ67" s="44"/>
      <c r="DR67" s="44"/>
      <c r="DS67" s="44"/>
      <c r="DT67" s="44"/>
      <c r="DU67" s="44"/>
      <c r="DV67" s="44"/>
      <c r="DW67" s="44"/>
      <c r="DX67" s="44"/>
      <c r="DY67" s="44"/>
      <c r="DZ67" s="47"/>
      <c r="EA67" s="47"/>
      <c r="EB67" s="47"/>
    </row>
    <row r="68" spans="3:132" s="32" customFormat="1" ht="27.6">
      <c r="C68" s="76">
        <v>44214</v>
      </c>
      <c r="D68" s="34" t="s">
        <v>759</v>
      </c>
      <c r="E68" s="286" t="s">
        <v>775</v>
      </c>
      <c r="F68" s="61">
        <v>0.72083333333333333</v>
      </c>
      <c r="G68" s="61">
        <v>0.72152777777777777</v>
      </c>
      <c r="H68" s="55" t="s">
        <v>0</v>
      </c>
      <c r="I68" s="38">
        <v>1</v>
      </c>
      <c r="J68" s="55">
        <v>734</v>
      </c>
      <c r="K68" s="51" t="str">
        <f>VLOOKUP(J68,'[2]Chart of accounts'!A:H,2,FALSE)</f>
        <v>50103040 01</v>
      </c>
      <c r="L68" s="55"/>
      <c r="M68" s="55"/>
      <c r="N68" s="56"/>
      <c r="O68" s="56"/>
      <c r="P68" s="56"/>
      <c r="Q68" s="53" t="s">
        <v>1</v>
      </c>
      <c r="R68" s="53" t="s">
        <v>1</v>
      </c>
      <c r="S68" s="41" t="s">
        <v>776</v>
      </c>
      <c r="T68" s="42" t="s">
        <v>777</v>
      </c>
      <c r="U68" s="42" t="s">
        <v>762</v>
      </c>
      <c r="V68" s="43">
        <v>1100</v>
      </c>
      <c r="W68" s="52"/>
      <c r="X68" s="49">
        <v>1100</v>
      </c>
      <c r="Y68" s="44">
        <f t="shared" si="4"/>
        <v>0</v>
      </c>
      <c r="Z68" s="45"/>
      <c r="AA68" s="46"/>
      <c r="AB68" s="47"/>
      <c r="AC68" s="47"/>
      <c r="AD68" s="47"/>
      <c r="AE68" s="47"/>
      <c r="AF68" s="47"/>
      <c r="AG68" s="44"/>
      <c r="AH68" s="44"/>
      <c r="AI68" s="44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  <c r="AZ68" s="47"/>
      <c r="BA68" s="44"/>
      <c r="BB68" s="44"/>
      <c r="BC68" s="44"/>
      <c r="BD68" s="44"/>
      <c r="BF68" s="48"/>
      <c r="BG68" s="44"/>
      <c r="BH68" s="44"/>
      <c r="BI68" s="44"/>
      <c r="BJ68" s="44"/>
      <c r="BK68" s="44"/>
      <c r="BL68" s="44"/>
      <c r="BM68" s="44"/>
      <c r="BN68" s="44"/>
      <c r="BO68" s="44"/>
      <c r="BP68" s="44"/>
      <c r="BR68" s="43">
        <v>1100</v>
      </c>
      <c r="BS68" s="44"/>
      <c r="BT68" s="44"/>
      <c r="BU68" s="44"/>
      <c r="BV68" s="43">
        <v>1100</v>
      </c>
      <c r="BW68" s="47"/>
      <c r="BX68" s="44"/>
      <c r="BY68" s="50"/>
      <c r="BZ68" s="44"/>
      <c r="CA68" s="44"/>
      <c r="CB68" s="44"/>
      <c r="CC68" s="44"/>
      <c r="CD68" s="43">
        <f t="shared" si="5"/>
        <v>0</v>
      </c>
      <c r="CE68" s="44"/>
      <c r="CF68" s="65"/>
      <c r="CG68" s="44"/>
      <c r="CH68" s="44"/>
      <c r="CI68" s="44"/>
      <c r="CJ68" s="47"/>
      <c r="CK68" s="44"/>
      <c r="CL68" s="44"/>
      <c r="CM68" s="44"/>
      <c r="CN68" s="44"/>
      <c r="CO68" s="44"/>
      <c r="CP68" s="44"/>
      <c r="CQ68" s="44"/>
      <c r="CR68" s="44"/>
      <c r="CS68" s="44"/>
      <c r="CT68" s="44"/>
      <c r="CU68" s="44"/>
      <c r="CV68" s="44"/>
      <c r="CW68" s="44"/>
      <c r="CX68" s="44"/>
      <c r="CY68" s="44"/>
      <c r="CZ68" s="50"/>
      <c r="DA68" s="44"/>
      <c r="DB68" s="44"/>
      <c r="DC68" s="44"/>
      <c r="DD68" s="44"/>
      <c r="DE68" s="44"/>
      <c r="DF68" s="44"/>
      <c r="DG68" s="44"/>
      <c r="DH68" s="44"/>
      <c r="DI68" s="44"/>
      <c r="DJ68" s="44"/>
      <c r="DK68" s="44"/>
      <c r="DL68" s="44"/>
      <c r="DM68" s="44"/>
      <c r="DN68" s="44"/>
      <c r="DO68" s="44"/>
      <c r="DP68" s="44"/>
      <c r="DQ68" s="44"/>
      <c r="DR68" s="44"/>
      <c r="DS68" s="44"/>
      <c r="DT68" s="44"/>
      <c r="DU68" s="44"/>
      <c r="DV68" s="44"/>
      <c r="DW68" s="44"/>
      <c r="DX68" s="44"/>
      <c r="DY68" s="44"/>
      <c r="DZ68" s="47"/>
      <c r="EA68" s="47"/>
      <c r="EB68" s="47"/>
    </row>
    <row r="69" spans="3:132" s="75" customFormat="1" ht="27.6">
      <c r="C69" s="76">
        <v>44214</v>
      </c>
      <c r="D69" s="56" t="s">
        <v>759</v>
      </c>
      <c r="E69" s="293" t="s">
        <v>778</v>
      </c>
      <c r="F69" s="61">
        <v>0.72152777777777777</v>
      </c>
      <c r="G69" s="61">
        <v>0.72222222222222221</v>
      </c>
      <c r="H69" s="55" t="s">
        <v>0</v>
      </c>
      <c r="I69" s="38">
        <v>2</v>
      </c>
      <c r="J69" s="55">
        <v>782</v>
      </c>
      <c r="K69" s="37" t="str">
        <f>VLOOKUP(J69,'[2]Chart of accounts'!A:H,2,FALSE)</f>
        <v>50299050 01</v>
      </c>
      <c r="L69" s="55"/>
      <c r="M69" s="55"/>
      <c r="N69" s="56"/>
      <c r="O69" s="56"/>
      <c r="P69" s="56"/>
      <c r="Q69" s="131" t="s">
        <v>3</v>
      </c>
      <c r="R69" s="131" t="s">
        <v>3</v>
      </c>
      <c r="S69" s="66" t="s">
        <v>2</v>
      </c>
      <c r="T69" s="58" t="s">
        <v>779</v>
      </c>
      <c r="U69" s="58" t="s">
        <v>850</v>
      </c>
      <c r="V69" s="43">
        <f>160190.04</f>
        <v>160190.04</v>
      </c>
      <c r="W69" s="67"/>
      <c r="X69" s="74"/>
      <c r="Y69" s="43">
        <f t="shared" si="4"/>
        <v>160190.04</v>
      </c>
      <c r="Z69" s="69"/>
      <c r="AA69" s="70"/>
      <c r="AB69" s="71"/>
      <c r="AC69" s="71"/>
      <c r="AD69" s="71"/>
      <c r="AE69" s="71"/>
      <c r="AF69" s="71"/>
      <c r="AG69" s="43"/>
      <c r="AH69" s="43"/>
      <c r="AI69" s="43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43"/>
      <c r="BB69" s="43"/>
      <c r="BC69" s="43"/>
      <c r="BD69" s="43"/>
      <c r="BF69" s="135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74"/>
      <c r="BS69" s="43"/>
      <c r="BT69" s="43"/>
      <c r="BU69" s="43"/>
      <c r="BV69" s="43">
        <f>160190.04</f>
        <v>160190.04</v>
      </c>
      <c r="BW69" s="71"/>
      <c r="BX69" s="43"/>
      <c r="BY69" s="239"/>
      <c r="BZ69" s="43"/>
      <c r="CA69" s="43"/>
      <c r="CB69" s="43"/>
      <c r="CC69" s="43"/>
      <c r="CD69" s="43"/>
      <c r="CE69" s="43"/>
      <c r="CF69" s="63"/>
      <c r="CG69" s="43"/>
      <c r="CH69" s="43"/>
      <c r="CI69" s="43"/>
      <c r="CJ69" s="164"/>
      <c r="CK69" s="43"/>
      <c r="CL69" s="43"/>
      <c r="CM69" s="68"/>
      <c r="CN69" s="43"/>
      <c r="CO69" s="43"/>
      <c r="CP69" s="43"/>
      <c r="CQ69" s="43"/>
      <c r="CR69" s="43"/>
      <c r="CS69" s="43"/>
      <c r="CT69" s="43"/>
      <c r="CU69" s="43"/>
      <c r="CV69" s="43"/>
      <c r="CW69" s="68"/>
      <c r="CX69" s="43">
        <f>160190.04</f>
        <v>160190.04</v>
      </c>
      <c r="CY69" s="43"/>
      <c r="CZ69" s="239"/>
      <c r="DA69" s="43"/>
      <c r="DB69" s="43"/>
      <c r="DC69" s="43"/>
      <c r="DD69" s="43"/>
      <c r="DE69" s="43"/>
      <c r="DF69" s="43"/>
      <c r="DG69" s="68"/>
      <c r="DH69" s="43"/>
      <c r="DI69" s="43"/>
      <c r="DJ69" s="68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71"/>
      <c r="EA69" s="71"/>
      <c r="EB69" s="71"/>
    </row>
    <row r="70" spans="3:132" s="32" customFormat="1" ht="27.6">
      <c r="C70" s="76">
        <v>44214</v>
      </c>
      <c r="D70" s="34" t="s">
        <v>759</v>
      </c>
      <c r="E70" s="286" t="s">
        <v>849</v>
      </c>
      <c r="F70" s="61">
        <v>0.72152777777777777</v>
      </c>
      <c r="G70" s="36">
        <v>0.72430555555555554</v>
      </c>
      <c r="H70" s="55" t="s">
        <v>0</v>
      </c>
      <c r="I70" s="38">
        <v>2</v>
      </c>
      <c r="J70" s="39">
        <v>782</v>
      </c>
      <c r="K70" s="51" t="str">
        <f>VLOOKUP(J70,'[2]Chart of accounts'!A:H,2,FALSE)</f>
        <v>50299050 01</v>
      </c>
      <c r="L70" s="39"/>
      <c r="M70" s="39"/>
      <c r="N70" s="34"/>
      <c r="O70" s="34"/>
      <c r="P70" s="34"/>
      <c r="Q70" s="40" t="s">
        <v>3</v>
      </c>
      <c r="R70" s="40" t="s">
        <v>3</v>
      </c>
      <c r="S70" s="41" t="s">
        <v>2</v>
      </c>
      <c r="T70" s="42" t="s">
        <v>779</v>
      </c>
      <c r="U70" s="42" t="s">
        <v>780</v>
      </c>
      <c r="V70" s="44">
        <v>10311.43</v>
      </c>
      <c r="W70" s="52"/>
      <c r="X70" s="49"/>
      <c r="Y70" s="44">
        <f t="shared" si="4"/>
        <v>10311.43</v>
      </c>
      <c r="Z70" s="45"/>
      <c r="AA70" s="46"/>
      <c r="AB70" s="47"/>
      <c r="AC70" s="47"/>
      <c r="AD70" s="47"/>
      <c r="AE70" s="47"/>
      <c r="AF70" s="47"/>
      <c r="AG70" s="44"/>
      <c r="AH70" s="44"/>
      <c r="AI70" s="44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4"/>
      <c r="BB70" s="44"/>
      <c r="BC70" s="44"/>
      <c r="BD70" s="44"/>
      <c r="BE70" s="44"/>
      <c r="BF70" s="48"/>
      <c r="BG70" s="44"/>
      <c r="BH70" s="44"/>
      <c r="BI70" s="44"/>
      <c r="BJ70" s="44"/>
      <c r="BK70" s="44"/>
      <c r="BL70" s="44"/>
      <c r="BM70" s="44"/>
      <c r="BN70" s="44"/>
      <c r="BO70" s="44"/>
      <c r="BP70" s="44"/>
      <c r="BQ70" s="44"/>
      <c r="BR70" s="49"/>
      <c r="BS70" s="44"/>
      <c r="BT70" s="44"/>
      <c r="BU70" s="44"/>
      <c r="BV70" s="44">
        <v>10311.43</v>
      </c>
      <c r="BW70" s="47"/>
      <c r="BX70" s="44"/>
      <c r="BY70" s="50"/>
      <c r="BZ70" s="44"/>
      <c r="CA70" s="44"/>
      <c r="CB70" s="44"/>
      <c r="CC70" s="44"/>
      <c r="CD70" s="43"/>
      <c r="CE70" s="44"/>
      <c r="CF70" s="65"/>
      <c r="CG70" s="44"/>
      <c r="CH70" s="44"/>
      <c r="CI70" s="44"/>
      <c r="CK70" s="44"/>
      <c r="CL70" s="44"/>
      <c r="CN70" s="44"/>
      <c r="CO70" s="44"/>
      <c r="CP70" s="44"/>
      <c r="CQ70" s="44"/>
      <c r="CR70" s="44"/>
      <c r="CS70" s="44"/>
      <c r="CT70" s="44"/>
      <c r="CU70" s="44"/>
      <c r="CV70" s="44"/>
      <c r="CX70" s="44">
        <v>10311.43</v>
      </c>
      <c r="CY70" s="44"/>
      <c r="CZ70" s="50"/>
      <c r="DA70" s="44"/>
      <c r="DB70" s="44"/>
      <c r="DC70" s="44"/>
      <c r="DD70" s="44"/>
      <c r="DE70" s="44"/>
      <c r="DF70" s="44"/>
      <c r="DH70" s="44"/>
      <c r="DI70" s="44"/>
      <c r="DK70" s="44"/>
      <c r="DL70" s="44"/>
      <c r="DM70" s="44"/>
      <c r="DN70" s="44"/>
      <c r="DO70" s="44"/>
      <c r="DP70" s="44"/>
      <c r="DQ70" s="44"/>
      <c r="DR70" s="44"/>
      <c r="DS70" s="44"/>
      <c r="DT70" s="44"/>
      <c r="DU70" s="44"/>
      <c r="DV70" s="44"/>
      <c r="DW70" s="44"/>
      <c r="DX70" s="44"/>
      <c r="DY70" s="44"/>
      <c r="DZ70" s="47"/>
      <c r="EA70" s="47"/>
      <c r="EB70" s="47"/>
    </row>
    <row r="71" spans="3:132" s="32" customFormat="1" ht="27.6">
      <c r="C71" s="76">
        <v>44215</v>
      </c>
      <c r="D71" s="34" t="s">
        <v>759</v>
      </c>
      <c r="E71" s="286" t="s">
        <v>781</v>
      </c>
      <c r="F71" s="36">
        <v>0.54305555555555551</v>
      </c>
      <c r="G71" s="36">
        <v>0.54375000000000007</v>
      </c>
      <c r="H71" s="55" t="s">
        <v>0</v>
      </c>
      <c r="I71" s="38">
        <v>2</v>
      </c>
      <c r="J71" s="39">
        <v>892</v>
      </c>
      <c r="K71" s="51" t="str">
        <f>VLOOKUP(J71,'[2]Chart of accounts'!A:H,2,FALSE)</f>
        <v>50215020 00</v>
      </c>
      <c r="L71" s="39"/>
      <c r="M71" s="39"/>
      <c r="N71" s="34"/>
      <c r="O71" s="34"/>
      <c r="P71" s="34"/>
      <c r="Q71" s="40" t="s">
        <v>3</v>
      </c>
      <c r="R71" s="40" t="s">
        <v>3</v>
      </c>
      <c r="S71" s="41" t="s">
        <v>2</v>
      </c>
      <c r="T71" s="42" t="s">
        <v>782</v>
      </c>
      <c r="U71" s="42" t="s">
        <v>783</v>
      </c>
      <c r="V71" s="44">
        <v>11250</v>
      </c>
      <c r="W71" s="52"/>
      <c r="X71" s="49"/>
      <c r="Y71" s="44">
        <f t="shared" si="4"/>
        <v>11250</v>
      </c>
      <c r="Z71" s="45"/>
      <c r="AA71" s="46"/>
      <c r="AB71" s="47"/>
      <c r="AC71" s="47"/>
      <c r="AD71" s="47"/>
      <c r="AE71" s="47"/>
      <c r="AF71" s="47"/>
      <c r="AG71" s="44"/>
      <c r="AH71" s="44"/>
      <c r="AI71" s="44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4"/>
      <c r="BB71" s="44"/>
      <c r="BC71" s="44"/>
      <c r="BD71" s="44"/>
      <c r="BE71" s="44"/>
      <c r="BF71" s="48"/>
      <c r="BG71" s="44"/>
      <c r="BH71" s="44"/>
      <c r="BI71" s="44"/>
      <c r="BJ71" s="44"/>
      <c r="BK71" s="44"/>
      <c r="BL71" s="44"/>
      <c r="BM71" s="44"/>
      <c r="BN71" s="44"/>
      <c r="BO71" s="44"/>
      <c r="BP71" s="44"/>
      <c r="BQ71" s="44"/>
      <c r="BR71" s="49"/>
      <c r="BS71" s="44"/>
      <c r="BT71" s="44"/>
      <c r="BU71" s="44"/>
      <c r="BV71" s="44">
        <v>11250</v>
      </c>
      <c r="BW71" s="47"/>
      <c r="BX71" s="44"/>
      <c r="BY71" s="50"/>
      <c r="BZ71" s="44"/>
      <c r="CA71" s="44"/>
      <c r="CB71" s="44"/>
      <c r="CC71" s="44"/>
      <c r="CD71" s="43"/>
      <c r="CE71" s="44"/>
      <c r="CF71" s="65"/>
      <c r="CG71" s="44"/>
      <c r="CH71" s="44"/>
      <c r="CI71" s="44"/>
      <c r="CK71" s="44"/>
      <c r="CL71" s="44"/>
      <c r="CN71" s="44"/>
      <c r="CO71" s="44"/>
      <c r="CP71" s="44"/>
      <c r="CQ71" s="44"/>
      <c r="CR71" s="44"/>
      <c r="CS71" s="44"/>
      <c r="CT71" s="44"/>
      <c r="CU71" s="44"/>
      <c r="CV71" s="44"/>
      <c r="CX71" s="44"/>
      <c r="CY71" s="44"/>
      <c r="CZ71" s="50"/>
      <c r="DA71" s="44"/>
      <c r="DB71" s="44"/>
      <c r="DC71" s="44"/>
      <c r="DD71" s="44"/>
      <c r="DE71" s="44"/>
      <c r="DF71" s="44"/>
      <c r="DH71" s="44"/>
      <c r="DI71" s="44"/>
      <c r="DK71" s="44"/>
      <c r="DL71" s="44"/>
      <c r="DM71" s="44"/>
      <c r="DN71" s="44"/>
      <c r="DO71" s="44"/>
      <c r="DP71" s="44"/>
      <c r="DQ71" s="44"/>
      <c r="DR71" s="44"/>
      <c r="DS71" s="44"/>
      <c r="DT71" s="44"/>
      <c r="DU71" s="44"/>
      <c r="DV71" s="44">
        <v>11250</v>
      </c>
      <c r="DW71" s="44"/>
      <c r="DX71" s="44"/>
      <c r="DY71" s="44"/>
      <c r="DZ71" s="47"/>
      <c r="EA71" s="47"/>
      <c r="EB71" s="47"/>
    </row>
    <row r="72" spans="3:132" s="32" customFormat="1" ht="27.6">
      <c r="C72" s="76">
        <v>44215</v>
      </c>
      <c r="D72" s="34" t="s">
        <v>759</v>
      </c>
      <c r="E72" s="286" t="s">
        <v>787</v>
      </c>
      <c r="F72" s="61">
        <v>0.56527777777777777</v>
      </c>
      <c r="G72" s="61">
        <v>0.56597222222222221</v>
      </c>
      <c r="H72" s="55" t="s">
        <v>0</v>
      </c>
      <c r="I72" s="38">
        <v>1</v>
      </c>
      <c r="J72" s="39">
        <v>701</v>
      </c>
      <c r="K72" s="51" t="str">
        <f>VLOOKUP(J72,'[2]Chart of accounts'!A:H,2,FALSE)</f>
        <v>50101010 01</v>
      </c>
      <c r="L72" s="39"/>
      <c r="M72" s="39"/>
      <c r="N72" s="34"/>
      <c r="O72" s="34"/>
      <c r="P72" s="34"/>
      <c r="Q72" s="53" t="s">
        <v>1</v>
      </c>
      <c r="R72" s="53" t="s">
        <v>1</v>
      </c>
      <c r="S72" s="41" t="s">
        <v>788</v>
      </c>
      <c r="T72" s="42" t="s">
        <v>789</v>
      </c>
      <c r="U72" s="42" t="s">
        <v>762</v>
      </c>
      <c r="V72" s="43">
        <v>487450</v>
      </c>
      <c r="W72" s="52"/>
      <c r="X72" s="43">
        <v>487450</v>
      </c>
      <c r="Y72" s="44">
        <f t="shared" si="4"/>
        <v>0</v>
      </c>
      <c r="Z72" s="45"/>
      <c r="AA72" s="46"/>
      <c r="AB72" s="47"/>
      <c r="AC72" s="47"/>
      <c r="AD72" s="47"/>
      <c r="AE72" s="47"/>
      <c r="AF72" s="47"/>
      <c r="AG72" s="44"/>
      <c r="AH72" s="44"/>
      <c r="AI72" s="44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4"/>
      <c r="BB72" s="44"/>
      <c r="BC72" s="44"/>
      <c r="BD72" s="44"/>
      <c r="BE72" s="43">
        <v>487450</v>
      </c>
      <c r="BF72" s="48"/>
      <c r="BG72" s="44"/>
      <c r="BH72" s="44"/>
      <c r="BI72" s="44"/>
      <c r="BJ72" s="44"/>
      <c r="BK72" s="44"/>
      <c r="BL72" s="44"/>
      <c r="BM72" s="44"/>
      <c r="BN72" s="44"/>
      <c r="BO72" s="44"/>
      <c r="BP72" s="44"/>
      <c r="BQ72" s="44"/>
      <c r="BR72" s="49"/>
      <c r="BS72" s="44"/>
      <c r="BT72" s="44"/>
      <c r="BU72" s="44"/>
      <c r="BV72" s="43">
        <v>487450</v>
      </c>
      <c r="BW72" s="47"/>
      <c r="BX72" s="44"/>
      <c r="BY72" s="50"/>
      <c r="BZ72" s="44"/>
      <c r="CA72" s="44"/>
      <c r="CB72" s="44"/>
      <c r="CC72" s="44"/>
      <c r="CD72" s="43">
        <f t="shared" ref="CD72:CD77" si="6">SUM(CF72:EB72)-Y72</f>
        <v>0</v>
      </c>
      <c r="CE72" s="44"/>
      <c r="CF72" s="65"/>
      <c r="CG72" s="44"/>
      <c r="CH72" s="44"/>
      <c r="CI72" s="44"/>
      <c r="CJ72" s="47"/>
      <c r="CK72" s="44"/>
      <c r="CL72" s="44"/>
      <c r="CM72" s="44"/>
      <c r="CN72" s="44"/>
      <c r="CO72" s="44"/>
      <c r="CP72" s="44"/>
      <c r="CQ72" s="44"/>
      <c r="CR72" s="44"/>
      <c r="CS72" s="44"/>
      <c r="CT72" s="44"/>
      <c r="CU72" s="44"/>
      <c r="CV72" s="44"/>
      <c r="CW72" s="44"/>
      <c r="CX72" s="44"/>
      <c r="CY72" s="44"/>
      <c r="CZ72" s="50"/>
      <c r="DA72" s="44"/>
      <c r="DB72" s="44"/>
      <c r="DC72" s="44"/>
      <c r="DD72" s="44"/>
      <c r="DE72" s="44"/>
      <c r="DF72" s="44"/>
      <c r="DG72" s="44"/>
      <c r="DH72" s="44"/>
      <c r="DI72" s="44"/>
      <c r="DJ72" s="44"/>
      <c r="DK72" s="44"/>
      <c r="DL72" s="44"/>
      <c r="DM72" s="44"/>
      <c r="DN72" s="44"/>
      <c r="DO72" s="44"/>
      <c r="DP72" s="44"/>
      <c r="DQ72" s="44"/>
      <c r="DR72" s="44"/>
      <c r="DS72" s="44"/>
      <c r="DT72" s="44"/>
      <c r="DU72" s="44"/>
      <c r="DV72" s="44"/>
      <c r="DW72" s="44"/>
      <c r="DX72" s="44"/>
      <c r="DY72" s="44"/>
      <c r="DZ72" s="47"/>
      <c r="EA72" s="47"/>
      <c r="EB72" s="47"/>
    </row>
    <row r="73" spans="3:132" s="32" customFormat="1" ht="27.6">
      <c r="C73" s="76">
        <v>44215</v>
      </c>
      <c r="D73" s="34" t="s">
        <v>759</v>
      </c>
      <c r="E73" s="286" t="s">
        <v>787</v>
      </c>
      <c r="F73" s="61">
        <v>0.56527777777777777</v>
      </c>
      <c r="G73" s="61">
        <v>0.56597222222222221</v>
      </c>
      <c r="H73" s="55" t="s">
        <v>0</v>
      </c>
      <c r="I73" s="38">
        <v>1</v>
      </c>
      <c r="J73" s="39">
        <v>711</v>
      </c>
      <c r="K73" s="51" t="str">
        <f>VLOOKUP(J73,'[2]Chart of accounts'!A:H,2,FALSE)</f>
        <v>50102010 01</v>
      </c>
      <c r="L73" s="39"/>
      <c r="M73" s="39"/>
      <c r="N73" s="34"/>
      <c r="O73" s="34"/>
      <c r="P73" s="34"/>
      <c r="Q73" s="53" t="s">
        <v>1</v>
      </c>
      <c r="R73" s="53" t="s">
        <v>1</v>
      </c>
      <c r="S73" s="41" t="s">
        <v>788</v>
      </c>
      <c r="T73" s="42" t="s">
        <v>789</v>
      </c>
      <c r="U73" s="42" t="s">
        <v>762</v>
      </c>
      <c r="V73" s="43">
        <v>20000</v>
      </c>
      <c r="W73" s="52"/>
      <c r="X73" s="43">
        <v>20000</v>
      </c>
      <c r="Y73" s="44">
        <f t="shared" si="4"/>
        <v>0</v>
      </c>
      <c r="Z73" s="45"/>
      <c r="AA73" s="46"/>
      <c r="AB73" s="47"/>
      <c r="AC73" s="47"/>
      <c r="AD73" s="47"/>
      <c r="AE73" s="47"/>
      <c r="AF73" s="47"/>
      <c r="AG73" s="44"/>
      <c r="AH73" s="44"/>
      <c r="AI73" s="44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  <c r="AZ73" s="47"/>
      <c r="BA73" s="44"/>
      <c r="BB73" s="44"/>
      <c r="BC73" s="44"/>
      <c r="BD73" s="44"/>
      <c r="BF73" s="48"/>
      <c r="BG73" s="43">
        <v>20000</v>
      </c>
      <c r="BH73" s="44"/>
      <c r="BI73" s="44"/>
      <c r="BJ73" s="44"/>
      <c r="BK73" s="44"/>
      <c r="BL73" s="44"/>
      <c r="BM73" s="44"/>
      <c r="BN73" s="44"/>
      <c r="BO73" s="44"/>
      <c r="BP73" s="44"/>
      <c r="BQ73" s="44"/>
      <c r="BR73" s="49"/>
      <c r="BS73" s="44"/>
      <c r="BT73" s="44"/>
      <c r="BU73" s="44"/>
      <c r="BV73" s="43">
        <v>20000</v>
      </c>
      <c r="BW73" s="47"/>
      <c r="BX73" s="44"/>
      <c r="BY73" s="50"/>
      <c r="BZ73" s="44"/>
      <c r="CA73" s="44"/>
      <c r="CB73" s="44"/>
      <c r="CC73" s="44"/>
      <c r="CD73" s="43">
        <f t="shared" si="6"/>
        <v>0</v>
      </c>
      <c r="CE73" s="44"/>
      <c r="CF73" s="65"/>
      <c r="CG73" s="44"/>
      <c r="CH73" s="44"/>
      <c r="CI73" s="44"/>
      <c r="CJ73" s="47"/>
      <c r="CK73" s="44"/>
      <c r="CL73" s="44"/>
      <c r="CM73" s="44"/>
      <c r="CN73" s="44"/>
      <c r="CO73" s="44"/>
      <c r="CP73" s="44"/>
      <c r="CQ73" s="44"/>
      <c r="CR73" s="44"/>
      <c r="CS73" s="44"/>
      <c r="CT73" s="44"/>
      <c r="CU73" s="44"/>
      <c r="CV73" s="44"/>
      <c r="CW73" s="44"/>
      <c r="CX73" s="44"/>
      <c r="CY73" s="44"/>
      <c r="CZ73" s="50"/>
      <c r="DA73" s="44"/>
      <c r="DB73" s="44"/>
      <c r="DC73" s="44"/>
      <c r="DD73" s="44"/>
      <c r="DE73" s="44"/>
      <c r="DF73" s="44"/>
      <c r="DG73" s="44"/>
      <c r="DH73" s="44"/>
      <c r="DI73" s="44"/>
      <c r="DJ73" s="44"/>
      <c r="DK73" s="44"/>
      <c r="DL73" s="44"/>
      <c r="DM73" s="44"/>
      <c r="DN73" s="44"/>
      <c r="DO73" s="44"/>
      <c r="DP73" s="44"/>
      <c r="DQ73" s="44"/>
      <c r="DR73" s="44"/>
      <c r="DS73" s="44"/>
      <c r="DT73" s="44"/>
      <c r="DU73" s="44"/>
      <c r="DV73" s="44"/>
      <c r="DW73" s="44"/>
      <c r="DX73" s="44"/>
      <c r="DY73" s="44"/>
      <c r="DZ73" s="47"/>
      <c r="EA73" s="47"/>
      <c r="EB73" s="47"/>
    </row>
    <row r="74" spans="3:132" s="32" customFormat="1" ht="27.6">
      <c r="C74" s="76">
        <v>44215</v>
      </c>
      <c r="D74" s="34" t="s">
        <v>759</v>
      </c>
      <c r="E74" s="286" t="s">
        <v>787</v>
      </c>
      <c r="F74" s="61">
        <v>0.56527777777777777</v>
      </c>
      <c r="G74" s="61">
        <v>0.56597222222222221</v>
      </c>
      <c r="H74" s="55" t="s">
        <v>0</v>
      </c>
      <c r="I74" s="38">
        <v>1</v>
      </c>
      <c r="J74" s="39">
        <v>731</v>
      </c>
      <c r="K74" s="51" t="str">
        <f>VLOOKUP(J74,'[2]Chart of accounts'!A:H,2,FALSE)</f>
        <v>50103010 00</v>
      </c>
      <c r="L74" s="39"/>
      <c r="M74" s="39"/>
      <c r="N74" s="34"/>
      <c r="O74" s="34"/>
      <c r="P74" s="34"/>
      <c r="Q74" s="53" t="s">
        <v>1</v>
      </c>
      <c r="R74" s="53" t="s">
        <v>1</v>
      </c>
      <c r="S74" s="41" t="s">
        <v>788</v>
      </c>
      <c r="T74" s="42" t="s">
        <v>789</v>
      </c>
      <c r="U74" s="42" t="s">
        <v>762</v>
      </c>
      <c r="V74" s="43">
        <v>58494</v>
      </c>
      <c r="W74" s="52"/>
      <c r="X74" s="43">
        <v>58494</v>
      </c>
      <c r="Y74" s="44">
        <f t="shared" si="4"/>
        <v>0</v>
      </c>
      <c r="Z74" s="45"/>
      <c r="AA74" s="46"/>
      <c r="AB74" s="47"/>
      <c r="AC74" s="47"/>
      <c r="AD74" s="47"/>
      <c r="AE74" s="47"/>
      <c r="AF74" s="47"/>
      <c r="AG74" s="44"/>
      <c r="AH74" s="44"/>
      <c r="AI74" s="44"/>
      <c r="AJ74" s="47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7"/>
      <c r="AZ74" s="47"/>
      <c r="BA74" s="44"/>
      <c r="BB74" s="44"/>
      <c r="BC74" s="44"/>
      <c r="BD74" s="44"/>
      <c r="BF74" s="48"/>
      <c r="BG74" s="44"/>
      <c r="BH74" s="44"/>
      <c r="BI74" s="44"/>
      <c r="BJ74" s="44"/>
      <c r="BK74" s="44"/>
      <c r="BL74" s="44"/>
      <c r="BM74" s="44"/>
      <c r="BN74" s="44"/>
      <c r="BO74" s="43">
        <v>58494</v>
      </c>
      <c r="BP74" s="44"/>
      <c r="BQ74" s="44"/>
      <c r="BR74" s="49"/>
      <c r="BS74" s="44"/>
      <c r="BT74" s="44"/>
      <c r="BU74" s="44"/>
      <c r="BV74" s="43">
        <v>58494</v>
      </c>
      <c r="BW74" s="47"/>
      <c r="BX74" s="44"/>
      <c r="BY74" s="50"/>
      <c r="BZ74" s="44"/>
      <c r="CA74" s="44"/>
      <c r="CB74" s="44"/>
      <c r="CC74" s="44"/>
      <c r="CD74" s="43">
        <f t="shared" si="6"/>
        <v>0</v>
      </c>
      <c r="CE74" s="44"/>
      <c r="CF74" s="65"/>
      <c r="CG74" s="44"/>
      <c r="CH74" s="44"/>
      <c r="CI74" s="44"/>
      <c r="CJ74" s="47"/>
      <c r="CK74" s="44"/>
      <c r="CL74" s="44"/>
      <c r="CM74" s="44"/>
      <c r="CN74" s="44"/>
      <c r="CO74" s="44"/>
      <c r="CP74" s="44"/>
      <c r="CQ74" s="44"/>
      <c r="CR74" s="44"/>
      <c r="CS74" s="44"/>
      <c r="CT74" s="44"/>
      <c r="CU74" s="44"/>
      <c r="CV74" s="44"/>
      <c r="CW74" s="44"/>
      <c r="CX74" s="44"/>
      <c r="CY74" s="44"/>
      <c r="CZ74" s="50"/>
      <c r="DA74" s="44"/>
      <c r="DB74" s="44"/>
      <c r="DC74" s="44"/>
      <c r="DD74" s="44"/>
      <c r="DE74" s="44"/>
      <c r="DF74" s="44"/>
      <c r="DG74" s="44"/>
      <c r="DH74" s="44"/>
      <c r="DI74" s="44"/>
      <c r="DJ74" s="44"/>
      <c r="DK74" s="44"/>
      <c r="DL74" s="44"/>
      <c r="DM74" s="44"/>
      <c r="DN74" s="44"/>
      <c r="DO74" s="44"/>
      <c r="DP74" s="44"/>
      <c r="DQ74" s="44"/>
      <c r="DR74" s="44"/>
      <c r="DS74" s="44"/>
      <c r="DT74" s="44"/>
      <c r="DU74" s="44"/>
      <c r="DV74" s="44"/>
      <c r="DW74" s="44"/>
      <c r="DX74" s="44"/>
      <c r="DY74" s="44"/>
      <c r="DZ74" s="47"/>
      <c r="EA74" s="47"/>
      <c r="EB74" s="47"/>
    </row>
    <row r="75" spans="3:132" s="32" customFormat="1" ht="27.6">
      <c r="C75" s="76">
        <v>44215</v>
      </c>
      <c r="D75" s="34" t="s">
        <v>759</v>
      </c>
      <c r="E75" s="286" t="s">
        <v>787</v>
      </c>
      <c r="F75" s="61">
        <v>0.56527777777777777</v>
      </c>
      <c r="G75" s="61">
        <v>0.56597222222222221</v>
      </c>
      <c r="H75" s="55" t="s">
        <v>0</v>
      </c>
      <c r="I75" s="38">
        <v>1</v>
      </c>
      <c r="J75" s="39">
        <v>732</v>
      </c>
      <c r="K75" s="51" t="str">
        <f>VLOOKUP(J75,'[2]Chart of accounts'!A:H,2,FALSE)</f>
        <v>50103020 01</v>
      </c>
      <c r="L75" s="55"/>
      <c r="M75" s="55"/>
      <c r="N75" s="56"/>
      <c r="O75" s="56"/>
      <c r="P75" s="56"/>
      <c r="Q75" s="53" t="s">
        <v>1</v>
      </c>
      <c r="R75" s="53" t="s">
        <v>1</v>
      </c>
      <c r="S75" s="41" t="s">
        <v>788</v>
      </c>
      <c r="T75" s="42" t="s">
        <v>789</v>
      </c>
      <c r="U75" s="42" t="s">
        <v>762</v>
      </c>
      <c r="V75" s="43">
        <v>1000</v>
      </c>
      <c r="W75" s="52"/>
      <c r="X75" s="43">
        <v>1000</v>
      </c>
      <c r="Y75" s="44">
        <f t="shared" si="4"/>
        <v>0</v>
      </c>
      <c r="Z75" s="45"/>
      <c r="AA75" s="46"/>
      <c r="AB75" s="47"/>
      <c r="AC75" s="47"/>
      <c r="AD75" s="47"/>
      <c r="AE75" s="47"/>
      <c r="AF75" s="47"/>
      <c r="AG75" s="44"/>
      <c r="AH75" s="44"/>
      <c r="AI75" s="44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7"/>
      <c r="AZ75" s="47"/>
      <c r="BA75" s="44"/>
      <c r="BB75" s="44"/>
      <c r="BC75" s="44"/>
      <c r="BD75" s="44"/>
      <c r="BF75" s="48"/>
      <c r="BG75" s="44"/>
      <c r="BH75" s="44"/>
      <c r="BI75" s="44"/>
      <c r="BJ75" s="44"/>
      <c r="BK75" s="44"/>
      <c r="BL75" s="44"/>
      <c r="BM75" s="44"/>
      <c r="BN75" s="44"/>
      <c r="BP75" s="43">
        <v>1000</v>
      </c>
      <c r="BQ75" s="44"/>
      <c r="BR75" s="49"/>
      <c r="BS75" s="44"/>
      <c r="BT75" s="44"/>
      <c r="BU75" s="44"/>
      <c r="BV75" s="43">
        <v>1000</v>
      </c>
      <c r="BW75" s="47"/>
      <c r="BX75" s="44"/>
      <c r="BY75" s="50"/>
      <c r="BZ75" s="44"/>
      <c r="CA75" s="44"/>
      <c r="CB75" s="44"/>
      <c r="CC75" s="44"/>
      <c r="CD75" s="43">
        <f t="shared" si="6"/>
        <v>0</v>
      </c>
      <c r="CE75" s="44"/>
      <c r="CF75" s="65"/>
      <c r="CG75" s="44"/>
      <c r="CH75" s="44"/>
      <c r="CI75" s="44"/>
      <c r="CJ75" s="47"/>
      <c r="CK75" s="44"/>
      <c r="CL75" s="44"/>
      <c r="CM75" s="44"/>
      <c r="CN75" s="44"/>
      <c r="CO75" s="44"/>
      <c r="CP75" s="44"/>
      <c r="CQ75" s="44"/>
      <c r="CR75" s="44"/>
      <c r="CS75" s="44"/>
      <c r="CT75" s="44"/>
      <c r="CU75" s="44"/>
      <c r="CV75" s="44"/>
      <c r="CW75" s="44"/>
      <c r="CX75" s="44"/>
      <c r="CY75" s="44"/>
      <c r="CZ75" s="50"/>
      <c r="DA75" s="44"/>
      <c r="DB75" s="44"/>
      <c r="DC75" s="44"/>
      <c r="DD75" s="44"/>
      <c r="DE75" s="44"/>
      <c r="DF75" s="44"/>
      <c r="DG75" s="44"/>
      <c r="DH75" s="44"/>
      <c r="DI75" s="44"/>
      <c r="DJ75" s="44"/>
      <c r="DK75" s="44"/>
      <c r="DL75" s="44"/>
      <c r="DM75" s="44"/>
      <c r="DN75" s="44"/>
      <c r="DO75" s="44"/>
      <c r="DP75" s="44"/>
      <c r="DQ75" s="44"/>
      <c r="DR75" s="44"/>
      <c r="DS75" s="44"/>
      <c r="DT75" s="44"/>
      <c r="DU75" s="44"/>
      <c r="DV75" s="44"/>
      <c r="DW75" s="44"/>
      <c r="DX75" s="44"/>
      <c r="DY75" s="44"/>
      <c r="DZ75" s="47"/>
      <c r="EA75" s="47"/>
      <c r="EB75" s="47"/>
    </row>
    <row r="76" spans="3:132" s="32" customFormat="1" ht="27.6">
      <c r="C76" s="76">
        <v>44215</v>
      </c>
      <c r="D76" s="34" t="s">
        <v>759</v>
      </c>
      <c r="E76" s="286" t="s">
        <v>787</v>
      </c>
      <c r="F76" s="61">
        <v>0.56527777777777777</v>
      </c>
      <c r="G76" s="61">
        <v>0.56597222222222221</v>
      </c>
      <c r="H76" s="55" t="s">
        <v>0</v>
      </c>
      <c r="I76" s="38">
        <v>1</v>
      </c>
      <c r="J76" s="55">
        <v>733</v>
      </c>
      <c r="K76" s="51" t="str">
        <f>VLOOKUP(J76,'[2]Chart of accounts'!A:H,2,FALSE)</f>
        <v>50103030 01</v>
      </c>
      <c r="L76" s="55"/>
      <c r="M76" s="55"/>
      <c r="N76" s="56"/>
      <c r="O76" s="56"/>
      <c r="P76" s="56"/>
      <c r="Q76" s="53" t="s">
        <v>1</v>
      </c>
      <c r="R76" s="53" t="s">
        <v>1</v>
      </c>
      <c r="S76" s="41" t="s">
        <v>788</v>
      </c>
      <c r="T76" s="42" t="s">
        <v>789</v>
      </c>
      <c r="U76" s="42" t="s">
        <v>762</v>
      </c>
      <c r="V76" s="43">
        <v>6170.95</v>
      </c>
      <c r="W76" s="52"/>
      <c r="X76" s="43">
        <v>6170.95</v>
      </c>
      <c r="Y76" s="44">
        <f t="shared" si="4"/>
        <v>0</v>
      </c>
      <c r="Z76" s="45"/>
      <c r="AA76" s="46"/>
      <c r="AB76" s="47"/>
      <c r="AC76" s="47"/>
      <c r="AD76" s="47"/>
      <c r="AE76" s="47"/>
      <c r="AF76" s="47"/>
      <c r="AG76" s="44"/>
      <c r="AH76" s="44"/>
      <c r="AI76" s="44"/>
      <c r="AJ76" s="47"/>
      <c r="AK76" s="47"/>
      <c r="AL76" s="47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7"/>
      <c r="AZ76" s="47"/>
      <c r="BA76" s="44"/>
      <c r="BB76" s="44"/>
      <c r="BC76" s="44"/>
      <c r="BD76" s="44"/>
      <c r="BF76" s="48"/>
      <c r="BG76" s="44"/>
      <c r="BH76" s="44"/>
      <c r="BI76" s="44"/>
      <c r="BJ76" s="44"/>
      <c r="BK76" s="44"/>
      <c r="BL76" s="44"/>
      <c r="BM76" s="44"/>
      <c r="BN76" s="44"/>
      <c r="BO76" s="44"/>
      <c r="BP76" s="44"/>
      <c r="BQ76" s="43">
        <v>6170.95</v>
      </c>
      <c r="BS76" s="44"/>
      <c r="BT76" s="44"/>
      <c r="BU76" s="44"/>
      <c r="BV76" s="43">
        <v>6170.95</v>
      </c>
      <c r="BW76" s="47"/>
      <c r="BX76" s="44"/>
      <c r="BY76" s="50"/>
      <c r="BZ76" s="44"/>
      <c r="CA76" s="44"/>
      <c r="CB76" s="44"/>
      <c r="CC76" s="44"/>
      <c r="CD76" s="43">
        <f t="shared" si="6"/>
        <v>0</v>
      </c>
      <c r="CE76" s="44"/>
      <c r="CF76" s="65"/>
      <c r="CG76" s="44"/>
      <c r="CH76" s="44"/>
      <c r="CI76" s="44"/>
      <c r="CJ76" s="47"/>
      <c r="CK76" s="44"/>
      <c r="CL76" s="44"/>
      <c r="CM76" s="44"/>
      <c r="CN76" s="44"/>
      <c r="CO76" s="44"/>
      <c r="CP76" s="44"/>
      <c r="CQ76" s="44"/>
      <c r="CR76" s="44"/>
      <c r="CS76" s="44"/>
      <c r="CT76" s="44"/>
      <c r="CU76" s="44"/>
      <c r="CV76" s="44"/>
      <c r="CW76" s="44"/>
      <c r="CX76" s="44"/>
      <c r="CY76" s="44"/>
      <c r="CZ76" s="50"/>
      <c r="DA76" s="44"/>
      <c r="DB76" s="44"/>
      <c r="DC76" s="44"/>
      <c r="DD76" s="44"/>
      <c r="DE76" s="44"/>
      <c r="DF76" s="44"/>
      <c r="DG76" s="44"/>
      <c r="DH76" s="44"/>
      <c r="DI76" s="44"/>
      <c r="DJ76" s="44"/>
      <c r="DK76" s="44"/>
      <c r="DL76" s="44"/>
      <c r="DM76" s="44"/>
      <c r="DN76" s="44"/>
      <c r="DO76" s="44"/>
      <c r="DP76" s="44"/>
      <c r="DQ76" s="44"/>
      <c r="DR76" s="44"/>
      <c r="DS76" s="44"/>
      <c r="DT76" s="44"/>
      <c r="DU76" s="44"/>
      <c r="DV76" s="44"/>
      <c r="DW76" s="44"/>
      <c r="DX76" s="44"/>
      <c r="DY76" s="44"/>
      <c r="DZ76" s="47"/>
      <c r="EA76" s="47"/>
      <c r="EB76" s="47"/>
    </row>
    <row r="77" spans="3:132" s="32" customFormat="1" ht="27.6">
      <c r="C77" s="76">
        <v>44215</v>
      </c>
      <c r="D77" s="34" t="s">
        <v>759</v>
      </c>
      <c r="E77" s="286" t="s">
        <v>787</v>
      </c>
      <c r="F77" s="61">
        <v>0.56527777777777777</v>
      </c>
      <c r="G77" s="61">
        <v>0.56597222222222221</v>
      </c>
      <c r="H77" s="55" t="s">
        <v>0</v>
      </c>
      <c r="I77" s="38">
        <v>1</v>
      </c>
      <c r="J77" s="55">
        <v>734</v>
      </c>
      <c r="K77" s="51" t="str">
        <f>VLOOKUP(J77,'[2]Chart of accounts'!A:H,2,FALSE)</f>
        <v>50103040 01</v>
      </c>
      <c r="L77" s="55"/>
      <c r="M77" s="55"/>
      <c r="N77" s="56"/>
      <c r="O77" s="56"/>
      <c r="P77" s="56"/>
      <c r="Q77" s="53" t="s">
        <v>1</v>
      </c>
      <c r="R77" s="53" t="s">
        <v>1</v>
      </c>
      <c r="S77" s="41" t="s">
        <v>788</v>
      </c>
      <c r="T77" s="42" t="s">
        <v>789</v>
      </c>
      <c r="U77" s="42" t="s">
        <v>762</v>
      </c>
      <c r="V77" s="43">
        <v>1000</v>
      </c>
      <c r="W77" s="52"/>
      <c r="X77" s="43">
        <v>1000</v>
      </c>
      <c r="Y77" s="44">
        <f t="shared" si="4"/>
        <v>0</v>
      </c>
      <c r="Z77" s="45"/>
      <c r="AA77" s="46"/>
      <c r="AB77" s="47"/>
      <c r="AC77" s="47"/>
      <c r="AD77" s="47"/>
      <c r="AE77" s="47"/>
      <c r="AF77" s="47"/>
      <c r="AG77" s="44"/>
      <c r="AH77" s="44"/>
      <c r="AI77" s="44"/>
      <c r="AJ77" s="47"/>
      <c r="AK77" s="47"/>
      <c r="AL77" s="47"/>
      <c r="AM77" s="47"/>
      <c r="AN77" s="47"/>
      <c r="AO77" s="47"/>
      <c r="AP77" s="47"/>
      <c r="AQ77" s="47"/>
      <c r="AR77" s="47"/>
      <c r="AS77" s="47"/>
      <c r="AT77" s="47"/>
      <c r="AU77" s="47"/>
      <c r="AV77" s="47"/>
      <c r="AW77" s="47"/>
      <c r="AX77" s="47"/>
      <c r="AY77" s="47"/>
      <c r="AZ77" s="47"/>
      <c r="BA77" s="44"/>
      <c r="BB77" s="44"/>
      <c r="BC77" s="44"/>
      <c r="BD77" s="44"/>
      <c r="BF77" s="48"/>
      <c r="BG77" s="44"/>
      <c r="BH77" s="44"/>
      <c r="BI77" s="44"/>
      <c r="BJ77" s="44"/>
      <c r="BK77" s="44"/>
      <c r="BL77" s="44"/>
      <c r="BM77" s="44"/>
      <c r="BN77" s="44"/>
      <c r="BO77" s="44"/>
      <c r="BP77" s="44"/>
      <c r="BR77" s="43">
        <v>1000</v>
      </c>
      <c r="BS77" s="44"/>
      <c r="BT77" s="44"/>
      <c r="BU77" s="44"/>
      <c r="BV77" s="43">
        <v>1000</v>
      </c>
      <c r="BW77" s="47"/>
      <c r="BX77" s="44"/>
      <c r="BY77" s="50"/>
      <c r="BZ77" s="44"/>
      <c r="CA77" s="44"/>
      <c r="CB77" s="44"/>
      <c r="CC77" s="44"/>
      <c r="CD77" s="43">
        <f t="shared" si="6"/>
        <v>0</v>
      </c>
      <c r="CE77" s="44"/>
      <c r="CF77" s="65"/>
      <c r="CG77" s="44"/>
      <c r="CH77" s="44"/>
      <c r="CI77" s="44"/>
      <c r="CJ77" s="47"/>
      <c r="CK77" s="44"/>
      <c r="CL77" s="44"/>
      <c r="CM77" s="44"/>
      <c r="CN77" s="44"/>
      <c r="CO77" s="44"/>
      <c r="CP77" s="44"/>
      <c r="CQ77" s="44"/>
      <c r="CR77" s="44"/>
      <c r="CS77" s="44"/>
      <c r="CT77" s="44"/>
      <c r="CU77" s="44"/>
      <c r="CV77" s="44"/>
      <c r="CW77" s="44"/>
      <c r="CX77" s="44"/>
      <c r="CY77" s="44"/>
      <c r="CZ77" s="50"/>
      <c r="DA77" s="44"/>
      <c r="DB77" s="44"/>
      <c r="DC77" s="44"/>
      <c r="DD77" s="44"/>
      <c r="DE77" s="44"/>
      <c r="DF77" s="44"/>
      <c r="DG77" s="44"/>
      <c r="DH77" s="44"/>
      <c r="DI77" s="44"/>
      <c r="DJ77" s="44"/>
      <c r="DK77" s="44"/>
      <c r="DL77" s="44"/>
      <c r="DM77" s="44"/>
      <c r="DN77" s="44"/>
      <c r="DO77" s="44"/>
      <c r="DP77" s="44"/>
      <c r="DQ77" s="44"/>
      <c r="DR77" s="44"/>
      <c r="DS77" s="44"/>
      <c r="DT77" s="44"/>
      <c r="DU77" s="44"/>
      <c r="DV77" s="44"/>
      <c r="DW77" s="44"/>
      <c r="DX77" s="44"/>
      <c r="DY77" s="44"/>
      <c r="DZ77" s="47"/>
      <c r="EA77" s="47"/>
      <c r="EB77" s="47"/>
    </row>
    <row r="78" spans="3:132" s="32" customFormat="1" ht="27.6">
      <c r="C78" s="76">
        <v>44215</v>
      </c>
      <c r="D78" s="34" t="s">
        <v>759</v>
      </c>
      <c r="E78" s="286" t="s">
        <v>790</v>
      </c>
      <c r="F78" s="36">
        <v>0.71458333333333324</v>
      </c>
      <c r="G78" s="36">
        <v>0.71597222222222223</v>
      </c>
      <c r="H78" s="55" t="s">
        <v>0</v>
      </c>
      <c r="I78" s="38">
        <v>2</v>
      </c>
      <c r="J78" s="39">
        <v>773</v>
      </c>
      <c r="K78" s="51" t="str">
        <f>VLOOKUP(J78,'[2]Chart of accounts'!A:H,2,FALSE)</f>
        <v>50205020 01</v>
      </c>
      <c r="L78" s="39"/>
      <c r="M78" s="39"/>
      <c r="N78" s="34"/>
      <c r="O78" s="34"/>
      <c r="P78" s="34"/>
      <c r="Q78" s="40" t="s">
        <v>3</v>
      </c>
      <c r="R78" s="40" t="s">
        <v>3</v>
      </c>
      <c r="S78" s="41" t="s">
        <v>2</v>
      </c>
      <c r="T78" s="42" t="s">
        <v>791</v>
      </c>
      <c r="U78" s="42" t="s">
        <v>792</v>
      </c>
      <c r="V78" s="44">
        <v>2500</v>
      </c>
      <c r="W78" s="52"/>
      <c r="X78" s="49"/>
      <c r="Y78" s="44">
        <f t="shared" si="4"/>
        <v>2500</v>
      </c>
      <c r="Z78" s="45"/>
      <c r="AA78" s="46"/>
      <c r="AB78" s="47"/>
      <c r="AC78" s="47"/>
      <c r="AD78" s="47"/>
      <c r="AE78" s="47"/>
      <c r="AF78" s="47"/>
      <c r="AG78" s="44"/>
      <c r="AH78" s="44"/>
      <c r="AI78" s="44"/>
      <c r="AJ78" s="47"/>
      <c r="AK78" s="47"/>
      <c r="AL78" s="47"/>
      <c r="AM78" s="47"/>
      <c r="AN78" s="47"/>
      <c r="AO78" s="47"/>
      <c r="AP78" s="47"/>
      <c r="AQ78" s="47"/>
      <c r="AR78" s="47"/>
      <c r="AS78" s="47"/>
      <c r="AT78" s="47"/>
      <c r="AU78" s="47"/>
      <c r="AV78" s="47"/>
      <c r="AW78" s="47"/>
      <c r="AX78" s="47"/>
      <c r="AY78" s="47"/>
      <c r="AZ78" s="47"/>
      <c r="BA78" s="44"/>
      <c r="BB78" s="44"/>
      <c r="BC78" s="44"/>
      <c r="BD78" s="44"/>
      <c r="BE78" s="44"/>
      <c r="BF78" s="48"/>
      <c r="BG78" s="44"/>
      <c r="BH78" s="44"/>
      <c r="BI78" s="44"/>
      <c r="BJ78" s="44"/>
      <c r="BK78" s="44"/>
      <c r="BL78" s="44"/>
      <c r="BM78" s="44"/>
      <c r="BN78" s="44"/>
      <c r="BO78" s="44"/>
      <c r="BP78" s="44"/>
      <c r="BQ78" s="44"/>
      <c r="BR78" s="49"/>
      <c r="BS78" s="44"/>
      <c r="BT78" s="44"/>
      <c r="BU78" s="44"/>
      <c r="BV78" s="44">
        <v>2500</v>
      </c>
      <c r="BW78" s="47"/>
      <c r="BX78" s="44"/>
      <c r="BY78" s="50"/>
      <c r="BZ78" s="44"/>
      <c r="CA78" s="44"/>
      <c r="CB78" s="44"/>
      <c r="CC78" s="44"/>
      <c r="CD78" s="43"/>
      <c r="CE78" s="44"/>
      <c r="CF78" s="65"/>
      <c r="CG78" s="44"/>
      <c r="CH78" s="44"/>
      <c r="CI78" s="44"/>
      <c r="CK78" s="44"/>
      <c r="CL78" s="44"/>
      <c r="CN78" s="44"/>
      <c r="CO78" s="44"/>
      <c r="CP78" s="44"/>
      <c r="CQ78" s="44"/>
      <c r="CR78" s="44">
        <v>2500</v>
      </c>
      <c r="CS78" s="44"/>
      <c r="CT78" s="44"/>
      <c r="CU78" s="44"/>
      <c r="CV78" s="44"/>
      <c r="CX78" s="44"/>
      <c r="CY78" s="44"/>
      <c r="CZ78" s="50"/>
      <c r="DA78" s="44"/>
      <c r="DB78" s="44"/>
      <c r="DC78" s="44"/>
      <c r="DD78" s="44"/>
      <c r="DE78" s="44"/>
      <c r="DF78" s="44"/>
      <c r="DH78" s="44"/>
      <c r="DI78" s="44"/>
      <c r="DK78" s="44"/>
      <c r="DL78" s="44"/>
      <c r="DM78" s="44"/>
      <c r="DN78" s="44"/>
      <c r="DO78" s="44"/>
      <c r="DP78" s="44"/>
      <c r="DQ78" s="44"/>
      <c r="DR78" s="44"/>
      <c r="DS78" s="44"/>
      <c r="DT78" s="44"/>
      <c r="DU78" s="44"/>
      <c r="DV78" s="44"/>
      <c r="DW78" s="44"/>
      <c r="DX78" s="44"/>
      <c r="DY78" s="44"/>
      <c r="DZ78" s="47"/>
      <c r="EA78" s="47"/>
      <c r="EB78" s="47"/>
    </row>
    <row r="79" spans="3:132" s="411" customFormat="1" ht="27.6">
      <c r="C79" s="402">
        <v>44215</v>
      </c>
      <c r="D79" s="403" t="s">
        <v>759</v>
      </c>
      <c r="E79" s="404" t="s">
        <v>793</v>
      </c>
      <c r="F79" s="405">
        <v>0.71597222222222223</v>
      </c>
      <c r="G79" s="405">
        <v>0.71666666666666667</v>
      </c>
      <c r="H79" s="412" t="s">
        <v>0</v>
      </c>
      <c r="I79" s="413">
        <v>2</v>
      </c>
      <c r="J79" s="406">
        <v>775</v>
      </c>
      <c r="K79" s="406" t="str">
        <f>VLOOKUP(J79,'[2]Chart of accounts'!A:H,2,FALSE)</f>
        <v>50205040 00</v>
      </c>
      <c r="L79" s="406"/>
      <c r="M79" s="406"/>
      <c r="N79" s="403"/>
      <c r="O79" s="403"/>
      <c r="P79" s="403"/>
      <c r="Q79" s="407" t="s">
        <v>3</v>
      </c>
      <c r="R79" s="407" t="s">
        <v>3</v>
      </c>
      <c r="S79" s="414" t="s">
        <v>2</v>
      </c>
      <c r="T79" s="409" t="s">
        <v>794</v>
      </c>
      <c r="U79" s="409" t="s">
        <v>795</v>
      </c>
      <c r="V79" s="65"/>
      <c r="W79" s="46"/>
      <c r="X79" s="64"/>
      <c r="Y79" s="65">
        <f t="shared" si="4"/>
        <v>0</v>
      </c>
      <c r="Z79" s="45"/>
      <c r="AA79" s="46"/>
      <c r="AB79" s="45"/>
      <c r="AC79" s="45"/>
      <c r="AD79" s="45"/>
      <c r="AE79" s="45"/>
      <c r="AF79" s="45"/>
      <c r="AG79" s="65"/>
      <c r="AH79" s="65"/>
      <c r="AI79" s="6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65"/>
      <c r="BB79" s="65"/>
      <c r="BC79" s="65"/>
      <c r="BD79" s="65"/>
      <c r="BE79" s="65"/>
      <c r="BF79" s="410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4"/>
      <c r="BS79" s="65"/>
      <c r="BT79" s="65"/>
      <c r="BU79" s="65"/>
      <c r="BV79" s="65"/>
      <c r="BW79" s="45"/>
      <c r="BX79" s="65"/>
      <c r="BY79" s="65"/>
      <c r="BZ79" s="65"/>
      <c r="CA79" s="65"/>
      <c r="CB79" s="65"/>
      <c r="CC79" s="65"/>
      <c r="CD79" s="63"/>
      <c r="CE79" s="65"/>
      <c r="CF79" s="65"/>
      <c r="CG79" s="65"/>
      <c r="CH79" s="65"/>
      <c r="CI79" s="65"/>
      <c r="CK79" s="65"/>
      <c r="CL79" s="65"/>
      <c r="CN79" s="65"/>
      <c r="CO79" s="65"/>
      <c r="CP79" s="65"/>
      <c r="CQ79" s="65"/>
      <c r="CR79" s="65"/>
      <c r="CS79" s="65"/>
      <c r="CT79" s="65"/>
      <c r="CU79" s="65"/>
      <c r="CV79" s="65"/>
      <c r="CX79" s="65"/>
      <c r="CY79" s="65"/>
      <c r="CZ79" s="65"/>
      <c r="DA79" s="65"/>
      <c r="DB79" s="65"/>
      <c r="DC79" s="65"/>
      <c r="DD79" s="65"/>
      <c r="DE79" s="65"/>
      <c r="DF79" s="65"/>
      <c r="DH79" s="65"/>
      <c r="DI79" s="65"/>
      <c r="DK79" s="65"/>
      <c r="DL79" s="65"/>
      <c r="DM79" s="65"/>
      <c r="DN79" s="65"/>
      <c r="DO79" s="65"/>
      <c r="DP79" s="65"/>
      <c r="DQ79" s="65"/>
      <c r="DR79" s="65"/>
      <c r="DS79" s="65"/>
      <c r="DT79" s="65"/>
      <c r="DU79" s="65"/>
      <c r="DV79" s="65"/>
      <c r="DW79" s="65"/>
      <c r="DX79" s="65"/>
      <c r="DY79" s="65"/>
      <c r="DZ79" s="45"/>
      <c r="EA79" s="45"/>
      <c r="EB79" s="45"/>
    </row>
    <row r="80" spans="3:132" s="32" customFormat="1">
      <c r="C80" s="76">
        <v>44217</v>
      </c>
      <c r="D80" s="34" t="s">
        <v>759</v>
      </c>
      <c r="E80" s="286" t="s">
        <v>807</v>
      </c>
      <c r="F80" s="36">
        <v>0.70000000000000007</v>
      </c>
      <c r="G80" s="36">
        <v>0.7006944444444444</v>
      </c>
      <c r="H80" s="55" t="s">
        <v>0</v>
      </c>
      <c r="I80" s="38">
        <v>2</v>
      </c>
      <c r="J80" s="39">
        <v>755</v>
      </c>
      <c r="K80" s="51" t="str">
        <f>VLOOKUP(J80,'[2]Chart of accounts'!A:H,2,FALSE)</f>
        <v>50203010 00</v>
      </c>
      <c r="L80" s="39"/>
      <c r="M80" s="39"/>
      <c r="N80" s="34"/>
      <c r="O80" s="34"/>
      <c r="P80" s="34"/>
      <c r="Q80" s="40" t="s">
        <v>3</v>
      </c>
      <c r="R80" s="40" t="s">
        <v>3</v>
      </c>
      <c r="S80" s="41" t="s">
        <v>2</v>
      </c>
      <c r="T80" s="42" t="s">
        <v>773</v>
      </c>
      <c r="U80" s="42" t="s">
        <v>808</v>
      </c>
      <c r="V80" s="44">
        <v>1834.25</v>
      </c>
      <c r="W80" s="52"/>
      <c r="X80" s="49"/>
      <c r="Y80" s="44">
        <f t="shared" si="4"/>
        <v>1834.25</v>
      </c>
      <c r="Z80" s="45"/>
      <c r="AA80" s="46"/>
      <c r="AB80" s="47"/>
      <c r="AC80" s="47"/>
      <c r="AD80" s="47"/>
      <c r="AE80" s="47"/>
      <c r="AF80" s="47"/>
      <c r="AG80" s="44"/>
      <c r="AH80" s="44"/>
      <c r="AI80" s="44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4"/>
      <c r="BB80" s="44"/>
      <c r="BC80" s="44"/>
      <c r="BD80" s="44"/>
      <c r="BE80" s="44"/>
      <c r="BF80" s="48"/>
      <c r="BG80" s="44"/>
      <c r="BH80" s="44"/>
      <c r="BI80" s="44"/>
      <c r="BJ80" s="44"/>
      <c r="BK80" s="44"/>
      <c r="BL80" s="44"/>
      <c r="BM80" s="44"/>
      <c r="BN80" s="44"/>
      <c r="BO80" s="44"/>
      <c r="BP80" s="44"/>
      <c r="BQ80" s="44"/>
      <c r="BR80" s="49"/>
      <c r="BS80" s="44"/>
      <c r="BT80" s="44"/>
      <c r="BU80" s="44"/>
      <c r="BV80" s="44">
        <v>1834.25</v>
      </c>
      <c r="BW80" s="47"/>
      <c r="BX80" s="44"/>
      <c r="BY80" s="50"/>
      <c r="BZ80" s="44"/>
      <c r="CA80" s="44"/>
      <c r="CB80" s="44"/>
      <c r="CC80" s="44"/>
      <c r="CD80" s="43"/>
      <c r="CE80" s="44"/>
      <c r="CF80" s="65"/>
      <c r="CG80" s="44"/>
      <c r="CH80" s="44"/>
      <c r="CI80" s="44"/>
      <c r="CJ80" s="44">
        <v>1834.25</v>
      </c>
      <c r="CK80" s="44"/>
      <c r="CL80" s="44"/>
      <c r="CN80" s="44"/>
      <c r="CO80" s="44"/>
      <c r="CP80" s="44"/>
      <c r="CQ80" s="44"/>
      <c r="CR80" s="44"/>
      <c r="CS80" s="44"/>
      <c r="CT80" s="44"/>
      <c r="CU80" s="44"/>
      <c r="CV80" s="44"/>
      <c r="CX80" s="44"/>
      <c r="CY80" s="44"/>
      <c r="CZ80" s="50"/>
      <c r="DA80" s="44"/>
      <c r="DB80" s="44"/>
      <c r="DC80" s="44"/>
      <c r="DD80" s="44"/>
      <c r="DE80" s="44"/>
      <c r="DF80" s="44"/>
      <c r="DH80" s="44"/>
      <c r="DI80" s="44"/>
      <c r="DK80" s="44"/>
      <c r="DL80" s="44"/>
      <c r="DM80" s="44"/>
      <c r="DN80" s="44"/>
      <c r="DO80" s="44"/>
      <c r="DP80" s="44"/>
      <c r="DQ80" s="44"/>
      <c r="DR80" s="44"/>
      <c r="DS80" s="44"/>
      <c r="DT80" s="44"/>
      <c r="DU80" s="44"/>
      <c r="DV80" s="44"/>
      <c r="DW80" s="44"/>
      <c r="DX80" s="44"/>
      <c r="DY80" s="44"/>
      <c r="DZ80" s="47"/>
      <c r="EA80" s="47"/>
      <c r="EB80" s="47"/>
    </row>
    <row r="81" spans="3:132" s="32" customFormat="1">
      <c r="C81" s="76">
        <v>44217</v>
      </c>
      <c r="D81" s="34" t="s">
        <v>759</v>
      </c>
      <c r="E81" s="286" t="s">
        <v>807</v>
      </c>
      <c r="F81" s="36">
        <v>0.70000000000000007</v>
      </c>
      <c r="G81" s="36">
        <v>0.7006944444444444</v>
      </c>
      <c r="H81" s="55" t="s">
        <v>0</v>
      </c>
      <c r="I81" s="38">
        <v>2</v>
      </c>
      <c r="J81" s="39">
        <v>792</v>
      </c>
      <c r="K81" s="51" t="str">
        <f>VLOOKUP(J81,'[2]Chart of accounts'!A:H,2,FALSE)</f>
        <v>50211020 00</v>
      </c>
      <c r="L81" s="39"/>
      <c r="M81" s="39"/>
      <c r="N81" s="34"/>
      <c r="O81" s="34"/>
      <c r="P81" s="34"/>
      <c r="Q81" s="40" t="s">
        <v>3</v>
      </c>
      <c r="R81" s="40" t="s">
        <v>3</v>
      </c>
      <c r="S81" s="41" t="s">
        <v>2</v>
      </c>
      <c r="T81" s="42" t="s">
        <v>773</v>
      </c>
      <c r="U81" s="42" t="s">
        <v>808</v>
      </c>
      <c r="V81" s="44">
        <v>219</v>
      </c>
      <c r="W81" s="52"/>
      <c r="X81" s="49"/>
      <c r="Y81" s="44">
        <f t="shared" si="4"/>
        <v>219</v>
      </c>
      <c r="Z81" s="45"/>
      <c r="AA81" s="46"/>
      <c r="AB81" s="47"/>
      <c r="AC81" s="47"/>
      <c r="AD81" s="47"/>
      <c r="AE81" s="47"/>
      <c r="AF81" s="47"/>
      <c r="AG81" s="44"/>
      <c r="AH81" s="44"/>
      <c r="AI81" s="44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4"/>
      <c r="BB81" s="44"/>
      <c r="BC81" s="44"/>
      <c r="BD81" s="44"/>
      <c r="BE81" s="44"/>
      <c r="BF81" s="48"/>
      <c r="BG81" s="44"/>
      <c r="BH81" s="44"/>
      <c r="BI81" s="44"/>
      <c r="BJ81" s="44"/>
      <c r="BK81" s="44"/>
      <c r="BL81" s="44"/>
      <c r="BM81" s="44"/>
      <c r="BN81" s="44"/>
      <c r="BO81" s="44"/>
      <c r="BP81" s="44"/>
      <c r="BQ81" s="44"/>
      <c r="BR81" s="49"/>
      <c r="BS81" s="44"/>
      <c r="BT81" s="44"/>
      <c r="BU81" s="44"/>
      <c r="BV81" s="44">
        <v>219</v>
      </c>
      <c r="BW81" s="47"/>
      <c r="BX81" s="44"/>
      <c r="BY81" s="50"/>
      <c r="BZ81" s="44"/>
      <c r="CA81" s="44"/>
      <c r="CB81" s="44"/>
      <c r="CC81" s="44"/>
      <c r="CD81" s="43"/>
      <c r="CE81" s="44"/>
      <c r="CF81" s="65"/>
      <c r="CG81" s="44"/>
      <c r="CH81" s="44"/>
      <c r="CI81" s="44"/>
      <c r="CK81" s="44"/>
      <c r="CL81" s="44"/>
      <c r="CN81" s="44"/>
      <c r="CO81" s="44"/>
      <c r="CP81" s="44"/>
      <c r="CQ81" s="44"/>
      <c r="CR81" s="44"/>
      <c r="CS81" s="44"/>
      <c r="CT81" s="44"/>
      <c r="CU81" s="44"/>
      <c r="CV81" s="44"/>
      <c r="CX81" s="44"/>
      <c r="CY81" s="44"/>
      <c r="CZ81" s="50"/>
      <c r="DA81" s="44"/>
      <c r="DB81" s="44"/>
      <c r="DC81" s="44"/>
      <c r="DD81" s="44"/>
      <c r="DE81" s="44">
        <v>219</v>
      </c>
      <c r="DF81" s="44"/>
      <c r="DH81" s="44"/>
      <c r="DI81" s="44"/>
      <c r="DK81" s="44"/>
      <c r="DL81" s="44"/>
      <c r="DM81" s="44"/>
      <c r="DN81" s="44"/>
      <c r="DO81" s="44"/>
      <c r="DP81" s="44"/>
      <c r="DQ81" s="44"/>
      <c r="DR81" s="44"/>
      <c r="DS81" s="44"/>
      <c r="DT81" s="44"/>
      <c r="DU81" s="44"/>
      <c r="DV81" s="44"/>
      <c r="DW81" s="44"/>
      <c r="DX81" s="44"/>
      <c r="DY81" s="44"/>
      <c r="DZ81" s="47"/>
      <c r="EA81" s="47"/>
      <c r="EB81" s="47"/>
    </row>
    <row r="82" spans="3:132" s="32" customFormat="1">
      <c r="C82" s="76">
        <v>44217</v>
      </c>
      <c r="D82" s="34" t="s">
        <v>759</v>
      </c>
      <c r="E82" s="286" t="s">
        <v>807</v>
      </c>
      <c r="F82" s="36">
        <v>0.70000000000000007</v>
      </c>
      <c r="G82" s="36">
        <v>0.7006944444444444</v>
      </c>
      <c r="H82" s="55" t="s">
        <v>0</v>
      </c>
      <c r="I82" s="38">
        <v>2</v>
      </c>
      <c r="J82" s="39">
        <v>795</v>
      </c>
      <c r="K82" s="51" t="str">
        <f>VLOOKUP(J82,'[2]Chart of accounts'!A:H,2,FALSE)</f>
        <v>50212990 00</v>
      </c>
      <c r="L82" s="39"/>
      <c r="M82" s="39"/>
      <c r="N82" s="34"/>
      <c r="O82" s="34"/>
      <c r="P82" s="34"/>
      <c r="Q82" s="40" t="s">
        <v>3</v>
      </c>
      <c r="R82" s="40" t="s">
        <v>3</v>
      </c>
      <c r="S82" s="41" t="s">
        <v>2</v>
      </c>
      <c r="T82" s="42" t="s">
        <v>773</v>
      </c>
      <c r="U82" s="42" t="s">
        <v>808</v>
      </c>
      <c r="V82" s="44">
        <v>1960</v>
      </c>
      <c r="W82" s="52"/>
      <c r="X82" s="49"/>
      <c r="Y82" s="44">
        <f t="shared" si="4"/>
        <v>1960</v>
      </c>
      <c r="Z82" s="45"/>
      <c r="AA82" s="46"/>
      <c r="AB82" s="47"/>
      <c r="AC82" s="47"/>
      <c r="AD82" s="47"/>
      <c r="AE82" s="47"/>
      <c r="AF82" s="47"/>
      <c r="AG82" s="44"/>
      <c r="AH82" s="44"/>
      <c r="AI82" s="44"/>
      <c r="AJ82" s="47"/>
      <c r="AK82" s="47"/>
      <c r="AL82" s="47"/>
      <c r="AM82" s="47"/>
      <c r="AN82" s="47"/>
      <c r="AO82" s="47"/>
      <c r="AP82" s="47"/>
      <c r="AQ82" s="47"/>
      <c r="AR82" s="47"/>
      <c r="AS82" s="47"/>
      <c r="AT82" s="47"/>
      <c r="AU82" s="47"/>
      <c r="AV82" s="47"/>
      <c r="AW82" s="47"/>
      <c r="AX82" s="47"/>
      <c r="AY82" s="47"/>
      <c r="AZ82" s="47"/>
      <c r="BA82" s="44"/>
      <c r="BB82" s="44"/>
      <c r="BC82" s="44"/>
      <c r="BD82" s="44"/>
      <c r="BE82" s="44"/>
      <c r="BF82" s="48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9"/>
      <c r="BS82" s="44"/>
      <c r="BT82" s="44"/>
      <c r="BU82" s="44"/>
      <c r="BV82" s="44">
        <v>1960</v>
      </c>
      <c r="BW82" s="47"/>
      <c r="BX82" s="44"/>
      <c r="BY82" s="50"/>
      <c r="BZ82" s="44"/>
      <c r="CA82" s="44"/>
      <c r="CB82" s="44"/>
      <c r="CC82" s="44"/>
      <c r="CD82" s="43"/>
      <c r="CE82" s="44"/>
      <c r="CF82" s="65"/>
      <c r="CG82" s="44"/>
      <c r="CH82" s="44"/>
      <c r="CI82" s="44"/>
      <c r="CK82" s="44"/>
      <c r="CL82" s="44"/>
      <c r="CN82" s="44"/>
      <c r="CO82" s="44"/>
      <c r="CP82" s="44"/>
      <c r="CQ82" s="44"/>
      <c r="CR82" s="44"/>
      <c r="CS82" s="44"/>
      <c r="CT82" s="44"/>
      <c r="CU82" s="44"/>
      <c r="CV82" s="44"/>
      <c r="CX82" s="44"/>
      <c r="CY82" s="44"/>
      <c r="CZ82" s="50"/>
      <c r="DA82" s="44"/>
      <c r="DB82" s="44"/>
      <c r="DC82" s="44"/>
      <c r="DD82" s="44"/>
      <c r="DF82" s="44"/>
      <c r="DG82" s="44">
        <v>1960</v>
      </c>
      <c r="DH82" s="44"/>
      <c r="DI82" s="44"/>
      <c r="DK82" s="44"/>
      <c r="DL82" s="44"/>
      <c r="DM82" s="44"/>
      <c r="DN82" s="44"/>
      <c r="DO82" s="44"/>
      <c r="DP82" s="44"/>
      <c r="DQ82" s="44"/>
      <c r="DR82" s="44"/>
      <c r="DS82" s="44"/>
      <c r="DT82" s="44"/>
      <c r="DU82" s="44"/>
      <c r="DV82" s="44"/>
      <c r="DW82" s="44"/>
      <c r="DX82" s="44"/>
      <c r="DY82" s="44"/>
      <c r="DZ82" s="47"/>
      <c r="EA82" s="47"/>
      <c r="EB82" s="47"/>
    </row>
    <row r="83" spans="3:132" s="32" customFormat="1">
      <c r="C83" s="76">
        <v>44217</v>
      </c>
      <c r="D83" s="34" t="s">
        <v>759</v>
      </c>
      <c r="E83" s="286" t="s">
        <v>807</v>
      </c>
      <c r="F83" s="36">
        <v>0.70000000000000007</v>
      </c>
      <c r="G83" s="36">
        <v>0.7006944444444444</v>
      </c>
      <c r="H83" s="55" t="s">
        <v>0</v>
      </c>
      <c r="I83" s="38">
        <v>2</v>
      </c>
      <c r="J83" s="39">
        <v>799</v>
      </c>
      <c r="K83" s="51" t="str">
        <f>VLOOKUP(J83,'[2]Chart of accounts'!A:H,2,FALSE)</f>
        <v>50211990 00</v>
      </c>
      <c r="L83" s="39"/>
      <c r="M83" s="39"/>
      <c r="N83" s="34"/>
      <c r="O83" s="34"/>
      <c r="P83" s="34"/>
      <c r="Q83" s="40" t="s">
        <v>3</v>
      </c>
      <c r="R83" s="40" t="s">
        <v>3</v>
      </c>
      <c r="S83" s="41" t="s">
        <v>2</v>
      </c>
      <c r="T83" s="42" t="s">
        <v>773</v>
      </c>
      <c r="U83" s="42" t="s">
        <v>808</v>
      </c>
      <c r="V83" s="44">
        <v>300</v>
      </c>
      <c r="W83" s="52"/>
      <c r="X83" s="49"/>
      <c r="Y83" s="44">
        <f t="shared" si="4"/>
        <v>300</v>
      </c>
      <c r="Z83" s="45"/>
      <c r="AA83" s="46"/>
      <c r="AB83" s="47"/>
      <c r="AC83" s="47"/>
      <c r="AD83" s="47"/>
      <c r="AE83" s="47"/>
      <c r="AF83" s="47"/>
      <c r="AG83" s="44"/>
      <c r="AH83" s="44"/>
      <c r="AI83" s="44"/>
      <c r="AJ83" s="47"/>
      <c r="AK83" s="47"/>
      <c r="AL83" s="47"/>
      <c r="AM83" s="47"/>
      <c r="AN83" s="47"/>
      <c r="AO83" s="47"/>
      <c r="AP83" s="47"/>
      <c r="AQ83" s="47"/>
      <c r="AR83" s="47"/>
      <c r="AS83" s="47"/>
      <c r="AT83" s="47"/>
      <c r="AU83" s="47"/>
      <c r="AV83" s="47"/>
      <c r="AW83" s="47"/>
      <c r="AX83" s="47"/>
      <c r="AY83" s="47"/>
      <c r="AZ83" s="47"/>
      <c r="BA83" s="44"/>
      <c r="BB83" s="44"/>
      <c r="BC83" s="44"/>
      <c r="BD83" s="44"/>
      <c r="BE83" s="44"/>
      <c r="BF83" s="48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9"/>
      <c r="BS83" s="44"/>
      <c r="BT83" s="44"/>
      <c r="BU83" s="44"/>
      <c r="BV83" s="44">
        <v>300</v>
      </c>
      <c r="BW83" s="47"/>
      <c r="BX83" s="44"/>
      <c r="BY83" s="50"/>
      <c r="BZ83" s="44"/>
      <c r="CA83" s="44"/>
      <c r="CB83" s="44"/>
      <c r="CC83" s="44"/>
      <c r="CD83" s="43"/>
      <c r="CE83" s="44"/>
      <c r="CF83" s="65"/>
      <c r="CG83" s="44"/>
      <c r="CH83" s="44"/>
      <c r="CI83" s="44"/>
      <c r="CK83" s="44"/>
      <c r="CL83" s="44"/>
      <c r="CN83" s="44"/>
      <c r="CO83" s="44"/>
      <c r="CP83" s="44"/>
      <c r="CQ83" s="44"/>
      <c r="CR83" s="44"/>
      <c r="CS83" s="44"/>
      <c r="CT83" s="44"/>
      <c r="CU83" s="44"/>
      <c r="CV83" s="44"/>
      <c r="CX83" s="44"/>
      <c r="CY83" s="44"/>
      <c r="CZ83" s="50"/>
      <c r="DA83" s="44"/>
      <c r="DB83" s="44"/>
      <c r="DC83" s="44"/>
      <c r="DD83" s="44"/>
      <c r="DF83" s="44"/>
      <c r="DH83" s="44"/>
      <c r="DI83" s="44"/>
      <c r="DJ83" s="44">
        <v>300</v>
      </c>
      <c r="DK83" s="44"/>
      <c r="DL83" s="44"/>
      <c r="DM83" s="44"/>
      <c r="DN83" s="44"/>
      <c r="DO83" s="44"/>
      <c r="DP83" s="44"/>
      <c r="DQ83" s="44"/>
      <c r="DR83" s="44"/>
      <c r="DS83" s="44"/>
      <c r="DT83" s="44"/>
      <c r="DU83" s="44"/>
      <c r="DV83" s="44"/>
      <c r="DW83" s="44"/>
      <c r="DX83" s="44"/>
      <c r="DY83" s="44"/>
      <c r="DZ83" s="47"/>
      <c r="EA83" s="47"/>
      <c r="EB83" s="47"/>
    </row>
    <row r="84" spans="3:132" s="32" customFormat="1" ht="27.6">
      <c r="C84" s="76">
        <v>44218</v>
      </c>
      <c r="D84" s="34" t="s">
        <v>759</v>
      </c>
      <c r="E84" s="286" t="s">
        <v>809</v>
      </c>
      <c r="F84" s="36">
        <v>0.70763888888888893</v>
      </c>
      <c r="G84" s="36">
        <v>0.70833333333333337</v>
      </c>
      <c r="H84" s="55" t="s">
        <v>0</v>
      </c>
      <c r="I84" s="38">
        <v>2</v>
      </c>
      <c r="J84" s="39">
        <v>761</v>
      </c>
      <c r="K84" s="51" t="str">
        <f>VLOOKUP(J84,'[2]Chart of accounts'!A:H,2,FALSE)</f>
        <v>50203090 00</v>
      </c>
      <c r="L84" s="39"/>
      <c r="M84" s="39"/>
      <c r="N84" s="34"/>
      <c r="O84" s="34"/>
      <c r="P84" s="34"/>
      <c r="Q84" s="53" t="s">
        <v>11</v>
      </c>
      <c r="R84" s="40" t="s">
        <v>812</v>
      </c>
      <c r="S84" s="41" t="s">
        <v>2</v>
      </c>
      <c r="T84" s="42" t="s">
        <v>810</v>
      </c>
      <c r="U84" s="42" t="s">
        <v>811</v>
      </c>
      <c r="V84" s="44">
        <v>6006.93</v>
      </c>
      <c r="W84" s="52"/>
      <c r="X84" s="49"/>
      <c r="Y84" s="44">
        <f t="shared" si="4"/>
        <v>6006.93</v>
      </c>
      <c r="Z84" s="45"/>
      <c r="AA84" s="46"/>
      <c r="AB84" s="47"/>
      <c r="AC84" s="47"/>
      <c r="AD84" s="47"/>
      <c r="AE84" s="47"/>
      <c r="AF84" s="47"/>
      <c r="AG84" s="44"/>
      <c r="AH84" s="44"/>
      <c r="AI84" s="44"/>
      <c r="AJ84" s="47"/>
      <c r="AK84" s="47"/>
      <c r="AL84" s="47"/>
      <c r="AM84" s="47"/>
      <c r="AN84" s="47"/>
      <c r="AO84" s="47"/>
      <c r="AP84" s="47"/>
      <c r="AQ84" s="47"/>
      <c r="AR84" s="47"/>
      <c r="AS84" s="47"/>
      <c r="AT84" s="47"/>
      <c r="AU84" s="47"/>
      <c r="AV84" s="47"/>
      <c r="AW84" s="47"/>
      <c r="AX84" s="47"/>
      <c r="AY84" s="47"/>
      <c r="AZ84" s="47"/>
      <c r="BA84" s="44"/>
      <c r="BB84" s="44"/>
      <c r="BC84" s="44"/>
      <c r="BD84" s="44"/>
      <c r="BE84" s="44"/>
      <c r="BF84" s="48"/>
      <c r="BG84" s="44"/>
      <c r="BH84" s="44"/>
      <c r="BI84" s="44"/>
      <c r="BJ84" s="44"/>
      <c r="BK84" s="44"/>
      <c r="BL84" s="44"/>
      <c r="BM84" s="44"/>
      <c r="BN84" s="44"/>
      <c r="BO84" s="44"/>
      <c r="BP84" s="44"/>
      <c r="BQ84" s="44"/>
      <c r="BR84" s="49"/>
      <c r="BS84" s="44"/>
      <c r="BT84" s="44"/>
      <c r="BU84" s="44"/>
      <c r="BV84" s="44"/>
      <c r="BW84" s="44">
        <v>6006.93</v>
      </c>
      <c r="BX84" s="44"/>
      <c r="BY84" s="50"/>
      <c r="BZ84" s="44"/>
      <c r="CA84" s="44"/>
      <c r="CB84" s="44"/>
      <c r="CC84" s="44"/>
      <c r="CD84" s="43"/>
      <c r="CE84" s="44"/>
      <c r="CF84" s="65"/>
      <c r="CG84" s="44"/>
      <c r="CH84" s="44"/>
      <c r="CI84" s="44"/>
      <c r="CK84" s="44"/>
      <c r="CL84" s="44">
        <v>6006.93</v>
      </c>
      <c r="CN84" s="44"/>
      <c r="CO84" s="44"/>
      <c r="CP84" s="44"/>
      <c r="CQ84" s="44"/>
      <c r="CR84" s="44"/>
      <c r="CS84" s="44"/>
      <c r="CT84" s="44"/>
      <c r="CU84" s="44"/>
      <c r="CV84" s="44"/>
      <c r="CX84" s="44"/>
      <c r="CY84" s="44"/>
      <c r="CZ84" s="50"/>
      <c r="DA84" s="44"/>
      <c r="DB84" s="44"/>
      <c r="DC84" s="44"/>
      <c r="DD84" s="44"/>
      <c r="DF84" s="44"/>
      <c r="DH84" s="44"/>
      <c r="DI84" s="44"/>
      <c r="DJ84" s="129"/>
      <c r="DK84" s="44"/>
      <c r="DL84" s="44"/>
      <c r="DM84" s="44"/>
      <c r="DN84" s="44"/>
      <c r="DO84" s="44"/>
      <c r="DP84" s="44"/>
      <c r="DQ84" s="44"/>
      <c r="DR84" s="44"/>
      <c r="DS84" s="44"/>
      <c r="DT84" s="44"/>
      <c r="DU84" s="44"/>
      <c r="DV84" s="44"/>
      <c r="DW84" s="44"/>
      <c r="DX84" s="44"/>
      <c r="DY84" s="44"/>
      <c r="DZ84" s="47"/>
      <c r="EA84" s="47"/>
      <c r="EB84" s="47"/>
    </row>
    <row r="85" spans="3:132" s="32" customFormat="1" ht="27.6">
      <c r="C85" s="76">
        <v>44218</v>
      </c>
      <c r="D85" s="34" t="s">
        <v>759</v>
      </c>
      <c r="E85" s="286" t="s">
        <v>809</v>
      </c>
      <c r="F85" s="36">
        <v>0.70763888888888893</v>
      </c>
      <c r="G85" s="36">
        <v>0.70833333333333337</v>
      </c>
      <c r="H85" s="55" t="s">
        <v>0</v>
      </c>
      <c r="I85" s="38">
        <v>2</v>
      </c>
      <c r="J85" s="39">
        <v>761</v>
      </c>
      <c r="K85" s="51" t="str">
        <f>VLOOKUP(J85,'[2]Chart of accounts'!A:H,2,FALSE)</f>
        <v>50203090 00</v>
      </c>
      <c r="L85" s="39"/>
      <c r="M85" s="39"/>
      <c r="N85" s="34"/>
      <c r="O85" s="34"/>
      <c r="P85" s="34"/>
      <c r="Q85" s="53" t="s">
        <v>4</v>
      </c>
      <c r="R85" s="40" t="s">
        <v>813</v>
      </c>
      <c r="S85" s="41" t="s">
        <v>2</v>
      </c>
      <c r="T85" s="42" t="s">
        <v>810</v>
      </c>
      <c r="U85" s="42" t="s">
        <v>811</v>
      </c>
      <c r="V85" s="44">
        <v>5794.22</v>
      </c>
      <c r="W85" s="52"/>
      <c r="X85" s="49"/>
      <c r="Y85" s="44">
        <f t="shared" si="4"/>
        <v>5794.22</v>
      </c>
      <c r="Z85" s="45"/>
      <c r="AA85" s="46"/>
      <c r="AB85" s="47"/>
      <c r="AC85" s="47"/>
      <c r="AD85" s="47"/>
      <c r="AE85" s="47"/>
      <c r="AF85" s="47"/>
      <c r="AG85" s="44"/>
      <c r="AH85" s="44"/>
      <c r="AI85" s="44"/>
      <c r="AJ85" s="47"/>
      <c r="AK85" s="47"/>
      <c r="AL85" s="47"/>
      <c r="AM85" s="47"/>
      <c r="AN85" s="47"/>
      <c r="AO85" s="47"/>
      <c r="AP85" s="47"/>
      <c r="AQ85" s="47"/>
      <c r="AR85" s="47"/>
      <c r="AS85" s="47"/>
      <c r="AT85" s="47"/>
      <c r="AU85" s="47"/>
      <c r="AV85" s="47"/>
      <c r="AW85" s="47"/>
      <c r="AX85" s="47"/>
      <c r="AY85" s="47"/>
      <c r="AZ85" s="47"/>
      <c r="BA85" s="44"/>
      <c r="BB85" s="44"/>
      <c r="BC85" s="44"/>
      <c r="BD85" s="44"/>
      <c r="BE85" s="44"/>
      <c r="BF85" s="48"/>
      <c r="BG85" s="44"/>
      <c r="BH85" s="44"/>
      <c r="BI85" s="44"/>
      <c r="BJ85" s="44"/>
      <c r="BK85" s="44"/>
      <c r="BL85" s="44"/>
      <c r="BM85" s="44"/>
      <c r="BN85" s="44"/>
      <c r="BO85" s="44"/>
      <c r="BP85" s="44"/>
      <c r="BQ85" s="44"/>
      <c r="BR85" s="49"/>
      <c r="BS85" s="44"/>
      <c r="BT85" s="44"/>
      <c r="BU85" s="44"/>
      <c r="BV85" s="44"/>
      <c r="BX85" s="44"/>
      <c r="BY85" s="44">
        <v>5794.22</v>
      </c>
      <c r="BZ85" s="44"/>
      <c r="CA85" s="44"/>
      <c r="CB85" s="44"/>
      <c r="CC85" s="44"/>
      <c r="CD85" s="43"/>
      <c r="CE85" s="44"/>
      <c r="CF85" s="65"/>
      <c r="CG85" s="44"/>
      <c r="CH85" s="44"/>
      <c r="CI85" s="44"/>
      <c r="CK85" s="44"/>
      <c r="CL85" s="44">
        <v>5794.22</v>
      </c>
      <c r="CN85" s="44"/>
      <c r="CO85" s="44"/>
      <c r="CP85" s="44"/>
      <c r="CQ85" s="44"/>
      <c r="CR85" s="44"/>
      <c r="CS85" s="44"/>
      <c r="CT85" s="44"/>
      <c r="CU85" s="44"/>
      <c r="CV85" s="44"/>
      <c r="CX85" s="44"/>
      <c r="CY85" s="44"/>
      <c r="CZ85" s="50"/>
      <c r="DA85" s="44"/>
      <c r="DB85" s="44"/>
      <c r="DC85" s="44"/>
      <c r="DD85" s="44"/>
      <c r="DF85" s="44"/>
      <c r="DH85" s="44"/>
      <c r="DI85" s="44"/>
      <c r="DJ85" s="129"/>
      <c r="DK85" s="44"/>
      <c r="DL85" s="44"/>
      <c r="DM85" s="44"/>
      <c r="DN85" s="44"/>
      <c r="DO85" s="44"/>
      <c r="DP85" s="44"/>
      <c r="DQ85" s="44"/>
      <c r="DR85" s="44"/>
      <c r="DS85" s="44"/>
      <c r="DT85" s="44"/>
      <c r="DU85" s="44"/>
      <c r="DV85" s="44"/>
      <c r="DW85" s="44"/>
      <c r="DX85" s="44"/>
      <c r="DY85" s="44"/>
      <c r="DZ85" s="47"/>
      <c r="EA85" s="47"/>
      <c r="EB85" s="47"/>
    </row>
    <row r="86" spans="3:132" s="32" customFormat="1" ht="27.6">
      <c r="C86" s="76">
        <v>44218</v>
      </c>
      <c r="D86" s="34" t="s">
        <v>759</v>
      </c>
      <c r="E86" s="286" t="s">
        <v>809</v>
      </c>
      <c r="F86" s="36">
        <v>0.70763888888888893</v>
      </c>
      <c r="G86" s="36">
        <v>0.70833333333333337</v>
      </c>
      <c r="H86" s="55" t="s">
        <v>0</v>
      </c>
      <c r="I86" s="38">
        <v>2</v>
      </c>
      <c r="J86" s="39">
        <v>761</v>
      </c>
      <c r="K86" s="51" t="str">
        <f>VLOOKUP(J86,'[2]Chart of accounts'!A:H,2,FALSE)</f>
        <v>50203090 00</v>
      </c>
      <c r="L86" s="39"/>
      <c r="M86" s="39"/>
      <c r="N86" s="34"/>
      <c r="O86" s="34"/>
      <c r="P86" s="34"/>
      <c r="Q86" s="53" t="s">
        <v>8</v>
      </c>
      <c r="R86" s="40" t="s">
        <v>814</v>
      </c>
      <c r="S86" s="41" t="s">
        <v>2</v>
      </c>
      <c r="T86" s="42" t="s">
        <v>810</v>
      </c>
      <c r="U86" s="42" t="s">
        <v>811</v>
      </c>
      <c r="V86" s="44">
        <v>1558.07</v>
      </c>
      <c r="W86" s="52"/>
      <c r="X86" s="49"/>
      <c r="Y86" s="44">
        <f t="shared" si="4"/>
        <v>1558.07</v>
      </c>
      <c r="Z86" s="45"/>
      <c r="AA86" s="46"/>
      <c r="AB86" s="47"/>
      <c r="AC86" s="47"/>
      <c r="AD86" s="47"/>
      <c r="AE86" s="47"/>
      <c r="AF86" s="47"/>
      <c r="AG86" s="44"/>
      <c r="AH86" s="44"/>
      <c r="AI86" s="44"/>
      <c r="AJ86" s="47"/>
      <c r="AK86" s="47"/>
      <c r="AL86" s="47"/>
      <c r="AM86" s="47"/>
      <c r="AN86" s="47"/>
      <c r="AO86" s="47"/>
      <c r="AP86" s="47"/>
      <c r="AQ86" s="47"/>
      <c r="AR86" s="47"/>
      <c r="AS86" s="47"/>
      <c r="AT86" s="47"/>
      <c r="AU86" s="47"/>
      <c r="AV86" s="47"/>
      <c r="AW86" s="47"/>
      <c r="AX86" s="47"/>
      <c r="AY86" s="47"/>
      <c r="AZ86" s="47"/>
      <c r="BA86" s="44"/>
      <c r="BB86" s="44"/>
      <c r="BC86" s="44"/>
      <c r="BD86" s="44"/>
      <c r="BE86" s="44"/>
      <c r="BF86" s="48"/>
      <c r="BG86" s="44"/>
      <c r="BH86" s="44"/>
      <c r="BI86" s="44"/>
      <c r="BJ86" s="44"/>
      <c r="BK86" s="44"/>
      <c r="BL86" s="44"/>
      <c r="BM86" s="44"/>
      <c r="BN86" s="44"/>
      <c r="BO86" s="44"/>
      <c r="BP86" s="44"/>
      <c r="BQ86" s="44"/>
      <c r="BR86" s="49"/>
      <c r="BS86" s="44"/>
      <c r="BT86" s="44"/>
      <c r="BU86" s="44"/>
      <c r="BV86" s="44"/>
      <c r="BX86" s="44">
        <v>1558.07</v>
      </c>
      <c r="BZ86" s="44"/>
      <c r="CA86" s="44"/>
      <c r="CB86" s="44"/>
      <c r="CC86" s="44"/>
      <c r="CD86" s="43"/>
      <c r="CE86" s="44"/>
      <c r="CF86" s="65"/>
      <c r="CG86" s="44"/>
      <c r="CH86" s="44"/>
      <c r="CI86" s="44"/>
      <c r="CK86" s="44"/>
      <c r="CL86" s="44">
        <v>1558.07</v>
      </c>
      <c r="CN86" s="44"/>
      <c r="CO86" s="44"/>
      <c r="CP86" s="44"/>
      <c r="CQ86" s="44"/>
      <c r="CR86" s="44"/>
      <c r="CS86" s="44"/>
      <c r="CT86" s="44"/>
      <c r="CU86" s="44"/>
      <c r="CV86" s="44"/>
      <c r="CX86" s="44"/>
      <c r="CY86" s="44"/>
      <c r="CZ86" s="50"/>
      <c r="DA86" s="44"/>
      <c r="DB86" s="44"/>
      <c r="DC86" s="44"/>
      <c r="DD86" s="44"/>
      <c r="DF86" s="44"/>
      <c r="DH86" s="44"/>
      <c r="DI86" s="44"/>
      <c r="DJ86" s="129"/>
      <c r="DK86" s="44"/>
      <c r="DL86" s="44"/>
      <c r="DM86" s="44"/>
      <c r="DN86" s="44"/>
      <c r="DO86" s="44"/>
      <c r="DP86" s="44"/>
      <c r="DQ86" s="44"/>
      <c r="DR86" s="44"/>
      <c r="DS86" s="44"/>
      <c r="DT86" s="44"/>
      <c r="DU86" s="44"/>
      <c r="DV86" s="44"/>
      <c r="DW86" s="44"/>
      <c r="DX86" s="44"/>
      <c r="DY86" s="44"/>
      <c r="DZ86" s="47"/>
      <c r="EA86" s="47"/>
      <c r="EB86" s="47"/>
    </row>
    <row r="87" spans="3:132" s="32" customFormat="1" ht="27.6">
      <c r="C87" s="76">
        <v>44218</v>
      </c>
      <c r="D87" s="34" t="s">
        <v>759</v>
      </c>
      <c r="E87" s="286" t="s">
        <v>809</v>
      </c>
      <c r="F87" s="36">
        <v>0.70763888888888893</v>
      </c>
      <c r="G87" s="36">
        <v>0.70833333333333337</v>
      </c>
      <c r="H87" s="55" t="s">
        <v>0</v>
      </c>
      <c r="I87" s="38">
        <v>2</v>
      </c>
      <c r="J87" s="39">
        <v>761</v>
      </c>
      <c r="K87" s="51" t="str">
        <f>VLOOKUP(J87,'[2]Chart of accounts'!A:H,2,FALSE)</f>
        <v>50203090 00</v>
      </c>
      <c r="L87" s="39"/>
      <c r="M87" s="39"/>
      <c r="N87" s="34"/>
      <c r="O87" s="34"/>
      <c r="P87" s="34"/>
      <c r="Q87" s="53" t="s">
        <v>763</v>
      </c>
      <c r="R87" s="40" t="s">
        <v>815</v>
      </c>
      <c r="S87" s="41" t="s">
        <v>2</v>
      </c>
      <c r="T87" s="42" t="s">
        <v>810</v>
      </c>
      <c r="U87" s="42" t="s">
        <v>811</v>
      </c>
      <c r="V87" s="44">
        <v>759.68</v>
      </c>
      <c r="W87" s="52"/>
      <c r="X87" s="49"/>
      <c r="Y87" s="44">
        <f t="shared" si="4"/>
        <v>759.68</v>
      </c>
      <c r="Z87" s="45"/>
      <c r="AA87" s="46"/>
      <c r="AB87" s="47"/>
      <c r="AC87" s="47"/>
      <c r="AD87" s="47"/>
      <c r="AE87" s="47"/>
      <c r="AF87" s="47"/>
      <c r="AG87" s="44"/>
      <c r="AH87" s="44"/>
      <c r="AI87" s="44"/>
      <c r="AJ87" s="47"/>
      <c r="AK87" s="47"/>
      <c r="AL87" s="47"/>
      <c r="AM87" s="47"/>
      <c r="AN87" s="47"/>
      <c r="AO87" s="47"/>
      <c r="AP87" s="47"/>
      <c r="AQ87" s="47"/>
      <c r="AR87" s="47"/>
      <c r="AS87" s="47"/>
      <c r="AT87" s="47"/>
      <c r="AU87" s="47"/>
      <c r="AV87" s="47"/>
      <c r="AW87" s="47"/>
      <c r="AX87" s="47"/>
      <c r="AY87" s="47"/>
      <c r="AZ87" s="47"/>
      <c r="BA87" s="44"/>
      <c r="BB87" s="44"/>
      <c r="BC87" s="44"/>
      <c r="BD87" s="44"/>
      <c r="BE87" s="44"/>
      <c r="BF87" s="48"/>
      <c r="BG87" s="44"/>
      <c r="BH87" s="44"/>
      <c r="BI87" s="44"/>
      <c r="BJ87" s="44"/>
      <c r="BK87" s="44"/>
      <c r="BL87" s="44"/>
      <c r="BM87" s="44"/>
      <c r="BN87" s="44"/>
      <c r="BO87" s="44"/>
      <c r="BP87" s="44"/>
      <c r="BQ87" s="44"/>
      <c r="BR87" s="49"/>
      <c r="BS87" s="44"/>
      <c r="BT87" s="44"/>
      <c r="BU87" s="44"/>
      <c r="BV87" s="44"/>
      <c r="BX87" s="44"/>
      <c r="BZ87" s="44">
        <v>759.68</v>
      </c>
      <c r="CA87" s="44"/>
      <c r="CB87" s="44"/>
      <c r="CC87" s="44"/>
      <c r="CD87" s="43"/>
      <c r="CE87" s="44"/>
      <c r="CF87" s="65"/>
      <c r="CG87" s="44"/>
      <c r="CH87" s="44"/>
      <c r="CI87" s="44"/>
      <c r="CK87" s="44"/>
      <c r="CL87" s="44">
        <v>759.68</v>
      </c>
      <c r="CN87" s="44"/>
      <c r="CO87" s="44"/>
      <c r="CP87" s="44"/>
      <c r="CQ87" s="44"/>
      <c r="CR87" s="44"/>
      <c r="CS87" s="44"/>
      <c r="CT87" s="44"/>
      <c r="CU87" s="44"/>
      <c r="CV87" s="44"/>
      <c r="CX87" s="44"/>
      <c r="CY87" s="44"/>
      <c r="CZ87" s="50"/>
      <c r="DA87" s="44"/>
      <c r="DB87" s="44"/>
      <c r="DC87" s="44"/>
      <c r="DD87" s="44"/>
      <c r="DF87" s="44"/>
      <c r="DH87" s="44"/>
      <c r="DI87" s="44"/>
      <c r="DJ87" s="129"/>
      <c r="DK87" s="44"/>
      <c r="DL87" s="44"/>
      <c r="DM87" s="44"/>
      <c r="DN87" s="44"/>
      <c r="DO87" s="44"/>
      <c r="DP87" s="44"/>
      <c r="DQ87" s="44"/>
      <c r="DR87" s="44"/>
      <c r="DS87" s="44"/>
      <c r="DT87" s="44"/>
      <c r="DU87" s="44"/>
      <c r="DV87" s="44"/>
      <c r="DW87" s="44"/>
      <c r="DX87" s="44"/>
      <c r="DY87" s="44"/>
      <c r="DZ87" s="47"/>
      <c r="EA87" s="47"/>
      <c r="EB87" s="47"/>
    </row>
    <row r="88" spans="3:132" s="32" customFormat="1" ht="27.6">
      <c r="C88" s="76">
        <v>44218</v>
      </c>
      <c r="D88" s="34" t="s">
        <v>759</v>
      </c>
      <c r="E88" s="286" t="s">
        <v>809</v>
      </c>
      <c r="F88" s="36">
        <v>0.70763888888888893</v>
      </c>
      <c r="G88" s="36">
        <v>0.70833333333333337</v>
      </c>
      <c r="H88" s="55" t="s">
        <v>0</v>
      </c>
      <c r="I88" s="38">
        <v>2</v>
      </c>
      <c r="J88" s="39">
        <v>761</v>
      </c>
      <c r="K88" s="51" t="str">
        <f>VLOOKUP(J88,'[2]Chart of accounts'!A:H,2,FALSE)</f>
        <v>50203090 00</v>
      </c>
      <c r="L88" s="39"/>
      <c r="M88" s="39"/>
      <c r="N88" s="34"/>
      <c r="O88" s="34"/>
      <c r="P88" s="34"/>
      <c r="Q88" s="53" t="s">
        <v>3</v>
      </c>
      <c r="R88" s="40" t="s">
        <v>816</v>
      </c>
      <c r="S88" s="41" t="s">
        <v>2</v>
      </c>
      <c r="T88" s="42" t="s">
        <v>810</v>
      </c>
      <c r="U88" s="42" t="s">
        <v>811</v>
      </c>
      <c r="V88" s="44">
        <v>8431.59</v>
      </c>
      <c r="W88" s="52"/>
      <c r="X88" s="49"/>
      <c r="Y88" s="44">
        <f t="shared" si="4"/>
        <v>8431.59</v>
      </c>
      <c r="Z88" s="45"/>
      <c r="AA88" s="46"/>
      <c r="AB88" s="47"/>
      <c r="AC88" s="47"/>
      <c r="AD88" s="47"/>
      <c r="AE88" s="47"/>
      <c r="AF88" s="47"/>
      <c r="AG88" s="44"/>
      <c r="AH88" s="44"/>
      <c r="AI88" s="44"/>
      <c r="AJ88" s="47"/>
      <c r="AK88" s="47"/>
      <c r="AL88" s="47"/>
      <c r="AM88" s="47"/>
      <c r="AN88" s="47"/>
      <c r="AO88" s="47"/>
      <c r="AP88" s="47"/>
      <c r="AQ88" s="47"/>
      <c r="AR88" s="47"/>
      <c r="AS88" s="47"/>
      <c r="AT88" s="47"/>
      <c r="AU88" s="47"/>
      <c r="AV88" s="47"/>
      <c r="AW88" s="47"/>
      <c r="AX88" s="47"/>
      <c r="AY88" s="47"/>
      <c r="AZ88" s="47"/>
      <c r="BA88" s="44"/>
      <c r="BB88" s="44"/>
      <c r="BC88" s="44"/>
      <c r="BD88" s="44"/>
      <c r="BE88" s="44"/>
      <c r="BF88" s="48"/>
      <c r="BG88" s="44"/>
      <c r="BH88" s="44"/>
      <c r="BI88" s="44"/>
      <c r="BJ88" s="44"/>
      <c r="BK88" s="44"/>
      <c r="BL88" s="44"/>
      <c r="BM88" s="44"/>
      <c r="BN88" s="44"/>
      <c r="BO88" s="44"/>
      <c r="BP88" s="44"/>
      <c r="BQ88" s="44"/>
      <c r="BR88" s="49"/>
      <c r="BS88" s="44"/>
      <c r="BT88" s="44"/>
      <c r="BU88" s="44"/>
      <c r="BV88" s="44">
        <v>8431.59</v>
      </c>
      <c r="BX88" s="44"/>
      <c r="BY88" s="50"/>
      <c r="BZ88" s="44"/>
      <c r="CA88" s="44"/>
      <c r="CB88" s="44"/>
      <c r="CC88" s="44"/>
      <c r="CD88" s="43"/>
      <c r="CE88" s="44"/>
      <c r="CF88" s="65"/>
      <c r="CG88" s="44"/>
      <c r="CH88" s="44"/>
      <c r="CI88" s="44"/>
      <c r="CK88" s="44"/>
      <c r="CL88" s="44">
        <v>8431.59</v>
      </c>
      <c r="CN88" s="44"/>
      <c r="CO88" s="44"/>
      <c r="CP88" s="44"/>
      <c r="CQ88" s="44"/>
      <c r="CR88" s="44"/>
      <c r="CS88" s="44"/>
      <c r="CT88" s="44"/>
      <c r="CU88" s="44"/>
      <c r="CV88" s="44"/>
      <c r="CX88" s="44"/>
      <c r="CY88" s="44"/>
      <c r="CZ88" s="50"/>
      <c r="DA88" s="44"/>
      <c r="DB88" s="44"/>
      <c r="DC88" s="44"/>
      <c r="DD88" s="44"/>
      <c r="DF88" s="44"/>
      <c r="DH88" s="44"/>
      <c r="DI88" s="44"/>
      <c r="DJ88" s="129"/>
      <c r="DK88" s="44"/>
      <c r="DL88" s="44"/>
      <c r="DM88" s="44"/>
      <c r="DN88" s="44"/>
      <c r="DO88" s="44"/>
      <c r="DP88" s="44"/>
      <c r="DQ88" s="44"/>
      <c r="DR88" s="44"/>
      <c r="DS88" s="44"/>
      <c r="DT88" s="44"/>
      <c r="DU88" s="44"/>
      <c r="DV88" s="44"/>
      <c r="DW88" s="44"/>
      <c r="DX88" s="44"/>
      <c r="DY88" s="44"/>
      <c r="DZ88" s="47"/>
      <c r="EA88" s="47"/>
      <c r="EB88" s="47"/>
    </row>
    <row r="89" spans="3:132" s="32" customFormat="1" ht="27.6">
      <c r="C89" s="76">
        <v>44221</v>
      </c>
      <c r="D89" s="34" t="s">
        <v>759</v>
      </c>
      <c r="E89" s="286" t="s">
        <v>817</v>
      </c>
      <c r="F89" s="36">
        <v>0.59027777777777779</v>
      </c>
      <c r="G89" s="36">
        <v>0.59097222222222223</v>
      </c>
      <c r="H89" s="55" t="s">
        <v>0</v>
      </c>
      <c r="I89" s="38">
        <v>2</v>
      </c>
      <c r="J89" s="39">
        <v>783</v>
      </c>
      <c r="K89" s="51" t="str">
        <f>VLOOKUP(J89,'[2]Chart of accounts'!A:H,2,FALSE)</f>
        <v>50299030 00</v>
      </c>
      <c r="L89" s="39"/>
      <c r="M89" s="39"/>
      <c r="N89" s="34"/>
      <c r="O89" s="34"/>
      <c r="P89" s="34"/>
      <c r="Q89" s="53" t="s">
        <v>3</v>
      </c>
      <c r="R89" s="53" t="s">
        <v>3</v>
      </c>
      <c r="S89" s="41" t="s">
        <v>788</v>
      </c>
      <c r="T89" s="42" t="s">
        <v>818</v>
      </c>
      <c r="U89" s="42" t="s">
        <v>819</v>
      </c>
      <c r="V89" s="44">
        <v>7800</v>
      </c>
      <c r="W89" s="52"/>
      <c r="X89" s="49"/>
      <c r="Y89" s="44">
        <f t="shared" si="4"/>
        <v>7800</v>
      </c>
      <c r="Z89" s="45"/>
      <c r="AA89" s="46"/>
      <c r="AB89" s="47"/>
      <c r="AC89" s="47"/>
      <c r="AD89" s="47"/>
      <c r="AE89" s="47"/>
      <c r="AF89" s="47"/>
      <c r="AG89" s="44"/>
      <c r="AH89" s="44"/>
      <c r="AI89" s="44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4"/>
      <c r="BB89" s="44"/>
      <c r="BC89" s="44"/>
      <c r="BD89" s="44"/>
      <c r="BE89" s="44"/>
      <c r="BF89" s="48"/>
      <c r="BG89" s="44"/>
      <c r="BH89" s="44"/>
      <c r="BI89" s="44"/>
      <c r="BJ89" s="44"/>
      <c r="BK89" s="44"/>
      <c r="BL89" s="44"/>
      <c r="BM89" s="44"/>
      <c r="BN89" s="44"/>
      <c r="BO89" s="44"/>
      <c r="BP89" s="44"/>
      <c r="BQ89" s="44"/>
      <c r="BR89" s="49"/>
      <c r="BS89" s="44"/>
      <c r="BT89" s="44"/>
      <c r="BU89" s="44"/>
      <c r="BV89" s="44">
        <v>7800</v>
      </c>
      <c r="BW89" s="47"/>
      <c r="BX89" s="44"/>
      <c r="BY89" s="50"/>
      <c r="BZ89" s="44"/>
      <c r="CA89" s="44"/>
      <c r="CB89" s="44"/>
      <c r="CC89" s="44"/>
      <c r="CD89" s="43"/>
      <c r="CE89" s="44"/>
      <c r="CF89" s="65"/>
      <c r="CG89" s="44"/>
      <c r="CH89" s="44"/>
      <c r="CI89" s="44"/>
      <c r="CK89" s="44"/>
      <c r="CL89" s="44"/>
      <c r="CN89" s="44"/>
      <c r="CO89" s="44"/>
      <c r="CP89" s="44"/>
      <c r="CQ89" s="44"/>
      <c r="CR89" s="44"/>
      <c r="CS89" s="44"/>
      <c r="CT89" s="44"/>
      <c r="CU89" s="44"/>
      <c r="CV89" s="44"/>
      <c r="CX89" s="44"/>
      <c r="CY89" s="44"/>
      <c r="CZ89" s="44">
        <v>7800</v>
      </c>
      <c r="DA89" s="44"/>
      <c r="DB89" s="44"/>
      <c r="DC89" s="44"/>
      <c r="DD89" s="44"/>
      <c r="DF89" s="44"/>
      <c r="DH89" s="44"/>
      <c r="DI89" s="44"/>
      <c r="DJ89" s="129"/>
      <c r="DK89" s="44"/>
      <c r="DL89" s="44"/>
      <c r="DM89" s="44"/>
      <c r="DN89" s="44"/>
      <c r="DO89" s="44"/>
      <c r="DP89" s="44"/>
      <c r="DQ89" s="44"/>
      <c r="DR89" s="44"/>
      <c r="DS89" s="44"/>
      <c r="DT89" s="44"/>
      <c r="DU89" s="44"/>
      <c r="DV89" s="44"/>
      <c r="DW89" s="44"/>
      <c r="DX89" s="44"/>
      <c r="DY89" s="44"/>
      <c r="DZ89" s="47"/>
      <c r="EA89" s="47"/>
      <c r="EB89" s="47"/>
    </row>
    <row r="90" spans="3:132" s="32" customFormat="1" ht="27.6">
      <c r="C90" s="76">
        <v>44221</v>
      </c>
      <c r="D90" s="34" t="s">
        <v>759</v>
      </c>
      <c r="E90" s="286" t="s">
        <v>824</v>
      </c>
      <c r="F90" s="36">
        <v>0.59097222222222223</v>
      </c>
      <c r="G90" s="36">
        <v>0.59236111111111112</v>
      </c>
      <c r="H90" s="55" t="s">
        <v>0</v>
      </c>
      <c r="I90" s="38">
        <v>2</v>
      </c>
      <c r="J90" s="39">
        <v>783</v>
      </c>
      <c r="K90" s="51" t="str">
        <f>VLOOKUP(J90,'[2]Chart of accounts'!A:H,2,FALSE)</f>
        <v>50299030 00</v>
      </c>
      <c r="L90" s="39"/>
      <c r="M90" s="39"/>
      <c r="N90" s="34"/>
      <c r="O90" s="34"/>
      <c r="P90" s="34"/>
      <c r="Q90" s="53" t="s">
        <v>3</v>
      </c>
      <c r="R90" s="53" t="s">
        <v>3</v>
      </c>
      <c r="S90" s="41" t="s">
        <v>776</v>
      </c>
      <c r="T90" s="42" t="s">
        <v>820</v>
      </c>
      <c r="U90" s="42" t="s">
        <v>819</v>
      </c>
      <c r="V90" s="44">
        <v>7800</v>
      </c>
      <c r="W90" s="52"/>
      <c r="X90" s="49"/>
      <c r="Y90" s="44">
        <f t="shared" si="4"/>
        <v>7800</v>
      </c>
      <c r="Z90" s="45"/>
      <c r="AA90" s="46"/>
      <c r="AB90" s="47"/>
      <c r="AC90" s="47"/>
      <c r="AD90" s="47"/>
      <c r="AE90" s="47"/>
      <c r="AF90" s="47"/>
      <c r="AG90" s="44"/>
      <c r="AH90" s="44"/>
      <c r="AI90" s="44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4"/>
      <c r="BB90" s="44"/>
      <c r="BC90" s="44"/>
      <c r="BD90" s="44"/>
      <c r="BE90" s="44"/>
      <c r="BF90" s="48"/>
      <c r="BG90" s="44"/>
      <c r="BH90" s="44"/>
      <c r="BI90" s="44"/>
      <c r="BJ90" s="44"/>
      <c r="BK90" s="44"/>
      <c r="BL90" s="44"/>
      <c r="BM90" s="44"/>
      <c r="BN90" s="44"/>
      <c r="BO90" s="44"/>
      <c r="BP90" s="44"/>
      <c r="BQ90" s="44"/>
      <c r="BR90" s="49"/>
      <c r="BS90" s="44"/>
      <c r="BT90" s="44"/>
      <c r="BU90" s="44"/>
      <c r="BV90" s="44">
        <v>7800</v>
      </c>
      <c r="BW90" s="47"/>
      <c r="BX90" s="44"/>
      <c r="BY90" s="50"/>
      <c r="BZ90" s="44"/>
      <c r="CA90" s="44"/>
      <c r="CB90" s="44"/>
      <c r="CC90" s="44"/>
      <c r="CD90" s="43"/>
      <c r="CE90" s="44"/>
      <c r="CF90" s="65"/>
      <c r="CG90" s="44"/>
      <c r="CH90" s="44"/>
      <c r="CI90" s="44"/>
      <c r="CK90" s="44"/>
      <c r="CL90" s="44"/>
      <c r="CN90" s="44"/>
      <c r="CO90" s="44"/>
      <c r="CP90" s="44"/>
      <c r="CQ90" s="44"/>
      <c r="CR90" s="44"/>
      <c r="CS90" s="44"/>
      <c r="CT90" s="44"/>
      <c r="CU90" s="44"/>
      <c r="CV90" s="44"/>
      <c r="CX90" s="44"/>
      <c r="CY90" s="44"/>
      <c r="CZ90" s="44">
        <v>7800</v>
      </c>
      <c r="DA90" s="44"/>
      <c r="DB90" s="44"/>
      <c r="DC90" s="44"/>
      <c r="DD90" s="44"/>
      <c r="DF90" s="44"/>
      <c r="DH90" s="44"/>
      <c r="DI90" s="44"/>
      <c r="DJ90" s="129"/>
      <c r="DK90" s="44"/>
      <c r="DL90" s="44"/>
      <c r="DM90" s="44"/>
      <c r="DN90" s="44"/>
      <c r="DO90" s="44"/>
      <c r="DP90" s="44"/>
      <c r="DQ90" s="44"/>
      <c r="DR90" s="44"/>
      <c r="DS90" s="44"/>
      <c r="DT90" s="44"/>
      <c r="DU90" s="44"/>
      <c r="DV90" s="44"/>
      <c r="DW90" s="44"/>
      <c r="DX90" s="44"/>
      <c r="DY90" s="44"/>
      <c r="DZ90" s="47"/>
      <c r="EA90" s="47"/>
      <c r="EB90" s="47"/>
    </row>
    <row r="91" spans="3:132" s="32" customFormat="1" ht="27.6">
      <c r="C91" s="76">
        <v>44221</v>
      </c>
      <c r="D91" s="34" t="s">
        <v>759</v>
      </c>
      <c r="E91" s="286" t="s">
        <v>825</v>
      </c>
      <c r="F91" s="36">
        <v>0.59236111111111112</v>
      </c>
      <c r="G91" s="36">
        <v>0.59305555555555556</v>
      </c>
      <c r="H91" s="55" t="s">
        <v>0</v>
      </c>
      <c r="I91" s="38">
        <v>2</v>
      </c>
      <c r="J91" s="39">
        <v>783</v>
      </c>
      <c r="K91" s="51" t="str">
        <f>VLOOKUP(J91,'[2]Chart of accounts'!A:H,2,FALSE)</f>
        <v>50299030 00</v>
      </c>
      <c r="L91" s="39"/>
      <c r="M91" s="39"/>
      <c r="N91" s="34"/>
      <c r="O91" s="34"/>
      <c r="P91" s="34"/>
      <c r="Q91" s="53" t="s">
        <v>3</v>
      </c>
      <c r="R91" s="53" t="s">
        <v>3</v>
      </c>
      <c r="S91" s="41" t="s">
        <v>769</v>
      </c>
      <c r="T91" s="42" t="s">
        <v>821</v>
      </c>
      <c r="U91" s="42" t="s">
        <v>819</v>
      </c>
      <c r="V91" s="44">
        <v>7800</v>
      </c>
      <c r="W91" s="52"/>
      <c r="X91" s="49"/>
      <c r="Y91" s="44">
        <f t="shared" si="4"/>
        <v>7800</v>
      </c>
      <c r="Z91" s="45"/>
      <c r="AA91" s="46"/>
      <c r="AB91" s="47"/>
      <c r="AC91" s="47"/>
      <c r="AD91" s="47"/>
      <c r="AE91" s="47"/>
      <c r="AF91" s="47"/>
      <c r="AG91" s="44"/>
      <c r="AH91" s="44"/>
      <c r="AI91" s="44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4"/>
      <c r="BB91" s="44"/>
      <c r="BC91" s="44"/>
      <c r="BD91" s="44"/>
      <c r="BE91" s="44"/>
      <c r="BF91" s="48"/>
      <c r="BG91" s="44"/>
      <c r="BH91" s="44"/>
      <c r="BI91" s="44"/>
      <c r="BJ91" s="44"/>
      <c r="BK91" s="44"/>
      <c r="BL91" s="44"/>
      <c r="BM91" s="44"/>
      <c r="BN91" s="44"/>
      <c r="BO91" s="44"/>
      <c r="BP91" s="44"/>
      <c r="BQ91" s="44"/>
      <c r="BR91" s="49"/>
      <c r="BS91" s="44"/>
      <c r="BT91" s="44"/>
      <c r="BU91" s="44"/>
      <c r="BV91" s="44">
        <v>7800</v>
      </c>
      <c r="BW91" s="47"/>
      <c r="BX91" s="44"/>
      <c r="BY91" s="50"/>
      <c r="BZ91" s="44"/>
      <c r="CA91" s="44"/>
      <c r="CB91" s="44"/>
      <c r="CC91" s="44"/>
      <c r="CD91" s="43"/>
      <c r="CE91" s="44"/>
      <c r="CF91" s="65"/>
      <c r="CG91" s="44"/>
      <c r="CH91" s="44"/>
      <c r="CI91" s="44"/>
      <c r="CK91" s="44"/>
      <c r="CL91" s="44"/>
      <c r="CN91" s="44"/>
      <c r="CO91" s="44"/>
      <c r="CP91" s="44"/>
      <c r="CQ91" s="44"/>
      <c r="CR91" s="44"/>
      <c r="CS91" s="44"/>
      <c r="CT91" s="44"/>
      <c r="CU91" s="44"/>
      <c r="CV91" s="44"/>
      <c r="CX91" s="44"/>
      <c r="CY91" s="44"/>
      <c r="CZ91" s="44">
        <v>7800</v>
      </c>
      <c r="DA91" s="44"/>
      <c r="DB91" s="44"/>
      <c r="DC91" s="44"/>
      <c r="DD91" s="44"/>
      <c r="DF91" s="44"/>
      <c r="DH91" s="44"/>
      <c r="DI91" s="44"/>
      <c r="DJ91" s="129"/>
      <c r="DK91" s="44"/>
      <c r="DL91" s="44"/>
      <c r="DM91" s="44"/>
      <c r="DN91" s="44"/>
      <c r="DO91" s="44"/>
      <c r="DP91" s="44"/>
      <c r="DQ91" s="44"/>
      <c r="DR91" s="44"/>
      <c r="DS91" s="44"/>
      <c r="DT91" s="44"/>
      <c r="DU91" s="44"/>
      <c r="DV91" s="44"/>
      <c r="DW91" s="44"/>
      <c r="DX91" s="44"/>
      <c r="DY91" s="44"/>
      <c r="DZ91" s="47"/>
      <c r="EA91" s="47"/>
      <c r="EB91" s="47"/>
    </row>
    <row r="92" spans="3:132" s="32" customFormat="1" ht="27.6">
      <c r="C92" s="76">
        <v>44221</v>
      </c>
      <c r="D92" s="34" t="s">
        <v>759</v>
      </c>
      <c r="E92" s="286" t="s">
        <v>826</v>
      </c>
      <c r="F92" s="36">
        <v>0.59305555555555556</v>
      </c>
      <c r="G92" s="36">
        <v>0.59375</v>
      </c>
      <c r="H92" s="55" t="s">
        <v>0</v>
      </c>
      <c r="I92" s="38">
        <v>2</v>
      </c>
      <c r="J92" s="39">
        <v>783</v>
      </c>
      <c r="K92" s="51" t="str">
        <f>VLOOKUP(J92,'[2]Chart of accounts'!A:H,2,FALSE)</f>
        <v>50299030 00</v>
      </c>
      <c r="L92" s="39"/>
      <c r="M92" s="39"/>
      <c r="N92" s="34"/>
      <c r="O92" s="34"/>
      <c r="P92" s="34"/>
      <c r="Q92" s="53" t="s">
        <v>3</v>
      </c>
      <c r="R92" s="53" t="s">
        <v>3</v>
      </c>
      <c r="S92" s="41" t="s">
        <v>771</v>
      </c>
      <c r="T92" s="42" t="s">
        <v>822</v>
      </c>
      <c r="U92" s="42" t="s">
        <v>819</v>
      </c>
      <c r="V92" s="44">
        <v>7800</v>
      </c>
      <c r="W92" s="52"/>
      <c r="X92" s="49"/>
      <c r="Y92" s="44">
        <f t="shared" si="4"/>
        <v>7800</v>
      </c>
      <c r="Z92" s="45"/>
      <c r="AA92" s="46"/>
      <c r="AB92" s="47"/>
      <c r="AC92" s="47"/>
      <c r="AD92" s="47"/>
      <c r="AE92" s="47"/>
      <c r="AF92" s="47"/>
      <c r="AG92" s="44"/>
      <c r="AH92" s="44"/>
      <c r="AI92" s="44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4"/>
      <c r="BB92" s="44"/>
      <c r="BC92" s="44"/>
      <c r="BD92" s="44"/>
      <c r="BE92" s="44"/>
      <c r="BF92" s="48"/>
      <c r="BG92" s="44"/>
      <c r="BH92" s="44"/>
      <c r="BI92" s="44"/>
      <c r="BJ92" s="44"/>
      <c r="BK92" s="44"/>
      <c r="BL92" s="44"/>
      <c r="BM92" s="44"/>
      <c r="BN92" s="44"/>
      <c r="BO92" s="44"/>
      <c r="BP92" s="44"/>
      <c r="BQ92" s="44"/>
      <c r="BR92" s="49"/>
      <c r="BS92" s="44"/>
      <c r="BT92" s="44"/>
      <c r="BU92" s="44"/>
      <c r="BV92" s="44">
        <v>7800</v>
      </c>
      <c r="BW92" s="47"/>
      <c r="BX92" s="44"/>
      <c r="BY92" s="50"/>
      <c r="BZ92" s="44"/>
      <c r="CA92" s="44"/>
      <c r="CB92" s="44"/>
      <c r="CC92" s="44"/>
      <c r="CD92" s="43"/>
      <c r="CE92" s="44"/>
      <c r="CF92" s="65"/>
      <c r="CG92" s="44"/>
      <c r="CH92" s="44"/>
      <c r="CI92" s="44"/>
      <c r="CK92" s="44"/>
      <c r="CL92" s="44"/>
      <c r="CN92" s="44"/>
      <c r="CO92" s="44"/>
      <c r="CP92" s="44"/>
      <c r="CQ92" s="44"/>
      <c r="CR92" s="44"/>
      <c r="CS92" s="44"/>
      <c r="CT92" s="44"/>
      <c r="CU92" s="44"/>
      <c r="CV92" s="44"/>
      <c r="CX92" s="44"/>
      <c r="CY92" s="44"/>
      <c r="CZ92" s="44">
        <v>7800</v>
      </c>
      <c r="DA92" s="44"/>
      <c r="DB92" s="44"/>
      <c r="DC92" s="44"/>
      <c r="DD92" s="44"/>
      <c r="DF92" s="44"/>
      <c r="DH92" s="44"/>
      <c r="DI92" s="44"/>
      <c r="DJ92" s="129"/>
      <c r="DK92" s="44"/>
      <c r="DL92" s="44"/>
      <c r="DM92" s="44"/>
      <c r="DN92" s="44"/>
      <c r="DO92" s="44"/>
      <c r="DP92" s="44"/>
      <c r="DQ92" s="44"/>
      <c r="DR92" s="44"/>
      <c r="DS92" s="44"/>
      <c r="DT92" s="44"/>
      <c r="DU92" s="44"/>
      <c r="DV92" s="44"/>
      <c r="DW92" s="44"/>
      <c r="DX92" s="44"/>
      <c r="DY92" s="44"/>
      <c r="DZ92" s="47"/>
      <c r="EA92" s="47"/>
      <c r="EB92" s="47"/>
    </row>
    <row r="93" spans="3:132" s="32" customFormat="1" ht="27.6">
      <c r="C93" s="76">
        <v>44221</v>
      </c>
      <c r="D93" s="34" t="s">
        <v>759</v>
      </c>
      <c r="E93" s="286" t="s">
        <v>827</v>
      </c>
      <c r="F93" s="36">
        <v>0.59375</v>
      </c>
      <c r="G93" s="36">
        <v>0.59444444444444444</v>
      </c>
      <c r="H93" s="55" t="s">
        <v>0</v>
      </c>
      <c r="I93" s="38">
        <v>2</v>
      </c>
      <c r="J93" s="39">
        <v>783</v>
      </c>
      <c r="K93" s="51" t="str">
        <f>VLOOKUP(J93,'[2]Chart of accounts'!A:H,2,FALSE)</f>
        <v>50299030 00</v>
      </c>
      <c r="L93" s="39"/>
      <c r="M93" s="39"/>
      <c r="N93" s="34"/>
      <c r="O93" s="34"/>
      <c r="P93" s="34"/>
      <c r="Q93" s="53" t="s">
        <v>3</v>
      </c>
      <c r="R93" s="53" t="s">
        <v>3</v>
      </c>
      <c r="S93" s="41" t="s">
        <v>770</v>
      </c>
      <c r="T93" s="42" t="s">
        <v>823</v>
      </c>
      <c r="U93" s="42" t="s">
        <v>819</v>
      </c>
      <c r="V93" s="44">
        <v>7800</v>
      </c>
      <c r="W93" s="52"/>
      <c r="X93" s="49"/>
      <c r="Y93" s="44">
        <f t="shared" si="4"/>
        <v>7800</v>
      </c>
      <c r="Z93" s="45"/>
      <c r="AA93" s="46"/>
      <c r="AB93" s="47"/>
      <c r="AC93" s="47"/>
      <c r="AD93" s="47"/>
      <c r="AE93" s="47"/>
      <c r="AF93" s="47"/>
      <c r="AG93" s="44"/>
      <c r="AH93" s="44"/>
      <c r="AI93" s="44"/>
      <c r="AJ93" s="47"/>
      <c r="AK93" s="47"/>
      <c r="AL93" s="47"/>
      <c r="AM93" s="47"/>
      <c r="AN93" s="47"/>
      <c r="AO93" s="47"/>
      <c r="AP93" s="47"/>
      <c r="AQ93" s="47"/>
      <c r="AR93" s="47"/>
      <c r="AS93" s="47"/>
      <c r="AT93" s="47"/>
      <c r="AU93" s="47"/>
      <c r="AV93" s="47"/>
      <c r="AW93" s="47"/>
      <c r="AX93" s="47"/>
      <c r="AY93" s="47"/>
      <c r="AZ93" s="47"/>
      <c r="BA93" s="44"/>
      <c r="BB93" s="44"/>
      <c r="BC93" s="44"/>
      <c r="BD93" s="44"/>
      <c r="BE93" s="44"/>
      <c r="BF93" s="48"/>
      <c r="BG93" s="44"/>
      <c r="BH93" s="44"/>
      <c r="BI93" s="44"/>
      <c r="BJ93" s="44"/>
      <c r="BK93" s="44"/>
      <c r="BL93" s="44"/>
      <c r="BM93" s="44"/>
      <c r="BN93" s="44"/>
      <c r="BO93" s="44"/>
      <c r="BP93" s="44"/>
      <c r="BQ93" s="44"/>
      <c r="BR93" s="49"/>
      <c r="BS93" s="44"/>
      <c r="BT93" s="44"/>
      <c r="BU93" s="44"/>
      <c r="BV93" s="44">
        <v>7800</v>
      </c>
      <c r="BW93" s="47"/>
      <c r="BX93" s="44"/>
      <c r="BY93" s="50"/>
      <c r="BZ93" s="44"/>
      <c r="CA93" s="44"/>
      <c r="CB93" s="44"/>
      <c r="CC93" s="44"/>
      <c r="CD93" s="43"/>
      <c r="CE93" s="44"/>
      <c r="CF93" s="65"/>
      <c r="CG93" s="44"/>
      <c r="CH93" s="44"/>
      <c r="CI93" s="44"/>
      <c r="CK93" s="44"/>
      <c r="CL93" s="44"/>
      <c r="CN93" s="44"/>
      <c r="CO93" s="44"/>
      <c r="CP93" s="44"/>
      <c r="CQ93" s="44"/>
      <c r="CR93" s="44"/>
      <c r="CS93" s="44"/>
      <c r="CT93" s="44"/>
      <c r="CU93" s="44"/>
      <c r="CV93" s="44"/>
      <c r="CX93" s="44"/>
      <c r="CY93" s="44"/>
      <c r="CZ93" s="44">
        <v>7800</v>
      </c>
      <c r="DA93" s="44"/>
      <c r="DB93" s="44"/>
      <c r="DC93" s="44"/>
      <c r="DD93" s="44"/>
      <c r="DF93" s="44"/>
      <c r="DH93" s="44"/>
      <c r="DI93" s="44"/>
      <c r="DJ93" s="129"/>
      <c r="DK93" s="44"/>
      <c r="DL93" s="44"/>
      <c r="DM93" s="44"/>
      <c r="DN93" s="44"/>
      <c r="DO93" s="44"/>
      <c r="DP93" s="44"/>
      <c r="DQ93" s="44"/>
      <c r="DR93" s="44"/>
      <c r="DS93" s="44"/>
      <c r="DT93" s="44"/>
      <c r="DU93" s="44"/>
      <c r="DV93" s="44"/>
      <c r="DW93" s="44"/>
      <c r="DX93" s="44"/>
      <c r="DY93" s="44"/>
      <c r="DZ93" s="47"/>
      <c r="EA93" s="47"/>
      <c r="EB93" s="47"/>
    </row>
    <row r="94" spans="3:132" s="32" customFormat="1" ht="27.6">
      <c r="C94" s="76">
        <v>44222</v>
      </c>
      <c r="D94" s="34" t="s">
        <v>759</v>
      </c>
      <c r="E94" s="286" t="s">
        <v>829</v>
      </c>
      <c r="F94" s="36">
        <v>0.46666666666666662</v>
      </c>
      <c r="G94" s="36">
        <v>0.46736111111111112</v>
      </c>
      <c r="H94" s="55" t="s">
        <v>0</v>
      </c>
      <c r="I94" s="38">
        <v>2</v>
      </c>
      <c r="J94" s="39" t="s">
        <v>828</v>
      </c>
      <c r="K94" s="51" t="str">
        <f>VLOOKUP(J94,'[2]Chart of accounts'!A:H,2,FALSE)</f>
        <v>50604050 03</v>
      </c>
      <c r="L94" s="39"/>
      <c r="M94" s="39"/>
      <c r="N94" s="34"/>
      <c r="O94" s="34"/>
      <c r="P94" s="34"/>
      <c r="Q94" s="53" t="s">
        <v>4</v>
      </c>
      <c r="R94" s="40" t="s">
        <v>753</v>
      </c>
      <c r="S94" s="41" t="s">
        <v>2</v>
      </c>
      <c r="T94" s="42" t="s">
        <v>830</v>
      </c>
      <c r="U94" s="42" t="s">
        <v>831</v>
      </c>
      <c r="V94" s="44">
        <v>59500</v>
      </c>
      <c r="W94" s="52"/>
      <c r="X94" s="49"/>
      <c r="Y94" s="44">
        <f t="shared" si="4"/>
        <v>59500</v>
      </c>
      <c r="Z94" s="45"/>
      <c r="AA94" s="46"/>
      <c r="AB94" s="47"/>
      <c r="AC94" s="47"/>
      <c r="AD94" s="47"/>
      <c r="AE94" s="47"/>
      <c r="AF94" s="47"/>
      <c r="AG94" s="44"/>
      <c r="AH94" s="44"/>
      <c r="AI94" s="44"/>
      <c r="AJ94" s="47"/>
      <c r="AK94" s="47"/>
      <c r="AL94" s="47"/>
      <c r="AM94" s="47"/>
      <c r="AN94" s="47"/>
      <c r="AO94" s="47"/>
      <c r="AP94" s="47"/>
      <c r="AQ94" s="47"/>
      <c r="AR94" s="47"/>
      <c r="AS94" s="47"/>
      <c r="AT94" s="47"/>
      <c r="AU94" s="47"/>
      <c r="AV94" s="47"/>
      <c r="AW94" s="47"/>
      <c r="AX94" s="47"/>
      <c r="AY94" s="47"/>
      <c r="AZ94" s="47"/>
      <c r="BA94" s="44"/>
      <c r="BB94" s="44"/>
      <c r="BC94" s="44"/>
      <c r="BD94" s="44"/>
      <c r="BE94" s="44"/>
      <c r="BF94" s="48"/>
      <c r="BG94" s="44"/>
      <c r="BH94" s="44"/>
      <c r="BI94" s="44"/>
      <c r="BJ94" s="44"/>
      <c r="BK94" s="44"/>
      <c r="BL94" s="44"/>
      <c r="BM94" s="44"/>
      <c r="BN94" s="44"/>
      <c r="BO94" s="44"/>
      <c r="BP94" s="44"/>
      <c r="BQ94" s="44"/>
      <c r="BR94" s="49"/>
      <c r="BS94" s="44"/>
      <c r="BT94" s="44"/>
      <c r="BU94" s="44"/>
      <c r="BV94" s="44"/>
      <c r="BW94" s="47"/>
      <c r="BX94" s="44"/>
      <c r="BY94" s="44">
        <v>59500</v>
      </c>
      <c r="BZ94" s="44"/>
      <c r="CA94" s="44"/>
      <c r="CB94" s="44"/>
      <c r="CC94" s="44"/>
      <c r="CD94" s="43"/>
      <c r="CE94" s="44"/>
      <c r="CF94" s="65"/>
      <c r="CG94" s="44"/>
      <c r="CH94" s="44"/>
      <c r="CI94" s="44"/>
      <c r="CK94" s="44"/>
      <c r="CL94" s="44"/>
      <c r="CN94" s="44"/>
      <c r="CO94" s="44"/>
      <c r="CP94" s="44"/>
      <c r="CQ94" s="44"/>
      <c r="CR94" s="44"/>
      <c r="CS94" s="44"/>
      <c r="CT94" s="44"/>
      <c r="CU94" s="44"/>
      <c r="CV94" s="44"/>
      <c r="CX94" s="44"/>
      <c r="CY94" s="44"/>
      <c r="CZ94" s="50"/>
      <c r="DA94" s="44"/>
      <c r="DB94" s="44"/>
      <c r="DC94" s="44"/>
      <c r="DD94" s="44"/>
      <c r="DF94" s="44"/>
      <c r="DH94" s="44"/>
      <c r="DI94" s="44"/>
      <c r="DJ94" s="129"/>
      <c r="DK94" s="44"/>
      <c r="DL94" s="44"/>
      <c r="DM94" s="44"/>
      <c r="DN94" s="44"/>
      <c r="DO94" s="44"/>
      <c r="DP94" s="44"/>
      <c r="DQ94" s="44"/>
      <c r="DR94" s="44"/>
      <c r="DS94" s="44"/>
      <c r="DT94" s="44"/>
      <c r="DU94" s="44"/>
      <c r="DV94" s="44"/>
      <c r="DW94" s="44"/>
      <c r="DX94" s="44"/>
      <c r="DY94" s="44"/>
      <c r="DZ94" s="47"/>
      <c r="EA94" s="44">
        <v>59500</v>
      </c>
      <c r="EB94" s="47"/>
    </row>
    <row r="95" spans="3:132" s="32" customFormat="1" ht="27.6">
      <c r="C95" s="76">
        <v>44222</v>
      </c>
      <c r="D95" s="34" t="s">
        <v>759</v>
      </c>
      <c r="E95" s="286" t="s">
        <v>832</v>
      </c>
      <c r="F95" s="36">
        <v>0.6430555555555556</v>
      </c>
      <c r="G95" s="36">
        <v>0.64444444444444449</v>
      </c>
      <c r="H95" s="55" t="s">
        <v>0</v>
      </c>
      <c r="I95" s="38">
        <v>1</v>
      </c>
      <c r="J95" s="39">
        <v>701</v>
      </c>
      <c r="K95" s="51" t="str">
        <f>VLOOKUP(J95,'[2]Chart of accounts'!A:H,2,FALSE)</f>
        <v>50101010 01</v>
      </c>
      <c r="L95" s="39"/>
      <c r="M95" s="39"/>
      <c r="N95" s="34"/>
      <c r="O95" s="34"/>
      <c r="P95" s="34"/>
      <c r="Q95" s="53" t="s">
        <v>1</v>
      </c>
      <c r="R95" s="53" t="s">
        <v>1</v>
      </c>
      <c r="S95" s="41" t="s">
        <v>2</v>
      </c>
      <c r="T95" s="42" t="s">
        <v>833</v>
      </c>
      <c r="U95" s="42" t="s">
        <v>834</v>
      </c>
      <c r="V95" s="44">
        <v>14112.73</v>
      </c>
      <c r="W95" s="52"/>
      <c r="X95" s="44">
        <v>14112.73</v>
      </c>
      <c r="Y95" s="44">
        <f t="shared" si="4"/>
        <v>0</v>
      </c>
      <c r="Z95" s="45"/>
      <c r="AA95" s="46"/>
      <c r="AB95" s="47"/>
      <c r="AC95" s="47"/>
      <c r="AD95" s="47"/>
      <c r="AE95" s="47"/>
      <c r="AF95" s="47"/>
      <c r="AG95" s="44"/>
      <c r="AH95" s="44"/>
      <c r="AI95" s="44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7"/>
      <c r="AV95" s="47"/>
      <c r="AW95" s="47"/>
      <c r="AX95" s="47"/>
      <c r="AY95" s="47"/>
      <c r="AZ95" s="47"/>
      <c r="BA95" s="44"/>
      <c r="BB95" s="44"/>
      <c r="BC95" s="44"/>
      <c r="BD95" s="44"/>
      <c r="BE95" s="44">
        <v>14112.73</v>
      </c>
      <c r="BF95" s="48"/>
      <c r="BG95" s="44"/>
      <c r="BH95" s="44"/>
      <c r="BI95" s="44"/>
      <c r="BJ95" s="44"/>
      <c r="BK95" s="44"/>
      <c r="BL95" s="44"/>
      <c r="BM95" s="44"/>
      <c r="BN95" s="44"/>
      <c r="BO95" s="44"/>
      <c r="BP95" s="44"/>
      <c r="BQ95" s="44"/>
      <c r="BR95" s="49"/>
      <c r="BS95" s="44"/>
      <c r="BT95" s="44"/>
      <c r="BU95" s="44"/>
      <c r="BV95" s="44">
        <v>14112.73</v>
      </c>
      <c r="BW95" s="47"/>
      <c r="BX95" s="44"/>
      <c r="BY95" s="50"/>
      <c r="BZ95" s="44"/>
      <c r="CA95" s="44"/>
      <c r="CB95" s="44"/>
      <c r="CC95" s="44"/>
      <c r="CD95" s="43"/>
      <c r="CE95" s="44"/>
      <c r="CF95" s="65"/>
      <c r="CG95" s="44"/>
      <c r="CH95" s="44"/>
      <c r="CI95" s="44"/>
      <c r="CK95" s="44"/>
      <c r="CL95" s="44"/>
      <c r="CN95" s="44"/>
      <c r="CO95" s="44"/>
      <c r="CP95" s="44"/>
      <c r="CQ95" s="44"/>
      <c r="CR95" s="44"/>
      <c r="CS95" s="44"/>
      <c r="CT95" s="44"/>
      <c r="CU95" s="44"/>
      <c r="CV95" s="44"/>
      <c r="CX95" s="44"/>
      <c r="CY95" s="44"/>
      <c r="CZ95" s="50"/>
      <c r="DA95" s="44"/>
      <c r="DB95" s="44"/>
      <c r="DC95" s="44"/>
      <c r="DD95" s="44"/>
      <c r="DF95" s="44"/>
      <c r="DH95" s="44"/>
      <c r="DI95" s="44"/>
      <c r="DJ95" s="129"/>
      <c r="DK95" s="44"/>
      <c r="DL95" s="44"/>
      <c r="DM95" s="44"/>
      <c r="DN95" s="44"/>
      <c r="DO95" s="44"/>
      <c r="DP95" s="44"/>
      <c r="DQ95" s="44"/>
      <c r="DR95" s="44"/>
      <c r="DS95" s="44"/>
      <c r="DT95" s="44"/>
      <c r="DU95" s="44"/>
      <c r="DV95" s="44"/>
      <c r="DW95" s="44"/>
      <c r="DX95" s="44"/>
      <c r="DY95" s="44"/>
      <c r="DZ95" s="47"/>
      <c r="EA95" s="47"/>
      <c r="EB95" s="47"/>
    </row>
    <row r="96" spans="3:132" s="32" customFormat="1" ht="27.6">
      <c r="C96" s="76">
        <v>44222</v>
      </c>
      <c r="D96" s="34" t="s">
        <v>759</v>
      </c>
      <c r="E96" s="286" t="s">
        <v>832</v>
      </c>
      <c r="F96" s="36">
        <v>0.6430555555555556</v>
      </c>
      <c r="G96" s="36">
        <v>0.64444444444444449</v>
      </c>
      <c r="H96" s="55" t="s">
        <v>0</v>
      </c>
      <c r="I96" s="38">
        <v>1</v>
      </c>
      <c r="J96" s="39">
        <v>711</v>
      </c>
      <c r="K96" s="51" t="str">
        <f>VLOOKUP(J96,'[2]Chart of accounts'!A:H,2,FALSE)</f>
        <v>50102010 01</v>
      </c>
      <c r="L96" s="39"/>
      <c r="M96" s="39"/>
      <c r="N96" s="34"/>
      <c r="O96" s="34"/>
      <c r="P96" s="34"/>
      <c r="Q96" s="53" t="s">
        <v>1</v>
      </c>
      <c r="R96" s="53" t="s">
        <v>1</v>
      </c>
      <c r="S96" s="41" t="s">
        <v>2</v>
      </c>
      <c r="T96" s="42" t="s">
        <v>833</v>
      </c>
      <c r="U96" s="42" t="s">
        <v>834</v>
      </c>
      <c r="V96" s="44">
        <v>1818.18</v>
      </c>
      <c r="W96" s="52"/>
      <c r="X96" s="44">
        <v>1818.18</v>
      </c>
      <c r="Y96" s="44">
        <f t="shared" si="4"/>
        <v>0</v>
      </c>
      <c r="Z96" s="45"/>
      <c r="AA96" s="46"/>
      <c r="AB96" s="47"/>
      <c r="AC96" s="47"/>
      <c r="AD96" s="47"/>
      <c r="AE96" s="47"/>
      <c r="AF96" s="47"/>
      <c r="AG96" s="44"/>
      <c r="AH96" s="44"/>
      <c r="AI96" s="44"/>
      <c r="AJ96" s="47"/>
      <c r="AK96" s="47"/>
      <c r="AL96" s="47"/>
      <c r="AM96" s="47"/>
      <c r="AN96" s="47"/>
      <c r="AO96" s="47"/>
      <c r="AP96" s="47"/>
      <c r="AQ96" s="47"/>
      <c r="AR96" s="47"/>
      <c r="AS96" s="47"/>
      <c r="AT96" s="47"/>
      <c r="AU96" s="47"/>
      <c r="AV96" s="47"/>
      <c r="AW96" s="47"/>
      <c r="AX96" s="47"/>
      <c r="AY96" s="47"/>
      <c r="AZ96" s="47"/>
      <c r="BA96" s="44"/>
      <c r="BB96" s="44"/>
      <c r="BC96" s="44"/>
      <c r="BD96" s="44"/>
      <c r="BF96" s="48"/>
      <c r="BG96" s="44">
        <v>1818.18</v>
      </c>
      <c r="BH96" s="44"/>
      <c r="BI96" s="44"/>
      <c r="BJ96" s="44"/>
      <c r="BK96" s="44"/>
      <c r="BL96" s="44"/>
      <c r="BM96" s="44"/>
      <c r="BN96" s="44"/>
      <c r="BO96" s="44"/>
      <c r="BP96" s="44"/>
      <c r="BQ96" s="44"/>
      <c r="BR96" s="49"/>
      <c r="BS96" s="44"/>
      <c r="BT96" s="44"/>
      <c r="BU96" s="44"/>
      <c r="BV96" s="44">
        <v>1818.18</v>
      </c>
      <c r="BW96" s="47"/>
      <c r="BX96" s="44"/>
      <c r="BY96" s="50"/>
      <c r="BZ96" s="44"/>
      <c r="CA96" s="44"/>
      <c r="CB96" s="44"/>
      <c r="CC96" s="44"/>
      <c r="CD96" s="43"/>
      <c r="CE96" s="44"/>
      <c r="CF96" s="65"/>
      <c r="CG96" s="44"/>
      <c r="CH96" s="44"/>
      <c r="CI96" s="44"/>
      <c r="CK96" s="44"/>
      <c r="CL96" s="44"/>
      <c r="CN96" s="44"/>
      <c r="CO96" s="44"/>
      <c r="CP96" s="44"/>
      <c r="CQ96" s="44"/>
      <c r="CR96" s="44"/>
      <c r="CS96" s="44"/>
      <c r="CT96" s="44"/>
      <c r="CU96" s="44"/>
      <c r="CV96" s="44"/>
      <c r="CX96" s="44"/>
      <c r="CY96" s="44"/>
      <c r="CZ96" s="50"/>
      <c r="DA96" s="44"/>
      <c r="DB96" s="44"/>
      <c r="DC96" s="44"/>
      <c r="DD96" s="44"/>
      <c r="DE96" s="44"/>
      <c r="DF96" s="44"/>
      <c r="DH96" s="44"/>
      <c r="DI96" s="44"/>
      <c r="DK96" s="44"/>
      <c r="DL96" s="44"/>
      <c r="DM96" s="44"/>
      <c r="DN96" s="44"/>
      <c r="DO96" s="44"/>
      <c r="DP96" s="44"/>
      <c r="DQ96" s="44"/>
      <c r="DR96" s="44"/>
      <c r="DS96" s="44"/>
      <c r="DT96" s="44"/>
      <c r="DU96" s="44"/>
      <c r="DV96" s="44"/>
      <c r="DW96" s="44"/>
      <c r="DX96" s="44"/>
      <c r="DY96" s="44"/>
      <c r="DZ96" s="47"/>
      <c r="EA96" s="47"/>
      <c r="EB96" s="47"/>
    </row>
    <row r="97" spans="3:132" s="32" customFormat="1" ht="27.6">
      <c r="C97" s="76">
        <v>44222</v>
      </c>
      <c r="D97" s="34" t="s">
        <v>759</v>
      </c>
      <c r="E97" s="286" t="s">
        <v>832</v>
      </c>
      <c r="F97" s="36">
        <v>0.6430555555555556</v>
      </c>
      <c r="G97" s="36">
        <v>0.64444444444444449</v>
      </c>
      <c r="H97" s="55" t="s">
        <v>0</v>
      </c>
      <c r="I97" s="38">
        <v>1</v>
      </c>
      <c r="J97" s="39">
        <v>731</v>
      </c>
      <c r="K97" s="51" t="str">
        <f>VLOOKUP(J97,'[2]Chart of accounts'!A:H,2,FALSE)</f>
        <v>50103010 00</v>
      </c>
      <c r="L97" s="39"/>
      <c r="M97" s="39"/>
      <c r="N97" s="34"/>
      <c r="O97" s="34"/>
      <c r="P97" s="34"/>
      <c r="Q97" s="53" t="s">
        <v>1</v>
      </c>
      <c r="R97" s="53" t="s">
        <v>1</v>
      </c>
      <c r="S97" s="41" t="s">
        <v>2</v>
      </c>
      <c r="T97" s="42" t="s">
        <v>833</v>
      </c>
      <c r="U97" s="42" t="s">
        <v>834</v>
      </c>
      <c r="V97" s="50">
        <v>1682.6</v>
      </c>
      <c r="W97" s="52"/>
      <c r="X97" s="50">
        <v>1682.6</v>
      </c>
      <c r="Y97" s="44">
        <f t="shared" si="4"/>
        <v>0</v>
      </c>
      <c r="Z97" s="45"/>
      <c r="AA97" s="46"/>
      <c r="AB97" s="47"/>
      <c r="AC97" s="47"/>
      <c r="AD97" s="47"/>
      <c r="AE97" s="47"/>
      <c r="AF97" s="47"/>
      <c r="AG97" s="44"/>
      <c r="AH97" s="44"/>
      <c r="AI97" s="44"/>
      <c r="AJ97" s="47"/>
      <c r="AK97" s="47"/>
      <c r="AL97" s="47"/>
      <c r="AM97" s="47"/>
      <c r="AN97" s="47"/>
      <c r="AO97" s="47"/>
      <c r="AP97" s="47"/>
      <c r="AQ97" s="47"/>
      <c r="AR97" s="47"/>
      <c r="AS97" s="47"/>
      <c r="AT97" s="47"/>
      <c r="AU97" s="47"/>
      <c r="AV97" s="47"/>
      <c r="AW97" s="47"/>
      <c r="AX97" s="47"/>
      <c r="AY97" s="47"/>
      <c r="AZ97" s="47"/>
      <c r="BA97" s="44"/>
      <c r="BB97" s="44"/>
      <c r="BC97" s="44"/>
      <c r="BD97" s="44"/>
      <c r="BF97" s="48"/>
      <c r="BG97" s="44"/>
      <c r="BH97" s="44"/>
      <c r="BI97" s="44"/>
      <c r="BJ97" s="44"/>
      <c r="BK97" s="44"/>
      <c r="BL97" s="44"/>
      <c r="BM97" s="44"/>
      <c r="BN97" s="44"/>
      <c r="BO97" s="50">
        <v>1682.6</v>
      </c>
      <c r="BP97" s="44"/>
      <c r="BQ97" s="44"/>
      <c r="BR97" s="49"/>
      <c r="BS97" s="44"/>
      <c r="BT97" s="44"/>
      <c r="BU97" s="44"/>
      <c r="BV97" s="50">
        <v>1682.6</v>
      </c>
      <c r="BW97" s="47"/>
      <c r="BX97" s="44"/>
      <c r="BY97" s="50"/>
      <c r="BZ97" s="44"/>
      <c r="CA97" s="44"/>
      <c r="CB97" s="44"/>
      <c r="CC97" s="44"/>
      <c r="CD97" s="43">
        <f>SUM(CF97:EB97)-Y97</f>
        <v>0</v>
      </c>
      <c r="CE97" s="44"/>
      <c r="CF97" s="65"/>
      <c r="CG97" s="44"/>
      <c r="CH97" s="44"/>
      <c r="CI97" s="44"/>
      <c r="CJ97" s="47"/>
      <c r="CK97" s="44"/>
      <c r="CL97" s="44"/>
      <c r="CM97" s="44"/>
      <c r="CN97" s="44"/>
      <c r="CO97" s="44"/>
      <c r="CP97" s="44"/>
      <c r="CQ97" s="44"/>
      <c r="CR97" s="44"/>
      <c r="CS97" s="44"/>
      <c r="CT97" s="44"/>
      <c r="CU97" s="44"/>
      <c r="CV97" s="44"/>
      <c r="CW97" s="44"/>
      <c r="CX97" s="44"/>
      <c r="CY97" s="44"/>
      <c r="CZ97" s="50"/>
      <c r="DA97" s="44"/>
      <c r="DB97" s="44"/>
      <c r="DC97" s="44"/>
      <c r="DD97" s="44"/>
      <c r="DE97" s="44"/>
      <c r="DF97" s="44"/>
      <c r="DG97" s="44"/>
      <c r="DH97" s="44"/>
      <c r="DI97" s="44"/>
      <c r="DJ97" s="44"/>
      <c r="DK97" s="44"/>
      <c r="DL97" s="44"/>
      <c r="DM97" s="44"/>
      <c r="DN97" s="44"/>
      <c r="DO97" s="44"/>
      <c r="DP97" s="44"/>
      <c r="DQ97" s="44"/>
      <c r="DR97" s="44"/>
      <c r="DS97" s="44"/>
      <c r="DT97" s="44"/>
      <c r="DU97" s="44"/>
      <c r="DV97" s="44"/>
      <c r="DW97" s="44"/>
      <c r="DX97" s="44"/>
      <c r="DY97" s="44"/>
      <c r="DZ97" s="47"/>
      <c r="EA97" s="47"/>
      <c r="EB97" s="47"/>
    </row>
    <row r="98" spans="3:132" s="32" customFormat="1" ht="27.6">
      <c r="C98" s="76">
        <v>44222</v>
      </c>
      <c r="D98" s="34" t="s">
        <v>759</v>
      </c>
      <c r="E98" s="286" t="s">
        <v>832</v>
      </c>
      <c r="F98" s="36">
        <v>0.6430555555555556</v>
      </c>
      <c r="G98" s="36">
        <v>0.64444444444444449</v>
      </c>
      <c r="H98" s="55" t="s">
        <v>0</v>
      </c>
      <c r="I98" s="38">
        <v>1</v>
      </c>
      <c r="J98" s="39">
        <v>732</v>
      </c>
      <c r="K98" s="51" t="str">
        <f>VLOOKUP(J98,'[2]Chart of accounts'!A:H,2,FALSE)</f>
        <v>50103020 01</v>
      </c>
      <c r="L98" s="55"/>
      <c r="M98" s="55"/>
      <c r="N98" s="56"/>
      <c r="O98" s="56"/>
      <c r="P98" s="56"/>
      <c r="Q98" s="53" t="s">
        <v>1</v>
      </c>
      <c r="R98" s="53" t="s">
        <v>1</v>
      </c>
      <c r="S98" s="41" t="s">
        <v>2</v>
      </c>
      <c r="T98" s="42" t="s">
        <v>833</v>
      </c>
      <c r="U98" s="42" t="s">
        <v>834</v>
      </c>
      <c r="V98" s="50">
        <v>100</v>
      </c>
      <c r="W98" s="52"/>
      <c r="X98" s="50">
        <v>100</v>
      </c>
      <c r="Y98" s="44">
        <f t="shared" si="4"/>
        <v>0</v>
      </c>
      <c r="Z98" s="45"/>
      <c r="AA98" s="46"/>
      <c r="AB98" s="47"/>
      <c r="AC98" s="47"/>
      <c r="AD98" s="47"/>
      <c r="AE98" s="47"/>
      <c r="AF98" s="47"/>
      <c r="AG98" s="44"/>
      <c r="AH98" s="44"/>
      <c r="AI98" s="44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4"/>
      <c r="BB98" s="44"/>
      <c r="BC98" s="44"/>
      <c r="BD98" s="44"/>
      <c r="BF98" s="48"/>
      <c r="BG98" s="44"/>
      <c r="BH98" s="44"/>
      <c r="BI98" s="44"/>
      <c r="BJ98" s="44"/>
      <c r="BK98" s="44"/>
      <c r="BL98" s="44"/>
      <c r="BM98" s="44"/>
      <c r="BN98" s="44"/>
      <c r="BP98" s="50">
        <v>100</v>
      </c>
      <c r="BQ98" s="44"/>
      <c r="BR98" s="49"/>
      <c r="BS98" s="44"/>
      <c r="BT98" s="44"/>
      <c r="BU98" s="44"/>
      <c r="BV98" s="50">
        <v>100</v>
      </c>
      <c r="BW98" s="47"/>
      <c r="BX98" s="44"/>
      <c r="BY98" s="50"/>
      <c r="BZ98" s="44"/>
      <c r="CA98" s="44"/>
      <c r="CB98" s="44"/>
      <c r="CC98" s="44"/>
      <c r="CD98" s="43">
        <f>SUM(CF98:EB98)-Y98</f>
        <v>0</v>
      </c>
      <c r="CE98" s="44"/>
      <c r="CF98" s="65"/>
      <c r="CG98" s="44"/>
      <c r="CH98" s="44"/>
      <c r="CI98" s="44"/>
      <c r="CJ98" s="47"/>
      <c r="CK98" s="44"/>
      <c r="CL98" s="44"/>
      <c r="CM98" s="44"/>
      <c r="CN98" s="44"/>
      <c r="CO98" s="44"/>
      <c r="CP98" s="44"/>
      <c r="CQ98" s="44"/>
      <c r="CR98" s="44"/>
      <c r="CS98" s="44"/>
      <c r="CT98" s="44"/>
      <c r="CU98" s="44"/>
      <c r="CV98" s="44"/>
      <c r="CW98" s="44"/>
      <c r="CX98" s="44"/>
      <c r="CY98" s="44"/>
      <c r="CZ98" s="50"/>
      <c r="DA98" s="44"/>
      <c r="DB98" s="44"/>
      <c r="DC98" s="44"/>
      <c r="DD98" s="44"/>
      <c r="DE98" s="44"/>
      <c r="DF98" s="44"/>
      <c r="DG98" s="44"/>
      <c r="DH98" s="44"/>
      <c r="DI98" s="44"/>
      <c r="DJ98" s="44"/>
      <c r="DK98" s="44"/>
      <c r="DL98" s="44"/>
      <c r="DM98" s="44"/>
      <c r="DN98" s="44"/>
      <c r="DO98" s="44"/>
      <c r="DP98" s="44"/>
      <c r="DQ98" s="44"/>
      <c r="DR98" s="44"/>
      <c r="DS98" s="44"/>
      <c r="DT98" s="44"/>
      <c r="DU98" s="44"/>
      <c r="DV98" s="44"/>
      <c r="DW98" s="44"/>
      <c r="DX98" s="44"/>
      <c r="DY98" s="44"/>
      <c r="DZ98" s="47"/>
      <c r="EA98" s="47"/>
      <c r="EB98" s="47"/>
    </row>
    <row r="99" spans="3:132" s="32" customFormat="1" ht="27.6">
      <c r="C99" s="76">
        <v>44222</v>
      </c>
      <c r="D99" s="34" t="s">
        <v>759</v>
      </c>
      <c r="E99" s="286" t="s">
        <v>832</v>
      </c>
      <c r="F99" s="36">
        <v>0.6430555555555556</v>
      </c>
      <c r="G99" s="36">
        <v>0.64444444444444449</v>
      </c>
      <c r="H99" s="55" t="s">
        <v>0</v>
      </c>
      <c r="I99" s="38">
        <v>1</v>
      </c>
      <c r="J99" s="55">
        <v>733</v>
      </c>
      <c r="K99" s="51" t="str">
        <f>VLOOKUP(J99,'[2]Chart of accounts'!A:H,2,FALSE)</f>
        <v>50103030 01</v>
      </c>
      <c r="L99" s="55"/>
      <c r="M99" s="55"/>
      <c r="N99" s="56"/>
      <c r="O99" s="56"/>
      <c r="P99" s="56"/>
      <c r="Q99" s="53" t="s">
        <v>1</v>
      </c>
      <c r="R99" s="53" t="s">
        <v>1</v>
      </c>
      <c r="S99" s="41" t="s">
        <v>2</v>
      </c>
      <c r="T99" s="42" t="s">
        <v>833</v>
      </c>
      <c r="U99" s="42" t="s">
        <v>834</v>
      </c>
      <c r="V99" s="50">
        <v>232.86</v>
      </c>
      <c r="W99" s="52"/>
      <c r="X99" s="50">
        <v>232.86</v>
      </c>
      <c r="Y99" s="44">
        <f t="shared" si="4"/>
        <v>0</v>
      </c>
      <c r="Z99" s="45"/>
      <c r="AA99" s="46"/>
      <c r="AB99" s="47"/>
      <c r="AC99" s="47"/>
      <c r="AD99" s="47"/>
      <c r="AE99" s="47"/>
      <c r="AF99" s="47"/>
      <c r="AG99" s="44"/>
      <c r="AH99" s="44"/>
      <c r="AI99" s="44"/>
      <c r="AJ99" s="47"/>
      <c r="AK99" s="47"/>
      <c r="AL99" s="47"/>
      <c r="AM99" s="47"/>
      <c r="AN99" s="47"/>
      <c r="AO99" s="47"/>
      <c r="AP99" s="47"/>
      <c r="AQ99" s="47"/>
      <c r="AR99" s="47"/>
      <c r="AS99" s="47"/>
      <c r="AT99" s="47"/>
      <c r="AU99" s="47"/>
      <c r="AV99" s="47"/>
      <c r="AW99" s="47"/>
      <c r="AX99" s="47"/>
      <c r="AY99" s="47"/>
      <c r="AZ99" s="47"/>
      <c r="BA99" s="44"/>
      <c r="BB99" s="44"/>
      <c r="BC99" s="44"/>
      <c r="BD99" s="44"/>
      <c r="BF99" s="48"/>
      <c r="BG99" s="44"/>
      <c r="BH99" s="44"/>
      <c r="BI99" s="44"/>
      <c r="BJ99" s="44"/>
      <c r="BK99" s="44"/>
      <c r="BL99" s="44"/>
      <c r="BM99" s="44"/>
      <c r="BN99" s="44"/>
      <c r="BO99" s="44"/>
      <c r="BP99" s="44"/>
      <c r="BQ99" s="50">
        <v>232.86</v>
      </c>
      <c r="BR99" s="49"/>
      <c r="BS99" s="44"/>
      <c r="BT99" s="44"/>
      <c r="BU99" s="44"/>
      <c r="BV99" s="50">
        <v>232.86</v>
      </c>
      <c r="BW99" s="47"/>
      <c r="BX99" s="44"/>
      <c r="BY99" s="50"/>
      <c r="BZ99" s="44"/>
      <c r="CA99" s="44"/>
      <c r="CB99" s="44"/>
      <c r="CC99" s="44"/>
      <c r="CD99" s="43">
        <f>SUM(CF99:EB99)-Y99</f>
        <v>0</v>
      </c>
      <c r="CE99" s="44"/>
      <c r="CF99" s="65"/>
      <c r="CG99" s="44"/>
      <c r="CH99" s="44"/>
      <c r="CI99" s="44"/>
      <c r="CJ99" s="47"/>
      <c r="CK99" s="44"/>
      <c r="CL99" s="44"/>
      <c r="CM99" s="44"/>
      <c r="CN99" s="44"/>
      <c r="CO99" s="44"/>
      <c r="CP99" s="44"/>
      <c r="CQ99" s="44"/>
      <c r="CR99" s="50"/>
      <c r="CS99" s="44"/>
      <c r="CT99" s="44"/>
      <c r="CU99" s="44"/>
      <c r="CV99" s="44"/>
      <c r="CW99" s="44"/>
      <c r="CX99" s="44"/>
      <c r="CY99" s="44"/>
      <c r="CZ99" s="44"/>
      <c r="DA99" s="44"/>
      <c r="DB99" s="44"/>
      <c r="DC99" s="44"/>
      <c r="DD99" s="44"/>
      <c r="DE99" s="44"/>
      <c r="DF99" s="44"/>
      <c r="DG99" s="44"/>
      <c r="DH99" s="44"/>
      <c r="DI99" s="44"/>
      <c r="DJ99" s="44"/>
      <c r="DK99" s="44"/>
      <c r="DL99" s="44"/>
      <c r="DM99" s="44"/>
      <c r="DN99" s="44"/>
      <c r="DO99" s="44"/>
      <c r="DP99" s="44"/>
      <c r="DQ99" s="44"/>
      <c r="DR99" s="44"/>
      <c r="DS99" s="44"/>
      <c r="DT99" s="44"/>
      <c r="DU99" s="44"/>
      <c r="DV99" s="44"/>
      <c r="DW99" s="44"/>
      <c r="DX99" s="44"/>
      <c r="DY99" s="44"/>
      <c r="DZ99" s="47"/>
      <c r="EA99" s="47"/>
      <c r="EB99" s="47"/>
    </row>
    <row r="100" spans="3:132" s="32" customFormat="1" ht="27.6">
      <c r="C100" s="76">
        <v>44222</v>
      </c>
      <c r="D100" s="34" t="s">
        <v>759</v>
      </c>
      <c r="E100" s="286" t="s">
        <v>832</v>
      </c>
      <c r="F100" s="36">
        <v>0.6430555555555556</v>
      </c>
      <c r="G100" s="36">
        <v>0.64444444444444449</v>
      </c>
      <c r="H100" s="55" t="s">
        <v>0</v>
      </c>
      <c r="I100" s="38">
        <v>1</v>
      </c>
      <c r="J100" s="55">
        <v>734</v>
      </c>
      <c r="K100" s="51" t="str">
        <f>VLOOKUP(J100,'[2]Chart of accounts'!A:H,2,FALSE)</f>
        <v>50103040 01</v>
      </c>
      <c r="L100" s="55"/>
      <c r="M100" s="55"/>
      <c r="N100" s="56"/>
      <c r="O100" s="56"/>
      <c r="P100" s="56"/>
      <c r="Q100" s="53" t="s">
        <v>1</v>
      </c>
      <c r="R100" s="53" t="s">
        <v>1</v>
      </c>
      <c r="S100" s="41" t="s">
        <v>2</v>
      </c>
      <c r="T100" s="42" t="s">
        <v>833</v>
      </c>
      <c r="U100" s="42" t="s">
        <v>834</v>
      </c>
      <c r="V100" s="50">
        <v>100</v>
      </c>
      <c r="W100" s="52"/>
      <c r="X100" s="50">
        <v>100</v>
      </c>
      <c r="Y100" s="44">
        <f t="shared" si="4"/>
        <v>0</v>
      </c>
      <c r="Z100" s="45"/>
      <c r="AA100" s="46"/>
      <c r="AB100" s="47"/>
      <c r="AC100" s="47"/>
      <c r="AD100" s="47"/>
      <c r="AE100" s="47"/>
      <c r="AF100" s="47"/>
      <c r="AG100" s="44"/>
      <c r="AH100" s="44"/>
      <c r="AI100" s="44"/>
      <c r="AJ100" s="47"/>
      <c r="AK100" s="47"/>
      <c r="AL100" s="47"/>
      <c r="AM100" s="47"/>
      <c r="AN100" s="47"/>
      <c r="AO100" s="47"/>
      <c r="AP100" s="47"/>
      <c r="AQ100" s="47"/>
      <c r="AR100" s="47"/>
      <c r="AS100" s="47"/>
      <c r="AT100" s="47"/>
      <c r="AU100" s="47"/>
      <c r="AV100" s="47"/>
      <c r="AW100" s="47"/>
      <c r="AX100" s="47"/>
      <c r="AY100" s="47"/>
      <c r="AZ100" s="47"/>
      <c r="BA100" s="44"/>
      <c r="BB100" s="44"/>
      <c r="BC100" s="44"/>
      <c r="BD100" s="44"/>
      <c r="BF100" s="48"/>
      <c r="BG100" s="44"/>
      <c r="BH100" s="44"/>
      <c r="BI100" s="44"/>
      <c r="BJ100" s="44"/>
      <c r="BK100" s="44"/>
      <c r="BL100" s="44"/>
      <c r="BM100" s="44"/>
      <c r="BN100" s="44"/>
      <c r="BO100" s="44"/>
      <c r="BP100" s="44"/>
      <c r="BR100" s="50">
        <v>100</v>
      </c>
      <c r="BS100" s="44"/>
      <c r="BT100" s="44"/>
      <c r="BU100" s="44"/>
      <c r="BV100" s="50">
        <v>100</v>
      </c>
      <c r="BW100" s="47"/>
      <c r="BX100" s="44"/>
      <c r="BY100" s="44"/>
      <c r="BZ100" s="44"/>
      <c r="CA100" s="44"/>
      <c r="CB100" s="44"/>
      <c r="CC100" s="44"/>
      <c r="CD100" s="43">
        <f>SUM(CF100:EB100)-Y100</f>
        <v>0</v>
      </c>
      <c r="CE100" s="44"/>
      <c r="CF100" s="44"/>
      <c r="CG100" s="44"/>
      <c r="CH100" s="44"/>
      <c r="CI100" s="44"/>
      <c r="CJ100" s="47"/>
      <c r="CK100" s="44"/>
      <c r="CL100" s="44"/>
      <c r="CM100" s="44"/>
      <c r="CN100" s="44"/>
      <c r="CO100" s="44"/>
      <c r="CP100" s="44"/>
      <c r="CQ100" s="44"/>
      <c r="CR100" s="44"/>
      <c r="CS100" s="44"/>
      <c r="CT100" s="44"/>
      <c r="CU100" s="44"/>
      <c r="CV100" s="44"/>
      <c r="CW100" s="44"/>
      <c r="CX100" s="44"/>
      <c r="CY100" s="44"/>
      <c r="CZ100" s="44"/>
      <c r="DA100" s="44"/>
      <c r="DB100" s="44"/>
      <c r="DC100" s="44"/>
      <c r="DD100" s="44"/>
      <c r="DE100" s="44"/>
      <c r="DF100" s="44"/>
      <c r="DG100" s="44"/>
      <c r="DH100" s="44"/>
      <c r="DI100" s="44"/>
      <c r="DJ100" s="44"/>
      <c r="DK100" s="44"/>
      <c r="DL100" s="44"/>
      <c r="DM100" s="44"/>
      <c r="DN100" s="44"/>
      <c r="DO100" s="44"/>
      <c r="DP100" s="44"/>
      <c r="DQ100" s="44"/>
      <c r="DR100" s="44"/>
      <c r="DS100" s="44"/>
      <c r="DT100" s="44"/>
      <c r="DU100" s="44"/>
      <c r="DV100" s="44"/>
      <c r="DW100" s="44"/>
      <c r="DX100" s="44"/>
      <c r="DY100" s="44"/>
      <c r="DZ100" s="47"/>
      <c r="EA100" s="47"/>
      <c r="EB100" s="47"/>
    </row>
    <row r="101" spans="3:132" s="32" customFormat="1" ht="27.6">
      <c r="C101" s="76">
        <v>44223</v>
      </c>
      <c r="D101" s="34" t="s">
        <v>759</v>
      </c>
      <c r="E101" s="286" t="s">
        <v>835</v>
      </c>
      <c r="F101" s="36">
        <v>0.48958333333333331</v>
      </c>
      <c r="G101" s="36">
        <v>0.49027777777777781</v>
      </c>
      <c r="H101" s="37" t="s">
        <v>0</v>
      </c>
      <c r="I101" s="38">
        <v>2</v>
      </c>
      <c r="J101" s="39">
        <v>766</v>
      </c>
      <c r="K101" s="51" t="str">
        <f>VLOOKUP(J101,'[2]Chart of accounts'!A:H,2,FALSE)</f>
        <v>50204010 00</v>
      </c>
      <c r="L101" s="39"/>
      <c r="M101" s="39"/>
      <c r="N101" s="34"/>
      <c r="O101" s="34"/>
      <c r="P101" s="34"/>
      <c r="Q101" s="40" t="s">
        <v>3</v>
      </c>
      <c r="R101" s="40" t="s">
        <v>3</v>
      </c>
      <c r="S101" s="78" t="s">
        <v>2</v>
      </c>
      <c r="T101" s="42" t="s">
        <v>836</v>
      </c>
      <c r="U101" s="42" t="s">
        <v>837</v>
      </c>
      <c r="V101" s="44">
        <v>3675</v>
      </c>
      <c r="W101" s="52"/>
      <c r="X101" s="49"/>
      <c r="Y101" s="44">
        <f t="shared" si="4"/>
        <v>3675</v>
      </c>
      <c r="Z101" s="45"/>
      <c r="AA101" s="46"/>
      <c r="AB101" s="47"/>
      <c r="AC101" s="47"/>
      <c r="AD101" s="47"/>
      <c r="AE101" s="47"/>
      <c r="AF101" s="47"/>
      <c r="AG101" s="44"/>
      <c r="AH101" s="44"/>
      <c r="AI101" s="44"/>
      <c r="AJ101" s="47"/>
      <c r="AK101" s="47"/>
      <c r="AL101" s="47"/>
      <c r="AM101" s="47"/>
      <c r="AN101" s="47"/>
      <c r="AO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47"/>
      <c r="AZ101" s="47"/>
      <c r="BA101" s="44"/>
      <c r="BB101" s="44"/>
      <c r="BC101" s="44"/>
      <c r="BD101" s="44"/>
      <c r="BE101" s="44"/>
      <c r="BF101" s="48"/>
      <c r="BG101" s="44"/>
      <c r="BH101" s="44"/>
      <c r="BI101" s="44"/>
      <c r="BJ101" s="44"/>
      <c r="BK101" s="44"/>
      <c r="BL101" s="44"/>
      <c r="BM101" s="44"/>
      <c r="BN101" s="44"/>
      <c r="BO101" s="44"/>
      <c r="BP101" s="44"/>
      <c r="BQ101" s="44"/>
      <c r="BR101" s="49"/>
      <c r="BS101" s="44"/>
      <c r="BT101" s="44"/>
      <c r="BU101" s="44"/>
      <c r="BV101" s="44">
        <v>3675</v>
      </c>
      <c r="BW101" s="47"/>
      <c r="BX101" s="44"/>
      <c r="BY101" s="44"/>
      <c r="BZ101" s="44"/>
      <c r="CA101" s="44"/>
      <c r="CB101" s="44"/>
      <c r="CC101" s="44"/>
      <c r="CD101" s="43">
        <f>SUM(CH101:EB101)-Y101</f>
        <v>0</v>
      </c>
      <c r="CE101" s="44"/>
      <c r="CF101" s="44"/>
      <c r="CG101" s="44"/>
      <c r="CH101" s="44"/>
      <c r="CI101" s="44"/>
      <c r="CJ101" s="47"/>
      <c r="CK101" s="44"/>
      <c r="CL101" s="44"/>
      <c r="CM101" s="44"/>
      <c r="CN101" s="44">
        <v>3675</v>
      </c>
      <c r="CO101" s="44"/>
      <c r="CP101" s="44"/>
      <c r="CQ101" s="44"/>
      <c r="CR101" s="44"/>
      <c r="CS101" s="44"/>
      <c r="CT101" s="44"/>
      <c r="CU101" s="44"/>
      <c r="CV101" s="44"/>
      <c r="CW101" s="44"/>
      <c r="CX101" s="44"/>
      <c r="CY101" s="44"/>
      <c r="CZ101" s="44"/>
      <c r="DA101" s="44"/>
      <c r="DB101" s="44"/>
      <c r="DC101" s="44"/>
      <c r="DD101" s="44"/>
      <c r="DE101" s="44"/>
      <c r="DF101" s="44"/>
      <c r="DG101" s="44"/>
      <c r="DH101" s="44"/>
      <c r="DI101" s="44"/>
      <c r="DJ101" s="44"/>
      <c r="DK101" s="44"/>
      <c r="DL101" s="44"/>
      <c r="DM101" s="44"/>
      <c r="DN101" s="44"/>
      <c r="DO101" s="44"/>
      <c r="DP101" s="44"/>
      <c r="DQ101" s="44"/>
      <c r="DR101" s="44"/>
      <c r="DS101" s="44"/>
      <c r="DT101" s="44"/>
      <c r="DU101" s="44"/>
      <c r="DV101" s="44"/>
      <c r="DW101" s="44"/>
      <c r="DX101" s="44"/>
      <c r="DY101" s="44"/>
      <c r="DZ101" s="47"/>
      <c r="EA101" s="47"/>
      <c r="EB101" s="47"/>
    </row>
    <row r="102" spans="3:132" s="32" customFormat="1" ht="27.6">
      <c r="C102" s="76">
        <v>44223</v>
      </c>
      <c r="D102" s="34" t="s">
        <v>759</v>
      </c>
      <c r="E102" s="286" t="s">
        <v>838</v>
      </c>
      <c r="F102" s="36">
        <v>0.49027777777777781</v>
      </c>
      <c r="G102" s="36">
        <v>0.4909722222222222</v>
      </c>
      <c r="H102" s="39" t="s">
        <v>0</v>
      </c>
      <c r="I102" s="34">
        <v>2</v>
      </c>
      <c r="J102" s="39">
        <v>766</v>
      </c>
      <c r="K102" s="51" t="str">
        <f>VLOOKUP(J102,'[2]Chart of accounts'!A:H,2,FALSE)</f>
        <v>50204010 00</v>
      </c>
      <c r="L102" s="39"/>
      <c r="M102" s="39"/>
      <c r="N102" s="34"/>
      <c r="O102" s="34"/>
      <c r="P102" s="34"/>
      <c r="Q102" s="40" t="s">
        <v>4</v>
      </c>
      <c r="R102" s="40" t="s">
        <v>4</v>
      </c>
      <c r="S102" s="78" t="s">
        <v>2</v>
      </c>
      <c r="T102" s="42" t="s">
        <v>839</v>
      </c>
      <c r="U102" s="42" t="s">
        <v>840</v>
      </c>
      <c r="V102" s="44">
        <v>10895.41</v>
      </c>
      <c r="W102" s="52"/>
      <c r="X102" s="49"/>
      <c r="Y102" s="44">
        <f t="shared" si="4"/>
        <v>10895.41</v>
      </c>
      <c r="Z102" s="45"/>
      <c r="AA102" s="46"/>
      <c r="AB102" s="47"/>
      <c r="AC102" s="47"/>
      <c r="AD102" s="47"/>
      <c r="AE102" s="47"/>
      <c r="AF102" s="47"/>
      <c r="AG102" s="44"/>
      <c r="AH102" s="44"/>
      <c r="AI102" s="44"/>
      <c r="AJ102" s="47"/>
      <c r="AK102" s="47"/>
      <c r="AL102" s="47"/>
      <c r="AM102" s="47"/>
      <c r="AN102" s="47"/>
      <c r="AO102" s="47"/>
      <c r="AP102" s="47"/>
      <c r="AQ102" s="47"/>
      <c r="AR102" s="47"/>
      <c r="AS102" s="47"/>
      <c r="AT102" s="47"/>
      <c r="AU102" s="47"/>
      <c r="AV102" s="47"/>
      <c r="AW102" s="47"/>
      <c r="AX102" s="47"/>
      <c r="AY102" s="47"/>
      <c r="AZ102" s="47"/>
      <c r="BA102" s="44"/>
      <c r="BB102" s="44"/>
      <c r="BC102" s="44"/>
      <c r="BD102" s="44"/>
      <c r="BE102" s="44"/>
      <c r="BF102" s="48"/>
      <c r="BG102" s="44"/>
      <c r="BH102" s="44"/>
      <c r="BI102" s="44"/>
      <c r="BJ102" s="44"/>
      <c r="BK102" s="44"/>
      <c r="BL102" s="44"/>
      <c r="BM102" s="44"/>
      <c r="BN102" s="44"/>
      <c r="BO102" s="44"/>
      <c r="BP102" s="44"/>
      <c r="BQ102" s="44"/>
      <c r="BR102" s="49"/>
      <c r="BS102" s="44"/>
      <c r="BT102" s="44"/>
      <c r="BU102" s="44"/>
      <c r="BW102" s="47"/>
      <c r="BX102" s="44"/>
      <c r="BY102" s="44">
        <v>10895.41</v>
      </c>
      <c r="BZ102" s="44"/>
      <c r="CA102" s="44"/>
      <c r="CB102" s="44"/>
      <c r="CC102" s="44"/>
      <c r="CD102" s="43">
        <f>SUM(CH102:EB102)-Y102</f>
        <v>0</v>
      </c>
      <c r="CE102" s="44"/>
      <c r="CF102" s="44"/>
      <c r="CG102" s="44"/>
      <c r="CH102" s="44"/>
      <c r="CI102" s="44"/>
      <c r="CJ102" s="47"/>
      <c r="CK102" s="44"/>
      <c r="CL102" s="44"/>
      <c r="CM102" s="44"/>
      <c r="CN102" s="44">
        <v>10895.41</v>
      </c>
      <c r="CO102" s="44"/>
      <c r="CP102" s="44"/>
      <c r="CQ102" s="44"/>
      <c r="CR102" s="44"/>
      <c r="CS102" s="44"/>
      <c r="CT102" s="44"/>
      <c r="CU102" s="44"/>
      <c r="CV102" s="44"/>
      <c r="CW102" s="44"/>
      <c r="CX102" s="44"/>
      <c r="CY102" s="44"/>
      <c r="CZ102" s="44"/>
      <c r="DA102" s="44"/>
      <c r="DB102" s="44"/>
      <c r="DC102" s="44"/>
      <c r="DD102" s="44"/>
      <c r="DE102" s="44"/>
      <c r="DF102" s="44"/>
      <c r="DG102" s="44"/>
      <c r="DH102" s="44"/>
      <c r="DI102" s="44"/>
      <c r="DJ102" s="44"/>
      <c r="DK102" s="44"/>
      <c r="DL102" s="44"/>
      <c r="DM102" s="44"/>
      <c r="DN102" s="44"/>
      <c r="DO102" s="44"/>
      <c r="DP102" s="44"/>
      <c r="DQ102" s="44"/>
      <c r="DR102" s="44"/>
      <c r="DS102" s="44"/>
      <c r="DT102" s="44"/>
      <c r="DU102" s="44"/>
      <c r="DV102" s="44"/>
      <c r="DW102" s="44"/>
      <c r="DX102" s="44"/>
      <c r="DY102" s="44"/>
      <c r="DZ102" s="47"/>
      <c r="EA102" s="47"/>
      <c r="EB102" s="47"/>
    </row>
    <row r="103" spans="3:132" s="32" customFormat="1" ht="27.6">
      <c r="C103" s="76">
        <v>44223</v>
      </c>
      <c r="D103" s="34" t="s">
        <v>759</v>
      </c>
      <c r="E103" s="286" t="s">
        <v>841</v>
      </c>
      <c r="F103" s="36">
        <v>0.4916666666666667</v>
      </c>
      <c r="G103" s="36">
        <v>0.49444444444444446</v>
      </c>
      <c r="H103" s="39" t="s">
        <v>0</v>
      </c>
      <c r="I103" s="34">
        <v>2</v>
      </c>
      <c r="J103" s="39">
        <v>795</v>
      </c>
      <c r="K103" s="51" t="str">
        <f>VLOOKUP(J103,'[2]Chart of accounts'!A:H,2,FALSE)</f>
        <v>50212990 00</v>
      </c>
      <c r="L103" s="39"/>
      <c r="M103" s="39"/>
      <c r="N103" s="34"/>
      <c r="O103" s="34"/>
      <c r="P103" s="34"/>
      <c r="Q103" s="40" t="s">
        <v>3</v>
      </c>
      <c r="R103" s="40" t="s">
        <v>3</v>
      </c>
      <c r="S103" s="78" t="s">
        <v>2</v>
      </c>
      <c r="T103" s="42" t="s">
        <v>843</v>
      </c>
      <c r="U103" s="42" t="s">
        <v>842</v>
      </c>
      <c r="V103" s="44">
        <v>2480</v>
      </c>
      <c r="W103" s="52"/>
      <c r="X103" s="49"/>
      <c r="Y103" s="44">
        <f t="shared" si="4"/>
        <v>2480</v>
      </c>
      <c r="Z103" s="45"/>
      <c r="AA103" s="46"/>
      <c r="AB103" s="47"/>
      <c r="AC103" s="47"/>
      <c r="AD103" s="47"/>
      <c r="AE103" s="47"/>
      <c r="AF103" s="47"/>
      <c r="AG103" s="44"/>
      <c r="AH103" s="44"/>
      <c r="AI103" s="44"/>
      <c r="AJ103" s="47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4"/>
      <c r="BB103" s="44"/>
      <c r="BC103" s="44"/>
      <c r="BD103" s="44"/>
      <c r="BE103" s="44"/>
      <c r="BF103" s="48"/>
      <c r="BG103" s="44"/>
      <c r="BH103" s="44"/>
      <c r="BI103" s="44"/>
      <c r="BJ103" s="44"/>
      <c r="BK103" s="44"/>
      <c r="BL103" s="44"/>
      <c r="BM103" s="44"/>
      <c r="BN103" s="44"/>
      <c r="BO103" s="44"/>
      <c r="BP103" s="44"/>
      <c r="BQ103" s="44"/>
      <c r="BR103" s="49"/>
      <c r="BS103" s="44"/>
      <c r="BT103" s="44"/>
      <c r="BU103" s="44"/>
      <c r="BV103" s="44">
        <v>2480</v>
      </c>
      <c r="BW103" s="47"/>
      <c r="BX103" s="44"/>
      <c r="BY103" s="44"/>
      <c r="BZ103" s="44"/>
      <c r="CA103" s="44"/>
      <c r="CB103" s="44"/>
      <c r="CC103" s="44"/>
      <c r="CD103" s="43">
        <f>SUM(CH103:EB103)-Y103</f>
        <v>0</v>
      </c>
      <c r="CE103" s="44"/>
      <c r="CF103" s="44"/>
      <c r="CG103" s="44"/>
      <c r="CH103" s="44"/>
      <c r="CI103" s="44"/>
      <c r="CJ103" s="47"/>
      <c r="CK103" s="44"/>
      <c r="CL103" s="44"/>
      <c r="CM103" s="44"/>
      <c r="CN103" s="44"/>
      <c r="CO103" s="44"/>
      <c r="CP103" s="44"/>
      <c r="CQ103" s="44"/>
      <c r="CR103" s="44"/>
      <c r="CS103" s="44"/>
      <c r="CT103" s="44"/>
      <c r="CU103" s="44"/>
      <c r="CV103" s="44"/>
      <c r="CW103" s="44"/>
      <c r="CX103" s="44"/>
      <c r="CY103" s="44"/>
      <c r="CZ103" s="44"/>
      <c r="DA103" s="44"/>
      <c r="DB103" s="44"/>
      <c r="DC103" s="44"/>
      <c r="DD103" s="44"/>
      <c r="DE103" s="44"/>
      <c r="DF103" s="44"/>
      <c r="DG103" s="44">
        <v>2480</v>
      </c>
      <c r="DH103" s="44"/>
      <c r="DI103" s="44"/>
      <c r="DJ103" s="44"/>
      <c r="DK103" s="44"/>
      <c r="DL103" s="44"/>
      <c r="DM103" s="44"/>
      <c r="DN103" s="44"/>
      <c r="DO103" s="44"/>
      <c r="DP103" s="44"/>
      <c r="DQ103" s="44"/>
      <c r="DR103" s="44"/>
      <c r="DS103" s="44"/>
      <c r="DT103" s="44"/>
      <c r="DU103" s="44"/>
      <c r="DV103" s="44"/>
      <c r="DW103" s="44"/>
      <c r="DX103" s="44"/>
      <c r="DY103" s="44"/>
      <c r="DZ103" s="47"/>
      <c r="EA103" s="47"/>
      <c r="EB103" s="47"/>
    </row>
    <row r="104" spans="3:132" s="32" customFormat="1" ht="27.6">
      <c r="C104" s="76">
        <v>44223</v>
      </c>
      <c r="D104" s="34" t="s">
        <v>759</v>
      </c>
      <c r="E104" s="286" t="s">
        <v>841</v>
      </c>
      <c r="F104" s="36">
        <v>0.4916666666666667</v>
      </c>
      <c r="G104" s="36">
        <v>0.49444444444444446</v>
      </c>
      <c r="H104" s="39" t="s">
        <v>0</v>
      </c>
      <c r="I104" s="34">
        <v>2</v>
      </c>
      <c r="J104" s="39">
        <v>796</v>
      </c>
      <c r="K104" s="51" t="str">
        <f>VLOOKUP(J104,'[2]Chart of accounts'!A:H,2,FALSE)</f>
        <v>50212020 00</v>
      </c>
      <c r="L104" s="39"/>
      <c r="M104" s="39"/>
      <c r="N104" s="34"/>
      <c r="O104" s="34"/>
      <c r="P104" s="34"/>
      <c r="Q104" s="40" t="s">
        <v>3</v>
      </c>
      <c r="R104" s="40" t="s">
        <v>3</v>
      </c>
      <c r="S104" s="78" t="s">
        <v>2</v>
      </c>
      <c r="T104" s="42" t="s">
        <v>843</v>
      </c>
      <c r="U104" s="42" t="s">
        <v>842</v>
      </c>
      <c r="V104" s="44">
        <f>3600+4000</f>
        <v>7600</v>
      </c>
      <c r="W104" s="52"/>
      <c r="X104" s="49"/>
      <c r="Y104" s="44">
        <f t="shared" si="4"/>
        <v>7600</v>
      </c>
      <c r="Z104" s="45"/>
      <c r="AA104" s="46"/>
      <c r="AB104" s="47"/>
      <c r="AC104" s="47"/>
      <c r="AD104" s="47"/>
      <c r="AE104" s="47"/>
      <c r="AF104" s="47"/>
      <c r="AG104" s="44"/>
      <c r="AH104" s="44"/>
      <c r="AI104" s="44"/>
      <c r="AJ104" s="47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47"/>
      <c r="AZ104" s="47"/>
      <c r="BA104" s="44"/>
      <c r="BB104" s="44"/>
      <c r="BC104" s="44"/>
      <c r="BD104" s="44"/>
      <c r="BE104" s="44"/>
      <c r="BF104" s="48"/>
      <c r="BG104" s="44"/>
      <c r="BH104" s="44"/>
      <c r="BI104" s="44"/>
      <c r="BJ104" s="44"/>
      <c r="BK104" s="44"/>
      <c r="BL104" s="44"/>
      <c r="BM104" s="44"/>
      <c r="BN104" s="44"/>
      <c r="BO104" s="44"/>
      <c r="BP104" s="44"/>
      <c r="BQ104" s="44"/>
      <c r="BR104" s="49"/>
      <c r="BS104" s="44"/>
      <c r="BT104" s="44"/>
      <c r="BU104" s="44"/>
      <c r="BV104" s="44">
        <f>3600+4000</f>
        <v>7600</v>
      </c>
      <c r="BW104" s="47"/>
      <c r="BX104" s="44"/>
      <c r="BY104" s="44"/>
      <c r="BZ104" s="44"/>
      <c r="CA104" s="44"/>
      <c r="CB104" s="44"/>
      <c r="CC104" s="44"/>
      <c r="CD104" s="43"/>
      <c r="CE104" s="44"/>
      <c r="CF104" s="44"/>
      <c r="CG104" s="44"/>
      <c r="CH104" s="44"/>
      <c r="CI104" s="44"/>
      <c r="CJ104" s="47"/>
      <c r="CK104" s="44"/>
      <c r="CL104" s="44"/>
      <c r="CM104" s="44"/>
      <c r="CN104" s="44"/>
      <c r="CO104" s="44"/>
      <c r="CP104" s="44"/>
      <c r="CQ104" s="44"/>
      <c r="CR104" s="44"/>
      <c r="CS104" s="44"/>
      <c r="CT104" s="44"/>
      <c r="CU104" s="44"/>
      <c r="CV104" s="44"/>
      <c r="CW104" s="44"/>
      <c r="CX104" s="44"/>
      <c r="CY104" s="44"/>
      <c r="CZ104" s="44"/>
      <c r="DA104" s="44"/>
      <c r="DB104" s="44"/>
      <c r="DC104" s="44"/>
      <c r="DD104" s="44"/>
      <c r="DE104" s="44"/>
      <c r="DF104" s="44"/>
      <c r="DH104" s="44">
        <f>3600+4000</f>
        <v>7600</v>
      </c>
      <c r="DI104" s="44"/>
      <c r="DJ104" s="44"/>
      <c r="DK104" s="44"/>
      <c r="DL104" s="44"/>
      <c r="DM104" s="44"/>
      <c r="DN104" s="44"/>
      <c r="DO104" s="44"/>
      <c r="DP104" s="44"/>
      <c r="DQ104" s="44"/>
      <c r="DR104" s="44"/>
      <c r="DS104" s="44"/>
      <c r="DT104" s="44"/>
      <c r="DU104" s="44"/>
      <c r="DV104" s="44"/>
      <c r="DW104" s="44"/>
      <c r="DX104" s="44"/>
      <c r="DY104" s="44"/>
      <c r="DZ104" s="47"/>
      <c r="EA104" s="47"/>
      <c r="EB104" s="47"/>
    </row>
    <row r="105" spans="3:132" s="32" customFormat="1" ht="27.6">
      <c r="C105" s="76">
        <v>44223</v>
      </c>
      <c r="D105" s="34" t="s">
        <v>759</v>
      </c>
      <c r="E105" s="286" t="s">
        <v>841</v>
      </c>
      <c r="F105" s="36">
        <v>0.4916666666666667</v>
      </c>
      <c r="G105" s="36">
        <v>0.49444444444444446</v>
      </c>
      <c r="H105" s="39" t="s">
        <v>0</v>
      </c>
      <c r="I105" s="34">
        <v>2</v>
      </c>
      <c r="J105" s="39">
        <v>799</v>
      </c>
      <c r="K105" s="51" t="str">
        <f>VLOOKUP(J105,'[2]Chart of accounts'!A:H,2,FALSE)</f>
        <v>50211990 00</v>
      </c>
      <c r="L105" s="39"/>
      <c r="M105" s="39"/>
      <c r="N105" s="34"/>
      <c r="O105" s="34"/>
      <c r="P105" s="34"/>
      <c r="Q105" s="40" t="s">
        <v>844</v>
      </c>
      <c r="R105" s="40" t="s">
        <v>844</v>
      </c>
      <c r="S105" s="78" t="s">
        <v>2</v>
      </c>
      <c r="T105" s="42" t="s">
        <v>843</v>
      </c>
      <c r="U105" s="42" t="s">
        <v>842</v>
      </c>
      <c r="V105" s="44">
        <v>4000</v>
      </c>
      <c r="W105" s="52"/>
      <c r="X105" s="49"/>
      <c r="Y105" s="44">
        <f t="shared" si="4"/>
        <v>4000</v>
      </c>
      <c r="Z105" s="45"/>
      <c r="AA105" s="46"/>
      <c r="AB105" s="47"/>
      <c r="AC105" s="47"/>
      <c r="AD105" s="47"/>
      <c r="AE105" s="47"/>
      <c r="AF105" s="47"/>
      <c r="AG105" s="44"/>
      <c r="AH105" s="44"/>
      <c r="AI105" s="44"/>
      <c r="AJ105" s="47"/>
      <c r="AK105" s="47"/>
      <c r="AL105" s="47"/>
      <c r="AM105" s="47"/>
      <c r="AN105" s="47"/>
      <c r="AO105" s="47"/>
      <c r="AP105" s="47"/>
      <c r="AQ105" s="47"/>
      <c r="AR105" s="47"/>
      <c r="AS105" s="47"/>
      <c r="AT105" s="47"/>
      <c r="AU105" s="47"/>
      <c r="AV105" s="47"/>
      <c r="AW105" s="47"/>
      <c r="AX105" s="47"/>
      <c r="AY105" s="47"/>
      <c r="AZ105" s="47"/>
      <c r="BA105" s="44"/>
      <c r="BB105" s="44"/>
      <c r="BC105" s="44"/>
      <c r="BD105" s="44"/>
      <c r="BE105" s="44"/>
      <c r="BF105" s="48"/>
      <c r="BG105" s="44"/>
      <c r="BH105" s="44"/>
      <c r="BI105" s="44"/>
      <c r="BJ105" s="44"/>
      <c r="BK105" s="44"/>
      <c r="BL105" s="44"/>
      <c r="BM105" s="44"/>
      <c r="BN105" s="44"/>
      <c r="BO105" s="44"/>
      <c r="BP105" s="44"/>
      <c r="BQ105" s="44"/>
      <c r="BR105" s="49"/>
      <c r="BS105" s="44"/>
      <c r="BT105" s="44"/>
      <c r="BU105" s="44"/>
      <c r="BW105" s="47"/>
      <c r="BX105" s="44"/>
      <c r="BY105" s="44">
        <v>4000</v>
      </c>
      <c r="BZ105" s="44"/>
      <c r="CA105" s="44"/>
      <c r="CB105" s="44"/>
      <c r="CC105" s="44"/>
      <c r="CD105" s="43"/>
      <c r="CE105" s="44"/>
      <c r="CF105" s="44"/>
      <c r="CG105" s="44"/>
      <c r="CH105" s="44"/>
      <c r="CI105" s="44"/>
      <c r="CJ105" s="47"/>
      <c r="CK105" s="44"/>
      <c r="CL105" s="44"/>
      <c r="CM105" s="44"/>
      <c r="CN105" s="44"/>
      <c r="CO105" s="44"/>
      <c r="CP105" s="44"/>
      <c r="CQ105" s="44"/>
      <c r="CR105" s="44"/>
      <c r="CS105" s="44"/>
      <c r="CT105" s="44"/>
      <c r="CU105" s="44"/>
      <c r="CV105" s="44"/>
      <c r="CW105" s="44"/>
      <c r="CX105" s="44"/>
      <c r="CY105" s="44"/>
      <c r="CZ105" s="44"/>
      <c r="DA105" s="44"/>
      <c r="DB105" s="44"/>
      <c r="DC105" s="44"/>
      <c r="DD105" s="44"/>
      <c r="DE105" s="44"/>
      <c r="DF105" s="44"/>
      <c r="DG105" s="44"/>
      <c r="DH105" s="44"/>
      <c r="DI105" s="44"/>
      <c r="DJ105" s="44">
        <v>4000</v>
      </c>
      <c r="DK105" s="44"/>
      <c r="DL105" s="44"/>
      <c r="DM105" s="44"/>
      <c r="DN105" s="44"/>
      <c r="DO105" s="44"/>
      <c r="DP105" s="44"/>
      <c r="DQ105" s="44"/>
      <c r="DR105" s="44"/>
      <c r="DS105" s="44"/>
      <c r="DT105" s="44"/>
      <c r="DU105" s="44"/>
      <c r="DV105" s="44"/>
      <c r="DW105" s="44"/>
      <c r="DX105" s="44"/>
      <c r="DY105" s="44"/>
      <c r="DZ105" s="47"/>
      <c r="EA105" s="47"/>
      <c r="EB105" s="47"/>
    </row>
    <row r="106" spans="3:132" s="32" customFormat="1" ht="41.4">
      <c r="C106" s="76">
        <v>44223</v>
      </c>
      <c r="D106" s="34" t="s">
        <v>759</v>
      </c>
      <c r="E106" s="286" t="s">
        <v>846</v>
      </c>
      <c r="F106" s="36">
        <v>0.49513888888888885</v>
      </c>
      <c r="G106" s="36">
        <v>0.49583333333333335</v>
      </c>
      <c r="H106" s="39" t="s">
        <v>0</v>
      </c>
      <c r="I106" s="34">
        <v>2</v>
      </c>
      <c r="J106" s="39">
        <v>969</v>
      </c>
      <c r="K106" s="51" t="str">
        <f>VLOOKUP(J106,'[2]Chart of accounts'!A:H,2,FALSE)</f>
        <v>50299990 99</v>
      </c>
      <c r="L106" s="39"/>
      <c r="M106" s="39"/>
      <c r="N106" s="34"/>
      <c r="O106" s="34"/>
      <c r="P106" s="34"/>
      <c r="Q106" s="40" t="s">
        <v>3</v>
      </c>
      <c r="R106" s="40" t="s">
        <v>3</v>
      </c>
      <c r="S106" s="78" t="s">
        <v>2</v>
      </c>
      <c r="T106" s="42" t="s">
        <v>847</v>
      </c>
      <c r="U106" s="42" t="s">
        <v>848</v>
      </c>
      <c r="V106" s="44">
        <v>1880</v>
      </c>
      <c r="W106" s="52"/>
      <c r="X106" s="49"/>
      <c r="Y106" s="44">
        <f t="shared" si="4"/>
        <v>1880</v>
      </c>
      <c r="Z106" s="45"/>
      <c r="AA106" s="46"/>
      <c r="AB106" s="47"/>
      <c r="AC106" s="47"/>
      <c r="AD106" s="47"/>
      <c r="AE106" s="47"/>
      <c r="AF106" s="47"/>
      <c r="AG106" s="44"/>
      <c r="AH106" s="44"/>
      <c r="AI106" s="44"/>
      <c r="AJ106" s="47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4"/>
      <c r="BB106" s="44"/>
      <c r="BC106" s="44"/>
      <c r="BD106" s="44"/>
      <c r="BE106" s="44"/>
      <c r="BF106" s="48"/>
      <c r="BG106" s="44"/>
      <c r="BH106" s="44"/>
      <c r="BI106" s="44"/>
      <c r="BJ106" s="44"/>
      <c r="BK106" s="44"/>
      <c r="BL106" s="44"/>
      <c r="BM106" s="44"/>
      <c r="BN106" s="44"/>
      <c r="BO106" s="44"/>
      <c r="BP106" s="44"/>
      <c r="BQ106" s="44"/>
      <c r="BR106" s="49"/>
      <c r="BS106" s="44"/>
      <c r="BT106" s="44"/>
      <c r="BU106" s="44"/>
      <c r="BV106" s="44">
        <v>1880</v>
      </c>
      <c r="BW106" s="47"/>
      <c r="BX106" s="44"/>
      <c r="BY106" s="44"/>
      <c r="BZ106" s="44"/>
      <c r="CA106" s="44"/>
      <c r="CB106" s="44"/>
      <c r="CC106" s="44"/>
      <c r="CD106" s="43"/>
      <c r="CE106" s="44"/>
      <c r="CF106" s="44"/>
      <c r="CG106" s="44"/>
      <c r="CH106" s="44"/>
      <c r="CI106" s="44"/>
      <c r="CJ106" s="47"/>
      <c r="CK106" s="44"/>
      <c r="CL106" s="44"/>
      <c r="CM106" s="44"/>
      <c r="CN106" s="44"/>
      <c r="CO106" s="44"/>
      <c r="CP106" s="44"/>
      <c r="CQ106" s="44"/>
      <c r="CR106" s="44"/>
      <c r="CS106" s="44"/>
      <c r="CT106" s="44"/>
      <c r="CU106" s="44"/>
      <c r="CV106" s="44"/>
      <c r="CW106" s="44"/>
      <c r="CX106" s="44"/>
      <c r="CY106" s="44"/>
      <c r="CZ106" s="44"/>
      <c r="DA106" s="44"/>
      <c r="DB106" s="44"/>
      <c r="DC106" s="44"/>
      <c r="DD106" s="44"/>
      <c r="DE106" s="44"/>
      <c r="DF106" s="44"/>
      <c r="DG106" s="44"/>
      <c r="DH106" s="44"/>
      <c r="DI106" s="44"/>
      <c r="DJ106" s="44"/>
      <c r="DK106" s="44"/>
      <c r="DL106" s="44"/>
      <c r="DM106" s="44"/>
      <c r="DN106" s="44"/>
      <c r="DO106" s="44"/>
      <c r="DP106" s="44"/>
      <c r="DQ106" s="44"/>
      <c r="DR106" s="44"/>
      <c r="DS106" s="44"/>
      <c r="DT106" s="44"/>
      <c r="DU106" s="44"/>
      <c r="DV106" s="44"/>
      <c r="DW106" s="44"/>
      <c r="DX106" s="44"/>
      <c r="DY106" s="44">
        <v>1880</v>
      </c>
      <c r="DZ106" s="47"/>
      <c r="EA106" s="47"/>
      <c r="EB106" s="47"/>
    </row>
    <row r="107" spans="3:132" s="411" customFormat="1" ht="27.6">
      <c r="C107" s="402">
        <v>44224</v>
      </c>
      <c r="D107" s="403" t="s">
        <v>759</v>
      </c>
      <c r="E107" s="404" t="s">
        <v>851</v>
      </c>
      <c r="F107" s="405">
        <v>0.42222222222222222</v>
      </c>
      <c r="G107" s="405">
        <v>0.42222222222222222</v>
      </c>
      <c r="H107" s="406" t="s">
        <v>0</v>
      </c>
      <c r="I107" s="403">
        <v>2</v>
      </c>
      <c r="J107" s="406">
        <v>782</v>
      </c>
      <c r="K107" s="406" t="str">
        <f>VLOOKUP(J107,'[2]Chart of accounts'!A:H,2,FALSE)</f>
        <v>50299050 01</v>
      </c>
      <c r="L107" s="406"/>
      <c r="M107" s="406"/>
      <c r="N107" s="403"/>
      <c r="O107" s="403"/>
      <c r="P107" s="403"/>
      <c r="Q107" s="407" t="s">
        <v>3</v>
      </c>
      <c r="R107" s="407" t="s">
        <v>3</v>
      </c>
      <c r="S107" s="408" t="s">
        <v>2</v>
      </c>
      <c r="T107" s="409" t="s">
        <v>852</v>
      </c>
      <c r="U107" s="409" t="s">
        <v>853</v>
      </c>
      <c r="V107" s="65"/>
      <c r="W107" s="46"/>
      <c r="X107" s="64"/>
      <c r="Y107" s="65">
        <f t="shared" si="4"/>
        <v>0</v>
      </c>
      <c r="Z107" s="45"/>
      <c r="AA107" s="46"/>
      <c r="AB107" s="45"/>
      <c r="AC107" s="45"/>
      <c r="AD107" s="45"/>
      <c r="AE107" s="45"/>
      <c r="AF107" s="45"/>
      <c r="AG107" s="65"/>
      <c r="AH107" s="65"/>
      <c r="AI107" s="6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65"/>
      <c r="BB107" s="65"/>
      <c r="BC107" s="65"/>
      <c r="BD107" s="65"/>
      <c r="BE107" s="65"/>
      <c r="BF107" s="410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4"/>
      <c r="BS107" s="65"/>
      <c r="BT107" s="65"/>
      <c r="BU107" s="65"/>
      <c r="BV107" s="65"/>
      <c r="BW107" s="45"/>
      <c r="BX107" s="65"/>
      <c r="BY107" s="65"/>
      <c r="BZ107" s="65"/>
      <c r="CA107" s="65"/>
      <c r="CB107" s="65"/>
      <c r="CC107" s="65"/>
      <c r="CD107" s="63"/>
      <c r="CE107" s="65"/>
      <c r="CF107" s="65"/>
      <c r="CG107" s="65"/>
      <c r="CH107" s="65"/>
      <c r="CI107" s="65"/>
      <c r="CJ107" s="4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45"/>
      <c r="EA107" s="45"/>
      <c r="EB107" s="45"/>
    </row>
    <row r="108" spans="3:132" s="32" customFormat="1" ht="27.6">
      <c r="C108" s="76">
        <v>44224</v>
      </c>
      <c r="D108" s="34" t="s">
        <v>759</v>
      </c>
      <c r="E108" s="286" t="s">
        <v>854</v>
      </c>
      <c r="F108" s="36">
        <v>0.44166666666666665</v>
      </c>
      <c r="G108" s="36">
        <v>0.4465277777777778</v>
      </c>
      <c r="H108" s="39" t="s">
        <v>0</v>
      </c>
      <c r="I108" s="34">
        <v>2</v>
      </c>
      <c r="J108" s="39">
        <v>792</v>
      </c>
      <c r="K108" s="51" t="str">
        <f>VLOOKUP(J108,'[2]Chart of accounts'!A:H,2,FALSE)</f>
        <v>50211020 00</v>
      </c>
      <c r="L108" s="39"/>
      <c r="M108" s="39"/>
      <c r="N108" s="34"/>
      <c r="O108" s="34"/>
      <c r="P108" s="34"/>
      <c r="Q108" s="40" t="s">
        <v>3</v>
      </c>
      <c r="R108" s="40" t="s">
        <v>3</v>
      </c>
      <c r="S108" s="78" t="s">
        <v>2</v>
      </c>
      <c r="T108" s="42" t="s">
        <v>843</v>
      </c>
      <c r="U108" s="42" t="s">
        <v>855</v>
      </c>
      <c r="V108" s="44">
        <v>5534</v>
      </c>
      <c r="W108" s="52"/>
      <c r="X108" s="49"/>
      <c r="Y108" s="44">
        <f t="shared" si="4"/>
        <v>5534</v>
      </c>
      <c r="Z108" s="45"/>
      <c r="AA108" s="46"/>
      <c r="AB108" s="47"/>
      <c r="AC108" s="47"/>
      <c r="AD108" s="47"/>
      <c r="AE108" s="47"/>
      <c r="AF108" s="47"/>
      <c r="AG108" s="44"/>
      <c r="AH108" s="44"/>
      <c r="AI108" s="44"/>
      <c r="AJ108" s="47"/>
      <c r="AK108" s="47"/>
      <c r="AL108" s="47"/>
      <c r="AM108" s="47"/>
      <c r="AN108" s="47"/>
      <c r="AO108" s="47"/>
      <c r="AP108" s="47"/>
      <c r="AQ108" s="47"/>
      <c r="AR108" s="47"/>
      <c r="AS108" s="47"/>
      <c r="AT108" s="47"/>
      <c r="AU108" s="47"/>
      <c r="AV108" s="47"/>
      <c r="AW108" s="47"/>
      <c r="AX108" s="47"/>
      <c r="AY108" s="47"/>
      <c r="AZ108" s="47"/>
      <c r="BA108" s="44"/>
      <c r="BB108" s="44"/>
      <c r="BC108" s="44"/>
      <c r="BD108" s="44"/>
      <c r="BE108" s="44"/>
      <c r="BF108" s="48"/>
      <c r="BG108" s="44"/>
      <c r="BH108" s="44"/>
      <c r="BI108" s="44"/>
      <c r="BJ108" s="44"/>
      <c r="BK108" s="44"/>
      <c r="BL108" s="44"/>
      <c r="BM108" s="44"/>
      <c r="BN108" s="44"/>
      <c r="BO108" s="44"/>
      <c r="BP108" s="44"/>
      <c r="BQ108" s="44"/>
      <c r="BR108" s="49"/>
      <c r="BS108" s="44"/>
      <c r="BT108" s="44"/>
      <c r="BU108" s="44"/>
      <c r="BV108" s="44">
        <v>5534</v>
      </c>
      <c r="BW108" s="47"/>
      <c r="BX108" s="44"/>
      <c r="BY108" s="44"/>
      <c r="BZ108" s="44"/>
      <c r="CA108" s="44"/>
      <c r="CB108" s="44"/>
      <c r="CC108" s="44"/>
      <c r="CD108" s="43"/>
      <c r="CE108" s="44"/>
      <c r="CF108" s="44"/>
      <c r="CG108" s="44"/>
      <c r="CH108" s="44"/>
      <c r="CI108" s="44"/>
      <c r="CJ108" s="47"/>
      <c r="CK108" s="44"/>
      <c r="CL108" s="44"/>
      <c r="CM108" s="44"/>
      <c r="CN108" s="44"/>
      <c r="CO108" s="44"/>
      <c r="CP108" s="44"/>
      <c r="CQ108" s="44"/>
      <c r="CR108" s="44"/>
      <c r="CS108" s="44"/>
      <c r="CT108" s="44"/>
      <c r="CU108" s="44"/>
      <c r="CV108" s="44"/>
      <c r="CW108" s="44"/>
      <c r="CX108" s="44"/>
      <c r="CY108" s="44"/>
      <c r="CZ108" s="44"/>
      <c r="DA108" s="44"/>
      <c r="DB108" s="44"/>
      <c r="DC108" s="44"/>
      <c r="DD108" s="44"/>
      <c r="DE108" s="44">
        <v>5534</v>
      </c>
      <c r="DF108" s="44"/>
      <c r="DG108" s="44"/>
      <c r="DH108" s="44"/>
      <c r="DI108" s="44"/>
      <c r="DJ108" s="44"/>
      <c r="DK108" s="44"/>
      <c r="DL108" s="44"/>
      <c r="DM108" s="44"/>
      <c r="DN108" s="44"/>
      <c r="DO108" s="44"/>
      <c r="DP108" s="44"/>
      <c r="DQ108" s="44"/>
      <c r="DR108" s="44"/>
      <c r="DS108" s="44"/>
      <c r="DT108" s="44"/>
      <c r="DU108" s="44"/>
      <c r="DV108" s="44"/>
      <c r="DW108" s="44"/>
      <c r="DX108" s="44"/>
      <c r="DY108" s="44"/>
      <c r="DZ108" s="47"/>
      <c r="EA108" s="47"/>
      <c r="EB108" s="47"/>
    </row>
    <row r="109" spans="3:132" s="32" customFormat="1" ht="27.6">
      <c r="C109" s="76">
        <v>44224</v>
      </c>
      <c r="D109" s="34" t="s">
        <v>759</v>
      </c>
      <c r="E109" s="286" t="s">
        <v>854</v>
      </c>
      <c r="F109" s="36">
        <v>0.44166666666666665</v>
      </c>
      <c r="G109" s="36">
        <v>0.4465277777777778</v>
      </c>
      <c r="H109" s="39" t="s">
        <v>0</v>
      </c>
      <c r="I109" s="34">
        <v>2</v>
      </c>
      <c r="J109" s="39">
        <v>795</v>
      </c>
      <c r="K109" s="51" t="str">
        <f>VLOOKUP(J109,'[2]Chart of accounts'!A:H,2,FALSE)</f>
        <v>50212990 00</v>
      </c>
      <c r="L109" s="39"/>
      <c r="M109" s="39"/>
      <c r="N109" s="34"/>
      <c r="O109" s="34"/>
      <c r="P109" s="34"/>
      <c r="Q109" s="40" t="s">
        <v>3</v>
      </c>
      <c r="R109" s="40" t="s">
        <v>3</v>
      </c>
      <c r="S109" s="78" t="s">
        <v>2</v>
      </c>
      <c r="T109" s="42" t="s">
        <v>843</v>
      </c>
      <c r="U109" s="42" t="s">
        <v>855</v>
      </c>
      <c r="V109" s="44">
        <v>4527.82</v>
      </c>
      <c r="W109" s="52"/>
      <c r="X109" s="49"/>
      <c r="Y109" s="44">
        <f t="shared" si="4"/>
        <v>4527.82</v>
      </c>
      <c r="Z109" s="45"/>
      <c r="AA109" s="46"/>
      <c r="AB109" s="47"/>
      <c r="AC109" s="47"/>
      <c r="AD109" s="47"/>
      <c r="AE109" s="47"/>
      <c r="AF109" s="47"/>
      <c r="AG109" s="44"/>
      <c r="AH109" s="44"/>
      <c r="AI109" s="44"/>
      <c r="AJ109" s="47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4"/>
      <c r="BB109" s="44"/>
      <c r="BC109" s="44"/>
      <c r="BD109" s="44"/>
      <c r="BE109" s="44"/>
      <c r="BF109" s="48"/>
      <c r="BG109" s="44"/>
      <c r="BH109" s="44"/>
      <c r="BI109" s="44"/>
      <c r="BJ109" s="44"/>
      <c r="BK109" s="44"/>
      <c r="BL109" s="44"/>
      <c r="BM109" s="44"/>
      <c r="BN109" s="44"/>
      <c r="BO109" s="44"/>
      <c r="BP109" s="44"/>
      <c r="BQ109" s="44"/>
      <c r="BR109" s="49"/>
      <c r="BS109" s="44"/>
      <c r="BT109" s="44"/>
      <c r="BU109" s="44"/>
      <c r="BV109" s="44">
        <v>4527.82</v>
      </c>
      <c r="BW109" s="47"/>
      <c r="BX109" s="44"/>
      <c r="BY109" s="44"/>
      <c r="BZ109" s="44"/>
      <c r="CA109" s="44"/>
      <c r="CB109" s="44"/>
      <c r="CC109" s="44"/>
      <c r="CD109" s="43"/>
      <c r="CE109" s="44"/>
      <c r="CF109" s="44"/>
      <c r="CG109" s="44"/>
      <c r="CH109" s="44"/>
      <c r="CI109" s="44"/>
      <c r="CJ109" s="47"/>
      <c r="CK109" s="44"/>
      <c r="CL109" s="44"/>
      <c r="CM109" s="44"/>
      <c r="CN109" s="44"/>
      <c r="CO109" s="44"/>
      <c r="CP109" s="44"/>
      <c r="CQ109" s="44"/>
      <c r="CR109" s="44"/>
      <c r="CS109" s="44"/>
      <c r="CT109" s="44"/>
      <c r="CU109" s="44"/>
      <c r="CV109" s="44"/>
      <c r="CW109" s="44"/>
      <c r="CX109" s="44"/>
      <c r="CY109" s="44"/>
      <c r="CZ109" s="44"/>
      <c r="DA109" s="44"/>
      <c r="DB109" s="44"/>
      <c r="DC109" s="44"/>
      <c r="DD109" s="44"/>
      <c r="DE109" s="44"/>
      <c r="DF109" s="44"/>
      <c r="DG109" s="44">
        <v>4527.82</v>
      </c>
      <c r="DH109" s="44"/>
      <c r="DI109" s="44"/>
      <c r="DJ109" s="44"/>
      <c r="DK109" s="44"/>
      <c r="DL109" s="44"/>
      <c r="DM109" s="44"/>
      <c r="DN109" s="44"/>
      <c r="DO109" s="44"/>
      <c r="DP109" s="44"/>
      <c r="DQ109" s="44"/>
      <c r="DR109" s="44"/>
      <c r="DS109" s="44"/>
      <c r="DT109" s="44"/>
      <c r="DU109" s="44"/>
      <c r="DV109" s="44"/>
      <c r="DW109" s="44"/>
      <c r="DX109" s="44"/>
      <c r="DY109" s="44"/>
      <c r="DZ109" s="47"/>
      <c r="EA109" s="47"/>
      <c r="EB109" s="47"/>
    </row>
    <row r="110" spans="3:132" s="32" customFormat="1" ht="27.6">
      <c r="C110" s="76">
        <v>44224</v>
      </c>
      <c r="D110" s="34" t="s">
        <v>759</v>
      </c>
      <c r="E110" s="286" t="s">
        <v>854</v>
      </c>
      <c r="F110" s="36">
        <v>0.44166666666666665</v>
      </c>
      <c r="G110" s="36">
        <v>0.4465277777777778</v>
      </c>
      <c r="H110" s="39" t="s">
        <v>0</v>
      </c>
      <c r="I110" s="34">
        <v>2</v>
      </c>
      <c r="J110" s="39">
        <v>799</v>
      </c>
      <c r="K110" s="51" t="str">
        <f>VLOOKUP(J110,'[2]Chart of accounts'!A:H,2,FALSE)</f>
        <v>50211990 00</v>
      </c>
      <c r="L110" s="39"/>
      <c r="M110" s="39"/>
      <c r="N110" s="34"/>
      <c r="O110" s="34"/>
      <c r="P110" s="34"/>
      <c r="Q110" s="53" t="s">
        <v>4</v>
      </c>
      <c r="R110" s="40" t="s">
        <v>5</v>
      </c>
      <c r="S110" s="78" t="s">
        <v>2</v>
      </c>
      <c r="T110" s="42" t="s">
        <v>843</v>
      </c>
      <c r="U110" s="42" t="s">
        <v>855</v>
      </c>
      <c r="V110" s="44">
        <v>10000</v>
      </c>
      <c r="W110" s="52"/>
      <c r="X110" s="49"/>
      <c r="Y110" s="44">
        <f t="shared" si="4"/>
        <v>10000</v>
      </c>
      <c r="Z110" s="45"/>
      <c r="AA110" s="46"/>
      <c r="AB110" s="47"/>
      <c r="AC110" s="47"/>
      <c r="AD110" s="47"/>
      <c r="AE110" s="47"/>
      <c r="AF110" s="47"/>
      <c r="AG110" s="44"/>
      <c r="AH110" s="44"/>
      <c r="AI110" s="44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4"/>
      <c r="BB110" s="44"/>
      <c r="BC110" s="44"/>
      <c r="BD110" s="44"/>
      <c r="BE110" s="44"/>
      <c r="BF110" s="48"/>
      <c r="BG110" s="44"/>
      <c r="BH110" s="44"/>
      <c r="BI110" s="44"/>
      <c r="BJ110" s="44"/>
      <c r="BK110" s="44"/>
      <c r="BL110" s="44"/>
      <c r="BM110" s="44"/>
      <c r="BN110" s="44"/>
      <c r="BO110" s="44"/>
      <c r="BP110" s="44"/>
      <c r="BQ110" s="44"/>
      <c r="BR110" s="49"/>
      <c r="BS110" s="44"/>
      <c r="BT110" s="44"/>
      <c r="BU110" s="44"/>
      <c r="BW110" s="47"/>
      <c r="BX110" s="44"/>
      <c r="BY110" s="44">
        <v>10000</v>
      </c>
      <c r="BZ110" s="44"/>
      <c r="CA110" s="44"/>
      <c r="CB110" s="44"/>
      <c r="CC110" s="44"/>
      <c r="CD110" s="43"/>
      <c r="CE110" s="44"/>
      <c r="CF110" s="44"/>
      <c r="CG110" s="44"/>
      <c r="CH110" s="44"/>
      <c r="CI110" s="44"/>
      <c r="CJ110" s="47"/>
      <c r="CK110" s="44"/>
      <c r="CL110" s="44"/>
      <c r="CM110" s="44"/>
      <c r="CN110" s="44"/>
      <c r="CO110" s="44"/>
      <c r="CP110" s="44"/>
      <c r="CQ110" s="44"/>
      <c r="CR110" s="44"/>
      <c r="CS110" s="44"/>
      <c r="CT110" s="44"/>
      <c r="CU110" s="44"/>
      <c r="CV110" s="44"/>
      <c r="CW110" s="44"/>
      <c r="CX110" s="44"/>
      <c r="CY110" s="44"/>
      <c r="CZ110" s="44"/>
      <c r="DA110" s="44"/>
      <c r="DB110" s="44"/>
      <c r="DC110" s="44"/>
      <c r="DD110" s="44"/>
      <c r="DE110" s="44"/>
      <c r="DF110" s="44"/>
      <c r="DG110" s="44"/>
      <c r="DH110" s="44"/>
      <c r="DI110" s="44"/>
      <c r="DJ110" s="44">
        <v>10000</v>
      </c>
      <c r="DK110" s="44"/>
      <c r="DL110" s="44"/>
      <c r="DM110" s="44"/>
      <c r="DN110" s="44"/>
      <c r="DO110" s="44"/>
      <c r="DP110" s="44"/>
      <c r="DQ110" s="44"/>
      <c r="DR110" s="44"/>
      <c r="DS110" s="44"/>
      <c r="DT110" s="44"/>
      <c r="DU110" s="44"/>
      <c r="DV110" s="44"/>
      <c r="DW110" s="44"/>
      <c r="DX110" s="44"/>
      <c r="DY110" s="44"/>
      <c r="DZ110" s="47"/>
      <c r="EA110" s="47"/>
      <c r="EB110" s="47"/>
    </row>
    <row r="111" spans="3:132" s="32" customFormat="1" ht="27.6">
      <c r="C111" s="76">
        <v>44224</v>
      </c>
      <c r="D111" s="34" t="s">
        <v>759</v>
      </c>
      <c r="E111" s="286" t="s">
        <v>856</v>
      </c>
      <c r="F111" s="36">
        <v>0.4465277777777778</v>
      </c>
      <c r="G111" s="36">
        <v>0.45</v>
      </c>
      <c r="H111" s="39" t="s">
        <v>0</v>
      </c>
      <c r="I111" s="34">
        <v>2</v>
      </c>
      <c r="J111" s="39">
        <v>799</v>
      </c>
      <c r="K111" s="51" t="str">
        <f>VLOOKUP(J111,'[2]Chart of accounts'!A:H,2,FALSE)</f>
        <v>50211990 00</v>
      </c>
      <c r="L111" s="39"/>
      <c r="M111" s="39"/>
      <c r="N111" s="34"/>
      <c r="O111" s="34"/>
      <c r="P111" s="34"/>
      <c r="Q111" s="53" t="s">
        <v>4</v>
      </c>
      <c r="R111" s="40" t="s">
        <v>857</v>
      </c>
      <c r="S111" s="78" t="s">
        <v>2</v>
      </c>
      <c r="T111" s="42" t="s">
        <v>843</v>
      </c>
      <c r="U111" s="42" t="s">
        <v>855</v>
      </c>
      <c r="V111" s="44">
        <v>11158</v>
      </c>
      <c r="W111" s="52"/>
      <c r="X111" s="49"/>
      <c r="Y111" s="44">
        <f t="shared" si="4"/>
        <v>11158</v>
      </c>
      <c r="Z111" s="45"/>
      <c r="AA111" s="46"/>
      <c r="AB111" s="47"/>
      <c r="AC111" s="47"/>
      <c r="AD111" s="47"/>
      <c r="AE111" s="47"/>
      <c r="AF111" s="47"/>
      <c r="AG111" s="44"/>
      <c r="AH111" s="44"/>
      <c r="AI111" s="44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4"/>
      <c r="BB111" s="44"/>
      <c r="BC111" s="44"/>
      <c r="BD111" s="44"/>
      <c r="BE111" s="44"/>
      <c r="BF111" s="48"/>
      <c r="BG111" s="44"/>
      <c r="BH111" s="44"/>
      <c r="BI111" s="44"/>
      <c r="BJ111" s="44"/>
      <c r="BK111" s="44"/>
      <c r="BL111" s="44"/>
      <c r="BM111" s="44"/>
      <c r="BN111" s="44"/>
      <c r="BO111" s="44"/>
      <c r="BP111" s="44"/>
      <c r="BQ111" s="44"/>
      <c r="BR111" s="49"/>
      <c r="BS111" s="44"/>
      <c r="BT111" s="44"/>
      <c r="BU111" s="44"/>
      <c r="BV111" s="49"/>
      <c r="BW111" s="47"/>
      <c r="BX111" s="44"/>
      <c r="BY111" s="44">
        <v>11158</v>
      </c>
      <c r="BZ111" s="44"/>
      <c r="CA111" s="44"/>
      <c r="CB111" s="44"/>
      <c r="CC111" s="44"/>
      <c r="CD111" s="43"/>
      <c r="CE111" s="44"/>
      <c r="CF111" s="44"/>
      <c r="CG111" s="44"/>
      <c r="CH111" s="44"/>
      <c r="CI111" s="44"/>
      <c r="CJ111" s="47"/>
      <c r="CK111" s="44"/>
      <c r="CL111" s="44"/>
      <c r="CM111" s="44"/>
      <c r="CN111" s="44"/>
      <c r="CO111" s="44"/>
      <c r="CP111" s="44"/>
      <c r="CQ111" s="44"/>
      <c r="CR111" s="44"/>
      <c r="CS111" s="44"/>
      <c r="CT111" s="44"/>
      <c r="CU111" s="44"/>
      <c r="CV111" s="44"/>
      <c r="CW111" s="44"/>
      <c r="CX111" s="44"/>
      <c r="CY111" s="44"/>
      <c r="CZ111" s="44"/>
      <c r="DA111" s="44"/>
      <c r="DB111" s="44"/>
      <c r="DC111" s="44"/>
      <c r="DD111" s="44"/>
      <c r="DE111" s="44"/>
      <c r="DF111" s="44"/>
      <c r="DG111" s="44"/>
      <c r="DH111" s="44"/>
      <c r="DI111" s="44"/>
      <c r="DJ111" s="44">
        <v>11158</v>
      </c>
      <c r="DK111" s="44"/>
      <c r="DL111" s="44"/>
      <c r="DM111" s="44"/>
      <c r="DN111" s="44"/>
      <c r="DO111" s="44"/>
      <c r="DP111" s="44"/>
      <c r="DQ111" s="44"/>
      <c r="DR111" s="44"/>
      <c r="DS111" s="44"/>
      <c r="DT111" s="44"/>
      <c r="DU111" s="44"/>
      <c r="DV111" s="44"/>
      <c r="DW111" s="44"/>
      <c r="DX111" s="44"/>
      <c r="DY111" s="44"/>
      <c r="DZ111" s="47"/>
      <c r="EA111" s="47"/>
      <c r="EB111" s="47"/>
    </row>
    <row r="112" spans="3:132" s="32" customFormat="1" ht="27.6">
      <c r="C112" s="76">
        <v>44224</v>
      </c>
      <c r="D112" s="34" t="s">
        <v>759</v>
      </c>
      <c r="E112" s="286" t="s">
        <v>856</v>
      </c>
      <c r="F112" s="36">
        <v>0.4465277777777778</v>
      </c>
      <c r="G112" s="36">
        <v>0.45</v>
      </c>
      <c r="H112" s="39" t="s">
        <v>0</v>
      </c>
      <c r="I112" s="34">
        <v>2</v>
      </c>
      <c r="J112" s="39">
        <v>799</v>
      </c>
      <c r="K112" s="51" t="str">
        <f>VLOOKUP(J112,'[2]Chart of accounts'!A:H,2,FALSE)</f>
        <v>50211990 00</v>
      </c>
      <c r="L112" s="39"/>
      <c r="M112" s="39"/>
      <c r="N112" s="34"/>
      <c r="O112" s="34"/>
      <c r="P112" s="34"/>
      <c r="Q112" s="53" t="s">
        <v>4</v>
      </c>
      <c r="R112" s="40" t="s">
        <v>7</v>
      </c>
      <c r="S112" s="78" t="s">
        <v>2</v>
      </c>
      <c r="T112" s="42" t="s">
        <v>843</v>
      </c>
      <c r="U112" s="42" t="s">
        <v>855</v>
      </c>
      <c r="V112" s="44">
        <v>11158</v>
      </c>
      <c r="W112" s="52"/>
      <c r="X112" s="49"/>
      <c r="Y112" s="44">
        <f t="shared" si="4"/>
        <v>11158</v>
      </c>
      <c r="Z112" s="45"/>
      <c r="AA112" s="46"/>
      <c r="AB112" s="47"/>
      <c r="AC112" s="47"/>
      <c r="AD112" s="47"/>
      <c r="AE112" s="47"/>
      <c r="AF112" s="47"/>
      <c r="AG112" s="44"/>
      <c r="AH112" s="44"/>
      <c r="AI112" s="44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4"/>
      <c r="BB112" s="44"/>
      <c r="BC112" s="44"/>
      <c r="BD112" s="44"/>
      <c r="BE112" s="44"/>
      <c r="BF112" s="48"/>
      <c r="BG112" s="44"/>
      <c r="BH112" s="44"/>
      <c r="BI112" s="44"/>
      <c r="BJ112" s="44"/>
      <c r="BK112" s="44"/>
      <c r="BL112" s="44"/>
      <c r="BM112" s="44"/>
      <c r="BN112" s="44"/>
      <c r="BO112" s="44"/>
      <c r="BP112" s="44"/>
      <c r="BQ112" s="44"/>
      <c r="BR112" s="49"/>
      <c r="BS112" s="44"/>
      <c r="BT112" s="44"/>
      <c r="BU112" s="44"/>
      <c r="BV112" s="49"/>
      <c r="BW112" s="47"/>
      <c r="BX112" s="44"/>
      <c r="BY112" s="44">
        <v>11158</v>
      </c>
      <c r="BZ112" s="44"/>
      <c r="CA112" s="44"/>
      <c r="CB112" s="44"/>
      <c r="CC112" s="44"/>
      <c r="CD112" s="43"/>
      <c r="CE112" s="44"/>
      <c r="CF112" s="44"/>
      <c r="CG112" s="44"/>
      <c r="CH112" s="44"/>
      <c r="CI112" s="44"/>
      <c r="CJ112" s="47"/>
      <c r="CK112" s="44"/>
      <c r="CL112" s="44"/>
      <c r="CM112" s="44"/>
      <c r="CN112" s="44"/>
      <c r="CO112" s="44"/>
      <c r="CP112" s="44"/>
      <c r="CQ112" s="44"/>
      <c r="CR112" s="44"/>
      <c r="CS112" s="44"/>
      <c r="CT112" s="44"/>
      <c r="CU112" s="44"/>
      <c r="CV112" s="44"/>
      <c r="CW112" s="44"/>
      <c r="CX112" s="44"/>
      <c r="CY112" s="44"/>
      <c r="CZ112" s="44"/>
      <c r="DA112" s="44"/>
      <c r="DB112" s="44"/>
      <c r="DC112" s="44"/>
      <c r="DD112" s="44"/>
      <c r="DE112" s="44"/>
      <c r="DF112" s="44"/>
      <c r="DG112" s="44"/>
      <c r="DH112" s="44"/>
      <c r="DI112" s="44"/>
      <c r="DJ112" s="44">
        <v>11158</v>
      </c>
      <c r="DK112" s="44"/>
      <c r="DL112" s="44"/>
      <c r="DM112" s="44"/>
      <c r="DN112" s="44"/>
      <c r="DO112" s="44"/>
      <c r="DP112" s="44"/>
      <c r="DQ112" s="44"/>
      <c r="DR112" s="44"/>
      <c r="DS112" s="44"/>
      <c r="DT112" s="44"/>
      <c r="DU112" s="44"/>
      <c r="DV112" s="44"/>
      <c r="DW112" s="44"/>
      <c r="DX112" s="44"/>
      <c r="DY112" s="44"/>
      <c r="DZ112" s="47"/>
      <c r="EA112" s="47"/>
      <c r="EB112" s="47"/>
    </row>
    <row r="113" spans="3:132" s="32" customFormat="1" ht="27.6">
      <c r="C113" s="76">
        <v>44224</v>
      </c>
      <c r="D113" s="34" t="s">
        <v>759</v>
      </c>
      <c r="E113" s="286" t="s">
        <v>856</v>
      </c>
      <c r="F113" s="36">
        <v>0.4465277777777778</v>
      </c>
      <c r="G113" s="36">
        <v>0.45</v>
      </c>
      <c r="H113" s="39" t="s">
        <v>0</v>
      </c>
      <c r="I113" s="34">
        <v>2</v>
      </c>
      <c r="J113" s="39">
        <v>799</v>
      </c>
      <c r="K113" s="51" t="str">
        <f>VLOOKUP(J113,'[2]Chart of accounts'!A:H,2,FALSE)</f>
        <v>50211990 00</v>
      </c>
      <c r="L113" s="39"/>
      <c r="M113" s="39"/>
      <c r="N113" s="34"/>
      <c r="O113" s="34"/>
      <c r="P113" s="34"/>
      <c r="Q113" s="53" t="s">
        <v>4</v>
      </c>
      <c r="R113" s="40" t="s">
        <v>845</v>
      </c>
      <c r="S113" s="78" t="s">
        <v>2</v>
      </c>
      <c r="T113" s="42" t="s">
        <v>843</v>
      </c>
      <c r="U113" s="42" t="s">
        <v>855</v>
      </c>
      <c r="V113" s="44">
        <v>11158</v>
      </c>
      <c r="W113" s="52"/>
      <c r="X113" s="49"/>
      <c r="Y113" s="44">
        <f t="shared" si="4"/>
        <v>11158</v>
      </c>
      <c r="Z113" s="45"/>
      <c r="AA113" s="46"/>
      <c r="AB113" s="47"/>
      <c r="AC113" s="47"/>
      <c r="AD113" s="47"/>
      <c r="AE113" s="47"/>
      <c r="AF113" s="47"/>
      <c r="AG113" s="44"/>
      <c r="AH113" s="44"/>
      <c r="AI113" s="44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4"/>
      <c r="BB113" s="44"/>
      <c r="BC113" s="44"/>
      <c r="BD113" s="44"/>
      <c r="BE113" s="44"/>
      <c r="BF113" s="48"/>
      <c r="BG113" s="44"/>
      <c r="BH113" s="44"/>
      <c r="BI113" s="44"/>
      <c r="BJ113" s="44"/>
      <c r="BK113" s="44"/>
      <c r="BL113" s="44"/>
      <c r="BM113" s="44"/>
      <c r="BN113" s="44"/>
      <c r="BO113" s="44"/>
      <c r="BP113" s="44"/>
      <c r="BQ113" s="44"/>
      <c r="BR113" s="49"/>
      <c r="BS113" s="44"/>
      <c r="BT113" s="44"/>
      <c r="BU113" s="44"/>
      <c r="BV113" s="49"/>
      <c r="BW113" s="47"/>
      <c r="BX113" s="44"/>
      <c r="BY113" s="44">
        <v>11158</v>
      </c>
      <c r="BZ113" s="44"/>
      <c r="CA113" s="44"/>
      <c r="CB113" s="44"/>
      <c r="CC113" s="44"/>
      <c r="CD113" s="43"/>
      <c r="CE113" s="44"/>
      <c r="CF113" s="44"/>
      <c r="CG113" s="44"/>
      <c r="CH113" s="44"/>
      <c r="CI113" s="44"/>
      <c r="CJ113" s="47"/>
      <c r="CK113" s="44"/>
      <c r="CL113" s="44"/>
      <c r="CM113" s="44"/>
      <c r="CN113" s="44"/>
      <c r="CO113" s="44"/>
      <c r="CP113" s="44"/>
      <c r="CQ113" s="44"/>
      <c r="CR113" s="44"/>
      <c r="CS113" s="44"/>
      <c r="CT113" s="44"/>
      <c r="CU113" s="44"/>
      <c r="CV113" s="44"/>
      <c r="CW113" s="44"/>
      <c r="CX113" s="44"/>
      <c r="CY113" s="44"/>
      <c r="CZ113" s="44"/>
      <c r="DA113" s="44"/>
      <c r="DB113" s="44"/>
      <c r="DC113" s="44"/>
      <c r="DD113" s="44"/>
      <c r="DE113" s="44"/>
      <c r="DF113" s="44"/>
      <c r="DG113" s="44"/>
      <c r="DH113" s="44"/>
      <c r="DI113" s="44"/>
      <c r="DJ113" s="44">
        <v>11158</v>
      </c>
      <c r="DK113" s="44"/>
      <c r="DL113" s="44"/>
      <c r="DM113" s="44"/>
      <c r="DN113" s="44"/>
      <c r="DO113" s="44"/>
      <c r="DP113" s="44"/>
      <c r="DQ113" s="44"/>
      <c r="DR113" s="44"/>
      <c r="DS113" s="44"/>
      <c r="DT113" s="44"/>
      <c r="DU113" s="44"/>
      <c r="DV113" s="44"/>
      <c r="DW113" s="44"/>
      <c r="DX113" s="44"/>
      <c r="DY113" s="44"/>
      <c r="DZ113" s="47"/>
      <c r="EA113" s="47"/>
      <c r="EB113" s="47"/>
    </row>
    <row r="114" spans="3:132" s="411" customFormat="1" ht="27.6">
      <c r="C114" s="402">
        <v>44224</v>
      </c>
      <c r="D114" s="403" t="s">
        <v>759</v>
      </c>
      <c r="E114" s="404" t="s">
        <v>858</v>
      </c>
      <c r="F114" s="405">
        <v>0.45</v>
      </c>
      <c r="G114" s="405">
        <v>0.4548611111111111</v>
      </c>
      <c r="H114" s="406" t="s">
        <v>0</v>
      </c>
      <c r="I114" s="403">
        <v>2</v>
      </c>
      <c r="J114" s="406">
        <v>755</v>
      </c>
      <c r="K114" s="406" t="str">
        <f>VLOOKUP(J114,'[2]Chart of accounts'!A:H,2,FALSE)</f>
        <v>50203010 00</v>
      </c>
      <c r="L114" s="406"/>
      <c r="M114" s="406"/>
      <c r="N114" s="403"/>
      <c r="O114" s="403"/>
      <c r="P114" s="403"/>
      <c r="Q114" s="407" t="s">
        <v>3</v>
      </c>
      <c r="R114" s="407" t="s">
        <v>812</v>
      </c>
      <c r="S114" s="408" t="s">
        <v>2</v>
      </c>
      <c r="T114" s="409" t="s">
        <v>859</v>
      </c>
      <c r="U114" s="409" t="s">
        <v>860</v>
      </c>
      <c r="V114" s="65"/>
      <c r="W114" s="46"/>
      <c r="X114" s="64"/>
      <c r="Y114" s="65">
        <f t="shared" si="4"/>
        <v>0</v>
      </c>
      <c r="Z114" s="45"/>
      <c r="AA114" s="46"/>
      <c r="AB114" s="45"/>
      <c r="AC114" s="45"/>
      <c r="AD114" s="45"/>
      <c r="AE114" s="45"/>
      <c r="AF114" s="45"/>
      <c r="AG114" s="65"/>
      <c r="AH114" s="65"/>
      <c r="AI114" s="6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65"/>
      <c r="BB114" s="65"/>
      <c r="BC114" s="65"/>
      <c r="BD114" s="65"/>
      <c r="BE114" s="65"/>
      <c r="BF114" s="410"/>
      <c r="BG114" s="65"/>
      <c r="BH114" s="65"/>
      <c r="BI114" s="65"/>
      <c r="BJ114" s="65"/>
      <c r="BK114" s="65"/>
      <c r="BL114" s="65"/>
      <c r="BM114" s="65"/>
      <c r="BN114" s="65"/>
      <c r="BO114" s="65"/>
      <c r="BP114" s="65"/>
      <c r="BQ114" s="65"/>
      <c r="BR114" s="64"/>
      <c r="BS114" s="65"/>
      <c r="BT114" s="65"/>
      <c r="BU114" s="65"/>
      <c r="BV114" s="65"/>
      <c r="BW114" s="45"/>
      <c r="BX114" s="65"/>
      <c r="BY114" s="65"/>
      <c r="BZ114" s="65"/>
      <c r="CA114" s="65"/>
      <c r="CB114" s="65"/>
      <c r="CC114" s="65"/>
      <c r="CD114" s="63"/>
      <c r="CE114" s="65"/>
      <c r="CF114" s="65"/>
      <c r="CG114" s="65"/>
      <c r="CH114" s="65"/>
      <c r="CI114" s="65"/>
      <c r="CJ114" s="65"/>
      <c r="CK114" s="65"/>
      <c r="CL114" s="65"/>
      <c r="CM114" s="65"/>
      <c r="CN114" s="65"/>
      <c r="CO114" s="65"/>
      <c r="CP114" s="65"/>
      <c r="CQ114" s="65"/>
      <c r="CR114" s="65"/>
      <c r="CS114" s="65"/>
      <c r="CT114" s="65"/>
      <c r="CU114" s="65"/>
      <c r="CV114" s="65"/>
      <c r="CW114" s="65"/>
      <c r="CX114" s="65"/>
      <c r="CY114" s="65"/>
      <c r="CZ114" s="65"/>
      <c r="DA114" s="65"/>
      <c r="DB114" s="65"/>
      <c r="DC114" s="65"/>
      <c r="DD114" s="65"/>
      <c r="DE114" s="65"/>
      <c r="DF114" s="65"/>
      <c r="DG114" s="65"/>
      <c r="DH114" s="65"/>
      <c r="DI114" s="65"/>
      <c r="DJ114" s="65"/>
      <c r="DK114" s="65"/>
      <c r="DL114" s="65"/>
      <c r="DM114" s="65"/>
      <c r="DN114" s="65"/>
      <c r="DO114" s="65"/>
      <c r="DP114" s="65"/>
      <c r="DQ114" s="65"/>
      <c r="DR114" s="65"/>
      <c r="DS114" s="65"/>
      <c r="DT114" s="65"/>
      <c r="DU114" s="65"/>
      <c r="DV114" s="65"/>
      <c r="DW114" s="65"/>
      <c r="DX114" s="65"/>
      <c r="DY114" s="65"/>
      <c r="DZ114" s="45"/>
      <c r="EA114" s="45"/>
      <c r="EB114" s="45"/>
    </row>
    <row r="115" spans="3:132" s="32" customFormat="1" ht="27.6">
      <c r="C115" s="76">
        <v>44224</v>
      </c>
      <c r="D115" s="34" t="s">
        <v>759</v>
      </c>
      <c r="E115" s="286" t="s">
        <v>861</v>
      </c>
      <c r="F115" s="36">
        <v>0.65416666666666667</v>
      </c>
      <c r="G115" s="36">
        <v>0.6645833333333333</v>
      </c>
      <c r="H115" s="39" t="s">
        <v>0</v>
      </c>
      <c r="I115" s="34">
        <v>1</v>
      </c>
      <c r="J115" s="39">
        <v>706</v>
      </c>
      <c r="K115" s="51" t="str">
        <f>VLOOKUP(J115,'[2]Chart of accounts'!A:H,2,FALSE)</f>
        <v>50101020 00</v>
      </c>
      <c r="L115" s="39"/>
      <c r="M115" s="39"/>
      <c r="N115" s="34"/>
      <c r="O115" s="34"/>
      <c r="P115" s="34"/>
      <c r="Q115" s="53" t="s">
        <v>4</v>
      </c>
      <c r="R115" s="40" t="s">
        <v>862</v>
      </c>
      <c r="S115" s="78" t="s">
        <v>2</v>
      </c>
      <c r="T115" s="42" t="s">
        <v>863</v>
      </c>
      <c r="U115" s="42" t="s">
        <v>864</v>
      </c>
      <c r="V115" s="44">
        <v>43681</v>
      </c>
      <c r="W115" s="52"/>
      <c r="X115" s="44">
        <v>43681</v>
      </c>
      <c r="Y115" s="44">
        <f t="shared" si="4"/>
        <v>0</v>
      </c>
      <c r="Z115" s="45"/>
      <c r="AA115" s="46"/>
      <c r="AB115" s="47"/>
      <c r="AC115" s="47"/>
      <c r="AD115" s="47"/>
      <c r="AE115" s="47"/>
      <c r="AF115" s="47"/>
      <c r="AG115" s="44"/>
      <c r="AH115" s="44"/>
      <c r="AI115" s="44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4"/>
      <c r="BB115" s="44"/>
      <c r="BC115" s="44"/>
      <c r="BD115" s="44"/>
      <c r="BE115" s="44"/>
      <c r="BF115" s="44">
        <v>43681</v>
      </c>
      <c r="BG115" s="44"/>
      <c r="BH115" s="44"/>
      <c r="BI115" s="44"/>
      <c r="BJ115" s="44"/>
      <c r="BK115" s="44"/>
      <c r="BL115" s="44"/>
      <c r="BM115" s="44"/>
      <c r="BN115" s="44"/>
      <c r="BO115" s="44"/>
      <c r="BP115" s="44"/>
      <c r="BQ115" s="44"/>
      <c r="BR115" s="49"/>
      <c r="BS115" s="44"/>
      <c r="BT115" s="44"/>
      <c r="BU115" s="44"/>
      <c r="BV115" s="129"/>
      <c r="BW115" s="47"/>
      <c r="BX115" s="44"/>
      <c r="BY115" s="44">
        <v>43681</v>
      </c>
      <c r="BZ115" s="44"/>
      <c r="CA115" s="44"/>
      <c r="CB115" s="44"/>
      <c r="CC115" s="44"/>
      <c r="CD115" s="43"/>
      <c r="CE115" s="44"/>
      <c r="CF115" s="44"/>
      <c r="CG115" s="44"/>
      <c r="CH115" s="44"/>
      <c r="CI115" s="44"/>
      <c r="CJ115" s="44"/>
      <c r="CK115" s="44"/>
      <c r="CL115" s="44"/>
      <c r="CM115" s="44"/>
      <c r="CN115" s="44"/>
      <c r="CO115" s="44"/>
      <c r="CP115" s="44"/>
      <c r="CQ115" s="44"/>
      <c r="CR115" s="44"/>
      <c r="CS115" s="44"/>
      <c r="CT115" s="44"/>
      <c r="CU115" s="44"/>
      <c r="CV115" s="44"/>
      <c r="CW115" s="44"/>
      <c r="CX115" s="44"/>
      <c r="CY115" s="44"/>
      <c r="CZ115" s="44"/>
      <c r="DA115" s="44"/>
      <c r="DB115" s="44"/>
      <c r="DC115" s="44"/>
      <c r="DD115" s="44"/>
      <c r="DE115" s="44"/>
      <c r="DF115" s="44"/>
      <c r="DG115" s="44"/>
      <c r="DH115" s="44"/>
      <c r="DI115" s="44"/>
      <c r="DJ115" s="44"/>
      <c r="DK115" s="44"/>
      <c r="DL115" s="44"/>
      <c r="DM115" s="44"/>
      <c r="DN115" s="44"/>
      <c r="DO115" s="44"/>
      <c r="DP115" s="44"/>
      <c r="DQ115" s="44"/>
      <c r="DR115" s="44"/>
      <c r="DS115" s="44"/>
      <c r="DT115" s="44"/>
      <c r="DU115" s="44"/>
      <c r="DV115" s="44"/>
      <c r="DW115" s="44"/>
      <c r="DX115" s="44"/>
      <c r="DY115" s="44"/>
      <c r="DZ115" s="47"/>
      <c r="EA115" s="47"/>
      <c r="EB115" s="47"/>
    </row>
    <row r="116" spans="3:132" s="32" customFormat="1" ht="27.6">
      <c r="C116" s="76">
        <v>44224</v>
      </c>
      <c r="D116" s="34" t="s">
        <v>759</v>
      </c>
      <c r="E116" s="286" t="s">
        <v>861</v>
      </c>
      <c r="F116" s="36">
        <v>0.65416666666666667</v>
      </c>
      <c r="G116" s="36">
        <v>0.6645833333333333</v>
      </c>
      <c r="H116" s="39" t="s">
        <v>0</v>
      </c>
      <c r="I116" s="34">
        <v>1</v>
      </c>
      <c r="J116" s="39">
        <v>711</v>
      </c>
      <c r="K116" s="51" t="str">
        <f>VLOOKUP(J116,'[2]Chart of accounts'!A:H,2,FALSE)</f>
        <v>50102010 01</v>
      </c>
      <c r="L116" s="39"/>
      <c r="M116" s="39"/>
      <c r="N116" s="34"/>
      <c r="O116" s="34"/>
      <c r="P116" s="34"/>
      <c r="Q116" s="53" t="s">
        <v>4</v>
      </c>
      <c r="R116" s="40" t="s">
        <v>862</v>
      </c>
      <c r="S116" s="78" t="s">
        <v>2</v>
      </c>
      <c r="T116" s="42" t="s">
        <v>863</v>
      </c>
      <c r="U116" s="42" t="s">
        <v>864</v>
      </c>
      <c r="V116" s="44">
        <v>2000</v>
      </c>
      <c r="W116" s="52"/>
      <c r="X116" s="44">
        <v>2000</v>
      </c>
      <c r="Y116" s="44">
        <f t="shared" si="4"/>
        <v>0</v>
      </c>
      <c r="Z116" s="45"/>
      <c r="AA116" s="46"/>
      <c r="AB116" s="47"/>
      <c r="AC116" s="47"/>
      <c r="AD116" s="47"/>
      <c r="AE116" s="47"/>
      <c r="AF116" s="47"/>
      <c r="AG116" s="44"/>
      <c r="AH116" s="44"/>
      <c r="AI116" s="44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4"/>
      <c r="BB116" s="44"/>
      <c r="BC116" s="44"/>
      <c r="BD116" s="44"/>
      <c r="BE116" s="44"/>
      <c r="BG116" s="44">
        <v>2000</v>
      </c>
      <c r="BH116" s="44"/>
      <c r="BI116" s="44"/>
      <c r="BJ116" s="44"/>
      <c r="BK116" s="44"/>
      <c r="BL116" s="44"/>
      <c r="BM116" s="44"/>
      <c r="BN116" s="44"/>
      <c r="BO116" s="44"/>
      <c r="BP116" s="44"/>
      <c r="BQ116" s="44"/>
      <c r="BR116" s="49"/>
      <c r="BS116" s="44"/>
      <c r="BT116" s="44"/>
      <c r="BU116" s="44"/>
      <c r="BV116" s="129"/>
      <c r="BW116" s="47"/>
      <c r="BX116" s="44"/>
      <c r="BY116" s="44">
        <v>2000</v>
      </c>
      <c r="BZ116" s="44"/>
      <c r="CA116" s="44"/>
      <c r="CB116" s="44"/>
      <c r="CC116" s="44"/>
      <c r="CD116" s="43"/>
      <c r="CE116" s="44"/>
      <c r="CF116" s="44"/>
      <c r="CG116" s="44"/>
      <c r="CH116" s="44"/>
      <c r="CI116" s="44"/>
      <c r="CJ116" s="44"/>
      <c r="CK116" s="44"/>
      <c r="CL116" s="44"/>
      <c r="CM116" s="44"/>
      <c r="CN116" s="44"/>
      <c r="CO116" s="44"/>
      <c r="CP116" s="44"/>
      <c r="CQ116" s="44"/>
      <c r="CR116" s="44"/>
      <c r="CS116" s="44"/>
      <c r="CT116" s="44"/>
      <c r="CU116" s="44"/>
      <c r="CV116" s="44"/>
      <c r="CW116" s="44"/>
      <c r="CX116" s="44"/>
      <c r="CY116" s="44"/>
      <c r="CZ116" s="44"/>
      <c r="DA116" s="44"/>
      <c r="DB116" s="44"/>
      <c r="DC116" s="44"/>
      <c r="DD116" s="44"/>
      <c r="DE116" s="44"/>
      <c r="DF116" s="44"/>
      <c r="DG116" s="44"/>
      <c r="DH116" s="44"/>
      <c r="DI116" s="44"/>
      <c r="DJ116" s="44"/>
      <c r="DK116" s="44"/>
      <c r="DL116" s="44"/>
      <c r="DM116" s="44"/>
      <c r="DN116" s="44"/>
      <c r="DO116" s="44"/>
      <c r="DP116" s="44"/>
      <c r="DQ116" s="44"/>
      <c r="DR116" s="44"/>
      <c r="DS116" s="44"/>
      <c r="DT116" s="44"/>
      <c r="DU116" s="44"/>
      <c r="DV116" s="44"/>
      <c r="DW116" s="44"/>
      <c r="DX116" s="44"/>
      <c r="DY116" s="44"/>
      <c r="DZ116" s="47"/>
      <c r="EA116" s="47"/>
      <c r="EB116" s="47"/>
    </row>
    <row r="117" spans="3:132" s="32" customFormat="1" ht="27.6">
      <c r="C117" s="76">
        <v>44224</v>
      </c>
      <c r="D117" s="34" t="s">
        <v>759</v>
      </c>
      <c r="E117" s="286" t="s">
        <v>861</v>
      </c>
      <c r="F117" s="36">
        <v>0.65416666666666667</v>
      </c>
      <c r="G117" s="36">
        <v>0.6645833333333333</v>
      </c>
      <c r="H117" s="39" t="s">
        <v>0</v>
      </c>
      <c r="I117" s="34">
        <v>1</v>
      </c>
      <c r="J117" s="39">
        <v>731</v>
      </c>
      <c r="K117" s="51" t="str">
        <f>VLOOKUP(J117,'[2]Chart of accounts'!A:H,2,FALSE)</f>
        <v>50103010 00</v>
      </c>
      <c r="L117" s="39"/>
      <c r="M117" s="39"/>
      <c r="N117" s="34"/>
      <c r="O117" s="34"/>
      <c r="P117" s="34"/>
      <c r="Q117" s="53" t="s">
        <v>4</v>
      </c>
      <c r="R117" s="40" t="s">
        <v>862</v>
      </c>
      <c r="S117" s="78" t="s">
        <v>2</v>
      </c>
      <c r="T117" s="42" t="s">
        <v>863</v>
      </c>
      <c r="U117" s="42" t="s">
        <v>864</v>
      </c>
      <c r="V117" s="44">
        <v>5241.72</v>
      </c>
      <c r="W117" s="52"/>
      <c r="X117" s="44">
        <v>5241.72</v>
      </c>
      <c r="Y117" s="44">
        <f t="shared" si="4"/>
        <v>0</v>
      </c>
      <c r="Z117" s="45"/>
      <c r="AA117" s="46"/>
      <c r="AB117" s="47"/>
      <c r="AC117" s="47"/>
      <c r="AD117" s="47"/>
      <c r="AE117" s="47"/>
      <c r="AF117" s="47"/>
      <c r="AG117" s="44"/>
      <c r="AH117" s="44"/>
      <c r="AI117" s="44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4"/>
      <c r="BB117" s="44"/>
      <c r="BC117" s="44"/>
      <c r="BD117" s="44"/>
      <c r="BE117" s="44"/>
      <c r="BF117" s="48"/>
      <c r="BG117" s="44"/>
      <c r="BH117" s="44"/>
      <c r="BI117" s="44"/>
      <c r="BJ117" s="44"/>
      <c r="BK117" s="44"/>
      <c r="BL117" s="44"/>
      <c r="BM117" s="44"/>
      <c r="BN117" s="44"/>
      <c r="BO117" s="44">
        <v>5241.72</v>
      </c>
      <c r="BP117" s="44"/>
      <c r="BQ117" s="44"/>
      <c r="BR117" s="49"/>
      <c r="BS117" s="44"/>
      <c r="BT117" s="44"/>
      <c r="BU117" s="44"/>
      <c r="BV117" s="129"/>
      <c r="BW117" s="47"/>
      <c r="BX117" s="44"/>
      <c r="BY117" s="44">
        <v>5241.72</v>
      </c>
      <c r="BZ117" s="44"/>
      <c r="CA117" s="44"/>
      <c r="CB117" s="44"/>
      <c r="CC117" s="44"/>
      <c r="CD117" s="43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  <c r="CP117" s="44"/>
      <c r="CQ117" s="44"/>
      <c r="CR117" s="44"/>
      <c r="CS117" s="44"/>
      <c r="CT117" s="44"/>
      <c r="CU117" s="44"/>
      <c r="CV117" s="44"/>
      <c r="CW117" s="44"/>
      <c r="CX117" s="44"/>
      <c r="CY117" s="44"/>
      <c r="CZ117" s="44"/>
      <c r="DA117" s="44"/>
      <c r="DB117" s="44"/>
      <c r="DC117" s="44"/>
      <c r="DD117" s="44"/>
      <c r="DE117" s="44"/>
      <c r="DF117" s="44"/>
      <c r="DG117" s="44"/>
      <c r="DH117" s="44"/>
      <c r="DI117" s="44"/>
      <c r="DJ117" s="44"/>
      <c r="DK117" s="44"/>
      <c r="DL117" s="44"/>
      <c r="DM117" s="44"/>
      <c r="DN117" s="44"/>
      <c r="DO117" s="44"/>
      <c r="DP117" s="44"/>
      <c r="DQ117" s="44"/>
      <c r="DR117" s="44"/>
      <c r="DS117" s="44"/>
      <c r="DT117" s="44"/>
      <c r="DU117" s="44"/>
      <c r="DV117" s="44"/>
      <c r="DW117" s="44"/>
      <c r="DX117" s="44"/>
      <c r="DY117" s="44"/>
      <c r="DZ117" s="47"/>
      <c r="EA117" s="47"/>
      <c r="EB117" s="47"/>
    </row>
    <row r="118" spans="3:132" s="32" customFormat="1" ht="27.6">
      <c r="C118" s="76">
        <v>44224</v>
      </c>
      <c r="D118" s="34" t="s">
        <v>759</v>
      </c>
      <c r="E118" s="286" t="s">
        <v>861</v>
      </c>
      <c r="F118" s="36">
        <v>0.65416666666666667</v>
      </c>
      <c r="G118" s="36">
        <v>0.6645833333333333</v>
      </c>
      <c r="H118" s="39" t="s">
        <v>0</v>
      </c>
      <c r="I118" s="34">
        <v>1</v>
      </c>
      <c r="J118" s="39">
        <v>732</v>
      </c>
      <c r="K118" s="51" t="str">
        <f>VLOOKUP(J118,'[2]Chart of accounts'!A:H,2,FALSE)</f>
        <v>50103020 01</v>
      </c>
      <c r="L118" s="39"/>
      <c r="M118" s="39"/>
      <c r="N118" s="34"/>
      <c r="O118" s="34"/>
      <c r="P118" s="34"/>
      <c r="Q118" s="53" t="s">
        <v>4</v>
      </c>
      <c r="R118" s="40" t="s">
        <v>862</v>
      </c>
      <c r="S118" s="78" t="s">
        <v>2</v>
      </c>
      <c r="T118" s="42" t="s">
        <v>863</v>
      </c>
      <c r="U118" s="42" t="s">
        <v>864</v>
      </c>
      <c r="V118" s="44">
        <v>100</v>
      </c>
      <c r="W118" s="52"/>
      <c r="X118" s="44">
        <v>100</v>
      </c>
      <c r="Y118" s="44">
        <f t="shared" si="4"/>
        <v>0</v>
      </c>
      <c r="Z118" s="45"/>
      <c r="AA118" s="46"/>
      <c r="AB118" s="47"/>
      <c r="AC118" s="47"/>
      <c r="AD118" s="47"/>
      <c r="AE118" s="47"/>
      <c r="AF118" s="47"/>
      <c r="AG118" s="44"/>
      <c r="AH118" s="44"/>
      <c r="AI118" s="44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4"/>
      <c r="BB118" s="44"/>
      <c r="BC118" s="44"/>
      <c r="BD118" s="44"/>
      <c r="BE118" s="44"/>
      <c r="BF118" s="48"/>
      <c r="BG118" s="44"/>
      <c r="BH118" s="44"/>
      <c r="BI118" s="44"/>
      <c r="BJ118" s="44"/>
      <c r="BK118" s="44"/>
      <c r="BL118" s="44"/>
      <c r="BM118" s="44"/>
      <c r="BN118" s="44"/>
      <c r="BP118" s="44">
        <v>100</v>
      </c>
      <c r="BQ118" s="44"/>
      <c r="BR118" s="49"/>
      <c r="BS118" s="44"/>
      <c r="BT118" s="44"/>
      <c r="BU118" s="44"/>
      <c r="BV118" s="129"/>
      <c r="BW118" s="47"/>
      <c r="BX118" s="44"/>
      <c r="BY118" s="44">
        <v>100</v>
      </c>
      <c r="BZ118" s="44"/>
      <c r="CA118" s="44"/>
      <c r="CB118" s="44"/>
      <c r="CC118" s="44"/>
      <c r="CD118" s="43"/>
      <c r="CE118" s="44"/>
      <c r="CF118" s="44"/>
      <c r="CG118" s="44"/>
      <c r="CH118" s="44"/>
      <c r="CI118" s="44"/>
      <c r="CJ118" s="44"/>
      <c r="CK118" s="44"/>
      <c r="CL118" s="44"/>
      <c r="CM118" s="44"/>
      <c r="CN118" s="44"/>
      <c r="CO118" s="44"/>
      <c r="CP118" s="44"/>
      <c r="CQ118" s="44"/>
      <c r="CR118" s="44"/>
      <c r="CS118" s="44"/>
      <c r="CT118" s="44"/>
      <c r="CU118" s="44"/>
      <c r="CV118" s="44"/>
      <c r="CW118" s="44"/>
      <c r="CX118" s="44"/>
      <c r="CY118" s="44"/>
      <c r="CZ118" s="44"/>
      <c r="DA118" s="44"/>
      <c r="DB118" s="44"/>
      <c r="DC118" s="44"/>
      <c r="DD118" s="44"/>
      <c r="DE118" s="44"/>
      <c r="DF118" s="44"/>
      <c r="DG118" s="44"/>
      <c r="DH118" s="44"/>
      <c r="DI118" s="44"/>
      <c r="DJ118" s="44"/>
      <c r="DK118" s="44"/>
      <c r="DL118" s="44"/>
      <c r="DM118" s="44"/>
      <c r="DN118" s="44"/>
      <c r="DO118" s="44"/>
      <c r="DP118" s="44"/>
      <c r="DQ118" s="44"/>
      <c r="DR118" s="44"/>
      <c r="DS118" s="44"/>
      <c r="DT118" s="44"/>
      <c r="DU118" s="44"/>
      <c r="DV118" s="44"/>
      <c r="DW118" s="44"/>
      <c r="DX118" s="44"/>
      <c r="DY118" s="44"/>
      <c r="DZ118" s="47"/>
      <c r="EA118" s="47"/>
      <c r="EB118" s="47"/>
    </row>
    <row r="119" spans="3:132" s="32" customFormat="1" ht="27.6">
      <c r="C119" s="76">
        <v>44224</v>
      </c>
      <c r="D119" s="34" t="s">
        <v>759</v>
      </c>
      <c r="E119" s="286" t="s">
        <v>861</v>
      </c>
      <c r="F119" s="36">
        <v>0.65416666666666667</v>
      </c>
      <c r="G119" s="36">
        <v>0.6645833333333333</v>
      </c>
      <c r="H119" s="39" t="s">
        <v>0</v>
      </c>
      <c r="I119" s="34">
        <v>1</v>
      </c>
      <c r="J119" s="39">
        <v>733</v>
      </c>
      <c r="K119" s="51" t="str">
        <f>VLOOKUP(J119,'[2]Chart of accounts'!A:H,2,FALSE)</f>
        <v>50103030 01</v>
      </c>
      <c r="L119" s="39"/>
      <c r="M119" s="39"/>
      <c r="N119" s="34"/>
      <c r="O119" s="34"/>
      <c r="P119" s="34"/>
      <c r="Q119" s="53" t="s">
        <v>4</v>
      </c>
      <c r="R119" s="40" t="s">
        <v>862</v>
      </c>
      <c r="S119" s="78" t="s">
        <v>2</v>
      </c>
      <c r="T119" s="42" t="s">
        <v>863</v>
      </c>
      <c r="U119" s="42" t="s">
        <v>864</v>
      </c>
      <c r="V119" s="44">
        <v>655.22</v>
      </c>
      <c r="W119" s="52"/>
      <c r="X119" s="44">
        <v>655.22</v>
      </c>
      <c r="Y119" s="44">
        <f t="shared" si="4"/>
        <v>0</v>
      </c>
      <c r="Z119" s="45"/>
      <c r="AA119" s="46"/>
      <c r="AB119" s="47"/>
      <c r="AC119" s="47"/>
      <c r="AD119" s="47"/>
      <c r="AE119" s="47"/>
      <c r="AF119" s="47"/>
      <c r="AG119" s="44"/>
      <c r="AH119" s="44"/>
      <c r="AI119" s="44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4"/>
      <c r="BB119" s="44"/>
      <c r="BC119" s="44"/>
      <c r="BD119" s="44"/>
      <c r="BE119" s="44"/>
      <c r="BF119" s="48"/>
      <c r="BG119" s="44"/>
      <c r="BH119" s="44"/>
      <c r="BI119" s="44"/>
      <c r="BJ119" s="44"/>
      <c r="BK119" s="44"/>
      <c r="BL119" s="44"/>
      <c r="BM119" s="44"/>
      <c r="BN119" s="44"/>
      <c r="BO119" s="44"/>
      <c r="BP119" s="44"/>
      <c r="BQ119" s="44">
        <v>655.22</v>
      </c>
      <c r="BR119" s="49"/>
      <c r="BS119" s="44"/>
      <c r="BT119" s="44"/>
      <c r="BU119" s="44"/>
      <c r="BV119" s="129"/>
      <c r="BW119" s="47"/>
      <c r="BX119" s="44"/>
      <c r="BY119" s="44">
        <v>655.22</v>
      </c>
      <c r="BZ119" s="44"/>
      <c r="CA119" s="44"/>
      <c r="CB119" s="44"/>
      <c r="CC119" s="44"/>
      <c r="CD119" s="43"/>
      <c r="CE119" s="44"/>
      <c r="CF119" s="44"/>
      <c r="CG119" s="44"/>
      <c r="CH119" s="44"/>
      <c r="CI119" s="44"/>
      <c r="CJ119" s="44"/>
      <c r="CK119" s="44"/>
      <c r="CL119" s="44"/>
      <c r="CM119" s="44"/>
      <c r="CN119" s="44"/>
      <c r="CO119" s="44"/>
      <c r="CP119" s="44"/>
      <c r="CQ119" s="44"/>
      <c r="CR119" s="44"/>
      <c r="CS119" s="44"/>
      <c r="CT119" s="44"/>
      <c r="CU119" s="44"/>
      <c r="CV119" s="44"/>
      <c r="CW119" s="44"/>
      <c r="CX119" s="44"/>
      <c r="CY119" s="44"/>
      <c r="CZ119" s="44"/>
      <c r="DA119" s="44"/>
      <c r="DB119" s="44"/>
      <c r="DC119" s="44"/>
      <c r="DD119" s="44"/>
      <c r="DE119" s="44"/>
      <c r="DF119" s="44"/>
      <c r="DG119" s="44"/>
      <c r="DH119" s="44"/>
      <c r="DI119" s="44"/>
      <c r="DJ119" s="44"/>
      <c r="DK119" s="44"/>
      <c r="DL119" s="44"/>
      <c r="DM119" s="44"/>
      <c r="DN119" s="44"/>
      <c r="DO119" s="44"/>
      <c r="DP119" s="44"/>
      <c r="DQ119" s="44"/>
      <c r="DR119" s="44"/>
      <c r="DS119" s="44"/>
      <c r="DT119" s="44"/>
      <c r="DU119" s="44"/>
      <c r="DV119" s="44"/>
      <c r="DW119" s="44"/>
      <c r="DX119" s="44"/>
      <c r="DY119" s="44"/>
      <c r="DZ119" s="47"/>
      <c r="EA119" s="47"/>
      <c r="EB119" s="47"/>
    </row>
    <row r="120" spans="3:132" s="32" customFormat="1" ht="27.6">
      <c r="C120" s="76">
        <v>44224</v>
      </c>
      <c r="D120" s="34" t="s">
        <v>759</v>
      </c>
      <c r="E120" s="286" t="s">
        <v>861</v>
      </c>
      <c r="F120" s="36">
        <v>0.65416666666666667</v>
      </c>
      <c r="G120" s="36">
        <v>0.6645833333333333</v>
      </c>
      <c r="H120" s="39" t="s">
        <v>0</v>
      </c>
      <c r="I120" s="34">
        <v>1</v>
      </c>
      <c r="J120" s="39">
        <v>734</v>
      </c>
      <c r="K120" s="51" t="str">
        <f>VLOOKUP(J120,'[2]Chart of accounts'!A:H,2,FALSE)</f>
        <v>50103040 01</v>
      </c>
      <c r="L120" s="39"/>
      <c r="M120" s="39"/>
      <c r="N120" s="34"/>
      <c r="O120" s="34"/>
      <c r="P120" s="34"/>
      <c r="Q120" s="53" t="s">
        <v>4</v>
      </c>
      <c r="R120" s="40" t="s">
        <v>862</v>
      </c>
      <c r="S120" s="78" t="s">
        <v>2</v>
      </c>
      <c r="T120" s="42" t="s">
        <v>863</v>
      </c>
      <c r="U120" s="42" t="s">
        <v>864</v>
      </c>
      <c r="V120" s="44">
        <v>100</v>
      </c>
      <c r="W120" s="52"/>
      <c r="X120" s="44">
        <v>100</v>
      </c>
      <c r="Y120" s="44">
        <f t="shared" si="4"/>
        <v>0</v>
      </c>
      <c r="Z120" s="45"/>
      <c r="AA120" s="46"/>
      <c r="AB120" s="47"/>
      <c r="AC120" s="47"/>
      <c r="AD120" s="47"/>
      <c r="AE120" s="47"/>
      <c r="AF120" s="47"/>
      <c r="AG120" s="44"/>
      <c r="AH120" s="44"/>
      <c r="AI120" s="44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4"/>
      <c r="BB120" s="44"/>
      <c r="BC120" s="44"/>
      <c r="BD120" s="44"/>
      <c r="BE120" s="44"/>
      <c r="BF120" s="48"/>
      <c r="BG120" s="44"/>
      <c r="BH120" s="44"/>
      <c r="BI120" s="44"/>
      <c r="BJ120" s="44"/>
      <c r="BK120" s="44"/>
      <c r="BL120" s="44"/>
      <c r="BM120" s="44"/>
      <c r="BN120" s="44"/>
      <c r="BO120" s="44"/>
      <c r="BP120" s="44"/>
      <c r="BR120" s="44">
        <v>100</v>
      </c>
      <c r="BS120" s="44"/>
      <c r="BT120" s="44"/>
      <c r="BU120" s="44"/>
      <c r="BV120" s="129"/>
      <c r="BW120" s="47"/>
      <c r="BX120" s="44"/>
      <c r="BY120" s="44">
        <v>100</v>
      </c>
      <c r="BZ120" s="44"/>
      <c r="CA120" s="44"/>
      <c r="CB120" s="44"/>
      <c r="CC120" s="44"/>
      <c r="CD120" s="43"/>
      <c r="CE120" s="44"/>
      <c r="CF120" s="44"/>
      <c r="CG120" s="44"/>
      <c r="CH120" s="44"/>
      <c r="CI120" s="44"/>
      <c r="CJ120" s="44"/>
      <c r="CK120" s="44"/>
      <c r="CL120" s="44"/>
      <c r="CM120" s="44"/>
      <c r="CN120" s="44"/>
      <c r="CO120" s="44"/>
      <c r="CP120" s="44"/>
      <c r="CQ120" s="44"/>
      <c r="CR120" s="44"/>
      <c r="CS120" s="44"/>
      <c r="CT120" s="44"/>
      <c r="CU120" s="44"/>
      <c r="CV120" s="44"/>
      <c r="CW120" s="44"/>
      <c r="CX120" s="44"/>
      <c r="CY120" s="44"/>
      <c r="CZ120" s="44"/>
      <c r="DA120" s="44"/>
      <c r="DB120" s="44"/>
      <c r="DC120" s="44"/>
      <c r="DD120" s="44"/>
      <c r="DE120" s="44"/>
      <c r="DF120" s="44"/>
      <c r="DG120" s="44"/>
      <c r="DH120" s="44"/>
      <c r="DI120" s="44"/>
      <c r="DJ120" s="44"/>
      <c r="DK120" s="44"/>
      <c r="DL120" s="44"/>
      <c r="DM120" s="44"/>
      <c r="DN120" s="44"/>
      <c r="DO120" s="44"/>
      <c r="DP120" s="44"/>
      <c r="DQ120" s="44"/>
      <c r="DR120" s="44"/>
      <c r="DS120" s="44"/>
      <c r="DT120" s="44"/>
      <c r="DU120" s="44"/>
      <c r="DV120" s="44"/>
      <c r="DW120" s="44"/>
      <c r="DX120" s="44"/>
      <c r="DY120" s="44"/>
      <c r="DZ120" s="47"/>
      <c r="EA120" s="47"/>
      <c r="EB120" s="47"/>
    </row>
    <row r="121" spans="3:132" s="32" customFormat="1" ht="27.6">
      <c r="C121" s="76">
        <v>44224</v>
      </c>
      <c r="D121" s="34" t="s">
        <v>759</v>
      </c>
      <c r="E121" s="286" t="s">
        <v>865</v>
      </c>
      <c r="F121" s="36">
        <v>0.6645833333333333</v>
      </c>
      <c r="G121" s="36">
        <v>0.66666666666666663</v>
      </c>
      <c r="H121" s="39" t="s">
        <v>0</v>
      </c>
      <c r="I121" s="34">
        <v>1</v>
      </c>
      <c r="J121" s="39">
        <v>706</v>
      </c>
      <c r="K121" s="51" t="str">
        <f>VLOOKUP(J121,'[2]Chart of accounts'!A:H,2,FALSE)</f>
        <v>50101020 00</v>
      </c>
      <c r="L121" s="39"/>
      <c r="M121" s="39"/>
      <c r="N121" s="34"/>
      <c r="O121" s="34"/>
      <c r="P121" s="34"/>
      <c r="Q121" s="53" t="s">
        <v>4</v>
      </c>
      <c r="R121" s="40" t="s">
        <v>862</v>
      </c>
      <c r="S121" s="41" t="s">
        <v>788</v>
      </c>
      <c r="T121" s="42" t="s">
        <v>789</v>
      </c>
      <c r="U121" s="42" t="s">
        <v>864</v>
      </c>
      <c r="V121" s="44">
        <v>77256</v>
      </c>
      <c r="W121" s="52"/>
      <c r="X121" s="44">
        <v>77256</v>
      </c>
      <c r="Y121" s="44">
        <f t="shared" ref="Y121:Y126" si="7">+V121-X121</f>
        <v>0</v>
      </c>
      <c r="Z121" s="45"/>
      <c r="AA121" s="46"/>
      <c r="AB121" s="47"/>
      <c r="AC121" s="47"/>
      <c r="AD121" s="47"/>
      <c r="AE121" s="47"/>
      <c r="AF121" s="47"/>
      <c r="AG121" s="44"/>
      <c r="AH121" s="44"/>
      <c r="AI121" s="44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4"/>
      <c r="BB121" s="44"/>
      <c r="BC121" s="44"/>
      <c r="BD121" s="44"/>
      <c r="BE121" s="44"/>
      <c r="BF121" s="44">
        <v>77256</v>
      </c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9"/>
      <c r="BS121" s="44"/>
      <c r="BT121" s="44"/>
      <c r="BU121" s="44"/>
      <c r="BV121" s="129"/>
      <c r="BW121" s="47"/>
      <c r="BX121" s="44"/>
      <c r="BY121" s="44">
        <v>77256</v>
      </c>
      <c r="BZ121" s="44"/>
      <c r="CA121" s="44"/>
      <c r="CB121" s="44"/>
      <c r="CC121" s="44"/>
      <c r="CD121" s="43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  <c r="CV121" s="44"/>
      <c r="CW121" s="44"/>
      <c r="CX121" s="44"/>
      <c r="CY121" s="44"/>
      <c r="CZ121" s="44"/>
      <c r="DA121" s="44"/>
      <c r="DB121" s="44"/>
      <c r="DC121" s="44"/>
      <c r="DD121" s="44"/>
      <c r="DE121" s="44"/>
      <c r="DF121" s="44"/>
      <c r="DG121" s="44"/>
      <c r="DH121" s="44"/>
      <c r="DI121" s="44"/>
      <c r="DJ121" s="44"/>
      <c r="DK121" s="44"/>
      <c r="DL121" s="44"/>
      <c r="DM121" s="44"/>
      <c r="DN121" s="44"/>
      <c r="DO121" s="44"/>
      <c r="DP121" s="44"/>
      <c r="DQ121" s="44"/>
      <c r="DR121" s="44"/>
      <c r="DS121" s="44"/>
      <c r="DT121" s="44"/>
      <c r="DU121" s="44"/>
      <c r="DV121" s="44"/>
      <c r="DW121" s="44"/>
      <c r="DX121" s="44"/>
      <c r="DY121" s="44"/>
      <c r="DZ121" s="47"/>
      <c r="EA121" s="47"/>
      <c r="EB121" s="47"/>
    </row>
    <row r="122" spans="3:132" s="32" customFormat="1" ht="27.6">
      <c r="C122" s="76">
        <v>44224</v>
      </c>
      <c r="D122" s="34" t="s">
        <v>759</v>
      </c>
      <c r="E122" s="286" t="s">
        <v>865</v>
      </c>
      <c r="F122" s="36">
        <v>0.6645833333333333</v>
      </c>
      <c r="G122" s="36">
        <v>0.66666666666666663</v>
      </c>
      <c r="H122" s="39" t="s">
        <v>0</v>
      </c>
      <c r="I122" s="34">
        <v>1</v>
      </c>
      <c r="J122" s="39">
        <v>711</v>
      </c>
      <c r="K122" s="51" t="str">
        <f>VLOOKUP(J122,'[2]Chart of accounts'!A:H,2,FALSE)</f>
        <v>50102010 01</v>
      </c>
      <c r="L122" s="39"/>
      <c r="M122" s="39"/>
      <c r="N122" s="34"/>
      <c r="O122" s="34"/>
      <c r="P122" s="34"/>
      <c r="Q122" s="53" t="s">
        <v>4</v>
      </c>
      <c r="R122" s="40" t="s">
        <v>862</v>
      </c>
      <c r="S122" s="41" t="s">
        <v>788</v>
      </c>
      <c r="T122" s="42" t="s">
        <v>789</v>
      </c>
      <c r="U122" s="42" t="s">
        <v>864</v>
      </c>
      <c r="V122" s="44">
        <v>4000</v>
      </c>
      <c r="W122" s="52"/>
      <c r="X122" s="44">
        <v>4000</v>
      </c>
      <c r="Y122" s="44">
        <f t="shared" si="7"/>
        <v>0</v>
      </c>
      <c r="Z122" s="45"/>
      <c r="AA122" s="46"/>
      <c r="AB122" s="47"/>
      <c r="AC122" s="47"/>
      <c r="AD122" s="47"/>
      <c r="AE122" s="47"/>
      <c r="AF122" s="47"/>
      <c r="AG122" s="44"/>
      <c r="AH122" s="44"/>
      <c r="AI122" s="44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4"/>
      <c r="BB122" s="44"/>
      <c r="BC122" s="44"/>
      <c r="BD122" s="44"/>
      <c r="BE122" s="44"/>
      <c r="BG122" s="44">
        <v>4000</v>
      </c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9"/>
      <c r="BS122" s="44"/>
      <c r="BT122" s="44"/>
      <c r="BU122" s="44"/>
      <c r="BV122" s="129"/>
      <c r="BW122" s="47"/>
      <c r="BX122" s="44"/>
      <c r="BY122" s="44">
        <v>4000</v>
      </c>
      <c r="BZ122" s="44"/>
      <c r="CA122" s="44"/>
      <c r="CB122" s="44"/>
      <c r="CC122" s="44"/>
      <c r="CD122" s="43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  <c r="CV122" s="44"/>
      <c r="CW122" s="44"/>
      <c r="CX122" s="44"/>
      <c r="CY122" s="44"/>
      <c r="CZ122" s="44"/>
      <c r="DA122" s="44"/>
      <c r="DB122" s="44"/>
      <c r="DC122" s="44"/>
      <c r="DD122" s="44"/>
      <c r="DE122" s="44"/>
      <c r="DF122" s="44"/>
      <c r="DG122" s="44"/>
      <c r="DH122" s="44"/>
      <c r="DI122" s="44"/>
      <c r="DJ122" s="44"/>
      <c r="DK122" s="44"/>
      <c r="DL122" s="44"/>
      <c r="DM122" s="44"/>
      <c r="DN122" s="44"/>
      <c r="DO122" s="44"/>
      <c r="DP122" s="44"/>
      <c r="DQ122" s="44"/>
      <c r="DR122" s="44"/>
      <c r="DS122" s="44"/>
      <c r="DT122" s="44"/>
      <c r="DU122" s="44"/>
      <c r="DV122" s="44"/>
      <c r="DW122" s="44"/>
      <c r="DX122" s="44"/>
      <c r="DY122" s="44"/>
      <c r="DZ122" s="47"/>
      <c r="EA122" s="47"/>
      <c r="EB122" s="47"/>
    </row>
    <row r="123" spans="3:132" s="32" customFormat="1" ht="27.6">
      <c r="C123" s="76">
        <v>44224</v>
      </c>
      <c r="D123" s="34" t="s">
        <v>759</v>
      </c>
      <c r="E123" s="286" t="s">
        <v>865</v>
      </c>
      <c r="F123" s="36">
        <v>0.6645833333333333</v>
      </c>
      <c r="G123" s="36">
        <v>0.66666666666666663</v>
      </c>
      <c r="H123" s="39" t="s">
        <v>0</v>
      </c>
      <c r="I123" s="34">
        <v>1</v>
      </c>
      <c r="J123" s="39">
        <v>731</v>
      </c>
      <c r="K123" s="51" t="str">
        <f>VLOOKUP(J123,'[2]Chart of accounts'!A:H,2,FALSE)</f>
        <v>50103010 00</v>
      </c>
      <c r="L123" s="39"/>
      <c r="M123" s="39"/>
      <c r="N123" s="34"/>
      <c r="O123" s="34"/>
      <c r="P123" s="34"/>
      <c r="Q123" s="53" t="s">
        <v>4</v>
      </c>
      <c r="R123" s="40" t="s">
        <v>862</v>
      </c>
      <c r="S123" s="41" t="s">
        <v>788</v>
      </c>
      <c r="T123" s="42" t="s">
        <v>789</v>
      </c>
      <c r="U123" s="42" t="s">
        <v>864</v>
      </c>
      <c r="V123" s="44">
        <v>9270.7199999999993</v>
      </c>
      <c r="W123" s="52"/>
      <c r="X123" s="44">
        <v>9270.7199999999993</v>
      </c>
      <c r="Y123" s="44">
        <f t="shared" si="7"/>
        <v>0</v>
      </c>
      <c r="Z123" s="45"/>
      <c r="AA123" s="46"/>
      <c r="AB123" s="47"/>
      <c r="AC123" s="47"/>
      <c r="AD123" s="47"/>
      <c r="AE123" s="47"/>
      <c r="AF123" s="47"/>
      <c r="AG123" s="44"/>
      <c r="AH123" s="44"/>
      <c r="AI123" s="44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4"/>
      <c r="BB123" s="44"/>
      <c r="BC123" s="44"/>
      <c r="BD123" s="44"/>
      <c r="BE123" s="44"/>
      <c r="BF123" s="48"/>
      <c r="BG123" s="44"/>
      <c r="BH123" s="44"/>
      <c r="BI123" s="44"/>
      <c r="BJ123" s="44"/>
      <c r="BK123" s="44"/>
      <c r="BL123" s="44"/>
      <c r="BM123" s="44"/>
      <c r="BN123" s="44"/>
      <c r="BO123" s="44">
        <v>9270.7199999999993</v>
      </c>
      <c r="BP123" s="44"/>
      <c r="BQ123" s="44"/>
      <c r="BR123" s="49"/>
      <c r="BS123" s="44"/>
      <c r="BT123" s="44"/>
      <c r="BU123" s="44"/>
      <c r="BV123" s="129"/>
      <c r="BW123" s="47"/>
      <c r="BX123" s="44"/>
      <c r="BY123" s="44">
        <v>9270.7199999999993</v>
      </c>
      <c r="BZ123" s="44"/>
      <c r="CA123" s="44"/>
      <c r="CB123" s="44"/>
      <c r="CC123" s="44"/>
      <c r="CD123" s="43"/>
      <c r="CE123" s="44"/>
      <c r="CF123" s="44"/>
      <c r="CG123" s="44"/>
      <c r="CH123" s="44"/>
      <c r="CI123" s="44"/>
      <c r="CJ123" s="44"/>
      <c r="CK123" s="44"/>
      <c r="CL123" s="44"/>
      <c r="CM123" s="44"/>
      <c r="CN123" s="44"/>
      <c r="CO123" s="44"/>
      <c r="CP123" s="44"/>
      <c r="CQ123" s="44"/>
      <c r="CR123" s="44"/>
      <c r="CS123" s="44"/>
      <c r="CT123" s="44"/>
      <c r="CU123" s="44"/>
      <c r="CV123" s="44"/>
      <c r="CW123" s="44"/>
      <c r="CX123" s="44"/>
      <c r="CY123" s="44"/>
      <c r="CZ123" s="44"/>
      <c r="DA123" s="44"/>
      <c r="DB123" s="44"/>
      <c r="DC123" s="44"/>
      <c r="DD123" s="44"/>
      <c r="DE123" s="44"/>
      <c r="DF123" s="44"/>
      <c r="DG123" s="44"/>
      <c r="DH123" s="44"/>
      <c r="DI123" s="44"/>
      <c r="DJ123" s="44"/>
      <c r="DK123" s="44"/>
      <c r="DL123" s="44"/>
      <c r="DM123" s="44"/>
      <c r="DN123" s="44"/>
      <c r="DO123" s="44"/>
      <c r="DP123" s="44"/>
      <c r="DQ123" s="44"/>
      <c r="DR123" s="44"/>
      <c r="DS123" s="44"/>
      <c r="DT123" s="44"/>
      <c r="DU123" s="44"/>
      <c r="DV123" s="44"/>
      <c r="DW123" s="44"/>
      <c r="DX123" s="44"/>
      <c r="DY123" s="44"/>
      <c r="DZ123" s="47"/>
      <c r="EA123" s="47"/>
      <c r="EB123" s="47"/>
    </row>
    <row r="124" spans="3:132" s="32" customFormat="1" ht="27.6">
      <c r="C124" s="76">
        <v>44224</v>
      </c>
      <c r="D124" s="34" t="s">
        <v>759</v>
      </c>
      <c r="E124" s="286" t="s">
        <v>865</v>
      </c>
      <c r="F124" s="36">
        <v>0.6645833333333333</v>
      </c>
      <c r="G124" s="36">
        <v>0.66666666666666663</v>
      </c>
      <c r="H124" s="39" t="s">
        <v>0</v>
      </c>
      <c r="I124" s="34">
        <v>1</v>
      </c>
      <c r="J124" s="39">
        <v>732</v>
      </c>
      <c r="K124" s="51" t="str">
        <f>VLOOKUP(J124,'[2]Chart of accounts'!A:H,2,FALSE)</f>
        <v>50103020 01</v>
      </c>
      <c r="L124" s="39"/>
      <c r="M124" s="39"/>
      <c r="N124" s="34"/>
      <c r="O124" s="34"/>
      <c r="P124" s="34"/>
      <c r="Q124" s="53" t="s">
        <v>4</v>
      </c>
      <c r="R124" s="40" t="s">
        <v>862</v>
      </c>
      <c r="S124" s="41" t="s">
        <v>788</v>
      </c>
      <c r="T124" s="42" t="s">
        <v>789</v>
      </c>
      <c r="U124" s="42" t="s">
        <v>864</v>
      </c>
      <c r="V124" s="44">
        <v>200</v>
      </c>
      <c r="W124" s="52"/>
      <c r="X124" s="44">
        <v>200</v>
      </c>
      <c r="Y124" s="44">
        <f t="shared" si="7"/>
        <v>0</v>
      </c>
      <c r="Z124" s="45"/>
      <c r="AA124" s="46"/>
      <c r="AB124" s="47"/>
      <c r="AC124" s="47"/>
      <c r="AD124" s="47"/>
      <c r="AE124" s="47"/>
      <c r="AF124" s="47"/>
      <c r="AG124" s="44"/>
      <c r="AH124" s="44"/>
      <c r="AI124" s="44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4"/>
      <c r="BB124" s="44"/>
      <c r="BC124" s="44"/>
      <c r="BD124" s="44"/>
      <c r="BE124" s="44"/>
      <c r="BF124" s="48"/>
      <c r="BG124" s="44"/>
      <c r="BH124" s="44"/>
      <c r="BI124" s="44"/>
      <c r="BJ124" s="44"/>
      <c r="BK124" s="44"/>
      <c r="BL124" s="44"/>
      <c r="BM124" s="44"/>
      <c r="BN124" s="44"/>
      <c r="BP124" s="44">
        <v>200</v>
      </c>
      <c r="BQ124" s="44"/>
      <c r="BR124" s="49"/>
      <c r="BS124" s="44"/>
      <c r="BT124" s="44"/>
      <c r="BU124" s="44"/>
      <c r="BV124" s="129"/>
      <c r="BW124" s="47"/>
      <c r="BX124" s="44"/>
      <c r="BY124" s="44">
        <v>200</v>
      </c>
      <c r="BZ124" s="44"/>
      <c r="CA124" s="44"/>
      <c r="CB124" s="44"/>
      <c r="CC124" s="44"/>
      <c r="CD124" s="43"/>
      <c r="CE124" s="44"/>
      <c r="CF124" s="44"/>
      <c r="CG124" s="44"/>
      <c r="CH124" s="44"/>
      <c r="CI124" s="44"/>
      <c r="CJ124" s="44"/>
      <c r="CK124" s="44"/>
      <c r="CL124" s="44"/>
      <c r="CM124" s="44"/>
      <c r="CN124" s="44"/>
      <c r="CO124" s="44"/>
      <c r="CP124" s="44"/>
      <c r="CQ124" s="44"/>
      <c r="CR124" s="44"/>
      <c r="CS124" s="44"/>
      <c r="CT124" s="44"/>
      <c r="CU124" s="44"/>
      <c r="CV124" s="44"/>
      <c r="CW124" s="44"/>
      <c r="CX124" s="44"/>
      <c r="CY124" s="44"/>
      <c r="CZ124" s="44"/>
      <c r="DA124" s="44"/>
      <c r="DB124" s="44"/>
      <c r="DC124" s="44"/>
      <c r="DD124" s="44"/>
      <c r="DE124" s="44"/>
      <c r="DF124" s="44"/>
      <c r="DG124" s="44"/>
      <c r="DH124" s="44"/>
      <c r="DI124" s="44"/>
      <c r="DJ124" s="44"/>
      <c r="DK124" s="44"/>
      <c r="DL124" s="44"/>
      <c r="DM124" s="44"/>
      <c r="DN124" s="44"/>
      <c r="DO124" s="44"/>
      <c r="DP124" s="44"/>
      <c r="DQ124" s="44"/>
      <c r="DR124" s="44"/>
      <c r="DS124" s="44"/>
      <c r="DT124" s="44"/>
      <c r="DU124" s="44"/>
      <c r="DV124" s="44"/>
      <c r="DW124" s="44"/>
      <c r="DX124" s="44"/>
      <c r="DY124" s="44"/>
      <c r="DZ124" s="47"/>
      <c r="EA124" s="47"/>
      <c r="EB124" s="47"/>
    </row>
    <row r="125" spans="3:132" s="32" customFormat="1" ht="27.6">
      <c r="C125" s="76">
        <v>44224</v>
      </c>
      <c r="D125" s="34" t="s">
        <v>759</v>
      </c>
      <c r="E125" s="286" t="s">
        <v>865</v>
      </c>
      <c r="F125" s="36">
        <v>0.6645833333333333</v>
      </c>
      <c r="G125" s="36">
        <v>0.66666666666666663</v>
      </c>
      <c r="H125" s="39" t="s">
        <v>0</v>
      </c>
      <c r="I125" s="34">
        <v>1</v>
      </c>
      <c r="J125" s="39">
        <v>733</v>
      </c>
      <c r="K125" s="51" t="str">
        <f>VLOOKUP(J125,'[2]Chart of accounts'!A:H,2,FALSE)</f>
        <v>50103030 01</v>
      </c>
      <c r="L125" s="39"/>
      <c r="M125" s="39"/>
      <c r="N125" s="34"/>
      <c r="O125" s="34"/>
      <c r="P125" s="34"/>
      <c r="Q125" s="53" t="s">
        <v>4</v>
      </c>
      <c r="R125" s="40" t="s">
        <v>862</v>
      </c>
      <c r="S125" s="41" t="s">
        <v>788</v>
      </c>
      <c r="T125" s="42" t="s">
        <v>789</v>
      </c>
      <c r="U125" s="42" t="s">
        <v>864</v>
      </c>
      <c r="V125" s="44">
        <v>1158.8499999999999</v>
      </c>
      <c r="W125" s="52"/>
      <c r="X125" s="44">
        <v>1158.8499999999999</v>
      </c>
      <c r="Y125" s="44">
        <f t="shared" si="7"/>
        <v>0</v>
      </c>
      <c r="Z125" s="45"/>
      <c r="AA125" s="46"/>
      <c r="AB125" s="47"/>
      <c r="AC125" s="47"/>
      <c r="AD125" s="47"/>
      <c r="AE125" s="47"/>
      <c r="AF125" s="47"/>
      <c r="AG125" s="44"/>
      <c r="AH125" s="44"/>
      <c r="AI125" s="44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4"/>
      <c r="BB125" s="44"/>
      <c r="BC125" s="44"/>
      <c r="BD125" s="44"/>
      <c r="BE125" s="44"/>
      <c r="BF125" s="48"/>
      <c r="BG125" s="44"/>
      <c r="BH125" s="44"/>
      <c r="BI125" s="44"/>
      <c r="BJ125" s="44"/>
      <c r="BK125" s="44"/>
      <c r="BL125" s="44"/>
      <c r="BM125" s="44"/>
      <c r="BN125" s="44"/>
      <c r="BO125" s="44"/>
      <c r="BP125" s="44"/>
      <c r="BQ125" s="44">
        <v>1158.8499999999999</v>
      </c>
      <c r="BR125" s="49"/>
      <c r="BS125" s="44"/>
      <c r="BT125" s="44"/>
      <c r="BU125" s="44"/>
      <c r="BV125" s="129"/>
      <c r="BW125" s="47"/>
      <c r="BX125" s="44"/>
      <c r="BY125" s="44">
        <v>1158.8499999999999</v>
      </c>
      <c r="BZ125" s="44"/>
      <c r="CA125" s="44"/>
      <c r="CB125" s="44"/>
      <c r="CC125" s="44"/>
      <c r="CD125" s="43"/>
      <c r="CE125" s="44"/>
      <c r="CF125" s="44"/>
      <c r="CG125" s="44"/>
      <c r="CH125" s="44"/>
      <c r="CI125" s="44"/>
      <c r="CJ125" s="44"/>
      <c r="CK125" s="44"/>
      <c r="CL125" s="44"/>
      <c r="CM125" s="44"/>
      <c r="CN125" s="44"/>
      <c r="CO125" s="44"/>
      <c r="CP125" s="44"/>
      <c r="CQ125" s="44"/>
      <c r="CR125" s="44"/>
      <c r="CS125" s="44"/>
      <c r="CT125" s="44"/>
      <c r="CU125" s="44"/>
      <c r="CV125" s="44"/>
      <c r="CW125" s="44"/>
      <c r="CX125" s="44"/>
      <c r="CY125" s="44"/>
      <c r="CZ125" s="44"/>
      <c r="DA125" s="44"/>
      <c r="DB125" s="44"/>
      <c r="DC125" s="44"/>
      <c r="DD125" s="44"/>
      <c r="DE125" s="44"/>
      <c r="DF125" s="44"/>
      <c r="DG125" s="44"/>
      <c r="DH125" s="44"/>
      <c r="DI125" s="44"/>
      <c r="DJ125" s="44"/>
      <c r="DK125" s="44"/>
      <c r="DL125" s="44"/>
      <c r="DM125" s="44"/>
      <c r="DN125" s="44"/>
      <c r="DO125" s="44"/>
      <c r="DP125" s="44"/>
      <c r="DQ125" s="44"/>
      <c r="DR125" s="44"/>
      <c r="DS125" s="44"/>
      <c r="DT125" s="44"/>
      <c r="DU125" s="44"/>
      <c r="DV125" s="44"/>
      <c r="DW125" s="44"/>
      <c r="DX125" s="44"/>
      <c r="DY125" s="44"/>
      <c r="DZ125" s="47"/>
      <c r="EA125" s="47"/>
      <c r="EB125" s="47"/>
    </row>
    <row r="126" spans="3:132" s="32" customFormat="1" ht="27.6">
      <c r="C126" s="76">
        <v>44224</v>
      </c>
      <c r="D126" s="34" t="s">
        <v>759</v>
      </c>
      <c r="E126" s="286" t="s">
        <v>865</v>
      </c>
      <c r="F126" s="36">
        <v>0.6645833333333333</v>
      </c>
      <c r="G126" s="36">
        <v>0.66666666666666663</v>
      </c>
      <c r="H126" s="39" t="s">
        <v>0</v>
      </c>
      <c r="I126" s="34">
        <v>1</v>
      </c>
      <c r="J126" s="39">
        <v>734</v>
      </c>
      <c r="K126" s="51" t="str">
        <f>VLOOKUP(J126,'[2]Chart of accounts'!A:H,2,FALSE)</f>
        <v>50103040 01</v>
      </c>
      <c r="L126" s="39"/>
      <c r="M126" s="39"/>
      <c r="N126" s="34"/>
      <c r="O126" s="34"/>
      <c r="P126" s="34"/>
      <c r="Q126" s="53" t="s">
        <v>4</v>
      </c>
      <c r="R126" s="40" t="s">
        <v>862</v>
      </c>
      <c r="S126" s="41" t="s">
        <v>788</v>
      </c>
      <c r="T126" s="42" t="s">
        <v>789</v>
      </c>
      <c r="U126" s="42" t="s">
        <v>864</v>
      </c>
      <c r="V126" s="44">
        <v>200</v>
      </c>
      <c r="W126" s="52"/>
      <c r="X126" s="44">
        <v>200</v>
      </c>
      <c r="Y126" s="44">
        <f t="shared" si="7"/>
        <v>0</v>
      </c>
      <c r="Z126" s="45"/>
      <c r="AA126" s="46"/>
      <c r="AB126" s="47"/>
      <c r="AC126" s="47"/>
      <c r="AD126" s="47"/>
      <c r="AE126" s="47"/>
      <c r="AF126" s="47"/>
      <c r="AG126" s="44"/>
      <c r="AH126" s="44"/>
      <c r="AI126" s="44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4"/>
      <c r="BB126" s="44"/>
      <c r="BC126" s="44"/>
      <c r="BD126" s="44"/>
      <c r="BE126" s="44"/>
      <c r="BF126" s="48"/>
      <c r="BG126" s="44"/>
      <c r="BH126" s="44"/>
      <c r="BI126" s="44"/>
      <c r="BJ126" s="44"/>
      <c r="BK126" s="44"/>
      <c r="BL126" s="44"/>
      <c r="BM126" s="44"/>
      <c r="BN126" s="44"/>
      <c r="BO126" s="44"/>
      <c r="BP126" s="44"/>
      <c r="BR126" s="44">
        <v>200</v>
      </c>
      <c r="BS126" s="44"/>
      <c r="BT126" s="44"/>
      <c r="BU126" s="44"/>
      <c r="BV126" s="129"/>
      <c r="BW126" s="47"/>
      <c r="BX126" s="44"/>
      <c r="BY126" s="44">
        <v>200</v>
      </c>
      <c r="BZ126" s="44"/>
      <c r="CA126" s="44"/>
      <c r="CB126" s="44"/>
      <c r="CC126" s="44"/>
      <c r="CD126" s="43"/>
      <c r="CE126" s="44"/>
      <c r="CF126" s="44"/>
      <c r="CG126" s="44"/>
      <c r="CH126" s="44"/>
      <c r="CI126" s="44"/>
      <c r="CJ126" s="44"/>
      <c r="CK126" s="44"/>
      <c r="CL126" s="44"/>
      <c r="CM126" s="44"/>
      <c r="CN126" s="44"/>
      <c r="CO126" s="44"/>
      <c r="CP126" s="44"/>
      <c r="CQ126" s="44"/>
      <c r="CR126" s="44"/>
      <c r="CS126" s="44"/>
      <c r="CT126" s="44"/>
      <c r="CU126" s="44"/>
      <c r="CV126" s="44"/>
      <c r="CW126" s="44"/>
      <c r="CX126" s="44"/>
      <c r="CY126" s="44"/>
      <c r="CZ126" s="44"/>
      <c r="DA126" s="44"/>
      <c r="DB126" s="44"/>
      <c r="DC126" s="44"/>
      <c r="DD126" s="44"/>
      <c r="DE126" s="44"/>
      <c r="DF126" s="44"/>
      <c r="DG126" s="44"/>
      <c r="DH126" s="44"/>
      <c r="DI126" s="44"/>
      <c r="DJ126" s="44"/>
      <c r="DK126" s="44"/>
      <c r="DL126" s="44"/>
      <c r="DM126" s="44"/>
      <c r="DN126" s="44"/>
      <c r="DO126" s="44"/>
      <c r="DP126" s="44"/>
      <c r="DQ126" s="44"/>
      <c r="DR126" s="44"/>
      <c r="DS126" s="44"/>
      <c r="DT126" s="44"/>
      <c r="DU126" s="44"/>
      <c r="DV126" s="44"/>
      <c r="DW126" s="44"/>
      <c r="DX126" s="44"/>
      <c r="DY126" s="44"/>
      <c r="DZ126" s="47"/>
      <c r="EA126" s="47"/>
      <c r="EB126" s="47"/>
    </row>
    <row r="127" spans="3:132" s="32" customFormat="1" ht="27.6">
      <c r="C127" s="76">
        <v>44224</v>
      </c>
      <c r="D127" s="34" t="s">
        <v>759</v>
      </c>
      <c r="E127" s="286" t="s">
        <v>866</v>
      </c>
      <c r="F127" s="36">
        <v>0.66666666666666663</v>
      </c>
      <c r="G127" s="36">
        <v>0.6694444444444444</v>
      </c>
      <c r="H127" s="39" t="s">
        <v>0</v>
      </c>
      <c r="I127" s="34">
        <v>1</v>
      </c>
      <c r="J127" s="39">
        <v>706</v>
      </c>
      <c r="K127" s="51" t="str">
        <f>VLOOKUP(J127,'[2]Chart of accounts'!A:H,2,FALSE)</f>
        <v>50101020 00</v>
      </c>
      <c r="L127" s="39"/>
      <c r="M127" s="39"/>
      <c r="N127" s="34"/>
      <c r="O127" s="34"/>
      <c r="P127" s="34"/>
      <c r="Q127" s="53" t="s">
        <v>4</v>
      </c>
      <c r="R127" s="40" t="s">
        <v>862</v>
      </c>
      <c r="S127" s="41" t="s">
        <v>776</v>
      </c>
      <c r="T127" s="42" t="s">
        <v>867</v>
      </c>
      <c r="U127" s="42" t="s">
        <v>864</v>
      </c>
      <c r="V127" s="44">
        <v>33575</v>
      </c>
      <c r="W127" s="52"/>
      <c r="X127" s="44">
        <v>33575</v>
      </c>
      <c r="Y127" s="44">
        <f t="shared" ref="Y127:Y132" si="8">+V127-X127</f>
        <v>0</v>
      </c>
      <c r="Z127" s="45"/>
      <c r="AA127" s="46"/>
      <c r="AB127" s="47"/>
      <c r="AC127" s="47"/>
      <c r="AD127" s="47"/>
      <c r="AE127" s="47"/>
      <c r="AF127" s="47"/>
      <c r="AG127" s="44"/>
      <c r="AH127" s="44"/>
      <c r="AI127" s="44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4"/>
      <c r="BB127" s="44"/>
      <c r="BC127" s="44"/>
      <c r="BD127" s="44"/>
      <c r="BE127" s="44"/>
      <c r="BF127" s="44">
        <v>33575</v>
      </c>
      <c r="BG127" s="44"/>
      <c r="BH127" s="44"/>
      <c r="BI127" s="44"/>
      <c r="BJ127" s="44"/>
      <c r="BK127" s="44"/>
      <c r="BL127" s="44"/>
      <c r="BM127" s="44"/>
      <c r="BN127" s="44"/>
      <c r="BO127" s="44"/>
      <c r="BP127" s="44"/>
      <c r="BQ127" s="44"/>
      <c r="BR127" s="49"/>
      <c r="BS127" s="44"/>
      <c r="BT127" s="44"/>
      <c r="BU127" s="44"/>
      <c r="BV127" s="129"/>
      <c r="BW127" s="47"/>
      <c r="BX127" s="44"/>
      <c r="BY127" s="44">
        <v>33575</v>
      </c>
      <c r="BZ127" s="44"/>
      <c r="CA127" s="44"/>
      <c r="CB127" s="44"/>
      <c r="CC127" s="44"/>
      <c r="CD127" s="43"/>
      <c r="CE127" s="44"/>
      <c r="CF127" s="44"/>
      <c r="CG127" s="44"/>
      <c r="CH127" s="44"/>
      <c r="CI127" s="44"/>
      <c r="CJ127" s="44"/>
      <c r="CK127" s="44"/>
      <c r="CL127" s="44"/>
      <c r="CM127" s="44"/>
      <c r="CN127" s="44"/>
      <c r="CO127" s="44"/>
      <c r="CP127" s="44"/>
      <c r="CQ127" s="44"/>
      <c r="CR127" s="44"/>
      <c r="CS127" s="44"/>
      <c r="CT127" s="44"/>
      <c r="CU127" s="44"/>
      <c r="CV127" s="44"/>
      <c r="CW127" s="44"/>
      <c r="CX127" s="44"/>
      <c r="CY127" s="44"/>
      <c r="CZ127" s="44"/>
      <c r="DA127" s="44"/>
      <c r="DB127" s="44"/>
      <c r="DC127" s="44"/>
      <c r="DD127" s="44"/>
      <c r="DE127" s="44"/>
      <c r="DF127" s="44"/>
      <c r="DG127" s="44"/>
      <c r="DH127" s="44"/>
      <c r="DI127" s="44"/>
      <c r="DJ127" s="44"/>
      <c r="DK127" s="44"/>
      <c r="DL127" s="44"/>
      <c r="DM127" s="44"/>
      <c r="DN127" s="44"/>
      <c r="DO127" s="44"/>
      <c r="DP127" s="44"/>
      <c r="DQ127" s="44"/>
      <c r="DR127" s="44"/>
      <c r="DS127" s="44"/>
      <c r="DT127" s="44"/>
      <c r="DU127" s="44"/>
      <c r="DV127" s="44"/>
      <c r="DW127" s="44"/>
      <c r="DX127" s="44"/>
      <c r="DY127" s="44"/>
      <c r="DZ127" s="47"/>
      <c r="EA127" s="47"/>
      <c r="EB127" s="47"/>
    </row>
    <row r="128" spans="3:132" s="32" customFormat="1" ht="27.6">
      <c r="C128" s="76">
        <v>44224</v>
      </c>
      <c r="D128" s="34" t="s">
        <v>759</v>
      </c>
      <c r="E128" s="286" t="s">
        <v>866</v>
      </c>
      <c r="F128" s="36">
        <v>0.66666666666666663</v>
      </c>
      <c r="G128" s="36">
        <v>0.6694444444444444</v>
      </c>
      <c r="H128" s="39" t="s">
        <v>0</v>
      </c>
      <c r="I128" s="34">
        <v>1</v>
      </c>
      <c r="J128" s="39">
        <v>711</v>
      </c>
      <c r="K128" s="51" t="str">
        <f>VLOOKUP(J128,'[2]Chart of accounts'!A:H,2,FALSE)</f>
        <v>50102010 01</v>
      </c>
      <c r="L128" s="39"/>
      <c r="M128" s="39"/>
      <c r="N128" s="34"/>
      <c r="O128" s="34"/>
      <c r="P128" s="34"/>
      <c r="Q128" s="53" t="s">
        <v>4</v>
      </c>
      <c r="R128" s="40" t="s">
        <v>862</v>
      </c>
      <c r="S128" s="41" t="s">
        <v>776</v>
      </c>
      <c r="T128" s="42" t="s">
        <v>867</v>
      </c>
      <c r="U128" s="42" t="s">
        <v>864</v>
      </c>
      <c r="V128" s="44">
        <v>2000</v>
      </c>
      <c r="W128" s="52"/>
      <c r="X128" s="44">
        <v>2000</v>
      </c>
      <c r="Y128" s="44">
        <f t="shared" si="8"/>
        <v>0</v>
      </c>
      <c r="Z128" s="45"/>
      <c r="AA128" s="46"/>
      <c r="AB128" s="47"/>
      <c r="AC128" s="47"/>
      <c r="AD128" s="47"/>
      <c r="AE128" s="47"/>
      <c r="AF128" s="47"/>
      <c r="AG128" s="44"/>
      <c r="AH128" s="44"/>
      <c r="AI128" s="44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4"/>
      <c r="BB128" s="44"/>
      <c r="BC128" s="44"/>
      <c r="BD128" s="44"/>
      <c r="BE128" s="44"/>
      <c r="BG128" s="44">
        <v>2000</v>
      </c>
      <c r="BH128" s="44"/>
      <c r="BI128" s="44"/>
      <c r="BJ128" s="44"/>
      <c r="BK128" s="44"/>
      <c r="BL128" s="44"/>
      <c r="BM128" s="44"/>
      <c r="BN128" s="44"/>
      <c r="BO128" s="44"/>
      <c r="BP128" s="44"/>
      <c r="BQ128" s="44"/>
      <c r="BR128" s="49"/>
      <c r="BS128" s="44"/>
      <c r="BT128" s="44"/>
      <c r="BU128" s="44"/>
      <c r="BV128" s="129"/>
      <c r="BW128" s="47"/>
      <c r="BX128" s="44"/>
      <c r="BY128" s="44">
        <v>2000</v>
      </c>
      <c r="BZ128" s="44"/>
      <c r="CA128" s="44"/>
      <c r="CB128" s="44"/>
      <c r="CC128" s="44"/>
      <c r="CD128" s="43"/>
      <c r="CE128" s="44"/>
      <c r="CF128" s="44"/>
      <c r="CG128" s="44"/>
      <c r="CH128" s="44"/>
      <c r="CI128" s="44"/>
      <c r="CJ128" s="44"/>
      <c r="CK128" s="44"/>
      <c r="CL128" s="44"/>
      <c r="CM128" s="44"/>
      <c r="CN128" s="44"/>
      <c r="CO128" s="44"/>
      <c r="CP128" s="44"/>
      <c r="CQ128" s="44"/>
      <c r="CR128" s="44"/>
      <c r="CS128" s="44"/>
      <c r="CT128" s="44"/>
      <c r="CU128" s="44"/>
      <c r="CV128" s="44"/>
      <c r="CW128" s="44"/>
      <c r="CX128" s="44"/>
      <c r="CY128" s="44"/>
      <c r="CZ128" s="44"/>
      <c r="DA128" s="44"/>
      <c r="DB128" s="44"/>
      <c r="DC128" s="44"/>
      <c r="DD128" s="44"/>
      <c r="DE128" s="44"/>
      <c r="DF128" s="44"/>
      <c r="DG128" s="44"/>
      <c r="DH128" s="44"/>
      <c r="DI128" s="44"/>
      <c r="DJ128" s="44"/>
      <c r="DK128" s="44"/>
      <c r="DL128" s="44"/>
      <c r="DM128" s="44"/>
      <c r="DN128" s="44"/>
      <c r="DO128" s="44"/>
      <c r="DP128" s="44"/>
      <c r="DQ128" s="44"/>
      <c r="DR128" s="44"/>
      <c r="DS128" s="44"/>
      <c r="DT128" s="44"/>
      <c r="DU128" s="44"/>
      <c r="DV128" s="44"/>
      <c r="DW128" s="44"/>
      <c r="DX128" s="44"/>
      <c r="DY128" s="44"/>
      <c r="DZ128" s="47"/>
      <c r="EA128" s="47"/>
      <c r="EB128" s="47"/>
    </row>
    <row r="129" spans="3:132" s="32" customFormat="1" ht="27.6">
      <c r="C129" s="76">
        <v>44224</v>
      </c>
      <c r="D129" s="34" t="s">
        <v>759</v>
      </c>
      <c r="E129" s="286" t="s">
        <v>866</v>
      </c>
      <c r="F129" s="36">
        <v>0.66666666666666663</v>
      </c>
      <c r="G129" s="36">
        <v>0.6694444444444444</v>
      </c>
      <c r="H129" s="39" t="s">
        <v>0</v>
      </c>
      <c r="I129" s="34">
        <v>1</v>
      </c>
      <c r="J129" s="39">
        <v>731</v>
      </c>
      <c r="K129" s="51" t="str">
        <f>VLOOKUP(J129,'[2]Chart of accounts'!A:H,2,FALSE)</f>
        <v>50103010 00</v>
      </c>
      <c r="L129" s="39"/>
      <c r="M129" s="39"/>
      <c r="N129" s="34"/>
      <c r="O129" s="34"/>
      <c r="P129" s="34"/>
      <c r="Q129" s="53" t="s">
        <v>4</v>
      </c>
      <c r="R129" s="40" t="s">
        <v>862</v>
      </c>
      <c r="S129" s="41" t="s">
        <v>776</v>
      </c>
      <c r="T129" s="42" t="s">
        <v>867</v>
      </c>
      <c r="U129" s="42" t="s">
        <v>864</v>
      </c>
      <c r="V129" s="44">
        <v>4029</v>
      </c>
      <c r="W129" s="52"/>
      <c r="X129" s="44">
        <v>4029</v>
      </c>
      <c r="Y129" s="44">
        <f t="shared" si="8"/>
        <v>0</v>
      </c>
      <c r="Z129" s="45"/>
      <c r="AA129" s="46"/>
      <c r="AB129" s="47"/>
      <c r="AC129" s="47"/>
      <c r="AD129" s="47"/>
      <c r="AE129" s="47"/>
      <c r="AF129" s="47"/>
      <c r="AG129" s="44"/>
      <c r="AH129" s="44"/>
      <c r="AI129" s="44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4"/>
      <c r="BB129" s="44"/>
      <c r="BC129" s="44"/>
      <c r="BD129" s="44"/>
      <c r="BE129" s="44"/>
      <c r="BH129" s="44"/>
      <c r="BI129" s="44"/>
      <c r="BJ129" s="44"/>
      <c r="BK129" s="44"/>
      <c r="BL129" s="44"/>
      <c r="BM129" s="44"/>
      <c r="BN129" s="44"/>
      <c r="BO129" s="44">
        <v>4029</v>
      </c>
      <c r="BP129" s="44"/>
      <c r="BQ129" s="44"/>
      <c r="BR129" s="49"/>
      <c r="BS129" s="44"/>
      <c r="BT129" s="44"/>
      <c r="BU129" s="44"/>
      <c r="BV129" s="129"/>
      <c r="BW129" s="47"/>
      <c r="BX129" s="44"/>
      <c r="BY129" s="44">
        <v>4029</v>
      </c>
      <c r="BZ129" s="44"/>
      <c r="CA129" s="44"/>
      <c r="CB129" s="44"/>
      <c r="CC129" s="44"/>
      <c r="CD129" s="43"/>
      <c r="CE129" s="44"/>
      <c r="CF129" s="44"/>
      <c r="CG129" s="44"/>
      <c r="CH129" s="44"/>
      <c r="CI129" s="44"/>
      <c r="CJ129" s="44"/>
      <c r="CK129" s="44"/>
      <c r="CL129" s="44"/>
      <c r="CM129" s="44"/>
      <c r="CN129" s="44"/>
      <c r="CO129" s="44"/>
      <c r="CP129" s="44"/>
      <c r="CQ129" s="44"/>
      <c r="CR129" s="44"/>
      <c r="CS129" s="44"/>
      <c r="CT129" s="44"/>
      <c r="CU129" s="44"/>
      <c r="CV129" s="44"/>
      <c r="CW129" s="44"/>
      <c r="CX129" s="44"/>
      <c r="CY129" s="44"/>
      <c r="CZ129" s="44"/>
      <c r="DA129" s="44"/>
      <c r="DB129" s="44"/>
      <c r="DC129" s="44"/>
      <c r="DD129" s="44"/>
      <c r="DE129" s="44"/>
      <c r="DF129" s="44"/>
      <c r="DG129" s="44"/>
      <c r="DH129" s="44"/>
      <c r="DI129" s="44"/>
      <c r="DJ129" s="44"/>
      <c r="DK129" s="44"/>
      <c r="DL129" s="44"/>
      <c r="DM129" s="44"/>
      <c r="DN129" s="44"/>
      <c r="DO129" s="44"/>
      <c r="DP129" s="44"/>
      <c r="DQ129" s="44"/>
      <c r="DR129" s="44"/>
      <c r="DS129" s="44"/>
      <c r="DT129" s="44"/>
      <c r="DU129" s="44"/>
      <c r="DV129" s="44"/>
      <c r="DW129" s="44"/>
      <c r="DX129" s="44"/>
      <c r="DY129" s="44"/>
      <c r="DZ129" s="47"/>
      <c r="EA129" s="47"/>
      <c r="EB129" s="47"/>
    </row>
    <row r="130" spans="3:132" s="32" customFormat="1" ht="27.6">
      <c r="C130" s="76">
        <v>44224</v>
      </c>
      <c r="D130" s="34" t="s">
        <v>759</v>
      </c>
      <c r="E130" s="286" t="s">
        <v>866</v>
      </c>
      <c r="F130" s="36">
        <v>0.66666666666666663</v>
      </c>
      <c r="G130" s="36">
        <v>0.6694444444444444</v>
      </c>
      <c r="H130" s="39" t="s">
        <v>0</v>
      </c>
      <c r="I130" s="34">
        <v>1</v>
      </c>
      <c r="J130" s="39">
        <v>732</v>
      </c>
      <c r="K130" s="51" t="str">
        <f>VLOOKUP(J130,'[2]Chart of accounts'!A:H,2,FALSE)</f>
        <v>50103020 01</v>
      </c>
      <c r="L130" s="39"/>
      <c r="M130" s="39"/>
      <c r="N130" s="34"/>
      <c r="O130" s="34"/>
      <c r="P130" s="34"/>
      <c r="Q130" s="53" t="s">
        <v>4</v>
      </c>
      <c r="R130" s="40" t="s">
        <v>862</v>
      </c>
      <c r="S130" s="41" t="s">
        <v>776</v>
      </c>
      <c r="T130" s="42" t="s">
        <v>867</v>
      </c>
      <c r="U130" s="42" t="s">
        <v>864</v>
      </c>
      <c r="V130" s="44">
        <v>100</v>
      </c>
      <c r="W130" s="52"/>
      <c r="X130" s="44">
        <v>100</v>
      </c>
      <c r="Y130" s="44">
        <f t="shared" si="8"/>
        <v>0</v>
      </c>
      <c r="Z130" s="45"/>
      <c r="AA130" s="46"/>
      <c r="AB130" s="47"/>
      <c r="AC130" s="47"/>
      <c r="AD130" s="47"/>
      <c r="AE130" s="47"/>
      <c r="AF130" s="47"/>
      <c r="AG130" s="44"/>
      <c r="AH130" s="44"/>
      <c r="AI130" s="44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4"/>
      <c r="BB130" s="44"/>
      <c r="BC130" s="44"/>
      <c r="BD130" s="44"/>
      <c r="BE130" s="44"/>
      <c r="BH130" s="44"/>
      <c r="BI130" s="44"/>
      <c r="BJ130" s="44"/>
      <c r="BK130" s="44"/>
      <c r="BL130" s="44"/>
      <c r="BM130" s="44"/>
      <c r="BN130" s="44"/>
      <c r="BP130" s="44">
        <v>100</v>
      </c>
      <c r="BQ130" s="44"/>
      <c r="BR130" s="49"/>
      <c r="BS130" s="44"/>
      <c r="BT130" s="44"/>
      <c r="BU130" s="44"/>
      <c r="BV130" s="129"/>
      <c r="BW130" s="47"/>
      <c r="BX130" s="44"/>
      <c r="BY130" s="44">
        <v>100</v>
      </c>
      <c r="BZ130" s="44"/>
      <c r="CA130" s="44"/>
      <c r="CB130" s="44"/>
      <c r="CC130" s="44"/>
      <c r="CD130" s="43"/>
      <c r="CE130" s="44"/>
      <c r="CF130" s="44"/>
      <c r="CG130" s="44"/>
      <c r="CH130" s="44"/>
      <c r="CI130" s="44"/>
      <c r="CJ130" s="44"/>
      <c r="CK130" s="44"/>
      <c r="CL130" s="44"/>
      <c r="CM130" s="44"/>
      <c r="CN130" s="44"/>
      <c r="CO130" s="44"/>
      <c r="CP130" s="44"/>
      <c r="CQ130" s="44"/>
      <c r="CR130" s="44"/>
      <c r="CS130" s="44"/>
      <c r="CT130" s="44"/>
      <c r="CU130" s="44"/>
      <c r="CV130" s="44"/>
      <c r="CW130" s="44"/>
      <c r="CX130" s="44"/>
      <c r="CY130" s="44"/>
      <c r="CZ130" s="44"/>
      <c r="DA130" s="44"/>
      <c r="DB130" s="44"/>
      <c r="DC130" s="44"/>
      <c r="DD130" s="44"/>
      <c r="DE130" s="44"/>
      <c r="DF130" s="44"/>
      <c r="DG130" s="44"/>
      <c r="DH130" s="44"/>
      <c r="DI130" s="44"/>
      <c r="DJ130" s="44"/>
      <c r="DK130" s="44"/>
      <c r="DL130" s="44"/>
      <c r="DM130" s="44"/>
      <c r="DN130" s="44"/>
      <c r="DO130" s="44"/>
      <c r="DP130" s="44"/>
      <c r="DQ130" s="44"/>
      <c r="DR130" s="44"/>
      <c r="DS130" s="44"/>
      <c r="DT130" s="44"/>
      <c r="DU130" s="44"/>
      <c r="DV130" s="44"/>
      <c r="DW130" s="44"/>
      <c r="DX130" s="44"/>
      <c r="DY130" s="44"/>
      <c r="DZ130" s="47"/>
      <c r="EA130" s="47"/>
      <c r="EB130" s="47"/>
    </row>
    <row r="131" spans="3:132" s="32" customFormat="1" ht="27.6">
      <c r="C131" s="76">
        <v>44224</v>
      </c>
      <c r="D131" s="34" t="s">
        <v>759</v>
      </c>
      <c r="E131" s="286" t="s">
        <v>866</v>
      </c>
      <c r="F131" s="36">
        <v>0.66666666666666663</v>
      </c>
      <c r="G131" s="36">
        <v>0.6694444444444444</v>
      </c>
      <c r="H131" s="39" t="s">
        <v>0</v>
      </c>
      <c r="I131" s="34">
        <v>1</v>
      </c>
      <c r="J131" s="39">
        <v>733</v>
      </c>
      <c r="K131" s="51" t="str">
        <f>VLOOKUP(J131,'[2]Chart of accounts'!A:H,2,FALSE)</f>
        <v>50103030 01</v>
      </c>
      <c r="L131" s="39"/>
      <c r="M131" s="39"/>
      <c r="N131" s="34"/>
      <c r="O131" s="34"/>
      <c r="P131" s="34"/>
      <c r="Q131" s="53" t="s">
        <v>4</v>
      </c>
      <c r="R131" s="40" t="s">
        <v>862</v>
      </c>
      <c r="S131" s="41" t="s">
        <v>776</v>
      </c>
      <c r="T131" s="42" t="s">
        <v>867</v>
      </c>
      <c r="U131" s="42" t="s">
        <v>864</v>
      </c>
      <c r="V131" s="44">
        <v>503.63</v>
      </c>
      <c r="W131" s="52"/>
      <c r="X131" s="44">
        <v>503.63</v>
      </c>
      <c r="Y131" s="44">
        <f t="shared" si="8"/>
        <v>0</v>
      </c>
      <c r="Z131" s="45"/>
      <c r="AA131" s="46"/>
      <c r="AB131" s="47"/>
      <c r="AC131" s="47"/>
      <c r="AD131" s="47"/>
      <c r="AE131" s="47"/>
      <c r="AF131" s="47"/>
      <c r="AG131" s="44"/>
      <c r="AH131" s="44"/>
      <c r="AI131" s="44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4"/>
      <c r="BB131" s="44"/>
      <c r="BC131" s="44"/>
      <c r="BD131" s="44"/>
      <c r="BE131" s="44"/>
      <c r="BH131" s="44"/>
      <c r="BI131" s="44"/>
      <c r="BJ131" s="44"/>
      <c r="BK131" s="44"/>
      <c r="BL131" s="44"/>
      <c r="BM131" s="44"/>
      <c r="BN131" s="44"/>
      <c r="BQ131" s="44">
        <v>503.63</v>
      </c>
      <c r="BR131" s="49"/>
      <c r="BS131" s="44"/>
      <c r="BT131" s="44"/>
      <c r="BU131" s="44"/>
      <c r="BV131" s="129"/>
      <c r="BW131" s="47"/>
      <c r="BX131" s="44"/>
      <c r="BY131" s="44">
        <v>503.63</v>
      </c>
      <c r="BZ131" s="44"/>
      <c r="CA131" s="44"/>
      <c r="CB131" s="44"/>
      <c r="CC131" s="44"/>
      <c r="CD131" s="43"/>
      <c r="CE131" s="44"/>
      <c r="CF131" s="44"/>
      <c r="CG131" s="44"/>
      <c r="CH131" s="44"/>
      <c r="CI131" s="44"/>
      <c r="CJ131" s="44"/>
      <c r="CK131" s="44"/>
      <c r="CL131" s="44"/>
      <c r="CM131" s="44"/>
      <c r="CN131" s="44"/>
      <c r="CO131" s="44"/>
      <c r="CP131" s="44"/>
      <c r="CQ131" s="44"/>
      <c r="CR131" s="44"/>
      <c r="CS131" s="44"/>
      <c r="CT131" s="44"/>
      <c r="CU131" s="44"/>
      <c r="CV131" s="44"/>
      <c r="CW131" s="44"/>
      <c r="CX131" s="44"/>
      <c r="CY131" s="44"/>
      <c r="CZ131" s="44"/>
      <c r="DA131" s="44"/>
      <c r="DB131" s="44"/>
      <c r="DC131" s="44"/>
      <c r="DD131" s="44"/>
      <c r="DE131" s="44"/>
      <c r="DF131" s="44"/>
      <c r="DG131" s="44"/>
      <c r="DH131" s="44"/>
      <c r="DI131" s="44"/>
      <c r="DJ131" s="44"/>
      <c r="DK131" s="44"/>
      <c r="DL131" s="44"/>
      <c r="DM131" s="44"/>
      <c r="DN131" s="44"/>
      <c r="DO131" s="44"/>
      <c r="DP131" s="44"/>
      <c r="DQ131" s="44"/>
      <c r="DR131" s="44"/>
      <c r="DS131" s="44"/>
      <c r="DT131" s="44"/>
      <c r="DU131" s="44"/>
      <c r="DV131" s="44"/>
      <c r="DW131" s="44"/>
      <c r="DX131" s="44"/>
      <c r="DY131" s="44"/>
      <c r="DZ131" s="47"/>
      <c r="EA131" s="47"/>
      <c r="EB131" s="47"/>
    </row>
    <row r="132" spans="3:132" s="32" customFormat="1" ht="27.6">
      <c r="C132" s="76">
        <v>44224</v>
      </c>
      <c r="D132" s="34" t="s">
        <v>759</v>
      </c>
      <c r="E132" s="286" t="s">
        <v>866</v>
      </c>
      <c r="F132" s="36">
        <v>0.66666666666666663</v>
      </c>
      <c r="G132" s="36">
        <v>0.6694444444444444</v>
      </c>
      <c r="H132" s="39" t="s">
        <v>0</v>
      </c>
      <c r="I132" s="34">
        <v>1</v>
      </c>
      <c r="J132" s="39">
        <v>734</v>
      </c>
      <c r="K132" s="51" t="str">
        <f>VLOOKUP(J132,'[2]Chart of accounts'!A:H,2,FALSE)</f>
        <v>50103040 01</v>
      </c>
      <c r="L132" s="39"/>
      <c r="M132" s="39"/>
      <c r="N132" s="34"/>
      <c r="O132" s="34"/>
      <c r="P132" s="34"/>
      <c r="Q132" s="53" t="s">
        <v>4</v>
      </c>
      <c r="R132" s="40" t="s">
        <v>862</v>
      </c>
      <c r="S132" s="41" t="s">
        <v>776</v>
      </c>
      <c r="T132" s="42" t="s">
        <v>867</v>
      </c>
      <c r="U132" s="42" t="s">
        <v>864</v>
      </c>
      <c r="V132" s="44">
        <v>100</v>
      </c>
      <c r="W132" s="52"/>
      <c r="X132" s="44">
        <v>100</v>
      </c>
      <c r="Y132" s="44">
        <f t="shared" si="8"/>
        <v>0</v>
      </c>
      <c r="Z132" s="45"/>
      <c r="AA132" s="46"/>
      <c r="AB132" s="47"/>
      <c r="AC132" s="47"/>
      <c r="AD132" s="47"/>
      <c r="AE132" s="47"/>
      <c r="AF132" s="47"/>
      <c r="AG132" s="44"/>
      <c r="AH132" s="44"/>
      <c r="AI132" s="44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4"/>
      <c r="BB132" s="44"/>
      <c r="BC132" s="44"/>
      <c r="BD132" s="44"/>
      <c r="BE132" s="44"/>
      <c r="BH132" s="44"/>
      <c r="BI132" s="44"/>
      <c r="BJ132" s="44"/>
      <c r="BK132" s="44"/>
      <c r="BL132" s="44"/>
      <c r="BM132" s="44"/>
      <c r="BN132" s="44"/>
      <c r="BR132" s="44">
        <v>100</v>
      </c>
      <c r="BS132" s="44"/>
      <c r="BT132" s="44"/>
      <c r="BU132" s="44"/>
      <c r="BV132" s="129"/>
      <c r="BW132" s="47"/>
      <c r="BX132" s="44"/>
      <c r="BY132" s="44">
        <v>100</v>
      </c>
      <c r="BZ132" s="44"/>
      <c r="CA132" s="44"/>
      <c r="CB132" s="44"/>
      <c r="CC132" s="44"/>
      <c r="CD132" s="43"/>
      <c r="CE132" s="44"/>
      <c r="CF132" s="44"/>
      <c r="CG132" s="44"/>
      <c r="CH132" s="44"/>
      <c r="CI132" s="44"/>
      <c r="CJ132" s="44"/>
      <c r="CK132" s="44"/>
      <c r="CL132" s="44"/>
      <c r="CM132" s="44"/>
      <c r="CN132" s="44"/>
      <c r="CO132" s="44"/>
      <c r="CP132" s="44"/>
      <c r="CQ132" s="44"/>
      <c r="CR132" s="44"/>
      <c r="CS132" s="44"/>
      <c r="CT132" s="44"/>
      <c r="CU132" s="44"/>
      <c r="CV132" s="44"/>
      <c r="CW132" s="44"/>
      <c r="CX132" s="44"/>
      <c r="CY132" s="44"/>
      <c r="CZ132" s="44"/>
      <c r="DA132" s="44"/>
      <c r="DB132" s="44"/>
      <c r="DC132" s="44"/>
      <c r="DD132" s="44"/>
      <c r="DE132" s="44"/>
      <c r="DF132" s="44"/>
      <c r="DG132" s="44"/>
      <c r="DH132" s="44"/>
      <c r="DI132" s="44"/>
      <c r="DJ132" s="44"/>
      <c r="DK132" s="44"/>
      <c r="DL132" s="44"/>
      <c r="DM132" s="44"/>
      <c r="DN132" s="44"/>
      <c r="DO132" s="44"/>
      <c r="DP132" s="44"/>
      <c r="DQ132" s="44"/>
      <c r="DR132" s="44"/>
      <c r="DS132" s="44"/>
      <c r="DT132" s="44"/>
      <c r="DU132" s="44"/>
      <c r="DV132" s="44"/>
      <c r="DW132" s="44"/>
      <c r="DX132" s="44"/>
      <c r="DY132" s="44"/>
      <c r="DZ132" s="47"/>
      <c r="EA132" s="47"/>
      <c r="EB132" s="47"/>
    </row>
    <row r="133" spans="3:132" s="32" customFormat="1" ht="27.6">
      <c r="C133" s="76">
        <v>44224</v>
      </c>
      <c r="D133" s="34" t="s">
        <v>759</v>
      </c>
      <c r="E133" s="286" t="s">
        <v>868</v>
      </c>
      <c r="F133" s="36">
        <v>0.6694444444444444</v>
      </c>
      <c r="G133" s="36">
        <v>0.67152777777777783</v>
      </c>
      <c r="H133" s="39" t="s">
        <v>0</v>
      </c>
      <c r="I133" s="34">
        <v>1</v>
      </c>
      <c r="J133" s="39">
        <v>706</v>
      </c>
      <c r="K133" s="51" t="str">
        <f>VLOOKUP(J133,'[2]Chart of accounts'!A:H,2,FALSE)</f>
        <v>50101020 00</v>
      </c>
      <c r="L133" s="39"/>
      <c r="M133" s="39"/>
      <c r="N133" s="34"/>
      <c r="O133" s="34"/>
      <c r="P133" s="34"/>
      <c r="Q133" s="53" t="s">
        <v>4</v>
      </c>
      <c r="R133" s="40" t="s">
        <v>862</v>
      </c>
      <c r="S133" s="41" t="s">
        <v>769</v>
      </c>
      <c r="T133" s="42" t="s">
        <v>869</v>
      </c>
      <c r="U133" s="42" t="s">
        <v>864</v>
      </c>
      <c r="V133" s="44">
        <v>33575</v>
      </c>
      <c r="W133" s="52"/>
      <c r="X133" s="44">
        <v>33575</v>
      </c>
      <c r="Y133" s="44">
        <f t="shared" ref="Y133:Y144" si="9">+V133-X133</f>
        <v>0</v>
      </c>
      <c r="Z133" s="45"/>
      <c r="AA133" s="46"/>
      <c r="AB133" s="47"/>
      <c r="AC133" s="47"/>
      <c r="AD133" s="47"/>
      <c r="AE133" s="47"/>
      <c r="AF133" s="47"/>
      <c r="AG133" s="44"/>
      <c r="AH133" s="44"/>
      <c r="AI133" s="44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4"/>
      <c r="BB133" s="44"/>
      <c r="BC133" s="44"/>
      <c r="BD133" s="44"/>
      <c r="BE133" s="44"/>
      <c r="BF133" s="44">
        <v>33575</v>
      </c>
      <c r="BG133" s="44"/>
      <c r="BH133" s="44"/>
      <c r="BI133" s="44"/>
      <c r="BJ133" s="44"/>
      <c r="BK133" s="44"/>
      <c r="BL133" s="44"/>
      <c r="BM133" s="44"/>
      <c r="BN133" s="44"/>
      <c r="BO133" s="44"/>
      <c r="BP133" s="44"/>
      <c r="BQ133" s="44"/>
      <c r="BR133" s="49"/>
      <c r="BS133" s="44"/>
      <c r="BT133" s="44"/>
      <c r="BU133" s="44"/>
      <c r="BV133" s="129"/>
      <c r="BW133" s="47"/>
      <c r="BX133" s="44"/>
      <c r="BY133" s="44">
        <v>33575</v>
      </c>
      <c r="BZ133" s="44"/>
      <c r="CA133" s="44"/>
      <c r="CB133" s="44"/>
      <c r="CC133" s="44"/>
      <c r="CD133" s="43"/>
      <c r="CE133" s="44"/>
      <c r="CF133" s="44"/>
      <c r="CG133" s="44"/>
      <c r="CH133" s="44"/>
      <c r="CI133" s="44"/>
      <c r="CJ133" s="44"/>
      <c r="CK133" s="44"/>
      <c r="CL133" s="44"/>
      <c r="CM133" s="44"/>
      <c r="CN133" s="44"/>
      <c r="CO133" s="44"/>
      <c r="CP133" s="44"/>
      <c r="CQ133" s="44"/>
      <c r="CR133" s="44"/>
      <c r="CS133" s="44"/>
      <c r="CT133" s="44"/>
      <c r="CU133" s="44"/>
      <c r="CV133" s="44"/>
      <c r="CW133" s="44"/>
      <c r="CX133" s="44"/>
      <c r="CY133" s="44"/>
      <c r="CZ133" s="44"/>
      <c r="DA133" s="44"/>
      <c r="DB133" s="44"/>
      <c r="DC133" s="44"/>
      <c r="DD133" s="44"/>
      <c r="DE133" s="44"/>
      <c r="DF133" s="44"/>
      <c r="DG133" s="44"/>
      <c r="DH133" s="44"/>
      <c r="DI133" s="44"/>
      <c r="DJ133" s="44"/>
      <c r="DK133" s="44"/>
      <c r="DL133" s="44"/>
      <c r="DM133" s="44"/>
      <c r="DN133" s="44"/>
      <c r="DO133" s="44"/>
      <c r="DP133" s="44"/>
      <c r="DQ133" s="44"/>
      <c r="DR133" s="44"/>
      <c r="DS133" s="44"/>
      <c r="DT133" s="44"/>
      <c r="DU133" s="44"/>
      <c r="DV133" s="44"/>
      <c r="DW133" s="44"/>
      <c r="DX133" s="44"/>
      <c r="DY133" s="44"/>
      <c r="DZ133" s="47"/>
      <c r="EA133" s="47"/>
      <c r="EB133" s="47"/>
    </row>
    <row r="134" spans="3:132" s="32" customFormat="1" ht="27.6">
      <c r="C134" s="76">
        <v>44224</v>
      </c>
      <c r="D134" s="34" t="s">
        <v>759</v>
      </c>
      <c r="E134" s="286" t="s">
        <v>868</v>
      </c>
      <c r="F134" s="36">
        <v>0.6694444444444444</v>
      </c>
      <c r="G134" s="36">
        <v>0.67152777777777783</v>
      </c>
      <c r="H134" s="39" t="s">
        <v>0</v>
      </c>
      <c r="I134" s="34">
        <v>1</v>
      </c>
      <c r="J134" s="39">
        <v>711</v>
      </c>
      <c r="K134" s="51" t="str">
        <f>VLOOKUP(J134,'[2]Chart of accounts'!A:H,2,FALSE)</f>
        <v>50102010 01</v>
      </c>
      <c r="L134" s="39"/>
      <c r="M134" s="39"/>
      <c r="N134" s="34"/>
      <c r="O134" s="34"/>
      <c r="P134" s="34"/>
      <c r="Q134" s="53" t="s">
        <v>4</v>
      </c>
      <c r="R134" s="40" t="s">
        <v>862</v>
      </c>
      <c r="S134" s="41" t="s">
        <v>769</v>
      </c>
      <c r="T134" s="42" t="s">
        <v>869</v>
      </c>
      <c r="U134" s="42" t="s">
        <v>864</v>
      </c>
      <c r="V134" s="44">
        <v>2000</v>
      </c>
      <c r="W134" s="52"/>
      <c r="X134" s="44">
        <v>2000</v>
      </c>
      <c r="Y134" s="44">
        <f t="shared" si="9"/>
        <v>0</v>
      </c>
      <c r="Z134" s="45"/>
      <c r="AA134" s="46"/>
      <c r="AB134" s="47"/>
      <c r="AC134" s="47"/>
      <c r="AD134" s="47"/>
      <c r="AE134" s="47"/>
      <c r="AF134" s="47"/>
      <c r="AG134" s="44"/>
      <c r="AH134" s="44"/>
      <c r="AI134" s="44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4"/>
      <c r="BB134" s="44"/>
      <c r="BC134" s="44"/>
      <c r="BD134" s="44"/>
      <c r="BE134" s="44"/>
      <c r="BG134" s="44">
        <v>2000</v>
      </c>
      <c r="BH134" s="44"/>
      <c r="BI134" s="44"/>
      <c r="BJ134" s="44"/>
      <c r="BK134" s="44"/>
      <c r="BL134" s="44"/>
      <c r="BM134" s="44"/>
      <c r="BN134" s="44"/>
      <c r="BO134" s="44"/>
      <c r="BP134" s="44"/>
      <c r="BQ134" s="44"/>
      <c r="BR134" s="49"/>
      <c r="BS134" s="44"/>
      <c r="BT134" s="44"/>
      <c r="BU134" s="44"/>
      <c r="BV134" s="129"/>
      <c r="BW134" s="47"/>
      <c r="BX134" s="44"/>
      <c r="BY134" s="44">
        <v>2000</v>
      </c>
      <c r="BZ134" s="44"/>
      <c r="CA134" s="44"/>
      <c r="CB134" s="44"/>
      <c r="CC134" s="44"/>
      <c r="CD134" s="43"/>
      <c r="CE134" s="44"/>
      <c r="CF134" s="44"/>
      <c r="CG134" s="44"/>
      <c r="CH134" s="44"/>
      <c r="CI134" s="44"/>
      <c r="CJ134" s="44"/>
      <c r="CK134" s="44"/>
      <c r="CL134" s="44"/>
      <c r="CM134" s="44"/>
      <c r="CN134" s="44"/>
      <c r="CO134" s="44"/>
      <c r="CP134" s="44"/>
      <c r="CQ134" s="44"/>
      <c r="CR134" s="44"/>
      <c r="CS134" s="44"/>
      <c r="CT134" s="44"/>
      <c r="CU134" s="44"/>
      <c r="CV134" s="44"/>
      <c r="CW134" s="44"/>
      <c r="CX134" s="44"/>
      <c r="CY134" s="44"/>
      <c r="CZ134" s="44"/>
      <c r="DA134" s="44"/>
      <c r="DB134" s="44"/>
      <c r="DC134" s="44"/>
      <c r="DD134" s="44"/>
      <c r="DE134" s="44"/>
      <c r="DF134" s="44"/>
      <c r="DG134" s="44"/>
      <c r="DH134" s="44"/>
      <c r="DI134" s="44"/>
      <c r="DJ134" s="44"/>
      <c r="DK134" s="44"/>
      <c r="DL134" s="44"/>
      <c r="DM134" s="44"/>
      <c r="DN134" s="44"/>
      <c r="DO134" s="44"/>
      <c r="DP134" s="44"/>
      <c r="DQ134" s="44"/>
      <c r="DR134" s="44"/>
      <c r="DS134" s="44"/>
      <c r="DT134" s="44"/>
      <c r="DU134" s="44"/>
      <c r="DV134" s="44"/>
      <c r="DW134" s="44"/>
      <c r="DX134" s="44"/>
      <c r="DY134" s="44"/>
      <c r="DZ134" s="47"/>
      <c r="EA134" s="47"/>
      <c r="EB134" s="47"/>
    </row>
    <row r="135" spans="3:132" s="32" customFormat="1" ht="27.6">
      <c r="C135" s="76">
        <v>44224</v>
      </c>
      <c r="D135" s="34" t="s">
        <v>759</v>
      </c>
      <c r="E135" s="286" t="s">
        <v>868</v>
      </c>
      <c r="F135" s="36">
        <v>0.6694444444444444</v>
      </c>
      <c r="G135" s="36">
        <v>0.67152777777777783</v>
      </c>
      <c r="H135" s="39" t="s">
        <v>0</v>
      </c>
      <c r="I135" s="34">
        <v>1</v>
      </c>
      <c r="J135" s="39">
        <v>731</v>
      </c>
      <c r="K135" s="51" t="str">
        <f>VLOOKUP(J135,'[2]Chart of accounts'!A:H,2,FALSE)</f>
        <v>50103010 00</v>
      </c>
      <c r="L135" s="39"/>
      <c r="M135" s="39"/>
      <c r="N135" s="34"/>
      <c r="O135" s="34"/>
      <c r="P135" s="34"/>
      <c r="Q135" s="53" t="s">
        <v>4</v>
      </c>
      <c r="R135" s="40" t="s">
        <v>862</v>
      </c>
      <c r="S135" s="41" t="s">
        <v>769</v>
      </c>
      <c r="T135" s="42" t="s">
        <v>869</v>
      </c>
      <c r="U135" s="42" t="s">
        <v>864</v>
      </c>
      <c r="V135" s="44">
        <v>4029</v>
      </c>
      <c r="W135" s="52"/>
      <c r="X135" s="44">
        <v>4029</v>
      </c>
      <c r="Y135" s="44">
        <f t="shared" si="9"/>
        <v>0</v>
      </c>
      <c r="Z135" s="45"/>
      <c r="AA135" s="46"/>
      <c r="AB135" s="47"/>
      <c r="AC135" s="47"/>
      <c r="AD135" s="47"/>
      <c r="AE135" s="47"/>
      <c r="AF135" s="47"/>
      <c r="AG135" s="44"/>
      <c r="AH135" s="44"/>
      <c r="AI135" s="44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4"/>
      <c r="BB135" s="44"/>
      <c r="BC135" s="44"/>
      <c r="BD135" s="44"/>
      <c r="BE135" s="44"/>
      <c r="BH135" s="44"/>
      <c r="BI135" s="44"/>
      <c r="BJ135" s="44"/>
      <c r="BK135" s="44"/>
      <c r="BL135" s="44"/>
      <c r="BM135" s="44"/>
      <c r="BN135" s="44"/>
      <c r="BO135" s="44">
        <v>4029</v>
      </c>
      <c r="BP135" s="44"/>
      <c r="BQ135" s="44"/>
      <c r="BR135" s="49"/>
      <c r="BS135" s="44"/>
      <c r="BT135" s="44"/>
      <c r="BU135" s="44"/>
      <c r="BV135" s="129"/>
      <c r="BW135" s="47"/>
      <c r="BX135" s="44"/>
      <c r="BY135" s="44">
        <v>4029</v>
      </c>
      <c r="BZ135" s="44"/>
      <c r="CA135" s="44"/>
      <c r="CB135" s="44"/>
      <c r="CC135" s="44"/>
      <c r="CD135" s="43"/>
      <c r="CE135" s="44"/>
      <c r="CF135" s="44"/>
      <c r="CG135" s="44"/>
      <c r="CH135" s="44"/>
      <c r="CI135" s="44"/>
      <c r="CJ135" s="44"/>
      <c r="CK135" s="44"/>
      <c r="CL135" s="44"/>
      <c r="CM135" s="44"/>
      <c r="CN135" s="44"/>
      <c r="CO135" s="44"/>
      <c r="CP135" s="44"/>
      <c r="CQ135" s="44"/>
      <c r="CR135" s="44"/>
      <c r="CS135" s="44"/>
      <c r="CT135" s="44"/>
      <c r="CU135" s="44"/>
      <c r="CV135" s="44"/>
      <c r="CW135" s="44"/>
      <c r="CX135" s="44"/>
      <c r="CY135" s="44"/>
      <c r="CZ135" s="44"/>
      <c r="DA135" s="44"/>
      <c r="DB135" s="44"/>
      <c r="DC135" s="44"/>
      <c r="DD135" s="44"/>
      <c r="DE135" s="44"/>
      <c r="DF135" s="44"/>
      <c r="DG135" s="44"/>
      <c r="DH135" s="44"/>
      <c r="DI135" s="44"/>
      <c r="DJ135" s="44"/>
      <c r="DK135" s="44"/>
      <c r="DL135" s="44"/>
      <c r="DM135" s="44"/>
      <c r="DN135" s="44"/>
      <c r="DO135" s="44"/>
      <c r="DP135" s="44"/>
      <c r="DQ135" s="44"/>
      <c r="DR135" s="44"/>
      <c r="DS135" s="44"/>
      <c r="DT135" s="44"/>
      <c r="DU135" s="44"/>
      <c r="DV135" s="44"/>
      <c r="DW135" s="44"/>
      <c r="DX135" s="44"/>
      <c r="DY135" s="44"/>
      <c r="DZ135" s="47"/>
      <c r="EA135" s="47"/>
      <c r="EB135" s="47"/>
    </row>
    <row r="136" spans="3:132" s="32" customFormat="1" ht="27.6">
      <c r="C136" s="76">
        <v>44224</v>
      </c>
      <c r="D136" s="34" t="s">
        <v>759</v>
      </c>
      <c r="E136" s="286" t="s">
        <v>868</v>
      </c>
      <c r="F136" s="36">
        <v>0.6694444444444444</v>
      </c>
      <c r="G136" s="36">
        <v>0.67152777777777783</v>
      </c>
      <c r="H136" s="39" t="s">
        <v>0</v>
      </c>
      <c r="I136" s="34">
        <v>1</v>
      </c>
      <c r="J136" s="39">
        <v>732</v>
      </c>
      <c r="K136" s="51" t="str">
        <f>VLOOKUP(J136,'[2]Chart of accounts'!A:H,2,FALSE)</f>
        <v>50103020 01</v>
      </c>
      <c r="L136" s="39"/>
      <c r="M136" s="39"/>
      <c r="N136" s="34"/>
      <c r="O136" s="34"/>
      <c r="P136" s="34"/>
      <c r="Q136" s="53" t="s">
        <v>4</v>
      </c>
      <c r="R136" s="40" t="s">
        <v>862</v>
      </c>
      <c r="S136" s="41" t="s">
        <v>769</v>
      </c>
      <c r="T136" s="42" t="s">
        <v>869</v>
      </c>
      <c r="U136" s="42" t="s">
        <v>864</v>
      </c>
      <c r="V136" s="44">
        <v>100</v>
      </c>
      <c r="W136" s="52"/>
      <c r="X136" s="44">
        <v>100</v>
      </c>
      <c r="Y136" s="44">
        <f t="shared" si="9"/>
        <v>0</v>
      </c>
      <c r="Z136" s="45"/>
      <c r="AA136" s="46"/>
      <c r="AB136" s="47"/>
      <c r="AC136" s="47"/>
      <c r="AD136" s="47"/>
      <c r="AE136" s="47"/>
      <c r="AF136" s="47"/>
      <c r="AG136" s="44"/>
      <c r="AH136" s="44"/>
      <c r="AI136" s="44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4"/>
      <c r="BB136" s="44"/>
      <c r="BC136" s="44"/>
      <c r="BD136" s="44"/>
      <c r="BE136" s="44"/>
      <c r="BH136" s="44"/>
      <c r="BI136" s="44"/>
      <c r="BJ136" s="44"/>
      <c r="BK136" s="44"/>
      <c r="BL136" s="44"/>
      <c r="BM136" s="44"/>
      <c r="BN136" s="44"/>
      <c r="BP136" s="44">
        <v>100</v>
      </c>
      <c r="BQ136" s="44"/>
      <c r="BR136" s="49"/>
      <c r="BS136" s="44"/>
      <c r="BT136" s="44"/>
      <c r="BU136" s="44"/>
      <c r="BV136" s="129"/>
      <c r="BW136" s="47"/>
      <c r="BX136" s="44"/>
      <c r="BY136" s="44">
        <v>100</v>
      </c>
      <c r="BZ136" s="44"/>
      <c r="CA136" s="44"/>
      <c r="CB136" s="44"/>
      <c r="CC136" s="44"/>
      <c r="CD136" s="43"/>
      <c r="CE136" s="44"/>
      <c r="CF136" s="44"/>
      <c r="CG136" s="44"/>
      <c r="CH136" s="44"/>
      <c r="CI136" s="44"/>
      <c r="CJ136" s="44"/>
      <c r="CK136" s="44"/>
      <c r="CL136" s="44"/>
      <c r="CM136" s="44"/>
      <c r="CN136" s="44"/>
      <c r="CO136" s="44"/>
      <c r="CP136" s="44"/>
      <c r="CQ136" s="44"/>
      <c r="CR136" s="44"/>
      <c r="CS136" s="44"/>
      <c r="CT136" s="44"/>
      <c r="CU136" s="44"/>
      <c r="CV136" s="44"/>
      <c r="CW136" s="44"/>
      <c r="CX136" s="44"/>
      <c r="CY136" s="44"/>
      <c r="CZ136" s="44"/>
      <c r="DA136" s="44"/>
      <c r="DB136" s="44"/>
      <c r="DC136" s="44"/>
      <c r="DD136" s="44"/>
      <c r="DE136" s="44"/>
      <c r="DF136" s="44"/>
      <c r="DG136" s="44"/>
      <c r="DH136" s="44"/>
      <c r="DI136" s="44"/>
      <c r="DJ136" s="44"/>
      <c r="DK136" s="44"/>
      <c r="DL136" s="44"/>
      <c r="DM136" s="44"/>
      <c r="DN136" s="44"/>
      <c r="DO136" s="44"/>
      <c r="DP136" s="44"/>
      <c r="DQ136" s="44"/>
      <c r="DR136" s="44"/>
      <c r="DS136" s="44"/>
      <c r="DT136" s="44"/>
      <c r="DU136" s="44"/>
      <c r="DV136" s="44"/>
      <c r="DW136" s="44"/>
      <c r="DX136" s="44"/>
      <c r="DY136" s="44"/>
      <c r="DZ136" s="47"/>
      <c r="EA136" s="47"/>
      <c r="EB136" s="47"/>
    </row>
    <row r="137" spans="3:132" s="32" customFormat="1" ht="27.6">
      <c r="C137" s="76">
        <v>44224</v>
      </c>
      <c r="D137" s="34" t="s">
        <v>759</v>
      </c>
      <c r="E137" s="286" t="s">
        <v>868</v>
      </c>
      <c r="F137" s="36">
        <v>0.6694444444444444</v>
      </c>
      <c r="G137" s="36">
        <v>0.67152777777777783</v>
      </c>
      <c r="H137" s="39" t="s">
        <v>0</v>
      </c>
      <c r="I137" s="34">
        <v>1</v>
      </c>
      <c r="J137" s="39">
        <v>733</v>
      </c>
      <c r="K137" s="51" t="str">
        <f>VLOOKUP(J137,'[2]Chart of accounts'!A:H,2,FALSE)</f>
        <v>50103030 01</v>
      </c>
      <c r="L137" s="39"/>
      <c r="M137" s="39"/>
      <c r="N137" s="34"/>
      <c r="O137" s="34"/>
      <c r="P137" s="34"/>
      <c r="Q137" s="53" t="s">
        <v>4</v>
      </c>
      <c r="R137" s="40" t="s">
        <v>862</v>
      </c>
      <c r="S137" s="41" t="s">
        <v>769</v>
      </c>
      <c r="T137" s="42" t="s">
        <v>869</v>
      </c>
      <c r="U137" s="42" t="s">
        <v>864</v>
      </c>
      <c r="V137" s="44">
        <v>503.63</v>
      </c>
      <c r="W137" s="52"/>
      <c r="X137" s="44">
        <v>503.63</v>
      </c>
      <c r="Y137" s="44">
        <f t="shared" si="9"/>
        <v>0</v>
      </c>
      <c r="Z137" s="45"/>
      <c r="AA137" s="46"/>
      <c r="AB137" s="47"/>
      <c r="AC137" s="47"/>
      <c r="AD137" s="47"/>
      <c r="AE137" s="47"/>
      <c r="AF137" s="47"/>
      <c r="AG137" s="44"/>
      <c r="AH137" s="44"/>
      <c r="AI137" s="44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4"/>
      <c r="BB137" s="44"/>
      <c r="BC137" s="44"/>
      <c r="BD137" s="44"/>
      <c r="BE137" s="44"/>
      <c r="BH137" s="44"/>
      <c r="BI137" s="44"/>
      <c r="BJ137" s="44"/>
      <c r="BK137" s="44"/>
      <c r="BL137" s="44"/>
      <c r="BM137" s="44"/>
      <c r="BN137" s="44"/>
      <c r="BQ137" s="44">
        <v>503.63</v>
      </c>
      <c r="BR137" s="49"/>
      <c r="BS137" s="44"/>
      <c r="BT137" s="44"/>
      <c r="BU137" s="44"/>
      <c r="BV137" s="129"/>
      <c r="BW137" s="47"/>
      <c r="BX137" s="44"/>
      <c r="BY137" s="44">
        <v>503.63</v>
      </c>
      <c r="BZ137" s="44"/>
      <c r="CA137" s="44"/>
      <c r="CB137" s="44"/>
      <c r="CC137" s="44"/>
      <c r="CD137" s="43"/>
      <c r="CE137" s="44"/>
      <c r="CF137" s="44"/>
      <c r="CG137" s="44"/>
      <c r="CH137" s="44"/>
      <c r="CI137" s="44"/>
      <c r="CJ137" s="44"/>
      <c r="CK137" s="44"/>
      <c r="CL137" s="44"/>
      <c r="CM137" s="44"/>
      <c r="CN137" s="44"/>
      <c r="CO137" s="44"/>
      <c r="CP137" s="44"/>
      <c r="CQ137" s="44"/>
      <c r="CR137" s="44"/>
      <c r="CS137" s="44"/>
      <c r="CT137" s="44"/>
      <c r="CU137" s="44"/>
      <c r="CV137" s="44"/>
      <c r="CW137" s="44"/>
      <c r="CX137" s="44"/>
      <c r="CY137" s="44"/>
      <c r="CZ137" s="44"/>
      <c r="DA137" s="44"/>
      <c r="DB137" s="44"/>
      <c r="DC137" s="44"/>
      <c r="DD137" s="44"/>
      <c r="DE137" s="44"/>
      <c r="DF137" s="44"/>
      <c r="DG137" s="44"/>
      <c r="DH137" s="44"/>
      <c r="DI137" s="44"/>
      <c r="DJ137" s="44"/>
      <c r="DK137" s="44"/>
      <c r="DL137" s="44"/>
      <c r="DM137" s="44"/>
      <c r="DN137" s="44"/>
      <c r="DO137" s="44"/>
      <c r="DP137" s="44"/>
      <c r="DQ137" s="44"/>
      <c r="DR137" s="44"/>
      <c r="DS137" s="44"/>
      <c r="DT137" s="44"/>
      <c r="DU137" s="44"/>
      <c r="DV137" s="44"/>
      <c r="DW137" s="44"/>
      <c r="DX137" s="44"/>
      <c r="DY137" s="44"/>
      <c r="DZ137" s="47"/>
      <c r="EA137" s="47"/>
      <c r="EB137" s="47"/>
    </row>
    <row r="138" spans="3:132" s="32" customFormat="1" ht="27.6">
      <c r="C138" s="76">
        <v>44224</v>
      </c>
      <c r="D138" s="34" t="s">
        <v>759</v>
      </c>
      <c r="E138" s="286" t="s">
        <v>868</v>
      </c>
      <c r="F138" s="36">
        <v>0.6694444444444444</v>
      </c>
      <c r="G138" s="36">
        <v>0.67152777777777783</v>
      </c>
      <c r="H138" s="39" t="s">
        <v>0</v>
      </c>
      <c r="I138" s="34">
        <v>1</v>
      </c>
      <c r="J138" s="39">
        <v>734</v>
      </c>
      <c r="K138" s="51" t="str">
        <f>VLOOKUP(J138,'[2]Chart of accounts'!A:H,2,FALSE)</f>
        <v>50103040 01</v>
      </c>
      <c r="L138" s="39"/>
      <c r="M138" s="39"/>
      <c r="N138" s="34"/>
      <c r="O138" s="34"/>
      <c r="P138" s="34"/>
      <c r="Q138" s="53" t="s">
        <v>4</v>
      </c>
      <c r="R138" s="40" t="s">
        <v>862</v>
      </c>
      <c r="S138" s="41" t="s">
        <v>769</v>
      </c>
      <c r="T138" s="42" t="s">
        <v>869</v>
      </c>
      <c r="U138" s="42" t="s">
        <v>864</v>
      </c>
      <c r="V138" s="44">
        <v>100</v>
      </c>
      <c r="W138" s="52"/>
      <c r="X138" s="44">
        <v>100</v>
      </c>
      <c r="Y138" s="44">
        <f t="shared" si="9"/>
        <v>0</v>
      </c>
      <c r="Z138" s="45"/>
      <c r="AA138" s="46"/>
      <c r="AB138" s="47"/>
      <c r="AC138" s="47"/>
      <c r="AD138" s="47"/>
      <c r="AE138" s="47"/>
      <c r="AF138" s="47"/>
      <c r="AG138" s="44"/>
      <c r="AH138" s="44"/>
      <c r="AI138" s="44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4"/>
      <c r="BB138" s="44"/>
      <c r="BC138" s="44"/>
      <c r="BD138" s="44"/>
      <c r="BE138" s="44"/>
      <c r="BH138" s="44"/>
      <c r="BI138" s="44"/>
      <c r="BJ138" s="44"/>
      <c r="BK138" s="44"/>
      <c r="BL138" s="44"/>
      <c r="BM138" s="44"/>
      <c r="BN138" s="44"/>
      <c r="BR138" s="44">
        <v>100</v>
      </c>
      <c r="BS138" s="44"/>
      <c r="BT138" s="44"/>
      <c r="BU138" s="44"/>
      <c r="BV138" s="129"/>
      <c r="BW138" s="47"/>
      <c r="BX138" s="44"/>
      <c r="BY138" s="44">
        <v>100</v>
      </c>
      <c r="BZ138" s="44"/>
      <c r="CA138" s="44"/>
      <c r="CB138" s="44"/>
      <c r="CC138" s="44"/>
      <c r="CD138" s="43"/>
      <c r="CE138" s="44"/>
      <c r="CF138" s="44"/>
      <c r="CG138" s="44"/>
      <c r="CH138" s="44"/>
      <c r="CI138" s="44"/>
      <c r="CJ138" s="44"/>
      <c r="CK138" s="44"/>
      <c r="CL138" s="44"/>
      <c r="CM138" s="44"/>
      <c r="CN138" s="44"/>
      <c r="CO138" s="44"/>
      <c r="CP138" s="44"/>
      <c r="CQ138" s="44"/>
      <c r="CR138" s="44"/>
      <c r="CS138" s="44"/>
      <c r="CT138" s="44"/>
      <c r="CU138" s="44"/>
      <c r="CV138" s="44"/>
      <c r="CW138" s="44"/>
      <c r="CX138" s="44"/>
      <c r="CY138" s="44"/>
      <c r="CZ138" s="44"/>
      <c r="DA138" s="44"/>
      <c r="DB138" s="44"/>
      <c r="DC138" s="44"/>
      <c r="DD138" s="44"/>
      <c r="DE138" s="44"/>
      <c r="DF138" s="44"/>
      <c r="DG138" s="44"/>
      <c r="DH138" s="44"/>
      <c r="DI138" s="44"/>
      <c r="DJ138" s="44"/>
      <c r="DK138" s="44"/>
      <c r="DL138" s="44"/>
      <c r="DM138" s="44"/>
      <c r="DN138" s="44"/>
      <c r="DO138" s="44"/>
      <c r="DP138" s="44"/>
      <c r="DQ138" s="44"/>
      <c r="DR138" s="44"/>
      <c r="DS138" s="44"/>
      <c r="DT138" s="44"/>
      <c r="DU138" s="44"/>
      <c r="DV138" s="44"/>
      <c r="DW138" s="44"/>
      <c r="DX138" s="44"/>
      <c r="DY138" s="44"/>
      <c r="DZ138" s="47"/>
      <c r="EA138" s="47"/>
      <c r="EB138" s="47"/>
    </row>
    <row r="139" spans="3:132" s="32" customFormat="1" ht="27.6">
      <c r="C139" s="76">
        <v>44224</v>
      </c>
      <c r="D139" s="34" t="s">
        <v>759</v>
      </c>
      <c r="E139" s="286" t="s">
        <v>870</v>
      </c>
      <c r="F139" s="36">
        <v>0.67152777777777783</v>
      </c>
      <c r="G139" s="36">
        <v>0.6743055555555556</v>
      </c>
      <c r="H139" s="39" t="s">
        <v>0</v>
      </c>
      <c r="I139" s="34">
        <v>1</v>
      </c>
      <c r="J139" s="39">
        <v>706</v>
      </c>
      <c r="K139" s="51" t="str">
        <f>VLOOKUP(J139,'[2]Chart of accounts'!A:H,2,FALSE)</f>
        <v>50101020 00</v>
      </c>
      <c r="L139" s="39"/>
      <c r="M139" s="39"/>
      <c r="N139" s="34"/>
      <c r="O139" s="34"/>
      <c r="P139" s="34"/>
      <c r="Q139" s="53" t="s">
        <v>4</v>
      </c>
      <c r="R139" s="40" t="s">
        <v>862</v>
      </c>
      <c r="S139" s="41" t="s">
        <v>771</v>
      </c>
      <c r="T139" s="42" t="s">
        <v>768</v>
      </c>
      <c r="U139" s="42" t="s">
        <v>864</v>
      </c>
      <c r="V139" s="44">
        <v>77256</v>
      </c>
      <c r="W139" s="52"/>
      <c r="X139" s="44">
        <v>77256</v>
      </c>
      <c r="Y139" s="44">
        <f t="shared" si="9"/>
        <v>0</v>
      </c>
      <c r="Z139" s="45"/>
      <c r="AA139" s="46"/>
      <c r="AB139" s="47"/>
      <c r="AC139" s="47"/>
      <c r="AD139" s="47"/>
      <c r="AE139" s="47"/>
      <c r="AF139" s="47"/>
      <c r="AG139" s="44"/>
      <c r="AH139" s="44"/>
      <c r="AI139" s="44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4"/>
      <c r="BB139" s="44"/>
      <c r="BC139" s="44"/>
      <c r="BD139" s="44"/>
      <c r="BE139" s="44"/>
      <c r="BF139" s="44">
        <v>77256</v>
      </c>
      <c r="BG139" s="44"/>
      <c r="BH139" s="44"/>
      <c r="BI139" s="44"/>
      <c r="BJ139" s="44"/>
      <c r="BK139" s="44"/>
      <c r="BL139" s="44"/>
      <c r="BM139" s="44"/>
      <c r="BN139" s="44"/>
      <c r="BO139" s="44"/>
      <c r="BP139" s="44"/>
      <c r="BQ139" s="44"/>
      <c r="BR139" s="49"/>
      <c r="BS139" s="44"/>
      <c r="BT139" s="44"/>
      <c r="BU139" s="44"/>
      <c r="BV139" s="129"/>
      <c r="BW139" s="47"/>
      <c r="BX139" s="44"/>
      <c r="BY139" s="44">
        <v>77256</v>
      </c>
      <c r="BZ139" s="44"/>
      <c r="CA139" s="44"/>
      <c r="CB139" s="44"/>
      <c r="CC139" s="44"/>
      <c r="CD139" s="43"/>
      <c r="CE139" s="44"/>
      <c r="CF139" s="44"/>
      <c r="CG139" s="44"/>
      <c r="CH139" s="44"/>
      <c r="CI139" s="44"/>
      <c r="CJ139" s="44"/>
      <c r="CK139" s="44"/>
      <c r="CL139" s="44"/>
      <c r="CM139" s="44"/>
      <c r="CN139" s="44"/>
      <c r="CO139" s="44"/>
      <c r="CP139" s="44"/>
      <c r="CQ139" s="44"/>
      <c r="CR139" s="44"/>
      <c r="CS139" s="44"/>
      <c r="CT139" s="44"/>
      <c r="CU139" s="44"/>
      <c r="CV139" s="44"/>
      <c r="CW139" s="44"/>
      <c r="CX139" s="44"/>
      <c r="CY139" s="44"/>
      <c r="CZ139" s="44"/>
      <c r="DA139" s="44"/>
      <c r="DB139" s="44"/>
      <c r="DC139" s="44"/>
      <c r="DD139" s="44"/>
      <c r="DE139" s="44"/>
      <c r="DF139" s="44"/>
      <c r="DG139" s="44"/>
      <c r="DH139" s="44"/>
      <c r="DI139" s="44"/>
      <c r="DJ139" s="44"/>
      <c r="DK139" s="44"/>
      <c r="DL139" s="44"/>
      <c r="DM139" s="44"/>
      <c r="DN139" s="44"/>
      <c r="DO139" s="44"/>
      <c r="DP139" s="44"/>
      <c r="DQ139" s="44"/>
      <c r="DR139" s="44"/>
      <c r="DS139" s="44"/>
      <c r="DT139" s="44"/>
      <c r="DU139" s="44"/>
      <c r="DV139" s="44"/>
      <c r="DW139" s="44"/>
      <c r="DX139" s="44"/>
      <c r="DY139" s="44"/>
      <c r="DZ139" s="47"/>
      <c r="EA139" s="47"/>
      <c r="EB139" s="47"/>
    </row>
    <row r="140" spans="3:132" s="32" customFormat="1" ht="27.6">
      <c r="C140" s="76">
        <v>44224</v>
      </c>
      <c r="D140" s="34" t="s">
        <v>759</v>
      </c>
      <c r="E140" s="286" t="s">
        <v>870</v>
      </c>
      <c r="F140" s="36">
        <v>0.67152777777777783</v>
      </c>
      <c r="G140" s="36">
        <v>0.6743055555555556</v>
      </c>
      <c r="H140" s="39" t="s">
        <v>0</v>
      </c>
      <c r="I140" s="34">
        <v>1</v>
      </c>
      <c r="J140" s="39">
        <v>711</v>
      </c>
      <c r="K140" s="51" t="str">
        <f>VLOOKUP(J140,'[2]Chart of accounts'!A:H,2,FALSE)</f>
        <v>50102010 01</v>
      </c>
      <c r="L140" s="39"/>
      <c r="M140" s="39"/>
      <c r="N140" s="34"/>
      <c r="O140" s="34"/>
      <c r="P140" s="34"/>
      <c r="Q140" s="53" t="s">
        <v>4</v>
      </c>
      <c r="R140" s="40" t="s">
        <v>862</v>
      </c>
      <c r="S140" s="41" t="s">
        <v>771</v>
      </c>
      <c r="T140" s="42" t="s">
        <v>768</v>
      </c>
      <c r="U140" s="42" t="s">
        <v>864</v>
      </c>
      <c r="V140" s="44">
        <v>4000</v>
      </c>
      <c r="W140" s="52"/>
      <c r="X140" s="44">
        <v>4000</v>
      </c>
      <c r="Y140" s="44">
        <f t="shared" si="9"/>
        <v>0</v>
      </c>
      <c r="Z140" s="45"/>
      <c r="AA140" s="46"/>
      <c r="AB140" s="47"/>
      <c r="AC140" s="47"/>
      <c r="AD140" s="47"/>
      <c r="AE140" s="47"/>
      <c r="AF140" s="47"/>
      <c r="AG140" s="44"/>
      <c r="AH140" s="44"/>
      <c r="AI140" s="44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4"/>
      <c r="BB140" s="44"/>
      <c r="BC140" s="44"/>
      <c r="BD140" s="44"/>
      <c r="BE140" s="44"/>
      <c r="BG140" s="44">
        <v>4000</v>
      </c>
      <c r="BH140" s="44"/>
      <c r="BI140" s="44"/>
      <c r="BJ140" s="44"/>
      <c r="BK140" s="44"/>
      <c r="BL140" s="44"/>
      <c r="BM140" s="44"/>
      <c r="BN140" s="44"/>
      <c r="BO140" s="44"/>
      <c r="BP140" s="44"/>
      <c r="BQ140" s="44"/>
      <c r="BR140" s="49"/>
      <c r="BS140" s="44"/>
      <c r="BT140" s="44"/>
      <c r="BU140" s="44"/>
      <c r="BV140" s="129"/>
      <c r="BW140" s="47"/>
      <c r="BX140" s="44"/>
      <c r="BY140" s="44">
        <v>4000</v>
      </c>
      <c r="BZ140" s="44"/>
      <c r="CA140" s="44"/>
      <c r="CB140" s="44"/>
      <c r="CC140" s="44"/>
      <c r="CD140" s="43"/>
      <c r="CE140" s="44"/>
      <c r="CF140" s="44"/>
      <c r="CG140" s="44"/>
      <c r="CH140" s="44"/>
      <c r="CI140" s="44"/>
      <c r="CJ140" s="44"/>
      <c r="CK140" s="44"/>
      <c r="CL140" s="44"/>
      <c r="CM140" s="44"/>
      <c r="CN140" s="44"/>
      <c r="CO140" s="44"/>
      <c r="CP140" s="44"/>
      <c r="CQ140" s="44"/>
      <c r="CR140" s="44"/>
      <c r="CS140" s="44"/>
      <c r="CT140" s="44"/>
      <c r="CU140" s="44"/>
      <c r="CV140" s="44"/>
      <c r="CW140" s="44"/>
      <c r="CX140" s="44"/>
      <c r="CY140" s="44"/>
      <c r="CZ140" s="44"/>
      <c r="DA140" s="44"/>
      <c r="DB140" s="44"/>
      <c r="DC140" s="44"/>
      <c r="DD140" s="44"/>
      <c r="DE140" s="44"/>
      <c r="DF140" s="44"/>
      <c r="DG140" s="44"/>
      <c r="DH140" s="44"/>
      <c r="DI140" s="44"/>
      <c r="DJ140" s="44"/>
      <c r="DK140" s="44"/>
      <c r="DL140" s="44"/>
      <c r="DM140" s="44"/>
      <c r="DN140" s="44"/>
      <c r="DO140" s="44"/>
      <c r="DP140" s="44"/>
      <c r="DQ140" s="44"/>
      <c r="DR140" s="44"/>
      <c r="DS140" s="44"/>
      <c r="DT140" s="44"/>
      <c r="DU140" s="44"/>
      <c r="DV140" s="44"/>
      <c r="DW140" s="44"/>
      <c r="DX140" s="44"/>
      <c r="DY140" s="44"/>
      <c r="DZ140" s="47"/>
      <c r="EA140" s="47"/>
      <c r="EB140" s="47"/>
    </row>
    <row r="141" spans="3:132" s="32" customFormat="1" ht="27.6">
      <c r="C141" s="76">
        <v>44224</v>
      </c>
      <c r="D141" s="34" t="s">
        <v>759</v>
      </c>
      <c r="E141" s="286" t="s">
        <v>870</v>
      </c>
      <c r="F141" s="36">
        <v>0.67152777777777783</v>
      </c>
      <c r="G141" s="36">
        <v>0.6743055555555556</v>
      </c>
      <c r="H141" s="39" t="s">
        <v>0</v>
      </c>
      <c r="I141" s="34">
        <v>1</v>
      </c>
      <c r="J141" s="39">
        <v>731</v>
      </c>
      <c r="K141" s="51" t="str">
        <f>VLOOKUP(J141,'[2]Chart of accounts'!A:H,2,FALSE)</f>
        <v>50103010 00</v>
      </c>
      <c r="L141" s="39"/>
      <c r="M141" s="39"/>
      <c r="N141" s="34"/>
      <c r="O141" s="34"/>
      <c r="P141" s="34"/>
      <c r="Q141" s="53" t="s">
        <v>4</v>
      </c>
      <c r="R141" s="40" t="s">
        <v>862</v>
      </c>
      <c r="S141" s="41" t="s">
        <v>771</v>
      </c>
      <c r="T141" s="42" t="s">
        <v>768</v>
      </c>
      <c r="U141" s="42" t="s">
        <v>864</v>
      </c>
      <c r="V141" s="44">
        <v>9270.7199999999993</v>
      </c>
      <c r="W141" s="52"/>
      <c r="X141" s="44">
        <v>9270.7199999999993</v>
      </c>
      <c r="Y141" s="44">
        <f t="shared" si="9"/>
        <v>0</v>
      </c>
      <c r="Z141" s="45"/>
      <c r="AA141" s="46"/>
      <c r="AB141" s="47"/>
      <c r="AC141" s="47"/>
      <c r="AD141" s="47"/>
      <c r="AE141" s="47"/>
      <c r="AF141" s="47"/>
      <c r="AG141" s="44"/>
      <c r="AH141" s="44"/>
      <c r="AI141" s="44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4"/>
      <c r="BB141" s="44"/>
      <c r="BC141" s="44"/>
      <c r="BD141" s="44"/>
      <c r="BE141" s="44"/>
      <c r="BF141" s="48"/>
      <c r="BG141" s="44"/>
      <c r="BH141" s="44"/>
      <c r="BI141" s="44"/>
      <c r="BJ141" s="44"/>
      <c r="BK141" s="44"/>
      <c r="BL141" s="44"/>
      <c r="BM141" s="44"/>
      <c r="BN141" s="44"/>
      <c r="BO141" s="44">
        <v>9270.7199999999993</v>
      </c>
      <c r="BP141" s="44"/>
      <c r="BQ141" s="44"/>
      <c r="BR141" s="49"/>
      <c r="BS141" s="44"/>
      <c r="BT141" s="44"/>
      <c r="BU141" s="44"/>
      <c r="BV141" s="129"/>
      <c r="BW141" s="47"/>
      <c r="BX141" s="44"/>
      <c r="BY141" s="44">
        <v>9270.7199999999993</v>
      </c>
      <c r="BZ141" s="44"/>
      <c r="CA141" s="44"/>
      <c r="CB141" s="44"/>
      <c r="CC141" s="44"/>
      <c r="CD141" s="43"/>
      <c r="CE141" s="44"/>
      <c r="CF141" s="44"/>
      <c r="CG141" s="44"/>
      <c r="CH141" s="44"/>
      <c r="CI141" s="44"/>
      <c r="CJ141" s="44"/>
      <c r="CK141" s="44"/>
      <c r="CL141" s="44"/>
      <c r="CM141" s="44"/>
      <c r="CN141" s="44"/>
      <c r="CO141" s="44"/>
      <c r="CP141" s="44"/>
      <c r="CQ141" s="44"/>
      <c r="CR141" s="44"/>
      <c r="CS141" s="44"/>
      <c r="CT141" s="44"/>
      <c r="CU141" s="44"/>
      <c r="CV141" s="44"/>
      <c r="CW141" s="44"/>
      <c r="CX141" s="44"/>
      <c r="CY141" s="44"/>
      <c r="CZ141" s="44"/>
      <c r="DA141" s="44"/>
      <c r="DB141" s="44"/>
      <c r="DC141" s="44"/>
      <c r="DD141" s="44"/>
      <c r="DE141" s="44"/>
      <c r="DF141" s="44"/>
      <c r="DG141" s="44"/>
      <c r="DH141" s="44"/>
      <c r="DI141" s="44"/>
      <c r="DJ141" s="44"/>
      <c r="DK141" s="44"/>
      <c r="DL141" s="44"/>
      <c r="DM141" s="44"/>
      <c r="DN141" s="44"/>
      <c r="DO141" s="44"/>
      <c r="DP141" s="44"/>
      <c r="DQ141" s="44"/>
      <c r="DR141" s="44"/>
      <c r="DS141" s="44"/>
      <c r="DT141" s="44"/>
      <c r="DU141" s="44"/>
      <c r="DV141" s="44"/>
      <c r="DW141" s="44"/>
      <c r="DX141" s="44"/>
      <c r="DY141" s="44"/>
      <c r="DZ141" s="47"/>
      <c r="EA141" s="47"/>
      <c r="EB141" s="47"/>
    </row>
    <row r="142" spans="3:132" s="32" customFormat="1" ht="27.6">
      <c r="C142" s="76">
        <v>44224</v>
      </c>
      <c r="D142" s="34" t="s">
        <v>759</v>
      </c>
      <c r="E142" s="286" t="s">
        <v>870</v>
      </c>
      <c r="F142" s="36">
        <v>0.67152777777777783</v>
      </c>
      <c r="G142" s="36">
        <v>0.6743055555555556</v>
      </c>
      <c r="H142" s="39" t="s">
        <v>0</v>
      </c>
      <c r="I142" s="34">
        <v>1</v>
      </c>
      <c r="J142" s="39">
        <v>732</v>
      </c>
      <c r="K142" s="51" t="str">
        <f>VLOOKUP(J142,'[2]Chart of accounts'!A:H,2,FALSE)</f>
        <v>50103020 01</v>
      </c>
      <c r="L142" s="39"/>
      <c r="M142" s="39"/>
      <c r="N142" s="34"/>
      <c r="O142" s="34"/>
      <c r="P142" s="34"/>
      <c r="Q142" s="53" t="s">
        <v>4</v>
      </c>
      <c r="R142" s="40" t="s">
        <v>862</v>
      </c>
      <c r="S142" s="41" t="s">
        <v>771</v>
      </c>
      <c r="T142" s="42" t="s">
        <v>768</v>
      </c>
      <c r="U142" s="42" t="s">
        <v>864</v>
      </c>
      <c r="V142" s="44">
        <v>200</v>
      </c>
      <c r="W142" s="52"/>
      <c r="X142" s="44">
        <v>200</v>
      </c>
      <c r="Y142" s="44">
        <f t="shared" si="9"/>
        <v>0</v>
      </c>
      <c r="Z142" s="45"/>
      <c r="AA142" s="46"/>
      <c r="AB142" s="47"/>
      <c r="AC142" s="47"/>
      <c r="AD142" s="47"/>
      <c r="AE142" s="47"/>
      <c r="AF142" s="47"/>
      <c r="AG142" s="44"/>
      <c r="AH142" s="44"/>
      <c r="AI142" s="44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4"/>
      <c r="BB142" s="44"/>
      <c r="BC142" s="44"/>
      <c r="BD142" s="44"/>
      <c r="BE142" s="44"/>
      <c r="BF142" s="48"/>
      <c r="BG142" s="44"/>
      <c r="BH142" s="44"/>
      <c r="BI142" s="44"/>
      <c r="BJ142" s="44"/>
      <c r="BK142" s="44"/>
      <c r="BL142" s="44"/>
      <c r="BM142" s="44"/>
      <c r="BN142" s="44"/>
      <c r="BP142" s="44">
        <v>200</v>
      </c>
      <c r="BQ142" s="44"/>
      <c r="BR142" s="49"/>
      <c r="BS142" s="44"/>
      <c r="BT142" s="44"/>
      <c r="BU142" s="44"/>
      <c r="BV142" s="129"/>
      <c r="BW142" s="47"/>
      <c r="BX142" s="44"/>
      <c r="BY142" s="44">
        <v>200</v>
      </c>
      <c r="BZ142" s="44"/>
      <c r="CA142" s="44"/>
      <c r="CB142" s="44"/>
      <c r="CC142" s="44"/>
      <c r="CD142" s="43"/>
      <c r="CE142" s="44"/>
      <c r="CF142" s="44"/>
      <c r="CG142" s="44"/>
      <c r="CH142" s="44"/>
      <c r="CI142" s="44"/>
      <c r="CJ142" s="44"/>
      <c r="CK142" s="44"/>
      <c r="CL142" s="44"/>
      <c r="CM142" s="44"/>
      <c r="CN142" s="44"/>
      <c r="CO142" s="44"/>
      <c r="CP142" s="44"/>
      <c r="CQ142" s="44"/>
      <c r="CR142" s="44"/>
      <c r="CS142" s="44"/>
      <c r="CT142" s="44"/>
      <c r="CU142" s="44"/>
      <c r="CV142" s="44"/>
      <c r="CW142" s="44"/>
      <c r="CX142" s="44"/>
      <c r="CY142" s="44"/>
      <c r="CZ142" s="44"/>
      <c r="DA142" s="44"/>
      <c r="DB142" s="44"/>
      <c r="DC142" s="44"/>
      <c r="DD142" s="44"/>
      <c r="DE142" s="44"/>
      <c r="DF142" s="44"/>
      <c r="DG142" s="44"/>
      <c r="DH142" s="44"/>
      <c r="DI142" s="44"/>
      <c r="DJ142" s="44"/>
      <c r="DK142" s="44"/>
      <c r="DL142" s="44"/>
      <c r="DM142" s="44"/>
      <c r="DN142" s="44"/>
      <c r="DO142" s="44"/>
      <c r="DP142" s="44"/>
      <c r="DQ142" s="44"/>
      <c r="DR142" s="44"/>
      <c r="DS142" s="44"/>
      <c r="DT142" s="44"/>
      <c r="DU142" s="44"/>
      <c r="DV142" s="44"/>
      <c r="DW142" s="44"/>
      <c r="DX142" s="44"/>
      <c r="DY142" s="44"/>
      <c r="DZ142" s="47"/>
      <c r="EA142" s="47"/>
      <c r="EB142" s="47"/>
    </row>
    <row r="143" spans="3:132" s="32" customFormat="1" ht="27.6">
      <c r="C143" s="76">
        <v>44224</v>
      </c>
      <c r="D143" s="34" t="s">
        <v>759</v>
      </c>
      <c r="E143" s="286" t="s">
        <v>870</v>
      </c>
      <c r="F143" s="36">
        <v>0.67152777777777783</v>
      </c>
      <c r="G143" s="36">
        <v>0.6743055555555556</v>
      </c>
      <c r="H143" s="39" t="s">
        <v>0</v>
      </c>
      <c r="I143" s="34">
        <v>1</v>
      </c>
      <c r="J143" s="39">
        <v>733</v>
      </c>
      <c r="K143" s="51" t="str">
        <f>VLOOKUP(J143,'[2]Chart of accounts'!A:H,2,FALSE)</f>
        <v>50103030 01</v>
      </c>
      <c r="L143" s="39"/>
      <c r="M143" s="39"/>
      <c r="N143" s="34"/>
      <c r="O143" s="34"/>
      <c r="P143" s="34"/>
      <c r="Q143" s="53" t="s">
        <v>4</v>
      </c>
      <c r="R143" s="40" t="s">
        <v>862</v>
      </c>
      <c r="S143" s="41" t="s">
        <v>771</v>
      </c>
      <c r="T143" s="42" t="s">
        <v>768</v>
      </c>
      <c r="U143" s="42" t="s">
        <v>864</v>
      </c>
      <c r="V143" s="44">
        <v>1158.8499999999999</v>
      </c>
      <c r="W143" s="52"/>
      <c r="X143" s="44">
        <v>1158.8499999999999</v>
      </c>
      <c r="Y143" s="44">
        <f t="shared" si="9"/>
        <v>0</v>
      </c>
      <c r="Z143" s="45"/>
      <c r="AA143" s="46"/>
      <c r="AB143" s="47"/>
      <c r="AC143" s="47"/>
      <c r="AD143" s="47"/>
      <c r="AE143" s="47"/>
      <c r="AF143" s="47"/>
      <c r="AG143" s="44"/>
      <c r="AH143" s="44"/>
      <c r="AI143" s="44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4"/>
      <c r="BB143" s="44"/>
      <c r="BC143" s="44"/>
      <c r="BD143" s="44"/>
      <c r="BE143" s="44"/>
      <c r="BF143" s="48"/>
      <c r="BG143" s="44"/>
      <c r="BH143" s="44"/>
      <c r="BI143" s="44"/>
      <c r="BJ143" s="44"/>
      <c r="BK143" s="44"/>
      <c r="BL143" s="44"/>
      <c r="BM143" s="44"/>
      <c r="BN143" s="44"/>
      <c r="BO143" s="44"/>
      <c r="BP143" s="44"/>
      <c r="BQ143" s="44">
        <v>1158.8499999999999</v>
      </c>
      <c r="BR143" s="49"/>
      <c r="BS143" s="44"/>
      <c r="BT143" s="44"/>
      <c r="BU143" s="44"/>
      <c r="BV143" s="129"/>
      <c r="BW143" s="47"/>
      <c r="BX143" s="44"/>
      <c r="BY143" s="44">
        <v>1158.8499999999999</v>
      </c>
      <c r="BZ143" s="44"/>
      <c r="CA143" s="44"/>
      <c r="CB143" s="44"/>
      <c r="CC143" s="44"/>
      <c r="CD143" s="43"/>
      <c r="CE143" s="44"/>
      <c r="CF143" s="44"/>
      <c r="CG143" s="44"/>
      <c r="CH143" s="44"/>
      <c r="CI143" s="44"/>
      <c r="CJ143" s="44"/>
      <c r="CK143" s="44"/>
      <c r="CL143" s="44"/>
      <c r="CM143" s="44"/>
      <c r="CN143" s="44"/>
      <c r="CO143" s="44"/>
      <c r="CP143" s="44"/>
      <c r="CQ143" s="44"/>
      <c r="CR143" s="44"/>
      <c r="CS143" s="44"/>
      <c r="CT143" s="44"/>
      <c r="CU143" s="44"/>
      <c r="CV143" s="44"/>
      <c r="CW143" s="44"/>
      <c r="CX143" s="44"/>
      <c r="CY143" s="44"/>
      <c r="CZ143" s="44"/>
      <c r="DA143" s="44"/>
      <c r="DB143" s="44"/>
      <c r="DC143" s="44"/>
      <c r="DD143" s="44"/>
      <c r="DE143" s="44"/>
      <c r="DF143" s="44"/>
      <c r="DG143" s="44"/>
      <c r="DH143" s="44"/>
      <c r="DI143" s="44"/>
      <c r="DJ143" s="44"/>
      <c r="DK143" s="44"/>
      <c r="DL143" s="44"/>
      <c r="DM143" s="44"/>
      <c r="DN143" s="44"/>
      <c r="DO143" s="44"/>
      <c r="DP143" s="44"/>
      <c r="DQ143" s="44"/>
      <c r="DR143" s="44"/>
      <c r="DS143" s="44"/>
      <c r="DT143" s="44"/>
      <c r="DU143" s="44"/>
      <c r="DV143" s="44"/>
      <c r="DW143" s="44"/>
      <c r="DX143" s="44"/>
      <c r="DY143" s="44"/>
      <c r="DZ143" s="47"/>
      <c r="EA143" s="47"/>
      <c r="EB143" s="47"/>
    </row>
    <row r="144" spans="3:132" s="32" customFormat="1" ht="27.6">
      <c r="C144" s="76">
        <v>44224</v>
      </c>
      <c r="D144" s="34" t="s">
        <v>759</v>
      </c>
      <c r="E144" s="286" t="s">
        <v>870</v>
      </c>
      <c r="F144" s="36">
        <v>0.67152777777777783</v>
      </c>
      <c r="G144" s="36">
        <v>0.6743055555555556</v>
      </c>
      <c r="H144" s="39" t="s">
        <v>0</v>
      </c>
      <c r="I144" s="34">
        <v>1</v>
      </c>
      <c r="J144" s="39">
        <v>734</v>
      </c>
      <c r="K144" s="51" t="str">
        <f>VLOOKUP(J144,'[2]Chart of accounts'!A:H,2,FALSE)</f>
        <v>50103040 01</v>
      </c>
      <c r="L144" s="39"/>
      <c r="M144" s="39"/>
      <c r="N144" s="34"/>
      <c r="O144" s="34"/>
      <c r="P144" s="34"/>
      <c r="Q144" s="53" t="s">
        <v>4</v>
      </c>
      <c r="R144" s="40" t="s">
        <v>862</v>
      </c>
      <c r="S144" s="41" t="s">
        <v>771</v>
      </c>
      <c r="T144" s="42" t="s">
        <v>768</v>
      </c>
      <c r="U144" s="42" t="s">
        <v>864</v>
      </c>
      <c r="V144" s="44">
        <v>200</v>
      </c>
      <c r="W144" s="52"/>
      <c r="X144" s="44">
        <v>200</v>
      </c>
      <c r="Y144" s="44">
        <f t="shared" si="9"/>
        <v>0</v>
      </c>
      <c r="Z144" s="45"/>
      <c r="AA144" s="46"/>
      <c r="AB144" s="47"/>
      <c r="AC144" s="47"/>
      <c r="AD144" s="47"/>
      <c r="AE144" s="47"/>
      <c r="AF144" s="47"/>
      <c r="AG144" s="44"/>
      <c r="AH144" s="44"/>
      <c r="AI144" s="44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4"/>
      <c r="BB144" s="44"/>
      <c r="BC144" s="44"/>
      <c r="BD144" s="44"/>
      <c r="BE144" s="44"/>
      <c r="BF144" s="48"/>
      <c r="BG144" s="44"/>
      <c r="BH144" s="44"/>
      <c r="BI144" s="44"/>
      <c r="BJ144" s="44"/>
      <c r="BK144" s="44"/>
      <c r="BL144" s="44"/>
      <c r="BM144" s="44"/>
      <c r="BN144" s="44"/>
      <c r="BO144" s="44"/>
      <c r="BP144" s="44"/>
      <c r="BR144" s="44">
        <v>200</v>
      </c>
      <c r="BS144" s="44"/>
      <c r="BT144" s="44"/>
      <c r="BU144" s="44"/>
      <c r="BV144" s="129"/>
      <c r="BW144" s="47"/>
      <c r="BX144" s="44"/>
      <c r="BY144" s="44">
        <v>200</v>
      </c>
      <c r="BZ144" s="44"/>
      <c r="CA144" s="44"/>
      <c r="CB144" s="44"/>
      <c r="CC144" s="44"/>
      <c r="CD144" s="43"/>
      <c r="CE144" s="44"/>
      <c r="CF144" s="44"/>
      <c r="CG144" s="44"/>
      <c r="CH144" s="44"/>
      <c r="CI144" s="44"/>
      <c r="CJ144" s="44"/>
      <c r="CK144" s="44"/>
      <c r="CL144" s="44"/>
      <c r="CM144" s="44"/>
      <c r="CN144" s="44"/>
      <c r="CO144" s="44"/>
      <c r="CP144" s="44"/>
      <c r="CQ144" s="44"/>
      <c r="CR144" s="44"/>
      <c r="CS144" s="44"/>
      <c r="CT144" s="44"/>
      <c r="CU144" s="44"/>
      <c r="CV144" s="44"/>
      <c r="CW144" s="44"/>
      <c r="CX144" s="44"/>
      <c r="CY144" s="44"/>
      <c r="CZ144" s="44"/>
      <c r="DA144" s="44"/>
      <c r="DB144" s="44"/>
      <c r="DC144" s="44"/>
      <c r="DD144" s="44"/>
      <c r="DE144" s="44"/>
      <c r="DF144" s="44"/>
      <c r="DG144" s="44"/>
      <c r="DH144" s="44"/>
      <c r="DI144" s="44"/>
      <c r="DJ144" s="44"/>
      <c r="DK144" s="44"/>
      <c r="DL144" s="44"/>
      <c r="DM144" s="44"/>
      <c r="DN144" s="44"/>
      <c r="DO144" s="44"/>
      <c r="DP144" s="44"/>
      <c r="DQ144" s="44"/>
      <c r="DR144" s="44"/>
      <c r="DS144" s="44"/>
      <c r="DT144" s="44"/>
      <c r="DU144" s="44"/>
      <c r="DV144" s="44"/>
      <c r="DW144" s="44"/>
      <c r="DX144" s="44"/>
      <c r="DY144" s="44"/>
      <c r="DZ144" s="47"/>
      <c r="EA144" s="47"/>
      <c r="EB144" s="47"/>
    </row>
    <row r="145" spans="3:132" s="32" customFormat="1" ht="27.6">
      <c r="C145" s="76">
        <v>44224</v>
      </c>
      <c r="D145" s="34" t="s">
        <v>759</v>
      </c>
      <c r="E145" s="286" t="s">
        <v>871</v>
      </c>
      <c r="F145" s="36">
        <v>0.6743055555555556</v>
      </c>
      <c r="G145" s="36">
        <v>0.67499999999999993</v>
      </c>
      <c r="H145" s="39" t="s">
        <v>0</v>
      </c>
      <c r="I145" s="34">
        <v>1</v>
      </c>
      <c r="J145" s="39">
        <v>706</v>
      </c>
      <c r="K145" s="51" t="str">
        <f>VLOOKUP(J145,'[2]Chart of accounts'!A:H,2,FALSE)</f>
        <v>50101020 00</v>
      </c>
      <c r="L145" s="39"/>
      <c r="M145" s="39"/>
      <c r="N145" s="34"/>
      <c r="O145" s="34"/>
      <c r="P145" s="34"/>
      <c r="Q145" s="53" t="s">
        <v>4</v>
      </c>
      <c r="R145" s="40" t="s">
        <v>862</v>
      </c>
      <c r="S145" s="41" t="s">
        <v>770</v>
      </c>
      <c r="T145" s="42" t="s">
        <v>872</v>
      </c>
      <c r="U145" s="42" t="s">
        <v>864</v>
      </c>
      <c r="V145" s="44">
        <v>33575</v>
      </c>
      <c r="W145" s="52"/>
      <c r="X145" s="44">
        <v>33575</v>
      </c>
      <c r="Y145" s="44">
        <f t="shared" ref="Y145:Y150" si="10">+V145-X145</f>
        <v>0</v>
      </c>
      <c r="Z145" s="45"/>
      <c r="AA145" s="46"/>
      <c r="AB145" s="47"/>
      <c r="AC145" s="47"/>
      <c r="AD145" s="47"/>
      <c r="AE145" s="47"/>
      <c r="AF145" s="47"/>
      <c r="AG145" s="44"/>
      <c r="AH145" s="44"/>
      <c r="AI145" s="44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4"/>
      <c r="BB145" s="44"/>
      <c r="BC145" s="44"/>
      <c r="BD145" s="44"/>
      <c r="BE145" s="44"/>
      <c r="BF145" s="44">
        <v>33575</v>
      </c>
      <c r="BG145" s="44"/>
      <c r="BH145" s="44"/>
      <c r="BI145" s="44"/>
      <c r="BJ145" s="44"/>
      <c r="BK145" s="44"/>
      <c r="BL145" s="44"/>
      <c r="BM145" s="44"/>
      <c r="BN145" s="44"/>
      <c r="BO145" s="44"/>
      <c r="BP145" s="44"/>
      <c r="BQ145" s="44"/>
      <c r="BR145" s="49"/>
      <c r="BS145" s="44"/>
      <c r="BT145" s="44"/>
      <c r="BU145" s="44"/>
      <c r="BV145" s="129"/>
      <c r="BW145" s="47"/>
      <c r="BX145" s="44"/>
      <c r="BY145" s="44">
        <v>33575</v>
      </c>
      <c r="BZ145" s="44"/>
      <c r="CA145" s="44"/>
      <c r="CB145" s="44"/>
      <c r="CC145" s="44"/>
      <c r="CD145" s="43"/>
      <c r="CE145" s="44"/>
      <c r="CF145" s="44"/>
      <c r="CG145" s="44"/>
      <c r="CH145" s="44"/>
      <c r="CI145" s="44"/>
      <c r="CJ145" s="44"/>
      <c r="CK145" s="44"/>
      <c r="CL145" s="44"/>
      <c r="CM145" s="44"/>
      <c r="CN145" s="44"/>
      <c r="CO145" s="44"/>
      <c r="CP145" s="44"/>
      <c r="CQ145" s="44"/>
      <c r="CR145" s="44"/>
      <c r="CS145" s="44"/>
      <c r="CT145" s="44"/>
      <c r="CU145" s="44"/>
      <c r="CV145" s="44"/>
      <c r="CW145" s="44"/>
      <c r="CX145" s="44"/>
      <c r="CY145" s="44"/>
      <c r="CZ145" s="44"/>
      <c r="DA145" s="44"/>
      <c r="DB145" s="44"/>
      <c r="DC145" s="44"/>
      <c r="DD145" s="44"/>
      <c r="DE145" s="44"/>
      <c r="DF145" s="44"/>
      <c r="DG145" s="44"/>
      <c r="DH145" s="44"/>
      <c r="DI145" s="44"/>
      <c r="DJ145" s="44"/>
      <c r="DK145" s="44"/>
      <c r="DL145" s="44"/>
      <c r="DM145" s="44"/>
      <c r="DN145" s="44"/>
      <c r="DO145" s="44"/>
      <c r="DP145" s="44"/>
      <c r="DQ145" s="44"/>
      <c r="DR145" s="44"/>
      <c r="DS145" s="44"/>
      <c r="DT145" s="44"/>
      <c r="DU145" s="44"/>
      <c r="DV145" s="44"/>
      <c r="DW145" s="44"/>
      <c r="DX145" s="44"/>
      <c r="DY145" s="44"/>
      <c r="DZ145" s="47"/>
      <c r="EA145" s="47"/>
      <c r="EB145" s="47"/>
    </row>
    <row r="146" spans="3:132" s="32" customFormat="1" ht="27.6">
      <c r="C146" s="76">
        <v>44224</v>
      </c>
      <c r="D146" s="34" t="s">
        <v>759</v>
      </c>
      <c r="E146" s="286" t="s">
        <v>871</v>
      </c>
      <c r="F146" s="36">
        <v>0.6743055555555556</v>
      </c>
      <c r="G146" s="36">
        <v>0.67499999999999993</v>
      </c>
      <c r="H146" s="39" t="s">
        <v>0</v>
      </c>
      <c r="I146" s="34">
        <v>1</v>
      </c>
      <c r="J146" s="39">
        <v>711</v>
      </c>
      <c r="K146" s="51" t="str">
        <f>VLOOKUP(J146,'[2]Chart of accounts'!A:H,2,FALSE)</f>
        <v>50102010 01</v>
      </c>
      <c r="L146" s="39"/>
      <c r="M146" s="39"/>
      <c r="N146" s="34"/>
      <c r="O146" s="34"/>
      <c r="P146" s="34"/>
      <c r="Q146" s="53" t="s">
        <v>4</v>
      </c>
      <c r="R146" s="40" t="s">
        <v>862</v>
      </c>
      <c r="S146" s="41" t="s">
        <v>769</v>
      </c>
      <c r="T146" s="42" t="s">
        <v>872</v>
      </c>
      <c r="U146" s="42" t="s">
        <v>864</v>
      </c>
      <c r="V146" s="44">
        <v>2000</v>
      </c>
      <c r="W146" s="52"/>
      <c r="X146" s="44">
        <v>2000</v>
      </c>
      <c r="Y146" s="44">
        <f t="shared" si="10"/>
        <v>0</v>
      </c>
      <c r="Z146" s="45"/>
      <c r="AA146" s="46"/>
      <c r="AB146" s="47"/>
      <c r="AC146" s="47"/>
      <c r="AD146" s="47"/>
      <c r="AE146" s="47"/>
      <c r="AF146" s="47"/>
      <c r="AG146" s="44"/>
      <c r="AH146" s="44"/>
      <c r="AI146" s="44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4"/>
      <c r="BB146" s="44"/>
      <c r="BC146" s="44"/>
      <c r="BD146" s="44"/>
      <c r="BE146" s="44"/>
      <c r="BG146" s="44">
        <v>2000</v>
      </c>
      <c r="BH146" s="44"/>
      <c r="BI146" s="44"/>
      <c r="BJ146" s="44"/>
      <c r="BK146" s="44"/>
      <c r="BL146" s="44"/>
      <c r="BM146" s="44"/>
      <c r="BN146" s="44"/>
      <c r="BO146" s="44"/>
      <c r="BP146" s="44"/>
      <c r="BQ146" s="44"/>
      <c r="BR146" s="49"/>
      <c r="BS146" s="44"/>
      <c r="BT146" s="44"/>
      <c r="BU146" s="44"/>
      <c r="BV146" s="129"/>
      <c r="BW146" s="47"/>
      <c r="BX146" s="44"/>
      <c r="BY146" s="44">
        <v>2000</v>
      </c>
      <c r="BZ146" s="44"/>
      <c r="CA146" s="44"/>
      <c r="CB146" s="44"/>
      <c r="CC146" s="44"/>
      <c r="CD146" s="43"/>
      <c r="CE146" s="44"/>
      <c r="CF146" s="44"/>
      <c r="CG146" s="44"/>
      <c r="CH146" s="44"/>
      <c r="CI146" s="44"/>
      <c r="CJ146" s="44"/>
      <c r="CK146" s="44"/>
      <c r="CL146" s="44"/>
      <c r="CM146" s="44"/>
      <c r="CN146" s="44"/>
      <c r="CO146" s="44"/>
      <c r="CP146" s="44"/>
      <c r="CQ146" s="44"/>
      <c r="CR146" s="44"/>
      <c r="CS146" s="44"/>
      <c r="CT146" s="44"/>
      <c r="CU146" s="44"/>
      <c r="CV146" s="44"/>
      <c r="CW146" s="44"/>
      <c r="CX146" s="44"/>
      <c r="CY146" s="44"/>
      <c r="CZ146" s="44"/>
      <c r="DA146" s="44"/>
      <c r="DB146" s="44"/>
      <c r="DC146" s="44"/>
      <c r="DD146" s="44"/>
      <c r="DE146" s="44"/>
      <c r="DF146" s="44"/>
      <c r="DG146" s="44"/>
      <c r="DH146" s="44"/>
      <c r="DI146" s="44"/>
      <c r="DJ146" s="44"/>
      <c r="DK146" s="44"/>
      <c r="DL146" s="44"/>
      <c r="DM146" s="44"/>
      <c r="DN146" s="44"/>
      <c r="DO146" s="44"/>
      <c r="DP146" s="44"/>
      <c r="DQ146" s="44"/>
      <c r="DR146" s="44"/>
      <c r="DS146" s="44"/>
      <c r="DT146" s="44"/>
      <c r="DU146" s="44"/>
      <c r="DV146" s="44"/>
      <c r="DW146" s="44"/>
      <c r="DX146" s="44"/>
      <c r="DY146" s="44"/>
      <c r="DZ146" s="47"/>
      <c r="EA146" s="47"/>
      <c r="EB146" s="47"/>
    </row>
    <row r="147" spans="3:132" s="32" customFormat="1" ht="27.6">
      <c r="C147" s="76">
        <v>44224</v>
      </c>
      <c r="D147" s="34" t="s">
        <v>759</v>
      </c>
      <c r="E147" s="286" t="s">
        <v>871</v>
      </c>
      <c r="F147" s="36">
        <v>0.6743055555555556</v>
      </c>
      <c r="G147" s="36">
        <v>0.67499999999999993</v>
      </c>
      <c r="H147" s="39" t="s">
        <v>0</v>
      </c>
      <c r="I147" s="34">
        <v>1</v>
      </c>
      <c r="J147" s="39">
        <v>731</v>
      </c>
      <c r="K147" s="51" t="str">
        <f>VLOOKUP(J147,'[2]Chart of accounts'!A:H,2,FALSE)</f>
        <v>50103010 00</v>
      </c>
      <c r="L147" s="39"/>
      <c r="M147" s="39"/>
      <c r="N147" s="34"/>
      <c r="O147" s="34"/>
      <c r="P147" s="34"/>
      <c r="Q147" s="53" t="s">
        <v>4</v>
      </c>
      <c r="R147" s="40" t="s">
        <v>862</v>
      </c>
      <c r="S147" s="41" t="s">
        <v>769</v>
      </c>
      <c r="T147" s="42" t="s">
        <v>872</v>
      </c>
      <c r="U147" s="42" t="s">
        <v>864</v>
      </c>
      <c r="V147" s="44">
        <v>4029</v>
      </c>
      <c r="W147" s="52"/>
      <c r="X147" s="44">
        <v>4029</v>
      </c>
      <c r="Y147" s="44">
        <f t="shared" si="10"/>
        <v>0</v>
      </c>
      <c r="Z147" s="45"/>
      <c r="AA147" s="46"/>
      <c r="AB147" s="47"/>
      <c r="AC147" s="47"/>
      <c r="AD147" s="47"/>
      <c r="AE147" s="47"/>
      <c r="AF147" s="47"/>
      <c r="AG147" s="44"/>
      <c r="AH147" s="44"/>
      <c r="AI147" s="44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4"/>
      <c r="BB147" s="44"/>
      <c r="BC147" s="44"/>
      <c r="BD147" s="44"/>
      <c r="BE147" s="44"/>
      <c r="BH147" s="44"/>
      <c r="BI147" s="44"/>
      <c r="BJ147" s="44"/>
      <c r="BK147" s="44"/>
      <c r="BL147" s="44"/>
      <c r="BM147" s="44"/>
      <c r="BN147" s="44"/>
      <c r="BO147" s="44">
        <v>4029</v>
      </c>
      <c r="BP147" s="44"/>
      <c r="BQ147" s="44"/>
      <c r="BR147" s="49"/>
      <c r="BS147" s="44"/>
      <c r="BT147" s="44"/>
      <c r="BU147" s="44"/>
      <c r="BV147" s="129"/>
      <c r="BW147" s="47"/>
      <c r="BX147" s="44"/>
      <c r="BY147" s="44">
        <v>4029</v>
      </c>
      <c r="BZ147" s="44"/>
      <c r="CA147" s="44"/>
      <c r="CB147" s="44"/>
      <c r="CC147" s="44"/>
      <c r="CD147" s="43"/>
      <c r="CE147" s="44"/>
      <c r="CF147" s="44"/>
      <c r="CG147" s="44"/>
      <c r="CH147" s="44"/>
      <c r="CI147" s="44"/>
      <c r="CJ147" s="44"/>
      <c r="CK147" s="44"/>
      <c r="CL147" s="44"/>
      <c r="CM147" s="44"/>
      <c r="CN147" s="44"/>
      <c r="CO147" s="44"/>
      <c r="CP147" s="44"/>
      <c r="CQ147" s="44"/>
      <c r="CR147" s="44"/>
      <c r="CS147" s="44"/>
      <c r="CT147" s="44"/>
      <c r="CU147" s="44"/>
      <c r="CV147" s="44"/>
      <c r="CW147" s="44"/>
      <c r="CX147" s="44"/>
      <c r="CY147" s="44"/>
      <c r="CZ147" s="44"/>
      <c r="DA147" s="44"/>
      <c r="DB147" s="44"/>
      <c r="DC147" s="44"/>
      <c r="DD147" s="44"/>
      <c r="DE147" s="44"/>
      <c r="DF147" s="44"/>
      <c r="DG147" s="44"/>
      <c r="DH147" s="44"/>
      <c r="DI147" s="44"/>
      <c r="DJ147" s="44"/>
      <c r="DK147" s="44"/>
      <c r="DL147" s="44"/>
      <c r="DM147" s="44"/>
      <c r="DN147" s="44"/>
      <c r="DO147" s="44"/>
      <c r="DP147" s="44"/>
      <c r="DQ147" s="44"/>
      <c r="DR147" s="44"/>
      <c r="DS147" s="44"/>
      <c r="DT147" s="44"/>
      <c r="DU147" s="44"/>
      <c r="DV147" s="44"/>
      <c r="DW147" s="44"/>
      <c r="DX147" s="44"/>
      <c r="DY147" s="44"/>
      <c r="DZ147" s="47"/>
      <c r="EA147" s="47"/>
      <c r="EB147" s="47"/>
    </row>
    <row r="148" spans="3:132" s="32" customFormat="1" ht="27.6">
      <c r="C148" s="76">
        <v>44224</v>
      </c>
      <c r="D148" s="34" t="s">
        <v>759</v>
      </c>
      <c r="E148" s="286" t="s">
        <v>871</v>
      </c>
      <c r="F148" s="36">
        <v>0.6743055555555556</v>
      </c>
      <c r="G148" s="36">
        <v>0.67499999999999993</v>
      </c>
      <c r="H148" s="39" t="s">
        <v>0</v>
      </c>
      <c r="I148" s="34">
        <v>1</v>
      </c>
      <c r="J148" s="39">
        <v>732</v>
      </c>
      <c r="K148" s="51" t="str">
        <f>VLOOKUP(J148,'[2]Chart of accounts'!A:H,2,FALSE)</f>
        <v>50103020 01</v>
      </c>
      <c r="L148" s="39"/>
      <c r="M148" s="39"/>
      <c r="N148" s="34"/>
      <c r="O148" s="34"/>
      <c r="P148" s="34"/>
      <c r="Q148" s="53" t="s">
        <v>4</v>
      </c>
      <c r="R148" s="40" t="s">
        <v>862</v>
      </c>
      <c r="S148" s="41" t="s">
        <v>769</v>
      </c>
      <c r="T148" s="42" t="s">
        <v>872</v>
      </c>
      <c r="U148" s="42" t="s">
        <v>864</v>
      </c>
      <c r="V148" s="44">
        <v>100</v>
      </c>
      <c r="W148" s="52"/>
      <c r="X148" s="44">
        <v>100</v>
      </c>
      <c r="Y148" s="44">
        <f t="shared" si="10"/>
        <v>0</v>
      </c>
      <c r="Z148" s="45"/>
      <c r="AA148" s="46"/>
      <c r="AB148" s="47"/>
      <c r="AC148" s="47"/>
      <c r="AD148" s="47"/>
      <c r="AE148" s="47"/>
      <c r="AF148" s="47"/>
      <c r="AG148" s="44"/>
      <c r="AH148" s="44"/>
      <c r="AI148" s="44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4"/>
      <c r="BB148" s="44"/>
      <c r="BC148" s="44"/>
      <c r="BD148" s="44"/>
      <c r="BE148" s="44"/>
      <c r="BH148" s="44"/>
      <c r="BI148" s="44"/>
      <c r="BJ148" s="44"/>
      <c r="BK148" s="44"/>
      <c r="BL148" s="44"/>
      <c r="BM148" s="44"/>
      <c r="BN148" s="44"/>
      <c r="BP148" s="44">
        <v>100</v>
      </c>
      <c r="BQ148" s="44"/>
      <c r="BR148" s="49"/>
      <c r="BS148" s="44"/>
      <c r="BT148" s="44"/>
      <c r="BU148" s="44"/>
      <c r="BV148" s="129"/>
      <c r="BW148" s="47"/>
      <c r="BX148" s="44"/>
      <c r="BY148" s="44">
        <v>100</v>
      </c>
      <c r="BZ148" s="44"/>
      <c r="CA148" s="44"/>
      <c r="CB148" s="44"/>
      <c r="CC148" s="44"/>
      <c r="CD148" s="43"/>
      <c r="CE148" s="44"/>
      <c r="CF148" s="44"/>
      <c r="CG148" s="44"/>
      <c r="CH148" s="44"/>
      <c r="CI148" s="44"/>
      <c r="CJ148" s="44"/>
      <c r="CK148" s="44"/>
      <c r="CL148" s="44"/>
      <c r="CM148" s="44"/>
      <c r="CN148" s="44"/>
      <c r="CO148" s="44"/>
      <c r="CP148" s="44"/>
      <c r="CQ148" s="44"/>
      <c r="CR148" s="44"/>
      <c r="CS148" s="44"/>
      <c r="CT148" s="44"/>
      <c r="CU148" s="44"/>
      <c r="CV148" s="44"/>
      <c r="CW148" s="44"/>
      <c r="CX148" s="44"/>
      <c r="CY148" s="44"/>
      <c r="CZ148" s="44"/>
      <c r="DA148" s="44"/>
      <c r="DB148" s="44"/>
      <c r="DC148" s="44"/>
      <c r="DD148" s="44"/>
      <c r="DE148" s="44"/>
      <c r="DF148" s="44"/>
      <c r="DG148" s="44"/>
      <c r="DH148" s="44"/>
      <c r="DI148" s="44"/>
      <c r="DJ148" s="44"/>
      <c r="DK148" s="44"/>
      <c r="DL148" s="44"/>
      <c r="DM148" s="44"/>
      <c r="DN148" s="44"/>
      <c r="DO148" s="44"/>
      <c r="DP148" s="44"/>
      <c r="DQ148" s="44"/>
      <c r="DR148" s="44"/>
      <c r="DS148" s="44"/>
      <c r="DT148" s="44"/>
      <c r="DU148" s="44"/>
      <c r="DV148" s="44"/>
      <c r="DW148" s="44"/>
      <c r="DX148" s="44"/>
      <c r="DY148" s="44"/>
      <c r="DZ148" s="47"/>
      <c r="EA148" s="47"/>
      <c r="EB148" s="47"/>
    </row>
    <row r="149" spans="3:132" s="32" customFormat="1" ht="27.6">
      <c r="C149" s="76">
        <v>44224</v>
      </c>
      <c r="D149" s="34" t="s">
        <v>759</v>
      </c>
      <c r="E149" s="286" t="s">
        <v>871</v>
      </c>
      <c r="F149" s="36">
        <v>0.6743055555555556</v>
      </c>
      <c r="G149" s="36">
        <v>0.67499999999999993</v>
      </c>
      <c r="H149" s="39" t="s">
        <v>0</v>
      </c>
      <c r="I149" s="34">
        <v>1</v>
      </c>
      <c r="J149" s="39">
        <v>733</v>
      </c>
      <c r="K149" s="51" t="str">
        <f>VLOOKUP(J149,'[2]Chart of accounts'!A:H,2,FALSE)</f>
        <v>50103030 01</v>
      </c>
      <c r="L149" s="39"/>
      <c r="M149" s="39"/>
      <c r="N149" s="34"/>
      <c r="O149" s="34"/>
      <c r="P149" s="34"/>
      <c r="Q149" s="53" t="s">
        <v>4</v>
      </c>
      <c r="R149" s="40" t="s">
        <v>862</v>
      </c>
      <c r="S149" s="41" t="s">
        <v>769</v>
      </c>
      <c r="T149" s="42" t="s">
        <v>872</v>
      </c>
      <c r="U149" s="42" t="s">
        <v>864</v>
      </c>
      <c r="V149" s="44">
        <v>503.63</v>
      </c>
      <c r="W149" s="52"/>
      <c r="X149" s="44">
        <v>503.63</v>
      </c>
      <c r="Y149" s="44">
        <f t="shared" si="10"/>
        <v>0</v>
      </c>
      <c r="Z149" s="45"/>
      <c r="AA149" s="46"/>
      <c r="AB149" s="47"/>
      <c r="AC149" s="47"/>
      <c r="AD149" s="47"/>
      <c r="AE149" s="47"/>
      <c r="AF149" s="47"/>
      <c r="AG149" s="44"/>
      <c r="AH149" s="44"/>
      <c r="AI149" s="44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4"/>
      <c r="BB149" s="44"/>
      <c r="BC149" s="44"/>
      <c r="BD149" s="44"/>
      <c r="BE149" s="44"/>
      <c r="BH149" s="44"/>
      <c r="BI149" s="44"/>
      <c r="BJ149" s="44"/>
      <c r="BK149" s="44"/>
      <c r="BL149" s="44"/>
      <c r="BM149" s="44"/>
      <c r="BN149" s="44"/>
      <c r="BQ149" s="44">
        <v>503.63</v>
      </c>
      <c r="BR149" s="49"/>
      <c r="BS149" s="44"/>
      <c r="BT149" s="44"/>
      <c r="BU149" s="44"/>
      <c r="BV149" s="129"/>
      <c r="BW149" s="47"/>
      <c r="BX149" s="44"/>
      <c r="BY149" s="44">
        <v>503.63</v>
      </c>
      <c r="BZ149" s="44"/>
      <c r="CA149" s="44"/>
      <c r="CB149" s="44"/>
      <c r="CC149" s="44"/>
      <c r="CD149" s="43"/>
      <c r="CE149" s="44"/>
      <c r="CF149" s="44"/>
      <c r="CG149" s="44"/>
      <c r="CH149" s="44"/>
      <c r="CI149" s="44"/>
      <c r="CJ149" s="44"/>
      <c r="CK149" s="44"/>
      <c r="CL149" s="44"/>
      <c r="CM149" s="44"/>
      <c r="CN149" s="44"/>
      <c r="CO149" s="44"/>
      <c r="CP149" s="44"/>
      <c r="CQ149" s="44"/>
      <c r="CR149" s="44"/>
      <c r="CS149" s="44"/>
      <c r="CT149" s="44"/>
      <c r="CU149" s="44"/>
      <c r="CV149" s="44"/>
      <c r="CW149" s="44"/>
      <c r="CX149" s="44"/>
      <c r="CY149" s="44"/>
      <c r="CZ149" s="44"/>
      <c r="DA149" s="44"/>
      <c r="DB149" s="44"/>
      <c r="DC149" s="44"/>
      <c r="DD149" s="44"/>
      <c r="DE149" s="44"/>
      <c r="DF149" s="44"/>
      <c r="DG149" s="44"/>
      <c r="DH149" s="44"/>
      <c r="DI149" s="44"/>
      <c r="DJ149" s="44"/>
      <c r="DK149" s="44"/>
      <c r="DL149" s="44"/>
      <c r="DM149" s="44"/>
      <c r="DN149" s="44"/>
      <c r="DO149" s="44"/>
      <c r="DP149" s="44"/>
      <c r="DQ149" s="44"/>
      <c r="DR149" s="44"/>
      <c r="DS149" s="44"/>
      <c r="DT149" s="44"/>
      <c r="DU149" s="44"/>
      <c r="DV149" s="44"/>
      <c r="DW149" s="44"/>
      <c r="DX149" s="44"/>
      <c r="DY149" s="44"/>
      <c r="DZ149" s="47"/>
      <c r="EA149" s="47"/>
      <c r="EB149" s="47"/>
    </row>
    <row r="150" spans="3:132" s="32" customFormat="1" ht="27.6">
      <c r="C150" s="76">
        <v>44224</v>
      </c>
      <c r="D150" s="34" t="s">
        <v>759</v>
      </c>
      <c r="E150" s="286" t="s">
        <v>871</v>
      </c>
      <c r="F150" s="36">
        <v>0.6743055555555556</v>
      </c>
      <c r="G150" s="36">
        <v>0.67499999999999993</v>
      </c>
      <c r="H150" s="39" t="s">
        <v>0</v>
      </c>
      <c r="I150" s="34">
        <v>1</v>
      </c>
      <c r="J150" s="39">
        <v>734</v>
      </c>
      <c r="K150" s="51" t="str">
        <f>VLOOKUP(J150,'[2]Chart of accounts'!A:H,2,FALSE)</f>
        <v>50103040 01</v>
      </c>
      <c r="L150" s="39"/>
      <c r="M150" s="39"/>
      <c r="N150" s="34"/>
      <c r="O150" s="34"/>
      <c r="P150" s="34"/>
      <c r="Q150" s="53" t="s">
        <v>4</v>
      </c>
      <c r="R150" s="40" t="s">
        <v>862</v>
      </c>
      <c r="S150" s="41" t="s">
        <v>769</v>
      </c>
      <c r="T150" s="42" t="s">
        <v>872</v>
      </c>
      <c r="U150" s="42" t="s">
        <v>864</v>
      </c>
      <c r="V150" s="44">
        <v>100</v>
      </c>
      <c r="W150" s="52"/>
      <c r="X150" s="44">
        <v>100</v>
      </c>
      <c r="Y150" s="44">
        <f t="shared" si="10"/>
        <v>0</v>
      </c>
      <c r="Z150" s="45"/>
      <c r="AA150" s="46"/>
      <c r="AB150" s="47"/>
      <c r="AC150" s="47"/>
      <c r="AD150" s="47"/>
      <c r="AE150" s="47"/>
      <c r="AF150" s="47"/>
      <c r="AG150" s="44"/>
      <c r="AH150" s="44"/>
      <c r="AI150" s="44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4"/>
      <c r="BB150" s="44"/>
      <c r="BC150" s="44"/>
      <c r="BD150" s="44"/>
      <c r="BE150" s="44"/>
      <c r="BH150" s="44"/>
      <c r="BI150" s="44"/>
      <c r="BJ150" s="44"/>
      <c r="BK150" s="44"/>
      <c r="BL150" s="44"/>
      <c r="BM150" s="44"/>
      <c r="BN150" s="44"/>
      <c r="BR150" s="44">
        <v>100</v>
      </c>
      <c r="BS150" s="44"/>
      <c r="BT150" s="44"/>
      <c r="BU150" s="44"/>
      <c r="BV150" s="129"/>
      <c r="BW150" s="47"/>
      <c r="BX150" s="44"/>
      <c r="BY150" s="44">
        <v>100</v>
      </c>
      <c r="BZ150" s="44"/>
      <c r="CA150" s="44"/>
      <c r="CB150" s="44"/>
      <c r="CC150" s="44"/>
      <c r="CD150" s="43"/>
      <c r="CE150" s="44"/>
      <c r="CF150" s="44"/>
      <c r="CG150" s="44"/>
      <c r="CH150" s="44"/>
      <c r="CI150" s="44"/>
      <c r="CJ150" s="44"/>
      <c r="CK150" s="44"/>
      <c r="CL150" s="44"/>
      <c r="CM150" s="44"/>
      <c r="CN150" s="44"/>
      <c r="CO150" s="44"/>
      <c r="CP150" s="44"/>
      <c r="CQ150" s="44"/>
      <c r="CR150" s="44"/>
      <c r="CS150" s="44"/>
      <c r="CT150" s="44"/>
      <c r="CU150" s="44"/>
      <c r="CV150" s="44"/>
      <c r="CW150" s="44"/>
      <c r="CX150" s="44"/>
      <c r="CY150" s="44"/>
      <c r="CZ150" s="44"/>
      <c r="DA150" s="44"/>
      <c r="DB150" s="44"/>
      <c r="DC150" s="44"/>
      <c r="DD150" s="44"/>
      <c r="DE150" s="44"/>
      <c r="DF150" s="44"/>
      <c r="DG150" s="44"/>
      <c r="DH150" s="44"/>
      <c r="DI150" s="44"/>
      <c r="DJ150" s="44"/>
      <c r="DK150" s="44"/>
      <c r="DL150" s="44"/>
      <c r="DM150" s="44"/>
      <c r="DN150" s="44"/>
      <c r="DO150" s="44"/>
      <c r="DP150" s="44"/>
      <c r="DQ150" s="44"/>
      <c r="DR150" s="44"/>
      <c r="DS150" s="44"/>
      <c r="DT150" s="44"/>
      <c r="DU150" s="44"/>
      <c r="DV150" s="44"/>
      <c r="DW150" s="44"/>
      <c r="DX150" s="44"/>
      <c r="DY150" s="44"/>
      <c r="DZ150" s="47"/>
      <c r="EA150" s="47"/>
      <c r="EB150" s="47"/>
    </row>
    <row r="151" spans="3:132" s="32" customFormat="1">
      <c r="C151" s="76">
        <v>44224</v>
      </c>
      <c r="D151" s="34" t="s">
        <v>759</v>
      </c>
      <c r="E151" s="286"/>
      <c r="F151" s="36"/>
      <c r="G151" s="36"/>
      <c r="H151" s="39"/>
      <c r="I151" s="34"/>
      <c r="J151" s="39"/>
      <c r="K151" s="51" t="e">
        <f>VLOOKUP(J151,'[2]Chart of accounts'!A:H,2,FALSE)</f>
        <v>#N/A</v>
      </c>
      <c r="L151" s="39"/>
      <c r="M151" s="39"/>
      <c r="N151" s="34"/>
      <c r="O151" s="34"/>
      <c r="P151" s="34"/>
      <c r="Q151" s="40"/>
      <c r="R151" s="40"/>
      <c r="S151" s="78"/>
      <c r="T151" s="42"/>
      <c r="U151" s="42"/>
      <c r="V151" s="44"/>
      <c r="W151" s="52"/>
      <c r="X151" s="49"/>
      <c r="Y151" s="44"/>
      <c r="Z151" s="45"/>
      <c r="AA151" s="46"/>
      <c r="AB151" s="47"/>
      <c r="AC151" s="47"/>
      <c r="AD151" s="47"/>
      <c r="AE151" s="47"/>
      <c r="AF151" s="47"/>
      <c r="AG151" s="44"/>
      <c r="AH151" s="44"/>
      <c r="AI151" s="44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4"/>
      <c r="BB151" s="44"/>
      <c r="BC151" s="44"/>
      <c r="BD151" s="44"/>
      <c r="BE151" s="44"/>
      <c r="BF151" s="48"/>
      <c r="BG151" s="44"/>
      <c r="BH151" s="44"/>
      <c r="BI151" s="44"/>
      <c r="BJ151" s="44"/>
      <c r="BK151" s="44"/>
      <c r="BL151" s="44"/>
      <c r="BM151" s="44"/>
      <c r="BN151" s="44"/>
      <c r="BO151" s="44"/>
      <c r="BP151" s="44"/>
      <c r="BQ151" s="44"/>
      <c r="BR151" s="49"/>
      <c r="BS151" s="44"/>
      <c r="BT151" s="44"/>
      <c r="BU151" s="44"/>
      <c r="BV151" s="129"/>
      <c r="BW151" s="47"/>
      <c r="BX151" s="44"/>
      <c r="BY151" s="44"/>
      <c r="BZ151" s="44"/>
      <c r="CA151" s="44"/>
      <c r="CB151" s="44"/>
      <c r="CC151" s="44"/>
      <c r="CD151" s="43"/>
      <c r="CE151" s="44"/>
      <c r="CF151" s="44"/>
      <c r="CG151" s="44"/>
      <c r="CH151" s="44"/>
      <c r="CI151" s="44"/>
      <c r="CJ151" s="44"/>
      <c r="CK151" s="44"/>
      <c r="CL151" s="44"/>
      <c r="CM151" s="44"/>
      <c r="CN151" s="44"/>
      <c r="CO151" s="44"/>
      <c r="CP151" s="44"/>
      <c r="CQ151" s="44"/>
      <c r="CR151" s="44"/>
      <c r="CS151" s="44"/>
      <c r="CT151" s="44"/>
      <c r="CU151" s="44"/>
      <c r="CV151" s="44"/>
      <c r="CW151" s="44"/>
      <c r="CX151" s="44"/>
      <c r="CY151" s="44"/>
      <c r="CZ151" s="44"/>
      <c r="DA151" s="44"/>
      <c r="DB151" s="44"/>
      <c r="DC151" s="44"/>
      <c r="DD151" s="44"/>
      <c r="DE151" s="44"/>
      <c r="DF151" s="44"/>
      <c r="DG151" s="44"/>
      <c r="DH151" s="44"/>
      <c r="DI151" s="44"/>
      <c r="DJ151" s="44"/>
      <c r="DK151" s="44"/>
      <c r="DL151" s="44"/>
      <c r="DM151" s="44"/>
      <c r="DN151" s="44"/>
      <c r="DO151" s="44"/>
      <c r="DP151" s="44"/>
      <c r="DQ151" s="44"/>
      <c r="DR151" s="44"/>
      <c r="DS151" s="44"/>
      <c r="DT151" s="44"/>
      <c r="DU151" s="44"/>
      <c r="DV151" s="44"/>
      <c r="DW151" s="44"/>
      <c r="DX151" s="44"/>
      <c r="DY151" s="44"/>
      <c r="DZ151" s="47"/>
      <c r="EA151" s="47"/>
      <c r="EB151" s="47"/>
    </row>
    <row r="152" spans="3:132" s="32" customFormat="1">
      <c r="C152" s="76">
        <v>44224</v>
      </c>
      <c r="D152" s="34" t="s">
        <v>759</v>
      </c>
      <c r="E152" s="286"/>
      <c r="F152" s="36"/>
      <c r="G152" s="36"/>
      <c r="H152" s="39"/>
      <c r="I152" s="34"/>
      <c r="J152" s="39"/>
      <c r="K152" s="51" t="e">
        <f>VLOOKUP(J152,'[2]Chart of accounts'!A:H,2,FALSE)</f>
        <v>#N/A</v>
      </c>
      <c r="L152" s="39"/>
      <c r="M152" s="39"/>
      <c r="N152" s="34"/>
      <c r="O152" s="34"/>
      <c r="P152" s="34"/>
      <c r="Q152" s="40"/>
      <c r="R152" s="40"/>
      <c r="S152" s="78"/>
      <c r="T152" s="42"/>
      <c r="U152" s="42"/>
      <c r="V152" s="44"/>
      <c r="W152" s="52"/>
      <c r="X152" s="49"/>
      <c r="Y152" s="44"/>
      <c r="Z152" s="45"/>
      <c r="AA152" s="46"/>
      <c r="AB152" s="47"/>
      <c r="AC152" s="47"/>
      <c r="AD152" s="47"/>
      <c r="AE152" s="47"/>
      <c r="AF152" s="47"/>
      <c r="AG152" s="44"/>
      <c r="AH152" s="44"/>
      <c r="AI152" s="44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4"/>
      <c r="BB152" s="44"/>
      <c r="BC152" s="44"/>
      <c r="BD152" s="44"/>
      <c r="BE152" s="44"/>
      <c r="BF152" s="48"/>
      <c r="BG152" s="44"/>
      <c r="BH152" s="44"/>
      <c r="BI152" s="44"/>
      <c r="BJ152" s="44"/>
      <c r="BK152" s="44"/>
      <c r="BL152" s="44"/>
      <c r="BM152" s="44"/>
      <c r="BN152" s="44"/>
      <c r="BO152" s="44"/>
      <c r="BP152" s="44"/>
      <c r="BQ152" s="44"/>
      <c r="BR152" s="49"/>
      <c r="BS152" s="44"/>
      <c r="BT152" s="44"/>
      <c r="BU152" s="44"/>
      <c r="BV152" s="129"/>
      <c r="BW152" s="47"/>
      <c r="BX152" s="44"/>
      <c r="BY152" s="44"/>
      <c r="BZ152" s="44"/>
      <c r="CA152" s="44"/>
      <c r="CB152" s="44"/>
      <c r="CC152" s="44"/>
      <c r="CD152" s="43"/>
      <c r="CE152" s="44"/>
      <c r="CF152" s="44"/>
      <c r="CG152" s="44"/>
      <c r="CH152" s="44"/>
      <c r="CI152" s="44"/>
      <c r="CJ152" s="44"/>
      <c r="CK152" s="44"/>
      <c r="CL152" s="44"/>
      <c r="CM152" s="44"/>
      <c r="CN152" s="44"/>
      <c r="CO152" s="44"/>
      <c r="CP152" s="44"/>
      <c r="CQ152" s="44"/>
      <c r="CR152" s="44"/>
      <c r="CS152" s="44"/>
      <c r="CT152" s="44"/>
      <c r="CU152" s="44"/>
      <c r="CV152" s="44"/>
      <c r="CW152" s="44"/>
      <c r="CX152" s="44"/>
      <c r="CY152" s="44"/>
      <c r="CZ152" s="44"/>
      <c r="DA152" s="44"/>
      <c r="DB152" s="44"/>
      <c r="DC152" s="44"/>
      <c r="DD152" s="44"/>
      <c r="DE152" s="44"/>
      <c r="DF152" s="44"/>
      <c r="DG152" s="44"/>
      <c r="DH152" s="44"/>
      <c r="DI152" s="44"/>
      <c r="DJ152" s="44"/>
      <c r="DK152" s="44"/>
      <c r="DL152" s="44"/>
      <c r="DM152" s="44"/>
      <c r="DN152" s="44"/>
      <c r="DO152" s="44"/>
      <c r="DP152" s="44"/>
      <c r="DQ152" s="44"/>
      <c r="DR152" s="44"/>
      <c r="DS152" s="44"/>
      <c r="DT152" s="44"/>
      <c r="DU152" s="44"/>
      <c r="DV152" s="44"/>
      <c r="DW152" s="44"/>
      <c r="DX152" s="44"/>
      <c r="DY152" s="44"/>
      <c r="DZ152" s="47"/>
      <c r="EA152" s="47"/>
      <c r="EB152" s="47"/>
    </row>
    <row r="153" spans="3:132" s="32" customFormat="1">
      <c r="C153" s="76">
        <v>44224</v>
      </c>
      <c r="D153" s="34" t="s">
        <v>759</v>
      </c>
      <c r="E153" s="286"/>
      <c r="F153" s="36"/>
      <c r="G153" s="36"/>
      <c r="H153" s="39"/>
      <c r="I153" s="34"/>
      <c r="J153" s="39"/>
      <c r="K153" s="51" t="e">
        <f>VLOOKUP(J153,'[2]Chart of accounts'!A:H,2,FALSE)</f>
        <v>#N/A</v>
      </c>
      <c r="L153" s="39"/>
      <c r="M153" s="39"/>
      <c r="N153" s="34"/>
      <c r="O153" s="34"/>
      <c r="P153" s="34"/>
      <c r="Q153" s="40"/>
      <c r="R153" s="40"/>
      <c r="S153" s="78"/>
      <c r="T153" s="42"/>
      <c r="U153" s="42"/>
      <c r="V153" s="44"/>
      <c r="W153" s="52"/>
      <c r="X153" s="49"/>
      <c r="Y153" s="44"/>
      <c r="Z153" s="45"/>
      <c r="AA153" s="46"/>
      <c r="AB153" s="47"/>
      <c r="AC153" s="47"/>
      <c r="AD153" s="47"/>
      <c r="AE153" s="47"/>
      <c r="AF153" s="47"/>
      <c r="AG153" s="44"/>
      <c r="AH153" s="44"/>
      <c r="AI153" s="44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4"/>
      <c r="BB153" s="44"/>
      <c r="BC153" s="44"/>
      <c r="BD153" s="44"/>
      <c r="BE153" s="44"/>
      <c r="BF153" s="48"/>
      <c r="BG153" s="44"/>
      <c r="BH153" s="44"/>
      <c r="BI153" s="44"/>
      <c r="BJ153" s="44"/>
      <c r="BK153" s="44"/>
      <c r="BL153" s="44"/>
      <c r="BM153" s="44"/>
      <c r="BN153" s="44"/>
      <c r="BO153" s="44"/>
      <c r="BP153" s="44"/>
      <c r="BQ153" s="44"/>
      <c r="BR153" s="49"/>
      <c r="BS153" s="44"/>
      <c r="BT153" s="44"/>
      <c r="BU153" s="44"/>
      <c r="BV153" s="129"/>
      <c r="BW153" s="47"/>
      <c r="BX153" s="44"/>
      <c r="BY153" s="44"/>
      <c r="BZ153" s="44"/>
      <c r="CA153" s="44"/>
      <c r="CB153" s="44"/>
      <c r="CC153" s="44"/>
      <c r="CD153" s="43"/>
      <c r="CE153" s="44"/>
      <c r="CF153" s="44"/>
      <c r="CG153" s="44"/>
      <c r="CH153" s="44"/>
      <c r="CI153" s="44"/>
      <c r="CJ153" s="44"/>
      <c r="CK153" s="44"/>
      <c r="CL153" s="44"/>
      <c r="CM153" s="44"/>
      <c r="CN153" s="44"/>
      <c r="CO153" s="44"/>
      <c r="CP153" s="44"/>
      <c r="CQ153" s="44"/>
      <c r="CR153" s="44"/>
      <c r="CS153" s="44"/>
      <c r="CT153" s="44"/>
      <c r="CU153" s="44"/>
      <c r="CV153" s="44"/>
      <c r="CW153" s="44"/>
      <c r="CX153" s="44"/>
      <c r="CY153" s="44"/>
      <c r="CZ153" s="44"/>
      <c r="DA153" s="44"/>
      <c r="DB153" s="44"/>
      <c r="DC153" s="44"/>
      <c r="DD153" s="44"/>
      <c r="DE153" s="44"/>
      <c r="DF153" s="44"/>
      <c r="DG153" s="44"/>
      <c r="DH153" s="44"/>
      <c r="DI153" s="44"/>
      <c r="DJ153" s="44"/>
      <c r="DK153" s="44"/>
      <c r="DL153" s="44"/>
      <c r="DM153" s="44"/>
      <c r="DN153" s="44"/>
      <c r="DO153" s="44"/>
      <c r="DP153" s="44"/>
      <c r="DQ153" s="44"/>
      <c r="DR153" s="44"/>
      <c r="DS153" s="44"/>
      <c r="DT153" s="44"/>
      <c r="DU153" s="44"/>
      <c r="DV153" s="44"/>
      <c r="DW153" s="44"/>
      <c r="DX153" s="44"/>
      <c r="DY153" s="44"/>
      <c r="DZ153" s="47"/>
      <c r="EA153" s="47"/>
      <c r="EB153" s="47"/>
    </row>
    <row r="154" spans="3:132" s="32" customFormat="1">
      <c r="C154" s="76">
        <v>44224</v>
      </c>
      <c r="D154" s="34" t="s">
        <v>759</v>
      </c>
      <c r="E154" s="286"/>
      <c r="F154" s="36"/>
      <c r="G154" s="36"/>
      <c r="H154" s="39"/>
      <c r="I154" s="34"/>
      <c r="J154" s="39"/>
      <c r="K154" s="51" t="e">
        <f>VLOOKUP(J154,'[2]Chart of accounts'!A:H,2,FALSE)</f>
        <v>#N/A</v>
      </c>
      <c r="L154" s="39"/>
      <c r="M154" s="39"/>
      <c r="N154" s="34"/>
      <c r="O154" s="34"/>
      <c r="P154" s="34"/>
      <c r="Q154" s="40"/>
      <c r="R154" s="40"/>
      <c r="S154" s="78"/>
      <c r="T154" s="42"/>
      <c r="U154" s="42"/>
      <c r="V154" s="44"/>
      <c r="W154" s="52"/>
      <c r="X154" s="49"/>
      <c r="Y154" s="44"/>
      <c r="Z154" s="45"/>
      <c r="AA154" s="46"/>
      <c r="AB154" s="47"/>
      <c r="AC154" s="47"/>
      <c r="AD154" s="47"/>
      <c r="AE154" s="47"/>
      <c r="AF154" s="47"/>
      <c r="AG154" s="44"/>
      <c r="AH154" s="44"/>
      <c r="AI154" s="44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4"/>
      <c r="BB154" s="44"/>
      <c r="BC154" s="44"/>
      <c r="BD154" s="44"/>
      <c r="BE154" s="44"/>
      <c r="BF154" s="48"/>
      <c r="BG154" s="44"/>
      <c r="BH154" s="44"/>
      <c r="BI154" s="44"/>
      <c r="BJ154" s="44"/>
      <c r="BK154" s="44"/>
      <c r="BL154" s="44"/>
      <c r="BM154" s="44"/>
      <c r="BN154" s="44"/>
      <c r="BO154" s="44"/>
      <c r="BP154" s="44"/>
      <c r="BQ154" s="44"/>
      <c r="BR154" s="49"/>
      <c r="BS154" s="44"/>
      <c r="BT154" s="44"/>
      <c r="BU154" s="44"/>
      <c r="BV154" s="129"/>
      <c r="BW154" s="47"/>
      <c r="BX154" s="44"/>
      <c r="BY154" s="44"/>
      <c r="BZ154" s="44"/>
      <c r="CA154" s="44"/>
      <c r="CB154" s="44"/>
      <c r="CC154" s="44"/>
      <c r="CD154" s="43"/>
      <c r="CE154" s="44"/>
      <c r="CF154" s="44"/>
      <c r="CG154" s="44"/>
      <c r="CH154" s="44"/>
      <c r="CI154" s="44"/>
      <c r="CJ154" s="44"/>
      <c r="CK154" s="44"/>
      <c r="CL154" s="44"/>
      <c r="CM154" s="44"/>
      <c r="CN154" s="44"/>
      <c r="CO154" s="44"/>
      <c r="CP154" s="44"/>
      <c r="CQ154" s="44"/>
      <c r="CR154" s="44"/>
      <c r="CS154" s="44"/>
      <c r="CT154" s="44"/>
      <c r="CU154" s="44"/>
      <c r="CV154" s="44"/>
      <c r="CW154" s="44"/>
      <c r="CX154" s="44"/>
      <c r="CY154" s="44"/>
      <c r="CZ154" s="44"/>
      <c r="DA154" s="44"/>
      <c r="DB154" s="44"/>
      <c r="DC154" s="44"/>
      <c r="DD154" s="44"/>
      <c r="DE154" s="44"/>
      <c r="DF154" s="44"/>
      <c r="DG154" s="44"/>
      <c r="DH154" s="44"/>
      <c r="DI154" s="44"/>
      <c r="DJ154" s="44"/>
      <c r="DK154" s="44"/>
      <c r="DL154" s="44"/>
      <c r="DM154" s="44"/>
      <c r="DN154" s="44"/>
      <c r="DO154" s="44"/>
      <c r="DP154" s="44"/>
      <c r="DQ154" s="44"/>
      <c r="DR154" s="44"/>
      <c r="DS154" s="44"/>
      <c r="DT154" s="44"/>
      <c r="DU154" s="44"/>
      <c r="DV154" s="44"/>
      <c r="DW154" s="44"/>
      <c r="DX154" s="44"/>
      <c r="DY154" s="44"/>
      <c r="DZ154" s="47"/>
      <c r="EA154" s="47"/>
      <c r="EB154" s="47"/>
    </row>
    <row r="155" spans="3:132" s="32" customFormat="1">
      <c r="C155" s="76">
        <v>44224</v>
      </c>
      <c r="D155" s="34" t="s">
        <v>759</v>
      </c>
      <c r="E155" s="286"/>
      <c r="F155" s="36"/>
      <c r="G155" s="36"/>
      <c r="H155" s="39"/>
      <c r="I155" s="34"/>
      <c r="J155" s="39"/>
      <c r="K155" s="51" t="e">
        <f>VLOOKUP(J155,'[2]Chart of accounts'!A:H,2,FALSE)</f>
        <v>#N/A</v>
      </c>
      <c r="L155" s="39"/>
      <c r="M155" s="39"/>
      <c r="N155" s="34"/>
      <c r="O155" s="34"/>
      <c r="P155" s="34"/>
      <c r="Q155" s="40"/>
      <c r="R155" s="40"/>
      <c r="S155" s="78"/>
      <c r="T155" s="42"/>
      <c r="U155" s="42"/>
      <c r="V155" s="44"/>
      <c r="W155" s="52"/>
      <c r="X155" s="49"/>
      <c r="Y155" s="44"/>
      <c r="Z155" s="45"/>
      <c r="AA155" s="46"/>
      <c r="AB155" s="47"/>
      <c r="AC155" s="47"/>
      <c r="AD155" s="47"/>
      <c r="AE155" s="47"/>
      <c r="AF155" s="47"/>
      <c r="AG155" s="44"/>
      <c r="AH155" s="44"/>
      <c r="AI155" s="44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4"/>
      <c r="BB155" s="44"/>
      <c r="BC155" s="44"/>
      <c r="BD155" s="44"/>
      <c r="BE155" s="44"/>
      <c r="BF155" s="48"/>
      <c r="BG155" s="44"/>
      <c r="BH155" s="44"/>
      <c r="BI155" s="44"/>
      <c r="BJ155" s="44"/>
      <c r="BK155" s="44"/>
      <c r="BL155" s="44"/>
      <c r="BM155" s="44"/>
      <c r="BN155" s="44"/>
      <c r="BO155" s="44"/>
      <c r="BP155" s="44"/>
      <c r="BQ155" s="44"/>
      <c r="BR155" s="49"/>
      <c r="BS155" s="44"/>
      <c r="BT155" s="44"/>
      <c r="BU155" s="44"/>
      <c r="BV155" s="49"/>
      <c r="BW155" s="47"/>
      <c r="BX155" s="44"/>
      <c r="BY155" s="44"/>
      <c r="BZ155" s="44"/>
      <c r="CA155" s="44"/>
      <c r="CB155" s="44"/>
      <c r="CC155" s="44"/>
      <c r="CD155" s="43"/>
      <c r="CE155" s="44"/>
      <c r="CF155" s="44"/>
      <c r="CG155" s="44"/>
      <c r="CH155" s="44"/>
      <c r="CI155" s="44"/>
      <c r="CJ155" s="47"/>
      <c r="CK155" s="44"/>
      <c r="CL155" s="44"/>
      <c r="CM155" s="44"/>
      <c r="CN155" s="44"/>
      <c r="CO155" s="44"/>
      <c r="CP155" s="44"/>
      <c r="CQ155" s="44"/>
      <c r="CR155" s="44"/>
      <c r="CS155" s="44"/>
      <c r="CT155" s="44"/>
      <c r="CU155" s="44"/>
      <c r="CV155" s="44"/>
      <c r="CW155" s="44"/>
      <c r="CX155" s="44"/>
      <c r="CY155" s="44"/>
      <c r="CZ155" s="44"/>
      <c r="DA155" s="44"/>
      <c r="DB155" s="44"/>
      <c r="DC155" s="44"/>
      <c r="DD155" s="44"/>
      <c r="DE155" s="44"/>
      <c r="DF155" s="44"/>
      <c r="DG155" s="44"/>
      <c r="DH155" s="44"/>
      <c r="DI155" s="44"/>
      <c r="DJ155" s="44"/>
      <c r="DK155" s="44"/>
      <c r="DL155" s="44"/>
      <c r="DM155" s="44"/>
      <c r="DN155" s="44"/>
      <c r="DO155" s="44"/>
      <c r="DP155" s="44"/>
      <c r="DQ155" s="44"/>
      <c r="DR155" s="44"/>
      <c r="DS155" s="44"/>
      <c r="DT155" s="44"/>
      <c r="DU155" s="44"/>
      <c r="DV155" s="44"/>
      <c r="DW155" s="44"/>
      <c r="DX155" s="44"/>
      <c r="DY155" s="44"/>
      <c r="DZ155" s="47"/>
      <c r="EA155" s="47"/>
      <c r="EB155" s="47"/>
    </row>
    <row r="156" spans="3:132" s="32" customFormat="1">
      <c r="C156" s="76">
        <v>44224</v>
      </c>
      <c r="D156" s="34" t="s">
        <v>759</v>
      </c>
      <c r="E156" s="286"/>
      <c r="F156" s="36"/>
      <c r="G156" s="36"/>
      <c r="H156" s="39"/>
      <c r="I156" s="34"/>
      <c r="J156" s="39"/>
      <c r="K156" s="51" t="e">
        <f>VLOOKUP(J156,'[2]Chart of accounts'!A:H,2,FALSE)</f>
        <v>#N/A</v>
      </c>
      <c r="L156" s="39"/>
      <c r="M156" s="39"/>
      <c r="N156" s="34"/>
      <c r="O156" s="34"/>
      <c r="P156" s="34"/>
      <c r="Q156" s="40"/>
      <c r="R156" s="40"/>
      <c r="S156" s="78"/>
      <c r="T156" s="42"/>
      <c r="U156" s="42"/>
      <c r="V156" s="44"/>
      <c r="W156" s="52"/>
      <c r="X156" s="49"/>
      <c r="Y156" s="44"/>
      <c r="Z156" s="45"/>
      <c r="AA156" s="46"/>
      <c r="AB156" s="47"/>
      <c r="AC156" s="47"/>
      <c r="AD156" s="47"/>
      <c r="AE156" s="47"/>
      <c r="AF156" s="47"/>
      <c r="AG156" s="44"/>
      <c r="AH156" s="44"/>
      <c r="AI156" s="44"/>
      <c r="AJ156" s="47"/>
      <c r="AK156" s="47"/>
      <c r="AL156" s="47"/>
      <c r="AM156" s="47"/>
      <c r="AN156" s="47"/>
      <c r="AO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47"/>
      <c r="AZ156" s="47"/>
      <c r="BA156" s="44"/>
      <c r="BB156" s="44"/>
      <c r="BC156" s="44"/>
      <c r="BD156" s="44"/>
      <c r="BE156" s="44"/>
      <c r="BF156" s="48"/>
      <c r="BG156" s="44"/>
      <c r="BH156" s="44"/>
      <c r="BI156" s="44"/>
      <c r="BJ156" s="44"/>
      <c r="BK156" s="44"/>
      <c r="BL156" s="44"/>
      <c r="BM156" s="44"/>
      <c r="BN156" s="44"/>
      <c r="BO156" s="44"/>
      <c r="BP156" s="44"/>
      <c r="BQ156" s="44"/>
      <c r="BR156" s="49"/>
      <c r="BS156" s="44"/>
      <c r="BT156" s="44"/>
      <c r="BU156" s="44"/>
      <c r="BV156" s="49"/>
      <c r="BW156" s="47"/>
      <c r="BX156" s="44"/>
      <c r="BY156" s="44"/>
      <c r="BZ156" s="44"/>
      <c r="CA156" s="44"/>
      <c r="CB156" s="44"/>
      <c r="CC156" s="44"/>
      <c r="CD156" s="43"/>
      <c r="CE156" s="44"/>
      <c r="CF156" s="44"/>
      <c r="CG156" s="44"/>
      <c r="CH156" s="44"/>
      <c r="CI156" s="44"/>
      <c r="CJ156" s="47"/>
      <c r="CK156" s="44"/>
      <c r="CL156" s="44"/>
      <c r="CM156" s="44"/>
      <c r="CN156" s="44"/>
      <c r="CO156" s="44"/>
      <c r="CP156" s="44"/>
      <c r="CQ156" s="44"/>
      <c r="CR156" s="44"/>
      <c r="CS156" s="44"/>
      <c r="CT156" s="44"/>
      <c r="CU156" s="44"/>
      <c r="CV156" s="44"/>
      <c r="CW156" s="44"/>
      <c r="CX156" s="44"/>
      <c r="CY156" s="44"/>
      <c r="CZ156" s="44"/>
      <c r="DA156" s="44"/>
      <c r="DB156" s="44"/>
      <c r="DC156" s="44"/>
      <c r="DD156" s="44"/>
      <c r="DE156" s="44"/>
      <c r="DF156" s="44"/>
      <c r="DG156" s="44"/>
      <c r="DH156" s="44"/>
      <c r="DI156" s="44"/>
      <c r="DJ156" s="44"/>
      <c r="DK156" s="44"/>
      <c r="DL156" s="44"/>
      <c r="DM156" s="44"/>
      <c r="DN156" s="44"/>
      <c r="DO156" s="44"/>
      <c r="DP156" s="44"/>
      <c r="DQ156" s="44"/>
      <c r="DR156" s="44"/>
      <c r="DS156" s="44"/>
      <c r="DT156" s="44"/>
      <c r="DU156" s="44"/>
      <c r="DV156" s="44"/>
      <c r="DW156" s="44"/>
      <c r="DX156" s="44"/>
      <c r="DY156" s="44"/>
      <c r="DZ156" s="47"/>
      <c r="EA156" s="47"/>
      <c r="EB156" s="47"/>
    </row>
    <row r="157" spans="3:132" s="32" customFormat="1">
      <c r="C157" s="76">
        <v>44224</v>
      </c>
      <c r="D157" s="34" t="s">
        <v>759</v>
      </c>
      <c r="E157" s="286"/>
      <c r="F157" s="36"/>
      <c r="G157" s="36"/>
      <c r="H157" s="39"/>
      <c r="I157" s="34"/>
      <c r="J157" s="39"/>
      <c r="K157" s="51" t="e">
        <f>VLOOKUP(J157,'[2]Chart of accounts'!A:H,2,FALSE)</f>
        <v>#N/A</v>
      </c>
      <c r="L157" s="39"/>
      <c r="M157" s="39"/>
      <c r="N157" s="34"/>
      <c r="O157" s="34"/>
      <c r="P157" s="34"/>
      <c r="Q157" s="40"/>
      <c r="R157" s="40"/>
      <c r="S157" s="78"/>
      <c r="T157" s="42"/>
      <c r="U157" s="42"/>
      <c r="V157" s="44"/>
      <c r="W157" s="52"/>
      <c r="X157" s="49"/>
      <c r="Y157" s="44"/>
      <c r="Z157" s="45"/>
      <c r="AA157" s="46"/>
      <c r="AB157" s="47"/>
      <c r="AC157" s="47"/>
      <c r="AD157" s="47"/>
      <c r="AE157" s="47"/>
      <c r="AF157" s="47"/>
      <c r="AG157" s="44"/>
      <c r="AH157" s="44"/>
      <c r="AI157" s="44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4"/>
      <c r="BB157" s="44"/>
      <c r="BC157" s="44"/>
      <c r="BD157" s="44"/>
      <c r="BE157" s="44"/>
      <c r="BF157" s="48"/>
      <c r="BG157" s="44"/>
      <c r="BH157" s="44"/>
      <c r="BI157" s="44"/>
      <c r="BJ157" s="44"/>
      <c r="BK157" s="44"/>
      <c r="BL157" s="44"/>
      <c r="BM157" s="44"/>
      <c r="BN157" s="44"/>
      <c r="BO157" s="44"/>
      <c r="BP157" s="44"/>
      <c r="BQ157" s="44"/>
      <c r="BR157" s="49"/>
      <c r="BS157" s="44"/>
      <c r="BT157" s="44"/>
      <c r="BU157" s="44"/>
      <c r="BV157" s="49"/>
      <c r="BW157" s="47"/>
      <c r="BX157" s="44"/>
      <c r="BY157" s="44"/>
      <c r="BZ157" s="44"/>
      <c r="CA157" s="44"/>
      <c r="CB157" s="44"/>
      <c r="CC157" s="44"/>
      <c r="CD157" s="43"/>
      <c r="CE157" s="44"/>
      <c r="CF157" s="44"/>
      <c r="CG157" s="44"/>
      <c r="CH157" s="44"/>
      <c r="CI157" s="44"/>
      <c r="CJ157" s="47"/>
      <c r="CK157" s="44"/>
      <c r="CL157" s="44"/>
      <c r="CM157" s="44"/>
      <c r="CN157" s="44"/>
      <c r="CO157" s="44"/>
      <c r="CP157" s="44"/>
      <c r="CQ157" s="44"/>
      <c r="CR157" s="44"/>
      <c r="CS157" s="44"/>
      <c r="CT157" s="44"/>
      <c r="CU157" s="44"/>
      <c r="CV157" s="44"/>
      <c r="CW157" s="44"/>
      <c r="CX157" s="44"/>
      <c r="CY157" s="44"/>
      <c r="CZ157" s="44"/>
      <c r="DA157" s="44"/>
      <c r="DB157" s="44"/>
      <c r="DC157" s="44"/>
      <c r="DD157" s="44"/>
      <c r="DE157" s="44"/>
      <c r="DF157" s="44"/>
      <c r="DG157" s="44"/>
      <c r="DH157" s="44"/>
      <c r="DI157" s="44"/>
      <c r="DJ157" s="44"/>
      <c r="DK157" s="44"/>
      <c r="DL157" s="44"/>
      <c r="DM157" s="44"/>
      <c r="DN157" s="44"/>
      <c r="DO157" s="44"/>
      <c r="DP157" s="44"/>
      <c r="DQ157" s="44"/>
      <c r="DR157" s="44"/>
      <c r="DS157" s="44"/>
      <c r="DT157" s="44"/>
      <c r="DU157" s="44"/>
      <c r="DV157" s="44"/>
      <c r="DW157" s="44"/>
      <c r="DX157" s="44"/>
      <c r="DY157" s="44"/>
      <c r="DZ157" s="47"/>
      <c r="EA157" s="47"/>
      <c r="EB157" s="47"/>
    </row>
    <row r="158" spans="3:132" s="32" customFormat="1">
      <c r="C158" s="76">
        <v>44224</v>
      </c>
      <c r="D158" s="34" t="s">
        <v>759</v>
      </c>
      <c r="E158" s="286"/>
      <c r="F158" s="36"/>
      <c r="G158" s="36"/>
      <c r="H158" s="39"/>
      <c r="I158" s="34"/>
      <c r="J158" s="39"/>
      <c r="K158" s="51" t="e">
        <f>VLOOKUP(J158,'[2]Chart of accounts'!A:H,2,FALSE)</f>
        <v>#N/A</v>
      </c>
      <c r="L158" s="39"/>
      <c r="M158" s="39"/>
      <c r="N158" s="34"/>
      <c r="O158" s="34"/>
      <c r="P158" s="34"/>
      <c r="Q158" s="40"/>
      <c r="R158" s="40"/>
      <c r="S158" s="78"/>
      <c r="T158" s="42"/>
      <c r="U158" s="42"/>
      <c r="V158" s="44"/>
      <c r="W158" s="52"/>
      <c r="X158" s="49"/>
      <c r="Y158" s="44"/>
      <c r="Z158" s="45"/>
      <c r="AA158" s="46"/>
      <c r="AB158" s="47"/>
      <c r="AC158" s="47"/>
      <c r="AD158" s="47"/>
      <c r="AE158" s="47"/>
      <c r="AF158" s="47"/>
      <c r="AG158" s="44"/>
      <c r="AH158" s="44"/>
      <c r="AI158" s="44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4"/>
      <c r="BB158" s="44"/>
      <c r="BC158" s="44"/>
      <c r="BD158" s="44"/>
      <c r="BE158" s="44"/>
      <c r="BF158" s="48"/>
      <c r="BG158" s="44"/>
      <c r="BH158" s="44"/>
      <c r="BI158" s="44"/>
      <c r="BJ158" s="44"/>
      <c r="BK158" s="44"/>
      <c r="BL158" s="44"/>
      <c r="BM158" s="44"/>
      <c r="BN158" s="44"/>
      <c r="BO158" s="44"/>
      <c r="BP158" s="44"/>
      <c r="BQ158" s="44"/>
      <c r="BR158" s="49"/>
      <c r="BS158" s="44"/>
      <c r="BT158" s="44"/>
      <c r="BU158" s="44"/>
      <c r="BV158" s="49"/>
      <c r="BW158" s="47"/>
      <c r="BX158" s="44"/>
      <c r="BY158" s="44"/>
      <c r="BZ158" s="44"/>
      <c r="CA158" s="44"/>
      <c r="CB158" s="44"/>
      <c r="CC158" s="44"/>
      <c r="CD158" s="43"/>
      <c r="CE158" s="44"/>
      <c r="CF158" s="44"/>
      <c r="CG158" s="44"/>
      <c r="CH158" s="44"/>
      <c r="CI158" s="44"/>
      <c r="CJ158" s="47"/>
      <c r="CK158" s="44"/>
      <c r="CL158" s="44"/>
      <c r="CM158" s="44"/>
      <c r="CN158" s="44"/>
      <c r="CO158" s="44"/>
      <c r="CP158" s="44"/>
      <c r="CQ158" s="44"/>
      <c r="CR158" s="44"/>
      <c r="CS158" s="44"/>
      <c r="CT158" s="44"/>
      <c r="CU158" s="44"/>
      <c r="CV158" s="44"/>
      <c r="CW158" s="44"/>
      <c r="CX158" s="44"/>
      <c r="CY158" s="44"/>
      <c r="CZ158" s="44"/>
      <c r="DA158" s="44"/>
      <c r="DB158" s="44"/>
      <c r="DC158" s="44"/>
      <c r="DD158" s="44"/>
      <c r="DE158" s="44"/>
      <c r="DF158" s="44"/>
      <c r="DG158" s="44"/>
      <c r="DH158" s="44"/>
      <c r="DI158" s="44"/>
      <c r="DJ158" s="44"/>
      <c r="DK158" s="44"/>
      <c r="DL158" s="44"/>
      <c r="DM158" s="44"/>
      <c r="DN158" s="44"/>
      <c r="DO158" s="44"/>
      <c r="DP158" s="44"/>
      <c r="DQ158" s="44"/>
      <c r="DR158" s="44"/>
      <c r="DS158" s="44"/>
      <c r="DT158" s="44"/>
      <c r="DU158" s="44"/>
      <c r="DV158" s="44"/>
      <c r="DW158" s="44"/>
      <c r="DX158" s="44"/>
      <c r="DY158" s="44"/>
      <c r="DZ158" s="47"/>
      <c r="EA158" s="47"/>
      <c r="EB158" s="47"/>
    </row>
    <row r="159" spans="3:132" s="32" customFormat="1">
      <c r="C159" s="76">
        <v>44224</v>
      </c>
      <c r="D159" s="34" t="s">
        <v>759</v>
      </c>
      <c r="E159" s="35"/>
      <c r="F159" s="36"/>
      <c r="G159" s="36"/>
      <c r="H159" s="39"/>
      <c r="I159" s="34"/>
      <c r="J159" s="39"/>
      <c r="K159" s="51" t="e">
        <f>VLOOKUP(J159,'[2]Chart of accounts'!A:H,2,FALSE)</f>
        <v>#N/A</v>
      </c>
      <c r="L159" s="39"/>
      <c r="M159" s="39"/>
      <c r="N159" s="34"/>
      <c r="O159" s="34"/>
      <c r="P159" s="34"/>
      <c r="Q159" s="40"/>
      <c r="R159" s="40"/>
      <c r="S159" s="78"/>
      <c r="T159" s="42"/>
      <c r="U159" s="42"/>
      <c r="V159" s="44"/>
      <c r="W159" s="52"/>
      <c r="X159" s="49"/>
      <c r="Y159" s="44"/>
      <c r="Z159" s="45"/>
      <c r="AA159" s="46"/>
      <c r="AB159" s="47"/>
      <c r="AC159" s="47"/>
      <c r="AD159" s="47"/>
      <c r="AE159" s="47"/>
      <c r="AF159" s="47"/>
      <c r="AG159" s="44"/>
      <c r="AH159" s="44"/>
      <c r="AI159" s="44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4"/>
      <c r="BB159" s="44"/>
      <c r="BC159" s="44"/>
      <c r="BD159" s="44"/>
      <c r="BE159" s="44"/>
      <c r="BF159" s="48"/>
      <c r="BG159" s="44"/>
      <c r="BH159" s="44"/>
      <c r="BI159" s="44"/>
      <c r="BJ159" s="44"/>
      <c r="BK159" s="44"/>
      <c r="BL159" s="44"/>
      <c r="BM159" s="44"/>
      <c r="BN159" s="44"/>
      <c r="BO159" s="44"/>
      <c r="BP159" s="44"/>
      <c r="BQ159" s="44"/>
      <c r="BR159" s="49"/>
      <c r="BS159" s="44"/>
      <c r="BT159" s="44"/>
      <c r="BU159" s="44"/>
      <c r="BV159" s="49"/>
      <c r="BW159" s="47"/>
      <c r="BX159" s="44"/>
      <c r="BY159" s="44"/>
      <c r="BZ159" s="44"/>
      <c r="CA159" s="44"/>
      <c r="CB159" s="44"/>
      <c r="CC159" s="44"/>
      <c r="CD159" s="43"/>
      <c r="CE159" s="44"/>
      <c r="CF159" s="44"/>
      <c r="CG159" s="44"/>
      <c r="CH159" s="44"/>
      <c r="CI159" s="44"/>
      <c r="CJ159" s="47"/>
      <c r="CK159" s="44"/>
      <c r="CL159" s="44"/>
      <c r="CM159" s="44"/>
      <c r="CN159" s="44"/>
      <c r="CO159" s="44"/>
      <c r="CP159" s="44"/>
      <c r="CQ159" s="44"/>
      <c r="CR159" s="44"/>
      <c r="CS159" s="44"/>
      <c r="CT159" s="44"/>
      <c r="CU159" s="44"/>
      <c r="CV159" s="44"/>
      <c r="CW159" s="44"/>
      <c r="CX159" s="44"/>
      <c r="CY159" s="44"/>
      <c r="CZ159" s="44"/>
      <c r="DA159" s="44"/>
      <c r="DB159" s="44"/>
      <c r="DC159" s="44"/>
      <c r="DD159" s="44"/>
      <c r="DE159" s="44"/>
      <c r="DF159" s="44"/>
      <c r="DG159" s="44"/>
      <c r="DH159" s="44"/>
      <c r="DI159" s="44"/>
      <c r="DJ159" s="44"/>
      <c r="DK159" s="44"/>
      <c r="DL159" s="44"/>
      <c r="DM159" s="44"/>
      <c r="DN159" s="44"/>
      <c r="DO159" s="44"/>
      <c r="DP159" s="44"/>
      <c r="DQ159" s="44"/>
      <c r="DR159" s="44"/>
      <c r="DS159" s="44"/>
      <c r="DT159" s="44"/>
      <c r="DU159" s="44"/>
      <c r="DV159" s="44"/>
      <c r="DW159" s="44"/>
      <c r="DX159" s="44"/>
      <c r="DY159" s="44"/>
      <c r="DZ159" s="47"/>
      <c r="EA159" s="47"/>
      <c r="EB159" s="47"/>
    </row>
    <row r="160" spans="3:132" s="32" customFormat="1">
      <c r="C160" s="76">
        <v>44224</v>
      </c>
      <c r="D160" s="34" t="s">
        <v>759</v>
      </c>
      <c r="E160" s="35"/>
      <c r="F160" s="36"/>
      <c r="G160" s="36"/>
      <c r="H160" s="39"/>
      <c r="I160" s="34"/>
      <c r="J160" s="39"/>
      <c r="K160" s="51" t="e">
        <f>VLOOKUP(J160,'[2]Chart of accounts'!A:H,2,FALSE)</f>
        <v>#N/A</v>
      </c>
      <c r="L160" s="39"/>
      <c r="M160" s="39"/>
      <c r="N160" s="34"/>
      <c r="O160" s="34"/>
      <c r="P160" s="34"/>
      <c r="Q160" s="40"/>
      <c r="R160" s="40"/>
      <c r="S160" s="78"/>
      <c r="T160" s="42"/>
      <c r="U160" s="42"/>
      <c r="V160" s="44"/>
      <c r="W160" s="52"/>
      <c r="X160" s="49"/>
      <c r="Y160" s="44"/>
      <c r="Z160" s="45"/>
      <c r="AA160" s="46"/>
      <c r="AB160" s="47"/>
      <c r="AC160" s="47"/>
      <c r="AD160" s="47"/>
      <c r="AE160" s="47"/>
      <c r="AF160" s="47"/>
      <c r="AG160" s="44"/>
      <c r="AH160" s="44"/>
      <c r="AI160" s="44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4"/>
      <c r="BB160" s="44"/>
      <c r="BC160" s="44"/>
      <c r="BD160" s="44"/>
      <c r="BE160" s="44"/>
      <c r="BF160" s="48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9"/>
      <c r="BS160" s="44"/>
      <c r="BT160" s="44"/>
      <c r="BU160" s="44"/>
      <c r="BV160" s="49"/>
      <c r="BW160" s="47"/>
      <c r="BX160" s="44"/>
      <c r="BY160" s="44"/>
      <c r="BZ160" s="44"/>
      <c r="CA160" s="44"/>
      <c r="CB160" s="44"/>
      <c r="CC160" s="44"/>
      <c r="CD160" s="43"/>
      <c r="CE160" s="44"/>
      <c r="CF160" s="44"/>
      <c r="CG160" s="44"/>
      <c r="CH160" s="44"/>
      <c r="CI160" s="44"/>
      <c r="CJ160" s="47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  <c r="CV160" s="44"/>
      <c r="CW160" s="44"/>
      <c r="CX160" s="44"/>
      <c r="CY160" s="44"/>
      <c r="CZ160" s="44"/>
      <c r="DA160" s="44"/>
      <c r="DB160" s="44"/>
      <c r="DC160" s="44"/>
      <c r="DD160" s="44"/>
      <c r="DE160" s="44"/>
      <c r="DF160" s="44"/>
      <c r="DG160" s="44"/>
      <c r="DH160" s="44"/>
      <c r="DI160" s="44"/>
      <c r="DJ160" s="44"/>
      <c r="DK160" s="44"/>
      <c r="DL160" s="44"/>
      <c r="DM160" s="44"/>
      <c r="DN160" s="44"/>
      <c r="DO160" s="44"/>
      <c r="DP160" s="44"/>
      <c r="DQ160" s="44"/>
      <c r="DR160" s="44"/>
      <c r="DS160" s="44"/>
      <c r="DT160" s="44"/>
      <c r="DU160" s="44"/>
      <c r="DV160" s="44"/>
      <c r="DW160" s="44"/>
      <c r="DX160" s="44"/>
      <c r="DY160" s="44"/>
      <c r="DZ160" s="47"/>
      <c r="EA160" s="47"/>
      <c r="EB160" s="47"/>
    </row>
    <row r="161" spans="3:132" s="32" customFormat="1">
      <c r="C161" s="76">
        <v>44224</v>
      </c>
      <c r="D161" s="34" t="s">
        <v>759</v>
      </c>
      <c r="E161" s="35"/>
      <c r="F161" s="36"/>
      <c r="G161" s="36"/>
      <c r="H161" s="39"/>
      <c r="I161" s="34"/>
      <c r="J161" s="39"/>
      <c r="K161" s="51" t="e">
        <f>VLOOKUP(J161,'[2]Chart of accounts'!A:H,2,FALSE)</f>
        <v>#N/A</v>
      </c>
      <c r="L161" s="39"/>
      <c r="M161" s="39"/>
      <c r="N161" s="34"/>
      <c r="O161" s="34"/>
      <c r="P161" s="34"/>
      <c r="Q161" s="40"/>
      <c r="R161" s="40"/>
      <c r="S161" s="78"/>
      <c r="T161" s="42"/>
      <c r="U161" s="42"/>
      <c r="V161" s="44"/>
      <c r="W161" s="52"/>
      <c r="X161" s="49"/>
      <c r="Y161" s="44"/>
      <c r="Z161" s="45"/>
      <c r="AA161" s="46"/>
      <c r="AB161" s="47"/>
      <c r="AC161" s="47"/>
      <c r="AD161" s="47"/>
      <c r="AE161" s="47"/>
      <c r="AF161" s="47"/>
      <c r="AG161" s="44"/>
      <c r="AH161" s="44"/>
      <c r="AI161" s="44"/>
      <c r="AJ161" s="47"/>
      <c r="AK161" s="47"/>
      <c r="AL161" s="47"/>
      <c r="AM161" s="47"/>
      <c r="AN161" s="47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4"/>
      <c r="BB161" s="44"/>
      <c r="BC161" s="44"/>
      <c r="BD161" s="44"/>
      <c r="BE161" s="44"/>
      <c r="BF161" s="48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9"/>
      <c r="BS161" s="44"/>
      <c r="BT161" s="44"/>
      <c r="BU161" s="44"/>
      <c r="BV161" s="49"/>
      <c r="BW161" s="47"/>
      <c r="BX161" s="44"/>
      <c r="BY161" s="44"/>
      <c r="BZ161" s="44"/>
      <c r="CA161" s="44"/>
      <c r="CB161" s="44"/>
      <c r="CC161" s="44"/>
      <c r="CD161" s="43"/>
      <c r="CE161" s="44"/>
      <c r="CF161" s="44"/>
      <c r="CG161" s="44"/>
      <c r="CH161" s="44"/>
      <c r="CI161" s="44"/>
      <c r="CJ161" s="47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  <c r="CV161" s="44"/>
      <c r="CW161" s="44"/>
      <c r="CX161" s="44"/>
      <c r="CY161" s="44"/>
      <c r="CZ161" s="44"/>
      <c r="DA161" s="44"/>
      <c r="DB161" s="44"/>
      <c r="DC161" s="44"/>
      <c r="DD161" s="44"/>
      <c r="DE161" s="44"/>
      <c r="DF161" s="44"/>
      <c r="DG161" s="44"/>
      <c r="DH161" s="44"/>
      <c r="DI161" s="44"/>
      <c r="DJ161" s="44"/>
      <c r="DK161" s="44"/>
      <c r="DL161" s="44"/>
      <c r="DM161" s="44"/>
      <c r="DN161" s="44"/>
      <c r="DO161" s="44"/>
      <c r="DP161" s="44"/>
      <c r="DQ161" s="44"/>
      <c r="DR161" s="44"/>
      <c r="DS161" s="44"/>
      <c r="DT161" s="44"/>
      <c r="DU161" s="44"/>
      <c r="DV161" s="44"/>
      <c r="DW161" s="44"/>
      <c r="DX161" s="44"/>
      <c r="DY161" s="44"/>
      <c r="DZ161" s="47"/>
      <c r="EA161" s="47"/>
      <c r="EB161" s="47"/>
    </row>
    <row r="162" spans="3:132" s="32" customFormat="1">
      <c r="C162" s="76">
        <v>44224</v>
      </c>
      <c r="D162" s="34" t="s">
        <v>759</v>
      </c>
      <c r="E162" s="35"/>
      <c r="F162" s="36"/>
      <c r="G162" s="36"/>
      <c r="H162" s="39"/>
      <c r="I162" s="34"/>
      <c r="J162" s="39"/>
      <c r="K162" s="51" t="e">
        <f>VLOOKUP(J162,'[2]Chart of accounts'!A:H,2,FALSE)</f>
        <v>#N/A</v>
      </c>
      <c r="L162" s="39"/>
      <c r="M162" s="39"/>
      <c r="N162" s="34"/>
      <c r="O162" s="34"/>
      <c r="P162" s="34"/>
      <c r="Q162" s="40"/>
      <c r="R162" s="40"/>
      <c r="S162" s="78"/>
      <c r="T162" s="42"/>
      <c r="U162" s="42"/>
      <c r="V162" s="44"/>
      <c r="W162" s="52"/>
      <c r="X162" s="49"/>
      <c r="Y162" s="44"/>
      <c r="Z162" s="45"/>
      <c r="AA162" s="46"/>
      <c r="AB162" s="47"/>
      <c r="AC162" s="47"/>
      <c r="AD162" s="47"/>
      <c r="AE162" s="47"/>
      <c r="AF162" s="47"/>
      <c r="AG162" s="44"/>
      <c r="AH162" s="44"/>
      <c r="AI162" s="44"/>
      <c r="AJ162" s="47"/>
      <c r="AK162" s="47"/>
      <c r="AL162" s="47"/>
      <c r="AM162" s="47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47"/>
      <c r="BA162" s="44"/>
      <c r="BB162" s="44"/>
      <c r="BC162" s="44"/>
      <c r="BD162" s="44"/>
      <c r="BE162" s="44"/>
      <c r="BF162" s="48"/>
      <c r="BG162" s="44"/>
      <c r="BH162" s="44"/>
      <c r="BI162" s="44"/>
      <c r="BJ162" s="44"/>
      <c r="BK162" s="44"/>
      <c r="BL162" s="44"/>
      <c r="BM162" s="44"/>
      <c r="BN162" s="44"/>
      <c r="BO162" s="44"/>
      <c r="BP162" s="44"/>
      <c r="BQ162" s="44"/>
      <c r="BR162" s="49"/>
      <c r="BS162" s="44"/>
      <c r="BT162" s="44"/>
      <c r="BU162" s="44"/>
      <c r="BV162" s="49"/>
      <c r="BW162" s="47"/>
      <c r="BX162" s="44"/>
      <c r="BY162" s="44"/>
      <c r="BZ162" s="44"/>
      <c r="CA162" s="44"/>
      <c r="CB162" s="44"/>
      <c r="CC162" s="44"/>
      <c r="CD162" s="43"/>
      <c r="CE162" s="44"/>
      <c r="CF162" s="44"/>
      <c r="CG162" s="44"/>
      <c r="CH162" s="44"/>
      <c r="CI162" s="44"/>
      <c r="CJ162" s="47"/>
      <c r="CK162" s="44"/>
      <c r="CL162" s="44"/>
      <c r="CM162" s="44"/>
      <c r="CN162" s="44"/>
      <c r="CO162" s="44"/>
      <c r="CP162" s="44"/>
      <c r="CQ162" s="44"/>
      <c r="CR162" s="44"/>
      <c r="CS162" s="44"/>
      <c r="CT162" s="44"/>
      <c r="CU162" s="44"/>
      <c r="CV162" s="44"/>
      <c r="CW162" s="44"/>
      <c r="CX162" s="44"/>
      <c r="CY162" s="44"/>
      <c r="CZ162" s="44"/>
      <c r="DA162" s="44"/>
      <c r="DB162" s="44"/>
      <c r="DC162" s="44"/>
      <c r="DD162" s="44"/>
      <c r="DE162" s="44"/>
      <c r="DF162" s="44"/>
      <c r="DG162" s="44"/>
      <c r="DH162" s="44"/>
      <c r="DI162" s="44"/>
      <c r="DJ162" s="44"/>
      <c r="DK162" s="44"/>
      <c r="DL162" s="44"/>
      <c r="DM162" s="44"/>
      <c r="DN162" s="44"/>
      <c r="DO162" s="44"/>
      <c r="DP162" s="44"/>
      <c r="DQ162" s="44"/>
      <c r="DR162" s="44"/>
      <c r="DS162" s="44"/>
      <c r="DT162" s="44"/>
      <c r="DU162" s="44"/>
      <c r="DV162" s="44"/>
      <c r="DW162" s="44"/>
      <c r="DX162" s="44"/>
      <c r="DY162" s="44"/>
      <c r="DZ162" s="47"/>
      <c r="EA162" s="47"/>
      <c r="EB162" s="47"/>
    </row>
    <row r="163" spans="3:132" s="32" customFormat="1">
      <c r="C163" s="76">
        <v>44224</v>
      </c>
      <c r="D163" s="34" t="s">
        <v>759</v>
      </c>
      <c r="E163" s="35"/>
      <c r="F163" s="36"/>
      <c r="G163" s="36"/>
      <c r="H163" s="39"/>
      <c r="I163" s="34"/>
      <c r="J163" s="39"/>
      <c r="K163" s="51" t="e">
        <f>VLOOKUP(J163,'[2]Chart of accounts'!A:H,2,FALSE)</f>
        <v>#N/A</v>
      </c>
      <c r="L163" s="39"/>
      <c r="M163" s="39"/>
      <c r="N163" s="34"/>
      <c r="O163" s="34"/>
      <c r="P163" s="34"/>
      <c r="Q163" s="40"/>
      <c r="R163" s="40"/>
      <c r="S163" s="78"/>
      <c r="T163" s="42"/>
      <c r="U163" s="42"/>
      <c r="V163" s="44"/>
      <c r="W163" s="52"/>
      <c r="X163" s="49"/>
      <c r="Y163" s="44"/>
      <c r="Z163" s="45"/>
      <c r="AA163" s="46"/>
      <c r="AB163" s="47"/>
      <c r="AC163" s="47"/>
      <c r="AD163" s="47"/>
      <c r="AE163" s="47"/>
      <c r="AF163" s="47"/>
      <c r="AG163" s="44"/>
      <c r="AH163" s="44"/>
      <c r="AI163" s="44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4"/>
      <c r="BB163" s="44"/>
      <c r="BC163" s="44"/>
      <c r="BD163" s="44"/>
      <c r="BE163" s="44"/>
      <c r="BF163" s="48"/>
      <c r="BG163" s="44"/>
      <c r="BH163" s="44"/>
      <c r="BI163" s="44"/>
      <c r="BJ163" s="44"/>
      <c r="BK163" s="44"/>
      <c r="BL163" s="44"/>
      <c r="BM163" s="44"/>
      <c r="BN163" s="44"/>
      <c r="BO163" s="44"/>
      <c r="BP163" s="44"/>
      <c r="BQ163" s="44"/>
      <c r="BR163" s="49"/>
      <c r="BS163" s="44"/>
      <c r="BT163" s="44"/>
      <c r="BU163" s="44"/>
      <c r="BV163" s="49"/>
      <c r="BW163" s="47"/>
      <c r="BX163" s="44"/>
      <c r="BY163" s="44"/>
      <c r="BZ163" s="44"/>
      <c r="CA163" s="44"/>
      <c r="CB163" s="44"/>
      <c r="CC163" s="44"/>
      <c r="CD163" s="43"/>
      <c r="CE163" s="44"/>
      <c r="CF163" s="44"/>
      <c r="CG163" s="44"/>
      <c r="CH163" s="44"/>
      <c r="CI163" s="44"/>
      <c r="CJ163" s="47"/>
      <c r="CK163" s="44"/>
      <c r="CL163" s="44"/>
      <c r="CM163" s="44"/>
      <c r="CN163" s="44"/>
      <c r="CO163" s="44"/>
      <c r="CP163" s="44"/>
      <c r="CQ163" s="44"/>
      <c r="CR163" s="44"/>
      <c r="CS163" s="44"/>
      <c r="CT163" s="44"/>
      <c r="CU163" s="44"/>
      <c r="CV163" s="44"/>
      <c r="CW163" s="44"/>
      <c r="CX163" s="44"/>
      <c r="CY163" s="44"/>
      <c r="CZ163" s="44"/>
      <c r="DA163" s="44"/>
      <c r="DB163" s="44"/>
      <c r="DC163" s="44"/>
      <c r="DD163" s="44"/>
      <c r="DE163" s="44"/>
      <c r="DF163" s="44"/>
      <c r="DG163" s="44"/>
      <c r="DH163" s="44"/>
      <c r="DI163" s="44"/>
      <c r="DJ163" s="44"/>
      <c r="DK163" s="44"/>
      <c r="DL163" s="44"/>
      <c r="DM163" s="44"/>
      <c r="DN163" s="44"/>
      <c r="DO163" s="44"/>
      <c r="DP163" s="44"/>
      <c r="DQ163" s="44"/>
      <c r="DR163" s="44"/>
      <c r="DS163" s="44"/>
      <c r="DT163" s="44"/>
      <c r="DU163" s="44"/>
      <c r="DV163" s="44"/>
      <c r="DW163" s="44"/>
      <c r="DX163" s="44"/>
      <c r="DY163" s="44"/>
      <c r="DZ163" s="47"/>
      <c r="EA163" s="47"/>
      <c r="EB163" s="47"/>
    </row>
    <row r="164" spans="3:132" s="32" customFormat="1">
      <c r="C164" s="76"/>
      <c r="D164" s="34"/>
      <c r="E164" s="35"/>
      <c r="F164" s="36"/>
      <c r="G164" s="36"/>
      <c r="H164" s="39"/>
      <c r="I164" s="34"/>
      <c r="J164" s="39"/>
      <c r="K164" s="51" t="e">
        <f>VLOOKUP(J164,'[2]Chart of accounts'!A:H,2,FALSE)</f>
        <v>#N/A</v>
      </c>
      <c r="L164" s="39"/>
      <c r="M164" s="39"/>
      <c r="N164" s="34"/>
      <c r="O164" s="34"/>
      <c r="P164" s="34"/>
      <c r="Q164" s="40"/>
      <c r="R164" s="40"/>
      <c r="S164" s="78"/>
      <c r="T164" s="42"/>
      <c r="U164" s="42"/>
      <c r="V164" s="44"/>
      <c r="W164" s="52"/>
      <c r="X164" s="49"/>
      <c r="Y164" s="44"/>
      <c r="Z164" s="45"/>
      <c r="AA164" s="46"/>
      <c r="AB164" s="47"/>
      <c r="AC164" s="47"/>
      <c r="AD164" s="47"/>
      <c r="AE164" s="47"/>
      <c r="AF164" s="47"/>
      <c r="AG164" s="44"/>
      <c r="AH164" s="44"/>
      <c r="AI164" s="44"/>
      <c r="AJ164" s="47"/>
      <c r="AK164" s="47"/>
      <c r="AL164" s="47"/>
      <c r="AM164" s="47"/>
      <c r="AN164" s="47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4"/>
      <c r="BB164" s="44"/>
      <c r="BC164" s="44"/>
      <c r="BD164" s="44"/>
      <c r="BE164" s="44"/>
      <c r="BF164" s="48"/>
      <c r="BG164" s="44"/>
      <c r="BH164" s="44"/>
      <c r="BI164" s="44"/>
      <c r="BJ164" s="44"/>
      <c r="BK164" s="44"/>
      <c r="BL164" s="44"/>
      <c r="BM164" s="44"/>
      <c r="BN164" s="44"/>
      <c r="BO164" s="44"/>
      <c r="BP164" s="44"/>
      <c r="BQ164" s="44"/>
      <c r="BR164" s="49"/>
      <c r="BS164" s="44"/>
      <c r="BT164" s="44"/>
      <c r="BU164" s="44"/>
      <c r="BV164" s="49"/>
      <c r="BW164" s="47"/>
      <c r="BX164" s="44"/>
      <c r="BY164" s="44"/>
      <c r="BZ164" s="44"/>
      <c r="CA164" s="44"/>
      <c r="CB164" s="44"/>
      <c r="CC164" s="44"/>
      <c r="CD164" s="43"/>
      <c r="CE164" s="44"/>
      <c r="CF164" s="44"/>
      <c r="CG164" s="44"/>
      <c r="CH164" s="44"/>
      <c r="CI164" s="44"/>
      <c r="CJ164" s="47"/>
      <c r="CK164" s="44"/>
      <c r="CL164" s="44"/>
      <c r="CM164" s="44"/>
      <c r="CN164" s="44"/>
      <c r="CO164" s="44"/>
      <c r="CP164" s="44"/>
      <c r="CQ164" s="44"/>
      <c r="CR164" s="44"/>
      <c r="CS164" s="44"/>
      <c r="CT164" s="44"/>
      <c r="CU164" s="44"/>
      <c r="CV164" s="44"/>
      <c r="CW164" s="44"/>
      <c r="CX164" s="44"/>
      <c r="CY164" s="44"/>
      <c r="CZ164" s="44"/>
      <c r="DA164" s="44"/>
      <c r="DB164" s="44"/>
      <c r="DC164" s="44"/>
      <c r="DD164" s="44"/>
      <c r="DE164" s="44"/>
      <c r="DF164" s="44"/>
      <c r="DG164" s="44"/>
      <c r="DH164" s="44"/>
      <c r="DI164" s="44"/>
      <c r="DJ164" s="44"/>
      <c r="DK164" s="44"/>
      <c r="DL164" s="44"/>
      <c r="DM164" s="44"/>
      <c r="DN164" s="44"/>
      <c r="DO164" s="44"/>
      <c r="DP164" s="44"/>
      <c r="DQ164" s="44"/>
      <c r="DR164" s="44"/>
      <c r="DS164" s="44"/>
      <c r="DT164" s="44"/>
      <c r="DU164" s="44"/>
      <c r="DV164" s="44"/>
      <c r="DW164" s="44"/>
      <c r="DX164" s="44"/>
      <c r="DY164" s="44"/>
      <c r="DZ164" s="47"/>
      <c r="EA164" s="47"/>
      <c r="EB164" s="47"/>
    </row>
    <row r="165" spans="3:132" s="32" customFormat="1">
      <c r="C165" s="76"/>
      <c r="D165" s="34"/>
      <c r="E165" s="35"/>
      <c r="F165" s="36"/>
      <c r="G165" s="36"/>
      <c r="H165" s="39"/>
      <c r="I165" s="34"/>
      <c r="J165" s="39"/>
      <c r="K165" s="51" t="e">
        <f>VLOOKUP(J165,'[2]Chart of accounts'!A:H,2,FALSE)</f>
        <v>#N/A</v>
      </c>
      <c r="L165" s="39"/>
      <c r="M165" s="39"/>
      <c r="N165" s="34"/>
      <c r="O165" s="34"/>
      <c r="P165" s="34"/>
      <c r="Q165" s="40"/>
      <c r="R165" s="40"/>
      <c r="S165" s="78"/>
      <c r="T165" s="42"/>
      <c r="U165" s="42"/>
      <c r="V165" s="44"/>
      <c r="W165" s="52"/>
      <c r="X165" s="49"/>
      <c r="Y165" s="44"/>
      <c r="Z165" s="45"/>
      <c r="AA165" s="46"/>
      <c r="AB165" s="47"/>
      <c r="AC165" s="47"/>
      <c r="AD165" s="47"/>
      <c r="AE165" s="47"/>
      <c r="AF165" s="47"/>
      <c r="AG165" s="44"/>
      <c r="AH165" s="44"/>
      <c r="AI165" s="44"/>
      <c r="AJ165" s="47"/>
      <c r="AK165" s="47"/>
      <c r="AL165" s="47"/>
      <c r="AM165" s="47"/>
      <c r="AN165" s="47"/>
      <c r="AO165" s="47"/>
      <c r="AP165" s="47"/>
      <c r="AQ165" s="47"/>
      <c r="AR165" s="47"/>
      <c r="AS165" s="47"/>
      <c r="AT165" s="47"/>
      <c r="AU165" s="47"/>
      <c r="AV165" s="47"/>
      <c r="AW165" s="47"/>
      <c r="AX165" s="47"/>
      <c r="AY165" s="47"/>
      <c r="AZ165" s="47"/>
      <c r="BA165" s="44"/>
      <c r="BB165" s="44"/>
      <c r="BC165" s="44"/>
      <c r="BD165" s="44"/>
      <c r="BE165" s="44"/>
      <c r="BF165" s="48"/>
      <c r="BG165" s="44"/>
      <c r="BH165" s="44"/>
      <c r="BI165" s="44"/>
      <c r="BJ165" s="44"/>
      <c r="BK165" s="44"/>
      <c r="BL165" s="44"/>
      <c r="BM165" s="44"/>
      <c r="BN165" s="44"/>
      <c r="BO165" s="44"/>
      <c r="BP165" s="44"/>
      <c r="BQ165" s="44"/>
      <c r="BR165" s="49"/>
      <c r="BS165" s="44"/>
      <c r="BT165" s="44"/>
      <c r="BU165" s="44"/>
      <c r="BV165" s="49"/>
      <c r="BW165" s="47"/>
      <c r="BX165" s="44"/>
      <c r="BY165" s="44"/>
      <c r="BZ165" s="44"/>
      <c r="CA165" s="44"/>
      <c r="CB165" s="44"/>
      <c r="CC165" s="44"/>
      <c r="CD165" s="43"/>
      <c r="CE165" s="44"/>
      <c r="CF165" s="44"/>
      <c r="CG165" s="44"/>
      <c r="CH165" s="44"/>
      <c r="CI165" s="44"/>
      <c r="CJ165" s="47"/>
      <c r="CK165" s="44"/>
      <c r="CL165" s="44"/>
      <c r="CM165" s="44"/>
      <c r="CN165" s="44"/>
      <c r="CO165" s="44"/>
      <c r="CP165" s="44"/>
      <c r="CQ165" s="44"/>
      <c r="CR165" s="44"/>
      <c r="CS165" s="44"/>
      <c r="CT165" s="44"/>
      <c r="CU165" s="44"/>
      <c r="CV165" s="44"/>
      <c r="CW165" s="44"/>
      <c r="CX165" s="44"/>
      <c r="CY165" s="44"/>
      <c r="CZ165" s="44"/>
      <c r="DA165" s="44"/>
      <c r="DB165" s="44"/>
      <c r="DC165" s="44"/>
      <c r="DD165" s="44"/>
      <c r="DE165" s="44"/>
      <c r="DF165" s="44"/>
      <c r="DG165" s="44"/>
      <c r="DH165" s="44"/>
      <c r="DI165" s="44"/>
      <c r="DJ165" s="44"/>
      <c r="DK165" s="44"/>
      <c r="DL165" s="44"/>
      <c r="DM165" s="44"/>
      <c r="DN165" s="44"/>
      <c r="DO165" s="44"/>
      <c r="DP165" s="44"/>
      <c r="DQ165" s="44"/>
      <c r="DR165" s="44"/>
      <c r="DS165" s="44"/>
      <c r="DT165" s="44"/>
      <c r="DU165" s="44"/>
      <c r="DV165" s="44"/>
      <c r="DW165" s="44"/>
      <c r="DX165" s="44"/>
      <c r="DY165" s="44"/>
      <c r="DZ165" s="47"/>
      <c r="EA165" s="47"/>
      <c r="EB165" s="47"/>
    </row>
    <row r="166" spans="3:132" s="32" customFormat="1">
      <c r="C166" s="76"/>
      <c r="D166" s="34"/>
      <c r="E166" s="35"/>
      <c r="F166" s="36"/>
      <c r="G166" s="36"/>
      <c r="H166" s="39"/>
      <c r="I166" s="34"/>
      <c r="J166" s="39"/>
      <c r="K166" s="51"/>
      <c r="L166" s="39"/>
      <c r="M166" s="39"/>
      <c r="N166" s="34"/>
      <c r="O166" s="34"/>
      <c r="P166" s="34"/>
      <c r="Q166" s="40"/>
      <c r="R166" s="40"/>
      <c r="S166" s="78"/>
      <c r="T166" s="42"/>
      <c r="U166" s="42"/>
      <c r="V166" s="44"/>
      <c r="W166" s="52"/>
      <c r="X166" s="49"/>
      <c r="Y166" s="44"/>
      <c r="Z166" s="45"/>
      <c r="AA166" s="46"/>
      <c r="AB166" s="47"/>
      <c r="AC166" s="47"/>
      <c r="AD166" s="47"/>
      <c r="AE166" s="47"/>
      <c r="AF166" s="47"/>
      <c r="AG166" s="44"/>
      <c r="AH166" s="44"/>
      <c r="AI166" s="44"/>
      <c r="AJ166" s="47"/>
      <c r="AK166" s="47"/>
      <c r="AL166" s="47"/>
      <c r="AM166" s="47"/>
      <c r="AN166" s="47"/>
      <c r="AO166" s="47"/>
      <c r="AP166" s="47"/>
      <c r="AQ166" s="47"/>
      <c r="AR166" s="47"/>
      <c r="AS166" s="47"/>
      <c r="AT166" s="47"/>
      <c r="AU166" s="47"/>
      <c r="AV166" s="47"/>
      <c r="AW166" s="47"/>
      <c r="AX166" s="47"/>
      <c r="AY166" s="47"/>
      <c r="AZ166" s="47"/>
      <c r="BA166" s="44"/>
      <c r="BB166" s="44"/>
      <c r="BC166" s="44"/>
      <c r="BD166" s="44"/>
      <c r="BE166" s="44"/>
      <c r="BF166" s="48"/>
      <c r="BG166" s="44"/>
      <c r="BH166" s="44"/>
      <c r="BI166" s="44"/>
      <c r="BJ166" s="44"/>
      <c r="BK166" s="44"/>
      <c r="BL166" s="44"/>
      <c r="BM166" s="44"/>
      <c r="BN166" s="44"/>
      <c r="BO166" s="44"/>
      <c r="BP166" s="44"/>
      <c r="BQ166" s="44"/>
      <c r="BR166" s="49"/>
      <c r="BS166" s="44"/>
      <c r="BT166" s="44"/>
      <c r="BU166" s="44"/>
      <c r="BV166" s="49"/>
      <c r="BW166" s="47"/>
      <c r="BX166" s="44"/>
      <c r="BY166" s="44"/>
      <c r="BZ166" s="44"/>
      <c r="CA166" s="44"/>
      <c r="CB166" s="44"/>
      <c r="CC166" s="44"/>
      <c r="CD166" s="43">
        <f>SUM(CH166:EB166)-Y166</f>
        <v>0</v>
      </c>
      <c r="CE166" s="44"/>
      <c r="CF166" s="44"/>
      <c r="CG166" s="44"/>
      <c r="CH166" s="44"/>
      <c r="CI166" s="44"/>
      <c r="CJ166" s="47"/>
      <c r="CK166" s="44"/>
      <c r="CL166" s="44"/>
      <c r="CM166" s="44"/>
      <c r="CN166" s="44"/>
      <c r="CO166" s="44"/>
      <c r="CP166" s="44"/>
      <c r="CQ166" s="44"/>
      <c r="CR166" s="44"/>
      <c r="CS166" s="44"/>
      <c r="CT166" s="44"/>
      <c r="CU166" s="44"/>
      <c r="CV166" s="44"/>
      <c r="CW166" s="44"/>
      <c r="CX166" s="44"/>
      <c r="CY166" s="44"/>
      <c r="CZ166" s="44"/>
      <c r="DA166" s="44"/>
      <c r="DB166" s="44"/>
      <c r="DC166" s="44"/>
      <c r="DD166" s="44"/>
      <c r="DE166" s="44"/>
      <c r="DF166" s="44"/>
      <c r="DG166" s="44"/>
      <c r="DH166" s="44"/>
      <c r="DI166" s="44"/>
      <c r="DJ166" s="44"/>
      <c r="DK166" s="44"/>
      <c r="DL166" s="44"/>
      <c r="DM166" s="44"/>
      <c r="DN166" s="44"/>
      <c r="DO166" s="44"/>
      <c r="DP166" s="44"/>
      <c r="DQ166" s="44"/>
      <c r="DR166" s="44"/>
      <c r="DS166" s="44"/>
      <c r="DT166" s="44"/>
      <c r="DU166" s="44"/>
      <c r="DV166" s="44"/>
      <c r="DW166" s="44"/>
      <c r="DX166" s="44"/>
      <c r="DY166" s="44"/>
      <c r="DZ166" s="47"/>
      <c r="EA166" s="47"/>
      <c r="EB166" s="47"/>
    </row>
    <row r="167" spans="3:132" s="32" customFormat="1">
      <c r="C167" s="76"/>
      <c r="D167" s="34"/>
      <c r="E167" s="35"/>
      <c r="F167" s="36"/>
      <c r="G167" s="36"/>
      <c r="H167" s="39"/>
      <c r="I167" s="34"/>
      <c r="J167" s="39"/>
      <c r="K167" s="51"/>
      <c r="L167" s="39"/>
      <c r="M167" s="39"/>
      <c r="N167" s="34"/>
      <c r="O167" s="34"/>
      <c r="P167" s="34"/>
      <c r="Q167" s="40"/>
      <c r="R167" s="40"/>
      <c r="S167" s="78"/>
      <c r="T167" s="42"/>
      <c r="U167" s="42"/>
      <c r="V167" s="44"/>
      <c r="W167" s="52"/>
      <c r="X167" s="49"/>
      <c r="Y167" s="44"/>
      <c r="Z167" s="45"/>
      <c r="AA167" s="46"/>
      <c r="AB167" s="47"/>
      <c r="AC167" s="47"/>
      <c r="AD167" s="47"/>
      <c r="AE167" s="47"/>
      <c r="AF167" s="47"/>
      <c r="AG167" s="44"/>
      <c r="AH167" s="44"/>
      <c r="AI167" s="44"/>
      <c r="AJ167" s="47"/>
      <c r="AK167" s="47"/>
      <c r="AL167" s="47"/>
      <c r="AM167" s="47"/>
      <c r="AN167" s="47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4"/>
      <c r="BB167" s="44"/>
      <c r="BC167" s="44"/>
      <c r="BD167" s="44"/>
      <c r="BE167" s="44"/>
      <c r="BF167" s="48"/>
      <c r="BG167" s="44"/>
      <c r="BH167" s="44"/>
      <c r="BI167" s="44"/>
      <c r="BJ167" s="44"/>
      <c r="BK167" s="44"/>
      <c r="BL167" s="44"/>
      <c r="BM167" s="44"/>
      <c r="BN167" s="44"/>
      <c r="BO167" s="44"/>
      <c r="BP167" s="44"/>
      <c r="BQ167" s="44"/>
      <c r="BR167" s="49"/>
      <c r="BS167" s="44"/>
      <c r="BT167" s="44"/>
      <c r="BU167" s="44"/>
      <c r="BV167" s="49"/>
      <c r="BW167" s="47"/>
      <c r="BX167" s="44"/>
      <c r="BY167" s="44"/>
      <c r="BZ167" s="44"/>
      <c r="CA167" s="44"/>
      <c r="CB167" s="44"/>
      <c r="CC167" s="44"/>
      <c r="CD167" s="43">
        <f>SUM(CH167:EB167)-Y167</f>
        <v>0</v>
      </c>
      <c r="CE167" s="44"/>
      <c r="CF167" s="44"/>
      <c r="CG167" s="44"/>
      <c r="CH167" s="44"/>
      <c r="CI167" s="44"/>
      <c r="CJ167" s="47"/>
      <c r="CK167" s="44"/>
      <c r="CL167" s="44"/>
      <c r="CM167" s="44"/>
      <c r="CN167" s="44"/>
      <c r="CO167" s="44"/>
      <c r="CP167" s="44"/>
      <c r="CQ167" s="44"/>
      <c r="CR167" s="44"/>
      <c r="CS167" s="44"/>
      <c r="CT167" s="44"/>
      <c r="CU167" s="44"/>
      <c r="CV167" s="44"/>
      <c r="CW167" s="44"/>
      <c r="CX167" s="44"/>
      <c r="CY167" s="44"/>
      <c r="CZ167" s="44"/>
      <c r="DA167" s="44"/>
      <c r="DB167" s="44"/>
      <c r="DC167" s="44"/>
      <c r="DD167" s="44"/>
      <c r="DE167" s="44"/>
      <c r="DF167" s="44"/>
      <c r="DG167" s="44"/>
      <c r="DH167" s="44"/>
      <c r="DI167" s="44"/>
      <c r="DJ167" s="44"/>
      <c r="DK167" s="44"/>
      <c r="DL167" s="44"/>
      <c r="DM167" s="44"/>
      <c r="DN167" s="44"/>
      <c r="DO167" s="44"/>
      <c r="DP167" s="44"/>
      <c r="DQ167" s="44"/>
      <c r="DR167" s="44"/>
      <c r="DS167" s="44"/>
      <c r="DT167" s="44"/>
      <c r="DU167" s="44"/>
      <c r="DV167" s="44"/>
      <c r="DW167" s="44"/>
      <c r="DX167" s="44"/>
      <c r="DY167" s="44"/>
      <c r="DZ167" s="47"/>
      <c r="EA167" s="47"/>
      <c r="EB167" s="47"/>
    </row>
    <row r="168" spans="3:132" s="32" customFormat="1">
      <c r="C168" s="76"/>
      <c r="D168" s="34"/>
      <c r="E168" s="35"/>
      <c r="F168" s="36"/>
      <c r="G168" s="36"/>
      <c r="H168" s="39"/>
      <c r="I168" s="34"/>
      <c r="J168" s="39"/>
      <c r="K168" s="51"/>
      <c r="L168" s="39"/>
      <c r="M168" s="39"/>
      <c r="N168" s="34"/>
      <c r="O168" s="34"/>
      <c r="P168" s="34"/>
      <c r="Q168" s="40"/>
      <c r="R168" s="40"/>
      <c r="S168" s="78"/>
      <c r="T168" s="42"/>
      <c r="U168" s="79" t="s">
        <v>755</v>
      </c>
      <c r="V168" s="44"/>
      <c r="W168" s="52"/>
      <c r="X168" s="80" t="s">
        <v>12</v>
      </c>
      <c r="Y168" s="80" t="s">
        <v>13</v>
      </c>
      <c r="Z168" s="81" t="s">
        <v>756</v>
      </c>
      <c r="AA168" s="82" t="s">
        <v>14</v>
      </c>
      <c r="AB168" s="47"/>
      <c r="AC168" s="47"/>
      <c r="AD168" s="47"/>
      <c r="AE168" s="47"/>
      <c r="AF168" s="47"/>
      <c r="AG168" s="44"/>
      <c r="AH168" s="44"/>
      <c r="AI168" s="44"/>
      <c r="AJ168" s="47"/>
      <c r="AK168" s="47"/>
      <c r="AL168" s="47"/>
      <c r="AM168" s="47"/>
      <c r="AN168" s="47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  <c r="BA168" s="44"/>
      <c r="BB168" s="44"/>
      <c r="BC168" s="44"/>
      <c r="BD168" s="44"/>
      <c r="BE168" s="44"/>
      <c r="BF168" s="48"/>
      <c r="BG168" s="44"/>
      <c r="BH168" s="44"/>
      <c r="BI168" s="44"/>
      <c r="BJ168" s="44"/>
      <c r="BK168" s="44"/>
      <c r="BL168" s="44"/>
      <c r="BM168" s="44"/>
      <c r="BN168" s="44"/>
      <c r="BO168" s="44"/>
      <c r="BP168" s="44"/>
      <c r="BQ168" s="44"/>
      <c r="BR168" s="49"/>
      <c r="BS168" s="44"/>
      <c r="BT168" s="44"/>
      <c r="BU168" s="44"/>
      <c r="BV168" s="49"/>
      <c r="BW168" s="47"/>
      <c r="BX168" s="44"/>
      <c r="BY168" s="44"/>
      <c r="BZ168" s="44"/>
      <c r="CA168" s="44"/>
      <c r="CB168" s="44"/>
      <c r="CC168" s="44"/>
      <c r="CD168" s="44"/>
      <c r="CE168" s="44"/>
      <c r="CF168" s="44"/>
      <c r="CG168" s="44"/>
      <c r="CH168" s="44"/>
      <c r="CI168" s="44"/>
      <c r="CJ168" s="47"/>
      <c r="CK168" s="44"/>
      <c r="CL168" s="44"/>
      <c r="CM168" s="44"/>
      <c r="CN168" s="44"/>
      <c r="CO168" s="44"/>
      <c r="CP168" s="44"/>
      <c r="CQ168" s="44"/>
      <c r="CR168" s="44"/>
      <c r="CS168" s="44"/>
      <c r="CT168" s="44"/>
      <c r="CU168" s="44"/>
      <c r="CV168" s="44"/>
      <c r="CW168" s="44"/>
      <c r="CX168" s="44"/>
      <c r="CY168" s="44"/>
      <c r="CZ168" s="44"/>
      <c r="DA168" s="44"/>
      <c r="DB168" s="44"/>
      <c r="DC168" s="44"/>
      <c r="DD168" s="44"/>
      <c r="DE168" s="44"/>
      <c r="DF168" s="44"/>
      <c r="DG168" s="44"/>
      <c r="DH168" s="44"/>
      <c r="DI168" s="44"/>
      <c r="DJ168" s="44"/>
      <c r="DK168" s="44"/>
      <c r="DL168" s="44"/>
      <c r="DM168" s="44"/>
      <c r="DN168" s="44"/>
      <c r="DO168" s="44"/>
      <c r="DP168" s="44"/>
      <c r="DQ168" s="44"/>
      <c r="DR168" s="44"/>
      <c r="DS168" s="44"/>
      <c r="DT168" s="44"/>
      <c r="DU168" s="44"/>
      <c r="DV168" s="44"/>
      <c r="DW168" s="44"/>
      <c r="DX168" s="44"/>
      <c r="DY168" s="44"/>
      <c r="DZ168" s="47"/>
      <c r="EA168" s="47"/>
      <c r="EB168" s="47"/>
    </row>
    <row r="169" spans="3:132" s="32" customFormat="1">
      <c r="C169" s="33"/>
      <c r="D169" s="34"/>
      <c r="E169" s="35"/>
      <c r="F169" s="36"/>
      <c r="G169" s="36"/>
      <c r="H169" s="39"/>
      <c r="I169" s="34"/>
      <c r="J169" s="39"/>
      <c r="K169" s="51"/>
      <c r="L169" s="39"/>
      <c r="M169" s="39"/>
      <c r="N169" s="34"/>
      <c r="O169" s="34"/>
      <c r="P169" s="34"/>
      <c r="Q169" s="40"/>
      <c r="R169" s="40"/>
      <c r="S169" s="78"/>
      <c r="T169" s="42"/>
      <c r="U169" s="42" t="s">
        <v>757</v>
      </c>
      <c r="V169" s="44"/>
      <c r="W169" s="52"/>
      <c r="X169" s="44">
        <f>+X115+X116+X117+X118+X119+X120+X121+X122+X123+X124+X125+X126+X127+X128+X129+X130+X131+X132+X133+X134+X135+X136+X137+X138+X139+X140+X141+X142+X143+X144+X145+X146+X147+X148+X149+X150</f>
        <v>356871.97</v>
      </c>
      <c r="Y169" s="44"/>
      <c r="Z169" s="45">
        <v>5017266.7</v>
      </c>
      <c r="AA169" s="70">
        <f>+Z169-X169-Y169</f>
        <v>4660394.7300000004</v>
      </c>
      <c r="AB169" s="47"/>
      <c r="AC169" s="47"/>
      <c r="AD169" s="47"/>
      <c r="AE169" s="47"/>
      <c r="AF169" s="47"/>
      <c r="AG169" s="44"/>
      <c r="AH169" s="44"/>
      <c r="AI169" s="44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4"/>
      <c r="BB169" s="44"/>
      <c r="BC169" s="44"/>
      <c r="BD169" s="44"/>
      <c r="BE169" s="44"/>
      <c r="BF169" s="48"/>
      <c r="BG169" s="44"/>
      <c r="BH169" s="44"/>
      <c r="BI169" s="44"/>
      <c r="BJ169" s="44"/>
      <c r="BK169" s="44"/>
      <c r="BL169" s="44"/>
      <c r="BM169" s="44"/>
      <c r="BN169" s="44"/>
      <c r="BO169" s="44"/>
      <c r="BP169" s="44"/>
      <c r="BQ169" s="44"/>
      <c r="BR169" s="49"/>
      <c r="BS169" s="44"/>
      <c r="BT169" s="44"/>
      <c r="BU169" s="44"/>
      <c r="BV169" s="49"/>
      <c r="BW169" s="47"/>
      <c r="BX169" s="44"/>
      <c r="BY169" s="44"/>
      <c r="BZ169" s="44"/>
      <c r="CA169" s="44"/>
      <c r="CB169" s="44"/>
      <c r="CC169" s="44"/>
      <c r="CD169" s="44"/>
      <c r="CE169" s="44"/>
      <c r="CF169" s="44"/>
      <c r="CG169" s="44"/>
      <c r="CH169" s="44"/>
      <c r="CI169" s="44"/>
      <c r="CJ169" s="47"/>
      <c r="CK169" s="44"/>
      <c r="CL169" s="44"/>
      <c r="CM169" s="44"/>
      <c r="CN169" s="44"/>
      <c r="CO169" s="44"/>
      <c r="CP169" s="44"/>
      <c r="CQ169" s="44"/>
      <c r="CR169" s="44"/>
      <c r="CS169" s="44"/>
      <c r="CT169" s="44"/>
      <c r="CU169" s="44"/>
      <c r="CV169" s="44"/>
      <c r="CW169" s="44"/>
      <c r="CX169" s="44"/>
      <c r="CY169" s="44"/>
      <c r="CZ169" s="44"/>
      <c r="DA169" s="44"/>
      <c r="DB169" s="44"/>
      <c r="DC169" s="44"/>
      <c r="DD169" s="44"/>
      <c r="DE169" s="44"/>
      <c r="DF169" s="44"/>
      <c r="DG169" s="44"/>
      <c r="DH169" s="44"/>
      <c r="DI169" s="44"/>
      <c r="DJ169" s="44"/>
      <c r="DK169" s="44"/>
      <c r="DL169" s="44"/>
      <c r="DM169" s="44"/>
      <c r="DN169" s="44"/>
      <c r="DO169" s="44"/>
      <c r="DP169" s="44"/>
      <c r="DQ169" s="44"/>
      <c r="DR169" s="44"/>
      <c r="DS169" s="44"/>
      <c r="DT169" s="44"/>
      <c r="DU169" s="44"/>
      <c r="DV169" s="44"/>
      <c r="DW169" s="44"/>
      <c r="DX169" s="44"/>
      <c r="DY169" s="44"/>
      <c r="DZ169" s="47"/>
      <c r="EA169" s="47"/>
      <c r="EB169" s="47"/>
    </row>
    <row r="170" spans="3:132" s="32" customFormat="1">
      <c r="C170" s="33"/>
      <c r="D170" s="34"/>
      <c r="E170" s="35"/>
      <c r="F170" s="36"/>
      <c r="G170" s="36"/>
      <c r="H170" s="39"/>
      <c r="I170" s="34"/>
      <c r="J170" s="39"/>
      <c r="K170" s="39"/>
      <c r="L170" s="39"/>
      <c r="M170" s="39"/>
      <c r="N170" s="34"/>
      <c r="O170" s="34"/>
      <c r="P170" s="34"/>
      <c r="Q170" s="40"/>
      <c r="R170" s="40"/>
      <c r="S170" s="78"/>
      <c r="T170" s="42"/>
      <c r="U170" s="42" t="s">
        <v>9</v>
      </c>
      <c r="V170" s="44"/>
      <c r="W170" s="52"/>
      <c r="X170" s="43"/>
      <c r="Y170" s="44"/>
      <c r="Z170" s="45">
        <v>1091619</v>
      </c>
      <c r="AA170" s="70">
        <f>+Z170-X170-Y170</f>
        <v>1091619</v>
      </c>
      <c r="AB170" s="47"/>
      <c r="AC170" s="47"/>
      <c r="AD170" s="47"/>
      <c r="AE170" s="47"/>
      <c r="AF170" s="47"/>
      <c r="AG170" s="44"/>
      <c r="AH170" s="44"/>
      <c r="AI170" s="44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  <c r="BA170" s="44"/>
      <c r="BB170" s="44"/>
      <c r="BC170" s="44"/>
      <c r="BD170" s="44"/>
      <c r="BE170" s="44"/>
      <c r="BF170" s="48"/>
      <c r="BG170" s="44"/>
      <c r="BH170" s="44"/>
      <c r="BI170" s="44"/>
      <c r="BJ170" s="44"/>
      <c r="BK170" s="44"/>
      <c r="BL170" s="44"/>
      <c r="BM170" s="44"/>
      <c r="BN170" s="44"/>
      <c r="BO170" s="44"/>
      <c r="BP170" s="44"/>
      <c r="BQ170" s="44"/>
      <c r="BR170" s="49"/>
      <c r="BS170" s="44"/>
      <c r="BT170" s="44"/>
      <c r="BU170" s="44"/>
      <c r="BV170" s="49"/>
      <c r="BW170" s="47"/>
      <c r="BX170" s="44"/>
      <c r="BY170" s="44"/>
      <c r="BZ170" s="44"/>
      <c r="CA170" s="44"/>
      <c r="CB170" s="44"/>
      <c r="CC170" s="44"/>
      <c r="CD170" s="44"/>
      <c r="CE170" s="44"/>
      <c r="CF170" s="44"/>
      <c r="CG170" s="44"/>
      <c r="CH170" s="44"/>
      <c r="CI170" s="44"/>
      <c r="CJ170" s="47"/>
      <c r="CK170" s="44"/>
      <c r="CL170" s="44"/>
      <c r="CM170" s="44"/>
      <c r="CN170" s="44"/>
      <c r="CO170" s="44"/>
      <c r="CP170" s="44"/>
      <c r="CQ170" s="44"/>
      <c r="CR170" s="44"/>
      <c r="CS170" s="44"/>
      <c r="CT170" s="44"/>
      <c r="CU170" s="44"/>
      <c r="CV170" s="44"/>
      <c r="CW170" s="44"/>
      <c r="CX170" s="44"/>
      <c r="CY170" s="44"/>
      <c r="CZ170" s="44"/>
      <c r="DA170" s="44"/>
      <c r="DB170" s="44"/>
      <c r="DC170" s="44"/>
      <c r="DD170" s="44"/>
      <c r="DE170" s="44"/>
      <c r="DF170" s="44"/>
      <c r="DG170" s="44"/>
      <c r="DH170" s="44"/>
      <c r="DI170" s="44"/>
      <c r="DJ170" s="44"/>
      <c r="DK170" s="44"/>
      <c r="DL170" s="44"/>
      <c r="DM170" s="44"/>
      <c r="DN170" s="44"/>
      <c r="DO170" s="44"/>
      <c r="DP170" s="44"/>
      <c r="DQ170" s="44"/>
      <c r="DR170" s="44"/>
      <c r="DS170" s="44"/>
      <c r="DT170" s="44"/>
      <c r="DU170" s="44"/>
      <c r="DV170" s="44"/>
      <c r="DW170" s="44"/>
      <c r="DX170" s="44"/>
      <c r="DY170" s="44"/>
      <c r="DZ170" s="47"/>
      <c r="EA170" s="47"/>
      <c r="EB170" s="47"/>
    </row>
    <row r="171" spans="3:132" s="32" customFormat="1">
      <c r="C171" s="33"/>
      <c r="D171" s="34"/>
      <c r="E171" s="35"/>
      <c r="F171" s="36"/>
      <c r="G171" s="36"/>
      <c r="H171" s="39"/>
      <c r="I171" s="34"/>
      <c r="J171" s="39"/>
      <c r="K171" s="39"/>
      <c r="L171" s="39"/>
      <c r="M171" s="39"/>
      <c r="N171" s="34"/>
      <c r="O171" s="34"/>
      <c r="P171" s="34"/>
      <c r="Q171" s="40"/>
      <c r="R171" s="40"/>
      <c r="S171" s="78"/>
      <c r="T171" s="42"/>
      <c r="U171" s="42" t="s">
        <v>15</v>
      </c>
      <c r="V171" s="44"/>
      <c r="W171" s="52"/>
      <c r="X171" s="43">
        <f>X8+X9+X10+X11+X12+X13+X14+X15+X16+X17+X18+X19+X20+X21+X22+X23+X24+X25+X26+X27+X28+X29+X30+X31+X33+X34+X35+X36+X37+X38+X39+X40+X41+X43+X42+X44+X45+X46+X47+X48+X49+X50+X51+X52+X53+X54+X55+X56+X63+X64+X65+X66+X67+X68+X72+X73+X74+X75+X76+X77+X95+X96+X97+X98+X99+X100</f>
        <v>4574042.25</v>
      </c>
      <c r="Y171" s="44"/>
      <c r="Z171" s="45">
        <v>63470000</v>
      </c>
      <c r="AA171" s="70">
        <f>+Z171-X171-Y171</f>
        <v>58895957.75</v>
      </c>
      <c r="AB171" s="47"/>
      <c r="AC171" s="47"/>
      <c r="AD171" s="47"/>
      <c r="AE171" s="47"/>
      <c r="AF171" s="47"/>
      <c r="AG171" s="44"/>
      <c r="AH171" s="44"/>
      <c r="AI171" s="44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4"/>
      <c r="BB171" s="44"/>
      <c r="BC171" s="44"/>
      <c r="BD171" s="44"/>
      <c r="BE171" s="44"/>
      <c r="BF171" s="48"/>
      <c r="BG171" s="44"/>
      <c r="BH171" s="44"/>
      <c r="BI171" s="44"/>
      <c r="BJ171" s="44"/>
      <c r="BK171" s="44"/>
      <c r="BL171" s="44"/>
      <c r="BM171" s="44"/>
      <c r="BN171" s="44"/>
      <c r="BO171" s="44"/>
      <c r="BP171" s="44"/>
      <c r="BQ171" s="44"/>
      <c r="BR171" s="49"/>
      <c r="BS171" s="44"/>
      <c r="BT171" s="44"/>
      <c r="BU171" s="44"/>
      <c r="BV171" s="49"/>
      <c r="BW171" s="47"/>
      <c r="BX171" s="44"/>
      <c r="BY171" s="44"/>
      <c r="BZ171" s="44"/>
      <c r="CA171" s="44"/>
      <c r="CB171" s="44"/>
      <c r="CC171" s="44"/>
      <c r="CD171" s="44"/>
      <c r="CE171" s="44"/>
      <c r="CF171" s="44"/>
      <c r="CG171" s="44"/>
      <c r="CH171" s="44"/>
      <c r="CI171" s="44"/>
      <c r="CJ171" s="47"/>
      <c r="CK171" s="44"/>
      <c r="CL171" s="44"/>
      <c r="CM171" s="44"/>
      <c r="CN171" s="44"/>
      <c r="CO171" s="44"/>
      <c r="CP171" s="44"/>
      <c r="CQ171" s="44"/>
      <c r="CR171" s="44"/>
      <c r="CS171" s="44"/>
      <c r="CT171" s="44"/>
      <c r="CU171" s="44"/>
      <c r="CV171" s="44"/>
      <c r="CW171" s="44"/>
      <c r="CX171" s="44"/>
      <c r="CY171" s="44"/>
      <c r="CZ171" s="44"/>
      <c r="DA171" s="44"/>
      <c r="DB171" s="44"/>
      <c r="DC171" s="44"/>
      <c r="DD171" s="44"/>
      <c r="DE171" s="44"/>
      <c r="DF171" s="44"/>
      <c r="DG171" s="44"/>
      <c r="DH171" s="44"/>
      <c r="DI171" s="44"/>
      <c r="DJ171" s="44"/>
      <c r="DK171" s="44"/>
      <c r="DL171" s="44"/>
      <c r="DM171" s="44"/>
      <c r="DN171" s="44"/>
      <c r="DO171" s="44"/>
      <c r="DP171" s="44"/>
      <c r="DQ171" s="44"/>
      <c r="DR171" s="44"/>
      <c r="DS171" s="44"/>
      <c r="DT171" s="44"/>
      <c r="DU171" s="44"/>
      <c r="DV171" s="44"/>
      <c r="DW171" s="44"/>
      <c r="DX171" s="44"/>
      <c r="DY171" s="44"/>
      <c r="DZ171" s="47"/>
      <c r="EA171" s="47"/>
      <c r="EB171" s="47"/>
    </row>
    <row r="172" spans="3:132" s="32" customFormat="1">
      <c r="C172" s="33"/>
      <c r="D172" s="34"/>
      <c r="E172" s="35"/>
      <c r="F172" s="36"/>
      <c r="G172" s="36"/>
      <c r="H172" s="39"/>
      <c r="I172" s="34"/>
      <c r="J172" s="39"/>
      <c r="K172" s="39"/>
      <c r="L172" s="39"/>
      <c r="M172" s="39"/>
      <c r="N172" s="34"/>
      <c r="O172" s="34"/>
      <c r="P172" s="34"/>
      <c r="Q172" s="40"/>
      <c r="R172" s="40"/>
      <c r="S172" s="78"/>
      <c r="T172" s="42"/>
      <c r="U172" s="42" t="s">
        <v>16</v>
      </c>
      <c r="V172" s="44"/>
      <c r="W172" s="52"/>
      <c r="X172" s="43"/>
      <c r="Y172" s="44"/>
      <c r="Z172" s="45"/>
      <c r="AA172" s="70">
        <f t="shared" ref="AA172:AA179" si="11">+Z172-X172-Y172</f>
        <v>0</v>
      </c>
      <c r="AB172" s="47"/>
      <c r="AC172" s="47"/>
      <c r="AD172" s="47"/>
      <c r="AE172" s="47"/>
      <c r="AF172" s="47"/>
      <c r="AG172" s="44"/>
      <c r="AH172" s="44"/>
      <c r="AI172" s="44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4"/>
      <c r="BB172" s="44"/>
      <c r="BC172" s="44"/>
      <c r="BD172" s="44"/>
      <c r="BE172" s="44"/>
      <c r="BF172" s="48"/>
      <c r="BG172" s="44"/>
      <c r="BH172" s="44"/>
      <c r="BI172" s="44"/>
      <c r="BJ172" s="44"/>
      <c r="BK172" s="44"/>
      <c r="BL172" s="44"/>
      <c r="BM172" s="44"/>
      <c r="BN172" s="44"/>
      <c r="BO172" s="44"/>
      <c r="BP172" s="44"/>
      <c r="BQ172" s="44"/>
      <c r="BR172" s="49"/>
      <c r="BS172" s="44"/>
      <c r="BT172" s="44"/>
      <c r="BU172" s="44"/>
      <c r="BV172" s="49"/>
      <c r="BW172" s="47"/>
      <c r="BX172" s="44"/>
      <c r="BY172" s="44"/>
      <c r="BZ172" s="44"/>
      <c r="CA172" s="44"/>
      <c r="CB172" s="44"/>
      <c r="CC172" s="44"/>
      <c r="CD172" s="44"/>
      <c r="CE172" s="44"/>
      <c r="CF172" s="44"/>
      <c r="CG172" s="44"/>
      <c r="CH172" s="44"/>
      <c r="CI172" s="44"/>
      <c r="CJ172" s="47"/>
      <c r="CK172" s="44"/>
      <c r="CL172" s="44"/>
      <c r="CM172" s="44"/>
      <c r="CN172" s="44"/>
      <c r="CO172" s="44"/>
      <c r="CP172" s="44"/>
      <c r="CQ172" s="44"/>
      <c r="CR172" s="44"/>
      <c r="CS172" s="44"/>
      <c r="CT172" s="44"/>
      <c r="CU172" s="44"/>
      <c r="CV172" s="44"/>
      <c r="CW172" s="44"/>
      <c r="CX172" s="44"/>
      <c r="CY172" s="44"/>
      <c r="CZ172" s="44"/>
      <c r="DA172" s="44"/>
      <c r="DB172" s="44"/>
      <c r="DC172" s="44"/>
      <c r="DD172" s="44"/>
      <c r="DE172" s="44"/>
      <c r="DF172" s="44"/>
      <c r="DG172" s="44"/>
      <c r="DH172" s="44"/>
      <c r="DI172" s="44"/>
      <c r="DJ172" s="44"/>
      <c r="DK172" s="44"/>
      <c r="DL172" s="44"/>
      <c r="DM172" s="44"/>
      <c r="DN172" s="44"/>
      <c r="DO172" s="44"/>
      <c r="DP172" s="44"/>
      <c r="DQ172" s="44"/>
      <c r="DR172" s="44"/>
      <c r="DS172" s="44"/>
      <c r="DT172" s="44"/>
      <c r="DU172" s="44"/>
      <c r="DV172" s="44"/>
      <c r="DW172" s="44"/>
      <c r="DX172" s="44"/>
      <c r="DY172" s="44"/>
      <c r="DZ172" s="47"/>
      <c r="EA172" s="47"/>
      <c r="EB172" s="47"/>
    </row>
    <row r="173" spans="3:132" s="32" customFormat="1">
      <c r="C173" s="33"/>
      <c r="D173" s="34"/>
      <c r="E173" s="35"/>
      <c r="F173" s="36"/>
      <c r="G173" s="36"/>
      <c r="H173" s="39"/>
      <c r="I173" s="34"/>
      <c r="J173" s="39"/>
      <c r="K173" s="39"/>
      <c r="L173" s="39"/>
      <c r="M173" s="39"/>
      <c r="N173" s="34"/>
      <c r="O173" s="34"/>
      <c r="P173" s="34"/>
      <c r="Q173" s="40"/>
      <c r="R173" s="40"/>
      <c r="S173" s="78"/>
      <c r="T173" s="42"/>
      <c r="U173" s="42" t="s">
        <v>17</v>
      </c>
      <c r="V173" s="44"/>
      <c r="W173" s="52"/>
      <c r="X173" s="44"/>
      <c r="Y173" s="44">
        <f>+Y32+Y57+Y58+Y59+Y60+Y61+Y62+Y70+Y71+Y78+Y79+Y80+Y81+Y82+Y83+Y84+Y85+Y86+Y87+Y88+Y89+Y90+Y91+Y92+Y93+Y101+Y102+Y103+Y104+Y105+Y106+Y107+Y108+Y109+Y114+Y69</f>
        <v>305707.44000000006</v>
      </c>
      <c r="Z173" s="45">
        <v>31406000</v>
      </c>
      <c r="AA173" s="70">
        <f t="shared" si="11"/>
        <v>31100292.559999999</v>
      </c>
      <c r="AB173" s="47"/>
      <c r="AC173" s="47"/>
      <c r="AD173" s="47"/>
      <c r="AE173" s="47"/>
      <c r="AF173" s="47"/>
      <c r="AG173" s="44"/>
      <c r="AH173" s="44"/>
      <c r="AI173" s="44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4"/>
      <c r="BB173" s="44"/>
      <c r="BC173" s="44"/>
      <c r="BD173" s="44"/>
      <c r="BE173" s="44"/>
      <c r="BF173" s="48"/>
      <c r="BG173" s="44"/>
      <c r="BH173" s="44"/>
      <c r="BI173" s="44"/>
      <c r="BJ173" s="44"/>
      <c r="BK173" s="44"/>
      <c r="BL173" s="44"/>
      <c r="BM173" s="44"/>
      <c r="BN173" s="44"/>
      <c r="BO173" s="44"/>
      <c r="BP173" s="44"/>
      <c r="BQ173" s="44"/>
      <c r="BR173" s="49"/>
      <c r="BS173" s="44"/>
      <c r="BT173" s="44"/>
      <c r="BU173" s="44"/>
      <c r="BV173" s="49"/>
      <c r="BW173" s="47"/>
      <c r="BX173" s="44"/>
      <c r="BY173" s="44"/>
      <c r="BZ173" s="44"/>
      <c r="CA173" s="44"/>
      <c r="CB173" s="44"/>
      <c r="CC173" s="44"/>
      <c r="CD173" s="44"/>
      <c r="CE173" s="44"/>
      <c r="CF173" s="44"/>
      <c r="CG173" s="44"/>
      <c r="CH173" s="44"/>
      <c r="CI173" s="44"/>
      <c r="CJ173" s="47"/>
      <c r="CK173" s="44"/>
      <c r="CL173" s="44"/>
      <c r="CM173" s="44"/>
      <c r="CN173" s="44"/>
      <c r="CO173" s="44"/>
      <c r="CP173" s="44"/>
      <c r="CQ173" s="44"/>
      <c r="CR173" s="44"/>
      <c r="CS173" s="44"/>
      <c r="CT173" s="44"/>
      <c r="CU173" s="44"/>
      <c r="CV173" s="44"/>
      <c r="CW173" s="44"/>
      <c r="CX173" s="44"/>
      <c r="CY173" s="44"/>
      <c r="CZ173" s="44"/>
      <c r="DA173" s="44"/>
      <c r="DB173" s="44"/>
      <c r="DC173" s="44"/>
      <c r="DD173" s="44"/>
      <c r="DE173" s="44"/>
      <c r="DF173" s="44"/>
      <c r="DG173" s="44"/>
      <c r="DH173" s="44"/>
      <c r="DI173" s="44"/>
      <c r="DJ173" s="44"/>
      <c r="DK173" s="44"/>
      <c r="DL173" s="44"/>
      <c r="DM173" s="44"/>
      <c r="DN173" s="44"/>
      <c r="DO173" s="44"/>
      <c r="DP173" s="44"/>
      <c r="DQ173" s="44"/>
      <c r="DR173" s="44"/>
      <c r="DS173" s="44"/>
      <c r="DT173" s="44"/>
      <c r="DU173" s="44"/>
      <c r="DV173" s="44"/>
      <c r="DW173" s="44"/>
      <c r="DX173" s="44"/>
      <c r="DY173" s="44"/>
      <c r="DZ173" s="47"/>
      <c r="EA173" s="47"/>
      <c r="EB173" s="47"/>
    </row>
    <row r="174" spans="3:132" s="32" customFormat="1">
      <c r="C174" s="33"/>
      <c r="D174" s="34"/>
      <c r="E174" s="35"/>
      <c r="F174" s="36"/>
      <c r="G174" s="36"/>
      <c r="H174" s="39"/>
      <c r="I174" s="34"/>
      <c r="J174" s="39"/>
      <c r="K174" s="39"/>
      <c r="L174" s="39"/>
      <c r="M174" s="39"/>
      <c r="N174" s="34"/>
      <c r="O174" s="34"/>
      <c r="P174" s="34"/>
      <c r="Q174" s="40"/>
      <c r="R174" s="40"/>
      <c r="S174" s="78"/>
      <c r="T174" s="42"/>
      <c r="U174" s="283" t="s">
        <v>5</v>
      </c>
      <c r="V174" s="44"/>
      <c r="W174" s="52"/>
      <c r="X174" s="44"/>
      <c r="Y174" s="44">
        <f>+Y110</f>
        <v>10000</v>
      </c>
      <c r="Z174" s="45">
        <v>4416000</v>
      </c>
      <c r="AA174" s="70">
        <f t="shared" si="11"/>
        <v>4406000</v>
      </c>
      <c r="AB174" s="47"/>
      <c r="AC174" s="47"/>
      <c r="AD174" s="47"/>
      <c r="AE174" s="47"/>
      <c r="AF174" s="47"/>
      <c r="AG174" s="44"/>
      <c r="AH174" s="44"/>
      <c r="AI174" s="44"/>
      <c r="AJ174" s="47"/>
      <c r="AK174" s="47"/>
      <c r="AL174" s="47"/>
      <c r="AM174" s="47"/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4"/>
      <c r="BB174" s="44"/>
      <c r="BC174" s="44"/>
      <c r="BD174" s="44"/>
      <c r="BE174" s="44"/>
      <c r="BF174" s="48"/>
      <c r="BG174" s="44"/>
      <c r="BH174" s="44"/>
      <c r="BI174" s="44"/>
      <c r="BJ174" s="44"/>
      <c r="BK174" s="44"/>
      <c r="BL174" s="44"/>
      <c r="BM174" s="44"/>
      <c r="BN174" s="44"/>
      <c r="BO174" s="44"/>
      <c r="BP174" s="44"/>
      <c r="BQ174" s="44"/>
      <c r="BR174" s="49"/>
      <c r="BS174" s="44"/>
      <c r="BT174" s="44"/>
      <c r="BU174" s="44"/>
      <c r="BV174" s="49"/>
      <c r="BW174" s="47"/>
      <c r="BX174" s="44"/>
      <c r="BY174" s="44"/>
      <c r="BZ174" s="44"/>
      <c r="CA174" s="44"/>
      <c r="CB174" s="44"/>
      <c r="CC174" s="44"/>
      <c r="CD174" s="44"/>
      <c r="CE174" s="44"/>
      <c r="CF174" s="44"/>
      <c r="CG174" s="44"/>
      <c r="CH174" s="44"/>
      <c r="CI174" s="44"/>
      <c r="CJ174" s="47"/>
      <c r="CK174" s="44"/>
      <c r="CL174" s="44"/>
      <c r="CM174" s="44"/>
      <c r="CN174" s="44"/>
      <c r="CO174" s="44"/>
      <c r="CP174" s="44"/>
      <c r="CQ174" s="44"/>
      <c r="CR174" s="44"/>
      <c r="CS174" s="44"/>
      <c r="CT174" s="44"/>
      <c r="CU174" s="44"/>
      <c r="CV174" s="44"/>
      <c r="CW174" s="44"/>
      <c r="CX174" s="44"/>
      <c r="CY174" s="44"/>
      <c r="CZ174" s="44"/>
      <c r="DA174" s="44"/>
      <c r="DB174" s="44"/>
      <c r="DC174" s="44"/>
      <c r="DD174" s="44"/>
      <c r="DE174" s="44"/>
      <c r="DF174" s="44"/>
      <c r="DG174" s="44"/>
      <c r="DH174" s="44"/>
      <c r="DI174" s="44"/>
      <c r="DJ174" s="44"/>
      <c r="DK174" s="44"/>
      <c r="DL174" s="44"/>
      <c r="DM174" s="44"/>
      <c r="DN174" s="44"/>
      <c r="DO174" s="44"/>
      <c r="DP174" s="44"/>
      <c r="DQ174" s="44"/>
      <c r="DR174" s="44"/>
      <c r="DS174" s="44"/>
      <c r="DT174" s="44"/>
      <c r="DU174" s="44"/>
      <c r="DV174" s="44"/>
      <c r="DW174" s="44"/>
      <c r="DX174" s="44"/>
      <c r="DY174" s="44"/>
      <c r="DZ174" s="47"/>
      <c r="EA174" s="47"/>
      <c r="EB174" s="47"/>
    </row>
    <row r="175" spans="3:132" s="32" customFormat="1">
      <c r="C175" s="33"/>
      <c r="D175" s="34"/>
      <c r="E175" s="35"/>
      <c r="F175" s="36"/>
      <c r="G175" s="36"/>
      <c r="H175" s="39"/>
      <c r="I175" s="34"/>
      <c r="J175" s="39"/>
      <c r="K175" s="39"/>
      <c r="L175" s="39"/>
      <c r="M175" s="39"/>
      <c r="N175" s="34"/>
      <c r="O175" s="34"/>
      <c r="P175" s="34"/>
      <c r="Q175" s="40"/>
      <c r="R175" s="40"/>
      <c r="S175" s="78"/>
      <c r="T175" s="42"/>
      <c r="U175" s="283" t="s">
        <v>753</v>
      </c>
      <c r="V175" s="44"/>
      <c r="W175" s="52"/>
      <c r="X175" s="44"/>
      <c r="Y175" s="44">
        <f>+Y94</f>
        <v>59500</v>
      </c>
      <c r="Z175" s="45">
        <v>97350000</v>
      </c>
      <c r="AA175" s="70">
        <f t="shared" si="11"/>
        <v>97290500</v>
      </c>
      <c r="AB175" s="47"/>
      <c r="AC175" s="47"/>
      <c r="AD175" s="47"/>
      <c r="AE175" s="47"/>
      <c r="AF175" s="47"/>
      <c r="AG175" s="44"/>
      <c r="AH175" s="44"/>
      <c r="AI175" s="44"/>
      <c r="AJ175" s="47"/>
      <c r="AK175" s="47"/>
      <c r="AL175" s="47"/>
      <c r="AM175" s="47"/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4"/>
      <c r="BB175" s="44"/>
      <c r="BC175" s="44"/>
      <c r="BD175" s="44"/>
      <c r="BE175" s="44"/>
      <c r="BF175" s="48"/>
      <c r="BG175" s="44"/>
      <c r="BH175" s="44"/>
      <c r="BI175" s="44"/>
      <c r="BJ175" s="44"/>
      <c r="BK175" s="44"/>
      <c r="BL175" s="44"/>
      <c r="BM175" s="44"/>
      <c r="BN175" s="44"/>
      <c r="BO175" s="44"/>
      <c r="BP175" s="44"/>
      <c r="BQ175" s="44"/>
      <c r="BR175" s="49"/>
      <c r="BS175" s="44"/>
      <c r="BT175" s="44"/>
      <c r="BU175" s="44"/>
      <c r="BV175" s="49"/>
      <c r="BW175" s="47"/>
      <c r="BX175" s="44"/>
      <c r="BY175" s="44"/>
      <c r="BZ175" s="44"/>
      <c r="CA175" s="44"/>
      <c r="CB175" s="44"/>
      <c r="CC175" s="44"/>
      <c r="CD175" s="44"/>
      <c r="CE175" s="44"/>
      <c r="CF175" s="44"/>
      <c r="CG175" s="44"/>
      <c r="CH175" s="44"/>
      <c r="CI175" s="44"/>
      <c r="CJ175" s="47"/>
      <c r="CK175" s="44"/>
      <c r="CL175" s="44"/>
      <c r="CM175" s="44"/>
      <c r="CN175" s="44"/>
      <c r="CO175" s="44"/>
      <c r="CP175" s="44"/>
      <c r="CQ175" s="44"/>
      <c r="CR175" s="44"/>
      <c r="CS175" s="44"/>
      <c r="CT175" s="44"/>
      <c r="CU175" s="44"/>
      <c r="CV175" s="44"/>
      <c r="CW175" s="44"/>
      <c r="CX175" s="44"/>
      <c r="CY175" s="44"/>
      <c r="CZ175" s="44"/>
      <c r="DA175" s="44"/>
      <c r="DB175" s="44"/>
      <c r="DC175" s="44"/>
      <c r="DD175" s="44"/>
      <c r="DE175" s="44"/>
      <c r="DF175" s="44"/>
      <c r="DG175" s="44"/>
      <c r="DH175" s="44"/>
      <c r="DI175" s="44"/>
      <c r="DJ175" s="44"/>
      <c r="DK175" s="44"/>
      <c r="DL175" s="44"/>
      <c r="DM175" s="44"/>
      <c r="DN175" s="44"/>
      <c r="DO175" s="44"/>
      <c r="DP175" s="44"/>
      <c r="DQ175" s="44"/>
      <c r="DR175" s="44"/>
      <c r="DS175" s="44"/>
      <c r="DT175" s="44"/>
      <c r="DU175" s="44"/>
      <c r="DV175" s="44"/>
      <c r="DW175" s="44"/>
      <c r="DX175" s="44"/>
      <c r="DY175" s="44"/>
      <c r="DZ175" s="47"/>
      <c r="EA175" s="47"/>
      <c r="EB175" s="47"/>
    </row>
    <row r="176" spans="3:132" s="32" customFormat="1">
      <c r="C176" s="33"/>
      <c r="D176" s="34"/>
      <c r="E176" s="35"/>
      <c r="F176" s="36"/>
      <c r="G176" s="36"/>
      <c r="H176" s="39"/>
      <c r="I176" s="34"/>
      <c r="J176" s="39"/>
      <c r="K176" s="39"/>
      <c r="L176" s="39"/>
      <c r="M176" s="39"/>
      <c r="N176" s="34"/>
      <c r="O176" s="34"/>
      <c r="P176" s="34"/>
      <c r="Q176" s="40"/>
      <c r="R176" s="40"/>
      <c r="S176" s="78"/>
      <c r="T176" s="42"/>
      <c r="U176" s="283" t="s">
        <v>754</v>
      </c>
      <c r="V176" s="44"/>
      <c r="W176" s="52"/>
      <c r="X176" s="44"/>
      <c r="Y176" s="44"/>
      <c r="Z176" s="45"/>
      <c r="AA176" s="70">
        <f t="shared" si="11"/>
        <v>0</v>
      </c>
      <c r="AB176" s="47"/>
      <c r="AC176" s="47"/>
      <c r="AD176" s="47"/>
      <c r="AE176" s="47"/>
      <c r="AF176" s="47"/>
      <c r="AG176" s="44"/>
      <c r="AH176" s="44"/>
      <c r="AI176" s="44"/>
      <c r="AJ176" s="47"/>
      <c r="AK176" s="47"/>
      <c r="AL176" s="47"/>
      <c r="AM176" s="47"/>
      <c r="AN176" s="47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4"/>
      <c r="BB176" s="44"/>
      <c r="BC176" s="44"/>
      <c r="BD176" s="44"/>
      <c r="BE176" s="44"/>
      <c r="BF176" s="48"/>
      <c r="BG176" s="44"/>
      <c r="BH176" s="44"/>
      <c r="BI176" s="44"/>
      <c r="BJ176" s="44"/>
      <c r="BK176" s="44"/>
      <c r="BL176" s="44"/>
      <c r="BM176" s="44"/>
      <c r="BN176" s="44"/>
      <c r="BO176" s="44"/>
      <c r="BP176" s="44"/>
      <c r="BQ176" s="44"/>
      <c r="BR176" s="49"/>
      <c r="BS176" s="44"/>
      <c r="BT176" s="44"/>
      <c r="BU176" s="44"/>
      <c r="BV176" s="49"/>
      <c r="BW176" s="47"/>
      <c r="BX176" s="44"/>
      <c r="BY176" s="44"/>
      <c r="BZ176" s="44"/>
      <c r="CA176" s="44"/>
      <c r="CB176" s="44"/>
      <c r="CC176" s="44"/>
      <c r="CD176" s="44"/>
      <c r="CE176" s="44"/>
      <c r="CF176" s="44"/>
      <c r="CG176" s="44"/>
      <c r="CH176" s="44"/>
      <c r="CI176" s="44"/>
      <c r="CJ176" s="47"/>
      <c r="CK176" s="44"/>
      <c r="CL176" s="44"/>
      <c r="CM176" s="44"/>
      <c r="CN176" s="44"/>
      <c r="CO176" s="44"/>
      <c r="CP176" s="44"/>
      <c r="CQ176" s="44"/>
      <c r="CR176" s="44"/>
      <c r="CS176" s="44"/>
      <c r="CT176" s="44"/>
      <c r="CU176" s="44"/>
      <c r="CV176" s="44"/>
      <c r="CW176" s="44"/>
      <c r="CX176" s="44"/>
      <c r="CY176" s="44"/>
      <c r="CZ176" s="44"/>
      <c r="DA176" s="44"/>
      <c r="DB176" s="44"/>
      <c r="DC176" s="44"/>
      <c r="DD176" s="44"/>
      <c r="DE176" s="44"/>
      <c r="DF176" s="44"/>
      <c r="DG176" s="44"/>
      <c r="DH176" s="44"/>
      <c r="DI176" s="44"/>
      <c r="DJ176" s="44"/>
      <c r="DK176" s="44"/>
      <c r="DL176" s="44"/>
      <c r="DM176" s="44"/>
      <c r="DN176" s="44"/>
      <c r="DO176" s="44"/>
      <c r="DP176" s="44"/>
      <c r="DQ176" s="44"/>
      <c r="DR176" s="44"/>
      <c r="DS176" s="44"/>
      <c r="DT176" s="44"/>
      <c r="DU176" s="44"/>
      <c r="DV176" s="44"/>
      <c r="DW176" s="44"/>
      <c r="DX176" s="44"/>
      <c r="DY176" s="44"/>
      <c r="DZ176" s="47"/>
      <c r="EA176" s="47"/>
      <c r="EB176" s="47"/>
    </row>
    <row r="177" spans="3:132" s="32" customFormat="1">
      <c r="C177" s="33"/>
      <c r="D177" s="34"/>
      <c r="E177" s="35"/>
      <c r="F177" s="36"/>
      <c r="G177" s="36"/>
      <c r="H177" s="39"/>
      <c r="I177" s="34"/>
      <c r="J177" s="39"/>
      <c r="K177" s="39"/>
      <c r="L177" s="39"/>
      <c r="M177" s="39"/>
      <c r="N177" s="34"/>
      <c r="O177" s="34"/>
      <c r="P177" s="34"/>
      <c r="Q177" s="40"/>
      <c r="R177" s="40"/>
      <c r="S177" s="78"/>
      <c r="T177" s="42"/>
      <c r="U177" s="283" t="s">
        <v>18</v>
      </c>
      <c r="V177" s="44"/>
      <c r="W177" s="52"/>
      <c r="X177" s="44"/>
      <c r="Y177" s="44">
        <f>+Y113</f>
        <v>11158</v>
      </c>
      <c r="Z177" s="45">
        <v>33752000</v>
      </c>
      <c r="AA177" s="70">
        <f t="shared" si="11"/>
        <v>33740842</v>
      </c>
      <c r="AB177" s="47"/>
      <c r="AC177" s="47"/>
      <c r="AD177" s="47"/>
      <c r="AE177" s="47"/>
      <c r="AF177" s="47"/>
      <c r="AG177" s="44"/>
      <c r="AH177" s="44"/>
      <c r="AI177" s="44"/>
      <c r="AJ177" s="47"/>
      <c r="AK177" s="47"/>
      <c r="AL177" s="47"/>
      <c r="AM177" s="47"/>
      <c r="AN177" s="47"/>
      <c r="AO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47"/>
      <c r="AZ177" s="47"/>
      <c r="BA177" s="44"/>
      <c r="BB177" s="44"/>
      <c r="BC177" s="44"/>
      <c r="BD177" s="44"/>
      <c r="BE177" s="44"/>
      <c r="BF177" s="48"/>
      <c r="BG177" s="44"/>
      <c r="BH177" s="44"/>
      <c r="BI177" s="44"/>
      <c r="BJ177" s="44"/>
      <c r="BK177" s="44"/>
      <c r="BL177" s="44"/>
      <c r="BM177" s="44"/>
      <c r="BN177" s="44"/>
      <c r="BO177" s="44"/>
      <c r="BP177" s="44"/>
      <c r="BQ177" s="44"/>
      <c r="BR177" s="49"/>
      <c r="BS177" s="44"/>
      <c r="BT177" s="44"/>
      <c r="BU177" s="44"/>
      <c r="BV177" s="49"/>
      <c r="BW177" s="47"/>
      <c r="BX177" s="44"/>
      <c r="BY177" s="44"/>
      <c r="BZ177" s="44"/>
      <c r="CA177" s="44"/>
      <c r="CB177" s="44"/>
      <c r="CC177" s="44"/>
      <c r="CD177" s="44"/>
      <c r="CE177" s="44"/>
      <c r="CF177" s="44"/>
      <c r="CG177" s="44"/>
      <c r="CH177" s="44"/>
      <c r="CI177" s="44"/>
      <c r="CJ177" s="47"/>
      <c r="CK177" s="44"/>
      <c r="CL177" s="44"/>
      <c r="CM177" s="44"/>
      <c r="CN177" s="44"/>
      <c r="CO177" s="44"/>
      <c r="CP177" s="44"/>
      <c r="CQ177" s="44"/>
      <c r="CR177" s="44"/>
      <c r="CS177" s="44"/>
      <c r="CT177" s="44"/>
      <c r="CU177" s="44"/>
      <c r="CV177" s="44"/>
      <c r="CW177" s="44"/>
      <c r="CX177" s="44"/>
      <c r="CY177" s="44"/>
      <c r="CZ177" s="44"/>
      <c r="DA177" s="44"/>
      <c r="DB177" s="44"/>
      <c r="DC177" s="44"/>
      <c r="DD177" s="44"/>
      <c r="DE177" s="44"/>
      <c r="DF177" s="44"/>
      <c r="DG177" s="44"/>
      <c r="DH177" s="44"/>
      <c r="DI177" s="44"/>
      <c r="DJ177" s="44"/>
      <c r="DK177" s="44"/>
      <c r="DL177" s="44"/>
      <c r="DM177" s="44"/>
      <c r="DN177" s="44"/>
      <c r="DO177" s="44"/>
      <c r="DP177" s="44"/>
      <c r="DQ177" s="44"/>
      <c r="DR177" s="44"/>
      <c r="DS177" s="44"/>
      <c r="DT177" s="44"/>
      <c r="DU177" s="44"/>
      <c r="DV177" s="44"/>
      <c r="DW177" s="44"/>
      <c r="DX177" s="44"/>
      <c r="DY177" s="44"/>
      <c r="DZ177" s="47"/>
      <c r="EA177" s="47"/>
      <c r="EB177" s="47"/>
    </row>
    <row r="178" spans="3:132" s="32" customFormat="1">
      <c r="C178" s="33"/>
      <c r="D178" s="34"/>
      <c r="E178" s="35"/>
      <c r="F178" s="36"/>
      <c r="G178" s="36"/>
      <c r="H178" s="39"/>
      <c r="I178" s="34"/>
      <c r="J178" s="39"/>
      <c r="K178" s="39"/>
      <c r="L178" s="39"/>
      <c r="M178" s="39"/>
      <c r="N178" s="34"/>
      <c r="O178" s="34"/>
      <c r="P178" s="34"/>
      <c r="Q178" s="40"/>
      <c r="R178" s="40"/>
      <c r="S178" s="78"/>
      <c r="T178" s="42"/>
      <c r="U178" s="283" t="s">
        <v>19</v>
      </c>
      <c r="V178" s="44"/>
      <c r="W178" s="52"/>
      <c r="X178" s="44"/>
      <c r="Y178" s="44">
        <f>+Y111</f>
        <v>11158</v>
      </c>
      <c r="Z178" s="45">
        <v>6894000</v>
      </c>
      <c r="AA178" s="70">
        <f t="shared" si="11"/>
        <v>6882842</v>
      </c>
      <c r="AB178" s="47"/>
      <c r="AC178" s="47"/>
      <c r="AD178" s="47"/>
      <c r="AE178" s="47"/>
      <c r="AF178" s="47"/>
      <c r="AG178" s="44"/>
      <c r="AH178" s="44"/>
      <c r="AI178" s="44"/>
      <c r="AJ178" s="47"/>
      <c r="AK178" s="47"/>
      <c r="AL178" s="47"/>
      <c r="AM178" s="47"/>
      <c r="AN178" s="47"/>
      <c r="AO178" s="47"/>
      <c r="AP178" s="47"/>
      <c r="AQ178" s="47"/>
      <c r="AR178" s="47"/>
      <c r="AS178" s="47"/>
      <c r="AT178" s="47"/>
      <c r="AU178" s="47"/>
      <c r="AV178" s="47"/>
      <c r="AW178" s="47"/>
      <c r="AX178" s="47"/>
      <c r="AY178" s="47"/>
      <c r="AZ178" s="47"/>
      <c r="BA178" s="44"/>
      <c r="BB178" s="44"/>
      <c r="BC178" s="44"/>
      <c r="BD178" s="44"/>
      <c r="BE178" s="44"/>
      <c r="BF178" s="48"/>
      <c r="BG178" s="44"/>
      <c r="BH178" s="44"/>
      <c r="BI178" s="44"/>
      <c r="BJ178" s="44"/>
      <c r="BK178" s="44"/>
      <c r="BL178" s="44"/>
      <c r="BM178" s="44"/>
      <c r="BN178" s="44"/>
      <c r="BO178" s="44"/>
      <c r="BP178" s="44"/>
      <c r="BQ178" s="44"/>
      <c r="BR178" s="49"/>
      <c r="BS178" s="44"/>
      <c r="BT178" s="44"/>
      <c r="BU178" s="44"/>
      <c r="BV178" s="49"/>
      <c r="BW178" s="47"/>
      <c r="BX178" s="44"/>
      <c r="BY178" s="44"/>
      <c r="BZ178" s="44"/>
      <c r="CA178" s="44"/>
      <c r="CB178" s="44"/>
      <c r="CC178" s="44"/>
      <c r="CD178" s="44"/>
      <c r="CE178" s="44"/>
      <c r="CF178" s="44"/>
      <c r="CG178" s="44"/>
      <c r="CH178" s="44"/>
      <c r="CI178" s="44"/>
      <c r="CJ178" s="47"/>
      <c r="CK178" s="44"/>
      <c r="CL178" s="44"/>
      <c r="CM178" s="44"/>
      <c r="CN178" s="44"/>
      <c r="CO178" s="44"/>
      <c r="CP178" s="44"/>
      <c r="CQ178" s="44"/>
      <c r="CR178" s="44"/>
      <c r="CS178" s="44"/>
      <c r="CT178" s="44"/>
      <c r="CU178" s="44"/>
      <c r="CV178" s="44"/>
      <c r="CW178" s="44"/>
      <c r="CX178" s="44"/>
      <c r="CY178" s="44"/>
      <c r="CZ178" s="44"/>
      <c r="DA178" s="44"/>
      <c r="DB178" s="44"/>
      <c r="DC178" s="44"/>
      <c r="DD178" s="44"/>
      <c r="DE178" s="44"/>
      <c r="DF178" s="44"/>
      <c r="DG178" s="44"/>
      <c r="DH178" s="44"/>
      <c r="DI178" s="44"/>
      <c r="DJ178" s="44"/>
      <c r="DK178" s="44"/>
      <c r="DL178" s="44"/>
      <c r="DM178" s="44"/>
      <c r="DN178" s="44"/>
      <c r="DO178" s="44"/>
      <c r="DP178" s="44"/>
      <c r="DQ178" s="44"/>
      <c r="DR178" s="44"/>
      <c r="DS178" s="44"/>
      <c r="DT178" s="44"/>
      <c r="DU178" s="44"/>
      <c r="DV178" s="44"/>
      <c r="DW178" s="44"/>
      <c r="DX178" s="44"/>
      <c r="DY178" s="44"/>
      <c r="DZ178" s="47"/>
      <c r="EA178" s="47"/>
      <c r="EB178" s="47"/>
    </row>
    <row r="179" spans="3:132" s="32" customFormat="1">
      <c r="C179" s="33"/>
      <c r="D179" s="34"/>
      <c r="E179" s="35"/>
      <c r="F179" s="36"/>
      <c r="G179" s="36"/>
      <c r="H179" s="39"/>
      <c r="I179" s="34"/>
      <c r="J179" s="39"/>
      <c r="K179" s="39"/>
      <c r="L179" s="39"/>
      <c r="M179" s="39"/>
      <c r="N179" s="34"/>
      <c r="O179" s="34"/>
      <c r="P179" s="34"/>
      <c r="Q179" s="40"/>
      <c r="R179" s="40"/>
      <c r="S179" s="78"/>
      <c r="T179" s="42"/>
      <c r="U179" s="283" t="s">
        <v>7</v>
      </c>
      <c r="V179" s="44"/>
      <c r="W179" s="52"/>
      <c r="X179" s="44"/>
      <c r="Y179" s="44">
        <f>+Y112</f>
        <v>11158</v>
      </c>
      <c r="Z179" s="45">
        <v>8628000</v>
      </c>
      <c r="AA179" s="70">
        <f t="shared" si="11"/>
        <v>8616842</v>
      </c>
      <c r="AB179" s="47"/>
      <c r="AC179" s="47"/>
      <c r="AD179" s="47"/>
      <c r="AE179" s="47"/>
      <c r="AF179" s="47"/>
      <c r="AG179" s="44"/>
      <c r="AH179" s="44"/>
      <c r="AI179" s="44"/>
      <c r="AJ179" s="47"/>
      <c r="AK179" s="47"/>
      <c r="AL179" s="47"/>
      <c r="AM179" s="47"/>
      <c r="AN179" s="47"/>
      <c r="AO179" s="47"/>
      <c r="AP179" s="47"/>
      <c r="AQ179" s="47"/>
      <c r="AR179" s="47"/>
      <c r="AS179" s="47"/>
      <c r="AT179" s="47"/>
      <c r="AU179" s="47"/>
      <c r="AV179" s="47"/>
      <c r="AW179" s="47"/>
      <c r="AX179" s="47"/>
      <c r="AY179" s="47"/>
      <c r="AZ179" s="47"/>
      <c r="BA179" s="44"/>
      <c r="BB179" s="44"/>
      <c r="BC179" s="44"/>
      <c r="BD179" s="44"/>
      <c r="BE179" s="44"/>
      <c r="BF179" s="48"/>
      <c r="BG179" s="44"/>
      <c r="BH179" s="44"/>
      <c r="BI179" s="44"/>
      <c r="BJ179" s="44"/>
      <c r="BK179" s="44"/>
      <c r="BL179" s="44"/>
      <c r="BM179" s="44"/>
      <c r="BN179" s="44"/>
      <c r="BO179" s="44"/>
      <c r="BP179" s="44"/>
      <c r="BQ179" s="44"/>
      <c r="BR179" s="49"/>
      <c r="BS179" s="44"/>
      <c r="BT179" s="44"/>
      <c r="BU179" s="44"/>
      <c r="BV179" s="49"/>
      <c r="BW179" s="47"/>
      <c r="BX179" s="44"/>
      <c r="BY179" s="44"/>
      <c r="BZ179" s="44"/>
      <c r="CA179" s="44"/>
      <c r="CB179" s="44"/>
      <c r="CC179" s="44"/>
      <c r="CD179" s="44"/>
      <c r="CE179" s="44"/>
      <c r="CF179" s="44"/>
      <c r="CG179" s="44"/>
      <c r="CH179" s="44"/>
      <c r="CI179" s="44"/>
      <c r="CJ179" s="47"/>
      <c r="CK179" s="44"/>
      <c r="CL179" s="44"/>
      <c r="CM179" s="44"/>
      <c r="CN179" s="44"/>
      <c r="CO179" s="44"/>
      <c r="CP179" s="44"/>
      <c r="CQ179" s="44"/>
      <c r="CR179" s="44"/>
      <c r="CS179" s="44"/>
      <c r="CT179" s="44"/>
      <c r="CU179" s="44"/>
      <c r="CV179" s="44"/>
      <c r="CW179" s="44"/>
      <c r="CX179" s="44"/>
      <c r="CY179" s="44"/>
      <c r="CZ179" s="44"/>
      <c r="DA179" s="44"/>
      <c r="DB179" s="44"/>
      <c r="DC179" s="44"/>
      <c r="DD179" s="44"/>
      <c r="DE179" s="44"/>
      <c r="DF179" s="44"/>
      <c r="DG179" s="44"/>
      <c r="DH179" s="44"/>
      <c r="DI179" s="44"/>
      <c r="DJ179" s="44"/>
      <c r="DK179" s="44"/>
      <c r="DL179" s="44"/>
      <c r="DM179" s="44"/>
      <c r="DN179" s="44"/>
      <c r="DO179" s="44"/>
      <c r="DP179" s="44"/>
      <c r="DQ179" s="44"/>
      <c r="DR179" s="44"/>
      <c r="DS179" s="44"/>
      <c r="DT179" s="44"/>
      <c r="DU179" s="44"/>
      <c r="DV179" s="44"/>
      <c r="DW179" s="44"/>
      <c r="DX179" s="44"/>
      <c r="DY179" s="44"/>
      <c r="DZ179" s="47"/>
      <c r="EA179" s="47"/>
      <c r="EB179" s="47"/>
    </row>
    <row r="180" spans="3:132" s="32" customFormat="1">
      <c r="C180" s="33"/>
      <c r="D180" s="34"/>
      <c r="E180" s="35"/>
      <c r="F180" s="36"/>
      <c r="G180" s="36"/>
      <c r="H180" s="39"/>
      <c r="I180" s="34"/>
      <c r="J180" s="39"/>
      <c r="K180" s="39"/>
      <c r="L180" s="39"/>
      <c r="M180" s="39"/>
      <c r="N180" s="34"/>
      <c r="O180" s="34"/>
      <c r="P180" s="34"/>
      <c r="Q180" s="40"/>
      <c r="R180" s="40"/>
      <c r="S180" s="78"/>
      <c r="T180" s="42"/>
      <c r="U180" s="42"/>
      <c r="V180" s="84"/>
      <c r="W180" s="52"/>
      <c r="X180" s="84">
        <f>SUBTOTAL(9,X169:X179)</f>
        <v>4930914.22</v>
      </c>
      <c r="Y180" s="84">
        <f>SUBTOTAL(9,Y169:Y179)</f>
        <v>408681.44000000006</v>
      </c>
      <c r="Z180" s="84">
        <f>SUBTOTAL(9,Z169:Z179)</f>
        <v>252024885.69999999</v>
      </c>
      <c r="AA180" s="280">
        <f>SUBTOTAL(9,AA169:AA179)</f>
        <v>246685290.04000002</v>
      </c>
      <c r="AB180" s="47"/>
      <c r="AC180" s="47"/>
      <c r="AD180" s="47"/>
      <c r="AE180" s="47"/>
      <c r="AF180" s="47"/>
      <c r="AG180" s="44"/>
      <c r="AH180" s="44"/>
      <c r="AI180" s="44"/>
      <c r="AJ180" s="47"/>
      <c r="AK180" s="47"/>
      <c r="AL180" s="47"/>
      <c r="AM180" s="47"/>
      <c r="AN180" s="47"/>
      <c r="AO180" s="47"/>
      <c r="AP180" s="47"/>
      <c r="AQ180" s="47"/>
      <c r="AR180" s="47"/>
      <c r="AS180" s="47"/>
      <c r="AT180" s="47"/>
      <c r="AU180" s="47"/>
      <c r="AV180" s="47"/>
      <c r="AW180" s="47"/>
      <c r="AX180" s="47"/>
      <c r="AY180" s="47"/>
      <c r="AZ180" s="47"/>
      <c r="BA180" s="44"/>
      <c r="BB180" s="44"/>
      <c r="BC180" s="44"/>
      <c r="BD180" s="44"/>
      <c r="BE180" s="44"/>
      <c r="BF180" s="48"/>
      <c r="BG180" s="44"/>
      <c r="BH180" s="44"/>
      <c r="BI180" s="44"/>
      <c r="BJ180" s="44"/>
      <c r="BK180" s="44"/>
      <c r="BL180" s="44"/>
      <c r="BM180" s="44"/>
      <c r="BN180" s="44"/>
      <c r="BO180" s="44"/>
      <c r="BP180" s="44"/>
      <c r="BQ180" s="44"/>
      <c r="BR180" s="49"/>
      <c r="BS180" s="44"/>
      <c r="BT180" s="44"/>
      <c r="BU180" s="44"/>
      <c r="BV180" s="49"/>
      <c r="BW180" s="47"/>
      <c r="BX180" s="44"/>
      <c r="BY180" s="44"/>
      <c r="BZ180" s="44"/>
      <c r="CA180" s="44"/>
      <c r="CB180" s="44"/>
      <c r="CC180" s="44"/>
      <c r="CD180" s="44"/>
      <c r="CE180" s="44"/>
      <c r="CF180" s="44"/>
      <c r="CG180" s="44"/>
      <c r="CH180" s="44"/>
      <c r="CI180" s="44"/>
      <c r="CJ180" s="47"/>
      <c r="CK180" s="44"/>
      <c r="CL180" s="44"/>
      <c r="CM180" s="44"/>
      <c r="CN180" s="44"/>
      <c r="CO180" s="44"/>
      <c r="CP180" s="44"/>
      <c r="CQ180" s="44"/>
      <c r="CR180" s="44"/>
      <c r="CS180" s="44"/>
      <c r="CT180" s="44"/>
      <c r="CU180" s="44"/>
      <c r="CV180" s="44"/>
      <c r="CW180" s="44"/>
      <c r="CX180" s="44"/>
      <c r="CY180" s="44"/>
      <c r="CZ180" s="44"/>
      <c r="DA180" s="44"/>
      <c r="DB180" s="44"/>
      <c r="DC180" s="44"/>
      <c r="DD180" s="44"/>
      <c r="DE180" s="44"/>
      <c r="DF180" s="44"/>
      <c r="DG180" s="44"/>
      <c r="DH180" s="44"/>
      <c r="DI180" s="44"/>
      <c r="DJ180" s="44"/>
      <c r="DK180" s="44"/>
      <c r="DL180" s="44"/>
      <c r="DM180" s="44"/>
      <c r="DN180" s="44"/>
      <c r="DO180" s="44"/>
      <c r="DP180" s="44"/>
      <c r="DQ180" s="44"/>
      <c r="DR180" s="44"/>
      <c r="DS180" s="44"/>
      <c r="DT180" s="44"/>
      <c r="DU180" s="44"/>
      <c r="DV180" s="44"/>
      <c r="DW180" s="44"/>
      <c r="DX180" s="44"/>
      <c r="DY180" s="44"/>
      <c r="DZ180" s="47"/>
      <c r="EA180" s="47"/>
      <c r="EB180" s="47"/>
    </row>
    <row r="181" spans="3:132" s="32" customFormat="1">
      <c r="C181" s="33"/>
      <c r="D181" s="34"/>
      <c r="E181" s="35"/>
      <c r="F181" s="36"/>
      <c r="G181" s="36"/>
      <c r="H181" s="39"/>
      <c r="I181" s="34"/>
      <c r="J181" s="39"/>
      <c r="K181" s="39"/>
      <c r="L181" s="39"/>
      <c r="M181" s="39"/>
      <c r="N181" s="34"/>
      <c r="O181" s="34"/>
      <c r="P181" s="34"/>
      <c r="Q181" s="40"/>
      <c r="R181" s="40"/>
      <c r="S181" s="78"/>
      <c r="T181" s="42"/>
      <c r="U181" s="42"/>
      <c r="V181" s="44"/>
      <c r="W181" s="52"/>
      <c r="X181" s="49"/>
      <c r="Y181" s="44"/>
      <c r="Z181" s="45"/>
      <c r="AA181" s="46"/>
      <c r="AB181" s="47"/>
      <c r="AC181" s="47"/>
      <c r="AD181" s="47"/>
      <c r="AE181" s="47"/>
      <c r="AF181" s="47"/>
      <c r="AG181" s="44"/>
      <c r="AH181" s="44"/>
      <c r="AI181" s="44"/>
      <c r="AJ181" s="47"/>
      <c r="AK181" s="47"/>
      <c r="AL181" s="47"/>
      <c r="AM181" s="47"/>
      <c r="AN181" s="47"/>
      <c r="AO181" s="47"/>
      <c r="AP181" s="47"/>
      <c r="AQ181" s="47"/>
      <c r="AR181" s="47"/>
      <c r="AS181" s="47"/>
      <c r="AT181" s="47"/>
      <c r="AU181" s="47"/>
      <c r="AV181" s="47"/>
      <c r="AW181" s="47"/>
      <c r="AX181" s="47"/>
      <c r="AY181" s="47"/>
      <c r="AZ181" s="47"/>
      <c r="BA181" s="44"/>
      <c r="BB181" s="44"/>
      <c r="BC181" s="44"/>
      <c r="BD181" s="44"/>
      <c r="BE181" s="44"/>
      <c r="BF181" s="48"/>
      <c r="BG181" s="44"/>
      <c r="BH181" s="44"/>
      <c r="BI181" s="44"/>
      <c r="BJ181" s="44"/>
      <c r="BK181" s="44"/>
      <c r="BL181" s="44"/>
      <c r="BM181" s="44"/>
      <c r="BN181" s="44"/>
      <c r="BO181" s="44"/>
      <c r="BP181" s="44"/>
      <c r="BQ181" s="44"/>
      <c r="BR181" s="49"/>
      <c r="BS181" s="44"/>
      <c r="BT181" s="44"/>
      <c r="BU181" s="44"/>
      <c r="BV181" s="49"/>
      <c r="BW181" s="47"/>
      <c r="BX181" s="44"/>
      <c r="BY181" s="44"/>
      <c r="BZ181" s="44"/>
      <c r="CA181" s="44"/>
      <c r="CB181" s="44"/>
      <c r="CC181" s="44"/>
      <c r="CD181" s="44"/>
      <c r="CE181" s="44"/>
      <c r="CF181" s="44"/>
      <c r="CG181" s="44"/>
      <c r="CH181" s="44"/>
      <c r="CI181" s="44"/>
      <c r="CJ181" s="47"/>
      <c r="CK181" s="44"/>
      <c r="CL181" s="44"/>
      <c r="CM181" s="44"/>
      <c r="CN181" s="44"/>
      <c r="CO181" s="44"/>
      <c r="CP181" s="44"/>
      <c r="CQ181" s="44"/>
      <c r="CR181" s="44"/>
      <c r="CS181" s="44"/>
      <c r="CT181" s="44"/>
      <c r="CU181" s="44"/>
      <c r="CV181" s="44"/>
      <c r="CW181" s="44"/>
      <c r="CX181" s="44"/>
      <c r="CY181" s="44"/>
      <c r="CZ181" s="44"/>
      <c r="DA181" s="44"/>
      <c r="DB181" s="44"/>
      <c r="DC181" s="44"/>
      <c r="DD181" s="44"/>
      <c r="DE181" s="44"/>
      <c r="DF181" s="44"/>
      <c r="DG181" s="44"/>
      <c r="DH181" s="44"/>
      <c r="DI181" s="44"/>
      <c r="DJ181" s="44"/>
      <c r="DK181" s="44"/>
      <c r="DL181" s="44"/>
      <c r="DM181" s="44"/>
      <c r="DN181" s="44"/>
      <c r="DO181" s="44"/>
      <c r="DP181" s="44"/>
      <c r="DQ181" s="44"/>
      <c r="DR181" s="44"/>
      <c r="DS181" s="44"/>
      <c r="DT181" s="44"/>
      <c r="DU181" s="44"/>
      <c r="DV181" s="44"/>
      <c r="DW181" s="44"/>
      <c r="DX181" s="44"/>
      <c r="DY181" s="44"/>
      <c r="DZ181" s="47"/>
      <c r="EA181" s="47"/>
      <c r="EB181" s="47"/>
    </row>
    <row r="182" spans="3:132" s="32" customFormat="1">
      <c r="C182" s="33"/>
      <c r="D182" s="34"/>
      <c r="E182" s="35"/>
      <c r="F182" s="36"/>
      <c r="G182" s="36"/>
      <c r="H182" s="39"/>
      <c r="I182" s="34"/>
      <c r="J182" s="39"/>
      <c r="K182" s="39"/>
      <c r="L182" s="39"/>
      <c r="M182" s="39"/>
      <c r="N182" s="34"/>
      <c r="O182" s="34"/>
      <c r="P182" s="34"/>
      <c r="Q182" s="40"/>
      <c r="R182" s="40"/>
      <c r="S182" s="78"/>
      <c r="T182" s="42"/>
      <c r="U182" s="42"/>
      <c r="V182" s="85"/>
      <c r="W182" s="86"/>
      <c r="X182" s="49"/>
      <c r="Y182" s="44"/>
      <c r="Z182" s="45"/>
      <c r="AA182" s="46"/>
      <c r="AB182" s="47"/>
      <c r="AC182" s="47"/>
      <c r="AD182" s="47"/>
      <c r="AE182" s="47"/>
      <c r="AF182" s="47"/>
      <c r="AG182" s="44"/>
      <c r="AH182" s="44"/>
      <c r="AI182" s="44"/>
      <c r="AJ182" s="47"/>
      <c r="AK182" s="47"/>
      <c r="AL182" s="47"/>
      <c r="AM182" s="47"/>
      <c r="AN182" s="47"/>
      <c r="AO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47"/>
      <c r="AZ182" s="47"/>
      <c r="BA182" s="44"/>
      <c r="BB182" s="44"/>
      <c r="BC182" s="44"/>
      <c r="BD182" s="44"/>
      <c r="BE182" s="44"/>
      <c r="BF182" s="48"/>
      <c r="BG182" s="44"/>
      <c r="BH182" s="44"/>
      <c r="BI182" s="44"/>
      <c r="BJ182" s="44"/>
      <c r="BK182" s="44"/>
      <c r="BL182" s="44"/>
      <c r="BM182" s="44"/>
      <c r="BN182" s="44"/>
      <c r="BO182" s="44"/>
      <c r="BP182" s="44"/>
      <c r="BQ182" s="44"/>
      <c r="BR182" s="49"/>
      <c r="BS182" s="44"/>
      <c r="BT182" s="44"/>
      <c r="BU182" s="44"/>
      <c r="BV182" s="49"/>
      <c r="BW182" s="47"/>
      <c r="BX182" s="44"/>
      <c r="BY182" s="44"/>
      <c r="BZ182" s="44"/>
      <c r="CA182" s="44"/>
      <c r="CB182" s="44"/>
      <c r="CC182" s="44"/>
      <c r="CD182" s="44"/>
      <c r="CE182" s="44"/>
      <c r="CF182" s="44"/>
      <c r="CG182" s="44"/>
      <c r="CH182" s="44"/>
      <c r="CI182" s="44"/>
      <c r="CJ182" s="47"/>
      <c r="CK182" s="44"/>
      <c r="CL182" s="44"/>
      <c r="CM182" s="44"/>
      <c r="CN182" s="44"/>
      <c r="CO182" s="44"/>
      <c r="CP182" s="44"/>
      <c r="CQ182" s="44"/>
      <c r="CR182" s="44"/>
      <c r="CS182" s="44"/>
      <c r="CT182" s="44"/>
      <c r="CU182" s="44"/>
      <c r="CV182" s="44"/>
      <c r="CW182" s="44"/>
      <c r="CX182" s="44"/>
      <c r="CY182" s="44"/>
      <c r="CZ182" s="44"/>
      <c r="DA182" s="44"/>
      <c r="DB182" s="44"/>
      <c r="DC182" s="44"/>
      <c r="DD182" s="44"/>
      <c r="DE182" s="44"/>
      <c r="DF182" s="44"/>
      <c r="DG182" s="44"/>
      <c r="DH182" s="44"/>
      <c r="DI182" s="44"/>
      <c r="DJ182" s="44"/>
      <c r="DK182" s="44"/>
      <c r="DL182" s="44"/>
      <c r="DM182" s="44"/>
      <c r="DN182" s="44"/>
      <c r="DO182" s="44"/>
      <c r="DP182" s="44"/>
      <c r="DQ182" s="44"/>
      <c r="DR182" s="44"/>
      <c r="DS182" s="44"/>
      <c r="DT182" s="44"/>
      <c r="DU182" s="44"/>
      <c r="DV182" s="44"/>
      <c r="DW182" s="44"/>
      <c r="DX182" s="44"/>
      <c r="DY182" s="44"/>
      <c r="DZ182" s="47"/>
      <c r="EA182" s="47"/>
      <c r="EB182" s="47"/>
    </row>
    <row r="183" spans="3:132" s="32" customFormat="1" ht="15" thickBot="1">
      <c r="C183" s="87"/>
      <c r="D183" s="88"/>
      <c r="E183" s="89"/>
      <c r="F183" s="90"/>
      <c r="G183" s="90"/>
      <c r="H183" s="91"/>
      <c r="I183" s="88"/>
      <c r="J183" s="91"/>
      <c r="K183" s="91"/>
      <c r="L183" s="91"/>
      <c r="M183" s="91"/>
      <c r="N183" s="88"/>
      <c r="O183" s="88"/>
      <c r="P183" s="88"/>
      <c r="Q183" s="92"/>
      <c r="R183" s="92"/>
      <c r="S183" s="93"/>
      <c r="T183" s="94"/>
      <c r="U183" s="94"/>
      <c r="V183" s="83">
        <f>SUM(V8:V166)</f>
        <v>5339595.6599999983</v>
      </c>
      <c r="W183" s="95"/>
      <c r="X183" s="83">
        <f t="shared" ref="X183:BC183" si="12">SUM(X8:X166)</f>
        <v>4930914.2199999979</v>
      </c>
      <c r="Y183" s="83">
        <f t="shared" si="12"/>
        <v>408681.43999999994</v>
      </c>
      <c r="Z183" s="83">
        <f t="shared" si="12"/>
        <v>0</v>
      </c>
      <c r="AA183" s="83">
        <f t="shared" si="12"/>
        <v>0</v>
      </c>
      <c r="AB183" s="83">
        <f t="shared" si="12"/>
        <v>0</v>
      </c>
      <c r="AC183" s="83">
        <f t="shared" si="12"/>
        <v>0</v>
      </c>
      <c r="AD183" s="83">
        <f t="shared" si="12"/>
        <v>0</v>
      </c>
      <c r="AE183" s="83">
        <f t="shared" si="12"/>
        <v>0</v>
      </c>
      <c r="AF183" s="83">
        <f t="shared" si="12"/>
        <v>0</v>
      </c>
      <c r="AG183" s="83">
        <f t="shared" si="12"/>
        <v>0</v>
      </c>
      <c r="AH183" s="83">
        <f t="shared" si="12"/>
        <v>0</v>
      </c>
      <c r="AI183" s="83">
        <f t="shared" si="12"/>
        <v>0</v>
      </c>
      <c r="AJ183" s="83">
        <f t="shared" si="12"/>
        <v>0</v>
      </c>
      <c r="AK183" s="83">
        <f t="shared" si="12"/>
        <v>0</v>
      </c>
      <c r="AL183" s="83">
        <f t="shared" si="12"/>
        <v>0</v>
      </c>
      <c r="AM183" s="83">
        <f t="shared" si="12"/>
        <v>0</v>
      </c>
      <c r="AN183" s="83">
        <f t="shared" si="12"/>
        <v>0</v>
      </c>
      <c r="AO183" s="83">
        <f t="shared" si="12"/>
        <v>0</v>
      </c>
      <c r="AP183" s="83">
        <f t="shared" si="12"/>
        <v>0</v>
      </c>
      <c r="AQ183" s="83">
        <f t="shared" si="12"/>
        <v>0</v>
      </c>
      <c r="AR183" s="83">
        <f t="shared" si="12"/>
        <v>0</v>
      </c>
      <c r="AS183" s="83">
        <f t="shared" si="12"/>
        <v>0</v>
      </c>
      <c r="AT183" s="83">
        <f t="shared" si="12"/>
        <v>0</v>
      </c>
      <c r="AU183" s="83">
        <f t="shared" si="12"/>
        <v>0</v>
      </c>
      <c r="AV183" s="83">
        <f t="shared" si="12"/>
        <v>0</v>
      </c>
      <c r="AW183" s="83">
        <f t="shared" si="12"/>
        <v>0</v>
      </c>
      <c r="AX183" s="83">
        <f t="shared" si="12"/>
        <v>0</v>
      </c>
      <c r="AY183" s="83">
        <f t="shared" si="12"/>
        <v>0</v>
      </c>
      <c r="AZ183" s="83">
        <f t="shared" si="12"/>
        <v>0</v>
      </c>
      <c r="BA183" s="83">
        <f t="shared" si="12"/>
        <v>0</v>
      </c>
      <c r="BB183" s="83">
        <f t="shared" si="12"/>
        <v>0</v>
      </c>
      <c r="BC183" s="83">
        <f t="shared" si="12"/>
        <v>0</v>
      </c>
      <c r="BD183" s="83">
        <f t="shared" ref="BD183:CI183" si="13">SUM(BD8:BD166)</f>
        <v>0</v>
      </c>
      <c r="BE183" s="83">
        <f t="shared" si="13"/>
        <v>3729453.73</v>
      </c>
      <c r="BF183" s="83">
        <f t="shared" si="13"/>
        <v>298918</v>
      </c>
      <c r="BG183" s="83">
        <f t="shared" si="13"/>
        <v>195818.18</v>
      </c>
      <c r="BH183" s="83">
        <f t="shared" si="13"/>
        <v>75000</v>
      </c>
      <c r="BI183" s="83">
        <f t="shared" si="13"/>
        <v>75000</v>
      </c>
      <c r="BJ183" s="83">
        <f t="shared" si="13"/>
        <v>0</v>
      </c>
      <c r="BK183" s="83">
        <f t="shared" si="13"/>
        <v>0</v>
      </c>
      <c r="BL183" s="83">
        <f t="shared" si="13"/>
        <v>0</v>
      </c>
      <c r="BM183" s="83">
        <f t="shared" si="13"/>
        <v>0</v>
      </c>
      <c r="BN183" s="83">
        <f t="shared" si="13"/>
        <v>0</v>
      </c>
      <c r="BO183" s="83">
        <f t="shared" si="13"/>
        <v>483393.67999999993</v>
      </c>
      <c r="BP183" s="83">
        <f t="shared" si="13"/>
        <v>9800</v>
      </c>
      <c r="BQ183" s="83">
        <f t="shared" si="13"/>
        <v>53730.629999999983</v>
      </c>
      <c r="BR183" s="83">
        <f t="shared" si="13"/>
        <v>9800</v>
      </c>
      <c r="BS183" s="83">
        <f t="shared" si="13"/>
        <v>0</v>
      </c>
      <c r="BT183" s="83">
        <f t="shared" si="13"/>
        <v>0</v>
      </c>
      <c r="BU183" s="83">
        <f t="shared" si="13"/>
        <v>0</v>
      </c>
      <c r="BV183" s="83">
        <f t="shared" si="13"/>
        <v>4850735.3800000008</v>
      </c>
      <c r="BW183" s="83">
        <f t="shared" si="13"/>
        <v>6006.93</v>
      </c>
      <c r="BX183" s="83">
        <f t="shared" si="13"/>
        <v>1558.07</v>
      </c>
      <c r="BY183" s="83">
        <f t="shared" si="13"/>
        <v>480535.59999999992</v>
      </c>
      <c r="BZ183" s="83">
        <f t="shared" si="13"/>
        <v>759.68</v>
      </c>
      <c r="CA183" s="83">
        <f t="shared" si="13"/>
        <v>0</v>
      </c>
      <c r="CB183" s="83">
        <f t="shared" si="13"/>
        <v>0</v>
      </c>
      <c r="CC183" s="83">
        <f t="shared" si="13"/>
        <v>0</v>
      </c>
      <c r="CD183" s="83">
        <f t="shared" si="13"/>
        <v>0</v>
      </c>
      <c r="CE183" s="83">
        <f t="shared" si="13"/>
        <v>0</v>
      </c>
      <c r="CF183" s="83">
        <f t="shared" si="13"/>
        <v>0</v>
      </c>
      <c r="CG183" s="83">
        <f t="shared" si="13"/>
        <v>0</v>
      </c>
      <c r="CH183" s="83">
        <f t="shared" si="13"/>
        <v>0</v>
      </c>
      <c r="CI183" s="83">
        <f t="shared" si="13"/>
        <v>0</v>
      </c>
      <c r="CJ183" s="83">
        <f t="shared" ref="CJ183:DO183" si="14">SUM(CJ8:CJ166)</f>
        <v>2834.25</v>
      </c>
      <c r="CK183" s="83">
        <f t="shared" si="14"/>
        <v>0</v>
      </c>
      <c r="CL183" s="83">
        <f t="shared" si="14"/>
        <v>22550.49</v>
      </c>
      <c r="CM183" s="83">
        <f t="shared" si="14"/>
        <v>600</v>
      </c>
      <c r="CN183" s="83">
        <f t="shared" si="14"/>
        <v>14570.41</v>
      </c>
      <c r="CO183" s="83">
        <f t="shared" si="14"/>
        <v>0</v>
      </c>
      <c r="CP183" s="83">
        <f t="shared" si="14"/>
        <v>0</v>
      </c>
      <c r="CQ183" s="83">
        <f t="shared" si="14"/>
        <v>0</v>
      </c>
      <c r="CR183" s="83">
        <f t="shared" si="14"/>
        <v>2500</v>
      </c>
      <c r="CS183" s="83">
        <f t="shared" si="14"/>
        <v>0</v>
      </c>
      <c r="CT183" s="83">
        <f t="shared" si="14"/>
        <v>0</v>
      </c>
      <c r="CU183" s="83">
        <f t="shared" si="14"/>
        <v>0</v>
      </c>
      <c r="CV183" s="83">
        <f t="shared" si="14"/>
        <v>0</v>
      </c>
      <c r="CW183" s="83">
        <f t="shared" si="14"/>
        <v>300</v>
      </c>
      <c r="CX183" s="83">
        <f t="shared" si="14"/>
        <v>170501.47</v>
      </c>
      <c r="CY183" s="83">
        <f t="shared" si="14"/>
        <v>0</v>
      </c>
      <c r="CZ183" s="83">
        <f t="shared" si="14"/>
        <v>39000</v>
      </c>
      <c r="DA183" s="83">
        <f t="shared" si="14"/>
        <v>0</v>
      </c>
      <c r="DB183" s="83">
        <f t="shared" si="14"/>
        <v>0</v>
      </c>
      <c r="DC183" s="83">
        <f t="shared" si="14"/>
        <v>0</v>
      </c>
      <c r="DD183" s="83">
        <f t="shared" si="14"/>
        <v>0</v>
      </c>
      <c r="DE183" s="83">
        <f t="shared" si="14"/>
        <v>5753</v>
      </c>
      <c r="DF183" s="83">
        <f t="shared" si="14"/>
        <v>0</v>
      </c>
      <c r="DG183" s="83">
        <f t="shared" si="14"/>
        <v>10467.82</v>
      </c>
      <c r="DH183" s="83">
        <f t="shared" si="14"/>
        <v>7600</v>
      </c>
      <c r="DI183" s="83">
        <f t="shared" si="14"/>
        <v>0</v>
      </c>
      <c r="DJ183" s="83">
        <f t="shared" si="14"/>
        <v>48774</v>
      </c>
      <c r="DK183" s="83">
        <f t="shared" si="14"/>
        <v>0</v>
      </c>
      <c r="DL183" s="83">
        <f t="shared" si="14"/>
        <v>0</v>
      </c>
      <c r="DM183" s="83">
        <f t="shared" si="14"/>
        <v>0</v>
      </c>
      <c r="DN183" s="83">
        <f t="shared" si="14"/>
        <v>0</v>
      </c>
      <c r="DO183" s="83">
        <f t="shared" si="14"/>
        <v>0</v>
      </c>
      <c r="DP183" s="83">
        <f t="shared" ref="DP183:EB183" si="15">SUM(DP8:DP166)</f>
        <v>0</v>
      </c>
      <c r="DQ183" s="83">
        <f t="shared" si="15"/>
        <v>10000</v>
      </c>
      <c r="DR183" s="83">
        <f t="shared" si="15"/>
        <v>0</v>
      </c>
      <c r="DS183" s="83">
        <f t="shared" si="15"/>
        <v>0</v>
      </c>
      <c r="DT183" s="83">
        <f t="shared" si="15"/>
        <v>0</v>
      </c>
      <c r="DU183" s="83">
        <f t="shared" si="15"/>
        <v>0</v>
      </c>
      <c r="DV183" s="83">
        <f t="shared" si="15"/>
        <v>11250</v>
      </c>
      <c r="DW183" s="83">
        <f t="shared" si="15"/>
        <v>0</v>
      </c>
      <c r="DX183" s="83">
        <f t="shared" si="15"/>
        <v>0</v>
      </c>
      <c r="DY183" s="83">
        <f t="shared" si="15"/>
        <v>2480</v>
      </c>
      <c r="DZ183" s="83">
        <f t="shared" si="15"/>
        <v>0</v>
      </c>
      <c r="EA183" s="83">
        <f t="shared" si="15"/>
        <v>59500</v>
      </c>
      <c r="EB183" s="83">
        <f t="shared" si="15"/>
        <v>0</v>
      </c>
    </row>
    <row r="184" spans="3:132" s="32" customFormat="1" ht="15" thickTop="1">
      <c r="C184" s="33"/>
      <c r="D184" s="34"/>
      <c r="E184" s="35"/>
      <c r="F184" s="36"/>
      <c r="G184" s="36"/>
      <c r="H184" s="39"/>
      <c r="I184" s="34"/>
      <c r="J184" s="39"/>
      <c r="K184" s="39"/>
      <c r="L184" s="39"/>
      <c r="M184" s="39"/>
      <c r="N184" s="34"/>
      <c r="O184" s="34"/>
      <c r="P184" s="34"/>
      <c r="Q184" s="40"/>
      <c r="R184" s="40"/>
      <c r="S184" s="78"/>
      <c r="T184" s="42"/>
      <c r="U184" s="42"/>
      <c r="V184" s="96">
        <f>+V183-'PS 101'!T79</f>
        <v>0</v>
      </c>
      <c r="W184" s="97"/>
      <c r="X184" s="98">
        <f>+X183-BE183-BF183-BG183-BH183-BI183-BJ183-BL183-BK183-BM183-BN183-BO183-BP183-BQ183-BR183-BS183-BT183-----BU183</f>
        <v>-1.9572325982153416E-9</v>
      </c>
      <c r="Y184" s="98">
        <f>Y183-CF183-CG183-CH183-CI183-CJ183-CK183-CL183-CM183-CN183-CO183-CP183-CQ183-CR183-CS183-CT183-CU183-CV183-CW183-CX183-CY183-CZ183-DA183-DB183-DC183-DD183-DE183-DF183-DG183-DH183-DI183-DJ183-DK183-DL183-DM183-DN183-DO183-DP183-DQ183-DR183-DS183-DT183-DU183-DV183-DX183-DW183-DY183-DZ183-EA183-EB183</f>
        <v>-2.9103830456733704E-11</v>
      </c>
      <c r="Z184" s="45"/>
      <c r="AA184" s="46"/>
      <c r="AB184" s="47"/>
      <c r="AC184" s="47"/>
      <c r="AD184" s="47"/>
      <c r="AE184" s="47"/>
      <c r="AF184" s="47"/>
      <c r="AG184" s="44"/>
      <c r="AH184" s="44"/>
      <c r="AI184" s="44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4"/>
      <c r="BB184" s="44"/>
      <c r="BC184" s="44"/>
      <c r="BD184" s="44"/>
      <c r="BE184" s="84">
        <f>SUM(BE183:BU183)</f>
        <v>4930914.22</v>
      </c>
      <c r="BF184" s="48"/>
      <c r="BG184" s="44"/>
      <c r="BH184" s="44"/>
      <c r="BI184" s="44"/>
      <c r="BJ184" s="44"/>
      <c r="BK184" s="44"/>
      <c r="BL184" s="44"/>
      <c r="BM184" s="44"/>
      <c r="BN184" s="44"/>
      <c r="BO184" s="44"/>
      <c r="BP184" s="44"/>
      <c r="BQ184" s="44"/>
      <c r="BR184" s="49"/>
      <c r="BS184" s="44"/>
      <c r="BT184" s="44"/>
      <c r="BU184" s="44"/>
      <c r="BV184" s="49"/>
      <c r="BW184" s="47"/>
      <c r="BX184" s="44"/>
      <c r="BY184" s="44"/>
      <c r="BZ184" s="44"/>
      <c r="CA184" s="44"/>
      <c r="CB184" s="44"/>
      <c r="CC184" s="44"/>
      <c r="CD184" s="44"/>
      <c r="CE184" s="44"/>
      <c r="CF184" s="84">
        <f>SUM(CF183:EB183)</f>
        <v>408681.44</v>
      </c>
      <c r="CG184" s="44"/>
      <c r="CH184" s="44"/>
      <c r="CI184" s="44"/>
      <c r="CJ184" s="47"/>
      <c r="CK184" s="44"/>
      <c r="CL184" s="44"/>
      <c r="CM184" s="44"/>
      <c r="CN184" s="44"/>
      <c r="CO184" s="44"/>
      <c r="CP184" s="44"/>
      <c r="CQ184" s="44"/>
      <c r="CR184" s="44"/>
      <c r="CS184" s="44"/>
      <c r="CT184" s="44"/>
      <c r="CU184" s="44"/>
      <c r="CV184" s="44"/>
      <c r="CW184" s="44"/>
      <c r="CX184" s="44"/>
      <c r="CY184" s="44"/>
      <c r="CZ184" s="44"/>
      <c r="DA184" s="44"/>
      <c r="DB184" s="44"/>
      <c r="DC184" s="44"/>
      <c r="DD184" s="44"/>
      <c r="DE184" s="44"/>
      <c r="DF184" s="44"/>
      <c r="DG184" s="44"/>
      <c r="DH184" s="44"/>
      <c r="DI184" s="44"/>
      <c r="DJ184" s="44"/>
      <c r="DK184" s="44"/>
      <c r="DL184" s="44"/>
      <c r="DM184" s="44"/>
      <c r="DN184" s="44"/>
      <c r="DO184" s="44"/>
      <c r="DP184" s="44"/>
      <c r="DQ184" s="44"/>
      <c r="DR184" s="44"/>
      <c r="DS184" s="44"/>
      <c r="DT184" s="44"/>
      <c r="DU184" s="44"/>
      <c r="DV184" s="44"/>
      <c r="DW184" s="44"/>
      <c r="DX184" s="44"/>
      <c r="DY184" s="44"/>
      <c r="DZ184" s="47"/>
      <c r="EA184" s="47"/>
      <c r="EB184" s="47"/>
    </row>
    <row r="185" spans="3:132" s="32" customFormat="1">
      <c r="C185" s="99"/>
      <c r="D185" s="100"/>
      <c r="E185" s="101"/>
      <c r="F185" s="102"/>
      <c r="G185" s="102"/>
      <c r="H185" s="103"/>
      <c r="I185" s="100"/>
      <c r="J185" s="103"/>
      <c r="K185" s="103"/>
      <c r="L185" s="103"/>
      <c r="M185" s="103"/>
      <c r="N185" s="100"/>
      <c r="O185" s="100"/>
      <c r="P185" s="100"/>
      <c r="Q185" s="104"/>
      <c r="R185" s="104"/>
      <c r="S185" s="105"/>
      <c r="T185" s="106"/>
      <c r="U185" s="106"/>
      <c r="V185" s="107"/>
      <c r="W185" s="86"/>
      <c r="X185" s="85">
        <f>+X180-X183</f>
        <v>0</v>
      </c>
      <c r="Y185" s="85">
        <f>+Y180-Y183</f>
        <v>0</v>
      </c>
      <c r="Z185" s="108"/>
      <c r="AA185" s="109"/>
      <c r="AB185" s="110"/>
      <c r="AC185" s="110"/>
      <c r="AD185" s="110"/>
      <c r="AE185" s="110"/>
      <c r="AF185" s="110"/>
      <c r="AG185" s="85"/>
      <c r="AH185" s="85"/>
      <c r="AI185" s="85"/>
      <c r="AJ185" s="110"/>
      <c r="AK185" s="110"/>
      <c r="AL185" s="110"/>
      <c r="AM185" s="110"/>
      <c r="AN185" s="110"/>
      <c r="AO185" s="110"/>
      <c r="AP185" s="110"/>
      <c r="AQ185" s="110"/>
      <c r="AR185" s="110"/>
      <c r="AS185" s="110"/>
      <c r="AT185" s="110"/>
      <c r="AU185" s="110"/>
      <c r="AV185" s="110"/>
      <c r="AW185" s="110"/>
      <c r="AX185" s="110"/>
      <c r="AY185" s="110"/>
      <c r="AZ185" s="110"/>
      <c r="BA185" s="85"/>
      <c r="BB185" s="85"/>
      <c r="BC185" s="85"/>
      <c r="BD185" s="85"/>
      <c r="BE185" s="85"/>
      <c r="BF185" s="111"/>
      <c r="BG185" s="85"/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107"/>
      <c r="BS185" s="85"/>
      <c r="BT185" s="85"/>
      <c r="BU185" s="85"/>
      <c r="BV185" s="107"/>
      <c r="BW185" s="110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110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  <c r="CW185" s="85"/>
      <c r="CX185" s="85"/>
      <c r="CY185" s="85"/>
      <c r="CZ185" s="85"/>
      <c r="DA185" s="85"/>
      <c r="DB185" s="85"/>
      <c r="DC185" s="85"/>
      <c r="DD185" s="85"/>
      <c r="DE185" s="85"/>
      <c r="DF185" s="85"/>
      <c r="DG185" s="85"/>
      <c r="DH185" s="85"/>
      <c r="DI185" s="85"/>
      <c r="DJ185" s="85"/>
      <c r="DK185" s="85"/>
      <c r="DL185" s="85"/>
      <c r="DM185" s="85"/>
      <c r="DN185" s="85"/>
      <c r="DO185" s="85"/>
      <c r="DP185" s="85"/>
      <c r="DQ185" s="85"/>
      <c r="DR185" s="85"/>
      <c r="DS185" s="85"/>
      <c r="DT185" s="85"/>
      <c r="DU185" s="85"/>
      <c r="DV185" s="85"/>
      <c r="DW185" s="85"/>
      <c r="DX185" s="85"/>
      <c r="DY185" s="85"/>
      <c r="DZ185" s="110"/>
      <c r="EA185" s="110"/>
      <c r="EB185" s="110"/>
    </row>
    <row r="186" spans="3:132" s="32" customFormat="1">
      <c r="C186" s="112"/>
      <c r="D186" s="113"/>
      <c r="E186" s="114"/>
      <c r="F186" s="115"/>
      <c r="G186" s="115"/>
      <c r="H186" s="116"/>
      <c r="I186" s="113"/>
      <c r="J186" s="116"/>
      <c r="K186" s="116"/>
      <c r="L186" s="116"/>
      <c r="M186" s="116"/>
      <c r="N186" s="113"/>
      <c r="O186" s="113"/>
      <c r="P186" s="113"/>
      <c r="Q186" s="117"/>
      <c r="R186" s="117"/>
      <c r="S186" s="118"/>
      <c r="T186" s="119"/>
      <c r="U186" s="119"/>
      <c r="V186" s="64"/>
      <c r="W186" s="120"/>
      <c r="X186" s="64"/>
      <c r="Y186" s="64"/>
      <c r="Z186" s="121"/>
      <c r="AA186" s="120"/>
      <c r="AB186" s="122"/>
      <c r="AC186" s="122"/>
      <c r="AD186" s="122"/>
      <c r="AE186" s="122"/>
      <c r="AF186" s="122"/>
      <c r="AG186" s="49"/>
      <c r="AH186" s="49"/>
      <c r="AI186" s="49"/>
      <c r="AJ186" s="122"/>
      <c r="AK186" s="122"/>
      <c r="AL186" s="122"/>
      <c r="AM186" s="122"/>
      <c r="AN186" s="122"/>
      <c r="AO186" s="122"/>
      <c r="AP186" s="122"/>
      <c r="AQ186" s="122"/>
      <c r="AR186" s="122"/>
      <c r="AS186" s="122"/>
      <c r="AT186" s="122"/>
      <c r="AU186" s="122"/>
      <c r="AV186" s="122"/>
      <c r="AW186" s="122"/>
      <c r="AX186" s="122"/>
      <c r="AY186" s="122"/>
      <c r="AZ186" s="122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122"/>
      <c r="BX186" s="49"/>
      <c r="BY186" s="49"/>
      <c r="BZ186" s="49"/>
      <c r="CA186" s="49"/>
      <c r="CB186" s="49"/>
      <c r="CC186" s="49"/>
      <c r="CD186" s="49"/>
      <c r="CE186" s="49"/>
      <c r="CF186" s="49"/>
      <c r="CG186" s="49"/>
      <c r="CH186" s="49"/>
      <c r="CI186" s="49"/>
      <c r="CJ186" s="122"/>
      <c r="CK186" s="49"/>
      <c r="CL186" s="49"/>
      <c r="CM186" s="49"/>
      <c r="CN186" s="49"/>
      <c r="CO186" s="49"/>
      <c r="CP186" s="49"/>
      <c r="CQ186" s="49"/>
      <c r="CR186" s="49"/>
      <c r="CS186" s="49"/>
      <c r="CT186" s="49"/>
      <c r="CU186" s="49"/>
      <c r="CV186" s="49"/>
      <c r="CW186" s="49"/>
      <c r="CX186" s="49"/>
      <c r="CY186" s="49"/>
      <c r="CZ186" s="49"/>
      <c r="DA186" s="49"/>
      <c r="DB186" s="49"/>
      <c r="DC186" s="49"/>
      <c r="DD186" s="49"/>
      <c r="DE186" s="49"/>
      <c r="DF186" s="49"/>
      <c r="DG186" s="49"/>
      <c r="DH186" s="49"/>
      <c r="DI186" s="49"/>
      <c r="DJ186" s="49"/>
      <c r="DK186" s="49"/>
      <c r="DL186" s="49"/>
      <c r="DM186" s="49"/>
      <c r="DN186" s="49"/>
      <c r="DO186" s="49"/>
      <c r="DP186" s="49"/>
      <c r="DQ186" s="49"/>
      <c r="DR186" s="49"/>
      <c r="DS186" s="49"/>
      <c r="DT186" s="49"/>
      <c r="DU186" s="49"/>
      <c r="DV186" s="49"/>
      <c r="DW186" s="49"/>
      <c r="DX186" s="49"/>
      <c r="DY186" s="49"/>
      <c r="DZ186" s="122"/>
      <c r="EA186" s="122"/>
      <c r="EB186" s="122"/>
    </row>
    <row r="187" spans="3:132">
      <c r="V187" s="276"/>
      <c r="X187" s="279"/>
      <c r="Y187" s="279"/>
      <c r="Z187" s="276"/>
    </row>
    <row r="188" spans="3:132">
      <c r="V188" s="276"/>
      <c r="X188" s="285"/>
      <c r="Y188" s="276"/>
      <c r="Z188" s="276"/>
      <c r="AA188" s="285"/>
    </row>
    <row r="189" spans="3:132">
      <c r="V189" s="415"/>
      <c r="X189" s="279"/>
      <c r="Y189" s="282"/>
      <c r="Z189" s="276"/>
    </row>
    <row r="190" spans="3:132">
      <c r="U190" s="275"/>
      <c r="V190" s="275"/>
      <c r="W190" s="275"/>
      <c r="X190" s="275"/>
      <c r="Y190" s="275"/>
      <c r="Z190" s="275"/>
      <c r="AA190" s="275"/>
    </row>
    <row r="191" spans="3:132">
      <c r="Y191" s="276"/>
      <c r="Z191" s="276"/>
    </row>
    <row r="192" spans="3:132">
      <c r="X192" s="415"/>
      <c r="Y192" s="276"/>
    </row>
    <row r="193" spans="24:25">
      <c r="X193" s="276"/>
      <c r="Y193" s="276"/>
    </row>
    <row r="194" spans="24:25">
      <c r="X194" s="276"/>
    </row>
  </sheetData>
  <mergeCells count="1">
    <mergeCell ref="BW4:CB4"/>
  </mergeCells>
  <pageMargins left="0.7" right="0.7" top="0.75" bottom="0.75" header="0.3" footer="0.3"/>
  <pageSetup paperSize="9" scale="60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671B9-63DE-44DB-BE98-BEC875EB79CC}">
  <dimension ref="A1:EA88"/>
  <sheetViews>
    <sheetView workbookViewId="0">
      <pane xSplit="8" ySplit="3" topLeftCell="BD70" activePane="bottomRight" state="frozen"/>
      <selection pane="topRight" activeCell="I1" sqref="I1"/>
      <selection pane="bottomLeft" activeCell="A4" sqref="A4"/>
      <selection pane="bottomRight" activeCell="BM70" sqref="BM70"/>
    </sheetView>
  </sheetViews>
  <sheetFormatPr defaultRowHeight="14.4"/>
  <cols>
    <col min="3" max="3" width="6.109375" customWidth="1"/>
    <col min="7" max="7" width="5.5546875" customWidth="1"/>
    <col min="9" max="9" width="12.6640625" customWidth="1"/>
    <col min="10" max="12" width="0" hidden="1" customWidth="1"/>
    <col min="13" max="13" width="25.6640625" hidden="1" customWidth="1"/>
    <col min="14" max="14" width="41" hidden="1" customWidth="1"/>
    <col min="15" max="15" width="11.109375" bestFit="1" customWidth="1"/>
    <col min="17" max="17" width="11.109375" bestFit="1" customWidth="1"/>
    <col min="18" max="18" width="25.6640625" bestFit="1" customWidth="1"/>
    <col min="19" max="19" width="41" bestFit="1" customWidth="1"/>
    <col min="20" max="20" width="12" bestFit="1" customWidth="1"/>
    <col min="21" max="21" width="3.33203125" customWidth="1"/>
    <col min="22" max="22" width="12.6640625" customWidth="1"/>
    <col min="23" max="23" width="10.109375" customWidth="1"/>
    <col min="26" max="54" width="0" hidden="1" customWidth="1"/>
    <col min="55" max="55" width="12" bestFit="1" customWidth="1"/>
    <col min="57" max="59" width="9.88671875" bestFit="1" customWidth="1"/>
    <col min="65" max="65" width="9.88671875" bestFit="1" customWidth="1"/>
    <col min="69" max="69" width="11.109375" bestFit="1" customWidth="1"/>
    <col min="70" max="70" width="13.33203125" bestFit="1" customWidth="1"/>
    <col min="71" max="71" width="9.88671875" bestFit="1" customWidth="1"/>
    <col min="72" max="72" width="12" bestFit="1" customWidth="1"/>
    <col min="79" max="79" width="0" hidden="1" customWidth="1"/>
    <col min="81" max="81" width="0" hidden="1" customWidth="1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3">
        <v>0.7</v>
      </c>
      <c r="BV1" s="2"/>
      <c r="BW1" s="2"/>
      <c r="BX1" s="2"/>
      <c r="BY1" s="2"/>
      <c r="BZ1" s="1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6.75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287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32" customFormat="1">
      <c r="A4" s="123" t="s">
        <v>758</v>
      </c>
      <c r="B4" s="12"/>
      <c r="C4" s="124"/>
      <c r="D4" s="14"/>
      <c r="E4" s="14"/>
      <c r="F4" s="125"/>
      <c r="G4" s="126"/>
      <c r="H4" s="17"/>
      <c r="I4" s="18"/>
      <c r="J4" s="17"/>
      <c r="K4" s="17"/>
      <c r="L4" s="12"/>
      <c r="M4" s="12"/>
      <c r="N4" s="12"/>
      <c r="O4" s="20"/>
      <c r="P4" s="20"/>
      <c r="Q4" s="21"/>
      <c r="R4" s="127"/>
      <c r="S4" s="127"/>
      <c r="T4" s="29"/>
      <c r="U4" s="128"/>
      <c r="V4" s="29"/>
      <c r="W4" s="23"/>
      <c r="X4" s="26"/>
      <c r="Y4" s="27"/>
      <c r="Z4" s="28"/>
      <c r="AA4" s="28"/>
      <c r="AB4" s="28"/>
      <c r="AC4" s="28"/>
      <c r="AD4" s="28"/>
      <c r="AE4" s="29"/>
      <c r="AF4" s="29"/>
      <c r="AG4" s="29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9"/>
      <c r="AZ4" s="29"/>
      <c r="BA4" s="29"/>
      <c r="BB4" s="29"/>
      <c r="BC4" s="29"/>
      <c r="BD4" s="30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31"/>
      <c r="BQ4" s="29"/>
      <c r="BR4" s="29"/>
      <c r="BS4" s="29"/>
      <c r="BT4" s="31"/>
      <c r="BU4" s="28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8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  <c r="CT4" s="29"/>
      <c r="CU4" s="29"/>
      <c r="CV4" s="29"/>
      <c r="CW4" s="29"/>
      <c r="CX4" s="29"/>
      <c r="CY4" s="29"/>
      <c r="CZ4" s="29"/>
      <c r="DA4" s="29"/>
      <c r="DB4" s="29"/>
      <c r="DC4" s="29"/>
      <c r="DD4" s="29"/>
      <c r="DE4" s="29"/>
      <c r="DF4" s="29"/>
      <c r="DG4" s="29"/>
      <c r="DH4" s="29"/>
      <c r="DI4" s="29"/>
      <c r="DJ4" s="29"/>
      <c r="DK4" s="29"/>
      <c r="DL4" s="29"/>
      <c r="DM4" s="29"/>
      <c r="DN4" s="29"/>
      <c r="DO4" s="29"/>
      <c r="DP4" s="29"/>
      <c r="DQ4" s="29"/>
      <c r="DR4" s="29"/>
      <c r="DS4" s="29"/>
      <c r="DT4" s="29"/>
      <c r="DU4" s="29"/>
      <c r="DV4" s="29"/>
      <c r="DW4" s="29"/>
      <c r="DX4" s="28"/>
      <c r="DY4" s="28"/>
      <c r="DZ4" s="28"/>
      <c r="EA4" s="44"/>
    </row>
    <row r="5" spans="1:131" s="32" customFormat="1">
      <c r="A5" s="33">
        <v>44209</v>
      </c>
      <c r="B5" s="34" t="s">
        <v>759</v>
      </c>
      <c r="C5" s="286" t="s">
        <v>11</v>
      </c>
      <c r="D5" s="36">
        <v>0.48749999999999999</v>
      </c>
      <c r="E5" s="36">
        <v>0.49236111111111108</v>
      </c>
      <c r="F5" s="37" t="s">
        <v>0</v>
      </c>
      <c r="G5" s="38">
        <v>1</v>
      </c>
      <c r="H5" s="39">
        <v>713</v>
      </c>
      <c r="I5" s="51" t="str">
        <f>VLOOKUP(H5,'[2]Chart of accounts'!A:H,2,FALSE)</f>
        <v>50102020 00</v>
      </c>
      <c r="J5" s="39"/>
      <c r="K5" s="39"/>
      <c r="L5" s="34"/>
      <c r="M5" s="34"/>
      <c r="N5" s="34"/>
      <c r="O5" s="53" t="s">
        <v>1</v>
      </c>
      <c r="P5" s="53" t="s">
        <v>1</v>
      </c>
      <c r="Q5" s="57" t="s">
        <v>2</v>
      </c>
      <c r="R5" s="42" t="s">
        <v>6</v>
      </c>
      <c r="S5" s="42" t="s">
        <v>760</v>
      </c>
      <c r="T5" s="43">
        <v>9000</v>
      </c>
      <c r="U5" s="52"/>
      <c r="V5" s="43">
        <v>9000</v>
      </c>
      <c r="W5" s="44"/>
      <c r="X5" s="59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3">
        <v>9000</v>
      </c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43">
        <v>9000</v>
      </c>
      <c r="BU5" s="47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7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32" customFormat="1">
      <c r="A6" s="33">
        <v>44209</v>
      </c>
      <c r="B6" s="34" t="s">
        <v>759</v>
      </c>
      <c r="C6" s="286" t="s">
        <v>11</v>
      </c>
      <c r="D6" s="36">
        <v>0.48749999999999999</v>
      </c>
      <c r="E6" s="36">
        <v>0.49236111111111108</v>
      </c>
      <c r="F6" s="37" t="s">
        <v>0</v>
      </c>
      <c r="G6" s="38">
        <v>1</v>
      </c>
      <c r="H6" s="39">
        <v>714</v>
      </c>
      <c r="I6" s="51" t="str">
        <f>VLOOKUP(H6,'[2]Chart of accounts'!A:H,2,FALSE)</f>
        <v>50102030 01</v>
      </c>
      <c r="J6" s="39"/>
      <c r="K6" s="39"/>
      <c r="L6" s="34"/>
      <c r="M6" s="34"/>
      <c r="N6" s="34"/>
      <c r="O6" s="53" t="s">
        <v>1</v>
      </c>
      <c r="P6" s="53" t="s">
        <v>1</v>
      </c>
      <c r="Q6" s="57" t="s">
        <v>2</v>
      </c>
      <c r="R6" s="42" t="s">
        <v>6</v>
      </c>
      <c r="S6" s="42" t="s">
        <v>760</v>
      </c>
      <c r="T6" s="43">
        <v>9000</v>
      </c>
      <c r="U6" s="52"/>
      <c r="V6" s="43">
        <v>9000</v>
      </c>
      <c r="W6" s="44"/>
      <c r="X6" s="59"/>
      <c r="Y6" s="46"/>
      <c r="Z6" s="47"/>
      <c r="AA6" s="47"/>
      <c r="AB6" s="47"/>
      <c r="AC6" s="47"/>
      <c r="AD6" s="47"/>
      <c r="AE6" s="44"/>
      <c r="AF6" s="44"/>
      <c r="AG6" s="44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4"/>
      <c r="AZ6" s="44"/>
      <c r="BA6" s="44"/>
      <c r="BB6" s="44"/>
      <c r="BC6" s="44"/>
      <c r="BD6" s="48"/>
      <c r="BE6" s="44"/>
      <c r="BG6" s="43">
        <v>9000</v>
      </c>
      <c r="BH6" s="44"/>
      <c r="BI6" s="44"/>
      <c r="BJ6" s="44"/>
      <c r="BK6" s="44"/>
      <c r="BL6" s="44"/>
      <c r="BM6" s="44"/>
      <c r="BN6" s="44"/>
      <c r="BO6" s="44"/>
      <c r="BP6" s="49"/>
      <c r="BQ6" s="44"/>
      <c r="BR6" s="44"/>
      <c r="BS6" s="44"/>
      <c r="BT6" s="43">
        <v>9000</v>
      </c>
      <c r="BU6" s="47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7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7"/>
      <c r="DY6" s="47"/>
      <c r="DZ6" s="47"/>
    </row>
    <row r="7" spans="1:131" s="32" customFormat="1">
      <c r="A7" s="33">
        <v>44209</v>
      </c>
      <c r="B7" s="34" t="s">
        <v>759</v>
      </c>
      <c r="C7" s="286" t="s">
        <v>11</v>
      </c>
      <c r="D7" s="36">
        <v>0.48749999999999999</v>
      </c>
      <c r="E7" s="36">
        <v>0.49236111111111108</v>
      </c>
      <c r="F7" s="37" t="s">
        <v>0</v>
      </c>
      <c r="G7" s="38">
        <v>1</v>
      </c>
      <c r="H7" s="39">
        <v>713</v>
      </c>
      <c r="I7" s="51" t="str">
        <f>VLOOKUP(H7,'[2]Chart of accounts'!A:H,2,FALSE)</f>
        <v>50102020 00</v>
      </c>
      <c r="J7" s="39"/>
      <c r="K7" s="39"/>
      <c r="L7" s="34"/>
      <c r="M7" s="34"/>
      <c r="N7" s="34"/>
      <c r="O7" s="53" t="s">
        <v>1</v>
      </c>
      <c r="P7" s="53" t="s">
        <v>1</v>
      </c>
      <c r="Q7" s="57" t="s">
        <v>2</v>
      </c>
      <c r="R7" s="42" t="s">
        <v>796</v>
      </c>
      <c r="S7" s="42" t="s">
        <v>760</v>
      </c>
      <c r="T7" s="43">
        <v>8500</v>
      </c>
      <c r="U7" s="52"/>
      <c r="V7" s="43">
        <v>8500</v>
      </c>
      <c r="W7" s="44"/>
      <c r="X7" s="59"/>
      <c r="Y7" s="46"/>
      <c r="Z7" s="47"/>
      <c r="AA7" s="47"/>
      <c r="AB7" s="47"/>
      <c r="AC7" s="47"/>
      <c r="AD7" s="47"/>
      <c r="AE7" s="44"/>
      <c r="AF7" s="44"/>
      <c r="AG7" s="44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4"/>
      <c r="AZ7" s="44"/>
      <c r="BA7" s="44"/>
      <c r="BB7" s="44"/>
      <c r="BC7" s="44"/>
      <c r="BD7" s="48"/>
      <c r="BE7" s="44"/>
      <c r="BF7" s="43">
        <v>8500</v>
      </c>
      <c r="BG7" s="44"/>
      <c r="BH7" s="44"/>
      <c r="BI7" s="44"/>
      <c r="BJ7" s="44"/>
      <c r="BK7" s="44"/>
      <c r="BL7" s="44"/>
      <c r="BM7" s="44"/>
      <c r="BN7" s="44"/>
      <c r="BO7" s="44"/>
      <c r="BP7" s="49"/>
      <c r="BQ7" s="44"/>
      <c r="BR7" s="44"/>
      <c r="BS7" s="44"/>
      <c r="BT7" s="43">
        <v>8500</v>
      </c>
      <c r="BU7" s="47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7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7"/>
      <c r="DY7" s="47"/>
      <c r="DZ7" s="47"/>
    </row>
    <row r="8" spans="1:131" s="32" customFormat="1">
      <c r="A8" s="33">
        <v>44209</v>
      </c>
      <c r="B8" s="34" t="s">
        <v>759</v>
      </c>
      <c r="C8" s="286" t="s">
        <v>11</v>
      </c>
      <c r="D8" s="36">
        <v>0.48749999999999999</v>
      </c>
      <c r="E8" s="36">
        <v>0.49236111111111108</v>
      </c>
      <c r="F8" s="37" t="s">
        <v>0</v>
      </c>
      <c r="G8" s="38">
        <v>1</v>
      </c>
      <c r="H8" s="39">
        <v>714</v>
      </c>
      <c r="I8" s="51" t="str">
        <f>VLOOKUP(H8,'[2]Chart of accounts'!A:H,2,FALSE)</f>
        <v>50102030 01</v>
      </c>
      <c r="J8" s="39"/>
      <c r="K8" s="39"/>
      <c r="L8" s="34"/>
      <c r="M8" s="34"/>
      <c r="N8" s="34"/>
      <c r="O8" s="53" t="s">
        <v>1</v>
      </c>
      <c r="P8" s="53" t="s">
        <v>1</v>
      </c>
      <c r="Q8" s="57" t="s">
        <v>2</v>
      </c>
      <c r="R8" s="42" t="s">
        <v>796</v>
      </c>
      <c r="S8" s="42" t="s">
        <v>760</v>
      </c>
      <c r="T8" s="43">
        <v>8500</v>
      </c>
      <c r="U8" s="52"/>
      <c r="V8" s="43">
        <v>8500</v>
      </c>
      <c r="W8" s="44"/>
      <c r="X8" s="59"/>
      <c r="Y8" s="46"/>
      <c r="Z8" s="47"/>
      <c r="AA8" s="47"/>
      <c r="AB8" s="47"/>
      <c r="AC8" s="47"/>
      <c r="AD8" s="47"/>
      <c r="AE8" s="44"/>
      <c r="AF8" s="44"/>
      <c r="AG8" s="44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4"/>
      <c r="AZ8" s="44"/>
      <c r="BA8" s="44"/>
      <c r="BB8" s="44"/>
      <c r="BC8" s="44"/>
      <c r="BD8" s="48"/>
      <c r="BE8" s="44"/>
      <c r="BG8" s="43">
        <v>8500</v>
      </c>
      <c r="BH8" s="44"/>
      <c r="BI8" s="44"/>
      <c r="BJ8" s="44"/>
      <c r="BK8" s="44"/>
      <c r="BL8" s="44"/>
      <c r="BM8" s="44"/>
      <c r="BN8" s="44"/>
      <c r="BO8" s="44"/>
      <c r="BP8" s="49"/>
      <c r="BQ8" s="44"/>
      <c r="BR8" s="44"/>
      <c r="BS8" s="44"/>
      <c r="BT8" s="43">
        <v>8500</v>
      </c>
      <c r="BU8" s="47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7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7"/>
      <c r="DY8" s="47"/>
      <c r="DZ8" s="47"/>
    </row>
    <row r="9" spans="1:131" s="32" customFormat="1">
      <c r="A9" s="33">
        <v>44209</v>
      </c>
      <c r="B9" s="34" t="s">
        <v>759</v>
      </c>
      <c r="C9" s="286" t="s">
        <v>11</v>
      </c>
      <c r="D9" s="36">
        <v>0.48749999999999999</v>
      </c>
      <c r="E9" s="36">
        <v>0.49236111111111108</v>
      </c>
      <c r="F9" s="37" t="s">
        <v>0</v>
      </c>
      <c r="G9" s="38">
        <v>1</v>
      </c>
      <c r="H9" s="39">
        <v>713</v>
      </c>
      <c r="I9" s="51" t="str">
        <f>VLOOKUP(H9,'[2]Chart of accounts'!A:H,2,FALSE)</f>
        <v>50102020 00</v>
      </c>
      <c r="J9" s="39"/>
      <c r="K9" s="39"/>
      <c r="L9" s="34"/>
      <c r="M9" s="34"/>
      <c r="N9" s="34"/>
      <c r="O9" s="53" t="s">
        <v>1</v>
      </c>
      <c r="P9" s="53" t="s">
        <v>1</v>
      </c>
      <c r="Q9" s="57" t="s">
        <v>2</v>
      </c>
      <c r="R9" s="42" t="s">
        <v>797</v>
      </c>
      <c r="S9" s="42" t="s">
        <v>760</v>
      </c>
      <c r="T9" s="43">
        <v>5000</v>
      </c>
      <c r="U9" s="52"/>
      <c r="V9" s="43">
        <v>5000</v>
      </c>
      <c r="W9" s="44"/>
      <c r="X9" s="59"/>
      <c r="Y9" s="46"/>
      <c r="Z9" s="47"/>
      <c r="AA9" s="47"/>
      <c r="AB9" s="47"/>
      <c r="AC9" s="47"/>
      <c r="AD9" s="47"/>
      <c r="AE9" s="44"/>
      <c r="AF9" s="44"/>
      <c r="AG9" s="44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4"/>
      <c r="AZ9" s="44"/>
      <c r="BA9" s="44"/>
      <c r="BB9" s="44"/>
      <c r="BC9" s="44"/>
      <c r="BD9" s="48"/>
      <c r="BE9" s="44"/>
      <c r="BF9" s="43">
        <v>5000</v>
      </c>
      <c r="BG9" s="44"/>
      <c r="BH9" s="44"/>
      <c r="BI9" s="44"/>
      <c r="BJ9" s="44"/>
      <c r="BK9" s="44"/>
      <c r="BL9" s="44"/>
      <c r="BM9" s="44"/>
      <c r="BN9" s="44"/>
      <c r="BO9" s="44"/>
      <c r="BP9" s="49"/>
      <c r="BQ9" s="44"/>
      <c r="BR9" s="44"/>
      <c r="BS9" s="44"/>
      <c r="BT9" s="43">
        <v>5000</v>
      </c>
      <c r="BU9" s="47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7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7"/>
      <c r="DY9" s="47"/>
      <c r="DZ9" s="47"/>
    </row>
    <row r="10" spans="1:131" s="32" customFormat="1">
      <c r="A10" s="33">
        <v>44209</v>
      </c>
      <c r="B10" s="34" t="s">
        <v>759</v>
      </c>
      <c r="C10" s="286" t="s">
        <v>11</v>
      </c>
      <c r="D10" s="36">
        <v>0.48749999999999999</v>
      </c>
      <c r="E10" s="36">
        <v>0.49236111111111108</v>
      </c>
      <c r="F10" s="37" t="s">
        <v>0</v>
      </c>
      <c r="G10" s="38">
        <v>1</v>
      </c>
      <c r="H10" s="39">
        <v>714</v>
      </c>
      <c r="I10" s="51" t="str">
        <f>VLOOKUP(H10,'[2]Chart of accounts'!A:H,2,FALSE)</f>
        <v>50102030 01</v>
      </c>
      <c r="J10" s="39"/>
      <c r="K10" s="39"/>
      <c r="L10" s="34"/>
      <c r="M10" s="34"/>
      <c r="N10" s="34"/>
      <c r="O10" s="53" t="s">
        <v>1</v>
      </c>
      <c r="P10" s="53" t="s">
        <v>1</v>
      </c>
      <c r="Q10" s="57" t="s">
        <v>2</v>
      </c>
      <c r="R10" s="42" t="s">
        <v>797</v>
      </c>
      <c r="S10" s="42" t="s">
        <v>760</v>
      </c>
      <c r="T10" s="43">
        <v>5000</v>
      </c>
      <c r="U10" s="52"/>
      <c r="V10" s="43">
        <v>5000</v>
      </c>
      <c r="W10" s="44"/>
      <c r="X10" s="59"/>
      <c r="Y10" s="46"/>
      <c r="Z10" s="47"/>
      <c r="AA10" s="47"/>
      <c r="AB10" s="47"/>
      <c r="AC10" s="47"/>
      <c r="AD10" s="47"/>
      <c r="AE10" s="44"/>
      <c r="AF10" s="44"/>
      <c r="AG10" s="44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4"/>
      <c r="AZ10" s="44"/>
      <c r="BA10" s="44"/>
      <c r="BB10" s="44"/>
      <c r="BC10" s="44"/>
      <c r="BD10" s="48"/>
      <c r="BE10" s="44"/>
      <c r="BG10" s="43">
        <v>5000</v>
      </c>
      <c r="BH10" s="44"/>
      <c r="BI10" s="44"/>
      <c r="BJ10" s="44"/>
      <c r="BK10" s="44"/>
      <c r="BL10" s="44"/>
      <c r="BM10" s="44"/>
      <c r="BN10" s="44"/>
      <c r="BO10" s="44"/>
      <c r="BP10" s="49"/>
      <c r="BQ10" s="44"/>
      <c r="BR10" s="44"/>
      <c r="BS10" s="44"/>
      <c r="BT10" s="43">
        <v>5000</v>
      </c>
      <c r="BU10" s="47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7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7"/>
      <c r="DY10" s="47"/>
      <c r="DZ10" s="47"/>
    </row>
    <row r="11" spans="1:131" s="32" customFormat="1">
      <c r="A11" s="33">
        <v>44209</v>
      </c>
      <c r="B11" s="34" t="s">
        <v>759</v>
      </c>
      <c r="C11" s="286" t="s">
        <v>11</v>
      </c>
      <c r="D11" s="36">
        <v>0.48749999999999999</v>
      </c>
      <c r="E11" s="36">
        <v>0.49236111111111108</v>
      </c>
      <c r="F11" s="37" t="s">
        <v>0</v>
      </c>
      <c r="G11" s="38">
        <v>1</v>
      </c>
      <c r="H11" s="39">
        <v>713</v>
      </c>
      <c r="I11" s="51" t="str">
        <f>VLOOKUP(H11,'[2]Chart of accounts'!A:H,2,FALSE)</f>
        <v>50102020 00</v>
      </c>
      <c r="J11" s="39"/>
      <c r="K11" s="39"/>
      <c r="L11" s="34"/>
      <c r="M11" s="34"/>
      <c r="N11" s="34"/>
      <c r="O11" s="53" t="s">
        <v>1</v>
      </c>
      <c r="P11" s="53" t="s">
        <v>1</v>
      </c>
      <c r="Q11" s="57" t="s">
        <v>2</v>
      </c>
      <c r="R11" s="42" t="s">
        <v>798</v>
      </c>
      <c r="S11" s="42" t="s">
        <v>760</v>
      </c>
      <c r="T11" s="43">
        <v>5000</v>
      </c>
      <c r="U11" s="52"/>
      <c r="V11" s="43">
        <v>5000</v>
      </c>
      <c r="W11" s="44"/>
      <c r="X11" s="59"/>
      <c r="Y11" s="46"/>
      <c r="Z11" s="47"/>
      <c r="AA11" s="47"/>
      <c r="AB11" s="47"/>
      <c r="AC11" s="47"/>
      <c r="AD11" s="47"/>
      <c r="AE11" s="44"/>
      <c r="AF11" s="44"/>
      <c r="AG11" s="44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4"/>
      <c r="AZ11" s="44"/>
      <c r="BA11" s="44"/>
      <c r="BB11" s="44"/>
      <c r="BC11" s="44"/>
      <c r="BD11" s="48"/>
      <c r="BE11" s="44"/>
      <c r="BF11" s="43">
        <v>5000</v>
      </c>
      <c r="BG11" s="44"/>
      <c r="BH11" s="44"/>
      <c r="BI11" s="44"/>
      <c r="BJ11" s="44"/>
      <c r="BK11" s="44"/>
      <c r="BL11" s="44"/>
      <c r="BM11" s="44"/>
      <c r="BN11" s="44"/>
      <c r="BO11" s="44"/>
      <c r="BP11" s="49"/>
      <c r="BQ11" s="44"/>
      <c r="BR11" s="44"/>
      <c r="BS11" s="44"/>
      <c r="BT11" s="43">
        <v>5000</v>
      </c>
      <c r="BU11" s="47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7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47"/>
      <c r="DY11" s="47"/>
      <c r="DZ11" s="47"/>
    </row>
    <row r="12" spans="1:131" s="32" customFormat="1">
      <c r="A12" s="33">
        <v>44209</v>
      </c>
      <c r="B12" s="34" t="s">
        <v>759</v>
      </c>
      <c r="C12" s="286" t="s">
        <v>11</v>
      </c>
      <c r="D12" s="36">
        <v>0.48749999999999999</v>
      </c>
      <c r="E12" s="36">
        <v>0.49236111111111108</v>
      </c>
      <c r="F12" s="37" t="s">
        <v>0</v>
      </c>
      <c r="G12" s="38">
        <v>1</v>
      </c>
      <c r="H12" s="39">
        <v>714</v>
      </c>
      <c r="I12" s="51" t="str">
        <f>VLOOKUP(H12,'[2]Chart of accounts'!A:H,2,FALSE)</f>
        <v>50102030 01</v>
      </c>
      <c r="J12" s="39"/>
      <c r="K12" s="39"/>
      <c r="L12" s="34"/>
      <c r="M12" s="34"/>
      <c r="N12" s="34"/>
      <c r="O12" s="53" t="s">
        <v>1</v>
      </c>
      <c r="P12" s="53" t="s">
        <v>1</v>
      </c>
      <c r="Q12" s="57" t="s">
        <v>2</v>
      </c>
      <c r="R12" s="42" t="s">
        <v>798</v>
      </c>
      <c r="S12" s="42" t="s">
        <v>760</v>
      </c>
      <c r="T12" s="43">
        <v>5000</v>
      </c>
      <c r="U12" s="52"/>
      <c r="V12" s="43">
        <v>5000</v>
      </c>
      <c r="W12" s="44"/>
      <c r="X12" s="59"/>
      <c r="Y12" s="46"/>
      <c r="Z12" s="47"/>
      <c r="AA12" s="47"/>
      <c r="AB12" s="47"/>
      <c r="AC12" s="47"/>
      <c r="AD12" s="47"/>
      <c r="AE12" s="44"/>
      <c r="AF12" s="44"/>
      <c r="AG12" s="44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4"/>
      <c r="AZ12" s="44"/>
      <c r="BA12" s="44"/>
      <c r="BB12" s="44"/>
      <c r="BC12" s="44"/>
      <c r="BD12" s="48"/>
      <c r="BE12" s="44"/>
      <c r="BG12" s="43">
        <v>5000</v>
      </c>
      <c r="BH12" s="44"/>
      <c r="BI12" s="44"/>
      <c r="BJ12" s="44"/>
      <c r="BK12" s="44"/>
      <c r="BL12" s="44"/>
      <c r="BM12" s="44"/>
      <c r="BN12" s="44"/>
      <c r="BO12" s="44"/>
      <c r="BP12" s="49"/>
      <c r="BQ12" s="44"/>
      <c r="BR12" s="44"/>
      <c r="BS12" s="44"/>
      <c r="BT12" s="43">
        <v>5000</v>
      </c>
      <c r="BU12" s="47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7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47"/>
      <c r="DY12" s="47"/>
      <c r="DZ12" s="47"/>
    </row>
    <row r="13" spans="1:131" s="32" customFormat="1">
      <c r="A13" s="33">
        <v>44209</v>
      </c>
      <c r="B13" s="34" t="s">
        <v>759</v>
      </c>
      <c r="C13" s="286" t="s">
        <v>11</v>
      </c>
      <c r="D13" s="36">
        <v>0.48749999999999999</v>
      </c>
      <c r="E13" s="36">
        <v>0.49236111111111108</v>
      </c>
      <c r="F13" s="37" t="s">
        <v>0</v>
      </c>
      <c r="G13" s="38">
        <v>1</v>
      </c>
      <c r="H13" s="39">
        <v>713</v>
      </c>
      <c r="I13" s="51" t="str">
        <f>VLOOKUP(H13,'[2]Chart of accounts'!A:H,2,FALSE)</f>
        <v>50102020 00</v>
      </c>
      <c r="J13" s="39"/>
      <c r="K13" s="39"/>
      <c r="L13" s="34"/>
      <c r="M13" s="34"/>
      <c r="N13" s="34"/>
      <c r="O13" s="53" t="s">
        <v>1</v>
      </c>
      <c r="P13" s="53" t="s">
        <v>1</v>
      </c>
      <c r="Q13" s="57" t="s">
        <v>2</v>
      </c>
      <c r="R13" s="42" t="s">
        <v>799</v>
      </c>
      <c r="S13" s="42" t="s">
        <v>760</v>
      </c>
      <c r="T13" s="43">
        <v>5000</v>
      </c>
      <c r="U13" s="52"/>
      <c r="V13" s="43">
        <v>5000</v>
      </c>
      <c r="W13" s="44"/>
      <c r="X13" s="59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3">
        <v>5000</v>
      </c>
      <c r="BG13" s="44"/>
      <c r="BH13" s="44"/>
      <c r="BI13" s="44"/>
      <c r="BJ13" s="44"/>
      <c r="BK13" s="44"/>
      <c r="BL13" s="44"/>
      <c r="BM13" s="44"/>
      <c r="BN13" s="44"/>
      <c r="BO13" s="44"/>
      <c r="BP13" s="49"/>
      <c r="BQ13" s="44"/>
      <c r="BR13" s="44"/>
      <c r="BS13" s="44"/>
      <c r="BT13" s="43">
        <v>5000</v>
      </c>
      <c r="BU13" s="47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</row>
    <row r="14" spans="1:131" s="32" customFormat="1">
      <c r="A14" s="33">
        <v>44209</v>
      </c>
      <c r="B14" s="34" t="s">
        <v>759</v>
      </c>
      <c r="C14" s="286" t="s">
        <v>11</v>
      </c>
      <c r="D14" s="36">
        <v>0.48749999999999999</v>
      </c>
      <c r="E14" s="36">
        <v>0.49236111111111108</v>
      </c>
      <c r="F14" s="37" t="s">
        <v>0</v>
      </c>
      <c r="G14" s="38">
        <v>1</v>
      </c>
      <c r="H14" s="39">
        <v>714</v>
      </c>
      <c r="I14" s="51" t="str">
        <f>VLOOKUP(H14,'[2]Chart of accounts'!A:H,2,FALSE)</f>
        <v>50102030 01</v>
      </c>
      <c r="J14" s="39"/>
      <c r="K14" s="39"/>
      <c r="L14" s="34"/>
      <c r="M14" s="34"/>
      <c r="N14" s="34"/>
      <c r="O14" s="53" t="s">
        <v>1</v>
      </c>
      <c r="P14" s="53" t="s">
        <v>1</v>
      </c>
      <c r="Q14" s="57" t="s">
        <v>2</v>
      </c>
      <c r="R14" s="42" t="s">
        <v>799</v>
      </c>
      <c r="S14" s="42" t="s">
        <v>760</v>
      </c>
      <c r="T14" s="43">
        <v>5000</v>
      </c>
      <c r="U14" s="52"/>
      <c r="V14" s="43">
        <v>5000</v>
      </c>
      <c r="W14" s="44"/>
      <c r="X14" s="59"/>
      <c r="Y14" s="46"/>
      <c r="Z14" s="47"/>
      <c r="AA14" s="47"/>
      <c r="AB14" s="47"/>
      <c r="AC14" s="47"/>
      <c r="AD14" s="47"/>
      <c r="AE14" s="44"/>
      <c r="AF14" s="44"/>
      <c r="AG14" s="44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4"/>
      <c r="AZ14" s="44"/>
      <c r="BA14" s="44"/>
      <c r="BB14" s="44"/>
      <c r="BC14" s="44"/>
      <c r="BD14" s="48"/>
      <c r="BE14" s="44"/>
      <c r="BG14" s="43">
        <v>5000</v>
      </c>
      <c r="BH14" s="44"/>
      <c r="BI14" s="44"/>
      <c r="BJ14" s="44"/>
      <c r="BK14" s="44"/>
      <c r="BL14" s="44"/>
      <c r="BM14" s="44"/>
      <c r="BN14" s="44"/>
      <c r="BO14" s="44"/>
      <c r="BP14" s="49"/>
      <c r="BQ14" s="44"/>
      <c r="BR14" s="44"/>
      <c r="BS14" s="44"/>
      <c r="BT14" s="43">
        <v>5000</v>
      </c>
      <c r="BU14" s="47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7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47"/>
      <c r="DY14" s="47"/>
      <c r="DZ14" s="47"/>
    </row>
    <row r="15" spans="1:131" s="32" customFormat="1">
      <c r="A15" s="33">
        <v>44209</v>
      </c>
      <c r="B15" s="34" t="s">
        <v>759</v>
      </c>
      <c r="C15" s="286" t="s">
        <v>11</v>
      </c>
      <c r="D15" s="36">
        <v>0.48749999999999999</v>
      </c>
      <c r="E15" s="36">
        <v>0.49236111111111108</v>
      </c>
      <c r="F15" s="37" t="s">
        <v>0</v>
      </c>
      <c r="G15" s="38">
        <v>1</v>
      </c>
      <c r="H15" s="39">
        <v>713</v>
      </c>
      <c r="I15" s="51" t="str">
        <f>VLOOKUP(H15,'[2]Chart of accounts'!A:H,2,FALSE)</f>
        <v>50102020 00</v>
      </c>
      <c r="J15" s="39"/>
      <c r="K15" s="39"/>
      <c r="L15" s="34"/>
      <c r="M15" s="34"/>
      <c r="N15" s="34"/>
      <c r="O15" s="53" t="s">
        <v>1</v>
      </c>
      <c r="P15" s="53" t="s">
        <v>1</v>
      </c>
      <c r="Q15" s="57" t="s">
        <v>2</v>
      </c>
      <c r="R15" s="42" t="s">
        <v>800</v>
      </c>
      <c r="S15" s="42" t="s">
        <v>760</v>
      </c>
      <c r="T15" s="43">
        <v>5000</v>
      </c>
      <c r="U15" s="52"/>
      <c r="V15" s="43">
        <v>5000</v>
      </c>
      <c r="W15" s="44"/>
      <c r="X15" s="59"/>
      <c r="Y15" s="46"/>
      <c r="Z15" s="47"/>
      <c r="AA15" s="47"/>
      <c r="AB15" s="47"/>
      <c r="AC15" s="47"/>
      <c r="AD15" s="47"/>
      <c r="AE15" s="44"/>
      <c r="AF15" s="44"/>
      <c r="AG15" s="44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4"/>
      <c r="AZ15" s="44"/>
      <c r="BA15" s="44"/>
      <c r="BB15" s="44"/>
      <c r="BC15" s="44"/>
      <c r="BD15" s="48"/>
      <c r="BE15" s="44"/>
      <c r="BF15" s="43">
        <v>5000</v>
      </c>
      <c r="BG15" s="44"/>
      <c r="BH15" s="44"/>
      <c r="BI15" s="44"/>
      <c r="BJ15" s="44"/>
      <c r="BK15" s="44"/>
      <c r="BL15" s="44"/>
      <c r="BM15" s="44"/>
      <c r="BN15" s="44"/>
      <c r="BO15" s="44"/>
      <c r="BP15" s="49"/>
      <c r="BQ15" s="44"/>
      <c r="BR15" s="44"/>
      <c r="BS15" s="44"/>
      <c r="BT15" s="43">
        <v>5000</v>
      </c>
      <c r="BU15" s="47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47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47"/>
      <c r="DY15" s="47"/>
      <c r="DZ15" s="47"/>
    </row>
    <row r="16" spans="1:131" s="32" customFormat="1">
      <c r="A16" s="33">
        <v>44209</v>
      </c>
      <c r="B16" s="34" t="s">
        <v>759</v>
      </c>
      <c r="C16" s="286" t="s">
        <v>11</v>
      </c>
      <c r="D16" s="36">
        <v>0.48749999999999999</v>
      </c>
      <c r="E16" s="36">
        <v>0.49236111111111108</v>
      </c>
      <c r="F16" s="37" t="s">
        <v>0</v>
      </c>
      <c r="G16" s="38">
        <v>1</v>
      </c>
      <c r="H16" s="39">
        <v>714</v>
      </c>
      <c r="I16" s="51" t="str">
        <f>VLOOKUP(H16,'[2]Chart of accounts'!A:H,2,FALSE)</f>
        <v>50102030 01</v>
      </c>
      <c r="J16" s="39"/>
      <c r="K16" s="39"/>
      <c r="L16" s="34"/>
      <c r="M16" s="34"/>
      <c r="N16" s="34"/>
      <c r="O16" s="53" t="s">
        <v>1</v>
      </c>
      <c r="P16" s="53" t="s">
        <v>1</v>
      </c>
      <c r="Q16" s="57" t="s">
        <v>2</v>
      </c>
      <c r="R16" s="42" t="s">
        <v>800</v>
      </c>
      <c r="S16" s="42" t="s">
        <v>760</v>
      </c>
      <c r="T16" s="43">
        <v>5000</v>
      </c>
      <c r="U16" s="52"/>
      <c r="V16" s="43">
        <v>5000</v>
      </c>
      <c r="W16" s="44"/>
      <c r="X16" s="59"/>
      <c r="Y16" s="46"/>
      <c r="Z16" s="47"/>
      <c r="AA16" s="47"/>
      <c r="AB16" s="47"/>
      <c r="AC16" s="47"/>
      <c r="AD16" s="47"/>
      <c r="AE16" s="44"/>
      <c r="AF16" s="44"/>
      <c r="AG16" s="44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4"/>
      <c r="AZ16" s="44"/>
      <c r="BA16" s="44"/>
      <c r="BB16" s="44"/>
      <c r="BC16" s="44"/>
      <c r="BD16" s="48"/>
      <c r="BE16" s="44"/>
      <c r="BG16" s="43">
        <v>5000</v>
      </c>
      <c r="BH16" s="44"/>
      <c r="BI16" s="44"/>
      <c r="BJ16" s="44"/>
      <c r="BK16" s="44"/>
      <c r="BL16" s="44"/>
      <c r="BM16" s="44"/>
      <c r="BN16" s="44"/>
      <c r="BO16" s="44"/>
      <c r="BP16" s="49"/>
      <c r="BQ16" s="44"/>
      <c r="BR16" s="44"/>
      <c r="BS16" s="44"/>
      <c r="BT16" s="43">
        <v>5000</v>
      </c>
      <c r="BU16" s="47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47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47"/>
      <c r="DY16" s="47"/>
      <c r="DZ16" s="47"/>
    </row>
    <row r="17" spans="1:130" s="32" customFormat="1">
      <c r="A17" s="33">
        <v>44209</v>
      </c>
      <c r="B17" s="34" t="s">
        <v>759</v>
      </c>
      <c r="C17" s="286" t="s">
        <v>11</v>
      </c>
      <c r="D17" s="36">
        <v>0.48749999999999999</v>
      </c>
      <c r="E17" s="36">
        <v>0.49236111111111108</v>
      </c>
      <c r="F17" s="37" t="s">
        <v>0</v>
      </c>
      <c r="G17" s="38">
        <v>1</v>
      </c>
      <c r="H17" s="39">
        <v>713</v>
      </c>
      <c r="I17" s="51" t="str">
        <f>VLOOKUP(H17,'[2]Chart of accounts'!A:H,2,FALSE)</f>
        <v>50102020 00</v>
      </c>
      <c r="J17" s="39"/>
      <c r="K17" s="39"/>
      <c r="L17" s="34"/>
      <c r="M17" s="34"/>
      <c r="N17" s="34"/>
      <c r="O17" s="53" t="s">
        <v>1</v>
      </c>
      <c r="P17" s="53" t="s">
        <v>1</v>
      </c>
      <c r="Q17" s="57" t="s">
        <v>2</v>
      </c>
      <c r="R17" s="42" t="s">
        <v>801</v>
      </c>
      <c r="S17" s="42" t="s">
        <v>760</v>
      </c>
      <c r="T17" s="43">
        <v>7500</v>
      </c>
      <c r="U17" s="52"/>
      <c r="V17" s="43">
        <v>7500</v>
      </c>
      <c r="W17" s="44"/>
      <c r="X17" s="59"/>
      <c r="Y17" s="46"/>
      <c r="Z17" s="47"/>
      <c r="AA17" s="47"/>
      <c r="AB17" s="47"/>
      <c r="AC17" s="47"/>
      <c r="AD17" s="47"/>
      <c r="AE17" s="44"/>
      <c r="AF17" s="44"/>
      <c r="AG17" s="44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4"/>
      <c r="AZ17" s="44"/>
      <c r="BA17" s="44"/>
      <c r="BB17" s="44"/>
      <c r="BC17" s="44"/>
      <c r="BD17" s="48"/>
      <c r="BE17" s="44"/>
      <c r="BF17" s="43">
        <v>7500</v>
      </c>
      <c r="BG17" s="44"/>
      <c r="BH17" s="44"/>
      <c r="BI17" s="44"/>
      <c r="BJ17" s="44"/>
      <c r="BK17" s="44"/>
      <c r="BL17" s="44"/>
      <c r="BM17" s="44"/>
      <c r="BN17" s="44"/>
      <c r="BO17" s="44"/>
      <c r="BP17" s="49"/>
      <c r="BQ17" s="44"/>
      <c r="BR17" s="44"/>
      <c r="BS17" s="44"/>
      <c r="BT17" s="43">
        <v>7500</v>
      </c>
      <c r="BU17" s="47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47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47"/>
      <c r="DY17" s="47"/>
      <c r="DZ17" s="47"/>
    </row>
    <row r="18" spans="1:130" s="32" customFormat="1">
      <c r="A18" s="33">
        <v>44209</v>
      </c>
      <c r="B18" s="34" t="s">
        <v>759</v>
      </c>
      <c r="C18" s="286" t="s">
        <v>11</v>
      </c>
      <c r="D18" s="36">
        <v>0.48749999999999999</v>
      </c>
      <c r="E18" s="36">
        <v>0.49236111111111108</v>
      </c>
      <c r="F18" s="37" t="s">
        <v>0</v>
      </c>
      <c r="G18" s="38">
        <v>1</v>
      </c>
      <c r="H18" s="39">
        <v>714</v>
      </c>
      <c r="I18" s="51" t="str">
        <f>VLOOKUP(H18,'[2]Chart of accounts'!A:H,2,FALSE)</f>
        <v>50102030 01</v>
      </c>
      <c r="J18" s="39"/>
      <c r="K18" s="39"/>
      <c r="L18" s="34"/>
      <c r="M18" s="34"/>
      <c r="N18" s="34"/>
      <c r="O18" s="53" t="s">
        <v>1</v>
      </c>
      <c r="P18" s="53" t="s">
        <v>1</v>
      </c>
      <c r="Q18" s="57" t="s">
        <v>2</v>
      </c>
      <c r="R18" s="42" t="s">
        <v>801</v>
      </c>
      <c r="S18" s="42" t="s">
        <v>760</v>
      </c>
      <c r="T18" s="43">
        <v>7500</v>
      </c>
      <c r="U18" s="52"/>
      <c r="V18" s="43">
        <v>7500</v>
      </c>
      <c r="W18" s="44"/>
      <c r="X18" s="59"/>
      <c r="Y18" s="46"/>
      <c r="Z18" s="47"/>
      <c r="AA18" s="47"/>
      <c r="AB18" s="47"/>
      <c r="AC18" s="47"/>
      <c r="AD18" s="47"/>
      <c r="AE18" s="44"/>
      <c r="AF18" s="44"/>
      <c r="AG18" s="44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4"/>
      <c r="AZ18" s="44"/>
      <c r="BA18" s="44"/>
      <c r="BB18" s="44"/>
      <c r="BC18" s="44"/>
      <c r="BD18" s="48"/>
      <c r="BE18" s="44"/>
      <c r="BG18" s="43">
        <v>7500</v>
      </c>
      <c r="BH18" s="44"/>
      <c r="BI18" s="44"/>
      <c r="BJ18" s="44"/>
      <c r="BK18" s="44"/>
      <c r="BL18" s="44"/>
      <c r="BM18" s="44"/>
      <c r="BN18" s="44"/>
      <c r="BO18" s="44"/>
      <c r="BP18" s="49"/>
      <c r="BQ18" s="44"/>
      <c r="BR18" s="44"/>
      <c r="BS18" s="44"/>
      <c r="BT18" s="43">
        <v>7500</v>
      </c>
      <c r="BU18" s="47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7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7"/>
      <c r="DY18" s="47"/>
      <c r="DZ18" s="47"/>
    </row>
    <row r="19" spans="1:130" s="32" customFormat="1">
      <c r="A19" s="33">
        <v>44209</v>
      </c>
      <c r="B19" s="34" t="s">
        <v>759</v>
      </c>
      <c r="C19" s="286" t="s">
        <v>11</v>
      </c>
      <c r="D19" s="36">
        <v>0.48749999999999999</v>
      </c>
      <c r="E19" s="36">
        <v>0.49236111111111108</v>
      </c>
      <c r="F19" s="37" t="s">
        <v>0</v>
      </c>
      <c r="G19" s="38">
        <v>1</v>
      </c>
      <c r="H19" s="39">
        <v>713</v>
      </c>
      <c r="I19" s="51" t="str">
        <f>VLOOKUP(H19,'[2]Chart of accounts'!A:H,2,FALSE)</f>
        <v>50102020 00</v>
      </c>
      <c r="J19" s="39"/>
      <c r="K19" s="39"/>
      <c r="L19" s="34"/>
      <c r="M19" s="34"/>
      <c r="N19" s="34"/>
      <c r="O19" s="53" t="s">
        <v>1</v>
      </c>
      <c r="P19" s="53" t="s">
        <v>1</v>
      </c>
      <c r="Q19" s="57" t="s">
        <v>2</v>
      </c>
      <c r="R19" s="42" t="s">
        <v>802</v>
      </c>
      <c r="S19" s="42" t="s">
        <v>760</v>
      </c>
      <c r="T19" s="43">
        <v>5000</v>
      </c>
      <c r="U19" s="52"/>
      <c r="V19" s="43">
        <v>5000</v>
      </c>
      <c r="W19" s="44"/>
      <c r="X19" s="59"/>
      <c r="Y19" s="46"/>
      <c r="Z19" s="47"/>
      <c r="AA19" s="47"/>
      <c r="AB19" s="47"/>
      <c r="AC19" s="47"/>
      <c r="AD19" s="47"/>
      <c r="AE19" s="44"/>
      <c r="AF19" s="44"/>
      <c r="AG19" s="44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4"/>
      <c r="AZ19" s="44"/>
      <c r="BA19" s="44"/>
      <c r="BB19" s="44"/>
      <c r="BC19" s="44"/>
      <c r="BD19" s="48"/>
      <c r="BE19" s="44"/>
      <c r="BF19" s="43">
        <v>5000</v>
      </c>
      <c r="BG19" s="44"/>
      <c r="BH19" s="44"/>
      <c r="BI19" s="44"/>
      <c r="BJ19" s="44"/>
      <c r="BK19" s="44"/>
      <c r="BL19" s="44"/>
      <c r="BM19" s="44"/>
      <c r="BN19" s="44"/>
      <c r="BO19" s="44"/>
      <c r="BP19" s="49"/>
      <c r="BQ19" s="44"/>
      <c r="BR19" s="44"/>
      <c r="BS19" s="44"/>
      <c r="BT19" s="43">
        <v>5000</v>
      </c>
      <c r="BU19" s="47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47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7"/>
      <c r="DY19" s="47"/>
      <c r="DZ19" s="47"/>
    </row>
    <row r="20" spans="1:130" s="32" customFormat="1">
      <c r="A20" s="33">
        <v>44209</v>
      </c>
      <c r="B20" s="34" t="s">
        <v>759</v>
      </c>
      <c r="C20" s="286" t="s">
        <v>11</v>
      </c>
      <c r="D20" s="36">
        <v>0.48749999999999999</v>
      </c>
      <c r="E20" s="36">
        <v>0.49236111111111108</v>
      </c>
      <c r="F20" s="37" t="s">
        <v>0</v>
      </c>
      <c r="G20" s="38">
        <v>1</v>
      </c>
      <c r="H20" s="39">
        <v>714</v>
      </c>
      <c r="I20" s="51" t="str">
        <f>VLOOKUP(H20,'[2]Chart of accounts'!A:H,2,FALSE)</f>
        <v>50102030 01</v>
      </c>
      <c r="J20" s="39"/>
      <c r="K20" s="39"/>
      <c r="L20" s="34"/>
      <c r="M20" s="34"/>
      <c r="N20" s="34"/>
      <c r="O20" s="53" t="s">
        <v>1</v>
      </c>
      <c r="P20" s="53" t="s">
        <v>1</v>
      </c>
      <c r="Q20" s="57" t="s">
        <v>2</v>
      </c>
      <c r="R20" s="42" t="s">
        <v>802</v>
      </c>
      <c r="S20" s="42" t="s">
        <v>760</v>
      </c>
      <c r="T20" s="43">
        <v>5000</v>
      </c>
      <c r="U20" s="52"/>
      <c r="V20" s="43">
        <v>5000</v>
      </c>
      <c r="W20" s="44"/>
      <c r="X20" s="59"/>
      <c r="Y20" s="46"/>
      <c r="Z20" s="47"/>
      <c r="AA20" s="47"/>
      <c r="AB20" s="47"/>
      <c r="AC20" s="47"/>
      <c r="AD20" s="47"/>
      <c r="AE20" s="44"/>
      <c r="AF20" s="44"/>
      <c r="AG20" s="44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4"/>
      <c r="AZ20" s="44"/>
      <c r="BA20" s="44"/>
      <c r="BB20" s="44"/>
      <c r="BC20" s="44"/>
      <c r="BD20" s="48"/>
      <c r="BE20" s="44"/>
      <c r="BG20" s="43">
        <v>5000</v>
      </c>
      <c r="BH20" s="44"/>
      <c r="BI20" s="44"/>
      <c r="BJ20" s="44"/>
      <c r="BK20" s="44"/>
      <c r="BL20" s="44"/>
      <c r="BM20" s="44"/>
      <c r="BN20" s="44"/>
      <c r="BO20" s="44"/>
      <c r="BP20" s="49"/>
      <c r="BQ20" s="44"/>
      <c r="BR20" s="44"/>
      <c r="BS20" s="44"/>
      <c r="BT20" s="43">
        <v>5000</v>
      </c>
      <c r="BU20" s="47"/>
      <c r="BV20" s="44"/>
      <c r="BW20" s="44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7"/>
      <c r="CI20" s="44"/>
      <c r="CJ20" s="44"/>
      <c r="CK20" s="44"/>
      <c r="CL20" s="44"/>
      <c r="CM20" s="44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44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/>
      <c r="DV20" s="44"/>
      <c r="DW20" s="44"/>
      <c r="DX20" s="47"/>
      <c r="DY20" s="47"/>
      <c r="DZ20" s="47"/>
    </row>
    <row r="21" spans="1:130" s="32" customFormat="1">
      <c r="A21" s="33">
        <v>44209</v>
      </c>
      <c r="B21" s="34" t="s">
        <v>759</v>
      </c>
      <c r="C21" s="286" t="s">
        <v>11</v>
      </c>
      <c r="D21" s="36">
        <v>0.48749999999999999</v>
      </c>
      <c r="E21" s="36">
        <v>0.49236111111111108</v>
      </c>
      <c r="F21" s="37" t="s">
        <v>0</v>
      </c>
      <c r="G21" s="38">
        <v>1</v>
      </c>
      <c r="H21" s="39">
        <v>713</v>
      </c>
      <c r="I21" s="51" t="str">
        <f>VLOOKUP(H21,'[2]Chart of accounts'!A:H,2,FALSE)</f>
        <v>50102020 00</v>
      </c>
      <c r="J21" s="39"/>
      <c r="K21" s="39"/>
      <c r="L21" s="34"/>
      <c r="M21" s="34"/>
      <c r="N21" s="34"/>
      <c r="O21" s="53" t="s">
        <v>1</v>
      </c>
      <c r="P21" s="53" t="s">
        <v>1</v>
      </c>
      <c r="Q21" s="57" t="s">
        <v>2</v>
      </c>
      <c r="R21" s="42" t="s">
        <v>803</v>
      </c>
      <c r="S21" s="42" t="s">
        <v>760</v>
      </c>
      <c r="T21" s="43">
        <v>5000</v>
      </c>
      <c r="U21" s="52"/>
      <c r="V21" s="43">
        <v>5000</v>
      </c>
      <c r="W21" s="44"/>
      <c r="X21" s="59"/>
      <c r="Y21" s="46"/>
      <c r="Z21" s="47"/>
      <c r="AA21" s="47"/>
      <c r="AB21" s="47"/>
      <c r="AC21" s="47"/>
      <c r="AD21" s="47"/>
      <c r="AE21" s="44"/>
      <c r="AF21" s="44"/>
      <c r="AG21" s="44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4"/>
      <c r="AZ21" s="44"/>
      <c r="BA21" s="44"/>
      <c r="BB21" s="44"/>
      <c r="BC21" s="44"/>
      <c r="BD21" s="48"/>
      <c r="BE21" s="44"/>
      <c r="BF21" s="43">
        <v>5000</v>
      </c>
      <c r="BG21" s="44"/>
      <c r="BH21" s="44"/>
      <c r="BI21" s="44"/>
      <c r="BJ21" s="44"/>
      <c r="BK21" s="44"/>
      <c r="BL21" s="44"/>
      <c r="BM21" s="44"/>
      <c r="BN21" s="44"/>
      <c r="BO21" s="44"/>
      <c r="BP21" s="49"/>
      <c r="BQ21" s="44"/>
      <c r="BR21" s="44"/>
      <c r="BS21" s="44"/>
      <c r="BT21" s="43">
        <v>5000</v>
      </c>
      <c r="BU21" s="47"/>
      <c r="BV21" s="44"/>
      <c r="BW21" s="44"/>
      <c r="BX21" s="44"/>
      <c r="BY21" s="44"/>
      <c r="BZ21" s="44"/>
      <c r="CA21" s="44"/>
      <c r="CB21" s="44"/>
      <c r="CC21" s="44"/>
      <c r="CD21" s="44"/>
      <c r="CE21" s="44"/>
      <c r="CF21" s="44"/>
      <c r="CG21" s="44"/>
      <c r="CH21" s="47"/>
      <c r="CI21" s="44"/>
      <c r="CJ21" s="44"/>
      <c r="CK21" s="44"/>
      <c r="CL21" s="44"/>
      <c r="CM21" s="44"/>
      <c r="CN21" s="44"/>
      <c r="CO21" s="44"/>
      <c r="CP21" s="44"/>
      <c r="CQ21" s="44"/>
      <c r="CR21" s="44"/>
      <c r="CS21" s="44"/>
      <c r="CT21" s="44"/>
      <c r="CU21" s="44"/>
      <c r="CV21" s="44"/>
      <c r="CW21" s="44"/>
      <c r="CX21" s="44"/>
      <c r="CY21" s="44"/>
      <c r="CZ21" s="44"/>
      <c r="DA21" s="44"/>
      <c r="DB21" s="44"/>
      <c r="DC21" s="44"/>
      <c r="DD21" s="44"/>
      <c r="DE21" s="44"/>
      <c r="DF21" s="44"/>
      <c r="DG21" s="44"/>
      <c r="DH21" s="44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7"/>
      <c r="DY21" s="47"/>
      <c r="DZ21" s="47"/>
    </row>
    <row r="22" spans="1:130" s="32" customFormat="1">
      <c r="A22" s="33">
        <v>44209</v>
      </c>
      <c r="B22" s="34" t="s">
        <v>759</v>
      </c>
      <c r="C22" s="286" t="s">
        <v>11</v>
      </c>
      <c r="D22" s="36">
        <v>0.48749999999999999</v>
      </c>
      <c r="E22" s="36">
        <v>0.49236111111111108</v>
      </c>
      <c r="F22" s="37" t="s">
        <v>0</v>
      </c>
      <c r="G22" s="38">
        <v>1</v>
      </c>
      <c r="H22" s="39">
        <v>714</v>
      </c>
      <c r="I22" s="51" t="str">
        <f>VLOOKUP(H22,'[2]Chart of accounts'!A:H,2,FALSE)</f>
        <v>50102030 01</v>
      </c>
      <c r="J22" s="39"/>
      <c r="K22" s="39"/>
      <c r="L22" s="34"/>
      <c r="M22" s="34"/>
      <c r="N22" s="34"/>
      <c r="O22" s="53" t="s">
        <v>1</v>
      </c>
      <c r="P22" s="53" t="s">
        <v>1</v>
      </c>
      <c r="Q22" s="57" t="s">
        <v>2</v>
      </c>
      <c r="R22" s="42" t="s">
        <v>803</v>
      </c>
      <c r="S22" s="42" t="s">
        <v>760</v>
      </c>
      <c r="T22" s="43">
        <v>5000</v>
      </c>
      <c r="U22" s="52"/>
      <c r="V22" s="43">
        <v>5000</v>
      </c>
      <c r="W22" s="44"/>
      <c r="X22" s="59"/>
      <c r="Y22" s="46"/>
      <c r="Z22" s="47"/>
      <c r="AA22" s="47"/>
      <c r="AB22" s="47"/>
      <c r="AC22" s="47"/>
      <c r="AD22" s="47"/>
      <c r="AE22" s="44"/>
      <c r="AF22" s="44"/>
      <c r="AG22" s="44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4"/>
      <c r="AZ22" s="44"/>
      <c r="BA22" s="44"/>
      <c r="BB22" s="44"/>
      <c r="BC22" s="44"/>
      <c r="BD22" s="48"/>
      <c r="BE22" s="44"/>
      <c r="BG22" s="43">
        <v>5000</v>
      </c>
      <c r="BH22" s="44"/>
      <c r="BI22" s="44"/>
      <c r="BJ22" s="44"/>
      <c r="BK22" s="44"/>
      <c r="BL22" s="44"/>
      <c r="BM22" s="44"/>
      <c r="BN22" s="44"/>
      <c r="BO22" s="44"/>
      <c r="BP22" s="49"/>
      <c r="BQ22" s="44"/>
      <c r="BR22" s="44"/>
      <c r="BS22" s="44"/>
      <c r="BT22" s="43">
        <v>5000</v>
      </c>
      <c r="BU22" s="47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7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7"/>
      <c r="DY22" s="47"/>
      <c r="DZ22" s="47"/>
    </row>
    <row r="23" spans="1:130" s="32" customFormat="1">
      <c r="A23" s="33">
        <v>44209</v>
      </c>
      <c r="B23" s="34" t="s">
        <v>759</v>
      </c>
      <c r="C23" s="286" t="s">
        <v>11</v>
      </c>
      <c r="D23" s="36">
        <v>0.48749999999999999</v>
      </c>
      <c r="E23" s="36">
        <v>0.49236111111111108</v>
      </c>
      <c r="F23" s="37" t="s">
        <v>0</v>
      </c>
      <c r="G23" s="38">
        <v>1</v>
      </c>
      <c r="H23" s="39">
        <v>713</v>
      </c>
      <c r="I23" s="51" t="str">
        <f>VLOOKUP(H23,'[2]Chart of accounts'!A:H,2,FALSE)</f>
        <v>50102020 00</v>
      </c>
      <c r="J23" s="39"/>
      <c r="K23" s="39"/>
      <c r="L23" s="34"/>
      <c r="M23" s="34"/>
      <c r="N23" s="34"/>
      <c r="O23" s="53" t="s">
        <v>1</v>
      </c>
      <c r="P23" s="53" t="s">
        <v>1</v>
      </c>
      <c r="Q23" s="57" t="s">
        <v>2</v>
      </c>
      <c r="R23" s="42" t="s">
        <v>804</v>
      </c>
      <c r="S23" s="42" t="s">
        <v>760</v>
      </c>
      <c r="T23" s="43">
        <v>7500</v>
      </c>
      <c r="U23" s="52"/>
      <c r="V23" s="43">
        <v>7500</v>
      </c>
      <c r="W23" s="44"/>
      <c r="X23" s="59"/>
      <c r="Y23" s="46"/>
      <c r="Z23" s="47"/>
      <c r="AA23" s="47"/>
      <c r="AB23" s="47"/>
      <c r="AC23" s="47"/>
      <c r="AD23" s="47"/>
      <c r="AE23" s="44"/>
      <c r="AF23" s="44"/>
      <c r="AG23" s="44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4"/>
      <c r="AZ23" s="44"/>
      <c r="BA23" s="44"/>
      <c r="BB23" s="44"/>
      <c r="BC23" s="44"/>
      <c r="BD23" s="48"/>
      <c r="BE23" s="44"/>
      <c r="BF23" s="43">
        <v>7500</v>
      </c>
      <c r="BG23" s="44"/>
      <c r="BH23" s="44"/>
      <c r="BI23" s="44"/>
      <c r="BJ23" s="44"/>
      <c r="BK23" s="44"/>
      <c r="BL23" s="44"/>
      <c r="BM23" s="44"/>
      <c r="BN23" s="44"/>
      <c r="BO23" s="44"/>
      <c r="BP23" s="49"/>
      <c r="BQ23" s="44"/>
      <c r="BR23" s="44"/>
      <c r="BS23" s="44"/>
      <c r="BT23" s="43">
        <v>7500</v>
      </c>
      <c r="BU23" s="47"/>
      <c r="BV23" s="44"/>
      <c r="BW23" s="44"/>
      <c r="BX23" s="44"/>
      <c r="BY23" s="44"/>
      <c r="BZ23" s="44"/>
      <c r="CA23" s="44"/>
      <c r="CB23" s="44"/>
      <c r="CC23" s="44"/>
      <c r="CD23" s="44"/>
      <c r="CE23" s="44"/>
      <c r="CF23" s="44"/>
      <c r="CG23" s="44"/>
      <c r="CH23" s="47"/>
      <c r="CI23" s="44"/>
      <c r="CJ23" s="44"/>
      <c r="CK23" s="44"/>
      <c r="CL23" s="44"/>
      <c r="CM23" s="44"/>
      <c r="CN23" s="44"/>
      <c r="CO23" s="44"/>
      <c r="CP23" s="44"/>
      <c r="CQ23" s="44"/>
      <c r="CR23" s="44"/>
      <c r="CS23" s="44"/>
      <c r="CT23" s="44"/>
      <c r="CU23" s="44"/>
      <c r="CV23" s="44"/>
      <c r="CW23" s="44"/>
      <c r="CX23" s="44"/>
      <c r="CY23" s="44"/>
      <c r="CZ23" s="44"/>
      <c r="DA23" s="44"/>
      <c r="DB23" s="44"/>
      <c r="DC23" s="44"/>
      <c r="DD23" s="44"/>
      <c r="DE23" s="44"/>
      <c r="DF23" s="44"/>
      <c r="DG23" s="4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7"/>
      <c r="DY23" s="47"/>
      <c r="DZ23" s="47"/>
    </row>
    <row r="24" spans="1:130" s="32" customFormat="1">
      <c r="A24" s="33">
        <v>44209</v>
      </c>
      <c r="B24" s="34" t="s">
        <v>759</v>
      </c>
      <c r="C24" s="286" t="s">
        <v>11</v>
      </c>
      <c r="D24" s="36">
        <v>0.48749999999999999</v>
      </c>
      <c r="E24" s="36">
        <v>0.49236111111111108</v>
      </c>
      <c r="F24" s="37" t="s">
        <v>0</v>
      </c>
      <c r="G24" s="38">
        <v>1</v>
      </c>
      <c r="H24" s="39">
        <v>714</v>
      </c>
      <c r="I24" s="51" t="str">
        <f>VLOOKUP(H24,'[2]Chart of accounts'!A:H,2,FALSE)</f>
        <v>50102030 01</v>
      </c>
      <c r="J24" s="39"/>
      <c r="K24" s="39"/>
      <c r="L24" s="34"/>
      <c r="M24" s="34"/>
      <c r="N24" s="34"/>
      <c r="O24" s="53" t="s">
        <v>1</v>
      </c>
      <c r="P24" s="53" t="s">
        <v>1</v>
      </c>
      <c r="Q24" s="57" t="s">
        <v>2</v>
      </c>
      <c r="R24" s="42" t="s">
        <v>804</v>
      </c>
      <c r="S24" s="42" t="s">
        <v>760</v>
      </c>
      <c r="T24" s="43">
        <v>7500</v>
      </c>
      <c r="U24" s="52"/>
      <c r="V24" s="43">
        <v>7500</v>
      </c>
      <c r="W24" s="44"/>
      <c r="X24" s="59"/>
      <c r="Y24" s="46"/>
      <c r="Z24" s="47"/>
      <c r="AA24" s="47"/>
      <c r="AB24" s="47"/>
      <c r="AC24" s="47"/>
      <c r="AD24" s="47"/>
      <c r="AE24" s="44"/>
      <c r="AF24" s="44"/>
      <c r="AG24" s="44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4"/>
      <c r="AZ24" s="44"/>
      <c r="BA24" s="44"/>
      <c r="BB24" s="44"/>
      <c r="BC24" s="44"/>
      <c r="BD24" s="48"/>
      <c r="BE24" s="44"/>
      <c r="BG24" s="43">
        <v>7500</v>
      </c>
      <c r="BH24" s="44"/>
      <c r="BI24" s="44"/>
      <c r="BJ24" s="44"/>
      <c r="BK24" s="44"/>
      <c r="BL24" s="44"/>
      <c r="BM24" s="44"/>
      <c r="BN24" s="44"/>
      <c r="BO24" s="44"/>
      <c r="BP24" s="49"/>
      <c r="BQ24" s="44"/>
      <c r="BR24" s="44"/>
      <c r="BS24" s="44"/>
      <c r="BT24" s="43">
        <v>7500</v>
      </c>
      <c r="BU24" s="47"/>
      <c r="BV24" s="44"/>
      <c r="BW24" s="44"/>
      <c r="BX24" s="44"/>
      <c r="BY24" s="44"/>
      <c r="BZ24" s="44"/>
      <c r="CA24" s="44"/>
      <c r="CB24" s="44"/>
      <c r="CC24" s="44"/>
      <c r="CD24" s="44"/>
      <c r="CE24" s="44"/>
      <c r="CF24" s="44"/>
      <c r="CG24" s="44"/>
      <c r="CH24" s="47"/>
      <c r="CI24" s="44"/>
      <c r="CJ24" s="44"/>
      <c r="CK24" s="44"/>
      <c r="CL24" s="44"/>
      <c r="CM24" s="44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44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7"/>
      <c r="DY24" s="47"/>
      <c r="DZ24" s="47"/>
    </row>
    <row r="25" spans="1:130" s="32" customFormat="1">
      <c r="A25" s="33">
        <v>44209</v>
      </c>
      <c r="B25" s="34" t="s">
        <v>759</v>
      </c>
      <c r="C25" s="286" t="s">
        <v>11</v>
      </c>
      <c r="D25" s="36">
        <v>0.48749999999999999</v>
      </c>
      <c r="E25" s="36">
        <v>0.49236111111111108</v>
      </c>
      <c r="F25" s="37" t="s">
        <v>0</v>
      </c>
      <c r="G25" s="38">
        <v>1</v>
      </c>
      <c r="H25" s="39">
        <v>713</v>
      </c>
      <c r="I25" s="51" t="str">
        <f>VLOOKUP(H25,'[2]Chart of accounts'!A:H,2,FALSE)</f>
        <v>50102020 00</v>
      </c>
      <c r="J25" s="39"/>
      <c r="K25" s="39"/>
      <c r="L25" s="34"/>
      <c r="M25" s="34"/>
      <c r="N25" s="34"/>
      <c r="O25" s="53" t="s">
        <v>1</v>
      </c>
      <c r="P25" s="53" t="s">
        <v>1</v>
      </c>
      <c r="Q25" s="57" t="s">
        <v>2</v>
      </c>
      <c r="R25" s="42" t="s">
        <v>805</v>
      </c>
      <c r="S25" s="42" t="s">
        <v>760</v>
      </c>
      <c r="T25" s="43">
        <v>5000</v>
      </c>
      <c r="U25" s="52"/>
      <c r="V25" s="43">
        <v>5000</v>
      </c>
      <c r="W25" s="44"/>
      <c r="X25" s="59"/>
      <c r="Y25" s="46"/>
      <c r="Z25" s="47"/>
      <c r="AA25" s="47"/>
      <c r="AB25" s="47"/>
      <c r="AC25" s="47"/>
      <c r="AD25" s="47"/>
      <c r="AE25" s="44"/>
      <c r="AF25" s="44"/>
      <c r="AG25" s="44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4"/>
      <c r="AZ25" s="44"/>
      <c r="BA25" s="44"/>
      <c r="BB25" s="44"/>
      <c r="BC25" s="44"/>
      <c r="BD25" s="48"/>
      <c r="BE25" s="44"/>
      <c r="BF25" s="43">
        <v>5000</v>
      </c>
      <c r="BG25" s="44"/>
      <c r="BH25" s="44"/>
      <c r="BI25" s="44"/>
      <c r="BJ25" s="44"/>
      <c r="BK25" s="44"/>
      <c r="BL25" s="44"/>
      <c r="BM25" s="44"/>
      <c r="BN25" s="44"/>
      <c r="BO25" s="44"/>
      <c r="BP25" s="49"/>
      <c r="BQ25" s="44"/>
      <c r="BR25" s="44"/>
      <c r="BS25" s="44"/>
      <c r="BT25" s="43">
        <v>5000</v>
      </c>
      <c r="BU25" s="47"/>
      <c r="BV25" s="44"/>
      <c r="BW25" s="44"/>
      <c r="BX25" s="44"/>
      <c r="BY25" s="44"/>
      <c r="BZ25" s="44"/>
      <c r="CA25" s="44"/>
      <c r="CB25" s="44"/>
      <c r="CC25" s="44"/>
      <c r="CD25" s="44"/>
      <c r="CE25" s="44"/>
      <c r="CF25" s="44"/>
      <c r="CG25" s="44"/>
      <c r="CH25" s="47"/>
      <c r="CI25" s="44"/>
      <c r="CJ25" s="44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4"/>
      <c r="DC25" s="44"/>
      <c r="DD25" s="44"/>
      <c r="DE25" s="44"/>
      <c r="DF25" s="44"/>
      <c r="DG25" s="44"/>
      <c r="DH25" s="44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/>
      <c r="DX25" s="47"/>
      <c r="DY25" s="47"/>
      <c r="DZ25" s="47"/>
    </row>
    <row r="26" spans="1:130" s="32" customFormat="1">
      <c r="A26" s="33">
        <v>44209</v>
      </c>
      <c r="B26" s="34" t="s">
        <v>759</v>
      </c>
      <c r="C26" s="286" t="s">
        <v>11</v>
      </c>
      <c r="D26" s="36">
        <v>0.48749999999999999</v>
      </c>
      <c r="E26" s="36">
        <v>0.49236111111111108</v>
      </c>
      <c r="F26" s="37" t="s">
        <v>0</v>
      </c>
      <c r="G26" s="38">
        <v>1</v>
      </c>
      <c r="H26" s="39">
        <v>714</v>
      </c>
      <c r="I26" s="51" t="str">
        <f>VLOOKUP(H26,'[2]Chart of accounts'!A:H,2,FALSE)</f>
        <v>50102030 01</v>
      </c>
      <c r="J26" s="39"/>
      <c r="K26" s="39"/>
      <c r="L26" s="34"/>
      <c r="M26" s="34"/>
      <c r="N26" s="34"/>
      <c r="O26" s="53" t="s">
        <v>1</v>
      </c>
      <c r="P26" s="53" t="s">
        <v>1</v>
      </c>
      <c r="Q26" s="57" t="s">
        <v>2</v>
      </c>
      <c r="R26" s="42" t="s">
        <v>805</v>
      </c>
      <c r="S26" s="42" t="s">
        <v>760</v>
      </c>
      <c r="T26" s="43">
        <v>5000</v>
      </c>
      <c r="U26" s="52"/>
      <c r="V26" s="43">
        <v>5000</v>
      </c>
      <c r="W26" s="44"/>
      <c r="X26" s="59"/>
      <c r="Y26" s="46"/>
      <c r="Z26" s="47"/>
      <c r="AA26" s="47"/>
      <c r="AB26" s="47"/>
      <c r="AC26" s="47"/>
      <c r="AD26" s="47"/>
      <c r="AE26" s="44"/>
      <c r="AF26" s="44"/>
      <c r="AG26" s="44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4"/>
      <c r="AZ26" s="44"/>
      <c r="BA26" s="44"/>
      <c r="BB26" s="44"/>
      <c r="BC26" s="44"/>
      <c r="BD26" s="48"/>
      <c r="BE26" s="44"/>
      <c r="BG26" s="43">
        <v>5000</v>
      </c>
      <c r="BH26" s="44"/>
      <c r="BI26" s="44"/>
      <c r="BJ26" s="44"/>
      <c r="BK26" s="44"/>
      <c r="BL26" s="44"/>
      <c r="BM26" s="44"/>
      <c r="BN26" s="44"/>
      <c r="BO26" s="44"/>
      <c r="BP26" s="49"/>
      <c r="BQ26" s="44"/>
      <c r="BR26" s="44"/>
      <c r="BS26" s="44"/>
      <c r="BT26" s="43">
        <v>5000</v>
      </c>
      <c r="BU26" s="47"/>
      <c r="BV26" s="44"/>
      <c r="BW26" s="44"/>
      <c r="BX26" s="44"/>
      <c r="BY26" s="44"/>
      <c r="BZ26" s="44"/>
      <c r="CA26" s="44"/>
      <c r="CB26" s="44"/>
      <c r="CC26" s="44"/>
      <c r="CD26" s="44"/>
      <c r="CE26" s="44"/>
      <c r="CF26" s="44"/>
      <c r="CG26" s="44"/>
      <c r="CH26" s="47"/>
      <c r="CI26" s="44"/>
      <c r="CJ26" s="44"/>
      <c r="CK26" s="44"/>
      <c r="CL26" s="44"/>
      <c r="CM26" s="44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44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7"/>
      <c r="DY26" s="47"/>
      <c r="DZ26" s="47"/>
    </row>
    <row r="27" spans="1:130" s="32" customFormat="1">
      <c r="A27" s="33">
        <v>44209</v>
      </c>
      <c r="B27" s="34" t="s">
        <v>759</v>
      </c>
      <c r="C27" s="286" t="s">
        <v>11</v>
      </c>
      <c r="D27" s="36">
        <v>0.48749999999999999</v>
      </c>
      <c r="E27" s="36">
        <v>0.49236111111111108</v>
      </c>
      <c r="F27" s="37" t="s">
        <v>0</v>
      </c>
      <c r="G27" s="38">
        <v>1</v>
      </c>
      <c r="H27" s="39">
        <v>713</v>
      </c>
      <c r="I27" s="51" t="str">
        <f>VLOOKUP(H27,'[2]Chart of accounts'!A:H,2,FALSE)</f>
        <v>50102020 00</v>
      </c>
      <c r="J27" s="39"/>
      <c r="K27" s="39"/>
      <c r="L27" s="34"/>
      <c r="M27" s="34"/>
      <c r="N27" s="34"/>
      <c r="O27" s="53" t="s">
        <v>1</v>
      </c>
      <c r="P27" s="53" t="s">
        <v>1</v>
      </c>
      <c r="Q27" s="57" t="s">
        <v>2</v>
      </c>
      <c r="R27" s="42" t="s">
        <v>806</v>
      </c>
      <c r="S27" s="42" t="s">
        <v>760</v>
      </c>
      <c r="T27" s="43">
        <v>7500</v>
      </c>
      <c r="U27" s="52"/>
      <c r="V27" s="43">
        <v>7500</v>
      </c>
      <c r="W27" s="44"/>
      <c r="X27" s="59"/>
      <c r="Y27" s="46"/>
      <c r="Z27" s="47"/>
      <c r="AA27" s="47"/>
      <c r="AB27" s="47"/>
      <c r="AC27" s="47"/>
      <c r="AD27" s="47"/>
      <c r="AE27" s="44"/>
      <c r="AF27" s="44"/>
      <c r="AG27" s="44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4"/>
      <c r="AZ27" s="44"/>
      <c r="BA27" s="44"/>
      <c r="BB27" s="44"/>
      <c r="BC27" s="44"/>
      <c r="BD27" s="48"/>
      <c r="BE27" s="44"/>
      <c r="BF27" s="43">
        <v>7500</v>
      </c>
      <c r="BG27" s="44"/>
      <c r="BH27" s="44"/>
      <c r="BI27" s="44"/>
      <c r="BJ27" s="44"/>
      <c r="BK27" s="44"/>
      <c r="BL27" s="44"/>
      <c r="BM27" s="44"/>
      <c r="BN27" s="44"/>
      <c r="BO27" s="44"/>
      <c r="BP27" s="49"/>
      <c r="BQ27" s="44"/>
      <c r="BR27" s="44"/>
      <c r="BS27" s="44"/>
      <c r="BT27" s="43">
        <v>7500</v>
      </c>
      <c r="BU27" s="47"/>
      <c r="BV27" s="44"/>
      <c r="BW27" s="44"/>
      <c r="BX27" s="44"/>
      <c r="BY27" s="44"/>
      <c r="BZ27" s="44"/>
      <c r="CA27" s="44"/>
      <c r="CB27" s="44"/>
      <c r="CC27" s="44"/>
      <c r="CD27" s="44"/>
      <c r="CE27" s="44"/>
      <c r="CF27" s="44"/>
      <c r="CG27" s="44"/>
      <c r="CH27" s="47"/>
      <c r="CI27" s="44"/>
      <c r="CJ27" s="44"/>
      <c r="CK27" s="44"/>
      <c r="CL27" s="44"/>
      <c r="CM27" s="44"/>
      <c r="CN27" s="44"/>
      <c r="CO27" s="44"/>
      <c r="CP27" s="44"/>
      <c r="CQ27" s="44"/>
      <c r="CR27" s="44"/>
      <c r="CS27" s="44"/>
      <c r="CT27" s="44"/>
      <c r="CU27" s="44"/>
      <c r="CV27" s="44"/>
      <c r="CW27" s="44"/>
      <c r="CX27" s="44"/>
      <c r="CY27" s="44"/>
      <c r="CZ27" s="44"/>
      <c r="DA27" s="44"/>
      <c r="DB27" s="44"/>
      <c r="DC27" s="44"/>
      <c r="DD27" s="44"/>
      <c r="DE27" s="44"/>
      <c r="DF27" s="44"/>
      <c r="DG27" s="44"/>
      <c r="DH27" s="44"/>
      <c r="DI27" s="44"/>
      <c r="DJ27" s="44"/>
      <c r="DK27" s="44"/>
      <c r="DL27" s="44"/>
      <c r="DM27" s="44"/>
      <c r="DN27" s="44"/>
      <c r="DO27" s="44"/>
      <c r="DP27" s="44"/>
      <c r="DQ27" s="44"/>
      <c r="DR27" s="44"/>
      <c r="DS27" s="44"/>
      <c r="DT27" s="44"/>
      <c r="DU27" s="44"/>
      <c r="DV27" s="44"/>
      <c r="DW27" s="44"/>
      <c r="DX27" s="47"/>
      <c r="DY27" s="47"/>
      <c r="DZ27" s="47"/>
    </row>
    <row r="28" spans="1:130" s="32" customFormat="1">
      <c r="A28" s="33">
        <v>44209</v>
      </c>
      <c r="B28" s="34" t="s">
        <v>759</v>
      </c>
      <c r="C28" s="286" t="s">
        <v>11</v>
      </c>
      <c r="D28" s="36">
        <v>0.48749999999999999</v>
      </c>
      <c r="E28" s="36">
        <v>0.49236111111111108</v>
      </c>
      <c r="F28" s="37" t="s">
        <v>0</v>
      </c>
      <c r="G28" s="38">
        <v>1</v>
      </c>
      <c r="H28" s="39">
        <v>714</v>
      </c>
      <c r="I28" s="51" t="str">
        <f>VLOOKUP(H28,'[2]Chart of accounts'!A:H,2,FALSE)</f>
        <v>50102030 01</v>
      </c>
      <c r="J28" s="39"/>
      <c r="K28" s="39"/>
      <c r="L28" s="34"/>
      <c r="M28" s="34"/>
      <c r="N28" s="34"/>
      <c r="O28" s="53" t="s">
        <v>1</v>
      </c>
      <c r="P28" s="53" t="s">
        <v>1</v>
      </c>
      <c r="Q28" s="57" t="s">
        <v>2</v>
      </c>
      <c r="R28" s="42" t="s">
        <v>806</v>
      </c>
      <c r="S28" s="42" t="s">
        <v>760</v>
      </c>
      <c r="T28" s="43">
        <v>7500</v>
      </c>
      <c r="U28" s="52"/>
      <c r="V28" s="43">
        <v>7500</v>
      </c>
      <c r="W28" s="44"/>
      <c r="X28" s="59"/>
      <c r="Y28" s="46"/>
      <c r="Z28" s="47"/>
      <c r="AA28" s="47"/>
      <c r="AB28" s="47"/>
      <c r="AC28" s="47"/>
      <c r="AD28" s="47"/>
      <c r="AE28" s="44"/>
      <c r="AF28" s="44"/>
      <c r="AG28" s="44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4"/>
      <c r="AZ28" s="44"/>
      <c r="BA28" s="44"/>
      <c r="BB28" s="44"/>
      <c r="BC28" s="44"/>
      <c r="BD28" s="48"/>
      <c r="BE28" s="44"/>
      <c r="BG28" s="43">
        <v>7500</v>
      </c>
      <c r="BH28" s="44"/>
      <c r="BI28" s="44"/>
      <c r="BJ28" s="44"/>
      <c r="BK28" s="44"/>
      <c r="BL28" s="44"/>
      <c r="BM28" s="44"/>
      <c r="BN28" s="44"/>
      <c r="BO28" s="44"/>
      <c r="BP28" s="49"/>
      <c r="BQ28" s="44"/>
      <c r="BR28" s="44"/>
      <c r="BS28" s="44"/>
      <c r="BT28" s="43">
        <v>7500</v>
      </c>
      <c r="BU28" s="47"/>
      <c r="BV28" s="44"/>
      <c r="BW28" s="44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7"/>
      <c r="CI28" s="44"/>
      <c r="CJ28" s="44"/>
      <c r="CK28" s="44"/>
      <c r="CL28" s="44"/>
      <c r="CM28" s="44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44"/>
      <c r="CY28" s="44"/>
      <c r="CZ28" s="44"/>
      <c r="DA28" s="44"/>
      <c r="DB28" s="44"/>
      <c r="DC28" s="44"/>
      <c r="DD28" s="44"/>
      <c r="DE28" s="44"/>
      <c r="DF28" s="44"/>
      <c r="DG28" s="44"/>
      <c r="DH28" s="44"/>
      <c r="DI28" s="44"/>
      <c r="DJ28" s="44"/>
      <c r="DK28" s="44"/>
      <c r="DL28" s="44"/>
      <c r="DM28" s="44"/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7"/>
      <c r="DY28" s="47"/>
      <c r="DZ28" s="47"/>
    </row>
    <row r="29" spans="1:130" s="32" customFormat="1" ht="27.6">
      <c r="A29" s="33">
        <v>44210</v>
      </c>
      <c r="B29" s="34" t="s">
        <v>759</v>
      </c>
      <c r="C29" s="286" t="s">
        <v>4</v>
      </c>
      <c r="D29" s="36">
        <v>0.57777777777777783</v>
      </c>
      <c r="E29" s="36">
        <v>0.58680555555555558</v>
      </c>
      <c r="F29" s="37" t="s">
        <v>0</v>
      </c>
      <c r="G29" s="38">
        <v>1</v>
      </c>
      <c r="H29" s="39">
        <v>701</v>
      </c>
      <c r="I29" s="51" t="s">
        <v>25</v>
      </c>
      <c r="J29" s="39"/>
      <c r="K29" s="39"/>
      <c r="L29" s="34"/>
      <c r="M29" s="34"/>
      <c r="N29" s="34"/>
      <c r="O29" s="53" t="s">
        <v>1</v>
      </c>
      <c r="P29" s="53" t="s">
        <v>1</v>
      </c>
      <c r="Q29" s="54" t="s">
        <v>2</v>
      </c>
      <c r="R29" s="42" t="s">
        <v>10</v>
      </c>
      <c r="S29" s="42" t="s">
        <v>762</v>
      </c>
      <c r="T29" s="43">
        <v>1634515</v>
      </c>
      <c r="U29" s="52"/>
      <c r="V29" s="43">
        <v>1634515</v>
      </c>
      <c r="W29" s="44">
        <v>0</v>
      </c>
      <c r="X29" s="59"/>
      <c r="Y29" s="46"/>
      <c r="Z29" s="47"/>
      <c r="AA29" s="47"/>
      <c r="AB29" s="47"/>
      <c r="AC29" s="47"/>
      <c r="AD29" s="47"/>
      <c r="AE29" s="44"/>
      <c r="AF29" s="44"/>
      <c r="AG29" s="44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4"/>
      <c r="AZ29" s="44"/>
      <c r="BA29" s="44"/>
      <c r="BB29" s="44"/>
      <c r="BC29" s="43">
        <v>1634515</v>
      </c>
      <c r="BD29" s="48"/>
      <c r="BE29" s="44"/>
      <c r="BG29" s="43"/>
      <c r="BH29" s="44"/>
      <c r="BI29" s="44"/>
      <c r="BJ29" s="44"/>
      <c r="BK29" s="44"/>
      <c r="BL29" s="44"/>
      <c r="BM29" s="44"/>
      <c r="BN29" s="44"/>
      <c r="BO29" s="44"/>
      <c r="BP29" s="49"/>
      <c r="BQ29" s="44"/>
      <c r="BR29" s="44"/>
      <c r="BS29" s="44"/>
      <c r="BT29" s="43">
        <v>1634515</v>
      </c>
      <c r="BU29" s="47"/>
      <c r="BV29" s="44"/>
      <c r="BW29" s="44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7"/>
      <c r="CI29" s="44"/>
      <c r="CJ29" s="44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  <c r="CZ29" s="44"/>
      <c r="DA29" s="44"/>
      <c r="DB29" s="44"/>
      <c r="DC29" s="44"/>
      <c r="DD29" s="44"/>
      <c r="DE29" s="44"/>
      <c r="DF29" s="44"/>
      <c r="DG29" s="44"/>
      <c r="DH29" s="44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7"/>
      <c r="DY29" s="47"/>
      <c r="DZ29" s="47"/>
    </row>
    <row r="30" spans="1:130" s="32" customFormat="1" ht="27.6">
      <c r="A30" s="33">
        <v>44210</v>
      </c>
      <c r="B30" s="34" t="s">
        <v>759</v>
      </c>
      <c r="C30" s="286" t="s">
        <v>4</v>
      </c>
      <c r="D30" s="36">
        <v>0.57777777777777783</v>
      </c>
      <c r="E30" s="36">
        <v>0.58680555555555558</v>
      </c>
      <c r="F30" s="37" t="s">
        <v>0</v>
      </c>
      <c r="G30" s="38">
        <v>1</v>
      </c>
      <c r="H30" s="39">
        <v>711</v>
      </c>
      <c r="I30" s="51" t="s">
        <v>503</v>
      </c>
      <c r="J30" s="39"/>
      <c r="K30" s="39"/>
      <c r="L30" s="34"/>
      <c r="M30" s="34"/>
      <c r="N30" s="34"/>
      <c r="O30" s="53" t="s">
        <v>1</v>
      </c>
      <c r="P30" s="53" t="s">
        <v>1</v>
      </c>
      <c r="Q30" s="54" t="s">
        <v>2</v>
      </c>
      <c r="R30" s="42" t="s">
        <v>10</v>
      </c>
      <c r="S30" s="42" t="s">
        <v>762</v>
      </c>
      <c r="T30" s="43">
        <v>76000</v>
      </c>
      <c r="U30" s="52"/>
      <c r="V30" s="43">
        <v>76000</v>
      </c>
      <c r="W30" s="44">
        <v>0</v>
      </c>
      <c r="X30" s="59"/>
      <c r="Y30" s="46"/>
      <c r="Z30" s="47"/>
      <c r="AA30" s="47"/>
      <c r="AB30" s="47"/>
      <c r="AC30" s="47"/>
      <c r="AD30" s="47"/>
      <c r="AE30" s="44"/>
      <c r="AF30" s="44"/>
      <c r="AG30" s="44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4"/>
      <c r="AZ30" s="44"/>
      <c r="BA30" s="44"/>
      <c r="BB30" s="44"/>
      <c r="BD30" s="48"/>
      <c r="BE30" s="43">
        <v>76000</v>
      </c>
      <c r="BF30" s="43"/>
      <c r="BG30" s="44"/>
      <c r="BH30" s="44"/>
      <c r="BI30" s="44"/>
      <c r="BJ30" s="44"/>
      <c r="BK30" s="44"/>
      <c r="BL30" s="44"/>
      <c r="BM30" s="44"/>
      <c r="BN30" s="44"/>
      <c r="BO30" s="44"/>
      <c r="BP30" s="49"/>
      <c r="BQ30" s="44"/>
      <c r="BR30" s="44"/>
      <c r="BS30" s="44"/>
      <c r="BT30" s="43">
        <v>76000</v>
      </c>
      <c r="BU30" s="47"/>
      <c r="BV30" s="44"/>
      <c r="BW30" s="44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7"/>
      <c r="CI30" s="44"/>
      <c r="CJ30" s="44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44"/>
      <c r="CY30" s="44"/>
      <c r="CZ30" s="44"/>
      <c r="DA30" s="44"/>
      <c r="DB30" s="44"/>
      <c r="DC30" s="44"/>
      <c r="DD30" s="44"/>
      <c r="DE30" s="44"/>
      <c r="DF30" s="44"/>
      <c r="DG30" s="4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7"/>
      <c r="DY30" s="47"/>
      <c r="DZ30" s="47"/>
    </row>
    <row r="31" spans="1:130" s="32" customFormat="1" ht="27.6">
      <c r="A31" s="33">
        <v>44210</v>
      </c>
      <c r="B31" s="34" t="s">
        <v>759</v>
      </c>
      <c r="C31" s="286" t="s">
        <v>4</v>
      </c>
      <c r="D31" s="36">
        <v>0.57777777777777783</v>
      </c>
      <c r="E31" s="36">
        <v>0.58680555555555558</v>
      </c>
      <c r="F31" s="37" t="s">
        <v>0</v>
      </c>
      <c r="G31" s="38">
        <v>1</v>
      </c>
      <c r="H31" s="39">
        <v>731</v>
      </c>
      <c r="I31" s="51" t="s">
        <v>527</v>
      </c>
      <c r="J31" s="39"/>
      <c r="K31" s="39"/>
      <c r="L31" s="34"/>
      <c r="M31" s="34"/>
      <c r="N31" s="34"/>
      <c r="O31" s="53" t="s">
        <v>1</v>
      </c>
      <c r="P31" s="53" t="s">
        <v>1</v>
      </c>
      <c r="Q31" s="54" t="s">
        <v>2</v>
      </c>
      <c r="R31" s="42" t="s">
        <v>10</v>
      </c>
      <c r="S31" s="42" t="s">
        <v>762</v>
      </c>
      <c r="T31" s="43">
        <v>196141.8</v>
      </c>
      <c r="U31" s="52"/>
      <c r="V31" s="43">
        <v>196141.8</v>
      </c>
      <c r="W31" s="44">
        <v>0</v>
      </c>
      <c r="X31" s="59"/>
      <c r="Y31" s="46"/>
      <c r="Z31" s="47"/>
      <c r="AA31" s="47"/>
      <c r="AB31" s="47"/>
      <c r="AC31" s="47"/>
      <c r="AD31" s="47"/>
      <c r="AE31" s="44"/>
      <c r="AF31" s="44"/>
      <c r="AG31" s="44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4"/>
      <c r="AZ31" s="44"/>
      <c r="BA31" s="44"/>
      <c r="BB31" s="44"/>
      <c r="BD31" s="73"/>
      <c r="BE31" s="43"/>
      <c r="BG31" s="43"/>
      <c r="BH31" s="44"/>
      <c r="BI31" s="44"/>
      <c r="BJ31" s="44"/>
      <c r="BK31" s="44"/>
      <c r="BL31" s="44"/>
      <c r="BM31" s="43">
        <v>196141.8</v>
      </c>
      <c r="BN31" s="44"/>
      <c r="BO31" s="44"/>
      <c r="BP31" s="49"/>
      <c r="BQ31" s="44"/>
      <c r="BR31" s="44"/>
      <c r="BS31" s="44"/>
      <c r="BT31" s="43">
        <v>196141.8</v>
      </c>
      <c r="BU31" s="47"/>
      <c r="BV31" s="44"/>
      <c r="BW31" s="44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7"/>
      <c r="CI31" s="44"/>
      <c r="CJ31" s="44"/>
      <c r="CK31" s="44"/>
      <c r="CL31" s="44"/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7"/>
      <c r="DY31" s="47"/>
      <c r="DZ31" s="47"/>
    </row>
    <row r="32" spans="1:130" s="75" customFormat="1" ht="27.6">
      <c r="A32" s="33">
        <v>44210</v>
      </c>
      <c r="B32" s="34" t="s">
        <v>759</v>
      </c>
      <c r="C32" s="286" t="s">
        <v>4</v>
      </c>
      <c r="D32" s="36">
        <v>0.57777777777777783</v>
      </c>
      <c r="E32" s="36">
        <v>0.58680555555555558</v>
      </c>
      <c r="F32" s="37" t="s">
        <v>0</v>
      </c>
      <c r="G32" s="38">
        <v>1</v>
      </c>
      <c r="H32" s="39">
        <v>732</v>
      </c>
      <c r="I32" s="51" t="s">
        <v>22</v>
      </c>
      <c r="J32" s="55"/>
      <c r="K32" s="55"/>
      <c r="L32" s="56"/>
      <c r="M32" s="56"/>
      <c r="N32" s="56"/>
      <c r="O32" s="53" t="s">
        <v>1</v>
      </c>
      <c r="P32" s="53" t="s">
        <v>1</v>
      </c>
      <c r="Q32" s="54" t="s">
        <v>2</v>
      </c>
      <c r="R32" s="42" t="s">
        <v>10</v>
      </c>
      <c r="S32" s="42" t="s">
        <v>762</v>
      </c>
      <c r="T32" s="58">
        <v>3800</v>
      </c>
      <c r="U32" s="67"/>
      <c r="V32" s="58">
        <v>3800</v>
      </c>
      <c r="W32" s="44">
        <v>0</v>
      </c>
      <c r="X32" s="69"/>
      <c r="Y32" s="70"/>
      <c r="Z32" s="71"/>
      <c r="AA32" s="71"/>
      <c r="AB32" s="71"/>
      <c r="AC32" s="71"/>
      <c r="AD32" s="71"/>
      <c r="AE32" s="43"/>
      <c r="AF32" s="43"/>
      <c r="AG32" s="43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43"/>
      <c r="AZ32" s="43"/>
      <c r="BA32" s="43"/>
      <c r="BB32" s="43"/>
      <c r="BD32" s="73"/>
      <c r="BE32" s="43"/>
      <c r="BF32" s="43"/>
      <c r="BG32" s="43"/>
      <c r="BH32" s="43"/>
      <c r="BI32" s="43"/>
      <c r="BJ32" s="43"/>
      <c r="BK32" s="43"/>
      <c r="BL32" s="43"/>
      <c r="BN32" s="58">
        <v>3800</v>
      </c>
      <c r="BO32" s="43"/>
      <c r="BP32" s="74"/>
      <c r="BQ32" s="43"/>
      <c r="BR32" s="43"/>
      <c r="BS32" s="43"/>
      <c r="BT32" s="58">
        <v>3800</v>
      </c>
      <c r="BU32" s="71"/>
      <c r="BV32" s="43"/>
      <c r="BW32" s="43"/>
      <c r="BX32" s="43"/>
      <c r="BY32" s="43"/>
      <c r="BZ32" s="43"/>
      <c r="CA32" s="43"/>
      <c r="CB32" s="43">
        <v>0</v>
      </c>
      <c r="CC32" s="43"/>
      <c r="CD32" s="58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71"/>
      <c r="DY32" s="71"/>
      <c r="DZ32" s="71"/>
    </row>
    <row r="33" spans="1:130" s="75" customFormat="1" ht="27.6">
      <c r="A33" s="33">
        <v>44210</v>
      </c>
      <c r="B33" s="34" t="s">
        <v>759</v>
      </c>
      <c r="C33" s="286" t="s">
        <v>4</v>
      </c>
      <c r="D33" s="36">
        <v>0.57777777777777783</v>
      </c>
      <c r="E33" s="36">
        <v>0.58680555555555558</v>
      </c>
      <c r="F33" s="37" t="s">
        <v>0</v>
      </c>
      <c r="G33" s="38">
        <v>1</v>
      </c>
      <c r="H33" s="55">
        <v>733</v>
      </c>
      <c r="I33" s="51" t="s">
        <v>23</v>
      </c>
      <c r="J33" s="55"/>
      <c r="K33" s="55"/>
      <c r="L33" s="56"/>
      <c r="M33" s="56"/>
      <c r="N33" s="56"/>
      <c r="O33" s="53" t="s">
        <v>1</v>
      </c>
      <c r="P33" s="53" t="s">
        <v>1</v>
      </c>
      <c r="Q33" s="54" t="s">
        <v>2</v>
      </c>
      <c r="R33" s="42" t="s">
        <v>10</v>
      </c>
      <c r="S33" s="42" t="s">
        <v>762</v>
      </c>
      <c r="T33" s="43">
        <v>21044.43</v>
      </c>
      <c r="U33" s="67"/>
      <c r="V33" s="43">
        <v>21044.43</v>
      </c>
      <c r="W33" s="44">
        <v>0</v>
      </c>
      <c r="X33" s="69"/>
      <c r="Y33" s="70"/>
      <c r="Z33" s="71"/>
      <c r="AA33" s="71"/>
      <c r="AB33" s="71"/>
      <c r="AC33" s="71"/>
      <c r="AD33" s="71"/>
      <c r="AE33" s="43"/>
      <c r="AF33" s="43"/>
      <c r="AG33" s="43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43"/>
      <c r="AZ33" s="43"/>
      <c r="BA33" s="43"/>
      <c r="BB33" s="43"/>
      <c r="BD33" s="73"/>
      <c r="BE33" s="43"/>
      <c r="BF33" s="43"/>
      <c r="BG33" s="43"/>
      <c r="BH33" s="43"/>
      <c r="BI33" s="43"/>
      <c r="BJ33" s="43"/>
      <c r="BK33" s="43"/>
      <c r="BL33" s="43"/>
      <c r="BM33" s="72"/>
      <c r="BN33" s="72"/>
      <c r="BO33" s="43">
        <v>21044.43</v>
      </c>
      <c r="BP33" s="43"/>
      <c r="BQ33" s="43"/>
      <c r="BR33" s="43"/>
      <c r="BS33" s="43"/>
      <c r="BT33" s="43">
        <v>21044.43</v>
      </c>
      <c r="BU33" s="71"/>
      <c r="BV33" s="43"/>
      <c r="BW33" s="43"/>
      <c r="BX33" s="43"/>
      <c r="BY33" s="43"/>
      <c r="BZ33" s="43"/>
      <c r="CA33" s="43"/>
      <c r="CB33" s="43">
        <v>0</v>
      </c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71"/>
      <c r="DY33" s="71"/>
      <c r="DZ33" s="71"/>
    </row>
    <row r="34" spans="1:130" s="75" customFormat="1" ht="27.6">
      <c r="A34" s="33">
        <v>44210</v>
      </c>
      <c r="B34" s="34" t="s">
        <v>759</v>
      </c>
      <c r="C34" s="286" t="s">
        <v>4</v>
      </c>
      <c r="D34" s="36">
        <v>0.57777777777777783</v>
      </c>
      <c r="E34" s="36">
        <v>0.58680555555555558</v>
      </c>
      <c r="F34" s="37" t="s">
        <v>0</v>
      </c>
      <c r="G34" s="38">
        <v>1</v>
      </c>
      <c r="H34" s="55">
        <v>734</v>
      </c>
      <c r="I34" s="51" t="s">
        <v>24</v>
      </c>
      <c r="J34" s="55"/>
      <c r="K34" s="55"/>
      <c r="L34" s="56"/>
      <c r="M34" s="56"/>
      <c r="N34" s="56"/>
      <c r="O34" s="53" t="s">
        <v>1</v>
      </c>
      <c r="P34" s="53" t="s">
        <v>1</v>
      </c>
      <c r="Q34" s="54" t="s">
        <v>2</v>
      </c>
      <c r="R34" s="42" t="s">
        <v>10</v>
      </c>
      <c r="S34" s="42" t="s">
        <v>762</v>
      </c>
      <c r="T34" s="43">
        <v>3800</v>
      </c>
      <c r="U34" s="67"/>
      <c r="V34" s="43">
        <v>3800</v>
      </c>
      <c r="W34" s="44">
        <v>0</v>
      </c>
      <c r="X34" s="69"/>
      <c r="Y34" s="70"/>
      <c r="Z34" s="71"/>
      <c r="AA34" s="71"/>
      <c r="AB34" s="71"/>
      <c r="AC34" s="71"/>
      <c r="AD34" s="71"/>
      <c r="AE34" s="43"/>
      <c r="AF34" s="43"/>
      <c r="AG34" s="43"/>
      <c r="AH34" s="71"/>
      <c r="AI34" s="71"/>
      <c r="AJ34" s="71"/>
      <c r="AK34" s="71"/>
      <c r="AL34" s="71"/>
      <c r="AM34" s="71"/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43"/>
      <c r="AZ34" s="43"/>
      <c r="BA34" s="43"/>
      <c r="BB34" s="43"/>
      <c r="BD34" s="73"/>
      <c r="BE34" s="43"/>
      <c r="BF34" s="43"/>
      <c r="BG34" s="43"/>
      <c r="BH34" s="43"/>
      <c r="BI34" s="43"/>
      <c r="BJ34" s="43"/>
      <c r="BK34" s="43"/>
      <c r="BL34" s="43"/>
      <c r="BM34" s="72"/>
      <c r="BN34" s="72"/>
      <c r="BO34" s="72"/>
      <c r="BP34" s="43">
        <v>3800</v>
      </c>
      <c r="BQ34" s="43"/>
      <c r="BR34" s="43"/>
      <c r="BS34" s="43"/>
      <c r="BT34" s="43">
        <v>3800</v>
      </c>
      <c r="BU34" s="71"/>
      <c r="BV34" s="43"/>
      <c r="BW34" s="43"/>
      <c r="BX34" s="43"/>
      <c r="BY34" s="43"/>
      <c r="BZ34" s="43"/>
      <c r="CA34" s="43"/>
      <c r="CB34" s="43">
        <v>0</v>
      </c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71"/>
      <c r="DY34" s="71"/>
      <c r="DZ34" s="71"/>
    </row>
    <row r="35" spans="1:130" s="75" customFormat="1" ht="27.6">
      <c r="A35" s="76">
        <v>44211</v>
      </c>
      <c r="B35" s="34" t="s">
        <v>759</v>
      </c>
      <c r="C35" s="286" t="s">
        <v>763</v>
      </c>
      <c r="D35" s="61">
        <v>0.59097222222222223</v>
      </c>
      <c r="E35" s="61">
        <v>0.59513888888888888</v>
      </c>
      <c r="F35" s="55" t="s">
        <v>0</v>
      </c>
      <c r="G35" s="38">
        <v>1</v>
      </c>
      <c r="H35" s="39">
        <v>701</v>
      </c>
      <c r="I35" s="51" t="str">
        <f>VLOOKUP(H35,'[2]Chart of accounts'!A:H,2,FALSE)</f>
        <v>50101010 01</v>
      </c>
      <c r="J35" s="39"/>
      <c r="K35" s="39"/>
      <c r="L35" s="34"/>
      <c r="M35" s="34"/>
      <c r="N35" s="34"/>
      <c r="O35" s="53" t="s">
        <v>1</v>
      </c>
      <c r="P35" s="53" t="s">
        <v>1</v>
      </c>
      <c r="Q35" s="66" t="s">
        <v>769</v>
      </c>
      <c r="R35" s="58" t="s">
        <v>764</v>
      </c>
      <c r="S35" s="42" t="s">
        <v>762</v>
      </c>
      <c r="T35" s="43">
        <v>377575</v>
      </c>
      <c r="U35" s="67"/>
      <c r="V35" s="68">
        <v>377575</v>
      </c>
      <c r="W35" s="44">
        <f t="shared" ref="W35:W70" si="0">+T35-V35</f>
        <v>0</v>
      </c>
      <c r="X35" s="69"/>
      <c r="Y35" s="70"/>
      <c r="Z35" s="71"/>
      <c r="AA35" s="71"/>
      <c r="AB35" s="71"/>
      <c r="AC35" s="71"/>
      <c r="AD35" s="71"/>
      <c r="AE35" s="43"/>
      <c r="AF35" s="43"/>
      <c r="AG35" s="43"/>
      <c r="AH35" s="71"/>
      <c r="AI35" s="71"/>
      <c r="AJ35" s="71"/>
      <c r="AK35" s="71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43"/>
      <c r="AZ35" s="43"/>
      <c r="BA35" s="43"/>
      <c r="BB35" s="43"/>
      <c r="BC35" s="43">
        <v>377575</v>
      </c>
      <c r="BD35" s="7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74"/>
      <c r="BQ35" s="43"/>
      <c r="BR35" s="43"/>
      <c r="BS35" s="43"/>
      <c r="BT35" s="43">
        <v>377575</v>
      </c>
      <c r="BU35" s="71"/>
      <c r="BV35" s="43"/>
      <c r="BW35" s="43"/>
      <c r="BX35" s="43"/>
      <c r="BY35" s="43"/>
      <c r="BZ35" s="43"/>
      <c r="CA35" s="43"/>
      <c r="CB35" s="43">
        <f t="shared" ref="CB35:CB64" si="1">SUM(CD35:DZ35)-W35</f>
        <v>0</v>
      </c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71"/>
      <c r="DY35" s="71"/>
      <c r="DZ35" s="71"/>
    </row>
    <row r="36" spans="1:130" s="32" customFormat="1" ht="27.6">
      <c r="A36" s="76">
        <v>44211</v>
      </c>
      <c r="B36" s="34" t="s">
        <v>759</v>
      </c>
      <c r="C36" s="286" t="s">
        <v>763</v>
      </c>
      <c r="D36" s="61">
        <v>0.59097222222222223</v>
      </c>
      <c r="E36" s="61">
        <v>0.59513888888888888</v>
      </c>
      <c r="F36" s="55" t="s">
        <v>0</v>
      </c>
      <c r="G36" s="38">
        <v>1</v>
      </c>
      <c r="H36" s="39">
        <v>711</v>
      </c>
      <c r="I36" s="51" t="str">
        <f>VLOOKUP(H36,'[2]Chart of accounts'!A:H,2,FALSE)</f>
        <v>50102010 01</v>
      </c>
      <c r="J36" s="39"/>
      <c r="K36" s="39"/>
      <c r="L36" s="34"/>
      <c r="M36" s="34"/>
      <c r="N36" s="34"/>
      <c r="O36" s="53" t="s">
        <v>1</v>
      </c>
      <c r="P36" s="53" t="s">
        <v>1</v>
      </c>
      <c r="Q36" s="66" t="s">
        <v>769</v>
      </c>
      <c r="R36" s="58" t="s">
        <v>764</v>
      </c>
      <c r="S36" s="42" t="s">
        <v>762</v>
      </c>
      <c r="T36" s="43">
        <v>22000</v>
      </c>
      <c r="U36" s="52"/>
      <c r="V36" s="49">
        <v>22000</v>
      </c>
      <c r="W36" s="44">
        <f t="shared" si="0"/>
        <v>0</v>
      </c>
      <c r="X36" s="45"/>
      <c r="Y36" s="46"/>
      <c r="Z36" s="47"/>
      <c r="AA36" s="47"/>
      <c r="AB36" s="47"/>
      <c r="AC36" s="47"/>
      <c r="AD36" s="47"/>
      <c r="AE36" s="44"/>
      <c r="AF36" s="44"/>
      <c r="AG36" s="44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4"/>
      <c r="AZ36" s="44"/>
      <c r="BA36" s="44"/>
      <c r="BB36" s="44"/>
      <c r="BC36" s="43"/>
      <c r="BD36" s="48"/>
      <c r="BE36" s="43">
        <v>22000</v>
      </c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9"/>
      <c r="BQ36" s="44"/>
      <c r="BR36" s="44"/>
      <c r="BS36" s="44"/>
      <c r="BT36" s="43">
        <v>22000</v>
      </c>
      <c r="BU36" s="47"/>
      <c r="BV36" s="44"/>
      <c r="BW36" s="44"/>
      <c r="BX36" s="44"/>
      <c r="BY36" s="44"/>
      <c r="BZ36" s="44"/>
      <c r="CA36" s="44"/>
      <c r="CB36" s="43">
        <f t="shared" si="1"/>
        <v>0</v>
      </c>
      <c r="CC36" s="44"/>
      <c r="CD36" s="44"/>
      <c r="CE36" s="44"/>
      <c r="CF36" s="44"/>
      <c r="CG36" s="44"/>
      <c r="CH36" s="47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3"/>
      <c r="DD36" s="44"/>
      <c r="DF36" s="44"/>
      <c r="DG36" s="44"/>
      <c r="DH36" s="62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/>
      <c r="DX36" s="47"/>
      <c r="DY36" s="47"/>
      <c r="DZ36" s="47"/>
    </row>
    <row r="37" spans="1:130" s="32" customFormat="1" ht="27.6">
      <c r="A37" s="76">
        <v>44211</v>
      </c>
      <c r="B37" s="34" t="s">
        <v>759</v>
      </c>
      <c r="C37" s="286" t="s">
        <v>763</v>
      </c>
      <c r="D37" s="61">
        <v>0.59097222222222223</v>
      </c>
      <c r="E37" s="61">
        <v>0.59513888888888888</v>
      </c>
      <c r="F37" s="55" t="s">
        <v>0</v>
      </c>
      <c r="G37" s="38">
        <v>1</v>
      </c>
      <c r="H37" s="39">
        <v>731</v>
      </c>
      <c r="I37" s="51" t="str">
        <f>VLOOKUP(H37,'[2]Chart of accounts'!A:H,2,FALSE)</f>
        <v>50103010 00</v>
      </c>
      <c r="J37" s="39"/>
      <c r="K37" s="39"/>
      <c r="L37" s="34"/>
      <c r="M37" s="34"/>
      <c r="N37" s="34"/>
      <c r="O37" s="53" t="s">
        <v>1</v>
      </c>
      <c r="P37" s="53" t="s">
        <v>1</v>
      </c>
      <c r="Q37" s="66" t="s">
        <v>769</v>
      </c>
      <c r="R37" s="58" t="s">
        <v>764</v>
      </c>
      <c r="S37" s="42" t="s">
        <v>762</v>
      </c>
      <c r="T37" s="43">
        <v>45309</v>
      </c>
      <c r="U37" s="52"/>
      <c r="V37" s="49">
        <v>45309</v>
      </c>
      <c r="W37" s="44">
        <f t="shared" si="0"/>
        <v>0</v>
      </c>
      <c r="X37" s="45"/>
      <c r="Y37" s="46"/>
      <c r="Z37" s="47"/>
      <c r="AA37" s="47"/>
      <c r="AB37" s="47"/>
      <c r="AC37" s="47"/>
      <c r="AD37" s="47"/>
      <c r="AE37" s="44"/>
      <c r="AF37" s="44"/>
      <c r="AG37" s="44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4"/>
      <c r="AZ37" s="44"/>
      <c r="BA37" s="44"/>
      <c r="BB37" s="44"/>
      <c r="BC37" s="43"/>
      <c r="BD37" s="48"/>
      <c r="BF37" s="44"/>
      <c r="BG37" s="44"/>
      <c r="BH37" s="44"/>
      <c r="BI37" s="44"/>
      <c r="BJ37" s="44"/>
      <c r="BK37" s="44"/>
      <c r="BL37" s="44"/>
      <c r="BM37" s="43">
        <v>45309</v>
      </c>
      <c r="BN37" s="44"/>
      <c r="BO37" s="44"/>
      <c r="BP37" s="49"/>
      <c r="BQ37" s="44"/>
      <c r="BR37" s="44"/>
      <c r="BS37" s="44"/>
      <c r="BT37" s="43">
        <v>45309</v>
      </c>
      <c r="BU37" s="47"/>
      <c r="BV37" s="44"/>
      <c r="BW37" s="43"/>
      <c r="BX37" s="44"/>
      <c r="BY37" s="44"/>
      <c r="BZ37" s="44"/>
      <c r="CA37" s="44"/>
      <c r="CB37" s="43">
        <f t="shared" si="1"/>
        <v>0</v>
      </c>
      <c r="CC37" s="44"/>
      <c r="CD37" s="44"/>
      <c r="CE37" s="44"/>
      <c r="CF37" s="44"/>
      <c r="CG37" s="44"/>
      <c r="CH37" s="47"/>
      <c r="CI37" s="44"/>
      <c r="CJ37" s="44"/>
      <c r="CK37" s="44"/>
      <c r="CL37" s="44"/>
      <c r="CM37" s="44"/>
      <c r="CN37" s="44"/>
      <c r="CO37" s="44"/>
      <c r="CP37" s="44"/>
      <c r="CQ37" s="44"/>
      <c r="CR37" s="44"/>
      <c r="CS37" s="44"/>
      <c r="CT37" s="44"/>
      <c r="CU37" s="44"/>
      <c r="CV37" s="44"/>
      <c r="CW37" s="44"/>
      <c r="CX37" s="44"/>
      <c r="CY37" s="44"/>
      <c r="CZ37" s="44"/>
      <c r="DA37" s="44"/>
      <c r="DB37" s="44"/>
      <c r="DD37" s="44"/>
      <c r="DE37" s="43"/>
      <c r="DF37" s="62"/>
      <c r="DG37" s="44"/>
      <c r="DH37" s="62"/>
      <c r="DI37" s="44"/>
      <c r="DJ37" s="44"/>
      <c r="DK37" s="44"/>
      <c r="DL37" s="44"/>
      <c r="DM37" s="44"/>
      <c r="DN37" s="44"/>
      <c r="DO37" s="44"/>
      <c r="DP37" s="44"/>
      <c r="DQ37" s="44"/>
      <c r="DR37" s="44"/>
      <c r="DS37" s="44"/>
      <c r="DT37" s="44"/>
      <c r="DU37" s="44"/>
      <c r="DV37" s="44"/>
      <c r="DW37" s="44"/>
      <c r="DX37" s="47"/>
      <c r="DY37" s="47"/>
      <c r="DZ37" s="47"/>
    </row>
    <row r="38" spans="1:130" s="32" customFormat="1" ht="27.6">
      <c r="A38" s="76">
        <v>44211</v>
      </c>
      <c r="B38" s="34" t="s">
        <v>759</v>
      </c>
      <c r="C38" s="286" t="s">
        <v>763</v>
      </c>
      <c r="D38" s="61">
        <v>0.59097222222222223</v>
      </c>
      <c r="E38" s="61">
        <v>0.59513888888888888</v>
      </c>
      <c r="F38" s="55" t="s">
        <v>0</v>
      </c>
      <c r="G38" s="38">
        <v>1</v>
      </c>
      <c r="H38" s="39">
        <v>732</v>
      </c>
      <c r="I38" s="51" t="str">
        <f>VLOOKUP(H38,'[2]Chart of accounts'!A:H,2,FALSE)</f>
        <v>50103020 01</v>
      </c>
      <c r="J38" s="55"/>
      <c r="K38" s="55"/>
      <c r="L38" s="56"/>
      <c r="M38" s="56"/>
      <c r="N38" s="56"/>
      <c r="O38" s="53" t="s">
        <v>1</v>
      </c>
      <c r="P38" s="53" t="s">
        <v>1</v>
      </c>
      <c r="Q38" s="66" t="s">
        <v>769</v>
      </c>
      <c r="R38" s="58" t="s">
        <v>764</v>
      </c>
      <c r="S38" s="42" t="s">
        <v>762</v>
      </c>
      <c r="T38" s="43">
        <v>1100</v>
      </c>
      <c r="U38" s="52"/>
      <c r="V38" s="49">
        <v>1100</v>
      </c>
      <c r="W38" s="44">
        <f t="shared" si="0"/>
        <v>0</v>
      </c>
      <c r="X38" s="45"/>
      <c r="Y38" s="46"/>
      <c r="Z38" s="47"/>
      <c r="AA38" s="47"/>
      <c r="AB38" s="47"/>
      <c r="AC38" s="47"/>
      <c r="AD38" s="47"/>
      <c r="AE38" s="44"/>
      <c r="AF38" s="44"/>
      <c r="AG38" s="44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4"/>
      <c r="AZ38" s="44"/>
      <c r="BA38" s="44"/>
      <c r="BB38" s="44"/>
      <c r="BC38" s="43"/>
      <c r="BD38" s="48"/>
      <c r="BF38" s="44"/>
      <c r="BG38" s="44"/>
      <c r="BH38" s="44"/>
      <c r="BI38" s="44"/>
      <c r="BJ38" s="44"/>
      <c r="BK38" s="44"/>
      <c r="BL38" s="44"/>
      <c r="BN38" s="43">
        <v>1100</v>
      </c>
      <c r="BO38" s="44"/>
      <c r="BP38" s="49"/>
      <c r="BQ38" s="44"/>
      <c r="BR38" s="44"/>
      <c r="BS38" s="44"/>
      <c r="BT38" s="43">
        <v>1100</v>
      </c>
      <c r="BU38" s="47"/>
      <c r="BV38" s="44"/>
      <c r="BW38" s="43"/>
      <c r="BX38" s="44"/>
      <c r="BY38" s="44"/>
      <c r="BZ38" s="44"/>
      <c r="CA38" s="44"/>
      <c r="CB38" s="43">
        <f t="shared" si="1"/>
        <v>0</v>
      </c>
      <c r="CC38" s="44"/>
      <c r="CD38" s="44"/>
      <c r="CE38" s="44"/>
      <c r="CF38" s="44"/>
      <c r="CG38" s="44"/>
      <c r="CH38" s="47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D38" s="44"/>
      <c r="DF38" s="62"/>
      <c r="DG38" s="44"/>
      <c r="DH38" s="43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7"/>
      <c r="DY38" s="47"/>
      <c r="DZ38" s="47"/>
    </row>
    <row r="39" spans="1:130" s="32" customFormat="1" ht="27.6">
      <c r="A39" s="76">
        <v>44211</v>
      </c>
      <c r="B39" s="34" t="s">
        <v>759</v>
      </c>
      <c r="C39" s="286" t="s">
        <v>763</v>
      </c>
      <c r="D39" s="61">
        <v>0.59097222222222223</v>
      </c>
      <c r="E39" s="61">
        <v>0.59513888888888888</v>
      </c>
      <c r="F39" s="55" t="s">
        <v>0</v>
      </c>
      <c r="G39" s="38">
        <v>1</v>
      </c>
      <c r="H39" s="55">
        <v>733</v>
      </c>
      <c r="I39" s="51" t="str">
        <f>VLOOKUP(H39,'[2]Chart of accounts'!A:H,2,FALSE)</f>
        <v>50103030 01</v>
      </c>
      <c r="J39" s="55"/>
      <c r="K39" s="55"/>
      <c r="L39" s="56"/>
      <c r="M39" s="56"/>
      <c r="N39" s="56"/>
      <c r="O39" s="53" t="s">
        <v>1</v>
      </c>
      <c r="P39" s="53" t="s">
        <v>1</v>
      </c>
      <c r="Q39" s="66" t="s">
        <v>769</v>
      </c>
      <c r="R39" s="58" t="s">
        <v>764</v>
      </c>
      <c r="S39" s="42" t="s">
        <v>762</v>
      </c>
      <c r="T39" s="43">
        <v>5560.64</v>
      </c>
      <c r="U39" s="52"/>
      <c r="V39" s="43">
        <v>5560.64</v>
      </c>
      <c r="W39" s="44">
        <f t="shared" si="0"/>
        <v>0</v>
      </c>
      <c r="X39" s="45"/>
      <c r="Y39" s="46"/>
      <c r="Z39" s="47"/>
      <c r="AA39" s="47"/>
      <c r="AB39" s="47"/>
      <c r="AC39" s="47"/>
      <c r="AD39" s="47"/>
      <c r="AE39" s="44"/>
      <c r="AF39" s="44"/>
      <c r="AG39" s="44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4"/>
      <c r="AZ39" s="44"/>
      <c r="BA39" s="44"/>
      <c r="BB39" s="44"/>
      <c r="BC39" s="43"/>
      <c r="BD39" s="48"/>
      <c r="BF39" s="44"/>
      <c r="BG39" s="44"/>
      <c r="BH39" s="44"/>
      <c r="BI39" s="44"/>
      <c r="BJ39" s="44"/>
      <c r="BK39" s="44"/>
      <c r="BL39" s="44"/>
      <c r="BO39" s="43">
        <v>5560.64</v>
      </c>
      <c r="BP39" s="49"/>
      <c r="BQ39" s="44"/>
      <c r="BR39" s="44"/>
      <c r="BS39" s="44"/>
      <c r="BT39" s="43">
        <v>5560.64</v>
      </c>
      <c r="BU39" s="47"/>
      <c r="BV39" s="44"/>
      <c r="BW39" s="50"/>
      <c r="BX39" s="44"/>
      <c r="BY39" s="44"/>
      <c r="BZ39" s="44"/>
      <c r="CA39" s="44"/>
      <c r="CB39" s="43">
        <f t="shared" si="1"/>
        <v>0</v>
      </c>
      <c r="CC39" s="44"/>
      <c r="CD39" s="65"/>
      <c r="CE39" s="44"/>
      <c r="CF39" s="44"/>
      <c r="CG39" s="44"/>
      <c r="CH39" s="47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50"/>
      <c r="CY39" s="44"/>
      <c r="CZ39" s="44"/>
      <c r="DA39" s="44"/>
      <c r="DB39" s="44"/>
      <c r="DC39" s="44"/>
      <c r="DD39" s="44"/>
      <c r="DE39" s="44"/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7"/>
      <c r="DY39" s="47"/>
      <c r="DZ39" s="47"/>
    </row>
    <row r="40" spans="1:130" s="32" customFormat="1" ht="27.6">
      <c r="A40" s="76">
        <v>44211</v>
      </c>
      <c r="B40" s="34" t="s">
        <v>759</v>
      </c>
      <c r="C40" s="286" t="s">
        <v>763</v>
      </c>
      <c r="D40" s="61">
        <v>0.59097222222222223</v>
      </c>
      <c r="E40" s="61">
        <v>0.59513888888888888</v>
      </c>
      <c r="F40" s="55" t="s">
        <v>0</v>
      </c>
      <c r="G40" s="38">
        <v>1</v>
      </c>
      <c r="H40" s="55">
        <v>734</v>
      </c>
      <c r="I40" s="51" t="str">
        <f>VLOOKUP(H40,'[2]Chart of accounts'!A:H,2,FALSE)</f>
        <v>50103040 01</v>
      </c>
      <c r="J40" s="55"/>
      <c r="K40" s="55"/>
      <c r="L40" s="56"/>
      <c r="M40" s="56"/>
      <c r="N40" s="56"/>
      <c r="O40" s="53" t="s">
        <v>1</v>
      </c>
      <c r="P40" s="53" t="s">
        <v>1</v>
      </c>
      <c r="Q40" s="66" t="s">
        <v>769</v>
      </c>
      <c r="R40" s="58" t="s">
        <v>764</v>
      </c>
      <c r="S40" s="42" t="s">
        <v>762</v>
      </c>
      <c r="T40" s="43">
        <v>1100</v>
      </c>
      <c r="U40" s="52"/>
      <c r="V40" s="43">
        <v>1100</v>
      </c>
      <c r="W40" s="44">
        <f t="shared" si="0"/>
        <v>0</v>
      </c>
      <c r="X40" s="45"/>
      <c r="Y40" s="46"/>
      <c r="Z40" s="47"/>
      <c r="AA40" s="47"/>
      <c r="AB40" s="47"/>
      <c r="AC40" s="47"/>
      <c r="AD40" s="47"/>
      <c r="AE40" s="44"/>
      <c r="AF40" s="44"/>
      <c r="AG40" s="44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4"/>
      <c r="AZ40" s="44"/>
      <c r="BA40" s="44"/>
      <c r="BB40" s="44"/>
      <c r="BC40" s="43"/>
      <c r="BD40" s="48"/>
      <c r="BF40" s="44"/>
      <c r="BG40" s="44"/>
      <c r="BH40" s="44"/>
      <c r="BI40" s="44"/>
      <c r="BJ40" s="44"/>
      <c r="BK40" s="44"/>
      <c r="BL40" s="44"/>
      <c r="BP40" s="43">
        <v>1100</v>
      </c>
      <c r="BQ40" s="44"/>
      <c r="BR40" s="44"/>
      <c r="BS40" s="44"/>
      <c r="BT40" s="43">
        <v>1100</v>
      </c>
      <c r="BU40" s="47"/>
      <c r="BV40" s="44"/>
      <c r="BW40" s="50"/>
      <c r="BX40" s="44"/>
      <c r="BY40" s="44"/>
      <c r="BZ40" s="44"/>
      <c r="CA40" s="44"/>
      <c r="CB40" s="43">
        <f t="shared" si="1"/>
        <v>0</v>
      </c>
      <c r="CC40" s="44"/>
      <c r="CD40" s="65"/>
      <c r="CE40" s="44"/>
      <c r="CF40" s="44"/>
      <c r="CG40" s="44"/>
      <c r="CH40" s="47"/>
      <c r="CI40" s="44"/>
      <c r="CJ40" s="44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50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44"/>
      <c r="DJ40" s="44"/>
      <c r="DK40" s="44"/>
      <c r="DL40" s="44"/>
      <c r="DM40" s="44"/>
      <c r="DN40" s="44"/>
      <c r="DO40" s="44"/>
      <c r="DP40" s="44"/>
      <c r="DQ40" s="44"/>
      <c r="DR40" s="44"/>
      <c r="DS40" s="44"/>
      <c r="DT40" s="44"/>
      <c r="DU40" s="44"/>
      <c r="DV40" s="44"/>
      <c r="DW40" s="44"/>
      <c r="DX40" s="47"/>
      <c r="DY40" s="47"/>
      <c r="DZ40" s="47"/>
    </row>
    <row r="41" spans="1:130" s="32" customFormat="1" ht="27.6">
      <c r="A41" s="76">
        <v>44211</v>
      </c>
      <c r="B41" s="34" t="s">
        <v>759</v>
      </c>
      <c r="C41" s="286" t="s">
        <v>766</v>
      </c>
      <c r="D41" s="61">
        <v>0.59861111111111109</v>
      </c>
      <c r="E41" s="61">
        <v>0.6</v>
      </c>
      <c r="F41" s="55" t="s">
        <v>0</v>
      </c>
      <c r="G41" s="38">
        <v>1</v>
      </c>
      <c r="H41" s="39">
        <v>701</v>
      </c>
      <c r="I41" s="51" t="str">
        <f>VLOOKUP(H41,'[2]Chart of accounts'!A:H,2,FALSE)</f>
        <v>50101010 01</v>
      </c>
      <c r="J41" s="39"/>
      <c r="K41" s="39"/>
      <c r="L41" s="34"/>
      <c r="M41" s="34"/>
      <c r="N41" s="34"/>
      <c r="O41" s="53" t="s">
        <v>1</v>
      </c>
      <c r="P41" s="53" t="s">
        <v>1</v>
      </c>
      <c r="Q41" s="41" t="s">
        <v>770</v>
      </c>
      <c r="R41" s="42" t="s">
        <v>765</v>
      </c>
      <c r="S41" s="42" t="s">
        <v>762</v>
      </c>
      <c r="T41" s="43">
        <v>273461</v>
      </c>
      <c r="U41" s="52"/>
      <c r="V41" s="49">
        <v>273461</v>
      </c>
      <c r="W41" s="44">
        <f t="shared" si="0"/>
        <v>0</v>
      </c>
      <c r="X41" s="45"/>
      <c r="Y41" s="46"/>
      <c r="Z41" s="47"/>
      <c r="AA41" s="47"/>
      <c r="AB41" s="47"/>
      <c r="AC41" s="47"/>
      <c r="AD41" s="47"/>
      <c r="AE41" s="44"/>
      <c r="AF41" s="44"/>
      <c r="AG41" s="44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4"/>
      <c r="AZ41" s="44"/>
      <c r="BA41" s="44"/>
      <c r="BB41" s="44"/>
      <c r="BC41" s="43">
        <v>273461</v>
      </c>
      <c r="BD41" s="48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9"/>
      <c r="BQ41" s="44"/>
      <c r="BR41" s="44"/>
      <c r="BS41" s="44"/>
      <c r="BT41" s="43">
        <v>273461</v>
      </c>
      <c r="BU41" s="47"/>
      <c r="BV41" s="44"/>
      <c r="BW41" s="50"/>
      <c r="BX41" s="44"/>
      <c r="BY41" s="44"/>
      <c r="BZ41" s="44"/>
      <c r="CA41" s="44"/>
      <c r="CB41" s="43">
        <f t="shared" si="1"/>
        <v>0</v>
      </c>
      <c r="CC41" s="44"/>
      <c r="CD41" s="65"/>
      <c r="CE41" s="44"/>
      <c r="CF41" s="44"/>
      <c r="CG41" s="44"/>
      <c r="CH41" s="47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50"/>
      <c r="CY41" s="44"/>
      <c r="CZ41" s="44"/>
      <c r="DA41" s="44"/>
      <c r="DB41" s="44"/>
      <c r="DC41" s="44"/>
      <c r="DD41" s="44"/>
      <c r="DE41" s="44"/>
      <c r="DF41" s="44"/>
      <c r="DG41" s="44"/>
      <c r="DH41" s="44"/>
      <c r="DI41" s="44"/>
      <c r="DJ41" s="44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47"/>
      <c r="DY41" s="47"/>
      <c r="DZ41" s="47"/>
    </row>
    <row r="42" spans="1:130" s="32" customFormat="1" ht="27.6">
      <c r="A42" s="76">
        <v>44211</v>
      </c>
      <c r="B42" s="34" t="s">
        <v>759</v>
      </c>
      <c r="C42" s="286" t="s">
        <v>766</v>
      </c>
      <c r="D42" s="61">
        <v>0.59861111111111109</v>
      </c>
      <c r="E42" s="61">
        <v>0.6</v>
      </c>
      <c r="F42" s="55" t="s">
        <v>0</v>
      </c>
      <c r="G42" s="38">
        <v>1</v>
      </c>
      <c r="H42" s="39">
        <v>711</v>
      </c>
      <c r="I42" s="51" t="str">
        <f>VLOOKUP(H42,'[2]Chart of accounts'!A:H,2,FALSE)</f>
        <v>50102010 01</v>
      </c>
      <c r="J42" s="39"/>
      <c r="K42" s="39"/>
      <c r="L42" s="34"/>
      <c r="M42" s="34"/>
      <c r="N42" s="34"/>
      <c r="O42" s="53" t="s">
        <v>1</v>
      </c>
      <c r="P42" s="53" t="s">
        <v>1</v>
      </c>
      <c r="Q42" s="41" t="s">
        <v>770</v>
      </c>
      <c r="R42" s="42" t="s">
        <v>765</v>
      </c>
      <c r="S42" s="42" t="s">
        <v>762</v>
      </c>
      <c r="T42" s="43">
        <v>14000</v>
      </c>
      <c r="U42" s="52"/>
      <c r="V42" s="49">
        <v>14000</v>
      </c>
      <c r="W42" s="44">
        <f t="shared" si="0"/>
        <v>0</v>
      </c>
      <c r="X42" s="45"/>
      <c r="Y42" s="46"/>
      <c r="Z42" s="47"/>
      <c r="AA42" s="47"/>
      <c r="AB42" s="47"/>
      <c r="AC42" s="47"/>
      <c r="AD42" s="47"/>
      <c r="AE42" s="44"/>
      <c r="AF42" s="44"/>
      <c r="AG42" s="44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4"/>
      <c r="AZ42" s="44"/>
      <c r="BA42" s="44"/>
      <c r="BB42" s="44"/>
      <c r="BD42" s="48"/>
      <c r="BE42" s="43">
        <v>14000</v>
      </c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9"/>
      <c r="BQ42" s="44"/>
      <c r="BR42" s="44"/>
      <c r="BS42" s="44"/>
      <c r="BT42" s="43">
        <v>14000</v>
      </c>
      <c r="BU42" s="47"/>
      <c r="BV42" s="44"/>
      <c r="BW42" s="50"/>
      <c r="BX42" s="44"/>
      <c r="BY42" s="44"/>
      <c r="BZ42" s="44"/>
      <c r="CA42" s="44"/>
      <c r="CB42" s="43">
        <f t="shared" si="1"/>
        <v>0</v>
      </c>
      <c r="CC42" s="44"/>
      <c r="CD42" s="65"/>
      <c r="CE42" s="44"/>
      <c r="CF42" s="44"/>
      <c r="CG42" s="44"/>
      <c r="CH42" s="47"/>
      <c r="CI42" s="44"/>
      <c r="CJ42" s="44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50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44"/>
      <c r="DJ42" s="44"/>
      <c r="DK42" s="44"/>
      <c r="DL42" s="44"/>
      <c r="DM42" s="44"/>
      <c r="DN42" s="44"/>
      <c r="DO42" s="44"/>
      <c r="DP42" s="44"/>
      <c r="DQ42" s="44"/>
      <c r="DR42" s="44"/>
      <c r="DS42" s="44"/>
      <c r="DT42" s="44"/>
      <c r="DU42" s="44"/>
      <c r="DV42" s="44"/>
      <c r="DW42" s="44"/>
      <c r="DX42" s="47"/>
      <c r="DY42" s="47"/>
      <c r="DZ42" s="47"/>
    </row>
    <row r="43" spans="1:130" s="32" customFormat="1" ht="27.6">
      <c r="A43" s="76">
        <v>44211</v>
      </c>
      <c r="B43" s="34" t="s">
        <v>759</v>
      </c>
      <c r="C43" s="286" t="s">
        <v>766</v>
      </c>
      <c r="D43" s="61">
        <v>0.59861111111111109</v>
      </c>
      <c r="E43" s="61">
        <v>0.6</v>
      </c>
      <c r="F43" s="55" t="s">
        <v>0</v>
      </c>
      <c r="G43" s="38">
        <v>1</v>
      </c>
      <c r="H43" s="39">
        <v>731</v>
      </c>
      <c r="I43" s="51" t="str">
        <f>VLOOKUP(H43,'[2]Chart of accounts'!A:H,2,FALSE)</f>
        <v>50103010 00</v>
      </c>
      <c r="J43" s="39"/>
      <c r="K43" s="39"/>
      <c r="L43" s="34"/>
      <c r="M43" s="34"/>
      <c r="N43" s="34"/>
      <c r="O43" s="53" t="s">
        <v>1</v>
      </c>
      <c r="P43" s="53" t="s">
        <v>1</v>
      </c>
      <c r="Q43" s="41" t="s">
        <v>770</v>
      </c>
      <c r="R43" s="42" t="s">
        <v>765</v>
      </c>
      <c r="S43" s="42" t="s">
        <v>762</v>
      </c>
      <c r="T43" s="43">
        <v>32815.32</v>
      </c>
      <c r="U43" s="52"/>
      <c r="V43" s="49">
        <v>32815.32</v>
      </c>
      <c r="W43" s="44">
        <f t="shared" si="0"/>
        <v>0</v>
      </c>
      <c r="X43" s="45"/>
      <c r="Y43" s="46"/>
      <c r="Z43" s="47"/>
      <c r="AA43" s="47"/>
      <c r="AB43" s="47"/>
      <c r="AC43" s="47"/>
      <c r="AD43" s="47"/>
      <c r="AE43" s="44"/>
      <c r="AF43" s="44"/>
      <c r="AG43" s="44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4"/>
      <c r="AZ43" s="44"/>
      <c r="BA43" s="44"/>
      <c r="BB43" s="44"/>
      <c r="BD43" s="48"/>
      <c r="BF43" s="44"/>
      <c r="BG43" s="44"/>
      <c r="BH43" s="44"/>
      <c r="BI43" s="44"/>
      <c r="BJ43" s="44"/>
      <c r="BK43" s="44"/>
      <c r="BL43" s="44"/>
      <c r="BM43" s="43">
        <v>32815.32</v>
      </c>
      <c r="BN43" s="44"/>
      <c r="BO43" s="44"/>
      <c r="BP43" s="49"/>
      <c r="BQ43" s="44"/>
      <c r="BR43" s="44"/>
      <c r="BS43" s="44"/>
      <c r="BT43" s="43">
        <v>32815.32</v>
      </c>
      <c r="BU43" s="47"/>
      <c r="BV43" s="44"/>
      <c r="BW43" s="50"/>
      <c r="BX43" s="44"/>
      <c r="BY43" s="44"/>
      <c r="BZ43" s="44"/>
      <c r="CA43" s="44"/>
      <c r="CB43" s="43">
        <f t="shared" si="1"/>
        <v>0</v>
      </c>
      <c r="CC43" s="44"/>
      <c r="CD43" s="65"/>
      <c r="CE43" s="44"/>
      <c r="CF43" s="44"/>
      <c r="CG43" s="44"/>
      <c r="CH43" s="47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50"/>
      <c r="CY43" s="44"/>
      <c r="CZ43" s="44"/>
      <c r="DA43" s="44"/>
      <c r="DB43" s="44"/>
      <c r="DC43" s="44"/>
      <c r="DD43" s="44"/>
      <c r="DE43" s="44"/>
      <c r="DF43" s="44"/>
      <c r="DG43" s="44"/>
      <c r="DH43" s="44"/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/>
      <c r="DT43" s="44"/>
      <c r="DU43" s="44"/>
      <c r="DV43" s="44"/>
      <c r="DW43" s="44"/>
      <c r="DX43" s="47"/>
      <c r="DY43" s="47"/>
      <c r="DZ43" s="47"/>
    </row>
    <row r="44" spans="1:130" s="32" customFormat="1" ht="27.6">
      <c r="A44" s="76">
        <v>44211</v>
      </c>
      <c r="B44" s="34" t="s">
        <v>759</v>
      </c>
      <c r="C44" s="286" t="s">
        <v>766</v>
      </c>
      <c r="D44" s="61">
        <v>0.59861111111111109</v>
      </c>
      <c r="E44" s="61">
        <v>0.6</v>
      </c>
      <c r="F44" s="55" t="s">
        <v>0</v>
      </c>
      <c r="G44" s="38">
        <v>1</v>
      </c>
      <c r="H44" s="39">
        <v>732</v>
      </c>
      <c r="I44" s="51" t="str">
        <f>VLOOKUP(H44,'[2]Chart of accounts'!A:H,2,FALSE)</f>
        <v>50103020 01</v>
      </c>
      <c r="J44" s="55"/>
      <c r="K44" s="55"/>
      <c r="L44" s="56"/>
      <c r="M44" s="56"/>
      <c r="N44" s="56"/>
      <c r="O44" s="53" t="s">
        <v>1</v>
      </c>
      <c r="P44" s="53" t="s">
        <v>1</v>
      </c>
      <c r="Q44" s="41" t="s">
        <v>770</v>
      </c>
      <c r="R44" s="42" t="s">
        <v>765</v>
      </c>
      <c r="S44" s="42" t="s">
        <v>762</v>
      </c>
      <c r="T44" s="43">
        <v>700</v>
      </c>
      <c r="U44" s="52"/>
      <c r="V44" s="49">
        <v>700</v>
      </c>
      <c r="W44" s="44">
        <f t="shared" si="0"/>
        <v>0</v>
      </c>
      <c r="X44" s="45"/>
      <c r="Y44" s="46"/>
      <c r="Z44" s="47"/>
      <c r="AA44" s="47"/>
      <c r="AB44" s="47"/>
      <c r="AC44" s="47"/>
      <c r="AD44" s="47"/>
      <c r="AE44" s="44"/>
      <c r="AF44" s="44"/>
      <c r="AG44" s="44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4"/>
      <c r="AZ44" s="44"/>
      <c r="BA44" s="44"/>
      <c r="BB44" s="44"/>
      <c r="BD44" s="48"/>
      <c r="BF44" s="44"/>
      <c r="BG44" s="44"/>
      <c r="BH44" s="44"/>
      <c r="BI44" s="44"/>
      <c r="BJ44" s="44"/>
      <c r="BK44" s="44"/>
      <c r="BL44" s="44"/>
      <c r="BN44" s="43">
        <v>700</v>
      </c>
      <c r="BO44" s="44"/>
      <c r="BP44" s="49"/>
      <c r="BQ44" s="44"/>
      <c r="BR44" s="44"/>
      <c r="BS44" s="44"/>
      <c r="BT44" s="43">
        <v>700</v>
      </c>
      <c r="BU44" s="47"/>
      <c r="BV44" s="44"/>
      <c r="BW44" s="50"/>
      <c r="BX44" s="44"/>
      <c r="BY44" s="44"/>
      <c r="BZ44" s="44"/>
      <c r="CA44" s="44"/>
      <c r="CB44" s="43">
        <f t="shared" si="1"/>
        <v>0</v>
      </c>
      <c r="CC44" s="44"/>
      <c r="CD44" s="65"/>
      <c r="CE44" s="44"/>
      <c r="CF44" s="44"/>
      <c r="CG44" s="44"/>
      <c r="CH44" s="47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50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44"/>
      <c r="DJ44" s="44"/>
      <c r="DK44" s="44"/>
      <c r="DL44" s="44"/>
      <c r="DM44" s="44"/>
      <c r="DN44" s="44"/>
      <c r="DO44" s="44"/>
      <c r="DP44" s="44"/>
      <c r="DQ44" s="44"/>
      <c r="DR44" s="44"/>
      <c r="DS44" s="44"/>
      <c r="DT44" s="44"/>
      <c r="DU44" s="44"/>
      <c r="DV44" s="44"/>
      <c r="DW44" s="44"/>
      <c r="DX44" s="47"/>
      <c r="DY44" s="47"/>
      <c r="DZ44" s="47"/>
    </row>
    <row r="45" spans="1:130" s="32" customFormat="1" ht="27.6">
      <c r="A45" s="76">
        <v>44211</v>
      </c>
      <c r="B45" s="34" t="s">
        <v>759</v>
      </c>
      <c r="C45" s="286" t="s">
        <v>766</v>
      </c>
      <c r="D45" s="61">
        <v>0.59861111111111109</v>
      </c>
      <c r="E45" s="61">
        <v>0.6</v>
      </c>
      <c r="F45" s="55" t="s">
        <v>0</v>
      </c>
      <c r="G45" s="38">
        <v>1</v>
      </c>
      <c r="H45" s="55">
        <v>733</v>
      </c>
      <c r="I45" s="51" t="str">
        <f>VLOOKUP(H45,'[2]Chart of accounts'!A:H,2,FALSE)</f>
        <v>50103030 01</v>
      </c>
      <c r="J45" s="55"/>
      <c r="K45" s="55"/>
      <c r="L45" s="56"/>
      <c r="M45" s="56"/>
      <c r="N45" s="56"/>
      <c r="O45" s="53" t="s">
        <v>1</v>
      </c>
      <c r="P45" s="53" t="s">
        <v>1</v>
      </c>
      <c r="Q45" s="41" t="s">
        <v>770</v>
      </c>
      <c r="R45" s="42" t="s">
        <v>765</v>
      </c>
      <c r="S45" s="42" t="s">
        <v>762</v>
      </c>
      <c r="T45" s="43">
        <v>3358.03</v>
      </c>
      <c r="U45" s="52"/>
      <c r="V45" s="49">
        <v>3358.03</v>
      </c>
      <c r="W45" s="44">
        <f t="shared" si="0"/>
        <v>0</v>
      </c>
      <c r="X45" s="45"/>
      <c r="Y45" s="46"/>
      <c r="Z45" s="47"/>
      <c r="AA45" s="47"/>
      <c r="AB45" s="47"/>
      <c r="AC45" s="47"/>
      <c r="AD45" s="47"/>
      <c r="AE45" s="44"/>
      <c r="AF45" s="44"/>
      <c r="AG45" s="44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4"/>
      <c r="AZ45" s="44"/>
      <c r="BA45" s="44"/>
      <c r="BB45" s="44"/>
      <c r="BD45" s="48"/>
      <c r="BF45" s="44"/>
      <c r="BG45" s="44"/>
      <c r="BH45" s="44"/>
      <c r="BI45" s="44"/>
      <c r="BJ45" s="44"/>
      <c r="BK45" s="44"/>
      <c r="BL45" s="44"/>
      <c r="BO45" s="43">
        <v>3358.03</v>
      </c>
      <c r="BP45" s="49"/>
      <c r="BQ45" s="44"/>
      <c r="BR45" s="44"/>
      <c r="BS45" s="44"/>
      <c r="BT45" s="43">
        <v>3358.03</v>
      </c>
      <c r="BU45" s="47"/>
      <c r="BV45" s="44"/>
      <c r="BW45" s="50"/>
      <c r="BX45" s="44"/>
      <c r="BY45" s="44"/>
      <c r="BZ45" s="44"/>
      <c r="CA45" s="44"/>
      <c r="CB45" s="43">
        <f t="shared" si="1"/>
        <v>0</v>
      </c>
      <c r="CC45" s="44"/>
      <c r="CD45" s="65"/>
      <c r="CE45" s="44"/>
      <c r="CF45" s="44"/>
      <c r="CG45" s="44"/>
      <c r="CH45" s="47"/>
      <c r="CI45" s="44"/>
      <c r="CJ45" s="44"/>
      <c r="CK45" s="44"/>
      <c r="CL45" s="44"/>
      <c r="CM45" s="44"/>
      <c r="CN45" s="44"/>
      <c r="CO45" s="44"/>
      <c r="CP45" s="44"/>
      <c r="CQ45" s="44"/>
      <c r="CR45" s="44"/>
      <c r="CS45" s="44"/>
      <c r="CT45" s="44"/>
      <c r="CU45" s="44"/>
      <c r="CV45" s="44"/>
      <c r="CW45" s="44"/>
      <c r="CX45" s="50"/>
      <c r="CY45" s="44"/>
      <c r="CZ45" s="44"/>
      <c r="DA45" s="44"/>
      <c r="DB45" s="44"/>
      <c r="DC45" s="44"/>
      <c r="DD45" s="44"/>
      <c r="DE45" s="44"/>
      <c r="DF45" s="44"/>
      <c r="DG45" s="44"/>
      <c r="DH45" s="44"/>
      <c r="DI45" s="44"/>
      <c r="DJ45" s="44"/>
      <c r="DK45" s="44"/>
      <c r="DL45" s="44"/>
      <c r="DM45" s="44"/>
      <c r="DN45" s="44"/>
      <c r="DO45" s="44"/>
      <c r="DP45" s="44"/>
      <c r="DQ45" s="44"/>
      <c r="DR45" s="44"/>
      <c r="DS45" s="44"/>
      <c r="DT45" s="44"/>
      <c r="DU45" s="44"/>
      <c r="DV45" s="44"/>
      <c r="DW45" s="44"/>
      <c r="DX45" s="47"/>
      <c r="DY45" s="47"/>
      <c r="DZ45" s="47"/>
    </row>
    <row r="46" spans="1:130" s="32" customFormat="1" ht="27.6">
      <c r="A46" s="76">
        <v>44211</v>
      </c>
      <c r="B46" s="34" t="s">
        <v>759</v>
      </c>
      <c r="C46" s="286" t="s">
        <v>766</v>
      </c>
      <c r="D46" s="61">
        <v>0.59861111111111109</v>
      </c>
      <c r="E46" s="61">
        <v>0.6</v>
      </c>
      <c r="F46" s="55" t="s">
        <v>0</v>
      </c>
      <c r="G46" s="38">
        <v>1</v>
      </c>
      <c r="H46" s="55">
        <v>734</v>
      </c>
      <c r="I46" s="51" t="str">
        <f>VLOOKUP(H46,'[2]Chart of accounts'!A:H,2,FALSE)</f>
        <v>50103040 01</v>
      </c>
      <c r="J46" s="55"/>
      <c r="K46" s="55"/>
      <c r="L46" s="56"/>
      <c r="M46" s="56"/>
      <c r="N46" s="56"/>
      <c r="O46" s="53" t="s">
        <v>1</v>
      </c>
      <c r="P46" s="53" t="s">
        <v>1</v>
      </c>
      <c r="Q46" s="41" t="s">
        <v>770</v>
      </c>
      <c r="R46" s="42" t="s">
        <v>765</v>
      </c>
      <c r="S46" s="42" t="s">
        <v>762</v>
      </c>
      <c r="T46" s="43">
        <v>700</v>
      </c>
      <c r="U46" s="52"/>
      <c r="V46" s="49">
        <v>700</v>
      </c>
      <c r="W46" s="44">
        <f t="shared" si="0"/>
        <v>0</v>
      </c>
      <c r="X46" s="45"/>
      <c r="Y46" s="46"/>
      <c r="Z46" s="47"/>
      <c r="AA46" s="47"/>
      <c r="AB46" s="47"/>
      <c r="AC46" s="47"/>
      <c r="AD46" s="47"/>
      <c r="AE46" s="44"/>
      <c r="AF46" s="44"/>
      <c r="AG46" s="44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4"/>
      <c r="AZ46" s="44"/>
      <c r="BA46" s="44"/>
      <c r="BB46" s="44"/>
      <c r="BD46" s="48"/>
      <c r="BF46" s="44"/>
      <c r="BG46" s="44"/>
      <c r="BH46" s="44"/>
      <c r="BI46" s="44"/>
      <c r="BJ46" s="44"/>
      <c r="BK46" s="44"/>
      <c r="BL46" s="44"/>
      <c r="BP46" s="43">
        <v>700</v>
      </c>
      <c r="BQ46" s="44"/>
      <c r="BR46" s="44"/>
      <c r="BS46" s="44"/>
      <c r="BT46" s="43">
        <v>700</v>
      </c>
      <c r="BU46" s="47"/>
      <c r="BV46" s="44"/>
      <c r="BW46" s="50"/>
      <c r="BX46" s="44"/>
      <c r="BY46" s="44"/>
      <c r="BZ46" s="44"/>
      <c r="CA46" s="44"/>
      <c r="CB46" s="43">
        <f t="shared" si="1"/>
        <v>0</v>
      </c>
      <c r="CC46" s="44"/>
      <c r="CD46" s="65"/>
      <c r="CE46" s="44"/>
      <c r="CF46" s="44"/>
      <c r="CG46" s="44"/>
      <c r="CH46" s="47"/>
      <c r="CI46" s="44"/>
      <c r="CJ46" s="44"/>
      <c r="CK46" s="44"/>
      <c r="CL46" s="44"/>
      <c r="CM46" s="44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50"/>
      <c r="CY46" s="44"/>
      <c r="CZ46" s="44"/>
      <c r="DA46" s="44"/>
      <c r="DB46" s="44"/>
      <c r="DC46" s="44"/>
      <c r="DD46" s="44"/>
      <c r="DE46" s="44"/>
      <c r="DF46" s="44"/>
      <c r="DG46" s="44"/>
      <c r="DH46" s="44"/>
      <c r="DI46" s="44"/>
      <c r="DJ46" s="44"/>
      <c r="DK46" s="44"/>
      <c r="DL46" s="44"/>
      <c r="DM46" s="44"/>
      <c r="DN46" s="44"/>
      <c r="DO46" s="44"/>
      <c r="DP46" s="44"/>
      <c r="DQ46" s="44"/>
      <c r="DR46" s="44"/>
      <c r="DS46" s="44"/>
      <c r="DT46" s="44"/>
      <c r="DU46" s="44"/>
      <c r="DV46" s="44"/>
      <c r="DW46" s="44"/>
      <c r="DX46" s="47"/>
      <c r="DY46" s="47"/>
      <c r="DZ46" s="47"/>
    </row>
    <row r="47" spans="1:130" s="32" customFormat="1" ht="27.6">
      <c r="A47" s="76">
        <v>44211</v>
      </c>
      <c r="B47" s="34" t="s">
        <v>759</v>
      </c>
      <c r="C47" s="286" t="s">
        <v>767</v>
      </c>
      <c r="D47" s="61">
        <v>0.60069444444444442</v>
      </c>
      <c r="E47" s="61">
        <v>0.6069444444444444</v>
      </c>
      <c r="F47" s="55" t="s">
        <v>0</v>
      </c>
      <c r="G47" s="38">
        <v>1</v>
      </c>
      <c r="H47" s="39">
        <v>701</v>
      </c>
      <c r="I47" s="51" t="str">
        <f>VLOOKUP(H47,'[2]Chart of accounts'!A:H,2,FALSE)</f>
        <v>50101010 01</v>
      </c>
      <c r="J47" s="39"/>
      <c r="K47" s="39"/>
      <c r="L47" s="34"/>
      <c r="M47" s="34"/>
      <c r="N47" s="34"/>
      <c r="O47" s="53" t="s">
        <v>1</v>
      </c>
      <c r="P47" s="53" t="s">
        <v>1</v>
      </c>
      <c r="Q47" s="41" t="s">
        <v>771</v>
      </c>
      <c r="R47" s="42" t="s">
        <v>768</v>
      </c>
      <c r="S47" s="42" t="s">
        <v>762</v>
      </c>
      <c r="T47" s="43">
        <v>565193</v>
      </c>
      <c r="U47" s="52"/>
      <c r="V47" s="49">
        <v>565193</v>
      </c>
      <c r="W47" s="44">
        <f t="shared" si="0"/>
        <v>0</v>
      </c>
      <c r="X47" s="45"/>
      <c r="Y47" s="46"/>
      <c r="Z47" s="47"/>
      <c r="AA47" s="47"/>
      <c r="AB47" s="47"/>
      <c r="AC47" s="47"/>
      <c r="AD47" s="47"/>
      <c r="AE47" s="44"/>
      <c r="AF47" s="44"/>
      <c r="AG47" s="44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4"/>
      <c r="AZ47" s="44"/>
      <c r="BA47" s="44"/>
      <c r="BB47" s="44"/>
      <c r="BC47" s="43">
        <v>565193</v>
      </c>
      <c r="BD47" s="48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9"/>
      <c r="BQ47" s="44"/>
      <c r="BR47" s="44"/>
      <c r="BS47" s="44"/>
      <c r="BT47" s="43">
        <v>565193</v>
      </c>
      <c r="BU47" s="47"/>
      <c r="BV47" s="44"/>
      <c r="BW47" s="50"/>
      <c r="BX47" s="44"/>
      <c r="BY47" s="44"/>
      <c r="BZ47" s="44"/>
      <c r="CA47" s="44"/>
      <c r="CB47" s="43">
        <f t="shared" si="1"/>
        <v>0</v>
      </c>
      <c r="CC47" s="44"/>
      <c r="CD47" s="65"/>
      <c r="CE47" s="44"/>
      <c r="CF47" s="44"/>
      <c r="CG47" s="44"/>
      <c r="CH47" s="47"/>
      <c r="CI47" s="44"/>
      <c r="CJ47" s="44"/>
      <c r="CK47" s="44"/>
      <c r="CL47" s="44"/>
      <c r="CM47" s="44"/>
      <c r="CN47" s="44"/>
      <c r="CO47" s="44"/>
      <c r="CP47" s="44"/>
      <c r="CQ47" s="44"/>
      <c r="CR47" s="44"/>
      <c r="CS47" s="44"/>
      <c r="CT47" s="44"/>
      <c r="CU47" s="44"/>
      <c r="CV47" s="44"/>
      <c r="CW47" s="44"/>
      <c r="CX47" s="50"/>
      <c r="CY47" s="44"/>
      <c r="CZ47" s="44"/>
      <c r="DA47" s="44"/>
      <c r="DB47" s="44"/>
      <c r="DC47" s="44"/>
      <c r="DD47" s="44"/>
      <c r="DE47" s="44"/>
      <c r="DF47" s="44"/>
      <c r="DG47" s="44"/>
      <c r="DH47" s="44"/>
      <c r="DI47" s="44"/>
      <c r="DJ47" s="44"/>
      <c r="DK47" s="44"/>
      <c r="DL47" s="44"/>
      <c r="DM47" s="44"/>
      <c r="DN47" s="44"/>
      <c r="DO47" s="44"/>
      <c r="DP47" s="44"/>
      <c r="DQ47" s="44"/>
      <c r="DR47" s="44"/>
      <c r="DS47" s="44"/>
      <c r="DT47" s="44"/>
      <c r="DU47" s="44"/>
      <c r="DV47" s="44"/>
      <c r="DW47" s="44"/>
      <c r="DX47" s="47"/>
      <c r="DY47" s="47"/>
      <c r="DZ47" s="47"/>
    </row>
    <row r="48" spans="1:130" s="32" customFormat="1" ht="27.6">
      <c r="A48" s="76">
        <v>44211</v>
      </c>
      <c r="B48" s="34" t="s">
        <v>759</v>
      </c>
      <c r="C48" s="286" t="s">
        <v>767</v>
      </c>
      <c r="D48" s="61">
        <v>0.60069444444444442</v>
      </c>
      <c r="E48" s="61">
        <v>0.6069444444444444</v>
      </c>
      <c r="F48" s="55" t="s">
        <v>0</v>
      </c>
      <c r="G48" s="38">
        <v>1</v>
      </c>
      <c r="H48" s="39">
        <v>711</v>
      </c>
      <c r="I48" s="51" t="str">
        <f>VLOOKUP(H48,'[2]Chart of accounts'!A:H,2,FALSE)</f>
        <v>50102010 01</v>
      </c>
      <c r="J48" s="39"/>
      <c r="K48" s="39"/>
      <c r="L48" s="34"/>
      <c r="M48" s="34"/>
      <c r="N48" s="34"/>
      <c r="O48" s="53" t="s">
        <v>1</v>
      </c>
      <c r="P48" s="53" t="s">
        <v>1</v>
      </c>
      <c r="Q48" s="41" t="s">
        <v>771</v>
      </c>
      <c r="R48" s="42" t="s">
        <v>768</v>
      </c>
      <c r="S48" s="42" t="s">
        <v>762</v>
      </c>
      <c r="T48" s="43">
        <v>24000</v>
      </c>
      <c r="U48" s="52"/>
      <c r="V48" s="49">
        <v>24000</v>
      </c>
      <c r="W48" s="44">
        <f t="shared" si="0"/>
        <v>0</v>
      </c>
      <c r="X48" s="45"/>
      <c r="Y48" s="46"/>
      <c r="Z48" s="47"/>
      <c r="AA48" s="47"/>
      <c r="AB48" s="47"/>
      <c r="AC48" s="47"/>
      <c r="AD48" s="47"/>
      <c r="AE48" s="44"/>
      <c r="AF48" s="44"/>
      <c r="AG48" s="44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4"/>
      <c r="AZ48" s="44"/>
      <c r="BA48" s="44"/>
      <c r="BB48" s="44"/>
      <c r="BD48" s="48"/>
      <c r="BE48" s="43">
        <v>24000</v>
      </c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9"/>
      <c r="BQ48" s="44"/>
      <c r="BR48" s="44"/>
      <c r="BS48" s="44"/>
      <c r="BT48" s="43">
        <v>24000</v>
      </c>
      <c r="BU48" s="47"/>
      <c r="BV48" s="44"/>
      <c r="BW48" s="50"/>
      <c r="BX48" s="44"/>
      <c r="BY48" s="44"/>
      <c r="BZ48" s="44"/>
      <c r="CA48" s="44"/>
      <c r="CB48" s="43">
        <f t="shared" si="1"/>
        <v>0</v>
      </c>
      <c r="CC48" s="44"/>
      <c r="CD48" s="65"/>
      <c r="CE48" s="44"/>
      <c r="CF48" s="44"/>
      <c r="CG48" s="44"/>
      <c r="CH48" s="47"/>
      <c r="CI48" s="44"/>
      <c r="CJ48" s="44"/>
      <c r="CK48" s="44"/>
      <c r="CL48" s="44"/>
      <c r="CM48" s="44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50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44"/>
      <c r="DJ48" s="44"/>
      <c r="DK48" s="44"/>
      <c r="DL48" s="44"/>
      <c r="DM48" s="44"/>
      <c r="DN48" s="44"/>
      <c r="DO48" s="44"/>
      <c r="DP48" s="44"/>
      <c r="DQ48" s="44"/>
      <c r="DR48" s="44"/>
      <c r="DS48" s="44"/>
      <c r="DT48" s="44"/>
      <c r="DU48" s="44"/>
      <c r="DV48" s="44"/>
      <c r="DW48" s="44"/>
      <c r="DX48" s="47"/>
      <c r="DY48" s="47"/>
      <c r="DZ48" s="47"/>
    </row>
    <row r="49" spans="1:130" s="32" customFormat="1" ht="27.6">
      <c r="A49" s="76">
        <v>44211</v>
      </c>
      <c r="B49" s="34" t="s">
        <v>759</v>
      </c>
      <c r="C49" s="286" t="s">
        <v>767</v>
      </c>
      <c r="D49" s="61">
        <v>0.60069444444444442</v>
      </c>
      <c r="E49" s="61">
        <v>0.6069444444444444</v>
      </c>
      <c r="F49" s="55" t="s">
        <v>0</v>
      </c>
      <c r="G49" s="38">
        <v>1</v>
      </c>
      <c r="H49" s="39">
        <v>731</v>
      </c>
      <c r="I49" s="51" t="str">
        <f>VLOOKUP(H49,'[2]Chart of accounts'!A:H,2,FALSE)</f>
        <v>50103010 00</v>
      </c>
      <c r="J49" s="39"/>
      <c r="K49" s="39"/>
      <c r="L49" s="34"/>
      <c r="M49" s="34"/>
      <c r="N49" s="34"/>
      <c r="O49" s="53" t="s">
        <v>1</v>
      </c>
      <c r="P49" s="53" t="s">
        <v>1</v>
      </c>
      <c r="Q49" s="41" t="s">
        <v>771</v>
      </c>
      <c r="R49" s="42" t="s">
        <v>768</v>
      </c>
      <c r="S49" s="42" t="s">
        <v>762</v>
      </c>
      <c r="T49" s="43">
        <v>67823.16</v>
      </c>
      <c r="U49" s="52"/>
      <c r="V49" s="49">
        <v>67823.16</v>
      </c>
      <c r="W49" s="44">
        <f t="shared" si="0"/>
        <v>0</v>
      </c>
      <c r="X49" s="45"/>
      <c r="Y49" s="46"/>
      <c r="Z49" s="47"/>
      <c r="AA49" s="47"/>
      <c r="AB49" s="47"/>
      <c r="AC49" s="47"/>
      <c r="AD49" s="47"/>
      <c r="AE49" s="44"/>
      <c r="AF49" s="44"/>
      <c r="AG49" s="44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4"/>
      <c r="AZ49" s="44"/>
      <c r="BA49" s="44"/>
      <c r="BB49" s="44"/>
      <c r="BD49" s="48"/>
      <c r="BF49" s="44"/>
      <c r="BG49" s="44"/>
      <c r="BH49" s="44"/>
      <c r="BI49" s="44"/>
      <c r="BJ49" s="44"/>
      <c r="BK49" s="44"/>
      <c r="BL49" s="44"/>
      <c r="BM49" s="43">
        <v>67823.16</v>
      </c>
      <c r="BN49" s="44"/>
      <c r="BO49" s="44"/>
      <c r="BP49" s="49"/>
      <c r="BQ49" s="44"/>
      <c r="BR49" s="44"/>
      <c r="BS49" s="44"/>
      <c r="BT49" s="43">
        <v>67823.16</v>
      </c>
      <c r="BU49" s="47"/>
      <c r="BV49" s="44"/>
      <c r="BW49" s="50"/>
      <c r="BX49" s="44"/>
      <c r="BY49" s="44"/>
      <c r="BZ49" s="44"/>
      <c r="CA49" s="44"/>
      <c r="CB49" s="43">
        <f t="shared" si="1"/>
        <v>0</v>
      </c>
      <c r="CC49" s="44"/>
      <c r="CD49" s="65"/>
      <c r="CE49" s="44"/>
      <c r="CF49" s="44"/>
      <c r="CG49" s="44"/>
      <c r="CH49" s="47"/>
      <c r="CI49" s="44"/>
      <c r="CJ49" s="44"/>
      <c r="CK49" s="44"/>
      <c r="CL49" s="44"/>
      <c r="CM49" s="44"/>
      <c r="CN49" s="44"/>
      <c r="CO49" s="44"/>
      <c r="CP49" s="44"/>
      <c r="CQ49" s="44"/>
      <c r="CR49" s="44"/>
      <c r="CS49" s="44"/>
      <c r="CT49" s="44"/>
      <c r="CU49" s="44"/>
      <c r="CV49" s="44"/>
      <c r="CW49" s="44"/>
      <c r="CX49" s="50"/>
      <c r="CY49" s="44"/>
      <c r="CZ49" s="44"/>
      <c r="DA49" s="44"/>
      <c r="DB49" s="44"/>
      <c r="DC49" s="44"/>
      <c r="DD49" s="44"/>
      <c r="DE49" s="44"/>
      <c r="DF49" s="44"/>
      <c r="DG49" s="44"/>
      <c r="DH49" s="44"/>
      <c r="DI49" s="44"/>
      <c r="DJ49" s="44"/>
      <c r="DK49" s="44"/>
      <c r="DL49" s="44"/>
      <c r="DM49" s="44"/>
      <c r="DN49" s="44"/>
      <c r="DO49" s="44"/>
      <c r="DP49" s="44"/>
      <c r="DQ49" s="44"/>
      <c r="DR49" s="44"/>
      <c r="DS49" s="44"/>
      <c r="DT49" s="44"/>
      <c r="DU49" s="44"/>
      <c r="DV49" s="44"/>
      <c r="DW49" s="44"/>
      <c r="DX49" s="47"/>
      <c r="DY49" s="47"/>
      <c r="DZ49" s="47"/>
    </row>
    <row r="50" spans="1:130" s="32" customFormat="1" ht="27.6">
      <c r="A50" s="76">
        <v>44211</v>
      </c>
      <c r="B50" s="34" t="s">
        <v>759</v>
      </c>
      <c r="C50" s="286" t="s">
        <v>767</v>
      </c>
      <c r="D50" s="61">
        <v>0.60069444444444442</v>
      </c>
      <c r="E50" s="61">
        <v>0.6069444444444444</v>
      </c>
      <c r="F50" s="55" t="s">
        <v>0</v>
      </c>
      <c r="G50" s="38">
        <v>1</v>
      </c>
      <c r="H50" s="39">
        <v>732</v>
      </c>
      <c r="I50" s="51" t="str">
        <f>VLOOKUP(H50,'[2]Chart of accounts'!A:H,2,FALSE)</f>
        <v>50103020 01</v>
      </c>
      <c r="J50" s="55"/>
      <c r="K50" s="55"/>
      <c r="L50" s="56"/>
      <c r="M50" s="56"/>
      <c r="N50" s="56"/>
      <c r="O50" s="53" t="s">
        <v>1</v>
      </c>
      <c r="P50" s="53" t="s">
        <v>1</v>
      </c>
      <c r="Q50" s="41" t="s">
        <v>771</v>
      </c>
      <c r="R50" s="42" t="s">
        <v>768</v>
      </c>
      <c r="S50" s="42" t="s">
        <v>762</v>
      </c>
      <c r="T50" s="43">
        <v>1200</v>
      </c>
      <c r="U50" s="52"/>
      <c r="V50" s="49">
        <v>1200</v>
      </c>
      <c r="W50" s="44">
        <f t="shared" si="0"/>
        <v>0</v>
      </c>
      <c r="X50" s="45"/>
      <c r="Y50" s="46"/>
      <c r="Z50" s="47"/>
      <c r="AA50" s="47"/>
      <c r="AB50" s="47"/>
      <c r="AC50" s="47"/>
      <c r="AD50" s="47"/>
      <c r="AE50" s="44"/>
      <c r="AF50" s="44"/>
      <c r="AG50" s="44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4"/>
      <c r="AZ50" s="44"/>
      <c r="BA50" s="44"/>
      <c r="BB50" s="44"/>
      <c r="BD50" s="48"/>
      <c r="BF50" s="44"/>
      <c r="BG50" s="44"/>
      <c r="BH50" s="44"/>
      <c r="BI50" s="44"/>
      <c r="BJ50" s="44"/>
      <c r="BK50" s="44"/>
      <c r="BL50" s="44"/>
      <c r="BN50" s="43">
        <v>1200</v>
      </c>
      <c r="BO50" s="44"/>
      <c r="BP50" s="49"/>
      <c r="BQ50" s="44"/>
      <c r="BR50" s="44"/>
      <c r="BS50" s="44"/>
      <c r="BT50" s="43">
        <v>1200</v>
      </c>
      <c r="BU50" s="47"/>
      <c r="BV50" s="44"/>
      <c r="BW50" s="50"/>
      <c r="BX50" s="44"/>
      <c r="BY50" s="44"/>
      <c r="BZ50" s="44"/>
      <c r="CA50" s="44"/>
      <c r="CB50" s="43">
        <f t="shared" si="1"/>
        <v>0</v>
      </c>
      <c r="CC50" s="44"/>
      <c r="CD50" s="65"/>
      <c r="CE50" s="44"/>
      <c r="CF50" s="44"/>
      <c r="CG50" s="44"/>
      <c r="CH50" s="47"/>
      <c r="CI50" s="44"/>
      <c r="CJ50" s="44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50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44"/>
      <c r="DJ50" s="44"/>
      <c r="DK50" s="44"/>
      <c r="DL50" s="44"/>
      <c r="DM50" s="44"/>
      <c r="DN50" s="44"/>
      <c r="DO50" s="44"/>
      <c r="DP50" s="44"/>
      <c r="DQ50" s="44"/>
      <c r="DR50" s="44"/>
      <c r="DS50" s="44"/>
      <c r="DT50" s="44"/>
      <c r="DU50" s="44"/>
      <c r="DV50" s="44"/>
      <c r="DW50" s="44"/>
      <c r="DX50" s="47"/>
      <c r="DY50" s="47"/>
      <c r="DZ50" s="47"/>
    </row>
    <row r="51" spans="1:130" s="32" customFormat="1" ht="27.6">
      <c r="A51" s="76">
        <v>44211</v>
      </c>
      <c r="B51" s="34" t="s">
        <v>759</v>
      </c>
      <c r="C51" s="286" t="s">
        <v>767</v>
      </c>
      <c r="D51" s="61">
        <v>0.60069444444444442</v>
      </c>
      <c r="E51" s="61">
        <v>0.6069444444444444</v>
      </c>
      <c r="F51" s="55" t="s">
        <v>0</v>
      </c>
      <c r="G51" s="38">
        <v>1</v>
      </c>
      <c r="H51" s="55">
        <v>733</v>
      </c>
      <c r="I51" s="51" t="str">
        <f>VLOOKUP(H51,'[2]Chart of accounts'!A:H,2,FALSE)</f>
        <v>50103030 01</v>
      </c>
      <c r="J51" s="55"/>
      <c r="K51" s="55"/>
      <c r="L51" s="56"/>
      <c r="M51" s="56"/>
      <c r="N51" s="56"/>
      <c r="O51" s="53" t="s">
        <v>1</v>
      </c>
      <c r="P51" s="53" t="s">
        <v>1</v>
      </c>
      <c r="Q51" s="41" t="s">
        <v>771</v>
      </c>
      <c r="R51" s="42" t="s">
        <v>768</v>
      </c>
      <c r="S51" s="42" t="s">
        <v>762</v>
      </c>
      <c r="T51" s="43">
        <v>7357.93</v>
      </c>
      <c r="U51" s="52"/>
      <c r="V51" s="49">
        <v>7357.93</v>
      </c>
      <c r="W51" s="44">
        <f t="shared" si="0"/>
        <v>0</v>
      </c>
      <c r="X51" s="45"/>
      <c r="Y51" s="46"/>
      <c r="Z51" s="47"/>
      <c r="AA51" s="47"/>
      <c r="AB51" s="47"/>
      <c r="AC51" s="47"/>
      <c r="AD51" s="47"/>
      <c r="AE51" s="44"/>
      <c r="AF51" s="44"/>
      <c r="AG51" s="44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4"/>
      <c r="AZ51" s="44"/>
      <c r="BA51" s="44"/>
      <c r="BB51" s="44"/>
      <c r="BD51" s="48"/>
      <c r="BF51" s="44"/>
      <c r="BG51" s="44"/>
      <c r="BH51" s="44"/>
      <c r="BI51" s="44"/>
      <c r="BJ51" s="44"/>
      <c r="BK51" s="44"/>
      <c r="BL51" s="44"/>
      <c r="BO51" s="43">
        <v>7357.93</v>
      </c>
      <c r="BQ51" s="44"/>
      <c r="BR51" s="44"/>
      <c r="BS51" s="44"/>
      <c r="BT51" s="43">
        <v>7357.93</v>
      </c>
      <c r="BU51" s="47"/>
      <c r="BV51" s="44"/>
      <c r="BW51" s="50"/>
      <c r="BX51" s="44"/>
      <c r="BY51" s="44"/>
      <c r="BZ51" s="44"/>
      <c r="CA51" s="44"/>
      <c r="CB51" s="43">
        <f t="shared" si="1"/>
        <v>0</v>
      </c>
      <c r="CC51" s="44"/>
      <c r="CD51" s="65"/>
      <c r="CE51" s="44"/>
      <c r="CF51" s="44"/>
      <c r="CG51" s="44"/>
      <c r="CH51" s="47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4"/>
      <c r="CV51" s="44"/>
      <c r="CW51" s="44"/>
      <c r="CX51" s="50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7"/>
      <c r="DY51" s="47"/>
      <c r="DZ51" s="47"/>
    </row>
    <row r="52" spans="1:130" s="32" customFormat="1" ht="27.6">
      <c r="A52" s="76">
        <v>44211</v>
      </c>
      <c r="B52" s="34" t="s">
        <v>759</v>
      </c>
      <c r="C52" s="286" t="s">
        <v>767</v>
      </c>
      <c r="D52" s="61">
        <v>0.60069444444444442</v>
      </c>
      <c r="E52" s="61">
        <v>0.6069444444444444</v>
      </c>
      <c r="F52" s="55" t="s">
        <v>0</v>
      </c>
      <c r="G52" s="38">
        <v>1</v>
      </c>
      <c r="H52" s="55">
        <v>734</v>
      </c>
      <c r="I52" s="51" t="str">
        <f>VLOOKUP(H52,'[2]Chart of accounts'!A:H,2,FALSE)</f>
        <v>50103040 01</v>
      </c>
      <c r="J52" s="55"/>
      <c r="K52" s="55"/>
      <c r="L52" s="56"/>
      <c r="M52" s="56"/>
      <c r="N52" s="56"/>
      <c r="O52" s="53" t="s">
        <v>1</v>
      </c>
      <c r="P52" s="53" t="s">
        <v>1</v>
      </c>
      <c r="Q52" s="41" t="s">
        <v>771</v>
      </c>
      <c r="R52" s="42" t="s">
        <v>768</v>
      </c>
      <c r="S52" s="42" t="s">
        <v>762</v>
      </c>
      <c r="T52" s="43">
        <v>1200</v>
      </c>
      <c r="U52" s="52"/>
      <c r="V52" s="49">
        <v>1200</v>
      </c>
      <c r="W52" s="44">
        <f t="shared" si="0"/>
        <v>0</v>
      </c>
      <c r="X52" s="45"/>
      <c r="Y52" s="46"/>
      <c r="Z52" s="47"/>
      <c r="AA52" s="47"/>
      <c r="AB52" s="47"/>
      <c r="AC52" s="47"/>
      <c r="AD52" s="47"/>
      <c r="AE52" s="44"/>
      <c r="AF52" s="44"/>
      <c r="AG52" s="44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4"/>
      <c r="AZ52" s="44"/>
      <c r="BA52" s="44"/>
      <c r="BB52" s="44"/>
      <c r="BD52" s="48"/>
      <c r="BF52" s="44"/>
      <c r="BG52" s="44"/>
      <c r="BH52" s="44"/>
      <c r="BI52" s="44"/>
      <c r="BJ52" s="44"/>
      <c r="BK52" s="44"/>
      <c r="BL52" s="44"/>
      <c r="BP52" s="43">
        <v>1200</v>
      </c>
      <c r="BQ52" s="44"/>
      <c r="BR52" s="44"/>
      <c r="BS52" s="44"/>
      <c r="BT52" s="43">
        <v>1200</v>
      </c>
      <c r="BU52" s="47"/>
      <c r="BV52" s="44"/>
      <c r="BW52" s="50"/>
      <c r="BX52" s="44"/>
      <c r="BY52" s="44"/>
      <c r="BZ52" s="44"/>
      <c r="CA52" s="44"/>
      <c r="CB52" s="43">
        <f t="shared" si="1"/>
        <v>0</v>
      </c>
      <c r="CC52" s="44"/>
      <c r="CD52" s="65"/>
      <c r="CE52" s="44"/>
      <c r="CF52" s="44"/>
      <c r="CG52" s="44"/>
      <c r="CH52" s="47"/>
      <c r="CI52" s="44"/>
      <c r="CJ52" s="44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50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44"/>
      <c r="DJ52" s="44"/>
      <c r="DK52" s="44"/>
      <c r="DL52" s="44"/>
      <c r="DM52" s="44"/>
      <c r="DN52" s="44"/>
      <c r="DO52" s="44"/>
      <c r="DP52" s="44"/>
      <c r="DQ52" s="44"/>
      <c r="DR52" s="44"/>
      <c r="DS52" s="44"/>
      <c r="DT52" s="44"/>
      <c r="DU52" s="44"/>
      <c r="DV52" s="44"/>
      <c r="DW52" s="44"/>
      <c r="DX52" s="47"/>
      <c r="DY52" s="47"/>
      <c r="DZ52" s="47"/>
    </row>
    <row r="53" spans="1:130" s="32" customFormat="1" ht="27.6">
      <c r="A53" s="76">
        <v>44214</v>
      </c>
      <c r="B53" s="34" t="s">
        <v>759</v>
      </c>
      <c r="C53" s="286" t="s">
        <v>775</v>
      </c>
      <c r="D53" s="61">
        <v>0.72083333333333333</v>
      </c>
      <c r="E53" s="61">
        <v>0.72152777777777777</v>
      </c>
      <c r="F53" s="55" t="s">
        <v>0</v>
      </c>
      <c r="G53" s="38">
        <v>1</v>
      </c>
      <c r="H53" s="39">
        <v>701</v>
      </c>
      <c r="I53" s="51" t="str">
        <f>VLOOKUP(H53,'[2]Chart of accounts'!A:H,2,FALSE)</f>
        <v>50101010 01</v>
      </c>
      <c r="J53" s="39"/>
      <c r="K53" s="39"/>
      <c r="L53" s="34"/>
      <c r="M53" s="34"/>
      <c r="N53" s="34"/>
      <c r="O53" s="53" t="s">
        <v>1</v>
      </c>
      <c r="P53" s="53" t="s">
        <v>1</v>
      </c>
      <c r="Q53" s="41" t="s">
        <v>776</v>
      </c>
      <c r="R53" s="42" t="s">
        <v>777</v>
      </c>
      <c r="S53" s="42" t="s">
        <v>762</v>
      </c>
      <c r="T53" s="43">
        <v>377147</v>
      </c>
      <c r="U53" s="52"/>
      <c r="V53" s="49">
        <v>377147</v>
      </c>
      <c r="W53" s="44">
        <f t="shared" si="0"/>
        <v>0</v>
      </c>
      <c r="X53" s="45"/>
      <c r="Y53" s="46"/>
      <c r="Z53" s="47"/>
      <c r="AA53" s="47"/>
      <c r="AB53" s="47"/>
      <c r="AC53" s="47"/>
      <c r="AD53" s="47"/>
      <c r="AE53" s="44"/>
      <c r="AF53" s="44"/>
      <c r="AG53" s="44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4"/>
      <c r="AZ53" s="44"/>
      <c r="BA53" s="44"/>
      <c r="BB53" s="44"/>
      <c r="BC53" s="43">
        <v>377147</v>
      </c>
      <c r="BD53" s="48"/>
      <c r="BE53" s="44"/>
      <c r="BF53" s="44"/>
      <c r="BG53" s="44"/>
      <c r="BH53" s="44"/>
      <c r="BI53" s="44"/>
      <c r="BJ53" s="44"/>
      <c r="BK53" s="44"/>
      <c r="BL53" s="44"/>
      <c r="BM53" s="44"/>
      <c r="BN53" s="44"/>
      <c r="BO53" s="44"/>
      <c r="BP53" s="49"/>
      <c r="BQ53" s="44"/>
      <c r="BR53" s="44"/>
      <c r="BS53" s="44"/>
      <c r="BT53" s="43">
        <v>377147</v>
      </c>
      <c r="BU53" s="47"/>
      <c r="BV53" s="44"/>
      <c r="BW53" s="50"/>
      <c r="BX53" s="44"/>
      <c r="BY53" s="44"/>
      <c r="BZ53" s="44"/>
      <c r="CA53" s="44"/>
      <c r="CB53" s="43">
        <f t="shared" si="1"/>
        <v>0</v>
      </c>
      <c r="CC53" s="44"/>
      <c r="CD53" s="65"/>
      <c r="CE53" s="44"/>
      <c r="CF53" s="44"/>
      <c r="CG53" s="44"/>
      <c r="CH53" s="47"/>
      <c r="CI53" s="44"/>
      <c r="CJ53" s="44"/>
      <c r="CK53" s="44"/>
      <c r="CL53" s="44"/>
      <c r="CM53" s="44"/>
      <c r="CN53" s="44"/>
      <c r="CO53" s="44"/>
      <c r="CP53" s="44"/>
      <c r="CQ53" s="44"/>
      <c r="CR53" s="44"/>
      <c r="CS53" s="44"/>
      <c r="CT53" s="44"/>
      <c r="CU53" s="44"/>
      <c r="CV53" s="44"/>
      <c r="CW53" s="44"/>
      <c r="CX53" s="50"/>
      <c r="CY53" s="44"/>
      <c r="CZ53" s="44"/>
      <c r="DA53" s="44"/>
      <c r="DB53" s="44"/>
      <c r="DC53" s="44"/>
      <c r="DD53" s="44"/>
      <c r="DE53" s="44"/>
      <c r="DF53" s="44"/>
      <c r="DG53" s="44"/>
      <c r="DH53" s="44"/>
      <c r="DI53" s="44"/>
      <c r="DJ53" s="44"/>
      <c r="DK53" s="44"/>
      <c r="DL53" s="44"/>
      <c r="DM53" s="44"/>
      <c r="DN53" s="44"/>
      <c r="DO53" s="44"/>
      <c r="DP53" s="44"/>
      <c r="DQ53" s="44"/>
      <c r="DR53" s="44"/>
      <c r="DS53" s="44"/>
      <c r="DT53" s="44"/>
      <c r="DU53" s="44"/>
      <c r="DV53" s="44"/>
      <c r="DW53" s="44"/>
      <c r="DX53" s="47"/>
      <c r="DY53" s="47"/>
      <c r="DZ53" s="47"/>
    </row>
    <row r="54" spans="1:130" s="32" customFormat="1" ht="27.6">
      <c r="A54" s="76">
        <v>44214</v>
      </c>
      <c r="B54" s="34" t="s">
        <v>759</v>
      </c>
      <c r="C54" s="286" t="s">
        <v>775</v>
      </c>
      <c r="D54" s="61">
        <v>0.72083333333333333</v>
      </c>
      <c r="E54" s="61">
        <v>0.72152777777777777</v>
      </c>
      <c r="F54" s="55" t="s">
        <v>0</v>
      </c>
      <c r="G54" s="38">
        <v>1</v>
      </c>
      <c r="H54" s="39">
        <v>711</v>
      </c>
      <c r="I54" s="51" t="str">
        <f>VLOOKUP(H54,'[2]Chart of accounts'!A:H,2,FALSE)</f>
        <v>50102010 01</v>
      </c>
      <c r="J54" s="39"/>
      <c r="K54" s="39"/>
      <c r="L54" s="34"/>
      <c r="M54" s="34"/>
      <c r="N54" s="34"/>
      <c r="O54" s="53" t="s">
        <v>1</v>
      </c>
      <c r="P54" s="53" t="s">
        <v>1</v>
      </c>
      <c r="Q54" s="41" t="s">
        <v>776</v>
      </c>
      <c r="R54" s="42" t="s">
        <v>777</v>
      </c>
      <c r="S54" s="42" t="s">
        <v>762</v>
      </c>
      <c r="T54" s="43">
        <v>22000</v>
      </c>
      <c r="U54" s="52"/>
      <c r="V54" s="49">
        <v>22000</v>
      </c>
      <c r="W54" s="44">
        <f t="shared" si="0"/>
        <v>0</v>
      </c>
      <c r="X54" s="45"/>
      <c r="Y54" s="46"/>
      <c r="Z54" s="47"/>
      <c r="AA54" s="47"/>
      <c r="AB54" s="47"/>
      <c r="AC54" s="47"/>
      <c r="AD54" s="47"/>
      <c r="AE54" s="44"/>
      <c r="AF54" s="44"/>
      <c r="AG54" s="44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4"/>
      <c r="AZ54" s="44"/>
      <c r="BA54" s="44"/>
      <c r="BB54" s="44"/>
      <c r="BD54" s="48"/>
      <c r="BE54" s="43">
        <v>22000</v>
      </c>
      <c r="BF54" s="44"/>
      <c r="BG54" s="44"/>
      <c r="BH54" s="44"/>
      <c r="BI54" s="44"/>
      <c r="BJ54" s="44"/>
      <c r="BK54" s="44"/>
      <c r="BL54" s="44"/>
      <c r="BM54" s="44"/>
      <c r="BN54" s="44"/>
      <c r="BO54" s="44"/>
      <c r="BP54" s="49"/>
      <c r="BQ54" s="44"/>
      <c r="BR54" s="44"/>
      <c r="BS54" s="44"/>
      <c r="BT54" s="43">
        <v>22000</v>
      </c>
      <c r="BU54" s="47"/>
      <c r="BV54" s="44"/>
      <c r="BW54" s="50"/>
      <c r="BX54" s="44"/>
      <c r="BY54" s="44"/>
      <c r="BZ54" s="44"/>
      <c r="CA54" s="44"/>
      <c r="CB54" s="43">
        <f t="shared" si="1"/>
        <v>0</v>
      </c>
      <c r="CC54" s="44"/>
      <c r="CD54" s="65"/>
      <c r="CE54" s="44"/>
      <c r="CF54" s="44"/>
      <c r="CG54" s="44"/>
      <c r="CH54" s="47"/>
      <c r="CI54" s="44"/>
      <c r="CJ54" s="44"/>
      <c r="CK54" s="44"/>
      <c r="CL54" s="44"/>
      <c r="CM54" s="44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50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44"/>
      <c r="DJ54" s="44"/>
      <c r="DK54" s="44"/>
      <c r="DL54" s="44"/>
      <c r="DM54" s="44"/>
      <c r="DN54" s="44"/>
      <c r="DO54" s="44"/>
      <c r="DP54" s="44"/>
      <c r="DQ54" s="44"/>
      <c r="DR54" s="44"/>
      <c r="DS54" s="44"/>
      <c r="DT54" s="44"/>
      <c r="DU54" s="44"/>
      <c r="DV54" s="44"/>
      <c r="DW54" s="44"/>
      <c r="DX54" s="47"/>
      <c r="DY54" s="47"/>
      <c r="DZ54" s="47"/>
    </row>
    <row r="55" spans="1:130" s="32" customFormat="1" ht="27.6">
      <c r="A55" s="76">
        <v>44214</v>
      </c>
      <c r="B55" s="34" t="s">
        <v>759</v>
      </c>
      <c r="C55" s="286" t="s">
        <v>775</v>
      </c>
      <c r="D55" s="61">
        <v>0.72083333333333333</v>
      </c>
      <c r="E55" s="61">
        <v>0.72152777777777777</v>
      </c>
      <c r="F55" s="55" t="s">
        <v>0</v>
      </c>
      <c r="G55" s="38">
        <v>1</v>
      </c>
      <c r="H55" s="39">
        <v>731</v>
      </c>
      <c r="I55" s="51" t="str">
        <f>VLOOKUP(H55,'[2]Chart of accounts'!A:H,2,FALSE)</f>
        <v>50103010 00</v>
      </c>
      <c r="J55" s="39"/>
      <c r="K55" s="39"/>
      <c r="L55" s="34"/>
      <c r="M55" s="34"/>
      <c r="N55" s="34"/>
      <c r="O55" s="53" t="s">
        <v>1</v>
      </c>
      <c r="P55" s="53" t="s">
        <v>1</v>
      </c>
      <c r="Q55" s="41" t="s">
        <v>776</v>
      </c>
      <c r="R55" s="42" t="s">
        <v>777</v>
      </c>
      <c r="S55" s="42" t="s">
        <v>762</v>
      </c>
      <c r="T55" s="43">
        <v>45257.64</v>
      </c>
      <c r="U55" s="52"/>
      <c r="V55" s="49">
        <v>45257.64</v>
      </c>
      <c r="W55" s="44">
        <f t="shared" si="0"/>
        <v>0</v>
      </c>
      <c r="X55" s="45"/>
      <c r="Y55" s="46"/>
      <c r="Z55" s="47"/>
      <c r="AA55" s="47"/>
      <c r="AB55" s="47"/>
      <c r="AC55" s="47"/>
      <c r="AD55" s="47"/>
      <c r="AE55" s="44"/>
      <c r="AF55" s="44"/>
      <c r="AG55" s="44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4"/>
      <c r="AZ55" s="44"/>
      <c r="BA55" s="44"/>
      <c r="BB55" s="44"/>
      <c r="BD55" s="48"/>
      <c r="BE55" s="44"/>
      <c r="BF55" s="44"/>
      <c r="BG55" s="44"/>
      <c r="BH55" s="44"/>
      <c r="BI55" s="44"/>
      <c r="BJ55" s="44"/>
      <c r="BK55" s="44"/>
      <c r="BL55" s="44"/>
      <c r="BM55" s="43">
        <v>45257.64</v>
      </c>
      <c r="BN55" s="44"/>
      <c r="BO55" s="44"/>
      <c r="BP55" s="49"/>
      <c r="BQ55" s="44"/>
      <c r="BR55" s="44"/>
      <c r="BS55" s="44"/>
      <c r="BT55" s="43">
        <v>45257.64</v>
      </c>
      <c r="BU55" s="47"/>
      <c r="BV55" s="44"/>
      <c r="BW55" s="50"/>
      <c r="BX55" s="44"/>
      <c r="BY55" s="44"/>
      <c r="BZ55" s="44"/>
      <c r="CA55" s="44"/>
      <c r="CB55" s="43">
        <f t="shared" si="1"/>
        <v>0</v>
      </c>
      <c r="CC55" s="44"/>
      <c r="CD55" s="65"/>
      <c r="CE55" s="44"/>
      <c r="CF55" s="44"/>
      <c r="CG55" s="44"/>
      <c r="CH55" s="47"/>
      <c r="CI55" s="44"/>
      <c r="CJ55" s="44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50"/>
      <c r="CY55" s="44"/>
      <c r="CZ55" s="44"/>
      <c r="DA55" s="44"/>
      <c r="DB55" s="44"/>
      <c r="DC55" s="44"/>
      <c r="DD55" s="44"/>
      <c r="DE55" s="44"/>
      <c r="DF55" s="44"/>
      <c r="DG55" s="44"/>
      <c r="DH55" s="44"/>
      <c r="DI55" s="44"/>
      <c r="DJ55" s="44"/>
      <c r="DK55" s="44"/>
      <c r="DL55" s="44"/>
      <c r="DM55" s="44"/>
      <c r="DN55" s="44"/>
      <c r="DO55" s="44"/>
      <c r="DP55" s="44"/>
      <c r="DQ55" s="44"/>
      <c r="DR55" s="44"/>
      <c r="DS55" s="44"/>
      <c r="DT55" s="44"/>
      <c r="DU55" s="44"/>
      <c r="DV55" s="44"/>
      <c r="DW55" s="44"/>
      <c r="DX55" s="47"/>
      <c r="DY55" s="47"/>
      <c r="DZ55" s="47"/>
    </row>
    <row r="56" spans="1:130" s="32" customFormat="1" ht="27.6">
      <c r="A56" s="76">
        <v>44214</v>
      </c>
      <c r="B56" s="34" t="s">
        <v>759</v>
      </c>
      <c r="C56" s="286" t="s">
        <v>775</v>
      </c>
      <c r="D56" s="61">
        <v>0.72083333333333333</v>
      </c>
      <c r="E56" s="61">
        <v>0.72152777777777777</v>
      </c>
      <c r="F56" s="55" t="s">
        <v>0</v>
      </c>
      <c r="G56" s="38">
        <v>1</v>
      </c>
      <c r="H56" s="39">
        <v>732</v>
      </c>
      <c r="I56" s="51" t="str">
        <f>VLOOKUP(H56,'[2]Chart of accounts'!A:H,2,FALSE)</f>
        <v>50103020 01</v>
      </c>
      <c r="J56" s="55"/>
      <c r="K56" s="55"/>
      <c r="L56" s="56"/>
      <c r="M56" s="56"/>
      <c r="N56" s="56"/>
      <c r="O56" s="53" t="s">
        <v>1</v>
      </c>
      <c r="P56" s="53" t="s">
        <v>1</v>
      </c>
      <c r="Q56" s="41" t="s">
        <v>776</v>
      </c>
      <c r="R56" s="42" t="s">
        <v>777</v>
      </c>
      <c r="S56" s="42" t="s">
        <v>762</v>
      </c>
      <c r="T56" s="43">
        <v>1100</v>
      </c>
      <c r="U56" s="52"/>
      <c r="V56" s="49">
        <v>1100</v>
      </c>
      <c r="W56" s="44">
        <f t="shared" si="0"/>
        <v>0</v>
      </c>
      <c r="X56" s="45"/>
      <c r="Y56" s="46"/>
      <c r="Z56" s="47"/>
      <c r="AA56" s="47"/>
      <c r="AB56" s="47"/>
      <c r="AC56" s="47"/>
      <c r="AD56" s="47"/>
      <c r="AE56" s="44"/>
      <c r="AF56" s="44"/>
      <c r="AG56" s="44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4"/>
      <c r="AZ56" s="44"/>
      <c r="BA56" s="44"/>
      <c r="BB56" s="44"/>
      <c r="BD56" s="48"/>
      <c r="BE56" s="44"/>
      <c r="BF56" s="44"/>
      <c r="BG56" s="44"/>
      <c r="BH56" s="44"/>
      <c r="BI56" s="44"/>
      <c r="BJ56" s="44"/>
      <c r="BK56" s="44"/>
      <c r="BL56" s="44"/>
      <c r="BN56" s="43">
        <v>1100</v>
      </c>
      <c r="BO56" s="44"/>
      <c r="BP56" s="49"/>
      <c r="BQ56" s="44"/>
      <c r="BR56" s="44"/>
      <c r="BS56" s="44"/>
      <c r="BT56" s="43">
        <v>1100</v>
      </c>
      <c r="BU56" s="47"/>
      <c r="BV56" s="44"/>
      <c r="BW56" s="50"/>
      <c r="BX56" s="44"/>
      <c r="BY56" s="44"/>
      <c r="BZ56" s="44"/>
      <c r="CA56" s="44"/>
      <c r="CB56" s="43">
        <f t="shared" si="1"/>
        <v>0</v>
      </c>
      <c r="CC56" s="44"/>
      <c r="CD56" s="65"/>
      <c r="CE56" s="44"/>
      <c r="CF56" s="44"/>
      <c r="CG56" s="44"/>
      <c r="CH56" s="47"/>
      <c r="CI56" s="44"/>
      <c r="CJ56" s="44"/>
      <c r="CK56" s="44"/>
      <c r="CL56" s="44"/>
      <c r="CM56" s="44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50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44"/>
      <c r="DJ56" s="44"/>
      <c r="DK56" s="44"/>
      <c r="DL56" s="44"/>
      <c r="DM56" s="44"/>
      <c r="DN56" s="44"/>
      <c r="DO56" s="44"/>
      <c r="DP56" s="44"/>
      <c r="DQ56" s="44"/>
      <c r="DR56" s="44"/>
      <c r="DS56" s="44"/>
      <c r="DT56" s="44"/>
      <c r="DU56" s="44"/>
      <c r="DV56" s="44"/>
      <c r="DW56" s="44"/>
      <c r="DX56" s="47"/>
      <c r="DY56" s="47"/>
      <c r="DZ56" s="47"/>
    </row>
    <row r="57" spans="1:130" s="32" customFormat="1" ht="27.6">
      <c r="A57" s="76">
        <v>44214</v>
      </c>
      <c r="B57" s="34" t="s">
        <v>759</v>
      </c>
      <c r="C57" s="286" t="s">
        <v>775</v>
      </c>
      <c r="D57" s="61">
        <v>0.72083333333333333</v>
      </c>
      <c r="E57" s="61">
        <v>0.72152777777777777</v>
      </c>
      <c r="F57" s="55" t="s">
        <v>0</v>
      </c>
      <c r="G57" s="38">
        <v>1</v>
      </c>
      <c r="H57" s="55">
        <v>733</v>
      </c>
      <c r="I57" s="51" t="str">
        <f>VLOOKUP(H57,'[2]Chart of accounts'!A:H,2,FALSE)</f>
        <v>50103030 01</v>
      </c>
      <c r="J57" s="55"/>
      <c r="K57" s="55"/>
      <c r="L57" s="56"/>
      <c r="M57" s="56"/>
      <c r="N57" s="56"/>
      <c r="O57" s="53" t="s">
        <v>1</v>
      </c>
      <c r="P57" s="53" t="s">
        <v>1</v>
      </c>
      <c r="Q57" s="41" t="s">
        <v>776</v>
      </c>
      <c r="R57" s="42" t="s">
        <v>777</v>
      </c>
      <c r="S57" s="42" t="s">
        <v>762</v>
      </c>
      <c r="T57" s="43">
        <v>5521.98</v>
      </c>
      <c r="U57" s="52"/>
      <c r="V57" s="49">
        <v>5521.98</v>
      </c>
      <c r="W57" s="44">
        <f t="shared" si="0"/>
        <v>0</v>
      </c>
      <c r="X57" s="45"/>
      <c r="Y57" s="46"/>
      <c r="Z57" s="47"/>
      <c r="AA57" s="47"/>
      <c r="AB57" s="47"/>
      <c r="AC57" s="47"/>
      <c r="AD57" s="47"/>
      <c r="AE57" s="44"/>
      <c r="AF57" s="44"/>
      <c r="AG57" s="44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4"/>
      <c r="AZ57" s="44"/>
      <c r="BA57" s="44"/>
      <c r="BB57" s="44"/>
      <c r="BD57" s="48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3">
        <v>5521.98</v>
      </c>
      <c r="BP57" s="49"/>
      <c r="BQ57" s="44"/>
      <c r="BR57" s="44"/>
      <c r="BS57" s="44"/>
      <c r="BT57" s="43">
        <v>5521.98</v>
      </c>
      <c r="BU57" s="47"/>
      <c r="BV57" s="44"/>
      <c r="BW57" s="50"/>
      <c r="BX57" s="44"/>
      <c r="BY57" s="44"/>
      <c r="BZ57" s="44"/>
      <c r="CA57" s="44"/>
      <c r="CB57" s="43">
        <f t="shared" si="1"/>
        <v>0</v>
      </c>
      <c r="CC57" s="44"/>
      <c r="CD57" s="65"/>
      <c r="CE57" s="44"/>
      <c r="CF57" s="44"/>
      <c r="CG57" s="44"/>
      <c r="CH57" s="47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4"/>
      <c r="CV57" s="44"/>
      <c r="CW57" s="44"/>
      <c r="CX57" s="50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7"/>
      <c r="DY57" s="47"/>
      <c r="DZ57" s="47"/>
    </row>
    <row r="58" spans="1:130" s="32" customFormat="1" ht="27.6">
      <c r="A58" s="76">
        <v>44214</v>
      </c>
      <c r="B58" s="34" t="s">
        <v>759</v>
      </c>
      <c r="C58" s="286" t="s">
        <v>775</v>
      </c>
      <c r="D58" s="61">
        <v>0.72083333333333333</v>
      </c>
      <c r="E58" s="61">
        <v>0.72152777777777777</v>
      </c>
      <c r="F58" s="55" t="s">
        <v>0</v>
      </c>
      <c r="G58" s="38">
        <v>1</v>
      </c>
      <c r="H58" s="55">
        <v>734</v>
      </c>
      <c r="I58" s="51" t="str">
        <f>VLOOKUP(H58,'[2]Chart of accounts'!A:H,2,FALSE)</f>
        <v>50103040 01</v>
      </c>
      <c r="J58" s="55"/>
      <c r="K58" s="55"/>
      <c r="L58" s="56"/>
      <c r="M58" s="56"/>
      <c r="N58" s="56"/>
      <c r="O58" s="53" t="s">
        <v>1</v>
      </c>
      <c r="P58" s="53" t="s">
        <v>1</v>
      </c>
      <c r="Q58" s="41" t="s">
        <v>776</v>
      </c>
      <c r="R58" s="42" t="s">
        <v>777</v>
      </c>
      <c r="S58" s="42" t="s">
        <v>762</v>
      </c>
      <c r="T58" s="43">
        <v>1100</v>
      </c>
      <c r="U58" s="52"/>
      <c r="V58" s="49">
        <v>1100</v>
      </c>
      <c r="W58" s="44">
        <f t="shared" si="0"/>
        <v>0</v>
      </c>
      <c r="X58" s="45"/>
      <c r="Y58" s="46"/>
      <c r="Z58" s="47"/>
      <c r="AA58" s="47"/>
      <c r="AB58" s="47"/>
      <c r="AC58" s="47"/>
      <c r="AD58" s="47"/>
      <c r="AE58" s="44"/>
      <c r="AF58" s="44"/>
      <c r="AG58" s="44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4"/>
      <c r="AZ58" s="44"/>
      <c r="BA58" s="44"/>
      <c r="BB58" s="44"/>
      <c r="BD58" s="48"/>
      <c r="BE58" s="44"/>
      <c r="BF58" s="44"/>
      <c r="BG58" s="44"/>
      <c r="BH58" s="44"/>
      <c r="BI58" s="44"/>
      <c r="BJ58" s="44"/>
      <c r="BK58" s="44"/>
      <c r="BL58" s="44"/>
      <c r="BM58" s="44"/>
      <c r="BN58" s="44"/>
      <c r="BP58" s="43">
        <v>1100</v>
      </c>
      <c r="BQ58" s="44"/>
      <c r="BR58" s="44"/>
      <c r="BS58" s="44"/>
      <c r="BT58" s="43">
        <v>1100</v>
      </c>
      <c r="BU58" s="47"/>
      <c r="BV58" s="44"/>
      <c r="BW58" s="50"/>
      <c r="BX58" s="44"/>
      <c r="BY58" s="44"/>
      <c r="BZ58" s="44"/>
      <c r="CA58" s="44"/>
      <c r="CB58" s="43">
        <f t="shared" si="1"/>
        <v>0</v>
      </c>
      <c r="CC58" s="44"/>
      <c r="CD58" s="65"/>
      <c r="CE58" s="44"/>
      <c r="CF58" s="44"/>
      <c r="CG58" s="44"/>
      <c r="CH58" s="47"/>
      <c r="CI58" s="44"/>
      <c r="CJ58" s="44"/>
      <c r="CK58" s="44"/>
      <c r="CL58" s="44"/>
      <c r="CM58" s="44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50"/>
      <c r="CY58" s="44"/>
      <c r="CZ58" s="44"/>
      <c r="DA58" s="44"/>
      <c r="DB58" s="44"/>
      <c r="DC58" s="44"/>
      <c r="DD58" s="44"/>
      <c r="DE58" s="44"/>
      <c r="DF58" s="44"/>
      <c r="DG58" s="44"/>
      <c r="DH58" s="44"/>
      <c r="DI58" s="44"/>
      <c r="DJ58" s="44"/>
      <c r="DK58" s="44"/>
      <c r="DL58" s="44"/>
      <c r="DM58" s="44"/>
      <c r="DN58" s="44"/>
      <c r="DO58" s="44"/>
      <c r="DP58" s="44"/>
      <c r="DQ58" s="44"/>
      <c r="DR58" s="44"/>
      <c r="DS58" s="44"/>
      <c r="DT58" s="44"/>
      <c r="DU58" s="44"/>
      <c r="DV58" s="44"/>
      <c r="DW58" s="44"/>
      <c r="DX58" s="47"/>
      <c r="DY58" s="47"/>
      <c r="DZ58" s="47"/>
    </row>
    <row r="59" spans="1:130" s="32" customFormat="1" ht="27.6">
      <c r="A59" s="76">
        <v>44215</v>
      </c>
      <c r="B59" s="34" t="s">
        <v>759</v>
      </c>
      <c r="C59" s="286" t="s">
        <v>787</v>
      </c>
      <c r="D59" s="61">
        <v>0.56527777777777777</v>
      </c>
      <c r="E59" s="61">
        <v>0.56597222222222221</v>
      </c>
      <c r="F59" s="55" t="s">
        <v>0</v>
      </c>
      <c r="G59" s="38">
        <v>1</v>
      </c>
      <c r="H59" s="39">
        <v>701</v>
      </c>
      <c r="I59" s="51" t="str">
        <f>VLOOKUP(H59,'[2]Chart of accounts'!A:H,2,FALSE)</f>
        <v>50101010 01</v>
      </c>
      <c r="J59" s="39"/>
      <c r="K59" s="39"/>
      <c r="L59" s="34"/>
      <c r="M59" s="34"/>
      <c r="N59" s="34"/>
      <c r="O59" s="53" t="s">
        <v>1</v>
      </c>
      <c r="P59" s="53" t="s">
        <v>1</v>
      </c>
      <c r="Q59" s="41" t="s">
        <v>788</v>
      </c>
      <c r="R59" s="42" t="s">
        <v>789</v>
      </c>
      <c r="S59" s="42" t="s">
        <v>762</v>
      </c>
      <c r="T59" s="43">
        <v>487450</v>
      </c>
      <c r="U59" s="52"/>
      <c r="V59" s="43">
        <v>487450</v>
      </c>
      <c r="W59" s="44">
        <f t="shared" si="0"/>
        <v>0</v>
      </c>
      <c r="X59" s="45"/>
      <c r="Y59" s="46"/>
      <c r="Z59" s="47"/>
      <c r="AA59" s="47"/>
      <c r="AB59" s="47"/>
      <c r="AC59" s="47"/>
      <c r="AD59" s="47"/>
      <c r="AE59" s="44"/>
      <c r="AF59" s="44"/>
      <c r="AG59" s="44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4"/>
      <c r="AZ59" s="44"/>
      <c r="BA59" s="44"/>
      <c r="BB59" s="44"/>
      <c r="BC59" s="43">
        <v>487450</v>
      </c>
      <c r="BD59" s="48"/>
      <c r="BE59" s="44"/>
      <c r="BF59" s="44"/>
      <c r="BG59" s="44"/>
      <c r="BH59" s="44"/>
      <c r="BI59" s="44"/>
      <c r="BJ59" s="44"/>
      <c r="BK59" s="44"/>
      <c r="BL59" s="44"/>
      <c r="BM59" s="44"/>
      <c r="BN59" s="44"/>
      <c r="BO59" s="44"/>
      <c r="BP59" s="49"/>
      <c r="BQ59" s="44"/>
      <c r="BR59" s="44"/>
      <c r="BS59" s="44"/>
      <c r="BT59" s="43">
        <v>487450</v>
      </c>
      <c r="BU59" s="47"/>
      <c r="BV59" s="44"/>
      <c r="BW59" s="50"/>
      <c r="BX59" s="44"/>
      <c r="BY59" s="44"/>
      <c r="BZ59" s="44"/>
      <c r="CA59" s="44"/>
      <c r="CB59" s="43">
        <f t="shared" si="1"/>
        <v>0</v>
      </c>
      <c r="CC59" s="44"/>
      <c r="CD59" s="65"/>
      <c r="CE59" s="44"/>
      <c r="CF59" s="44"/>
      <c r="CG59" s="44"/>
      <c r="CH59" s="47"/>
      <c r="CI59" s="44"/>
      <c r="CJ59" s="44"/>
      <c r="CK59" s="44"/>
      <c r="CL59" s="44"/>
      <c r="CM59" s="44"/>
      <c r="CN59" s="44"/>
      <c r="CO59" s="44"/>
      <c r="CP59" s="44"/>
      <c r="CQ59" s="44"/>
      <c r="CR59" s="44"/>
      <c r="CS59" s="44"/>
      <c r="CT59" s="44"/>
      <c r="CU59" s="44"/>
      <c r="CV59" s="44"/>
      <c r="CW59" s="44"/>
      <c r="CX59" s="50"/>
      <c r="CY59" s="44"/>
      <c r="CZ59" s="44"/>
      <c r="DA59" s="44"/>
      <c r="DB59" s="44"/>
      <c r="DC59" s="44"/>
      <c r="DD59" s="44"/>
      <c r="DE59" s="44"/>
      <c r="DF59" s="44"/>
      <c r="DG59" s="44"/>
      <c r="DH59" s="44"/>
      <c r="DI59" s="44"/>
      <c r="DJ59" s="44"/>
      <c r="DK59" s="44"/>
      <c r="DL59" s="44"/>
      <c r="DM59" s="44"/>
      <c r="DN59" s="44"/>
      <c r="DO59" s="44"/>
      <c r="DP59" s="44"/>
      <c r="DQ59" s="44"/>
      <c r="DR59" s="44"/>
      <c r="DS59" s="44"/>
      <c r="DT59" s="44"/>
      <c r="DU59" s="44"/>
      <c r="DV59" s="44"/>
      <c r="DW59" s="44"/>
      <c r="DX59" s="47"/>
      <c r="DY59" s="47"/>
      <c r="DZ59" s="47"/>
    </row>
    <row r="60" spans="1:130" s="32" customFormat="1" ht="27.6">
      <c r="A60" s="76">
        <v>44215</v>
      </c>
      <c r="B60" s="34" t="s">
        <v>759</v>
      </c>
      <c r="C60" s="286" t="s">
        <v>787</v>
      </c>
      <c r="D60" s="61">
        <v>0.56527777777777777</v>
      </c>
      <c r="E60" s="61">
        <v>0.56597222222222221</v>
      </c>
      <c r="F60" s="55" t="s">
        <v>0</v>
      </c>
      <c r="G60" s="38">
        <v>1</v>
      </c>
      <c r="H60" s="39">
        <v>711</v>
      </c>
      <c r="I60" s="51" t="str">
        <f>VLOOKUP(H60,'[2]Chart of accounts'!A:H,2,FALSE)</f>
        <v>50102010 01</v>
      </c>
      <c r="J60" s="39"/>
      <c r="K60" s="39"/>
      <c r="L60" s="34"/>
      <c r="M60" s="34"/>
      <c r="N60" s="34"/>
      <c r="O60" s="53" t="s">
        <v>1</v>
      </c>
      <c r="P60" s="53" t="s">
        <v>1</v>
      </c>
      <c r="Q60" s="41" t="s">
        <v>788</v>
      </c>
      <c r="R60" s="42" t="s">
        <v>789</v>
      </c>
      <c r="S60" s="42" t="s">
        <v>762</v>
      </c>
      <c r="T60" s="43">
        <v>20000</v>
      </c>
      <c r="U60" s="52"/>
      <c r="V60" s="43">
        <v>20000</v>
      </c>
      <c r="W60" s="44">
        <f t="shared" si="0"/>
        <v>0</v>
      </c>
      <c r="X60" s="45"/>
      <c r="Y60" s="46"/>
      <c r="Z60" s="47"/>
      <c r="AA60" s="47"/>
      <c r="AB60" s="47"/>
      <c r="AC60" s="47"/>
      <c r="AD60" s="47"/>
      <c r="AE60" s="44"/>
      <c r="AF60" s="44"/>
      <c r="AG60" s="44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4"/>
      <c r="AZ60" s="44"/>
      <c r="BA60" s="44"/>
      <c r="BB60" s="44"/>
      <c r="BD60" s="48"/>
      <c r="BE60" s="43">
        <v>20000</v>
      </c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9"/>
      <c r="BQ60" s="44"/>
      <c r="BR60" s="44"/>
      <c r="BS60" s="44"/>
      <c r="BT60" s="43">
        <v>20000</v>
      </c>
      <c r="BU60" s="47"/>
      <c r="BV60" s="44"/>
      <c r="BW60" s="50"/>
      <c r="BX60" s="44"/>
      <c r="BY60" s="44"/>
      <c r="BZ60" s="44"/>
      <c r="CA60" s="44"/>
      <c r="CB60" s="43">
        <f t="shared" si="1"/>
        <v>0</v>
      </c>
      <c r="CC60" s="44"/>
      <c r="CD60" s="65"/>
      <c r="CE60" s="44"/>
      <c r="CF60" s="44"/>
      <c r="CG60" s="44"/>
      <c r="CH60" s="47"/>
      <c r="CI60" s="44"/>
      <c r="CJ60" s="44"/>
      <c r="CK60" s="44"/>
      <c r="CL60" s="44"/>
      <c r="CM60" s="44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50"/>
      <c r="CY60" s="44"/>
      <c r="CZ60" s="44"/>
      <c r="DA60" s="44"/>
      <c r="DB60" s="44"/>
      <c r="DC60" s="44"/>
      <c r="DD60" s="44"/>
      <c r="DE60" s="44"/>
      <c r="DF60" s="44"/>
      <c r="DG60" s="44"/>
      <c r="DH60" s="44"/>
      <c r="DI60" s="44"/>
      <c r="DJ60" s="44"/>
      <c r="DK60" s="44"/>
      <c r="DL60" s="44"/>
      <c r="DM60" s="44"/>
      <c r="DN60" s="44"/>
      <c r="DO60" s="44"/>
      <c r="DP60" s="44"/>
      <c r="DQ60" s="44"/>
      <c r="DR60" s="44"/>
      <c r="DS60" s="44"/>
      <c r="DT60" s="44"/>
      <c r="DU60" s="44"/>
      <c r="DV60" s="44"/>
      <c r="DW60" s="44"/>
      <c r="DX60" s="47"/>
      <c r="DY60" s="47"/>
      <c r="DZ60" s="47"/>
    </row>
    <row r="61" spans="1:130" s="32" customFormat="1" ht="27.6">
      <c r="A61" s="76">
        <v>44215</v>
      </c>
      <c r="B61" s="34" t="s">
        <v>759</v>
      </c>
      <c r="C61" s="286" t="s">
        <v>787</v>
      </c>
      <c r="D61" s="61">
        <v>0.56527777777777777</v>
      </c>
      <c r="E61" s="61">
        <v>0.56597222222222221</v>
      </c>
      <c r="F61" s="55" t="s">
        <v>0</v>
      </c>
      <c r="G61" s="38">
        <v>1</v>
      </c>
      <c r="H61" s="39">
        <v>731</v>
      </c>
      <c r="I61" s="51" t="str">
        <f>VLOOKUP(H61,'[2]Chart of accounts'!A:H,2,FALSE)</f>
        <v>50103010 00</v>
      </c>
      <c r="J61" s="39"/>
      <c r="K61" s="39"/>
      <c r="L61" s="34"/>
      <c r="M61" s="34"/>
      <c r="N61" s="34"/>
      <c r="O61" s="53" t="s">
        <v>1</v>
      </c>
      <c r="P61" s="53" t="s">
        <v>1</v>
      </c>
      <c r="Q61" s="41" t="s">
        <v>788</v>
      </c>
      <c r="R61" s="42" t="s">
        <v>789</v>
      </c>
      <c r="S61" s="42" t="s">
        <v>762</v>
      </c>
      <c r="T61" s="43">
        <v>58494</v>
      </c>
      <c r="U61" s="52"/>
      <c r="V61" s="43">
        <v>58494</v>
      </c>
      <c r="W61" s="44">
        <f t="shared" si="0"/>
        <v>0</v>
      </c>
      <c r="X61" s="45"/>
      <c r="Y61" s="46"/>
      <c r="Z61" s="47"/>
      <c r="AA61" s="47"/>
      <c r="AB61" s="47"/>
      <c r="AC61" s="47"/>
      <c r="AD61" s="47"/>
      <c r="AE61" s="44"/>
      <c r="AF61" s="44"/>
      <c r="AG61" s="44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4"/>
      <c r="AZ61" s="44"/>
      <c r="BA61" s="44"/>
      <c r="BB61" s="44"/>
      <c r="BD61" s="48"/>
      <c r="BE61" s="44"/>
      <c r="BF61" s="44"/>
      <c r="BG61" s="44"/>
      <c r="BH61" s="44"/>
      <c r="BI61" s="44"/>
      <c r="BJ61" s="44"/>
      <c r="BK61" s="44"/>
      <c r="BL61" s="44"/>
      <c r="BM61" s="43">
        <v>58494</v>
      </c>
      <c r="BN61" s="44"/>
      <c r="BO61" s="44"/>
      <c r="BP61" s="49"/>
      <c r="BQ61" s="44"/>
      <c r="BR61" s="44"/>
      <c r="BS61" s="44"/>
      <c r="BT61" s="43">
        <v>58494</v>
      </c>
      <c r="BU61" s="47"/>
      <c r="BV61" s="44"/>
      <c r="BW61" s="50"/>
      <c r="BX61" s="44"/>
      <c r="BY61" s="44"/>
      <c r="BZ61" s="44"/>
      <c r="CA61" s="44"/>
      <c r="CB61" s="43">
        <f t="shared" si="1"/>
        <v>0</v>
      </c>
      <c r="CC61" s="44"/>
      <c r="CD61" s="65"/>
      <c r="CE61" s="44"/>
      <c r="CF61" s="44"/>
      <c r="CG61" s="44"/>
      <c r="CH61" s="47"/>
      <c r="CI61" s="44"/>
      <c r="CJ61" s="44"/>
      <c r="CK61" s="44"/>
      <c r="CL61" s="44"/>
      <c r="CM61" s="44"/>
      <c r="CN61" s="44"/>
      <c r="CO61" s="44"/>
      <c r="CP61" s="44"/>
      <c r="CQ61" s="44"/>
      <c r="CR61" s="44"/>
      <c r="CS61" s="44"/>
      <c r="CT61" s="44"/>
      <c r="CU61" s="44"/>
      <c r="CV61" s="44"/>
      <c r="CW61" s="44"/>
      <c r="CX61" s="50"/>
      <c r="CY61" s="44"/>
      <c r="CZ61" s="44"/>
      <c r="DA61" s="44"/>
      <c r="DB61" s="44"/>
      <c r="DC61" s="44"/>
      <c r="DD61" s="44"/>
      <c r="DE61" s="44"/>
      <c r="DF61" s="44"/>
      <c r="DG61" s="44"/>
      <c r="DH61" s="44"/>
      <c r="DI61" s="44"/>
      <c r="DJ61" s="44"/>
      <c r="DK61" s="44"/>
      <c r="DL61" s="44"/>
      <c r="DM61" s="44"/>
      <c r="DN61" s="44"/>
      <c r="DO61" s="44"/>
      <c r="DP61" s="44"/>
      <c r="DQ61" s="44"/>
      <c r="DR61" s="44"/>
      <c r="DS61" s="44"/>
      <c r="DT61" s="44"/>
      <c r="DU61" s="44"/>
      <c r="DV61" s="44"/>
      <c r="DW61" s="44"/>
      <c r="DX61" s="47"/>
      <c r="DY61" s="47"/>
      <c r="DZ61" s="47"/>
    </row>
    <row r="62" spans="1:130" s="32" customFormat="1" ht="27.6">
      <c r="A62" s="76">
        <v>44215</v>
      </c>
      <c r="B62" s="34" t="s">
        <v>759</v>
      </c>
      <c r="C62" s="286" t="s">
        <v>787</v>
      </c>
      <c r="D62" s="61">
        <v>0.56527777777777777</v>
      </c>
      <c r="E62" s="61">
        <v>0.56597222222222221</v>
      </c>
      <c r="F62" s="55" t="s">
        <v>0</v>
      </c>
      <c r="G62" s="38">
        <v>1</v>
      </c>
      <c r="H62" s="39">
        <v>732</v>
      </c>
      <c r="I62" s="51" t="str">
        <f>VLOOKUP(H62,'[2]Chart of accounts'!A:H,2,FALSE)</f>
        <v>50103020 01</v>
      </c>
      <c r="J62" s="55"/>
      <c r="K62" s="55"/>
      <c r="L62" s="56"/>
      <c r="M62" s="56"/>
      <c r="N62" s="56"/>
      <c r="O62" s="53" t="s">
        <v>1</v>
      </c>
      <c r="P62" s="53" t="s">
        <v>1</v>
      </c>
      <c r="Q62" s="41" t="s">
        <v>788</v>
      </c>
      <c r="R62" s="42" t="s">
        <v>789</v>
      </c>
      <c r="S62" s="42" t="s">
        <v>762</v>
      </c>
      <c r="T62" s="43">
        <v>1000</v>
      </c>
      <c r="U62" s="52"/>
      <c r="V62" s="43">
        <v>1000</v>
      </c>
      <c r="W62" s="44">
        <f t="shared" si="0"/>
        <v>0</v>
      </c>
      <c r="X62" s="45"/>
      <c r="Y62" s="46"/>
      <c r="Z62" s="47"/>
      <c r="AA62" s="47"/>
      <c r="AB62" s="47"/>
      <c r="AC62" s="47"/>
      <c r="AD62" s="47"/>
      <c r="AE62" s="44"/>
      <c r="AF62" s="44"/>
      <c r="AG62" s="44"/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4"/>
      <c r="AZ62" s="44"/>
      <c r="BA62" s="44"/>
      <c r="BB62" s="44"/>
      <c r="BD62" s="48"/>
      <c r="BE62" s="44"/>
      <c r="BF62" s="44"/>
      <c r="BG62" s="44"/>
      <c r="BH62" s="44"/>
      <c r="BI62" s="44"/>
      <c r="BJ62" s="44"/>
      <c r="BK62" s="44"/>
      <c r="BL62" s="44"/>
      <c r="BN62" s="43">
        <v>1000</v>
      </c>
      <c r="BO62" s="44"/>
      <c r="BP62" s="49"/>
      <c r="BQ62" s="44"/>
      <c r="BR62" s="44"/>
      <c r="BS62" s="44"/>
      <c r="BT62" s="43">
        <v>1000</v>
      </c>
      <c r="BU62" s="47"/>
      <c r="BV62" s="44"/>
      <c r="BW62" s="50"/>
      <c r="BX62" s="44"/>
      <c r="BY62" s="44"/>
      <c r="BZ62" s="44"/>
      <c r="CA62" s="44"/>
      <c r="CB62" s="43">
        <f t="shared" si="1"/>
        <v>0</v>
      </c>
      <c r="CC62" s="44"/>
      <c r="CD62" s="65"/>
      <c r="CE62" s="44"/>
      <c r="CF62" s="44"/>
      <c r="CG62" s="44"/>
      <c r="CH62" s="47"/>
      <c r="CI62" s="44"/>
      <c r="CJ62" s="44"/>
      <c r="CK62" s="44"/>
      <c r="CL62" s="44"/>
      <c r="CM62" s="44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50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44"/>
      <c r="DJ62" s="44"/>
      <c r="DK62" s="44"/>
      <c r="DL62" s="44"/>
      <c r="DM62" s="44"/>
      <c r="DN62" s="44"/>
      <c r="DO62" s="44"/>
      <c r="DP62" s="44"/>
      <c r="DQ62" s="44"/>
      <c r="DR62" s="44"/>
      <c r="DS62" s="44"/>
      <c r="DT62" s="44"/>
      <c r="DU62" s="44"/>
      <c r="DV62" s="44"/>
      <c r="DW62" s="44"/>
      <c r="DX62" s="47"/>
      <c r="DY62" s="47"/>
      <c r="DZ62" s="47"/>
    </row>
    <row r="63" spans="1:130" s="32" customFormat="1" ht="27.6">
      <c r="A63" s="76">
        <v>44215</v>
      </c>
      <c r="B63" s="34" t="s">
        <v>759</v>
      </c>
      <c r="C63" s="286" t="s">
        <v>787</v>
      </c>
      <c r="D63" s="61">
        <v>0.56527777777777777</v>
      </c>
      <c r="E63" s="61">
        <v>0.56597222222222221</v>
      </c>
      <c r="F63" s="55" t="s">
        <v>0</v>
      </c>
      <c r="G63" s="38">
        <v>1</v>
      </c>
      <c r="H63" s="55">
        <v>733</v>
      </c>
      <c r="I63" s="51" t="str">
        <f>VLOOKUP(H63,'[2]Chart of accounts'!A:H,2,FALSE)</f>
        <v>50103030 01</v>
      </c>
      <c r="J63" s="55"/>
      <c r="K63" s="55"/>
      <c r="L63" s="56"/>
      <c r="M63" s="56"/>
      <c r="N63" s="56"/>
      <c r="O63" s="53" t="s">
        <v>1</v>
      </c>
      <c r="P63" s="53" t="s">
        <v>1</v>
      </c>
      <c r="Q63" s="41" t="s">
        <v>788</v>
      </c>
      <c r="R63" s="42" t="s">
        <v>789</v>
      </c>
      <c r="S63" s="42" t="s">
        <v>762</v>
      </c>
      <c r="T63" s="43">
        <v>6170.95</v>
      </c>
      <c r="U63" s="52"/>
      <c r="V63" s="43">
        <v>6170.95</v>
      </c>
      <c r="W63" s="44">
        <f t="shared" si="0"/>
        <v>0</v>
      </c>
      <c r="X63" s="45"/>
      <c r="Y63" s="46"/>
      <c r="Z63" s="47"/>
      <c r="AA63" s="47"/>
      <c r="AB63" s="47"/>
      <c r="AC63" s="47"/>
      <c r="AD63" s="47"/>
      <c r="AE63" s="44"/>
      <c r="AF63" s="44"/>
      <c r="AG63" s="44"/>
      <c r="AH63" s="47"/>
      <c r="AI63" s="47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4"/>
      <c r="AZ63" s="44"/>
      <c r="BA63" s="44"/>
      <c r="BB63" s="44"/>
      <c r="BD63" s="48"/>
      <c r="BE63" s="44"/>
      <c r="BF63" s="44"/>
      <c r="BG63" s="44"/>
      <c r="BH63" s="44"/>
      <c r="BI63" s="44"/>
      <c r="BJ63" s="44"/>
      <c r="BK63" s="44"/>
      <c r="BL63" s="44"/>
      <c r="BM63" s="44"/>
      <c r="BN63" s="44"/>
      <c r="BO63" s="43">
        <v>6170.95</v>
      </c>
      <c r="BQ63" s="44"/>
      <c r="BR63" s="44"/>
      <c r="BS63" s="44"/>
      <c r="BT63" s="43">
        <v>6170.95</v>
      </c>
      <c r="BU63" s="47"/>
      <c r="BV63" s="44"/>
      <c r="BW63" s="50"/>
      <c r="BX63" s="44"/>
      <c r="BY63" s="44"/>
      <c r="BZ63" s="44"/>
      <c r="CA63" s="44"/>
      <c r="CB63" s="43">
        <f t="shared" si="1"/>
        <v>0</v>
      </c>
      <c r="CC63" s="44"/>
      <c r="CD63" s="65"/>
      <c r="CE63" s="44"/>
      <c r="CF63" s="44"/>
      <c r="CG63" s="44"/>
      <c r="CH63" s="47"/>
      <c r="CI63" s="44"/>
      <c r="CJ63" s="44"/>
      <c r="CK63" s="44"/>
      <c r="CL63" s="44"/>
      <c r="CM63" s="44"/>
      <c r="CN63" s="44"/>
      <c r="CO63" s="44"/>
      <c r="CP63" s="44"/>
      <c r="CQ63" s="44"/>
      <c r="CR63" s="44"/>
      <c r="CS63" s="44"/>
      <c r="CT63" s="44"/>
      <c r="CU63" s="44"/>
      <c r="CV63" s="44"/>
      <c r="CW63" s="44"/>
      <c r="CX63" s="50"/>
      <c r="CY63" s="44"/>
      <c r="CZ63" s="44"/>
      <c r="DA63" s="44"/>
      <c r="DB63" s="44"/>
      <c r="DC63" s="44"/>
      <c r="DD63" s="44"/>
      <c r="DE63" s="44"/>
      <c r="DF63" s="44"/>
      <c r="DG63" s="44"/>
      <c r="DH63" s="44"/>
      <c r="DI63" s="44"/>
      <c r="DJ63" s="44"/>
      <c r="DK63" s="44"/>
      <c r="DL63" s="44"/>
      <c r="DM63" s="44"/>
      <c r="DN63" s="44"/>
      <c r="DO63" s="44"/>
      <c r="DP63" s="44"/>
      <c r="DQ63" s="44"/>
      <c r="DR63" s="44"/>
      <c r="DS63" s="44"/>
      <c r="DT63" s="44"/>
      <c r="DU63" s="44"/>
      <c r="DV63" s="44"/>
      <c r="DW63" s="44"/>
      <c r="DX63" s="47"/>
      <c r="DY63" s="47"/>
      <c r="DZ63" s="47"/>
    </row>
    <row r="64" spans="1:130" s="32" customFormat="1" ht="27.6">
      <c r="A64" s="76">
        <v>44215</v>
      </c>
      <c r="B64" s="34" t="s">
        <v>759</v>
      </c>
      <c r="C64" s="286" t="s">
        <v>787</v>
      </c>
      <c r="D64" s="61">
        <v>0.56527777777777777</v>
      </c>
      <c r="E64" s="61">
        <v>0.56597222222222221</v>
      </c>
      <c r="F64" s="55" t="s">
        <v>0</v>
      </c>
      <c r="G64" s="38">
        <v>1</v>
      </c>
      <c r="H64" s="55">
        <v>734</v>
      </c>
      <c r="I64" s="51" t="str">
        <f>VLOOKUP(H64,'[2]Chart of accounts'!A:H,2,FALSE)</f>
        <v>50103040 01</v>
      </c>
      <c r="J64" s="55"/>
      <c r="K64" s="55"/>
      <c r="L64" s="56"/>
      <c r="M64" s="56"/>
      <c r="N64" s="56"/>
      <c r="O64" s="53" t="s">
        <v>1</v>
      </c>
      <c r="P64" s="53" t="s">
        <v>1</v>
      </c>
      <c r="Q64" s="41" t="s">
        <v>788</v>
      </c>
      <c r="R64" s="42" t="s">
        <v>789</v>
      </c>
      <c r="S64" s="42" t="s">
        <v>762</v>
      </c>
      <c r="T64" s="43">
        <v>1000</v>
      </c>
      <c r="U64" s="52"/>
      <c r="V64" s="43">
        <v>1000</v>
      </c>
      <c r="W64" s="44">
        <f t="shared" si="0"/>
        <v>0</v>
      </c>
      <c r="X64" s="45"/>
      <c r="Y64" s="46"/>
      <c r="Z64" s="47"/>
      <c r="AA64" s="47"/>
      <c r="AB64" s="47"/>
      <c r="AC64" s="47"/>
      <c r="AD64" s="47"/>
      <c r="AE64" s="44"/>
      <c r="AF64" s="44"/>
      <c r="AG64" s="44"/>
      <c r="AH64" s="47"/>
      <c r="AI64" s="47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4"/>
      <c r="AZ64" s="44"/>
      <c r="BA64" s="44"/>
      <c r="BB64" s="44"/>
      <c r="BD64" s="48"/>
      <c r="BE64" s="44"/>
      <c r="BF64" s="44"/>
      <c r="BG64" s="44"/>
      <c r="BH64" s="44"/>
      <c r="BI64" s="44"/>
      <c r="BJ64" s="44"/>
      <c r="BK64" s="44"/>
      <c r="BL64" s="44"/>
      <c r="BM64" s="44"/>
      <c r="BN64" s="44"/>
      <c r="BP64" s="43">
        <v>1000</v>
      </c>
      <c r="BQ64" s="44"/>
      <c r="BR64" s="44"/>
      <c r="BS64" s="44"/>
      <c r="BT64" s="43">
        <v>1000</v>
      </c>
      <c r="BU64" s="47"/>
      <c r="BV64" s="44"/>
      <c r="BW64" s="50"/>
      <c r="BX64" s="44"/>
      <c r="BY64" s="44"/>
      <c r="BZ64" s="44"/>
      <c r="CA64" s="44"/>
      <c r="CB64" s="43">
        <f t="shared" si="1"/>
        <v>0</v>
      </c>
      <c r="CC64" s="44"/>
      <c r="CD64" s="65"/>
      <c r="CE64" s="44"/>
      <c r="CF64" s="44"/>
      <c r="CG64" s="44"/>
      <c r="CH64" s="47"/>
      <c r="CI64" s="44"/>
      <c r="CJ64" s="44"/>
      <c r="CK64" s="44"/>
      <c r="CL64" s="44"/>
      <c r="CM64" s="44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50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44"/>
      <c r="DJ64" s="44"/>
      <c r="DK64" s="44"/>
      <c r="DL64" s="44"/>
      <c r="DM64" s="44"/>
      <c r="DN64" s="44"/>
      <c r="DO64" s="44"/>
      <c r="DP64" s="44"/>
      <c r="DQ64" s="44"/>
      <c r="DR64" s="44"/>
      <c r="DS64" s="44"/>
      <c r="DT64" s="44"/>
      <c r="DU64" s="44"/>
      <c r="DV64" s="44"/>
      <c r="DW64" s="44"/>
      <c r="DX64" s="47"/>
      <c r="DY64" s="47"/>
      <c r="DZ64" s="47"/>
    </row>
    <row r="65" spans="1:131" s="32" customFormat="1" ht="27.6">
      <c r="A65" s="76">
        <v>44222</v>
      </c>
      <c r="B65" s="34" t="s">
        <v>759</v>
      </c>
      <c r="C65" s="286" t="s">
        <v>832</v>
      </c>
      <c r="D65" s="36">
        <v>0.6430555555555556</v>
      </c>
      <c r="E65" s="36">
        <v>0.64444444444444449</v>
      </c>
      <c r="F65" s="55" t="s">
        <v>0</v>
      </c>
      <c r="G65" s="38">
        <v>1</v>
      </c>
      <c r="H65" s="39">
        <v>701</v>
      </c>
      <c r="I65" s="51" t="str">
        <f>VLOOKUP(H65,'[2]Chart of accounts'!A:H,2,FALSE)</f>
        <v>50101010 01</v>
      </c>
      <c r="J65" s="39"/>
      <c r="K65" s="39"/>
      <c r="L65" s="34"/>
      <c r="M65" s="34"/>
      <c r="N65" s="34"/>
      <c r="O65" s="53" t="s">
        <v>1</v>
      </c>
      <c r="P65" s="53" t="s">
        <v>1</v>
      </c>
      <c r="Q65" s="41" t="s">
        <v>2</v>
      </c>
      <c r="R65" s="42" t="s">
        <v>833</v>
      </c>
      <c r="S65" s="42" t="s">
        <v>834</v>
      </c>
      <c r="T65" s="44">
        <v>14112.73</v>
      </c>
      <c r="U65" s="52"/>
      <c r="V65" s="44">
        <v>14112.73</v>
      </c>
      <c r="W65" s="44">
        <f t="shared" si="0"/>
        <v>0</v>
      </c>
      <c r="X65" s="45"/>
      <c r="Y65" s="46"/>
      <c r="Z65" s="47"/>
      <c r="AA65" s="47"/>
      <c r="AB65" s="47"/>
      <c r="AC65" s="47"/>
      <c r="AD65" s="47"/>
      <c r="AE65" s="44"/>
      <c r="AF65" s="44"/>
      <c r="AG65" s="44"/>
      <c r="AH65" s="47"/>
      <c r="AI65" s="47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4"/>
      <c r="AZ65" s="44"/>
      <c r="BA65" s="44"/>
      <c r="BB65" s="44"/>
      <c r="BC65" s="44">
        <v>14112.73</v>
      </c>
      <c r="BD65" s="48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9"/>
      <c r="BQ65" s="44"/>
      <c r="BR65" s="44"/>
      <c r="BS65" s="44"/>
      <c r="BT65" s="44">
        <v>14112.73</v>
      </c>
      <c r="BU65" s="47"/>
      <c r="BV65" s="44"/>
      <c r="BW65" s="50"/>
      <c r="BX65" s="44"/>
      <c r="BY65" s="44"/>
      <c r="BZ65" s="44"/>
      <c r="CA65" s="44"/>
      <c r="CB65" s="43"/>
      <c r="CC65" s="44"/>
      <c r="CD65" s="65"/>
      <c r="CE65" s="44"/>
      <c r="CF65" s="44"/>
      <c r="CG65" s="44"/>
      <c r="CI65" s="44"/>
      <c r="CJ65" s="44"/>
      <c r="CL65" s="44"/>
      <c r="CM65" s="44"/>
      <c r="CN65" s="44"/>
      <c r="CO65" s="44"/>
      <c r="CP65" s="44"/>
      <c r="CQ65" s="44"/>
      <c r="CR65" s="44"/>
      <c r="CS65" s="44"/>
      <c r="CT65" s="44"/>
      <c r="CV65" s="44"/>
      <c r="CW65" s="44"/>
      <c r="CX65" s="50"/>
      <c r="CY65" s="44"/>
      <c r="CZ65" s="44"/>
      <c r="DA65" s="44"/>
      <c r="DB65" s="44"/>
      <c r="DD65" s="44"/>
      <c r="DF65" s="44"/>
      <c r="DG65" s="44"/>
      <c r="DH65" s="129"/>
      <c r="DI65" s="44"/>
      <c r="DJ65" s="44"/>
      <c r="DK65" s="44"/>
      <c r="DL65" s="44"/>
      <c r="DM65" s="44"/>
      <c r="DN65" s="44"/>
      <c r="DO65" s="44"/>
      <c r="DP65" s="44"/>
      <c r="DQ65" s="44"/>
      <c r="DR65" s="44"/>
      <c r="DS65" s="44"/>
      <c r="DT65" s="44"/>
      <c r="DU65" s="44"/>
      <c r="DV65" s="44"/>
      <c r="DW65" s="44"/>
      <c r="DX65" s="47"/>
      <c r="DY65" s="47"/>
      <c r="DZ65" s="47"/>
    </row>
    <row r="66" spans="1:131" s="32" customFormat="1" ht="27.6">
      <c r="A66" s="76">
        <v>44222</v>
      </c>
      <c r="B66" s="34" t="s">
        <v>759</v>
      </c>
      <c r="C66" s="286" t="s">
        <v>832</v>
      </c>
      <c r="D66" s="36">
        <v>0.6430555555555556</v>
      </c>
      <c r="E66" s="36">
        <v>0.64444444444444449</v>
      </c>
      <c r="F66" s="55" t="s">
        <v>0</v>
      </c>
      <c r="G66" s="38">
        <v>1</v>
      </c>
      <c r="H66" s="39">
        <v>711</v>
      </c>
      <c r="I66" s="51" t="str">
        <f>VLOOKUP(H66,'[2]Chart of accounts'!A:H,2,FALSE)</f>
        <v>50102010 01</v>
      </c>
      <c r="J66" s="39"/>
      <c r="K66" s="39"/>
      <c r="L66" s="34"/>
      <c r="M66" s="34"/>
      <c r="N66" s="34"/>
      <c r="O66" s="53" t="s">
        <v>1</v>
      </c>
      <c r="P66" s="53" t="s">
        <v>1</v>
      </c>
      <c r="Q66" s="41" t="s">
        <v>2</v>
      </c>
      <c r="R66" s="42" t="s">
        <v>833</v>
      </c>
      <c r="S66" s="42" t="s">
        <v>834</v>
      </c>
      <c r="T66" s="44">
        <v>1818.18</v>
      </c>
      <c r="U66" s="52"/>
      <c r="V66" s="44">
        <v>1818.18</v>
      </c>
      <c r="W66" s="44">
        <f t="shared" si="0"/>
        <v>0</v>
      </c>
      <c r="X66" s="45"/>
      <c r="Y66" s="46"/>
      <c r="Z66" s="47"/>
      <c r="AA66" s="47"/>
      <c r="AB66" s="47"/>
      <c r="AC66" s="47"/>
      <c r="AD66" s="47"/>
      <c r="AE66" s="44"/>
      <c r="AF66" s="44"/>
      <c r="AG66" s="44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4"/>
      <c r="AZ66" s="44"/>
      <c r="BA66" s="44"/>
      <c r="BB66" s="44"/>
      <c r="BD66" s="48"/>
      <c r="BE66" s="44">
        <v>1818.18</v>
      </c>
      <c r="BF66" s="44"/>
      <c r="BG66" s="44"/>
      <c r="BH66" s="44"/>
      <c r="BI66" s="44"/>
      <c r="BJ66" s="44"/>
      <c r="BK66" s="44"/>
      <c r="BL66" s="44"/>
      <c r="BM66" s="44"/>
      <c r="BN66" s="44"/>
      <c r="BO66" s="44"/>
      <c r="BP66" s="49"/>
      <c r="BQ66" s="44"/>
      <c r="BR66" s="44"/>
      <c r="BS66" s="44"/>
      <c r="BT66" s="44">
        <v>1818.18</v>
      </c>
      <c r="BU66" s="47"/>
      <c r="BV66" s="44"/>
      <c r="BW66" s="50"/>
      <c r="BX66" s="44"/>
      <c r="BY66" s="44"/>
      <c r="BZ66" s="44"/>
      <c r="CA66" s="44"/>
      <c r="CB66" s="43"/>
      <c r="CC66" s="44"/>
      <c r="CD66" s="65"/>
      <c r="CE66" s="44"/>
      <c r="CF66" s="44"/>
      <c r="CG66" s="44"/>
      <c r="CI66" s="44"/>
      <c r="CJ66" s="44"/>
      <c r="CL66" s="44"/>
      <c r="CM66" s="44"/>
      <c r="CN66" s="44"/>
      <c r="CO66" s="44"/>
      <c r="CP66" s="44"/>
      <c r="CQ66" s="44"/>
      <c r="CR66" s="44"/>
      <c r="CS66" s="44"/>
      <c r="CT66" s="44"/>
      <c r="CV66" s="44"/>
      <c r="CW66" s="44"/>
      <c r="CX66" s="50"/>
      <c r="CY66" s="44"/>
      <c r="CZ66" s="44"/>
      <c r="DA66" s="44"/>
      <c r="DB66" s="44"/>
      <c r="DC66" s="44"/>
      <c r="DD66" s="44"/>
      <c r="DF66" s="44"/>
      <c r="DG66" s="44"/>
      <c r="DI66" s="44"/>
      <c r="DJ66" s="44"/>
      <c r="DK66" s="44"/>
      <c r="DL66" s="44"/>
      <c r="DM66" s="44"/>
      <c r="DN66" s="44"/>
      <c r="DO66" s="44"/>
      <c r="DP66" s="44"/>
      <c r="DQ66" s="44"/>
      <c r="DR66" s="44"/>
      <c r="DS66" s="44"/>
      <c r="DT66" s="44"/>
      <c r="DU66" s="44"/>
      <c r="DV66" s="44"/>
      <c r="DW66" s="44"/>
      <c r="DX66" s="47"/>
      <c r="DY66" s="47"/>
      <c r="DZ66" s="47"/>
    </row>
    <row r="67" spans="1:131" s="32" customFormat="1" ht="27.6">
      <c r="A67" s="76">
        <v>44222</v>
      </c>
      <c r="B67" s="34" t="s">
        <v>759</v>
      </c>
      <c r="C67" s="286" t="s">
        <v>832</v>
      </c>
      <c r="D67" s="36">
        <v>0.6430555555555556</v>
      </c>
      <c r="E67" s="36">
        <v>0.64444444444444449</v>
      </c>
      <c r="F67" s="55" t="s">
        <v>0</v>
      </c>
      <c r="G67" s="38">
        <v>1</v>
      </c>
      <c r="H67" s="39">
        <v>731</v>
      </c>
      <c r="I67" s="51" t="str">
        <f>VLOOKUP(H67,'[2]Chart of accounts'!A:H,2,FALSE)</f>
        <v>50103010 00</v>
      </c>
      <c r="J67" s="39"/>
      <c r="K67" s="39"/>
      <c r="L67" s="34"/>
      <c r="M67" s="34"/>
      <c r="N67" s="34"/>
      <c r="O67" s="53" t="s">
        <v>1</v>
      </c>
      <c r="P67" s="53" t="s">
        <v>1</v>
      </c>
      <c r="Q67" s="41" t="s">
        <v>2</v>
      </c>
      <c r="R67" s="42" t="s">
        <v>833</v>
      </c>
      <c r="S67" s="42" t="s">
        <v>834</v>
      </c>
      <c r="T67" s="50">
        <v>1682.6</v>
      </c>
      <c r="U67" s="52"/>
      <c r="V67" s="50">
        <v>1682.6</v>
      </c>
      <c r="W67" s="44">
        <f t="shared" si="0"/>
        <v>0</v>
      </c>
      <c r="X67" s="45"/>
      <c r="Y67" s="46"/>
      <c r="Z67" s="47"/>
      <c r="AA67" s="47"/>
      <c r="AB67" s="47"/>
      <c r="AC67" s="47"/>
      <c r="AD67" s="47"/>
      <c r="AE67" s="44"/>
      <c r="AF67" s="44"/>
      <c r="AG67" s="44"/>
      <c r="AH67" s="47"/>
      <c r="AI67" s="47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4"/>
      <c r="AZ67" s="44"/>
      <c r="BA67" s="44"/>
      <c r="BB67" s="44"/>
      <c r="BD67" s="48"/>
      <c r="BE67" s="44"/>
      <c r="BF67" s="44"/>
      <c r="BG67" s="44"/>
      <c r="BH67" s="44"/>
      <c r="BI67" s="44"/>
      <c r="BJ67" s="44"/>
      <c r="BK67" s="44"/>
      <c r="BL67" s="44"/>
      <c r="BM67" s="50">
        <v>1682.6</v>
      </c>
      <c r="BN67" s="44"/>
      <c r="BO67" s="44"/>
      <c r="BP67" s="49"/>
      <c r="BQ67" s="44"/>
      <c r="BR67" s="44"/>
      <c r="BS67" s="44"/>
      <c r="BT67" s="50">
        <v>1682.6</v>
      </c>
      <c r="BU67" s="47"/>
      <c r="BV67" s="44"/>
      <c r="BW67" s="50"/>
      <c r="BX67" s="44"/>
      <c r="BY67" s="44"/>
      <c r="BZ67" s="44"/>
      <c r="CA67" s="44"/>
      <c r="CB67" s="43">
        <f>SUM(CD67:DZ67)-W67</f>
        <v>0</v>
      </c>
      <c r="CC67" s="44"/>
      <c r="CD67" s="65"/>
      <c r="CE67" s="44"/>
      <c r="CF67" s="44"/>
      <c r="CG67" s="44"/>
      <c r="CH67" s="47"/>
      <c r="CI67" s="44"/>
      <c r="CJ67" s="44"/>
      <c r="CK67" s="44"/>
      <c r="CL67" s="44"/>
      <c r="CM67" s="44"/>
      <c r="CN67" s="44"/>
      <c r="CO67" s="44"/>
      <c r="CP67" s="44"/>
      <c r="CQ67" s="44"/>
      <c r="CR67" s="44"/>
      <c r="CS67" s="44"/>
      <c r="CT67" s="44"/>
      <c r="CU67" s="44"/>
      <c r="CV67" s="44"/>
      <c r="CW67" s="44"/>
      <c r="CX67" s="50"/>
      <c r="CY67" s="44"/>
      <c r="CZ67" s="44"/>
      <c r="DA67" s="44"/>
      <c r="DB67" s="44"/>
      <c r="DC67" s="44"/>
      <c r="DD67" s="44"/>
      <c r="DE67" s="44"/>
      <c r="DF67" s="44"/>
      <c r="DG67" s="44"/>
      <c r="DH67" s="44"/>
      <c r="DI67" s="44"/>
      <c r="DJ67" s="44"/>
      <c r="DK67" s="44"/>
      <c r="DL67" s="44"/>
      <c r="DM67" s="44"/>
      <c r="DN67" s="44"/>
      <c r="DO67" s="44"/>
      <c r="DP67" s="44"/>
      <c r="DQ67" s="44"/>
      <c r="DR67" s="44"/>
      <c r="DS67" s="44"/>
      <c r="DT67" s="44"/>
      <c r="DU67" s="44"/>
      <c r="DV67" s="44"/>
      <c r="DW67" s="44"/>
      <c r="DX67" s="47"/>
      <c r="DY67" s="47"/>
      <c r="DZ67" s="47"/>
    </row>
    <row r="68" spans="1:131" s="32" customFormat="1" ht="27.6">
      <c r="A68" s="76">
        <v>44222</v>
      </c>
      <c r="B68" s="34" t="s">
        <v>759</v>
      </c>
      <c r="C68" s="286" t="s">
        <v>832</v>
      </c>
      <c r="D68" s="36">
        <v>0.6430555555555556</v>
      </c>
      <c r="E68" s="36">
        <v>0.64444444444444449</v>
      </c>
      <c r="F68" s="55" t="s">
        <v>0</v>
      </c>
      <c r="G68" s="38">
        <v>1</v>
      </c>
      <c r="H68" s="39">
        <v>732</v>
      </c>
      <c r="I68" s="51" t="str">
        <f>VLOOKUP(H68,'[2]Chart of accounts'!A:H,2,FALSE)</f>
        <v>50103020 01</v>
      </c>
      <c r="J68" s="55"/>
      <c r="K68" s="55"/>
      <c r="L68" s="56"/>
      <c r="M68" s="56"/>
      <c r="N68" s="56"/>
      <c r="O68" s="53" t="s">
        <v>1</v>
      </c>
      <c r="P68" s="53" t="s">
        <v>1</v>
      </c>
      <c r="Q68" s="41" t="s">
        <v>2</v>
      </c>
      <c r="R68" s="42" t="s">
        <v>833</v>
      </c>
      <c r="S68" s="42" t="s">
        <v>834</v>
      </c>
      <c r="T68" s="50">
        <v>100</v>
      </c>
      <c r="U68" s="52"/>
      <c r="V68" s="50">
        <v>100</v>
      </c>
      <c r="W68" s="44">
        <f t="shared" si="0"/>
        <v>0</v>
      </c>
      <c r="X68" s="45"/>
      <c r="Y68" s="46"/>
      <c r="Z68" s="47"/>
      <c r="AA68" s="47"/>
      <c r="AB68" s="47"/>
      <c r="AC68" s="47"/>
      <c r="AD68" s="47"/>
      <c r="AE68" s="44"/>
      <c r="AF68" s="44"/>
      <c r="AG68" s="44"/>
      <c r="AH68" s="47"/>
      <c r="AI68" s="47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4"/>
      <c r="AZ68" s="44"/>
      <c r="BA68" s="44"/>
      <c r="BB68" s="44"/>
      <c r="BD68" s="48"/>
      <c r="BE68" s="44"/>
      <c r="BF68" s="44"/>
      <c r="BG68" s="44"/>
      <c r="BH68" s="44"/>
      <c r="BI68" s="44"/>
      <c r="BJ68" s="44"/>
      <c r="BK68" s="44"/>
      <c r="BL68" s="44"/>
      <c r="BN68" s="50">
        <v>100</v>
      </c>
      <c r="BO68" s="44"/>
      <c r="BP68" s="49"/>
      <c r="BQ68" s="44"/>
      <c r="BR68" s="44"/>
      <c r="BS68" s="44"/>
      <c r="BT68" s="50">
        <v>100</v>
      </c>
      <c r="BU68" s="47"/>
      <c r="BV68" s="44"/>
      <c r="BW68" s="50"/>
      <c r="BX68" s="44"/>
      <c r="BY68" s="44"/>
      <c r="BZ68" s="44"/>
      <c r="CA68" s="44"/>
      <c r="CB68" s="43">
        <f>SUM(CD68:DZ68)-W68</f>
        <v>0</v>
      </c>
      <c r="CC68" s="44"/>
      <c r="CD68" s="65"/>
      <c r="CE68" s="44"/>
      <c r="CF68" s="44"/>
      <c r="CG68" s="44"/>
      <c r="CH68" s="47"/>
      <c r="CI68" s="44"/>
      <c r="CJ68" s="44"/>
      <c r="CK68" s="44"/>
      <c r="CL68" s="44"/>
      <c r="CM68" s="44"/>
      <c r="CN68" s="44"/>
      <c r="CO68" s="44"/>
      <c r="CP68" s="44"/>
      <c r="CQ68" s="44"/>
      <c r="CR68" s="44"/>
      <c r="CS68" s="44"/>
      <c r="CT68" s="44"/>
      <c r="CU68" s="44"/>
      <c r="CV68" s="44"/>
      <c r="CW68" s="44"/>
      <c r="CX68" s="50"/>
      <c r="CY68" s="44"/>
      <c r="CZ68" s="44"/>
      <c r="DA68" s="44"/>
      <c r="DB68" s="44"/>
      <c r="DC68" s="44"/>
      <c r="DD68" s="44"/>
      <c r="DE68" s="44"/>
      <c r="DF68" s="44"/>
      <c r="DG68" s="44"/>
      <c r="DH68" s="44"/>
      <c r="DI68" s="44"/>
      <c r="DJ68" s="44"/>
      <c r="DK68" s="44"/>
      <c r="DL68" s="44"/>
      <c r="DM68" s="44"/>
      <c r="DN68" s="44"/>
      <c r="DO68" s="44"/>
      <c r="DP68" s="44"/>
      <c r="DQ68" s="44"/>
      <c r="DR68" s="44"/>
      <c r="DS68" s="44"/>
      <c r="DT68" s="44"/>
      <c r="DU68" s="44"/>
      <c r="DV68" s="44"/>
      <c r="DW68" s="44"/>
      <c r="DX68" s="47"/>
      <c r="DY68" s="47"/>
      <c r="DZ68" s="47"/>
    </row>
    <row r="69" spans="1:131" s="32" customFormat="1" ht="27.6">
      <c r="A69" s="76">
        <v>44222</v>
      </c>
      <c r="B69" s="34" t="s">
        <v>759</v>
      </c>
      <c r="C69" s="286" t="s">
        <v>832</v>
      </c>
      <c r="D69" s="36">
        <v>0.6430555555555556</v>
      </c>
      <c r="E69" s="36">
        <v>0.64444444444444449</v>
      </c>
      <c r="F69" s="55" t="s">
        <v>0</v>
      </c>
      <c r="G69" s="38">
        <v>1</v>
      </c>
      <c r="H69" s="55">
        <v>733</v>
      </c>
      <c r="I69" s="51" t="str">
        <f>VLOOKUP(H69,'[2]Chart of accounts'!A:H,2,FALSE)</f>
        <v>50103030 01</v>
      </c>
      <c r="J69" s="55"/>
      <c r="K69" s="55"/>
      <c r="L69" s="56"/>
      <c r="M69" s="56"/>
      <c r="N69" s="56"/>
      <c r="O69" s="53" t="s">
        <v>1</v>
      </c>
      <c r="P69" s="53" t="s">
        <v>1</v>
      </c>
      <c r="Q69" s="41" t="s">
        <v>2</v>
      </c>
      <c r="R69" s="42" t="s">
        <v>833</v>
      </c>
      <c r="S69" s="42" t="s">
        <v>834</v>
      </c>
      <c r="T69" s="50">
        <v>232.86</v>
      </c>
      <c r="U69" s="52"/>
      <c r="V69" s="50">
        <v>232.86</v>
      </c>
      <c r="W69" s="44">
        <f t="shared" si="0"/>
        <v>0</v>
      </c>
      <c r="X69" s="45"/>
      <c r="Y69" s="46"/>
      <c r="Z69" s="47"/>
      <c r="AA69" s="47"/>
      <c r="AB69" s="47"/>
      <c r="AC69" s="47"/>
      <c r="AD69" s="47"/>
      <c r="AE69" s="44"/>
      <c r="AF69" s="44"/>
      <c r="AG69" s="44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4"/>
      <c r="AZ69" s="44"/>
      <c r="BA69" s="44"/>
      <c r="BB69" s="44"/>
      <c r="BD69" s="48"/>
      <c r="BE69" s="44"/>
      <c r="BF69" s="44"/>
      <c r="BG69" s="44"/>
      <c r="BH69" s="44"/>
      <c r="BI69" s="44"/>
      <c r="BJ69" s="44"/>
      <c r="BK69" s="44"/>
      <c r="BL69" s="44"/>
      <c r="BM69" s="44"/>
      <c r="BN69" s="44"/>
      <c r="BO69" s="50">
        <v>232.86</v>
      </c>
      <c r="BP69" s="49"/>
      <c r="BQ69" s="44"/>
      <c r="BR69" s="44"/>
      <c r="BS69" s="44"/>
      <c r="BT69" s="50">
        <v>232.86</v>
      </c>
      <c r="BU69" s="47"/>
      <c r="BV69" s="44"/>
      <c r="BW69" s="50"/>
      <c r="BX69" s="44"/>
      <c r="BY69" s="44"/>
      <c r="BZ69" s="44"/>
      <c r="CA69" s="44"/>
      <c r="CB69" s="43">
        <f>SUM(CD69:DZ69)-W69</f>
        <v>0</v>
      </c>
      <c r="CC69" s="44"/>
      <c r="CD69" s="65"/>
      <c r="CE69" s="44"/>
      <c r="CF69" s="44"/>
      <c r="CG69" s="44"/>
      <c r="CH69" s="47"/>
      <c r="CI69" s="44"/>
      <c r="CJ69" s="44"/>
      <c r="CK69" s="44"/>
      <c r="CL69" s="44"/>
      <c r="CM69" s="44"/>
      <c r="CN69" s="44"/>
      <c r="CO69" s="44"/>
      <c r="CP69" s="50"/>
      <c r="CQ69" s="44"/>
      <c r="CR69" s="44"/>
      <c r="CS69" s="44"/>
      <c r="CT69" s="44"/>
      <c r="CU69" s="44"/>
      <c r="CV69" s="44"/>
      <c r="CW69" s="44"/>
      <c r="CX69" s="44"/>
      <c r="CY69" s="44"/>
      <c r="CZ69" s="44"/>
      <c r="DA69" s="44"/>
      <c r="DB69" s="44"/>
      <c r="DC69" s="44"/>
      <c r="DD69" s="44"/>
      <c r="DE69" s="44"/>
      <c r="DF69" s="44"/>
      <c r="DG69" s="44"/>
      <c r="DH69" s="44"/>
      <c r="DI69" s="44"/>
      <c r="DJ69" s="44"/>
      <c r="DK69" s="44"/>
      <c r="DL69" s="44"/>
      <c r="DM69" s="44"/>
      <c r="DN69" s="44"/>
      <c r="DO69" s="44"/>
      <c r="DP69" s="44"/>
      <c r="DQ69" s="44"/>
      <c r="DR69" s="44"/>
      <c r="DS69" s="44"/>
      <c r="DT69" s="44"/>
      <c r="DU69" s="44"/>
      <c r="DV69" s="44"/>
      <c r="DW69" s="44"/>
      <c r="DX69" s="47"/>
      <c r="DY69" s="47"/>
      <c r="DZ69" s="47"/>
    </row>
    <row r="70" spans="1:131" s="32" customFormat="1" ht="27.6">
      <c r="A70" s="76">
        <v>44222</v>
      </c>
      <c r="B70" s="34" t="s">
        <v>759</v>
      </c>
      <c r="C70" s="286" t="s">
        <v>832</v>
      </c>
      <c r="D70" s="36">
        <v>0.6430555555555556</v>
      </c>
      <c r="E70" s="36">
        <v>0.64444444444444449</v>
      </c>
      <c r="F70" s="55" t="s">
        <v>0</v>
      </c>
      <c r="G70" s="38">
        <v>1</v>
      </c>
      <c r="H70" s="55">
        <v>734</v>
      </c>
      <c r="I70" s="51" t="str">
        <f>VLOOKUP(H70,'[2]Chart of accounts'!A:H,2,FALSE)</f>
        <v>50103040 01</v>
      </c>
      <c r="J70" s="55"/>
      <c r="K70" s="55"/>
      <c r="L70" s="56"/>
      <c r="M70" s="56"/>
      <c r="N70" s="56"/>
      <c r="O70" s="53" t="s">
        <v>1</v>
      </c>
      <c r="P70" s="53" t="s">
        <v>1</v>
      </c>
      <c r="Q70" s="41" t="s">
        <v>2</v>
      </c>
      <c r="R70" s="42" t="s">
        <v>833</v>
      </c>
      <c r="S70" s="42" t="s">
        <v>834</v>
      </c>
      <c r="T70" s="50">
        <v>100</v>
      </c>
      <c r="U70" s="52"/>
      <c r="V70" s="50">
        <v>100</v>
      </c>
      <c r="W70" s="44">
        <f t="shared" si="0"/>
        <v>0</v>
      </c>
      <c r="X70" s="45"/>
      <c r="Y70" s="46"/>
      <c r="Z70" s="47"/>
      <c r="AA70" s="47"/>
      <c r="AB70" s="47"/>
      <c r="AC70" s="47"/>
      <c r="AD70" s="47"/>
      <c r="AE70" s="44"/>
      <c r="AF70" s="44"/>
      <c r="AG70" s="44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4"/>
      <c r="AZ70" s="44"/>
      <c r="BA70" s="44"/>
      <c r="BB70" s="44"/>
      <c r="BD70" s="48"/>
      <c r="BE70" s="44"/>
      <c r="BF70" s="44"/>
      <c r="BG70" s="44"/>
      <c r="BH70" s="44"/>
      <c r="BI70" s="44"/>
      <c r="BJ70" s="44"/>
      <c r="BK70" s="44"/>
      <c r="BL70" s="44"/>
      <c r="BM70" s="44"/>
      <c r="BN70" s="44"/>
      <c r="BP70" s="50">
        <v>100</v>
      </c>
      <c r="BQ70" s="44"/>
      <c r="BR70" s="44"/>
      <c r="BS70" s="44"/>
      <c r="BT70" s="50">
        <v>100</v>
      </c>
      <c r="BU70" s="47"/>
      <c r="BV70" s="44"/>
      <c r="BW70" s="44"/>
      <c r="BX70" s="44"/>
      <c r="BY70" s="44"/>
      <c r="BZ70" s="44"/>
      <c r="CA70" s="44"/>
      <c r="CB70" s="43">
        <f>SUM(CD70:DZ70)-W70</f>
        <v>0</v>
      </c>
      <c r="CC70" s="44"/>
      <c r="CD70" s="44"/>
      <c r="CE70" s="44"/>
      <c r="CF70" s="44"/>
      <c r="CG70" s="44"/>
      <c r="CH70" s="47"/>
      <c r="CI70" s="44"/>
      <c r="CJ70" s="44"/>
      <c r="CK70" s="44"/>
      <c r="CL70" s="44"/>
      <c r="CM70" s="44"/>
      <c r="CN70" s="44"/>
      <c r="CO70" s="44"/>
      <c r="CP70" s="44"/>
      <c r="CQ70" s="44"/>
      <c r="CR70" s="44"/>
      <c r="CS70" s="44"/>
      <c r="CT70" s="44"/>
      <c r="CU70" s="44"/>
      <c r="CV70" s="44"/>
      <c r="CW70" s="44"/>
      <c r="CX70" s="44"/>
      <c r="CY70" s="44"/>
      <c r="CZ70" s="44"/>
      <c r="DA70" s="44"/>
      <c r="DB70" s="44"/>
      <c r="DC70" s="44"/>
      <c r="DD70" s="44"/>
      <c r="DE70" s="44"/>
      <c r="DF70" s="44"/>
      <c r="DG70" s="44"/>
      <c r="DH70" s="44"/>
      <c r="DI70" s="44"/>
      <c r="DJ70" s="44"/>
      <c r="DK70" s="44"/>
      <c r="DL70" s="44"/>
      <c r="DM70" s="44"/>
      <c r="DN70" s="44"/>
      <c r="DO70" s="44"/>
      <c r="DP70" s="44"/>
      <c r="DQ70" s="44"/>
      <c r="DR70" s="44"/>
      <c r="DS70" s="44"/>
      <c r="DT70" s="44"/>
      <c r="DU70" s="44"/>
      <c r="DV70" s="44"/>
      <c r="DW70" s="44"/>
      <c r="DX70" s="47"/>
      <c r="DY70" s="47"/>
      <c r="DZ70" s="47"/>
    </row>
    <row r="71" spans="1:131" s="32" customFormat="1">
      <c r="A71" s="76"/>
      <c r="B71" s="34"/>
      <c r="C71" s="286"/>
      <c r="D71" s="36"/>
      <c r="E71" s="36"/>
      <c r="F71" s="55"/>
      <c r="G71" s="38"/>
      <c r="H71" s="55"/>
      <c r="I71" s="51"/>
      <c r="J71" s="55"/>
      <c r="K71" s="55"/>
      <c r="L71" s="56"/>
      <c r="M71" s="56"/>
      <c r="N71" s="56"/>
      <c r="O71" s="53"/>
      <c r="P71" s="53"/>
      <c r="Q71" s="41"/>
      <c r="R71" s="42"/>
      <c r="S71" s="42"/>
      <c r="T71" s="50"/>
      <c r="U71" s="52"/>
      <c r="V71" s="292"/>
      <c r="W71" s="44"/>
      <c r="X71" s="45"/>
      <c r="Y71" s="46"/>
      <c r="Z71" s="47"/>
      <c r="AA71" s="47"/>
      <c r="AB71" s="47"/>
      <c r="AC71" s="47"/>
      <c r="AD71" s="47"/>
      <c r="AE71" s="44"/>
      <c r="AF71" s="44"/>
      <c r="AG71" s="44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4"/>
      <c r="AZ71" s="44"/>
      <c r="BA71" s="44"/>
      <c r="BB71" s="44"/>
      <c r="BD71" s="48"/>
      <c r="BE71" s="44"/>
      <c r="BF71" s="44"/>
      <c r="BG71" s="44"/>
      <c r="BH71" s="44"/>
      <c r="BI71" s="44"/>
      <c r="BJ71" s="129"/>
      <c r="BK71" s="129"/>
      <c r="BL71" s="44"/>
      <c r="BM71" s="44"/>
      <c r="BN71" s="44"/>
      <c r="BP71" s="292"/>
      <c r="BQ71" s="44"/>
      <c r="BR71" s="44"/>
      <c r="BS71" s="44"/>
      <c r="BT71" s="292"/>
      <c r="BU71" s="47"/>
      <c r="BV71" s="44"/>
      <c r="BW71" s="44"/>
      <c r="BX71" s="44"/>
      <c r="BY71" s="44"/>
      <c r="BZ71" s="44"/>
      <c r="CA71" s="44"/>
      <c r="CB71" s="43"/>
      <c r="CC71" s="44"/>
      <c r="CD71" s="44"/>
      <c r="CE71" s="44"/>
      <c r="CF71" s="44"/>
      <c r="CG71" s="44"/>
      <c r="CH71" s="47"/>
      <c r="CI71" s="44"/>
      <c r="CJ71" s="44"/>
      <c r="CK71" s="44"/>
      <c r="CL71" s="44"/>
      <c r="CM71" s="44"/>
      <c r="CN71" s="44"/>
      <c r="CO71" s="44"/>
      <c r="CP71" s="44"/>
      <c r="CQ71" s="44"/>
      <c r="CR71" s="44"/>
      <c r="CS71" s="44"/>
      <c r="CT71" s="44"/>
      <c r="CU71" s="44"/>
      <c r="CV71" s="44"/>
      <c r="CW71" s="44"/>
      <c r="CX71" s="44"/>
      <c r="CY71" s="44"/>
      <c r="CZ71" s="44"/>
      <c r="DA71" s="44"/>
      <c r="DB71" s="44"/>
      <c r="DC71" s="44"/>
      <c r="DD71" s="44"/>
      <c r="DE71" s="44"/>
      <c r="DF71" s="44"/>
      <c r="DG71" s="44"/>
      <c r="DH71" s="44"/>
      <c r="DI71" s="44"/>
      <c r="DJ71" s="44"/>
      <c r="DK71" s="44"/>
      <c r="DL71" s="44"/>
      <c r="DM71" s="44"/>
      <c r="DN71" s="44"/>
      <c r="DO71" s="44"/>
      <c r="DP71" s="44"/>
      <c r="DQ71" s="44"/>
      <c r="DR71" s="44"/>
      <c r="DS71" s="44"/>
      <c r="DT71" s="44"/>
      <c r="DU71" s="44"/>
      <c r="DV71" s="44"/>
      <c r="DW71" s="44"/>
      <c r="DX71" s="47"/>
      <c r="DY71" s="47"/>
      <c r="DZ71" s="47"/>
    </row>
    <row r="72" spans="1:131" s="32" customFormat="1">
      <c r="A72" s="76"/>
      <c r="B72" s="34"/>
      <c r="C72" s="286"/>
      <c r="D72" s="36"/>
      <c r="E72" s="36"/>
      <c r="F72" s="55"/>
      <c r="G72" s="38"/>
      <c r="H72" s="55"/>
      <c r="I72" s="51"/>
      <c r="J72" s="55"/>
      <c r="K72" s="55"/>
      <c r="L72" s="56"/>
      <c r="M72" s="56"/>
      <c r="N72" s="56"/>
      <c r="O72" s="53"/>
      <c r="P72" s="53"/>
      <c r="Q72" s="41"/>
      <c r="R72" s="42"/>
      <c r="S72" s="42"/>
      <c r="T72" s="50"/>
      <c r="U72" s="52"/>
      <c r="V72" s="292"/>
      <c r="W72" s="44"/>
      <c r="X72" s="45"/>
      <c r="Y72" s="46"/>
      <c r="Z72" s="47"/>
      <c r="AA72" s="47"/>
      <c r="AB72" s="47"/>
      <c r="AC72" s="47"/>
      <c r="AD72" s="47"/>
      <c r="AE72" s="44"/>
      <c r="AF72" s="44"/>
      <c r="AG72" s="44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4"/>
      <c r="AZ72" s="44"/>
      <c r="BA72" s="44"/>
      <c r="BB72" s="44"/>
      <c r="BD72" s="48"/>
      <c r="BE72" s="44"/>
      <c r="BF72" s="44"/>
      <c r="BG72" s="44"/>
      <c r="BH72" s="44"/>
      <c r="BI72" s="44"/>
      <c r="BJ72" s="129"/>
      <c r="BK72" s="129"/>
      <c r="BL72" s="44"/>
      <c r="BM72" s="44"/>
      <c r="BN72" s="44"/>
      <c r="BP72" s="292"/>
      <c r="BQ72" s="44"/>
      <c r="BR72" s="44"/>
      <c r="BS72" s="44"/>
      <c r="BT72" s="292"/>
      <c r="BU72" s="47"/>
      <c r="BV72" s="44"/>
      <c r="BW72" s="44"/>
      <c r="BX72" s="44"/>
      <c r="BY72" s="44"/>
      <c r="BZ72" s="44"/>
      <c r="CA72" s="44"/>
      <c r="CB72" s="43"/>
      <c r="CC72" s="44"/>
      <c r="CD72" s="44"/>
      <c r="CE72" s="44"/>
      <c r="CF72" s="44"/>
      <c r="CG72" s="44"/>
      <c r="CH72" s="47"/>
      <c r="CI72" s="44"/>
      <c r="CJ72" s="44"/>
      <c r="CK72" s="44"/>
      <c r="CL72" s="44"/>
      <c r="CM72" s="44"/>
      <c r="CN72" s="44"/>
      <c r="CO72" s="44"/>
      <c r="CP72" s="44"/>
      <c r="CQ72" s="44"/>
      <c r="CR72" s="44"/>
      <c r="CS72" s="44"/>
      <c r="CT72" s="44"/>
      <c r="CU72" s="44"/>
      <c r="CV72" s="44"/>
      <c r="CW72" s="44"/>
      <c r="CX72" s="44"/>
      <c r="CY72" s="44"/>
      <c r="CZ72" s="44"/>
      <c r="DA72" s="44"/>
      <c r="DB72" s="44"/>
      <c r="DC72" s="44"/>
      <c r="DD72" s="44"/>
      <c r="DE72" s="44"/>
      <c r="DF72" s="44"/>
      <c r="DG72" s="44"/>
      <c r="DH72" s="44"/>
      <c r="DI72" s="44"/>
      <c r="DJ72" s="44"/>
      <c r="DK72" s="44"/>
      <c r="DL72" s="44"/>
      <c r="DM72" s="44"/>
      <c r="DN72" s="44"/>
      <c r="DO72" s="44"/>
      <c r="DP72" s="44"/>
      <c r="DQ72" s="44"/>
      <c r="DR72" s="44"/>
      <c r="DS72" s="44"/>
      <c r="DT72" s="44"/>
      <c r="DU72" s="44"/>
      <c r="DV72" s="44"/>
      <c r="DW72" s="44"/>
      <c r="DX72" s="47"/>
      <c r="DY72" s="47"/>
      <c r="DZ72" s="47"/>
    </row>
    <row r="73" spans="1:131" s="32" customFormat="1">
      <c r="A73" s="33"/>
      <c r="B73" s="34"/>
      <c r="C73" s="35"/>
      <c r="D73" s="36"/>
      <c r="E73" s="36"/>
      <c r="F73" s="37"/>
      <c r="G73" s="38"/>
      <c r="H73" s="39"/>
      <c r="I73" s="51"/>
      <c r="J73" s="39"/>
      <c r="K73" s="39"/>
      <c r="L73" s="34"/>
      <c r="M73" s="34"/>
      <c r="N73" s="34"/>
      <c r="O73" s="53"/>
      <c r="P73" s="53"/>
      <c r="Q73" s="54"/>
      <c r="R73" s="42"/>
      <c r="S73" s="42"/>
      <c r="T73" s="43"/>
      <c r="U73" s="52"/>
      <c r="V73" s="68"/>
      <c r="W73" s="44"/>
      <c r="X73" s="45"/>
      <c r="Y73" s="46"/>
      <c r="Z73" s="47"/>
      <c r="AA73" s="47"/>
      <c r="AB73" s="47"/>
      <c r="AC73" s="47"/>
      <c r="AD73" s="47"/>
      <c r="AE73" s="44"/>
      <c r="AF73" s="44"/>
      <c r="AG73" s="44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4"/>
      <c r="AZ73" s="44"/>
      <c r="BA73" s="44"/>
      <c r="BB73" s="44"/>
      <c r="BC73" s="43"/>
      <c r="BD73" s="48"/>
      <c r="BE73" s="44"/>
      <c r="BF73" s="44"/>
      <c r="BG73" s="44"/>
      <c r="BH73" s="44"/>
      <c r="BI73" s="44"/>
      <c r="BL73" s="43"/>
      <c r="BM73" s="44"/>
      <c r="BN73" s="44"/>
      <c r="BO73" s="44"/>
      <c r="BP73" s="49"/>
      <c r="BQ73" s="44"/>
      <c r="BR73" s="44"/>
      <c r="BS73" s="44"/>
      <c r="BT73" s="68"/>
      <c r="BU73" s="47"/>
      <c r="BV73" s="44"/>
      <c r="BW73" s="44"/>
      <c r="BX73" s="44"/>
      <c r="BY73" s="44"/>
      <c r="BZ73" s="44"/>
      <c r="CA73" s="44"/>
      <c r="CB73" s="44"/>
      <c r="CC73" s="44"/>
      <c r="CD73" s="44"/>
      <c r="CE73" s="44"/>
      <c r="CF73" s="44"/>
      <c r="CG73" s="44"/>
      <c r="CH73" s="47"/>
      <c r="CI73" s="44"/>
      <c r="CJ73" s="44"/>
      <c r="CK73" s="44"/>
      <c r="CL73" s="44"/>
      <c r="CM73" s="44"/>
      <c r="CN73" s="44"/>
      <c r="CO73" s="44"/>
      <c r="CP73" s="44"/>
      <c r="CQ73" s="44"/>
      <c r="CR73" s="44"/>
      <c r="CS73" s="44"/>
      <c r="CT73" s="44"/>
      <c r="CU73" s="44"/>
      <c r="CV73" s="44"/>
      <c r="CW73" s="44"/>
      <c r="CX73" s="44"/>
      <c r="CY73" s="44"/>
      <c r="CZ73" s="44"/>
      <c r="DA73" s="44"/>
      <c r="DB73" s="44"/>
      <c r="DC73" s="44"/>
      <c r="DD73" s="44"/>
      <c r="DE73" s="44"/>
      <c r="DF73" s="44"/>
      <c r="DG73" s="44"/>
      <c r="DH73" s="44"/>
      <c r="DI73" s="44"/>
      <c r="DJ73" s="44"/>
      <c r="DK73" s="44"/>
      <c r="DL73" s="44"/>
      <c r="DM73" s="44"/>
      <c r="DN73" s="44"/>
      <c r="DO73" s="44"/>
      <c r="DP73" s="44"/>
      <c r="DQ73" s="44"/>
      <c r="DR73" s="44"/>
      <c r="DS73" s="44"/>
      <c r="DT73" s="44"/>
      <c r="DU73" s="44"/>
      <c r="DV73" s="44"/>
      <c r="DW73" s="44"/>
      <c r="DX73" s="47"/>
      <c r="DY73" s="47"/>
      <c r="DZ73" s="47"/>
      <c r="EA73" s="129"/>
    </row>
    <row r="74" spans="1:131" s="32" customFormat="1">
      <c r="A74" s="33"/>
      <c r="B74" s="34"/>
      <c r="C74" s="35"/>
      <c r="D74" s="36"/>
      <c r="E74" s="36"/>
      <c r="F74" s="37"/>
      <c r="G74" s="38"/>
      <c r="H74" s="39"/>
      <c r="I74" s="51"/>
      <c r="J74" s="39"/>
      <c r="K74" s="39"/>
      <c r="L74" s="34"/>
      <c r="M74" s="34"/>
      <c r="N74" s="34"/>
      <c r="O74" s="53"/>
      <c r="P74" s="53"/>
      <c r="Q74" s="54"/>
      <c r="R74" s="42"/>
      <c r="S74" s="42"/>
      <c r="T74" s="43"/>
      <c r="U74" s="52"/>
      <c r="V74" s="68"/>
      <c r="W74" s="44"/>
      <c r="X74" s="45"/>
      <c r="Y74" s="46"/>
      <c r="Z74" s="47"/>
      <c r="AA74" s="47"/>
      <c r="AB74" s="47"/>
      <c r="AC74" s="47"/>
      <c r="AD74" s="47"/>
      <c r="AE74" s="44"/>
      <c r="AF74" s="44"/>
      <c r="AG74" s="44"/>
      <c r="AH74" s="47"/>
      <c r="AI74" s="47"/>
      <c r="AJ74" s="47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4"/>
      <c r="AZ74" s="44"/>
      <c r="BA74" s="44"/>
      <c r="BB74" s="44"/>
      <c r="BC74" s="43"/>
      <c r="BD74" s="48"/>
      <c r="BE74" s="44"/>
      <c r="BF74" s="44"/>
      <c r="BG74" s="44"/>
      <c r="BH74" s="44"/>
      <c r="BI74" s="44"/>
      <c r="BL74" s="43"/>
      <c r="BM74" s="44"/>
      <c r="BN74" s="44"/>
      <c r="BO74" s="44"/>
      <c r="BP74" s="49"/>
      <c r="BQ74" s="44"/>
      <c r="BR74" s="44"/>
      <c r="BS74" s="44"/>
      <c r="BT74" s="68"/>
      <c r="BU74" s="47"/>
      <c r="BV74" s="44"/>
      <c r="BW74" s="44"/>
      <c r="BX74" s="44"/>
      <c r="BY74" s="44"/>
      <c r="BZ74" s="44"/>
      <c r="CA74" s="44"/>
      <c r="CB74" s="44"/>
      <c r="CC74" s="44"/>
      <c r="CD74" s="44"/>
      <c r="CE74" s="44"/>
      <c r="CF74" s="44"/>
      <c r="CG74" s="44"/>
      <c r="CH74" s="47"/>
      <c r="CI74" s="44"/>
      <c r="CJ74" s="44"/>
      <c r="CK74" s="44"/>
      <c r="CL74" s="44"/>
      <c r="CM74" s="44"/>
      <c r="CN74" s="44"/>
      <c r="CO74" s="44"/>
      <c r="CP74" s="44"/>
      <c r="CQ74" s="44"/>
      <c r="CR74" s="44"/>
      <c r="CS74" s="44"/>
      <c r="CT74" s="44"/>
      <c r="CU74" s="44"/>
      <c r="CV74" s="44"/>
      <c r="CW74" s="44"/>
      <c r="CX74" s="44"/>
      <c r="CY74" s="44"/>
      <c r="CZ74" s="44"/>
      <c r="DA74" s="44"/>
      <c r="DB74" s="44"/>
      <c r="DC74" s="44"/>
      <c r="DD74" s="44"/>
      <c r="DE74" s="44"/>
      <c r="DF74" s="44"/>
      <c r="DG74" s="44"/>
      <c r="DH74" s="44"/>
      <c r="DI74" s="44"/>
      <c r="DJ74" s="44"/>
      <c r="DK74" s="44"/>
      <c r="DL74" s="44"/>
      <c r="DM74" s="44"/>
      <c r="DN74" s="44"/>
      <c r="DO74" s="44"/>
      <c r="DP74" s="44"/>
      <c r="DQ74" s="44"/>
      <c r="DR74" s="44"/>
      <c r="DS74" s="44"/>
      <c r="DT74" s="44"/>
      <c r="DU74" s="44"/>
      <c r="DV74" s="44"/>
      <c r="DW74" s="44"/>
      <c r="DX74" s="47"/>
      <c r="DY74" s="47"/>
      <c r="DZ74" s="47"/>
      <c r="EA74" s="129"/>
    </row>
    <row r="75" spans="1:131" s="32" customFormat="1">
      <c r="A75" s="33"/>
      <c r="B75" s="34"/>
      <c r="C75" s="35"/>
      <c r="D75" s="36"/>
      <c r="E75" s="36"/>
      <c r="F75" s="37"/>
      <c r="G75" s="38"/>
      <c r="H75" s="39"/>
      <c r="I75" s="51"/>
      <c r="J75" s="39"/>
      <c r="K75" s="39"/>
      <c r="L75" s="34"/>
      <c r="M75" s="34"/>
      <c r="N75" s="34"/>
      <c r="O75" s="53"/>
      <c r="P75" s="53"/>
      <c r="Q75" s="54"/>
      <c r="R75" s="42"/>
      <c r="S75" s="42"/>
      <c r="T75" s="43"/>
      <c r="U75" s="52"/>
      <c r="V75" s="68"/>
      <c r="W75" s="44"/>
      <c r="X75" s="45"/>
      <c r="Y75" s="46"/>
      <c r="Z75" s="47"/>
      <c r="AA75" s="47"/>
      <c r="AB75" s="47"/>
      <c r="AC75" s="47"/>
      <c r="AD75" s="47"/>
      <c r="AE75" s="44"/>
      <c r="AF75" s="44"/>
      <c r="AG75" s="44"/>
      <c r="AH75" s="47"/>
      <c r="AI75" s="47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4"/>
      <c r="AZ75" s="44"/>
      <c r="BA75" s="44"/>
      <c r="BB75" s="44"/>
      <c r="BC75" s="43"/>
      <c r="BD75" s="48"/>
      <c r="BE75" s="44"/>
      <c r="BF75" s="44"/>
      <c r="BG75" s="44"/>
      <c r="BH75" s="44"/>
      <c r="BI75" s="44"/>
      <c r="BL75" s="43"/>
      <c r="BM75" s="44"/>
      <c r="BN75" s="44"/>
      <c r="BO75" s="44"/>
      <c r="BP75" s="49"/>
      <c r="BQ75" s="44"/>
      <c r="BR75" s="44"/>
      <c r="BS75" s="44"/>
      <c r="BT75" s="68"/>
      <c r="BU75" s="47"/>
      <c r="BV75" s="44"/>
      <c r="BW75" s="44"/>
      <c r="BX75" s="44"/>
      <c r="BY75" s="44"/>
      <c r="BZ75" s="44"/>
      <c r="CA75" s="44"/>
      <c r="CB75" s="44"/>
      <c r="CC75" s="44"/>
      <c r="CD75" s="44"/>
      <c r="CE75" s="44"/>
      <c r="CF75" s="44"/>
      <c r="CG75" s="44"/>
      <c r="CH75" s="47"/>
      <c r="CI75" s="44"/>
      <c r="CJ75" s="44"/>
      <c r="CK75" s="44"/>
      <c r="CL75" s="44"/>
      <c r="CM75" s="44"/>
      <c r="CN75" s="44"/>
      <c r="CO75" s="44"/>
      <c r="CP75" s="44"/>
      <c r="CQ75" s="44"/>
      <c r="CR75" s="44"/>
      <c r="CS75" s="44"/>
      <c r="CT75" s="44"/>
      <c r="CU75" s="44"/>
      <c r="CV75" s="44"/>
      <c r="CW75" s="44"/>
      <c r="CX75" s="44"/>
      <c r="CY75" s="44"/>
      <c r="CZ75" s="44"/>
      <c r="DA75" s="44"/>
      <c r="DB75" s="44"/>
      <c r="DC75" s="44"/>
      <c r="DD75" s="44"/>
      <c r="DE75" s="44"/>
      <c r="DF75" s="44"/>
      <c r="DG75" s="44"/>
      <c r="DH75" s="44"/>
      <c r="DI75" s="44"/>
      <c r="DJ75" s="44"/>
      <c r="DK75" s="44"/>
      <c r="DL75" s="44"/>
      <c r="DM75" s="44"/>
      <c r="DN75" s="44"/>
      <c r="DO75" s="44"/>
      <c r="DP75" s="44"/>
      <c r="DQ75" s="44"/>
      <c r="DR75" s="44"/>
      <c r="DS75" s="44"/>
      <c r="DT75" s="44"/>
      <c r="DU75" s="44"/>
      <c r="DV75" s="44"/>
      <c r="DW75" s="44"/>
      <c r="DX75" s="47"/>
      <c r="DY75" s="47"/>
      <c r="DZ75" s="47"/>
      <c r="EA75" s="129"/>
    </row>
    <row r="76" spans="1:131" s="32" customFormat="1">
      <c r="A76" s="33"/>
      <c r="B76" s="34"/>
      <c r="C76" s="35"/>
      <c r="D76" s="36"/>
      <c r="E76" s="36"/>
      <c r="F76" s="37"/>
      <c r="G76" s="38"/>
      <c r="H76" s="39"/>
      <c r="I76" s="51"/>
      <c r="J76" s="39"/>
      <c r="K76" s="39"/>
      <c r="L76" s="34"/>
      <c r="M76" s="34"/>
      <c r="N76" s="34"/>
      <c r="O76" s="53"/>
      <c r="P76" s="53"/>
      <c r="Q76" s="54"/>
      <c r="R76" s="42"/>
      <c r="S76" s="42"/>
      <c r="T76" s="43"/>
      <c r="U76" s="52"/>
      <c r="V76" s="68"/>
      <c r="W76" s="44"/>
      <c r="X76" s="45"/>
      <c r="Y76" s="46"/>
      <c r="Z76" s="47"/>
      <c r="AA76" s="47"/>
      <c r="AB76" s="47"/>
      <c r="AC76" s="47"/>
      <c r="AD76" s="47"/>
      <c r="AE76" s="44"/>
      <c r="AF76" s="44"/>
      <c r="AG76" s="44"/>
      <c r="AH76" s="47"/>
      <c r="AI76" s="47"/>
      <c r="AJ76" s="47"/>
      <c r="AK76" s="47"/>
      <c r="AL76" s="47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4"/>
      <c r="AZ76" s="44"/>
      <c r="BA76" s="44"/>
      <c r="BB76" s="44"/>
      <c r="BC76" s="43"/>
      <c r="BD76" s="48"/>
      <c r="BE76" s="44"/>
      <c r="BF76" s="44"/>
      <c r="BG76" s="44"/>
      <c r="BH76" s="44"/>
      <c r="BI76" s="44"/>
      <c r="BL76" s="43"/>
      <c r="BM76" s="44"/>
      <c r="BN76" s="44"/>
      <c r="BO76" s="44"/>
      <c r="BP76" s="49"/>
      <c r="BQ76" s="44"/>
      <c r="BR76" s="44"/>
      <c r="BS76" s="44"/>
      <c r="BT76" s="68"/>
      <c r="BU76" s="47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7"/>
      <c r="CI76" s="44"/>
      <c r="CJ76" s="44"/>
      <c r="CK76" s="44"/>
      <c r="CL76" s="44"/>
      <c r="CM76" s="44"/>
      <c r="CN76" s="44"/>
      <c r="CO76" s="44"/>
      <c r="CP76" s="44"/>
      <c r="CQ76" s="44"/>
      <c r="CR76" s="44"/>
      <c r="CS76" s="44"/>
      <c r="CT76" s="44"/>
      <c r="CU76" s="44"/>
      <c r="CV76" s="44"/>
      <c r="CW76" s="44"/>
      <c r="CX76" s="44"/>
      <c r="CY76" s="44"/>
      <c r="CZ76" s="44"/>
      <c r="DA76" s="44"/>
      <c r="DB76" s="44"/>
      <c r="DC76" s="44"/>
      <c r="DD76" s="44"/>
      <c r="DE76" s="44"/>
      <c r="DF76" s="44"/>
      <c r="DG76" s="44"/>
      <c r="DH76" s="44"/>
      <c r="DI76" s="44"/>
      <c r="DJ76" s="44"/>
      <c r="DK76" s="44"/>
      <c r="DL76" s="44"/>
      <c r="DM76" s="44"/>
      <c r="DN76" s="44"/>
      <c r="DO76" s="44"/>
      <c r="DP76" s="44"/>
      <c r="DQ76" s="44"/>
      <c r="DR76" s="44"/>
      <c r="DS76" s="44"/>
      <c r="DT76" s="44"/>
      <c r="DU76" s="44"/>
      <c r="DV76" s="44"/>
      <c r="DW76" s="44"/>
      <c r="DX76" s="47"/>
      <c r="DY76" s="47"/>
      <c r="DZ76" s="47"/>
      <c r="EA76" s="129"/>
    </row>
    <row r="77" spans="1:131" s="136" customFormat="1" ht="13.8">
      <c r="A77" s="130"/>
      <c r="B77" s="56"/>
      <c r="C77" s="60"/>
      <c r="D77" s="61"/>
      <c r="E77" s="61"/>
      <c r="F77" s="55"/>
      <c r="G77" s="56"/>
      <c r="H77" s="55"/>
      <c r="I77" s="55"/>
      <c r="J77" s="55"/>
      <c r="K77" s="55"/>
      <c r="L77" s="56"/>
      <c r="M77" s="56"/>
      <c r="N77" s="56"/>
      <c r="O77" s="131"/>
      <c r="P77" s="131"/>
      <c r="Q77" s="132"/>
      <c r="R77" s="58"/>
      <c r="S77" s="58"/>
      <c r="T77" s="133"/>
      <c r="U77" s="134"/>
      <c r="V77" s="74"/>
      <c r="W77" s="43"/>
      <c r="X77" s="69"/>
      <c r="Y77" s="70"/>
      <c r="Z77" s="71"/>
      <c r="AA77" s="71"/>
      <c r="AB77" s="71"/>
      <c r="AC77" s="71"/>
      <c r="AD77" s="71"/>
      <c r="AE77" s="43"/>
      <c r="AF77" s="43"/>
      <c r="AG77" s="43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43"/>
      <c r="AZ77" s="43"/>
      <c r="BA77" s="43"/>
      <c r="BB77" s="43"/>
      <c r="BC77" s="43"/>
      <c r="BD77" s="135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74"/>
      <c r="BQ77" s="43"/>
      <c r="BR77" s="43"/>
      <c r="BS77" s="43"/>
      <c r="BT77" s="74"/>
      <c r="BU77" s="71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71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71"/>
      <c r="DY77" s="71"/>
      <c r="DZ77" s="43"/>
    </row>
    <row r="78" spans="1:131" s="136" customFormat="1" thickBot="1">
      <c r="A78" s="137"/>
      <c r="B78" s="138"/>
      <c r="C78" s="139"/>
      <c r="D78" s="140"/>
      <c r="E78" s="140"/>
      <c r="F78" s="141"/>
      <c r="G78" s="138"/>
      <c r="H78" s="141"/>
      <c r="I78" s="141"/>
      <c r="J78" s="141"/>
      <c r="K78" s="141"/>
      <c r="L78" s="138"/>
      <c r="M78" s="138"/>
      <c r="N78" s="138"/>
      <c r="O78" s="142"/>
      <c r="P78" s="142"/>
      <c r="Q78" s="143"/>
      <c r="R78" s="144"/>
      <c r="S78" s="144"/>
      <c r="T78" s="145">
        <f>SUM(T5:T77)</f>
        <v>4574042.25</v>
      </c>
      <c r="U78" s="146"/>
      <c r="V78" s="147">
        <f t="shared" ref="V78:BA78" si="2">SUM(V5:V77)</f>
        <v>4574042.25</v>
      </c>
      <c r="W78" s="147">
        <f t="shared" si="2"/>
        <v>0</v>
      </c>
      <c r="X78" s="147">
        <f t="shared" si="2"/>
        <v>0</v>
      </c>
      <c r="Y78" s="147">
        <f t="shared" si="2"/>
        <v>0</v>
      </c>
      <c r="Z78" s="147">
        <f t="shared" si="2"/>
        <v>0</v>
      </c>
      <c r="AA78" s="147">
        <f t="shared" si="2"/>
        <v>0</v>
      </c>
      <c r="AB78" s="147">
        <f t="shared" si="2"/>
        <v>0</v>
      </c>
      <c r="AC78" s="147">
        <f t="shared" si="2"/>
        <v>0</v>
      </c>
      <c r="AD78" s="147">
        <f t="shared" si="2"/>
        <v>0</v>
      </c>
      <c r="AE78" s="147">
        <f t="shared" si="2"/>
        <v>0</v>
      </c>
      <c r="AF78" s="147">
        <f t="shared" si="2"/>
        <v>0</v>
      </c>
      <c r="AG78" s="147">
        <f t="shared" si="2"/>
        <v>0</v>
      </c>
      <c r="AH78" s="147">
        <f t="shared" si="2"/>
        <v>0</v>
      </c>
      <c r="AI78" s="147">
        <f t="shared" si="2"/>
        <v>0</v>
      </c>
      <c r="AJ78" s="147">
        <f t="shared" si="2"/>
        <v>0</v>
      </c>
      <c r="AK78" s="147">
        <f t="shared" si="2"/>
        <v>0</v>
      </c>
      <c r="AL78" s="147">
        <f t="shared" si="2"/>
        <v>0</v>
      </c>
      <c r="AM78" s="147">
        <f t="shared" si="2"/>
        <v>0</v>
      </c>
      <c r="AN78" s="147">
        <f t="shared" si="2"/>
        <v>0</v>
      </c>
      <c r="AO78" s="147">
        <f t="shared" si="2"/>
        <v>0</v>
      </c>
      <c r="AP78" s="147">
        <f t="shared" si="2"/>
        <v>0</v>
      </c>
      <c r="AQ78" s="147">
        <f t="shared" si="2"/>
        <v>0</v>
      </c>
      <c r="AR78" s="147">
        <f t="shared" si="2"/>
        <v>0</v>
      </c>
      <c r="AS78" s="147">
        <f t="shared" si="2"/>
        <v>0</v>
      </c>
      <c r="AT78" s="147">
        <f t="shared" si="2"/>
        <v>0</v>
      </c>
      <c r="AU78" s="147">
        <f t="shared" si="2"/>
        <v>0</v>
      </c>
      <c r="AV78" s="147">
        <f t="shared" si="2"/>
        <v>0</v>
      </c>
      <c r="AW78" s="147">
        <f t="shared" si="2"/>
        <v>0</v>
      </c>
      <c r="AX78" s="147">
        <f t="shared" si="2"/>
        <v>0</v>
      </c>
      <c r="AY78" s="147">
        <f t="shared" si="2"/>
        <v>0</v>
      </c>
      <c r="AZ78" s="147">
        <f t="shared" si="2"/>
        <v>0</v>
      </c>
      <c r="BA78" s="147">
        <f t="shared" si="2"/>
        <v>0</v>
      </c>
      <c r="BB78" s="147">
        <f t="shared" ref="BB78:CG78" si="3">SUM(BB5:BB77)</f>
        <v>0</v>
      </c>
      <c r="BC78" s="147">
        <f t="shared" si="3"/>
        <v>3729453.73</v>
      </c>
      <c r="BD78" s="147">
        <f t="shared" si="3"/>
        <v>0</v>
      </c>
      <c r="BE78" s="147">
        <f t="shared" si="3"/>
        <v>179818.18</v>
      </c>
      <c r="BF78" s="147">
        <f t="shared" si="3"/>
        <v>75000</v>
      </c>
      <c r="BG78" s="147">
        <f t="shared" si="3"/>
        <v>75000</v>
      </c>
      <c r="BH78" s="147">
        <f t="shared" si="3"/>
        <v>0</v>
      </c>
      <c r="BI78" s="147">
        <f t="shared" si="3"/>
        <v>0</v>
      </c>
      <c r="BJ78" s="147">
        <f t="shared" si="3"/>
        <v>0</v>
      </c>
      <c r="BK78" s="147">
        <f t="shared" si="3"/>
        <v>0</v>
      </c>
      <c r="BL78" s="147">
        <f t="shared" si="3"/>
        <v>0</v>
      </c>
      <c r="BM78" s="147">
        <f t="shared" si="3"/>
        <v>447523.52</v>
      </c>
      <c r="BN78" s="147">
        <f t="shared" si="3"/>
        <v>9000</v>
      </c>
      <c r="BO78" s="147">
        <f t="shared" si="3"/>
        <v>49246.819999999992</v>
      </c>
      <c r="BP78" s="147">
        <f t="shared" si="3"/>
        <v>9000</v>
      </c>
      <c r="BQ78" s="147">
        <f t="shared" si="3"/>
        <v>0</v>
      </c>
      <c r="BR78" s="147">
        <f t="shared" si="3"/>
        <v>0</v>
      </c>
      <c r="BS78" s="147">
        <f t="shared" si="3"/>
        <v>0</v>
      </c>
      <c r="BT78" s="147">
        <f t="shared" si="3"/>
        <v>4574042.25</v>
      </c>
      <c r="BU78" s="147">
        <f t="shared" si="3"/>
        <v>0</v>
      </c>
      <c r="BV78" s="147">
        <f t="shared" si="3"/>
        <v>0</v>
      </c>
      <c r="BW78" s="147">
        <f t="shared" si="3"/>
        <v>0</v>
      </c>
      <c r="BX78" s="147">
        <f t="shared" si="3"/>
        <v>0</v>
      </c>
      <c r="BY78" s="147">
        <f t="shared" si="3"/>
        <v>0</v>
      </c>
      <c r="BZ78" s="147">
        <f t="shared" si="3"/>
        <v>0</v>
      </c>
      <c r="CA78" s="147">
        <f t="shared" si="3"/>
        <v>0</v>
      </c>
      <c r="CB78" s="147">
        <f t="shared" si="3"/>
        <v>0</v>
      </c>
      <c r="CC78" s="147">
        <f t="shared" si="3"/>
        <v>0</v>
      </c>
      <c r="CD78" s="147">
        <f t="shared" si="3"/>
        <v>0</v>
      </c>
      <c r="CE78" s="147">
        <f t="shared" si="3"/>
        <v>0</v>
      </c>
      <c r="CF78" s="147">
        <f t="shared" si="3"/>
        <v>0</v>
      </c>
      <c r="CG78" s="147">
        <f t="shared" si="3"/>
        <v>0</v>
      </c>
      <c r="CH78" s="147">
        <f t="shared" ref="CH78:DM78" si="4">SUM(CH5:CH77)</f>
        <v>0</v>
      </c>
      <c r="CI78" s="147">
        <f t="shared" si="4"/>
        <v>0</v>
      </c>
      <c r="CJ78" s="147">
        <f t="shared" si="4"/>
        <v>0</v>
      </c>
      <c r="CK78" s="147">
        <f t="shared" si="4"/>
        <v>0</v>
      </c>
      <c r="CL78" s="147">
        <f t="shared" si="4"/>
        <v>0</v>
      </c>
      <c r="CM78" s="147">
        <f t="shared" si="4"/>
        <v>0</v>
      </c>
      <c r="CN78" s="147">
        <f t="shared" si="4"/>
        <v>0</v>
      </c>
      <c r="CO78" s="147">
        <f t="shared" si="4"/>
        <v>0</v>
      </c>
      <c r="CP78" s="147">
        <f t="shared" si="4"/>
        <v>0</v>
      </c>
      <c r="CQ78" s="147">
        <f t="shared" si="4"/>
        <v>0</v>
      </c>
      <c r="CR78" s="147">
        <f t="shared" si="4"/>
        <v>0</v>
      </c>
      <c r="CS78" s="147">
        <f t="shared" si="4"/>
        <v>0</v>
      </c>
      <c r="CT78" s="147">
        <f t="shared" si="4"/>
        <v>0</v>
      </c>
      <c r="CU78" s="147">
        <f t="shared" si="4"/>
        <v>0</v>
      </c>
      <c r="CV78" s="147">
        <f t="shared" si="4"/>
        <v>0</v>
      </c>
      <c r="CW78" s="147">
        <f t="shared" si="4"/>
        <v>0</v>
      </c>
      <c r="CX78" s="147">
        <f t="shared" si="4"/>
        <v>0</v>
      </c>
      <c r="CY78" s="147">
        <f t="shared" si="4"/>
        <v>0</v>
      </c>
      <c r="CZ78" s="147">
        <f t="shared" si="4"/>
        <v>0</v>
      </c>
      <c r="DA78" s="147">
        <f t="shared" si="4"/>
        <v>0</v>
      </c>
      <c r="DB78" s="147">
        <f t="shared" si="4"/>
        <v>0</v>
      </c>
      <c r="DC78" s="147">
        <f t="shared" si="4"/>
        <v>0</v>
      </c>
      <c r="DD78" s="147">
        <f t="shared" si="4"/>
        <v>0</v>
      </c>
      <c r="DE78" s="147">
        <f t="shared" si="4"/>
        <v>0</v>
      </c>
      <c r="DF78" s="147">
        <f t="shared" si="4"/>
        <v>0</v>
      </c>
      <c r="DG78" s="147">
        <f t="shared" si="4"/>
        <v>0</v>
      </c>
      <c r="DH78" s="147">
        <f t="shared" si="4"/>
        <v>0</v>
      </c>
      <c r="DI78" s="147">
        <f t="shared" si="4"/>
        <v>0</v>
      </c>
      <c r="DJ78" s="147">
        <f t="shared" si="4"/>
        <v>0</v>
      </c>
      <c r="DK78" s="147">
        <f t="shared" si="4"/>
        <v>0</v>
      </c>
      <c r="DL78" s="147">
        <f t="shared" si="4"/>
        <v>0</v>
      </c>
      <c r="DM78" s="147">
        <f t="shared" si="4"/>
        <v>0</v>
      </c>
      <c r="DN78" s="147">
        <f t="shared" ref="DN78:DZ78" si="5">SUM(DN5:DN77)</f>
        <v>0</v>
      </c>
      <c r="DO78" s="147">
        <f t="shared" si="5"/>
        <v>0</v>
      </c>
      <c r="DP78" s="147">
        <f t="shared" si="5"/>
        <v>0</v>
      </c>
      <c r="DQ78" s="147">
        <f t="shared" si="5"/>
        <v>0</v>
      </c>
      <c r="DR78" s="147">
        <f t="shared" si="5"/>
        <v>0</v>
      </c>
      <c r="DS78" s="147">
        <f t="shared" si="5"/>
        <v>0</v>
      </c>
      <c r="DT78" s="147">
        <f t="shared" si="5"/>
        <v>0</v>
      </c>
      <c r="DU78" s="147">
        <f t="shared" si="5"/>
        <v>0</v>
      </c>
      <c r="DV78" s="147">
        <f t="shared" si="5"/>
        <v>0</v>
      </c>
      <c r="DW78" s="147">
        <f t="shared" si="5"/>
        <v>0</v>
      </c>
      <c r="DX78" s="147">
        <f t="shared" si="5"/>
        <v>0</v>
      </c>
      <c r="DY78" s="147">
        <f t="shared" si="5"/>
        <v>0</v>
      </c>
      <c r="DZ78" s="147">
        <f t="shared" si="5"/>
        <v>0</v>
      </c>
    </row>
    <row r="79" spans="1:131" s="136" customFormat="1" thickTop="1">
      <c r="A79" s="148"/>
      <c r="B79" s="149"/>
      <c r="C79" s="150"/>
      <c r="D79" s="151"/>
      <c r="E79" s="151"/>
      <c r="F79" s="152"/>
      <c r="G79" s="149"/>
      <c r="H79" s="152"/>
      <c r="I79" s="152"/>
      <c r="J79" s="152"/>
      <c r="K79" s="152"/>
      <c r="L79" s="149"/>
      <c r="M79" s="149"/>
      <c r="N79" s="149"/>
      <c r="O79" s="153"/>
      <c r="P79" s="153"/>
      <c r="Q79" s="154"/>
      <c r="R79" s="155"/>
      <c r="S79" s="155"/>
      <c r="T79" s="156">
        <f>+T78+'PS CARP'!T59+'CARP MOOE'!T23+'MOOE OTHERS'!T47+OTOP!T23+NC!T23+SSF!T23+'SSF CO'!T23+'LSP NSB'!T23+'RAPID LP'!T23+'RAPID GOP'!T23+'INTERNET SAA'!T23+RCC!T23+PPG!T23</f>
        <v>5339595.66</v>
      </c>
      <c r="U79" s="157"/>
      <c r="V79" s="158"/>
      <c r="W79" s="159"/>
      <c r="X79" s="158"/>
      <c r="Y79" s="160"/>
      <c r="Z79" s="154"/>
      <c r="AA79" s="154"/>
      <c r="AB79" s="154"/>
      <c r="AC79" s="154"/>
      <c r="AD79" s="154"/>
      <c r="AE79" s="161"/>
      <c r="AF79" s="161"/>
      <c r="AG79" s="161"/>
      <c r="AH79" s="154"/>
      <c r="AI79" s="154"/>
      <c r="AJ79" s="154"/>
      <c r="AK79" s="154"/>
      <c r="AL79" s="154"/>
      <c r="AM79" s="154"/>
      <c r="AN79" s="154"/>
      <c r="AO79" s="154"/>
      <c r="AP79" s="154"/>
      <c r="AQ79" s="154"/>
      <c r="AR79" s="154"/>
      <c r="AS79" s="154"/>
      <c r="AT79" s="154"/>
      <c r="AU79" s="154"/>
      <c r="AV79" s="154"/>
      <c r="AW79" s="154"/>
      <c r="AX79" s="154"/>
      <c r="AY79" s="161"/>
      <c r="AZ79" s="161"/>
      <c r="BA79" s="161"/>
      <c r="BB79" s="161"/>
      <c r="BC79" s="74">
        <f>SUM(BC78:BS78)</f>
        <v>4574042.25</v>
      </c>
      <c r="BD79" s="161"/>
      <c r="BE79" s="161"/>
      <c r="BF79" s="161"/>
      <c r="BG79" s="161"/>
      <c r="BH79" s="161"/>
      <c r="BI79" s="161"/>
      <c r="BJ79" s="161"/>
      <c r="BK79" s="161"/>
      <c r="BL79" s="161"/>
      <c r="BM79" s="161"/>
      <c r="BN79" s="161"/>
      <c r="BO79" s="161"/>
      <c r="BP79" s="161"/>
      <c r="BQ79" s="161"/>
      <c r="BR79" s="161"/>
      <c r="BS79" s="161"/>
      <c r="BT79" s="161"/>
      <c r="BU79" s="161"/>
      <c r="BV79" s="161"/>
      <c r="BW79" s="161"/>
      <c r="BX79" s="161"/>
      <c r="BY79" s="161"/>
      <c r="BZ79" s="161"/>
      <c r="CA79" s="74"/>
      <c r="CB79" s="74"/>
      <c r="CC79" s="74"/>
      <c r="CD79" s="74">
        <f>SUM(CD78:DZ78)</f>
        <v>0</v>
      </c>
      <c r="CE79" s="161"/>
      <c r="CF79" s="161"/>
      <c r="CG79" s="161"/>
      <c r="CH79" s="161"/>
      <c r="CI79" s="161"/>
      <c r="CJ79" s="161"/>
      <c r="CK79" s="161"/>
      <c r="CL79" s="161"/>
      <c r="CM79" s="161"/>
      <c r="CN79" s="161"/>
      <c r="CO79" s="161"/>
      <c r="CP79" s="161"/>
      <c r="CQ79" s="161"/>
      <c r="CR79" s="161"/>
      <c r="CS79" s="161"/>
      <c r="CT79" s="161"/>
      <c r="CU79" s="161"/>
      <c r="CV79" s="161"/>
      <c r="CW79" s="161"/>
      <c r="CX79" s="161"/>
      <c r="CY79" s="161"/>
      <c r="CZ79" s="161"/>
      <c r="DA79" s="161"/>
      <c r="DB79" s="161"/>
      <c r="DC79" s="161"/>
      <c r="DD79" s="161"/>
      <c r="DE79" s="74"/>
      <c r="DF79" s="161"/>
      <c r="DG79" s="161"/>
      <c r="DH79" s="161"/>
      <c r="DI79" s="161"/>
      <c r="DJ79" s="161"/>
      <c r="DK79" s="161"/>
      <c r="DL79" s="161"/>
      <c r="DM79" s="161"/>
      <c r="DN79" s="161"/>
      <c r="DO79" s="161"/>
      <c r="DP79" s="161"/>
      <c r="DQ79" s="161"/>
      <c r="DR79" s="161"/>
      <c r="DS79" s="161"/>
      <c r="DT79" s="161"/>
      <c r="DU79" s="161"/>
      <c r="DV79" s="161"/>
      <c r="DW79" s="161"/>
      <c r="DX79" s="161"/>
      <c r="DY79" s="161"/>
      <c r="DZ79" s="161"/>
    </row>
    <row r="80" spans="1:131" s="136" customFormat="1" ht="13.8">
      <c r="BC80" s="162" t="s">
        <v>27</v>
      </c>
      <c r="BD80" s="162" t="s">
        <v>28</v>
      </c>
      <c r="BE80" s="163" t="s">
        <v>29</v>
      </c>
      <c r="BF80" s="164" t="s">
        <v>30</v>
      </c>
      <c r="BG80" s="164" t="s">
        <v>31</v>
      </c>
      <c r="BH80" s="165" t="s">
        <v>32</v>
      </c>
      <c r="BI80" s="165" t="s">
        <v>33</v>
      </c>
      <c r="BJ80" s="163" t="s">
        <v>34</v>
      </c>
      <c r="BK80" s="163" t="s">
        <v>35</v>
      </c>
      <c r="BL80" s="163" t="s">
        <v>36</v>
      </c>
      <c r="BM80" s="163" t="s">
        <v>37</v>
      </c>
      <c r="BN80" s="165" t="s">
        <v>38</v>
      </c>
      <c r="BO80" s="163" t="s">
        <v>39</v>
      </c>
      <c r="BP80" s="163" t="s">
        <v>40</v>
      </c>
      <c r="BQ80" s="163" t="s">
        <v>41</v>
      </c>
      <c r="BR80" s="163" t="s">
        <v>42</v>
      </c>
      <c r="BS80" s="166"/>
      <c r="BT80" s="166"/>
      <c r="BU80" s="166"/>
      <c r="BV80" s="166"/>
      <c r="BW80" s="166"/>
      <c r="BX80" s="166"/>
      <c r="BY80" s="166"/>
      <c r="BZ80" s="166"/>
      <c r="CA80" s="166"/>
      <c r="CB80" s="166"/>
      <c r="CC80" s="166"/>
      <c r="CD80" s="167" t="s">
        <v>43</v>
      </c>
      <c r="CE80" s="168" t="s">
        <v>44</v>
      </c>
      <c r="CF80" s="168">
        <v>752</v>
      </c>
      <c r="CG80" s="168" t="s">
        <v>45</v>
      </c>
      <c r="CH80" s="168" t="s">
        <v>46</v>
      </c>
      <c r="CI80" s="168" t="s">
        <v>47</v>
      </c>
      <c r="CJ80" s="168">
        <v>761</v>
      </c>
      <c r="CK80" s="168" t="s">
        <v>48</v>
      </c>
      <c r="CL80" s="168" t="s">
        <v>49</v>
      </c>
      <c r="CM80" s="168">
        <v>767</v>
      </c>
      <c r="CN80" s="168" t="s">
        <v>50</v>
      </c>
      <c r="CO80" s="168" t="s">
        <v>51</v>
      </c>
      <c r="CP80" s="168" t="s">
        <v>52</v>
      </c>
      <c r="CQ80" s="168" t="s">
        <v>53</v>
      </c>
      <c r="CR80" s="168" t="s">
        <v>54</v>
      </c>
      <c r="CS80" s="168" t="s">
        <v>55</v>
      </c>
      <c r="CT80" s="168" t="s">
        <v>56</v>
      </c>
      <c r="CU80" s="168" t="s">
        <v>57</v>
      </c>
      <c r="CV80" s="168" t="s">
        <v>58</v>
      </c>
      <c r="CW80" s="168" t="s">
        <v>58</v>
      </c>
      <c r="CX80" s="168" t="s">
        <v>59</v>
      </c>
      <c r="CY80" s="168" t="s">
        <v>60</v>
      </c>
      <c r="CZ80" s="168" t="s">
        <v>61</v>
      </c>
      <c r="DA80" s="168" t="s">
        <v>62</v>
      </c>
      <c r="DB80" s="168" t="s">
        <v>63</v>
      </c>
      <c r="DC80" s="168" t="s">
        <v>64</v>
      </c>
      <c r="DD80" s="168">
        <v>793</v>
      </c>
      <c r="DE80" s="168">
        <v>795</v>
      </c>
      <c r="DF80" s="168">
        <v>796</v>
      </c>
      <c r="DG80" s="168">
        <v>797</v>
      </c>
      <c r="DH80" s="168" t="s">
        <v>65</v>
      </c>
      <c r="DI80" s="168" t="s">
        <v>66</v>
      </c>
      <c r="DJ80" s="168" t="s">
        <v>67</v>
      </c>
      <c r="DK80" s="168" t="s">
        <v>68</v>
      </c>
      <c r="DL80" s="168" t="s">
        <v>69</v>
      </c>
      <c r="DM80" s="168" t="s">
        <v>70</v>
      </c>
      <c r="DN80" s="168" t="s">
        <v>71</v>
      </c>
      <c r="DO80" s="168" t="s">
        <v>72</v>
      </c>
      <c r="DP80" s="168" t="s">
        <v>73</v>
      </c>
      <c r="DQ80" s="168" t="s">
        <v>74</v>
      </c>
      <c r="DR80" s="168">
        <v>879</v>
      </c>
      <c r="DS80" s="168" t="s">
        <v>75</v>
      </c>
      <c r="DT80" s="168" t="s">
        <v>76</v>
      </c>
      <c r="DU80" s="168" t="s">
        <v>77</v>
      </c>
      <c r="DV80" s="168" t="s">
        <v>78</v>
      </c>
      <c r="DW80" s="168" t="s">
        <v>79</v>
      </c>
      <c r="DX80" s="168">
        <v>226</v>
      </c>
      <c r="DY80" s="168">
        <v>241</v>
      </c>
      <c r="DZ80" s="168">
        <v>222</v>
      </c>
    </row>
    <row r="81" spans="20:70" s="169" customFormat="1" ht="13.8">
      <c r="T81" s="170">
        <v>4576742.25</v>
      </c>
      <c r="BD81" s="171"/>
    </row>
    <row r="82" spans="20:70" s="169" customFormat="1" ht="13.8">
      <c r="T82" s="170">
        <f>+T78-T81</f>
        <v>-2700</v>
      </c>
      <c r="BC82" s="170"/>
    </row>
    <row r="85" spans="20:70">
      <c r="BR85" s="284"/>
    </row>
    <row r="86" spans="20:70">
      <c r="BR86" s="284"/>
    </row>
    <row r="87" spans="20:70">
      <c r="BR87" s="284"/>
    </row>
    <row r="88" spans="20:70">
      <c r="BR88" s="284"/>
    </row>
  </sheetData>
  <mergeCells count="1">
    <mergeCell ref="BU1:BZ1"/>
  </mergeCells>
  <pageMargins left="0.7" right="0.7" top="0.75" bottom="0.75" header="0.3" footer="0.3"/>
  <pageSetup paperSize="9" scale="85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4AEFC-B98C-4AFC-AE16-E888588E713C}">
  <dimension ref="A1:EA81"/>
  <sheetViews>
    <sheetView topLeftCell="A42" workbookViewId="0">
      <selection activeCell="T59" sqref="T59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55" width="9.88671875" style="274" bestFit="1" customWidth="1"/>
    <col min="56" max="56" width="15.44140625" style="274" bestFit="1" customWidth="1"/>
    <col min="57" max="57" width="9.109375" style="274"/>
    <col min="58" max="59" width="11.33203125" style="274" bestFit="1" customWidth="1"/>
    <col min="60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3">
        <v>0.7</v>
      </c>
      <c r="BV1" s="2"/>
      <c r="BW1" s="2"/>
      <c r="BX1" s="2"/>
      <c r="BY1" s="2"/>
      <c r="BZ1" s="1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41.4">
      <c r="A5" s="76">
        <v>44224</v>
      </c>
      <c r="B5" s="34" t="s">
        <v>759</v>
      </c>
      <c r="C5" s="286" t="s">
        <v>861</v>
      </c>
      <c r="D5" s="36">
        <v>0.65416666666666667</v>
      </c>
      <c r="E5" s="36">
        <v>0.6645833333333333</v>
      </c>
      <c r="F5" s="39" t="s">
        <v>0</v>
      </c>
      <c r="G5" s="34">
        <v>1</v>
      </c>
      <c r="H5" s="39">
        <v>706</v>
      </c>
      <c r="I5" s="51" t="str">
        <f>VLOOKUP(H5,'[2]Chart of accounts'!A:H,2,FALSE)</f>
        <v>50101020 00</v>
      </c>
      <c r="J5" s="39"/>
      <c r="K5" s="39"/>
      <c r="L5" s="34"/>
      <c r="M5" s="34"/>
      <c r="N5" s="34"/>
      <c r="O5" s="53" t="s">
        <v>4</v>
      </c>
      <c r="P5" s="40" t="s">
        <v>862</v>
      </c>
      <c r="Q5" s="78" t="s">
        <v>2</v>
      </c>
      <c r="R5" s="42" t="s">
        <v>863</v>
      </c>
      <c r="S5" s="42" t="s">
        <v>864</v>
      </c>
      <c r="T5" s="44">
        <v>43681</v>
      </c>
      <c r="U5" s="52"/>
      <c r="V5" s="44">
        <v>43681</v>
      </c>
      <c r="W5" s="44">
        <f t="shared" ref="W5:W40" si="0">+T5-V5</f>
        <v>0</v>
      </c>
      <c r="X5" s="45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4">
        <v>43681</v>
      </c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129"/>
      <c r="BU5" s="47"/>
      <c r="BV5" s="44"/>
      <c r="BW5" s="44">
        <v>43681</v>
      </c>
      <c r="BX5" s="44"/>
      <c r="BY5" s="44"/>
      <c r="BZ5" s="44"/>
      <c r="CA5" s="44"/>
      <c r="CB5" s="43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32" customFormat="1" ht="41.4">
      <c r="A6" s="76">
        <v>44224</v>
      </c>
      <c r="B6" s="34" t="s">
        <v>759</v>
      </c>
      <c r="C6" s="286" t="s">
        <v>861</v>
      </c>
      <c r="D6" s="36">
        <v>0.65416666666666667</v>
      </c>
      <c r="E6" s="36">
        <v>0.6645833333333333</v>
      </c>
      <c r="F6" s="39" t="s">
        <v>0</v>
      </c>
      <c r="G6" s="34">
        <v>1</v>
      </c>
      <c r="H6" s="39">
        <v>711</v>
      </c>
      <c r="I6" s="51" t="str">
        <f>VLOOKUP(H6,'[2]Chart of accounts'!A:H,2,FALSE)</f>
        <v>50102010 01</v>
      </c>
      <c r="J6" s="39"/>
      <c r="K6" s="39"/>
      <c r="L6" s="34"/>
      <c r="M6" s="34"/>
      <c r="N6" s="34"/>
      <c r="O6" s="53" t="s">
        <v>4</v>
      </c>
      <c r="P6" s="40" t="s">
        <v>862</v>
      </c>
      <c r="Q6" s="78" t="s">
        <v>2</v>
      </c>
      <c r="R6" s="42" t="s">
        <v>863</v>
      </c>
      <c r="S6" s="42" t="s">
        <v>864</v>
      </c>
      <c r="T6" s="44">
        <v>2000</v>
      </c>
      <c r="U6" s="52"/>
      <c r="V6" s="44">
        <v>2000</v>
      </c>
      <c r="W6" s="44">
        <f t="shared" si="0"/>
        <v>0</v>
      </c>
      <c r="X6" s="45"/>
      <c r="Y6" s="46"/>
      <c r="Z6" s="47"/>
      <c r="AA6" s="47"/>
      <c r="AB6" s="47"/>
      <c r="AC6" s="47"/>
      <c r="AD6" s="47"/>
      <c r="AE6" s="44"/>
      <c r="AF6" s="44"/>
      <c r="AG6" s="44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4"/>
      <c r="AZ6" s="44"/>
      <c r="BA6" s="44"/>
      <c r="BB6" s="44"/>
      <c r="BC6" s="44"/>
      <c r="BE6" s="44">
        <v>2000</v>
      </c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9"/>
      <c r="BQ6" s="44"/>
      <c r="BR6" s="44"/>
      <c r="BS6" s="44"/>
      <c r="BT6" s="129"/>
      <c r="BU6" s="47"/>
      <c r="BV6" s="44"/>
      <c r="BW6" s="44">
        <v>2000</v>
      </c>
      <c r="BX6" s="44"/>
      <c r="BY6" s="44"/>
      <c r="BZ6" s="44"/>
      <c r="CA6" s="44"/>
      <c r="CB6" s="43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7"/>
      <c r="DY6" s="47"/>
      <c r="DZ6" s="47"/>
    </row>
    <row r="7" spans="1:131" s="32" customFormat="1" ht="41.4">
      <c r="A7" s="76">
        <v>44224</v>
      </c>
      <c r="B7" s="34" t="s">
        <v>759</v>
      </c>
      <c r="C7" s="286" t="s">
        <v>861</v>
      </c>
      <c r="D7" s="36">
        <v>0.65416666666666667</v>
      </c>
      <c r="E7" s="36">
        <v>0.6645833333333333</v>
      </c>
      <c r="F7" s="39" t="s">
        <v>0</v>
      </c>
      <c r="G7" s="34">
        <v>1</v>
      </c>
      <c r="H7" s="39">
        <v>731</v>
      </c>
      <c r="I7" s="51" t="str">
        <f>VLOOKUP(H7,'[2]Chart of accounts'!A:H,2,FALSE)</f>
        <v>50103010 00</v>
      </c>
      <c r="J7" s="39"/>
      <c r="K7" s="39"/>
      <c r="L7" s="34"/>
      <c r="M7" s="34"/>
      <c r="N7" s="34"/>
      <c r="O7" s="53" t="s">
        <v>4</v>
      </c>
      <c r="P7" s="40" t="s">
        <v>862</v>
      </c>
      <c r="Q7" s="78" t="s">
        <v>2</v>
      </c>
      <c r="R7" s="42" t="s">
        <v>863</v>
      </c>
      <c r="S7" s="42" t="s">
        <v>864</v>
      </c>
      <c r="T7" s="44">
        <v>5241.72</v>
      </c>
      <c r="U7" s="52"/>
      <c r="V7" s="44">
        <v>5241.72</v>
      </c>
      <c r="W7" s="44">
        <f t="shared" si="0"/>
        <v>0</v>
      </c>
      <c r="X7" s="45"/>
      <c r="Y7" s="46"/>
      <c r="Z7" s="47"/>
      <c r="AA7" s="47"/>
      <c r="AB7" s="47"/>
      <c r="AC7" s="47"/>
      <c r="AD7" s="47"/>
      <c r="AE7" s="44"/>
      <c r="AF7" s="44"/>
      <c r="AG7" s="44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4"/>
      <c r="AZ7" s="44"/>
      <c r="BA7" s="44"/>
      <c r="BB7" s="44"/>
      <c r="BC7" s="44"/>
      <c r="BD7" s="48"/>
      <c r="BE7" s="44"/>
      <c r="BF7" s="44"/>
      <c r="BG7" s="44"/>
      <c r="BH7" s="44"/>
      <c r="BI7" s="44"/>
      <c r="BJ7" s="44"/>
      <c r="BK7" s="44"/>
      <c r="BL7" s="44"/>
      <c r="BM7" s="44">
        <v>5241.72</v>
      </c>
      <c r="BN7" s="44"/>
      <c r="BO7" s="44"/>
      <c r="BP7" s="49"/>
      <c r="BQ7" s="44"/>
      <c r="BR7" s="44"/>
      <c r="BS7" s="44"/>
      <c r="BT7" s="129"/>
      <c r="BU7" s="47"/>
      <c r="BV7" s="44"/>
      <c r="BW7" s="44">
        <v>5241.72</v>
      </c>
      <c r="BX7" s="44"/>
      <c r="BY7" s="44"/>
      <c r="BZ7" s="44"/>
      <c r="CA7" s="44"/>
      <c r="CB7" s="43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7"/>
      <c r="DY7" s="47"/>
      <c r="DZ7" s="47"/>
    </row>
    <row r="8" spans="1:131" s="32" customFormat="1" ht="41.4">
      <c r="A8" s="76">
        <v>44224</v>
      </c>
      <c r="B8" s="34" t="s">
        <v>759</v>
      </c>
      <c r="C8" s="286" t="s">
        <v>861</v>
      </c>
      <c r="D8" s="36">
        <v>0.65416666666666667</v>
      </c>
      <c r="E8" s="36">
        <v>0.6645833333333333</v>
      </c>
      <c r="F8" s="39" t="s">
        <v>0</v>
      </c>
      <c r="G8" s="34">
        <v>1</v>
      </c>
      <c r="H8" s="39">
        <v>732</v>
      </c>
      <c r="I8" s="51" t="str">
        <f>VLOOKUP(H8,'[2]Chart of accounts'!A:H,2,FALSE)</f>
        <v>50103020 01</v>
      </c>
      <c r="J8" s="39"/>
      <c r="K8" s="39"/>
      <c r="L8" s="34"/>
      <c r="M8" s="34"/>
      <c r="N8" s="34"/>
      <c r="O8" s="53" t="s">
        <v>4</v>
      </c>
      <c r="P8" s="40" t="s">
        <v>862</v>
      </c>
      <c r="Q8" s="78" t="s">
        <v>2</v>
      </c>
      <c r="R8" s="42" t="s">
        <v>863</v>
      </c>
      <c r="S8" s="42" t="s">
        <v>864</v>
      </c>
      <c r="T8" s="44">
        <v>100</v>
      </c>
      <c r="U8" s="52"/>
      <c r="V8" s="44">
        <v>100</v>
      </c>
      <c r="W8" s="44">
        <f t="shared" si="0"/>
        <v>0</v>
      </c>
      <c r="X8" s="45"/>
      <c r="Y8" s="46"/>
      <c r="Z8" s="47"/>
      <c r="AA8" s="47"/>
      <c r="AB8" s="47"/>
      <c r="AC8" s="47"/>
      <c r="AD8" s="47"/>
      <c r="AE8" s="44"/>
      <c r="AF8" s="44"/>
      <c r="AG8" s="44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4"/>
      <c r="AZ8" s="44"/>
      <c r="BA8" s="44"/>
      <c r="BB8" s="44"/>
      <c r="BC8" s="44"/>
      <c r="BD8" s="48"/>
      <c r="BE8" s="44"/>
      <c r="BF8" s="44"/>
      <c r="BG8" s="44"/>
      <c r="BH8" s="44"/>
      <c r="BI8" s="44"/>
      <c r="BJ8" s="44"/>
      <c r="BK8" s="44"/>
      <c r="BL8" s="44"/>
      <c r="BN8" s="44">
        <v>100</v>
      </c>
      <c r="BO8" s="44"/>
      <c r="BP8" s="49"/>
      <c r="BQ8" s="44"/>
      <c r="BR8" s="44"/>
      <c r="BS8" s="44"/>
      <c r="BT8" s="129"/>
      <c r="BU8" s="47"/>
      <c r="BV8" s="44"/>
      <c r="BW8" s="44">
        <v>100</v>
      </c>
      <c r="BX8" s="44"/>
      <c r="BY8" s="44"/>
      <c r="BZ8" s="44"/>
      <c r="CA8" s="44"/>
      <c r="CB8" s="43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7"/>
      <c r="DY8" s="47"/>
      <c r="DZ8" s="47"/>
    </row>
    <row r="9" spans="1:131" s="32" customFormat="1" ht="41.4">
      <c r="A9" s="76">
        <v>44224</v>
      </c>
      <c r="B9" s="34" t="s">
        <v>759</v>
      </c>
      <c r="C9" s="286" t="s">
        <v>861</v>
      </c>
      <c r="D9" s="36">
        <v>0.65416666666666667</v>
      </c>
      <c r="E9" s="36">
        <v>0.6645833333333333</v>
      </c>
      <c r="F9" s="39" t="s">
        <v>0</v>
      </c>
      <c r="G9" s="34">
        <v>1</v>
      </c>
      <c r="H9" s="39">
        <v>733</v>
      </c>
      <c r="I9" s="51" t="str">
        <f>VLOOKUP(H9,'[2]Chart of accounts'!A:H,2,FALSE)</f>
        <v>50103030 01</v>
      </c>
      <c r="J9" s="39"/>
      <c r="K9" s="39"/>
      <c r="L9" s="34"/>
      <c r="M9" s="34"/>
      <c r="N9" s="34"/>
      <c r="O9" s="53" t="s">
        <v>4</v>
      </c>
      <c r="P9" s="40" t="s">
        <v>862</v>
      </c>
      <c r="Q9" s="78" t="s">
        <v>2</v>
      </c>
      <c r="R9" s="42" t="s">
        <v>863</v>
      </c>
      <c r="S9" s="42" t="s">
        <v>864</v>
      </c>
      <c r="T9" s="44">
        <v>655.22</v>
      </c>
      <c r="U9" s="52"/>
      <c r="V9" s="44">
        <v>655.22</v>
      </c>
      <c r="W9" s="44">
        <f t="shared" si="0"/>
        <v>0</v>
      </c>
      <c r="X9" s="45"/>
      <c r="Y9" s="46"/>
      <c r="Z9" s="47"/>
      <c r="AA9" s="47"/>
      <c r="AB9" s="47"/>
      <c r="AC9" s="47"/>
      <c r="AD9" s="47"/>
      <c r="AE9" s="44"/>
      <c r="AF9" s="44"/>
      <c r="AG9" s="44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4"/>
      <c r="AZ9" s="44"/>
      <c r="BA9" s="44"/>
      <c r="BB9" s="44"/>
      <c r="BC9" s="44"/>
      <c r="BD9" s="48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>
        <v>655.22</v>
      </c>
      <c r="BP9" s="49"/>
      <c r="BQ9" s="44"/>
      <c r="BR9" s="44"/>
      <c r="BS9" s="44"/>
      <c r="BT9" s="129"/>
      <c r="BU9" s="47"/>
      <c r="BV9" s="44"/>
      <c r="BW9" s="44">
        <v>655.22</v>
      </c>
      <c r="BX9" s="44"/>
      <c r="BY9" s="44"/>
      <c r="BZ9" s="44"/>
      <c r="CA9" s="44"/>
      <c r="CB9" s="43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7"/>
      <c r="DY9" s="47"/>
      <c r="DZ9" s="47"/>
    </row>
    <row r="10" spans="1:131" s="32" customFormat="1" ht="41.4">
      <c r="A10" s="76">
        <v>44224</v>
      </c>
      <c r="B10" s="34" t="s">
        <v>759</v>
      </c>
      <c r="C10" s="286" t="s">
        <v>861</v>
      </c>
      <c r="D10" s="36">
        <v>0.65416666666666667</v>
      </c>
      <c r="E10" s="36">
        <v>0.6645833333333333</v>
      </c>
      <c r="F10" s="39" t="s">
        <v>0</v>
      </c>
      <c r="G10" s="34">
        <v>1</v>
      </c>
      <c r="H10" s="39">
        <v>734</v>
      </c>
      <c r="I10" s="51" t="str">
        <f>VLOOKUP(H10,'[2]Chart of accounts'!A:H,2,FALSE)</f>
        <v>50103040 01</v>
      </c>
      <c r="J10" s="39"/>
      <c r="K10" s="39"/>
      <c r="L10" s="34"/>
      <c r="M10" s="34"/>
      <c r="N10" s="34"/>
      <c r="O10" s="53" t="s">
        <v>4</v>
      </c>
      <c r="P10" s="40" t="s">
        <v>862</v>
      </c>
      <c r="Q10" s="78" t="s">
        <v>2</v>
      </c>
      <c r="R10" s="42" t="s">
        <v>863</v>
      </c>
      <c r="S10" s="42" t="s">
        <v>864</v>
      </c>
      <c r="T10" s="44">
        <v>100</v>
      </c>
      <c r="U10" s="52"/>
      <c r="V10" s="44">
        <v>100</v>
      </c>
      <c r="W10" s="44">
        <f t="shared" si="0"/>
        <v>0</v>
      </c>
      <c r="X10" s="45"/>
      <c r="Y10" s="46"/>
      <c r="Z10" s="47"/>
      <c r="AA10" s="47"/>
      <c r="AB10" s="47"/>
      <c r="AC10" s="47"/>
      <c r="AD10" s="47"/>
      <c r="AE10" s="44"/>
      <c r="AF10" s="44"/>
      <c r="AG10" s="44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4"/>
      <c r="AZ10" s="44"/>
      <c r="BA10" s="44"/>
      <c r="BB10" s="44"/>
      <c r="BC10" s="44"/>
      <c r="BD10" s="48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P10" s="44">
        <v>100</v>
      </c>
      <c r="BQ10" s="44"/>
      <c r="BR10" s="44"/>
      <c r="BS10" s="44"/>
      <c r="BT10" s="129"/>
      <c r="BU10" s="47"/>
      <c r="BV10" s="44"/>
      <c r="BW10" s="44">
        <v>100</v>
      </c>
      <c r="BX10" s="44"/>
      <c r="BY10" s="44"/>
      <c r="BZ10" s="44"/>
      <c r="CA10" s="44"/>
      <c r="CB10" s="43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7"/>
      <c r="DY10" s="47"/>
      <c r="DZ10" s="47"/>
    </row>
    <row r="11" spans="1:131" s="32" customFormat="1" ht="41.4">
      <c r="A11" s="76">
        <v>44224</v>
      </c>
      <c r="B11" s="34" t="s">
        <v>759</v>
      </c>
      <c r="C11" s="286" t="s">
        <v>865</v>
      </c>
      <c r="D11" s="36">
        <v>0.6645833333333333</v>
      </c>
      <c r="E11" s="36">
        <v>0.66666666666666663</v>
      </c>
      <c r="F11" s="39" t="s">
        <v>0</v>
      </c>
      <c r="G11" s="34">
        <v>1</v>
      </c>
      <c r="H11" s="39">
        <v>706</v>
      </c>
      <c r="I11" s="51" t="str">
        <f>VLOOKUP(H11,'[2]Chart of accounts'!A:H,2,FALSE)</f>
        <v>50101020 00</v>
      </c>
      <c r="J11" s="39"/>
      <c r="K11" s="39"/>
      <c r="L11" s="34"/>
      <c r="M11" s="34"/>
      <c r="N11" s="34"/>
      <c r="O11" s="53" t="s">
        <v>4</v>
      </c>
      <c r="P11" s="40" t="s">
        <v>862</v>
      </c>
      <c r="Q11" s="41" t="s">
        <v>788</v>
      </c>
      <c r="R11" s="42" t="s">
        <v>789</v>
      </c>
      <c r="S11" s="42" t="s">
        <v>864</v>
      </c>
      <c r="T11" s="44">
        <v>77256</v>
      </c>
      <c r="U11" s="52"/>
      <c r="V11" s="44">
        <v>77256</v>
      </c>
      <c r="W11" s="44">
        <f t="shared" si="0"/>
        <v>0</v>
      </c>
      <c r="X11" s="45"/>
      <c r="Y11" s="46"/>
      <c r="Z11" s="47"/>
      <c r="AA11" s="47"/>
      <c r="AB11" s="47"/>
      <c r="AC11" s="47"/>
      <c r="AD11" s="47"/>
      <c r="AE11" s="44"/>
      <c r="AF11" s="44"/>
      <c r="AG11" s="44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4"/>
      <c r="AZ11" s="44"/>
      <c r="BA11" s="44"/>
      <c r="BB11" s="44"/>
      <c r="BC11" s="44"/>
      <c r="BD11" s="44">
        <v>77256</v>
      </c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9"/>
      <c r="BQ11" s="44"/>
      <c r="BR11" s="44"/>
      <c r="BS11" s="44"/>
      <c r="BT11" s="129"/>
      <c r="BU11" s="47"/>
      <c r="BV11" s="44"/>
      <c r="BW11" s="44">
        <v>77256</v>
      </c>
      <c r="BX11" s="44"/>
      <c r="BY11" s="44"/>
      <c r="BZ11" s="44"/>
      <c r="CA11" s="44"/>
      <c r="CB11" s="43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47"/>
      <c r="DY11" s="47"/>
      <c r="DZ11" s="47"/>
    </row>
    <row r="12" spans="1:131" s="32" customFormat="1" ht="41.4">
      <c r="A12" s="76">
        <v>44224</v>
      </c>
      <c r="B12" s="34" t="s">
        <v>759</v>
      </c>
      <c r="C12" s="286" t="s">
        <v>865</v>
      </c>
      <c r="D12" s="36">
        <v>0.6645833333333333</v>
      </c>
      <c r="E12" s="36">
        <v>0.66666666666666663</v>
      </c>
      <c r="F12" s="39" t="s">
        <v>0</v>
      </c>
      <c r="G12" s="34">
        <v>1</v>
      </c>
      <c r="H12" s="39">
        <v>711</v>
      </c>
      <c r="I12" s="51" t="str">
        <f>VLOOKUP(H12,'[2]Chart of accounts'!A:H,2,FALSE)</f>
        <v>50102010 01</v>
      </c>
      <c r="J12" s="39"/>
      <c r="K12" s="39"/>
      <c r="L12" s="34"/>
      <c r="M12" s="34"/>
      <c r="N12" s="34"/>
      <c r="O12" s="53" t="s">
        <v>4</v>
      </c>
      <c r="P12" s="40" t="s">
        <v>862</v>
      </c>
      <c r="Q12" s="41" t="s">
        <v>788</v>
      </c>
      <c r="R12" s="42" t="s">
        <v>789</v>
      </c>
      <c r="S12" s="42" t="s">
        <v>864</v>
      </c>
      <c r="T12" s="44">
        <v>4000</v>
      </c>
      <c r="U12" s="52"/>
      <c r="V12" s="44">
        <v>4000</v>
      </c>
      <c r="W12" s="44">
        <f t="shared" si="0"/>
        <v>0</v>
      </c>
      <c r="X12" s="45"/>
      <c r="Y12" s="46"/>
      <c r="Z12" s="47"/>
      <c r="AA12" s="47"/>
      <c r="AB12" s="47"/>
      <c r="AC12" s="47"/>
      <c r="AD12" s="47"/>
      <c r="AE12" s="44"/>
      <c r="AF12" s="44"/>
      <c r="AG12" s="44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4"/>
      <c r="AZ12" s="44"/>
      <c r="BA12" s="44"/>
      <c r="BB12" s="44"/>
      <c r="BC12" s="44"/>
      <c r="BE12" s="44">
        <v>4000</v>
      </c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9"/>
      <c r="BQ12" s="44"/>
      <c r="BR12" s="44"/>
      <c r="BS12" s="44"/>
      <c r="BT12" s="129"/>
      <c r="BU12" s="47"/>
      <c r="BV12" s="44"/>
      <c r="BW12" s="44">
        <v>4000</v>
      </c>
      <c r="BX12" s="44"/>
      <c r="BY12" s="44"/>
      <c r="BZ12" s="44"/>
      <c r="CA12" s="44"/>
      <c r="CB12" s="43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47"/>
      <c r="DY12" s="47"/>
      <c r="DZ12" s="47"/>
    </row>
    <row r="13" spans="1:131" s="32" customFormat="1" ht="41.4">
      <c r="A13" s="76">
        <v>44224</v>
      </c>
      <c r="B13" s="34" t="s">
        <v>759</v>
      </c>
      <c r="C13" s="286" t="s">
        <v>865</v>
      </c>
      <c r="D13" s="36">
        <v>0.6645833333333333</v>
      </c>
      <c r="E13" s="36">
        <v>0.66666666666666663</v>
      </c>
      <c r="F13" s="39" t="s">
        <v>0</v>
      </c>
      <c r="G13" s="34">
        <v>1</v>
      </c>
      <c r="H13" s="39">
        <v>731</v>
      </c>
      <c r="I13" s="51" t="str">
        <f>VLOOKUP(H13,'[2]Chart of accounts'!A:H,2,FALSE)</f>
        <v>50103010 00</v>
      </c>
      <c r="J13" s="39"/>
      <c r="K13" s="39"/>
      <c r="L13" s="34"/>
      <c r="M13" s="34"/>
      <c r="N13" s="34"/>
      <c r="O13" s="53" t="s">
        <v>4</v>
      </c>
      <c r="P13" s="40" t="s">
        <v>862</v>
      </c>
      <c r="Q13" s="41" t="s">
        <v>788</v>
      </c>
      <c r="R13" s="42" t="s">
        <v>789</v>
      </c>
      <c r="S13" s="42" t="s">
        <v>864</v>
      </c>
      <c r="T13" s="44">
        <v>9270.7199999999993</v>
      </c>
      <c r="U13" s="52"/>
      <c r="V13" s="44">
        <v>9270.7199999999993</v>
      </c>
      <c r="W13" s="44">
        <f t="shared" si="0"/>
        <v>0</v>
      </c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44">
        <v>9270.7199999999993</v>
      </c>
      <c r="BN13" s="44"/>
      <c r="BO13" s="44"/>
      <c r="BP13" s="49"/>
      <c r="BQ13" s="44"/>
      <c r="BR13" s="44"/>
      <c r="BS13" s="44"/>
      <c r="BT13" s="129"/>
      <c r="BU13" s="47"/>
      <c r="BV13" s="44"/>
      <c r="BW13" s="44">
        <v>9270.7199999999993</v>
      </c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</row>
    <row r="14" spans="1:131" s="32" customFormat="1" ht="41.4">
      <c r="A14" s="76">
        <v>44224</v>
      </c>
      <c r="B14" s="34" t="s">
        <v>759</v>
      </c>
      <c r="C14" s="286" t="s">
        <v>865</v>
      </c>
      <c r="D14" s="36">
        <v>0.6645833333333333</v>
      </c>
      <c r="E14" s="36">
        <v>0.66666666666666663</v>
      </c>
      <c r="F14" s="39" t="s">
        <v>0</v>
      </c>
      <c r="G14" s="34">
        <v>1</v>
      </c>
      <c r="H14" s="39">
        <v>732</v>
      </c>
      <c r="I14" s="51" t="str">
        <f>VLOOKUP(H14,'[2]Chart of accounts'!A:H,2,FALSE)</f>
        <v>50103020 01</v>
      </c>
      <c r="J14" s="39"/>
      <c r="K14" s="39"/>
      <c r="L14" s="34"/>
      <c r="M14" s="34"/>
      <c r="N14" s="34"/>
      <c r="O14" s="53" t="s">
        <v>4</v>
      </c>
      <c r="P14" s="40" t="s">
        <v>862</v>
      </c>
      <c r="Q14" s="41" t="s">
        <v>788</v>
      </c>
      <c r="R14" s="42" t="s">
        <v>789</v>
      </c>
      <c r="S14" s="42" t="s">
        <v>864</v>
      </c>
      <c r="T14" s="44">
        <v>200</v>
      </c>
      <c r="U14" s="52"/>
      <c r="V14" s="44">
        <v>200</v>
      </c>
      <c r="W14" s="44">
        <f t="shared" si="0"/>
        <v>0</v>
      </c>
      <c r="X14" s="45"/>
      <c r="Y14" s="46"/>
      <c r="Z14" s="47"/>
      <c r="AA14" s="47"/>
      <c r="AB14" s="47"/>
      <c r="AC14" s="47"/>
      <c r="AD14" s="47"/>
      <c r="AE14" s="44"/>
      <c r="AF14" s="44"/>
      <c r="AG14" s="44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4"/>
      <c r="AZ14" s="44"/>
      <c r="BA14" s="44"/>
      <c r="BB14" s="44"/>
      <c r="BC14" s="44"/>
      <c r="BD14" s="48"/>
      <c r="BE14" s="44"/>
      <c r="BF14" s="44"/>
      <c r="BG14" s="44"/>
      <c r="BH14" s="44"/>
      <c r="BI14" s="44"/>
      <c r="BJ14" s="44"/>
      <c r="BK14" s="44"/>
      <c r="BL14" s="44"/>
      <c r="BN14" s="44">
        <v>200</v>
      </c>
      <c r="BO14" s="44"/>
      <c r="BP14" s="49"/>
      <c r="BQ14" s="44"/>
      <c r="BR14" s="44"/>
      <c r="BS14" s="44"/>
      <c r="BT14" s="129"/>
      <c r="BU14" s="47"/>
      <c r="BV14" s="44"/>
      <c r="BW14" s="44">
        <v>200</v>
      </c>
      <c r="BX14" s="44"/>
      <c r="BY14" s="44"/>
      <c r="BZ14" s="44"/>
      <c r="CA14" s="44"/>
      <c r="CB14" s="43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47"/>
      <c r="DY14" s="47"/>
      <c r="DZ14" s="47"/>
    </row>
    <row r="15" spans="1:131" s="32" customFormat="1" ht="41.4">
      <c r="A15" s="76">
        <v>44224</v>
      </c>
      <c r="B15" s="34" t="s">
        <v>759</v>
      </c>
      <c r="C15" s="286" t="s">
        <v>865</v>
      </c>
      <c r="D15" s="36">
        <v>0.6645833333333333</v>
      </c>
      <c r="E15" s="36">
        <v>0.66666666666666663</v>
      </c>
      <c r="F15" s="39" t="s">
        <v>0</v>
      </c>
      <c r="G15" s="34">
        <v>1</v>
      </c>
      <c r="H15" s="39">
        <v>733</v>
      </c>
      <c r="I15" s="51" t="str">
        <f>VLOOKUP(H15,'[2]Chart of accounts'!A:H,2,FALSE)</f>
        <v>50103030 01</v>
      </c>
      <c r="J15" s="39"/>
      <c r="K15" s="39"/>
      <c r="L15" s="34"/>
      <c r="M15" s="34"/>
      <c r="N15" s="34"/>
      <c r="O15" s="53" t="s">
        <v>4</v>
      </c>
      <c r="P15" s="40" t="s">
        <v>862</v>
      </c>
      <c r="Q15" s="41" t="s">
        <v>788</v>
      </c>
      <c r="R15" s="42" t="s">
        <v>789</v>
      </c>
      <c r="S15" s="42" t="s">
        <v>864</v>
      </c>
      <c r="T15" s="44">
        <v>1158.8499999999999</v>
      </c>
      <c r="U15" s="52"/>
      <c r="V15" s="44">
        <v>1158.8499999999999</v>
      </c>
      <c r="W15" s="44">
        <f t="shared" si="0"/>
        <v>0</v>
      </c>
      <c r="X15" s="45"/>
      <c r="Y15" s="46"/>
      <c r="Z15" s="47"/>
      <c r="AA15" s="47"/>
      <c r="AB15" s="47"/>
      <c r="AC15" s="47"/>
      <c r="AD15" s="47"/>
      <c r="AE15" s="44"/>
      <c r="AF15" s="44"/>
      <c r="AG15" s="44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4"/>
      <c r="AZ15" s="44"/>
      <c r="BA15" s="44"/>
      <c r="BB15" s="44"/>
      <c r="BC15" s="44"/>
      <c r="BD15" s="48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>
        <v>1158.8499999999999</v>
      </c>
      <c r="BP15" s="49"/>
      <c r="BQ15" s="44"/>
      <c r="BR15" s="44"/>
      <c r="BS15" s="44"/>
      <c r="BT15" s="129"/>
      <c r="BU15" s="47"/>
      <c r="BV15" s="44"/>
      <c r="BW15" s="44">
        <v>1158.8499999999999</v>
      </c>
      <c r="BX15" s="44"/>
      <c r="BY15" s="44"/>
      <c r="BZ15" s="44"/>
      <c r="CA15" s="44"/>
      <c r="CB15" s="43"/>
      <c r="CC15" s="44"/>
      <c r="CD15" s="44"/>
      <c r="CE15" s="44"/>
      <c r="CF15" s="44"/>
      <c r="CG15" s="44"/>
      <c r="CH15" s="44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47"/>
      <c r="DY15" s="47"/>
      <c r="DZ15" s="47"/>
    </row>
    <row r="16" spans="1:131" s="32" customFormat="1" ht="41.4">
      <c r="A16" s="76">
        <v>44224</v>
      </c>
      <c r="B16" s="34" t="s">
        <v>759</v>
      </c>
      <c r="C16" s="286" t="s">
        <v>865</v>
      </c>
      <c r="D16" s="36">
        <v>0.6645833333333333</v>
      </c>
      <c r="E16" s="36">
        <v>0.66666666666666663</v>
      </c>
      <c r="F16" s="39" t="s">
        <v>0</v>
      </c>
      <c r="G16" s="34">
        <v>1</v>
      </c>
      <c r="H16" s="39">
        <v>734</v>
      </c>
      <c r="I16" s="51" t="str">
        <f>VLOOKUP(H16,'[2]Chart of accounts'!A:H,2,FALSE)</f>
        <v>50103040 01</v>
      </c>
      <c r="J16" s="39"/>
      <c r="K16" s="39"/>
      <c r="L16" s="34"/>
      <c r="M16" s="34"/>
      <c r="N16" s="34"/>
      <c r="O16" s="53" t="s">
        <v>4</v>
      </c>
      <c r="P16" s="40" t="s">
        <v>862</v>
      </c>
      <c r="Q16" s="41" t="s">
        <v>788</v>
      </c>
      <c r="R16" s="42" t="s">
        <v>789</v>
      </c>
      <c r="S16" s="42" t="s">
        <v>864</v>
      </c>
      <c r="T16" s="44">
        <v>200</v>
      </c>
      <c r="U16" s="52"/>
      <c r="V16" s="44">
        <v>200</v>
      </c>
      <c r="W16" s="44">
        <f t="shared" si="0"/>
        <v>0</v>
      </c>
      <c r="X16" s="45"/>
      <c r="Y16" s="46"/>
      <c r="Z16" s="47"/>
      <c r="AA16" s="47"/>
      <c r="AB16" s="47"/>
      <c r="AC16" s="47"/>
      <c r="AD16" s="47"/>
      <c r="AE16" s="44"/>
      <c r="AF16" s="44"/>
      <c r="AG16" s="44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4"/>
      <c r="AZ16" s="44"/>
      <c r="BA16" s="44"/>
      <c r="BB16" s="44"/>
      <c r="BC16" s="44"/>
      <c r="BD16" s="48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P16" s="44">
        <v>200</v>
      </c>
      <c r="BQ16" s="44"/>
      <c r="BR16" s="44"/>
      <c r="BS16" s="44"/>
      <c r="BT16" s="129"/>
      <c r="BU16" s="47"/>
      <c r="BV16" s="44"/>
      <c r="BW16" s="44">
        <v>200</v>
      </c>
      <c r="BX16" s="44"/>
      <c r="BY16" s="44"/>
      <c r="BZ16" s="44"/>
      <c r="CA16" s="44"/>
      <c r="CB16" s="43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47"/>
      <c r="DY16" s="47"/>
      <c r="DZ16" s="47"/>
    </row>
    <row r="17" spans="1:130" s="32" customFormat="1" ht="41.4">
      <c r="A17" s="76">
        <v>44224</v>
      </c>
      <c r="B17" s="34" t="s">
        <v>759</v>
      </c>
      <c r="C17" s="286" t="s">
        <v>866</v>
      </c>
      <c r="D17" s="36">
        <v>0.66666666666666663</v>
      </c>
      <c r="E17" s="36">
        <v>0.6694444444444444</v>
      </c>
      <c r="F17" s="39" t="s">
        <v>0</v>
      </c>
      <c r="G17" s="34">
        <v>1</v>
      </c>
      <c r="H17" s="39">
        <v>706</v>
      </c>
      <c r="I17" s="51" t="str">
        <f>VLOOKUP(H17,'[2]Chart of accounts'!A:H,2,FALSE)</f>
        <v>50101020 00</v>
      </c>
      <c r="J17" s="39"/>
      <c r="K17" s="39"/>
      <c r="L17" s="34"/>
      <c r="M17" s="34"/>
      <c r="N17" s="34"/>
      <c r="O17" s="53" t="s">
        <v>4</v>
      </c>
      <c r="P17" s="40" t="s">
        <v>862</v>
      </c>
      <c r="Q17" s="41" t="s">
        <v>776</v>
      </c>
      <c r="R17" s="42" t="s">
        <v>867</v>
      </c>
      <c r="S17" s="42" t="s">
        <v>864</v>
      </c>
      <c r="T17" s="44">
        <v>33575</v>
      </c>
      <c r="U17" s="52"/>
      <c r="V17" s="44">
        <v>33575</v>
      </c>
      <c r="W17" s="44">
        <f t="shared" si="0"/>
        <v>0</v>
      </c>
      <c r="X17" s="45"/>
      <c r="Y17" s="46"/>
      <c r="Z17" s="47"/>
      <c r="AA17" s="47"/>
      <c r="AB17" s="47"/>
      <c r="AC17" s="47"/>
      <c r="AD17" s="47"/>
      <c r="AE17" s="44"/>
      <c r="AF17" s="44"/>
      <c r="AG17" s="44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4"/>
      <c r="AZ17" s="44"/>
      <c r="BA17" s="44"/>
      <c r="BB17" s="44"/>
      <c r="BC17" s="44"/>
      <c r="BD17" s="44">
        <v>33575</v>
      </c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9"/>
      <c r="BQ17" s="44"/>
      <c r="BR17" s="44"/>
      <c r="BS17" s="44"/>
      <c r="BT17" s="129"/>
      <c r="BU17" s="47"/>
      <c r="BV17" s="44"/>
      <c r="BW17" s="44">
        <v>33575</v>
      </c>
      <c r="BX17" s="44"/>
      <c r="BY17" s="44"/>
      <c r="BZ17" s="44"/>
      <c r="CA17" s="44"/>
      <c r="CB17" s="43"/>
      <c r="CC17" s="44"/>
      <c r="CD17" s="44"/>
      <c r="CE17" s="44"/>
      <c r="CF17" s="44"/>
      <c r="CG17" s="44"/>
      <c r="CH17" s="44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47"/>
      <c r="DY17" s="47"/>
      <c r="DZ17" s="47"/>
    </row>
    <row r="18" spans="1:130" s="32" customFormat="1" ht="41.4">
      <c r="A18" s="76">
        <v>44224</v>
      </c>
      <c r="B18" s="34" t="s">
        <v>759</v>
      </c>
      <c r="C18" s="286" t="s">
        <v>866</v>
      </c>
      <c r="D18" s="36">
        <v>0.66666666666666663</v>
      </c>
      <c r="E18" s="36">
        <v>0.6694444444444444</v>
      </c>
      <c r="F18" s="39" t="s">
        <v>0</v>
      </c>
      <c r="G18" s="34">
        <v>1</v>
      </c>
      <c r="H18" s="39">
        <v>711</v>
      </c>
      <c r="I18" s="51" t="str">
        <f>VLOOKUP(H18,'[2]Chart of accounts'!A:H,2,FALSE)</f>
        <v>50102010 01</v>
      </c>
      <c r="J18" s="39"/>
      <c r="K18" s="39"/>
      <c r="L18" s="34"/>
      <c r="M18" s="34"/>
      <c r="N18" s="34"/>
      <c r="O18" s="53" t="s">
        <v>4</v>
      </c>
      <c r="P18" s="40" t="s">
        <v>862</v>
      </c>
      <c r="Q18" s="41" t="s">
        <v>776</v>
      </c>
      <c r="R18" s="42" t="s">
        <v>867</v>
      </c>
      <c r="S18" s="42" t="s">
        <v>864</v>
      </c>
      <c r="T18" s="44">
        <v>2000</v>
      </c>
      <c r="U18" s="52"/>
      <c r="V18" s="44">
        <v>2000</v>
      </c>
      <c r="W18" s="44">
        <f t="shared" si="0"/>
        <v>0</v>
      </c>
      <c r="X18" s="45"/>
      <c r="Y18" s="46"/>
      <c r="Z18" s="47"/>
      <c r="AA18" s="47"/>
      <c r="AB18" s="47"/>
      <c r="AC18" s="47"/>
      <c r="AD18" s="47"/>
      <c r="AE18" s="44"/>
      <c r="AF18" s="44"/>
      <c r="AG18" s="44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4"/>
      <c r="AZ18" s="44"/>
      <c r="BA18" s="44"/>
      <c r="BB18" s="44"/>
      <c r="BC18" s="44"/>
      <c r="BE18" s="44">
        <v>2000</v>
      </c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9"/>
      <c r="BQ18" s="44"/>
      <c r="BR18" s="44"/>
      <c r="BS18" s="44"/>
      <c r="BT18" s="129"/>
      <c r="BU18" s="47"/>
      <c r="BV18" s="44"/>
      <c r="BW18" s="44">
        <v>2000</v>
      </c>
      <c r="BX18" s="44"/>
      <c r="BY18" s="44"/>
      <c r="BZ18" s="44"/>
      <c r="CA18" s="44"/>
      <c r="CB18" s="43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7"/>
      <c r="DY18" s="47"/>
      <c r="DZ18" s="47"/>
    </row>
    <row r="19" spans="1:130" s="32" customFormat="1" ht="41.4">
      <c r="A19" s="76">
        <v>44224</v>
      </c>
      <c r="B19" s="34" t="s">
        <v>759</v>
      </c>
      <c r="C19" s="286" t="s">
        <v>866</v>
      </c>
      <c r="D19" s="36">
        <v>0.66666666666666663</v>
      </c>
      <c r="E19" s="36">
        <v>0.6694444444444444</v>
      </c>
      <c r="F19" s="39" t="s">
        <v>0</v>
      </c>
      <c r="G19" s="34">
        <v>1</v>
      </c>
      <c r="H19" s="39">
        <v>731</v>
      </c>
      <c r="I19" s="51" t="str">
        <f>VLOOKUP(H19,'[2]Chart of accounts'!A:H,2,FALSE)</f>
        <v>50103010 00</v>
      </c>
      <c r="J19" s="39"/>
      <c r="K19" s="39"/>
      <c r="L19" s="34"/>
      <c r="M19" s="34"/>
      <c r="N19" s="34"/>
      <c r="O19" s="53" t="s">
        <v>4</v>
      </c>
      <c r="P19" s="40" t="s">
        <v>862</v>
      </c>
      <c r="Q19" s="41" t="s">
        <v>776</v>
      </c>
      <c r="R19" s="42" t="s">
        <v>867</v>
      </c>
      <c r="S19" s="42" t="s">
        <v>864</v>
      </c>
      <c r="T19" s="44">
        <v>4029</v>
      </c>
      <c r="U19" s="52"/>
      <c r="V19" s="44">
        <v>4029</v>
      </c>
      <c r="W19" s="44">
        <f t="shared" si="0"/>
        <v>0</v>
      </c>
      <c r="X19" s="45"/>
      <c r="Y19" s="46"/>
      <c r="Z19" s="47"/>
      <c r="AA19" s="47"/>
      <c r="AB19" s="47"/>
      <c r="AC19" s="47"/>
      <c r="AD19" s="47"/>
      <c r="AE19" s="44"/>
      <c r="AF19" s="44"/>
      <c r="AG19" s="44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4"/>
      <c r="AZ19" s="44"/>
      <c r="BA19" s="44"/>
      <c r="BB19" s="44"/>
      <c r="BC19" s="44"/>
      <c r="BF19" s="44"/>
      <c r="BG19" s="44"/>
      <c r="BH19" s="44"/>
      <c r="BI19" s="44"/>
      <c r="BJ19" s="44"/>
      <c r="BK19" s="44"/>
      <c r="BL19" s="44"/>
      <c r="BM19" s="44">
        <v>4029</v>
      </c>
      <c r="BN19" s="44"/>
      <c r="BO19" s="44"/>
      <c r="BP19" s="49"/>
      <c r="BQ19" s="44"/>
      <c r="BR19" s="44"/>
      <c r="BS19" s="44"/>
      <c r="BT19" s="129"/>
      <c r="BU19" s="47"/>
      <c r="BV19" s="44"/>
      <c r="BW19" s="44">
        <v>4029</v>
      </c>
      <c r="BX19" s="44"/>
      <c r="BY19" s="44"/>
      <c r="BZ19" s="44"/>
      <c r="CA19" s="44"/>
      <c r="CB19" s="43"/>
      <c r="CC19" s="44"/>
      <c r="CD19" s="44"/>
      <c r="CE19" s="44"/>
      <c r="CF19" s="44"/>
      <c r="CG19" s="44"/>
      <c r="CH19" s="44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7"/>
      <c r="DY19" s="47"/>
      <c r="DZ19" s="47"/>
    </row>
    <row r="20" spans="1:130" s="32" customFormat="1" ht="41.4">
      <c r="A20" s="76">
        <v>44224</v>
      </c>
      <c r="B20" s="34" t="s">
        <v>759</v>
      </c>
      <c r="C20" s="286" t="s">
        <v>866</v>
      </c>
      <c r="D20" s="36">
        <v>0.66666666666666663</v>
      </c>
      <c r="E20" s="36">
        <v>0.6694444444444444</v>
      </c>
      <c r="F20" s="39" t="s">
        <v>0</v>
      </c>
      <c r="G20" s="34">
        <v>1</v>
      </c>
      <c r="H20" s="39">
        <v>732</v>
      </c>
      <c r="I20" s="51" t="str">
        <f>VLOOKUP(H20,'[2]Chart of accounts'!A:H,2,FALSE)</f>
        <v>50103020 01</v>
      </c>
      <c r="J20" s="39"/>
      <c r="K20" s="39"/>
      <c r="L20" s="34"/>
      <c r="M20" s="34"/>
      <c r="N20" s="34"/>
      <c r="O20" s="53" t="s">
        <v>4</v>
      </c>
      <c r="P20" s="40" t="s">
        <v>862</v>
      </c>
      <c r="Q20" s="41" t="s">
        <v>776</v>
      </c>
      <c r="R20" s="42" t="s">
        <v>867</v>
      </c>
      <c r="S20" s="42" t="s">
        <v>864</v>
      </c>
      <c r="T20" s="44">
        <v>100</v>
      </c>
      <c r="U20" s="52"/>
      <c r="V20" s="44">
        <v>100</v>
      </c>
      <c r="W20" s="44">
        <f t="shared" si="0"/>
        <v>0</v>
      </c>
      <c r="X20" s="45"/>
      <c r="Y20" s="46"/>
      <c r="Z20" s="47"/>
      <c r="AA20" s="47"/>
      <c r="AB20" s="47"/>
      <c r="AC20" s="47"/>
      <c r="AD20" s="47"/>
      <c r="AE20" s="44"/>
      <c r="AF20" s="44"/>
      <c r="AG20" s="44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4"/>
      <c r="AZ20" s="44"/>
      <c r="BA20" s="44"/>
      <c r="BB20" s="44"/>
      <c r="BC20" s="44"/>
      <c r="BF20" s="44"/>
      <c r="BG20" s="44"/>
      <c r="BH20" s="44"/>
      <c r="BI20" s="44"/>
      <c r="BJ20" s="44"/>
      <c r="BK20" s="44"/>
      <c r="BL20" s="44"/>
      <c r="BN20" s="44">
        <v>100</v>
      </c>
      <c r="BO20" s="44"/>
      <c r="BP20" s="49"/>
      <c r="BQ20" s="44"/>
      <c r="BR20" s="44"/>
      <c r="BS20" s="44"/>
      <c r="BT20" s="129"/>
      <c r="BU20" s="47"/>
      <c r="BV20" s="44"/>
      <c r="BW20" s="44">
        <v>100</v>
      </c>
      <c r="BX20" s="44"/>
      <c r="BY20" s="44"/>
      <c r="BZ20" s="44"/>
      <c r="CA20" s="44"/>
      <c r="CB20" s="43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44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44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/>
      <c r="DV20" s="44"/>
      <c r="DW20" s="44"/>
      <c r="DX20" s="47"/>
      <c r="DY20" s="47"/>
      <c r="DZ20" s="47"/>
    </row>
    <row r="21" spans="1:130" s="32" customFormat="1" ht="41.4">
      <c r="A21" s="76">
        <v>44224</v>
      </c>
      <c r="B21" s="34" t="s">
        <v>759</v>
      </c>
      <c r="C21" s="286" t="s">
        <v>866</v>
      </c>
      <c r="D21" s="36">
        <v>0.66666666666666663</v>
      </c>
      <c r="E21" s="36">
        <v>0.6694444444444444</v>
      </c>
      <c r="F21" s="39" t="s">
        <v>0</v>
      </c>
      <c r="G21" s="34">
        <v>1</v>
      </c>
      <c r="H21" s="39">
        <v>733</v>
      </c>
      <c r="I21" s="51" t="str">
        <f>VLOOKUP(H21,'[2]Chart of accounts'!A:H,2,FALSE)</f>
        <v>50103030 01</v>
      </c>
      <c r="J21" s="39"/>
      <c r="K21" s="39"/>
      <c r="L21" s="34"/>
      <c r="M21" s="34"/>
      <c r="N21" s="34"/>
      <c r="O21" s="53" t="s">
        <v>4</v>
      </c>
      <c r="P21" s="40" t="s">
        <v>862</v>
      </c>
      <c r="Q21" s="41" t="s">
        <v>776</v>
      </c>
      <c r="R21" s="42" t="s">
        <v>867</v>
      </c>
      <c r="S21" s="42" t="s">
        <v>864</v>
      </c>
      <c r="T21" s="44">
        <v>503.63</v>
      </c>
      <c r="U21" s="52"/>
      <c r="V21" s="44">
        <v>503.63</v>
      </c>
      <c r="W21" s="44">
        <f t="shared" si="0"/>
        <v>0</v>
      </c>
      <c r="X21" s="45"/>
      <c r="Y21" s="46"/>
      <c r="Z21" s="47"/>
      <c r="AA21" s="47"/>
      <c r="AB21" s="47"/>
      <c r="AC21" s="47"/>
      <c r="AD21" s="47"/>
      <c r="AE21" s="44"/>
      <c r="AF21" s="44"/>
      <c r="AG21" s="44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4"/>
      <c r="AZ21" s="44"/>
      <c r="BA21" s="44"/>
      <c r="BB21" s="44"/>
      <c r="BC21" s="44"/>
      <c r="BF21" s="44"/>
      <c r="BG21" s="44"/>
      <c r="BH21" s="44"/>
      <c r="BI21" s="44"/>
      <c r="BJ21" s="44"/>
      <c r="BK21" s="44"/>
      <c r="BL21" s="44"/>
      <c r="BO21" s="44">
        <v>503.63</v>
      </c>
      <c r="BP21" s="49"/>
      <c r="BQ21" s="44"/>
      <c r="BR21" s="44"/>
      <c r="BS21" s="44"/>
      <c r="BT21" s="129"/>
      <c r="BU21" s="47"/>
      <c r="BV21" s="44"/>
      <c r="BW21" s="44">
        <v>503.63</v>
      </c>
      <c r="BX21" s="44"/>
      <c r="BY21" s="44"/>
      <c r="BZ21" s="44"/>
      <c r="CA21" s="44"/>
      <c r="CB21" s="43"/>
      <c r="CC21" s="44"/>
      <c r="CD21" s="44"/>
      <c r="CE21" s="44"/>
      <c r="CF21" s="44"/>
      <c r="CG21" s="44"/>
      <c r="CH21" s="44"/>
      <c r="CI21" s="44"/>
      <c r="CJ21" s="44"/>
      <c r="CK21" s="44"/>
      <c r="CL21" s="44"/>
      <c r="CM21" s="44"/>
      <c r="CN21" s="44"/>
      <c r="CO21" s="44"/>
      <c r="CP21" s="44"/>
      <c r="CQ21" s="44"/>
      <c r="CR21" s="44"/>
      <c r="CS21" s="44"/>
      <c r="CT21" s="44"/>
      <c r="CU21" s="44"/>
      <c r="CV21" s="44"/>
      <c r="CW21" s="44"/>
      <c r="CX21" s="44"/>
      <c r="CY21" s="44"/>
      <c r="CZ21" s="44"/>
      <c r="DA21" s="44"/>
      <c r="DB21" s="44"/>
      <c r="DC21" s="44"/>
      <c r="DD21" s="44"/>
      <c r="DE21" s="44"/>
      <c r="DF21" s="44"/>
      <c r="DG21" s="44"/>
      <c r="DH21" s="44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7"/>
      <c r="DY21" s="47"/>
      <c r="DZ21" s="47"/>
    </row>
    <row r="22" spans="1:130" s="32" customFormat="1" ht="41.4">
      <c r="A22" s="76">
        <v>44224</v>
      </c>
      <c r="B22" s="34" t="s">
        <v>759</v>
      </c>
      <c r="C22" s="286" t="s">
        <v>866</v>
      </c>
      <c r="D22" s="36">
        <v>0.66666666666666663</v>
      </c>
      <c r="E22" s="36">
        <v>0.6694444444444444</v>
      </c>
      <c r="F22" s="39" t="s">
        <v>0</v>
      </c>
      <c r="G22" s="34">
        <v>1</v>
      </c>
      <c r="H22" s="39">
        <v>734</v>
      </c>
      <c r="I22" s="51" t="str">
        <f>VLOOKUP(H22,'[2]Chart of accounts'!A:H,2,FALSE)</f>
        <v>50103040 01</v>
      </c>
      <c r="J22" s="39"/>
      <c r="K22" s="39"/>
      <c r="L22" s="34"/>
      <c r="M22" s="34"/>
      <c r="N22" s="34"/>
      <c r="O22" s="53" t="s">
        <v>4</v>
      </c>
      <c r="P22" s="40" t="s">
        <v>862</v>
      </c>
      <c r="Q22" s="41" t="s">
        <v>776</v>
      </c>
      <c r="R22" s="42" t="s">
        <v>867</v>
      </c>
      <c r="S22" s="42" t="s">
        <v>864</v>
      </c>
      <c r="T22" s="44">
        <v>100</v>
      </c>
      <c r="U22" s="52"/>
      <c r="V22" s="44">
        <v>100</v>
      </c>
      <c r="W22" s="44">
        <f t="shared" si="0"/>
        <v>0</v>
      </c>
      <c r="X22" s="45"/>
      <c r="Y22" s="46"/>
      <c r="Z22" s="47"/>
      <c r="AA22" s="47"/>
      <c r="AB22" s="47"/>
      <c r="AC22" s="47"/>
      <c r="AD22" s="47"/>
      <c r="AE22" s="44"/>
      <c r="AF22" s="44"/>
      <c r="AG22" s="44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4"/>
      <c r="AZ22" s="44"/>
      <c r="BA22" s="44"/>
      <c r="BB22" s="44"/>
      <c r="BC22" s="44"/>
      <c r="BF22" s="44"/>
      <c r="BG22" s="44"/>
      <c r="BH22" s="44"/>
      <c r="BI22" s="44"/>
      <c r="BJ22" s="44"/>
      <c r="BK22" s="44"/>
      <c r="BL22" s="44"/>
      <c r="BP22" s="44">
        <v>100</v>
      </c>
      <c r="BQ22" s="44"/>
      <c r="BR22" s="44"/>
      <c r="BS22" s="44"/>
      <c r="BT22" s="129"/>
      <c r="BU22" s="47"/>
      <c r="BV22" s="44"/>
      <c r="BW22" s="44">
        <v>100</v>
      </c>
      <c r="BX22" s="44"/>
      <c r="BY22" s="44"/>
      <c r="BZ22" s="44"/>
      <c r="CA22" s="44"/>
      <c r="CB22" s="43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7"/>
      <c r="DY22" s="47"/>
      <c r="DZ22" s="47"/>
    </row>
    <row r="23" spans="1:130" s="32" customFormat="1" ht="41.4">
      <c r="A23" s="76">
        <v>44224</v>
      </c>
      <c r="B23" s="34" t="s">
        <v>759</v>
      </c>
      <c r="C23" s="286" t="s">
        <v>868</v>
      </c>
      <c r="D23" s="36">
        <v>0.6694444444444444</v>
      </c>
      <c r="E23" s="36">
        <v>0.67152777777777783</v>
      </c>
      <c r="F23" s="39" t="s">
        <v>0</v>
      </c>
      <c r="G23" s="34">
        <v>1</v>
      </c>
      <c r="H23" s="39">
        <v>706</v>
      </c>
      <c r="I23" s="51" t="str">
        <f>VLOOKUP(H23,'[2]Chart of accounts'!A:H,2,FALSE)</f>
        <v>50101020 00</v>
      </c>
      <c r="J23" s="39"/>
      <c r="K23" s="39"/>
      <c r="L23" s="34"/>
      <c r="M23" s="34"/>
      <c r="N23" s="34"/>
      <c r="O23" s="53" t="s">
        <v>4</v>
      </c>
      <c r="P23" s="40" t="s">
        <v>862</v>
      </c>
      <c r="Q23" s="41" t="s">
        <v>769</v>
      </c>
      <c r="R23" s="42" t="s">
        <v>869</v>
      </c>
      <c r="S23" s="42" t="s">
        <v>864</v>
      </c>
      <c r="T23" s="44">
        <v>33575</v>
      </c>
      <c r="U23" s="52"/>
      <c r="V23" s="44">
        <v>33575</v>
      </c>
      <c r="W23" s="44">
        <f t="shared" si="0"/>
        <v>0</v>
      </c>
      <c r="X23" s="45"/>
      <c r="Y23" s="46"/>
      <c r="Z23" s="47"/>
      <c r="AA23" s="47"/>
      <c r="AB23" s="47"/>
      <c r="AC23" s="47"/>
      <c r="AD23" s="47"/>
      <c r="AE23" s="44"/>
      <c r="AF23" s="44"/>
      <c r="AG23" s="44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4"/>
      <c r="AZ23" s="44"/>
      <c r="BA23" s="44"/>
      <c r="BB23" s="44"/>
      <c r="BC23" s="44"/>
      <c r="BD23" s="44">
        <v>33575</v>
      </c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9"/>
      <c r="BQ23" s="44"/>
      <c r="BR23" s="44"/>
      <c r="BS23" s="44"/>
      <c r="BT23" s="129"/>
      <c r="BU23" s="47"/>
      <c r="BV23" s="44"/>
      <c r="BW23" s="44">
        <v>33575</v>
      </c>
      <c r="BX23" s="44"/>
      <c r="BY23" s="44"/>
      <c r="BZ23" s="44"/>
      <c r="CA23" s="44"/>
      <c r="CB23" s="43"/>
      <c r="CC23" s="44"/>
      <c r="CD23" s="44"/>
      <c r="CE23" s="44"/>
      <c r="CF23" s="44"/>
      <c r="CG23" s="44"/>
      <c r="CH23" s="44"/>
      <c r="CI23" s="44"/>
      <c r="CJ23" s="44"/>
      <c r="CK23" s="44"/>
      <c r="CL23" s="44"/>
      <c r="CM23" s="44"/>
      <c r="CN23" s="44"/>
      <c r="CO23" s="44"/>
      <c r="CP23" s="44"/>
      <c r="CQ23" s="44"/>
      <c r="CR23" s="44"/>
      <c r="CS23" s="44"/>
      <c r="CT23" s="44"/>
      <c r="CU23" s="44"/>
      <c r="CV23" s="44"/>
      <c r="CW23" s="44"/>
      <c r="CX23" s="44"/>
      <c r="CY23" s="44"/>
      <c r="CZ23" s="44"/>
      <c r="DA23" s="44"/>
      <c r="DB23" s="44"/>
      <c r="DC23" s="44"/>
      <c r="DD23" s="44"/>
      <c r="DE23" s="44"/>
      <c r="DF23" s="44"/>
      <c r="DG23" s="4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7"/>
      <c r="DY23" s="47"/>
      <c r="DZ23" s="47"/>
    </row>
    <row r="24" spans="1:130" s="32" customFormat="1" ht="41.4">
      <c r="A24" s="76">
        <v>44224</v>
      </c>
      <c r="B24" s="34" t="s">
        <v>759</v>
      </c>
      <c r="C24" s="286" t="s">
        <v>868</v>
      </c>
      <c r="D24" s="36">
        <v>0.6694444444444444</v>
      </c>
      <c r="E24" s="36">
        <v>0.67152777777777783</v>
      </c>
      <c r="F24" s="39" t="s">
        <v>0</v>
      </c>
      <c r="G24" s="34">
        <v>1</v>
      </c>
      <c r="H24" s="39">
        <v>711</v>
      </c>
      <c r="I24" s="51" t="str">
        <f>VLOOKUP(H24,'[2]Chart of accounts'!A:H,2,FALSE)</f>
        <v>50102010 01</v>
      </c>
      <c r="J24" s="39"/>
      <c r="K24" s="39"/>
      <c r="L24" s="34"/>
      <c r="M24" s="34"/>
      <c r="N24" s="34"/>
      <c r="O24" s="53" t="s">
        <v>4</v>
      </c>
      <c r="P24" s="40" t="s">
        <v>862</v>
      </c>
      <c r="Q24" s="41" t="s">
        <v>769</v>
      </c>
      <c r="R24" s="42" t="s">
        <v>869</v>
      </c>
      <c r="S24" s="42" t="s">
        <v>864</v>
      </c>
      <c r="T24" s="44">
        <v>2000</v>
      </c>
      <c r="U24" s="52"/>
      <c r="V24" s="44">
        <v>2000</v>
      </c>
      <c r="W24" s="44">
        <f t="shared" si="0"/>
        <v>0</v>
      </c>
      <c r="X24" s="45"/>
      <c r="Y24" s="46"/>
      <c r="Z24" s="47"/>
      <c r="AA24" s="47"/>
      <c r="AB24" s="47"/>
      <c r="AC24" s="47"/>
      <c r="AD24" s="47"/>
      <c r="AE24" s="44"/>
      <c r="AF24" s="44"/>
      <c r="AG24" s="44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4"/>
      <c r="AZ24" s="44"/>
      <c r="BA24" s="44"/>
      <c r="BB24" s="44"/>
      <c r="BC24" s="44"/>
      <c r="BE24" s="44">
        <v>2000</v>
      </c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9"/>
      <c r="BQ24" s="44"/>
      <c r="BR24" s="44"/>
      <c r="BS24" s="44"/>
      <c r="BT24" s="129"/>
      <c r="BU24" s="47"/>
      <c r="BV24" s="44"/>
      <c r="BW24" s="44">
        <v>2000</v>
      </c>
      <c r="BX24" s="44"/>
      <c r="BY24" s="44"/>
      <c r="BZ24" s="44"/>
      <c r="CA24" s="44"/>
      <c r="CB24" s="43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44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44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7"/>
      <c r="DY24" s="47"/>
      <c r="DZ24" s="47"/>
    </row>
    <row r="25" spans="1:130" s="32" customFormat="1" ht="41.4">
      <c r="A25" s="76">
        <v>44224</v>
      </c>
      <c r="B25" s="34" t="s">
        <v>759</v>
      </c>
      <c r="C25" s="286" t="s">
        <v>868</v>
      </c>
      <c r="D25" s="36">
        <v>0.6694444444444444</v>
      </c>
      <c r="E25" s="36">
        <v>0.67152777777777783</v>
      </c>
      <c r="F25" s="39" t="s">
        <v>0</v>
      </c>
      <c r="G25" s="34">
        <v>1</v>
      </c>
      <c r="H25" s="39">
        <v>731</v>
      </c>
      <c r="I25" s="51" t="str">
        <f>VLOOKUP(H25,'[2]Chart of accounts'!A:H,2,FALSE)</f>
        <v>50103010 00</v>
      </c>
      <c r="J25" s="39"/>
      <c r="K25" s="39"/>
      <c r="L25" s="34"/>
      <c r="M25" s="34"/>
      <c r="N25" s="34"/>
      <c r="O25" s="53" t="s">
        <v>4</v>
      </c>
      <c r="P25" s="40" t="s">
        <v>862</v>
      </c>
      <c r="Q25" s="41" t="s">
        <v>769</v>
      </c>
      <c r="R25" s="42" t="s">
        <v>869</v>
      </c>
      <c r="S25" s="42" t="s">
        <v>864</v>
      </c>
      <c r="T25" s="44">
        <v>4029</v>
      </c>
      <c r="U25" s="52"/>
      <c r="V25" s="44">
        <v>4029</v>
      </c>
      <c r="W25" s="44">
        <f t="shared" si="0"/>
        <v>0</v>
      </c>
      <c r="X25" s="45"/>
      <c r="Y25" s="46"/>
      <c r="Z25" s="47"/>
      <c r="AA25" s="47"/>
      <c r="AB25" s="47"/>
      <c r="AC25" s="47"/>
      <c r="AD25" s="47"/>
      <c r="AE25" s="44"/>
      <c r="AF25" s="44"/>
      <c r="AG25" s="44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4"/>
      <c r="AZ25" s="44"/>
      <c r="BA25" s="44"/>
      <c r="BB25" s="44"/>
      <c r="BC25" s="44"/>
      <c r="BF25" s="44"/>
      <c r="BG25" s="44"/>
      <c r="BH25" s="44"/>
      <c r="BI25" s="44"/>
      <c r="BJ25" s="44"/>
      <c r="BK25" s="44"/>
      <c r="BL25" s="44"/>
      <c r="BM25" s="44">
        <v>4029</v>
      </c>
      <c r="BN25" s="44"/>
      <c r="BO25" s="44"/>
      <c r="BP25" s="49"/>
      <c r="BQ25" s="44"/>
      <c r="BR25" s="44"/>
      <c r="BS25" s="44"/>
      <c r="BT25" s="129"/>
      <c r="BU25" s="47"/>
      <c r="BV25" s="44"/>
      <c r="BW25" s="44">
        <v>4029</v>
      </c>
      <c r="BX25" s="44"/>
      <c r="BY25" s="44"/>
      <c r="BZ25" s="44"/>
      <c r="CA25" s="44"/>
      <c r="CB25" s="43"/>
      <c r="CC25" s="44"/>
      <c r="CD25" s="44"/>
      <c r="CE25" s="44"/>
      <c r="CF25" s="44"/>
      <c r="CG25" s="44"/>
      <c r="CH25" s="44"/>
      <c r="CI25" s="44"/>
      <c r="CJ25" s="44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4"/>
      <c r="DC25" s="44"/>
      <c r="DD25" s="44"/>
      <c r="DE25" s="44"/>
      <c r="DF25" s="44"/>
      <c r="DG25" s="44"/>
      <c r="DH25" s="44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/>
      <c r="DX25" s="47"/>
      <c r="DY25" s="47"/>
      <c r="DZ25" s="47"/>
    </row>
    <row r="26" spans="1:130" s="32" customFormat="1" ht="41.4">
      <c r="A26" s="76">
        <v>44224</v>
      </c>
      <c r="B26" s="34" t="s">
        <v>759</v>
      </c>
      <c r="C26" s="286" t="s">
        <v>868</v>
      </c>
      <c r="D26" s="36">
        <v>0.6694444444444444</v>
      </c>
      <c r="E26" s="36">
        <v>0.67152777777777783</v>
      </c>
      <c r="F26" s="39" t="s">
        <v>0</v>
      </c>
      <c r="G26" s="34">
        <v>1</v>
      </c>
      <c r="H26" s="39">
        <v>732</v>
      </c>
      <c r="I26" s="51" t="str">
        <f>VLOOKUP(H26,'[2]Chart of accounts'!A:H,2,FALSE)</f>
        <v>50103020 01</v>
      </c>
      <c r="J26" s="39"/>
      <c r="K26" s="39"/>
      <c r="L26" s="34"/>
      <c r="M26" s="34"/>
      <c r="N26" s="34"/>
      <c r="O26" s="53" t="s">
        <v>4</v>
      </c>
      <c r="P26" s="40" t="s">
        <v>862</v>
      </c>
      <c r="Q26" s="41" t="s">
        <v>769</v>
      </c>
      <c r="R26" s="42" t="s">
        <v>869</v>
      </c>
      <c r="S26" s="42" t="s">
        <v>864</v>
      </c>
      <c r="T26" s="44">
        <v>100</v>
      </c>
      <c r="U26" s="52"/>
      <c r="V26" s="44">
        <v>100</v>
      </c>
      <c r="W26" s="44">
        <f t="shared" si="0"/>
        <v>0</v>
      </c>
      <c r="X26" s="45"/>
      <c r="Y26" s="46"/>
      <c r="Z26" s="47"/>
      <c r="AA26" s="47"/>
      <c r="AB26" s="47"/>
      <c r="AC26" s="47"/>
      <c r="AD26" s="47"/>
      <c r="AE26" s="44"/>
      <c r="AF26" s="44"/>
      <c r="AG26" s="44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4"/>
      <c r="AZ26" s="44"/>
      <c r="BA26" s="44"/>
      <c r="BB26" s="44"/>
      <c r="BC26" s="44"/>
      <c r="BF26" s="44"/>
      <c r="BG26" s="44"/>
      <c r="BH26" s="44"/>
      <c r="BI26" s="44"/>
      <c r="BJ26" s="44"/>
      <c r="BK26" s="44"/>
      <c r="BL26" s="44"/>
      <c r="BN26" s="44">
        <v>100</v>
      </c>
      <c r="BO26" s="44"/>
      <c r="BP26" s="49"/>
      <c r="BQ26" s="44"/>
      <c r="BR26" s="44"/>
      <c r="BS26" s="44"/>
      <c r="BT26" s="129"/>
      <c r="BU26" s="47"/>
      <c r="BV26" s="44"/>
      <c r="BW26" s="44">
        <v>100</v>
      </c>
      <c r="BX26" s="44"/>
      <c r="BY26" s="44"/>
      <c r="BZ26" s="44"/>
      <c r="CA26" s="44"/>
      <c r="CB26" s="43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44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44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7"/>
      <c r="DY26" s="47"/>
      <c r="DZ26" s="47"/>
    </row>
    <row r="27" spans="1:130" s="32" customFormat="1" ht="41.4">
      <c r="A27" s="76">
        <v>44224</v>
      </c>
      <c r="B27" s="34" t="s">
        <v>759</v>
      </c>
      <c r="C27" s="286" t="s">
        <v>868</v>
      </c>
      <c r="D27" s="36">
        <v>0.6694444444444444</v>
      </c>
      <c r="E27" s="36">
        <v>0.67152777777777783</v>
      </c>
      <c r="F27" s="39" t="s">
        <v>0</v>
      </c>
      <c r="G27" s="34">
        <v>1</v>
      </c>
      <c r="H27" s="39">
        <v>733</v>
      </c>
      <c r="I27" s="51" t="str">
        <f>VLOOKUP(H27,'[2]Chart of accounts'!A:H,2,FALSE)</f>
        <v>50103030 01</v>
      </c>
      <c r="J27" s="39"/>
      <c r="K27" s="39"/>
      <c r="L27" s="34"/>
      <c r="M27" s="34"/>
      <c r="N27" s="34"/>
      <c r="O27" s="53" t="s">
        <v>4</v>
      </c>
      <c r="P27" s="40" t="s">
        <v>862</v>
      </c>
      <c r="Q27" s="41" t="s">
        <v>769</v>
      </c>
      <c r="R27" s="42" t="s">
        <v>869</v>
      </c>
      <c r="S27" s="42" t="s">
        <v>864</v>
      </c>
      <c r="T27" s="44">
        <v>503.63</v>
      </c>
      <c r="U27" s="52"/>
      <c r="V27" s="44">
        <v>503.63</v>
      </c>
      <c r="W27" s="44">
        <f t="shared" si="0"/>
        <v>0</v>
      </c>
      <c r="X27" s="45"/>
      <c r="Y27" s="46"/>
      <c r="Z27" s="47"/>
      <c r="AA27" s="47"/>
      <c r="AB27" s="47"/>
      <c r="AC27" s="47"/>
      <c r="AD27" s="47"/>
      <c r="AE27" s="44"/>
      <c r="AF27" s="44"/>
      <c r="AG27" s="44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4"/>
      <c r="AZ27" s="44"/>
      <c r="BA27" s="44"/>
      <c r="BB27" s="44"/>
      <c r="BC27" s="44"/>
      <c r="BF27" s="44"/>
      <c r="BG27" s="44"/>
      <c r="BH27" s="44"/>
      <c r="BI27" s="44"/>
      <c r="BJ27" s="44"/>
      <c r="BK27" s="44"/>
      <c r="BL27" s="44"/>
      <c r="BO27" s="44">
        <v>503.63</v>
      </c>
      <c r="BP27" s="49"/>
      <c r="BQ27" s="44"/>
      <c r="BR27" s="44"/>
      <c r="BS27" s="44"/>
      <c r="BT27" s="129"/>
      <c r="BU27" s="47"/>
      <c r="BV27" s="44"/>
      <c r="BW27" s="44">
        <v>503.63</v>
      </c>
      <c r="BX27" s="44"/>
      <c r="BY27" s="44"/>
      <c r="BZ27" s="44"/>
      <c r="CA27" s="44"/>
      <c r="CB27" s="43"/>
      <c r="CC27" s="44"/>
      <c r="CD27" s="44"/>
      <c r="CE27" s="44"/>
      <c r="CF27" s="44"/>
      <c r="CG27" s="44"/>
      <c r="CH27" s="44"/>
      <c r="CI27" s="44"/>
      <c r="CJ27" s="44"/>
      <c r="CK27" s="44"/>
      <c r="CL27" s="44"/>
      <c r="CM27" s="44"/>
      <c r="CN27" s="44"/>
      <c r="CO27" s="44"/>
      <c r="CP27" s="44"/>
      <c r="CQ27" s="44"/>
      <c r="CR27" s="44"/>
      <c r="CS27" s="44"/>
      <c r="CT27" s="44"/>
      <c r="CU27" s="44"/>
      <c r="CV27" s="44"/>
      <c r="CW27" s="44"/>
      <c r="CX27" s="44"/>
      <c r="CY27" s="44"/>
      <c r="CZ27" s="44"/>
      <c r="DA27" s="44"/>
      <c r="DB27" s="44"/>
      <c r="DC27" s="44"/>
      <c r="DD27" s="44"/>
      <c r="DE27" s="44"/>
      <c r="DF27" s="44"/>
      <c r="DG27" s="44"/>
      <c r="DH27" s="44"/>
      <c r="DI27" s="44"/>
      <c r="DJ27" s="44"/>
      <c r="DK27" s="44"/>
      <c r="DL27" s="44"/>
      <c r="DM27" s="44"/>
      <c r="DN27" s="44"/>
      <c r="DO27" s="44"/>
      <c r="DP27" s="44"/>
      <c r="DQ27" s="44"/>
      <c r="DR27" s="44"/>
      <c r="DS27" s="44"/>
      <c r="DT27" s="44"/>
      <c r="DU27" s="44"/>
      <c r="DV27" s="44"/>
      <c r="DW27" s="44"/>
      <c r="DX27" s="47"/>
      <c r="DY27" s="47"/>
      <c r="DZ27" s="47"/>
    </row>
    <row r="28" spans="1:130" s="32" customFormat="1" ht="41.4">
      <c r="A28" s="76">
        <v>44224</v>
      </c>
      <c r="B28" s="34" t="s">
        <v>759</v>
      </c>
      <c r="C28" s="286" t="s">
        <v>868</v>
      </c>
      <c r="D28" s="36">
        <v>0.6694444444444444</v>
      </c>
      <c r="E28" s="36">
        <v>0.67152777777777783</v>
      </c>
      <c r="F28" s="39" t="s">
        <v>0</v>
      </c>
      <c r="G28" s="34">
        <v>1</v>
      </c>
      <c r="H28" s="39">
        <v>734</v>
      </c>
      <c r="I28" s="51" t="str">
        <f>VLOOKUP(H28,'[2]Chart of accounts'!A:H,2,FALSE)</f>
        <v>50103040 01</v>
      </c>
      <c r="J28" s="39"/>
      <c r="K28" s="39"/>
      <c r="L28" s="34"/>
      <c r="M28" s="34"/>
      <c r="N28" s="34"/>
      <c r="O28" s="53" t="s">
        <v>4</v>
      </c>
      <c r="P28" s="40" t="s">
        <v>862</v>
      </c>
      <c r="Q28" s="41" t="s">
        <v>769</v>
      </c>
      <c r="R28" s="42" t="s">
        <v>869</v>
      </c>
      <c r="S28" s="42" t="s">
        <v>864</v>
      </c>
      <c r="T28" s="44">
        <v>100</v>
      </c>
      <c r="U28" s="52"/>
      <c r="V28" s="44">
        <v>100</v>
      </c>
      <c r="W28" s="44">
        <f t="shared" si="0"/>
        <v>0</v>
      </c>
      <c r="X28" s="45"/>
      <c r="Y28" s="46"/>
      <c r="Z28" s="47"/>
      <c r="AA28" s="47"/>
      <c r="AB28" s="47"/>
      <c r="AC28" s="47"/>
      <c r="AD28" s="47"/>
      <c r="AE28" s="44"/>
      <c r="AF28" s="44"/>
      <c r="AG28" s="44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4"/>
      <c r="AZ28" s="44"/>
      <c r="BA28" s="44"/>
      <c r="BB28" s="44"/>
      <c r="BC28" s="44"/>
      <c r="BF28" s="44"/>
      <c r="BG28" s="44"/>
      <c r="BH28" s="44"/>
      <c r="BI28" s="44"/>
      <c r="BJ28" s="44"/>
      <c r="BK28" s="44"/>
      <c r="BL28" s="44"/>
      <c r="BP28" s="44">
        <v>100</v>
      </c>
      <c r="BQ28" s="44"/>
      <c r="BR28" s="44"/>
      <c r="BS28" s="44"/>
      <c r="BT28" s="129"/>
      <c r="BU28" s="47"/>
      <c r="BV28" s="44"/>
      <c r="BW28" s="44">
        <v>100</v>
      </c>
      <c r="BX28" s="44"/>
      <c r="BY28" s="44"/>
      <c r="BZ28" s="44"/>
      <c r="CA28" s="44"/>
      <c r="CB28" s="43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44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44"/>
      <c r="CY28" s="44"/>
      <c r="CZ28" s="44"/>
      <c r="DA28" s="44"/>
      <c r="DB28" s="44"/>
      <c r="DC28" s="44"/>
      <c r="DD28" s="44"/>
      <c r="DE28" s="44"/>
      <c r="DF28" s="44"/>
      <c r="DG28" s="44"/>
      <c r="DH28" s="44"/>
      <c r="DI28" s="44"/>
      <c r="DJ28" s="44"/>
      <c r="DK28" s="44"/>
      <c r="DL28" s="44"/>
      <c r="DM28" s="44"/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7"/>
      <c r="DY28" s="47"/>
      <c r="DZ28" s="47"/>
    </row>
    <row r="29" spans="1:130" s="32" customFormat="1" ht="41.4">
      <c r="A29" s="76">
        <v>44224</v>
      </c>
      <c r="B29" s="34" t="s">
        <v>759</v>
      </c>
      <c r="C29" s="286" t="s">
        <v>870</v>
      </c>
      <c r="D29" s="36">
        <v>0.67152777777777783</v>
      </c>
      <c r="E29" s="36">
        <v>0.6743055555555556</v>
      </c>
      <c r="F29" s="39" t="s">
        <v>0</v>
      </c>
      <c r="G29" s="34">
        <v>1</v>
      </c>
      <c r="H29" s="39">
        <v>706</v>
      </c>
      <c r="I29" s="51" t="str">
        <f>VLOOKUP(H29,'[2]Chart of accounts'!A:H,2,FALSE)</f>
        <v>50101020 00</v>
      </c>
      <c r="J29" s="39"/>
      <c r="K29" s="39"/>
      <c r="L29" s="34"/>
      <c r="M29" s="34"/>
      <c r="N29" s="34"/>
      <c r="O29" s="53" t="s">
        <v>4</v>
      </c>
      <c r="P29" s="40" t="s">
        <v>862</v>
      </c>
      <c r="Q29" s="41" t="s">
        <v>771</v>
      </c>
      <c r="R29" s="42" t="s">
        <v>768</v>
      </c>
      <c r="S29" s="42" t="s">
        <v>864</v>
      </c>
      <c r="T29" s="44">
        <v>77256</v>
      </c>
      <c r="U29" s="52"/>
      <c r="V29" s="44">
        <v>77256</v>
      </c>
      <c r="W29" s="44">
        <f t="shared" si="0"/>
        <v>0</v>
      </c>
      <c r="X29" s="45"/>
      <c r="Y29" s="46"/>
      <c r="Z29" s="47"/>
      <c r="AA29" s="47"/>
      <c r="AB29" s="47"/>
      <c r="AC29" s="47"/>
      <c r="AD29" s="47"/>
      <c r="AE29" s="44"/>
      <c r="AF29" s="44"/>
      <c r="AG29" s="44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4"/>
      <c r="AZ29" s="44"/>
      <c r="BA29" s="44"/>
      <c r="BB29" s="44"/>
      <c r="BC29" s="44"/>
      <c r="BD29" s="44">
        <v>77256</v>
      </c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9"/>
      <c r="BQ29" s="44"/>
      <c r="BR29" s="44"/>
      <c r="BS29" s="44"/>
      <c r="BT29" s="129"/>
      <c r="BU29" s="47"/>
      <c r="BV29" s="44"/>
      <c r="BW29" s="44">
        <v>77256</v>
      </c>
      <c r="BX29" s="44"/>
      <c r="BY29" s="44"/>
      <c r="BZ29" s="44"/>
      <c r="CA29" s="44"/>
      <c r="CB29" s="43"/>
      <c r="CC29" s="44"/>
      <c r="CD29" s="44"/>
      <c r="CE29" s="44"/>
      <c r="CF29" s="44"/>
      <c r="CG29" s="44"/>
      <c r="CH29" s="44"/>
      <c r="CI29" s="44"/>
      <c r="CJ29" s="44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  <c r="CZ29" s="44"/>
      <c r="DA29" s="44"/>
      <c r="DB29" s="44"/>
      <c r="DC29" s="44"/>
      <c r="DD29" s="44"/>
      <c r="DE29" s="44"/>
      <c r="DF29" s="44"/>
      <c r="DG29" s="44"/>
      <c r="DH29" s="44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7"/>
      <c r="DY29" s="47"/>
      <c r="DZ29" s="47"/>
    </row>
    <row r="30" spans="1:130" s="32" customFormat="1" ht="41.4">
      <c r="A30" s="76">
        <v>44224</v>
      </c>
      <c r="B30" s="34" t="s">
        <v>759</v>
      </c>
      <c r="C30" s="286" t="s">
        <v>870</v>
      </c>
      <c r="D30" s="36">
        <v>0.67152777777777783</v>
      </c>
      <c r="E30" s="36">
        <v>0.6743055555555556</v>
      </c>
      <c r="F30" s="39" t="s">
        <v>0</v>
      </c>
      <c r="G30" s="34">
        <v>1</v>
      </c>
      <c r="H30" s="39">
        <v>711</v>
      </c>
      <c r="I30" s="51" t="str">
        <f>VLOOKUP(H30,'[2]Chart of accounts'!A:H,2,FALSE)</f>
        <v>50102010 01</v>
      </c>
      <c r="J30" s="39"/>
      <c r="K30" s="39"/>
      <c r="L30" s="34"/>
      <c r="M30" s="34"/>
      <c r="N30" s="34"/>
      <c r="O30" s="53" t="s">
        <v>4</v>
      </c>
      <c r="P30" s="40" t="s">
        <v>862</v>
      </c>
      <c r="Q30" s="41" t="s">
        <v>771</v>
      </c>
      <c r="R30" s="42" t="s">
        <v>768</v>
      </c>
      <c r="S30" s="42" t="s">
        <v>864</v>
      </c>
      <c r="T30" s="44">
        <v>4000</v>
      </c>
      <c r="U30" s="52"/>
      <c r="V30" s="44">
        <v>4000</v>
      </c>
      <c r="W30" s="44">
        <f t="shared" si="0"/>
        <v>0</v>
      </c>
      <c r="X30" s="45"/>
      <c r="Y30" s="46"/>
      <c r="Z30" s="47"/>
      <c r="AA30" s="47"/>
      <c r="AB30" s="47"/>
      <c r="AC30" s="47"/>
      <c r="AD30" s="47"/>
      <c r="AE30" s="44"/>
      <c r="AF30" s="44"/>
      <c r="AG30" s="44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4"/>
      <c r="AZ30" s="44"/>
      <c r="BA30" s="44"/>
      <c r="BB30" s="44"/>
      <c r="BC30" s="44"/>
      <c r="BE30" s="44">
        <v>4000</v>
      </c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9"/>
      <c r="BQ30" s="44"/>
      <c r="BR30" s="44"/>
      <c r="BS30" s="44"/>
      <c r="BT30" s="129"/>
      <c r="BU30" s="47"/>
      <c r="BV30" s="44"/>
      <c r="BW30" s="44">
        <v>4000</v>
      </c>
      <c r="BX30" s="44"/>
      <c r="BY30" s="44"/>
      <c r="BZ30" s="44"/>
      <c r="CA30" s="44"/>
      <c r="CB30" s="43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44"/>
      <c r="CY30" s="44"/>
      <c r="CZ30" s="44"/>
      <c r="DA30" s="44"/>
      <c r="DB30" s="44"/>
      <c r="DC30" s="44"/>
      <c r="DD30" s="44"/>
      <c r="DE30" s="44"/>
      <c r="DF30" s="44"/>
      <c r="DG30" s="4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7"/>
      <c r="DY30" s="47"/>
      <c r="DZ30" s="47"/>
    </row>
    <row r="31" spans="1:130" s="32" customFormat="1" ht="41.4">
      <c r="A31" s="76">
        <v>44224</v>
      </c>
      <c r="B31" s="34" t="s">
        <v>759</v>
      </c>
      <c r="C31" s="286" t="s">
        <v>870</v>
      </c>
      <c r="D31" s="36">
        <v>0.67152777777777783</v>
      </c>
      <c r="E31" s="36">
        <v>0.6743055555555556</v>
      </c>
      <c r="F31" s="39" t="s">
        <v>0</v>
      </c>
      <c r="G31" s="34">
        <v>1</v>
      </c>
      <c r="H31" s="39">
        <v>731</v>
      </c>
      <c r="I31" s="51" t="str">
        <f>VLOOKUP(H31,'[2]Chart of accounts'!A:H,2,FALSE)</f>
        <v>50103010 00</v>
      </c>
      <c r="J31" s="39"/>
      <c r="K31" s="39"/>
      <c r="L31" s="34"/>
      <c r="M31" s="34"/>
      <c r="N31" s="34"/>
      <c r="O31" s="53" t="s">
        <v>4</v>
      </c>
      <c r="P31" s="40" t="s">
        <v>862</v>
      </c>
      <c r="Q31" s="41" t="s">
        <v>771</v>
      </c>
      <c r="R31" s="42" t="s">
        <v>768</v>
      </c>
      <c r="S31" s="42" t="s">
        <v>864</v>
      </c>
      <c r="T31" s="44">
        <v>9270.7199999999993</v>
      </c>
      <c r="U31" s="52"/>
      <c r="V31" s="44">
        <v>9270.7199999999993</v>
      </c>
      <c r="W31" s="44">
        <f t="shared" si="0"/>
        <v>0</v>
      </c>
      <c r="X31" s="45"/>
      <c r="Y31" s="46"/>
      <c r="Z31" s="47"/>
      <c r="AA31" s="47"/>
      <c r="AB31" s="47"/>
      <c r="AC31" s="47"/>
      <c r="AD31" s="47"/>
      <c r="AE31" s="44"/>
      <c r="AF31" s="44"/>
      <c r="AG31" s="44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4"/>
      <c r="AZ31" s="44"/>
      <c r="BA31" s="44"/>
      <c r="BB31" s="44"/>
      <c r="BC31" s="44"/>
      <c r="BD31" s="48"/>
      <c r="BE31" s="44"/>
      <c r="BF31" s="44"/>
      <c r="BG31" s="44"/>
      <c r="BH31" s="44"/>
      <c r="BI31" s="44"/>
      <c r="BJ31" s="44"/>
      <c r="BK31" s="44"/>
      <c r="BL31" s="44"/>
      <c r="BM31" s="44">
        <v>9270.7199999999993</v>
      </c>
      <c r="BN31" s="44"/>
      <c r="BO31" s="44"/>
      <c r="BP31" s="49"/>
      <c r="BQ31" s="44"/>
      <c r="BR31" s="44"/>
      <c r="BS31" s="44"/>
      <c r="BT31" s="129"/>
      <c r="BU31" s="47"/>
      <c r="BV31" s="44"/>
      <c r="BW31" s="44">
        <v>9270.7199999999993</v>
      </c>
      <c r="BX31" s="44"/>
      <c r="BY31" s="44"/>
      <c r="BZ31" s="44"/>
      <c r="CA31" s="44"/>
      <c r="CB31" s="43"/>
      <c r="CC31" s="44"/>
      <c r="CD31" s="44"/>
      <c r="CE31" s="44"/>
      <c r="CF31" s="44"/>
      <c r="CG31" s="44"/>
      <c r="CH31" s="44"/>
      <c r="CI31" s="44"/>
      <c r="CJ31" s="44"/>
      <c r="CK31" s="44"/>
      <c r="CL31" s="44"/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7"/>
      <c r="DY31" s="47"/>
      <c r="DZ31" s="47"/>
    </row>
    <row r="32" spans="1:130" s="32" customFormat="1" ht="41.4">
      <c r="A32" s="76">
        <v>44224</v>
      </c>
      <c r="B32" s="34" t="s">
        <v>759</v>
      </c>
      <c r="C32" s="286" t="s">
        <v>870</v>
      </c>
      <c r="D32" s="36">
        <v>0.67152777777777783</v>
      </c>
      <c r="E32" s="36">
        <v>0.6743055555555556</v>
      </c>
      <c r="F32" s="39" t="s">
        <v>0</v>
      </c>
      <c r="G32" s="34">
        <v>1</v>
      </c>
      <c r="H32" s="39">
        <v>732</v>
      </c>
      <c r="I32" s="51" t="str">
        <f>VLOOKUP(H32,'[2]Chart of accounts'!A:H,2,FALSE)</f>
        <v>50103020 01</v>
      </c>
      <c r="J32" s="39"/>
      <c r="K32" s="39"/>
      <c r="L32" s="34"/>
      <c r="M32" s="34"/>
      <c r="N32" s="34"/>
      <c r="O32" s="53" t="s">
        <v>4</v>
      </c>
      <c r="P32" s="40" t="s">
        <v>862</v>
      </c>
      <c r="Q32" s="41" t="s">
        <v>771</v>
      </c>
      <c r="R32" s="42" t="s">
        <v>768</v>
      </c>
      <c r="S32" s="42" t="s">
        <v>864</v>
      </c>
      <c r="T32" s="44">
        <v>200</v>
      </c>
      <c r="U32" s="52"/>
      <c r="V32" s="44">
        <v>200</v>
      </c>
      <c r="W32" s="44">
        <f t="shared" si="0"/>
        <v>0</v>
      </c>
      <c r="X32" s="45"/>
      <c r="Y32" s="46"/>
      <c r="Z32" s="47"/>
      <c r="AA32" s="47"/>
      <c r="AB32" s="47"/>
      <c r="AC32" s="47"/>
      <c r="AD32" s="47"/>
      <c r="AE32" s="44"/>
      <c r="AF32" s="44"/>
      <c r="AG32" s="44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4"/>
      <c r="AZ32" s="44"/>
      <c r="BA32" s="44"/>
      <c r="BB32" s="44"/>
      <c r="BC32" s="44"/>
      <c r="BD32" s="48"/>
      <c r="BE32" s="44"/>
      <c r="BF32" s="44"/>
      <c r="BG32" s="44"/>
      <c r="BH32" s="44"/>
      <c r="BI32" s="44"/>
      <c r="BJ32" s="44"/>
      <c r="BK32" s="44"/>
      <c r="BL32" s="44"/>
      <c r="BN32" s="44">
        <v>200</v>
      </c>
      <c r="BO32" s="44"/>
      <c r="BP32" s="49"/>
      <c r="BQ32" s="44"/>
      <c r="BR32" s="44"/>
      <c r="BS32" s="44"/>
      <c r="BT32" s="129"/>
      <c r="BU32" s="47"/>
      <c r="BV32" s="44"/>
      <c r="BW32" s="44">
        <v>200</v>
      </c>
      <c r="BX32" s="44"/>
      <c r="BY32" s="44"/>
      <c r="BZ32" s="44"/>
      <c r="CA32" s="44"/>
      <c r="CB32" s="43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44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44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44"/>
      <c r="DJ32" s="44"/>
      <c r="DK32" s="44"/>
      <c r="DL32" s="44"/>
      <c r="DM32" s="44"/>
      <c r="DN32" s="44"/>
      <c r="DO32" s="44"/>
      <c r="DP32" s="44"/>
      <c r="DQ32" s="44"/>
      <c r="DR32" s="44"/>
      <c r="DS32" s="44"/>
      <c r="DT32" s="44"/>
      <c r="DU32" s="44"/>
      <c r="DV32" s="44"/>
      <c r="DW32" s="44"/>
      <c r="DX32" s="47"/>
      <c r="DY32" s="47"/>
      <c r="DZ32" s="47"/>
    </row>
    <row r="33" spans="1:130" s="32" customFormat="1" ht="41.4">
      <c r="A33" s="76">
        <v>44224</v>
      </c>
      <c r="B33" s="34" t="s">
        <v>759</v>
      </c>
      <c r="C33" s="286" t="s">
        <v>870</v>
      </c>
      <c r="D33" s="36">
        <v>0.67152777777777783</v>
      </c>
      <c r="E33" s="36">
        <v>0.6743055555555556</v>
      </c>
      <c r="F33" s="39" t="s">
        <v>0</v>
      </c>
      <c r="G33" s="34">
        <v>1</v>
      </c>
      <c r="H33" s="39">
        <v>733</v>
      </c>
      <c r="I33" s="51" t="str">
        <f>VLOOKUP(H33,'[2]Chart of accounts'!A:H,2,FALSE)</f>
        <v>50103030 01</v>
      </c>
      <c r="J33" s="39"/>
      <c r="K33" s="39"/>
      <c r="L33" s="34"/>
      <c r="M33" s="34"/>
      <c r="N33" s="34"/>
      <c r="O33" s="53" t="s">
        <v>4</v>
      </c>
      <c r="P33" s="40" t="s">
        <v>862</v>
      </c>
      <c r="Q33" s="41" t="s">
        <v>771</v>
      </c>
      <c r="R33" s="42" t="s">
        <v>768</v>
      </c>
      <c r="S33" s="42" t="s">
        <v>864</v>
      </c>
      <c r="T33" s="44">
        <v>1158.8499999999999</v>
      </c>
      <c r="U33" s="52"/>
      <c r="V33" s="44">
        <v>1158.8499999999999</v>
      </c>
      <c r="W33" s="44">
        <f t="shared" si="0"/>
        <v>0</v>
      </c>
      <c r="X33" s="45"/>
      <c r="Y33" s="46"/>
      <c r="Z33" s="47"/>
      <c r="AA33" s="47"/>
      <c r="AB33" s="47"/>
      <c r="AC33" s="47"/>
      <c r="AD33" s="47"/>
      <c r="AE33" s="44"/>
      <c r="AF33" s="44"/>
      <c r="AG33" s="44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4"/>
      <c r="AZ33" s="44"/>
      <c r="BA33" s="44"/>
      <c r="BB33" s="44"/>
      <c r="BC33" s="44"/>
      <c r="BD33" s="48"/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>
        <v>1158.8499999999999</v>
      </c>
      <c r="BP33" s="49"/>
      <c r="BQ33" s="44"/>
      <c r="BR33" s="44"/>
      <c r="BS33" s="44"/>
      <c r="BT33" s="129"/>
      <c r="BU33" s="47"/>
      <c r="BV33" s="44"/>
      <c r="BW33" s="44">
        <v>1158.8499999999999</v>
      </c>
      <c r="BX33" s="44"/>
      <c r="BY33" s="44"/>
      <c r="BZ33" s="44"/>
      <c r="CA33" s="44"/>
      <c r="CB33" s="43"/>
      <c r="CC33" s="44"/>
      <c r="CD33" s="44"/>
      <c r="CE33" s="44"/>
      <c r="CF33" s="44"/>
      <c r="CG33" s="44"/>
      <c r="CH33" s="44"/>
      <c r="CI33" s="44"/>
      <c r="CJ33" s="44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/>
      <c r="CW33" s="44"/>
      <c r="CX33" s="44"/>
      <c r="CY33" s="44"/>
      <c r="CZ33" s="44"/>
      <c r="DA33" s="44"/>
      <c r="DB33" s="44"/>
      <c r="DC33" s="44"/>
      <c r="DD33" s="44"/>
      <c r="DE33" s="44"/>
      <c r="DF33" s="44"/>
      <c r="DG33" s="4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47"/>
      <c r="DY33" s="47"/>
      <c r="DZ33" s="47"/>
    </row>
    <row r="34" spans="1:130" s="32" customFormat="1" ht="41.4">
      <c r="A34" s="76">
        <v>44224</v>
      </c>
      <c r="B34" s="34" t="s">
        <v>759</v>
      </c>
      <c r="C34" s="286" t="s">
        <v>870</v>
      </c>
      <c r="D34" s="36">
        <v>0.67152777777777783</v>
      </c>
      <c r="E34" s="36">
        <v>0.6743055555555556</v>
      </c>
      <c r="F34" s="39" t="s">
        <v>0</v>
      </c>
      <c r="G34" s="34">
        <v>1</v>
      </c>
      <c r="H34" s="39">
        <v>734</v>
      </c>
      <c r="I34" s="51" t="str">
        <f>VLOOKUP(H34,'[2]Chart of accounts'!A:H,2,FALSE)</f>
        <v>50103040 01</v>
      </c>
      <c r="J34" s="39"/>
      <c r="K34" s="39"/>
      <c r="L34" s="34"/>
      <c r="M34" s="34"/>
      <c r="N34" s="34"/>
      <c r="O34" s="53" t="s">
        <v>4</v>
      </c>
      <c r="P34" s="40" t="s">
        <v>862</v>
      </c>
      <c r="Q34" s="41" t="s">
        <v>771</v>
      </c>
      <c r="R34" s="42" t="s">
        <v>768</v>
      </c>
      <c r="S34" s="42" t="s">
        <v>864</v>
      </c>
      <c r="T34" s="44">
        <v>200</v>
      </c>
      <c r="U34" s="52"/>
      <c r="V34" s="44">
        <v>200</v>
      </c>
      <c r="W34" s="44">
        <f t="shared" si="0"/>
        <v>0</v>
      </c>
      <c r="X34" s="45"/>
      <c r="Y34" s="46"/>
      <c r="Z34" s="47"/>
      <c r="AA34" s="47"/>
      <c r="AB34" s="47"/>
      <c r="AC34" s="47"/>
      <c r="AD34" s="47"/>
      <c r="AE34" s="44"/>
      <c r="AF34" s="44"/>
      <c r="AG34" s="44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4"/>
      <c r="AZ34" s="44"/>
      <c r="BA34" s="44"/>
      <c r="BB34" s="44"/>
      <c r="BC34" s="44"/>
      <c r="BD34" s="48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P34" s="44">
        <v>200</v>
      </c>
      <c r="BQ34" s="44"/>
      <c r="BR34" s="44"/>
      <c r="BS34" s="44"/>
      <c r="BT34" s="129"/>
      <c r="BU34" s="47"/>
      <c r="BV34" s="44"/>
      <c r="BW34" s="44">
        <v>200</v>
      </c>
      <c r="BX34" s="44"/>
      <c r="BY34" s="44"/>
      <c r="BZ34" s="44"/>
      <c r="CA34" s="44"/>
      <c r="CB34" s="43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7"/>
      <c r="DY34" s="47"/>
      <c r="DZ34" s="47"/>
    </row>
    <row r="35" spans="1:130" s="32" customFormat="1" ht="41.4">
      <c r="A35" s="76">
        <v>44224</v>
      </c>
      <c r="B35" s="34" t="s">
        <v>759</v>
      </c>
      <c r="C35" s="286" t="s">
        <v>871</v>
      </c>
      <c r="D35" s="36">
        <v>0.6743055555555556</v>
      </c>
      <c r="E35" s="36">
        <v>0.67499999999999993</v>
      </c>
      <c r="F35" s="39" t="s">
        <v>0</v>
      </c>
      <c r="G35" s="34">
        <v>1</v>
      </c>
      <c r="H35" s="39">
        <v>706</v>
      </c>
      <c r="I35" s="51" t="str">
        <f>VLOOKUP(H35,'[2]Chart of accounts'!A:H,2,FALSE)</f>
        <v>50101020 00</v>
      </c>
      <c r="J35" s="39"/>
      <c r="K35" s="39"/>
      <c r="L35" s="34"/>
      <c r="M35" s="34"/>
      <c r="N35" s="34"/>
      <c r="O35" s="53" t="s">
        <v>4</v>
      </c>
      <c r="P35" s="40" t="s">
        <v>862</v>
      </c>
      <c r="Q35" s="41" t="s">
        <v>770</v>
      </c>
      <c r="R35" s="42" t="s">
        <v>872</v>
      </c>
      <c r="S35" s="42" t="s">
        <v>864</v>
      </c>
      <c r="T35" s="44">
        <v>33575</v>
      </c>
      <c r="U35" s="52"/>
      <c r="V35" s="44">
        <v>33575</v>
      </c>
      <c r="W35" s="44">
        <f t="shared" si="0"/>
        <v>0</v>
      </c>
      <c r="X35" s="45"/>
      <c r="Y35" s="46"/>
      <c r="Z35" s="47"/>
      <c r="AA35" s="47"/>
      <c r="AB35" s="47"/>
      <c r="AC35" s="47"/>
      <c r="AD35" s="47"/>
      <c r="AE35" s="44"/>
      <c r="AF35" s="44"/>
      <c r="AG35" s="44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4"/>
      <c r="AZ35" s="44"/>
      <c r="BA35" s="44"/>
      <c r="BB35" s="44"/>
      <c r="BC35" s="44"/>
      <c r="BD35" s="44">
        <v>33575</v>
      </c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9"/>
      <c r="BQ35" s="44"/>
      <c r="BR35" s="44"/>
      <c r="BS35" s="44"/>
      <c r="BT35" s="129"/>
      <c r="BU35" s="47"/>
      <c r="BV35" s="44"/>
      <c r="BW35" s="44">
        <v>33575</v>
      </c>
      <c r="BX35" s="44"/>
      <c r="BY35" s="44"/>
      <c r="BZ35" s="44"/>
      <c r="CA35" s="44"/>
      <c r="CB35" s="43"/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7"/>
      <c r="DY35" s="47"/>
      <c r="DZ35" s="47"/>
    </row>
    <row r="36" spans="1:130" s="32" customFormat="1" ht="41.4">
      <c r="A36" s="76">
        <v>44224</v>
      </c>
      <c r="B36" s="34" t="s">
        <v>759</v>
      </c>
      <c r="C36" s="286" t="s">
        <v>871</v>
      </c>
      <c r="D36" s="36">
        <v>0.6743055555555556</v>
      </c>
      <c r="E36" s="36">
        <v>0.67499999999999993</v>
      </c>
      <c r="F36" s="39" t="s">
        <v>0</v>
      </c>
      <c r="G36" s="34">
        <v>1</v>
      </c>
      <c r="H36" s="39">
        <v>711</v>
      </c>
      <c r="I36" s="51" t="str">
        <f>VLOOKUP(H36,'[2]Chart of accounts'!A:H,2,FALSE)</f>
        <v>50102010 01</v>
      </c>
      <c r="J36" s="39"/>
      <c r="K36" s="39"/>
      <c r="L36" s="34"/>
      <c r="M36" s="34"/>
      <c r="N36" s="34"/>
      <c r="O36" s="53" t="s">
        <v>4</v>
      </c>
      <c r="P36" s="40" t="s">
        <v>862</v>
      </c>
      <c r="Q36" s="41" t="s">
        <v>769</v>
      </c>
      <c r="R36" s="42" t="s">
        <v>872</v>
      </c>
      <c r="S36" s="42" t="s">
        <v>864</v>
      </c>
      <c r="T36" s="44">
        <v>2000</v>
      </c>
      <c r="U36" s="52"/>
      <c r="V36" s="44">
        <v>2000</v>
      </c>
      <c r="W36" s="44">
        <f t="shared" si="0"/>
        <v>0</v>
      </c>
      <c r="X36" s="45"/>
      <c r="Y36" s="46"/>
      <c r="Z36" s="47"/>
      <c r="AA36" s="47"/>
      <c r="AB36" s="47"/>
      <c r="AC36" s="47"/>
      <c r="AD36" s="47"/>
      <c r="AE36" s="44"/>
      <c r="AF36" s="44"/>
      <c r="AG36" s="44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4"/>
      <c r="AZ36" s="44"/>
      <c r="BA36" s="44"/>
      <c r="BB36" s="44"/>
      <c r="BC36" s="44"/>
      <c r="BE36" s="44">
        <v>2000</v>
      </c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9"/>
      <c r="BQ36" s="44"/>
      <c r="BR36" s="44"/>
      <c r="BS36" s="44"/>
      <c r="BT36" s="129"/>
      <c r="BU36" s="47"/>
      <c r="BV36" s="44"/>
      <c r="BW36" s="44">
        <v>2000</v>
      </c>
      <c r="BX36" s="44"/>
      <c r="BY36" s="44"/>
      <c r="BZ36" s="44"/>
      <c r="CA36" s="44"/>
      <c r="CB36" s="43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/>
      <c r="DX36" s="47"/>
      <c r="DY36" s="47"/>
      <c r="DZ36" s="47"/>
    </row>
    <row r="37" spans="1:130" s="32" customFormat="1" ht="41.4">
      <c r="A37" s="76">
        <v>44224</v>
      </c>
      <c r="B37" s="34" t="s">
        <v>759</v>
      </c>
      <c r="C37" s="286" t="s">
        <v>871</v>
      </c>
      <c r="D37" s="36">
        <v>0.6743055555555556</v>
      </c>
      <c r="E37" s="36">
        <v>0.67499999999999993</v>
      </c>
      <c r="F37" s="39" t="s">
        <v>0</v>
      </c>
      <c r="G37" s="34">
        <v>1</v>
      </c>
      <c r="H37" s="39">
        <v>731</v>
      </c>
      <c r="I37" s="51" t="str">
        <f>VLOOKUP(H37,'[2]Chart of accounts'!A:H,2,FALSE)</f>
        <v>50103010 00</v>
      </c>
      <c r="J37" s="39"/>
      <c r="K37" s="39"/>
      <c r="L37" s="34"/>
      <c r="M37" s="34"/>
      <c r="N37" s="34"/>
      <c r="O37" s="53" t="s">
        <v>4</v>
      </c>
      <c r="P37" s="40" t="s">
        <v>862</v>
      </c>
      <c r="Q37" s="41" t="s">
        <v>769</v>
      </c>
      <c r="R37" s="42" t="s">
        <v>872</v>
      </c>
      <c r="S37" s="42" t="s">
        <v>864</v>
      </c>
      <c r="T37" s="44">
        <v>4029</v>
      </c>
      <c r="U37" s="52"/>
      <c r="V37" s="44">
        <v>4029</v>
      </c>
      <c r="W37" s="44">
        <f t="shared" si="0"/>
        <v>0</v>
      </c>
      <c r="X37" s="45"/>
      <c r="Y37" s="46"/>
      <c r="Z37" s="47"/>
      <c r="AA37" s="47"/>
      <c r="AB37" s="47"/>
      <c r="AC37" s="47"/>
      <c r="AD37" s="47"/>
      <c r="AE37" s="44"/>
      <c r="AF37" s="44"/>
      <c r="AG37" s="44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4"/>
      <c r="AZ37" s="44"/>
      <c r="BA37" s="44"/>
      <c r="BB37" s="44"/>
      <c r="BC37" s="44"/>
      <c r="BF37" s="44"/>
      <c r="BG37" s="44"/>
      <c r="BH37" s="44"/>
      <c r="BI37" s="44"/>
      <c r="BJ37" s="44"/>
      <c r="BK37" s="44"/>
      <c r="BL37" s="44"/>
      <c r="BM37" s="44">
        <v>4029</v>
      </c>
      <c r="BN37" s="44"/>
      <c r="BO37" s="44"/>
      <c r="BP37" s="49"/>
      <c r="BQ37" s="44"/>
      <c r="BR37" s="44"/>
      <c r="BS37" s="44"/>
      <c r="BT37" s="129"/>
      <c r="BU37" s="47"/>
      <c r="BV37" s="44"/>
      <c r="BW37" s="44">
        <v>4029</v>
      </c>
      <c r="BX37" s="44"/>
      <c r="BY37" s="44"/>
      <c r="BZ37" s="44"/>
      <c r="CA37" s="44"/>
      <c r="CB37" s="43"/>
      <c r="CC37" s="44"/>
      <c r="CD37" s="44"/>
      <c r="CE37" s="44"/>
      <c r="CF37" s="44"/>
      <c r="CG37" s="44"/>
      <c r="CH37" s="44"/>
      <c r="CI37" s="44"/>
      <c r="CJ37" s="44"/>
      <c r="CK37" s="44"/>
      <c r="CL37" s="44"/>
      <c r="CM37" s="44"/>
      <c r="CN37" s="44"/>
      <c r="CO37" s="44"/>
      <c r="CP37" s="44"/>
      <c r="CQ37" s="44"/>
      <c r="CR37" s="44"/>
      <c r="CS37" s="44"/>
      <c r="CT37" s="44"/>
      <c r="CU37" s="44"/>
      <c r="CV37" s="44"/>
      <c r="CW37" s="44"/>
      <c r="CX37" s="44"/>
      <c r="CY37" s="44"/>
      <c r="CZ37" s="44"/>
      <c r="DA37" s="44"/>
      <c r="DB37" s="44"/>
      <c r="DC37" s="44"/>
      <c r="DD37" s="44"/>
      <c r="DE37" s="44"/>
      <c r="DF37" s="44"/>
      <c r="DG37" s="44"/>
      <c r="DH37" s="44"/>
      <c r="DI37" s="44"/>
      <c r="DJ37" s="44"/>
      <c r="DK37" s="44"/>
      <c r="DL37" s="44"/>
      <c r="DM37" s="44"/>
      <c r="DN37" s="44"/>
      <c r="DO37" s="44"/>
      <c r="DP37" s="44"/>
      <c r="DQ37" s="44"/>
      <c r="DR37" s="44"/>
      <c r="DS37" s="44"/>
      <c r="DT37" s="44"/>
      <c r="DU37" s="44"/>
      <c r="DV37" s="44"/>
      <c r="DW37" s="44"/>
      <c r="DX37" s="47"/>
      <c r="DY37" s="47"/>
      <c r="DZ37" s="47"/>
    </row>
    <row r="38" spans="1:130" s="32" customFormat="1" ht="41.4">
      <c r="A38" s="76">
        <v>44224</v>
      </c>
      <c r="B38" s="34" t="s">
        <v>759</v>
      </c>
      <c r="C38" s="286" t="s">
        <v>871</v>
      </c>
      <c r="D38" s="36">
        <v>0.6743055555555556</v>
      </c>
      <c r="E38" s="36">
        <v>0.67499999999999993</v>
      </c>
      <c r="F38" s="39" t="s">
        <v>0</v>
      </c>
      <c r="G38" s="34">
        <v>1</v>
      </c>
      <c r="H38" s="39">
        <v>732</v>
      </c>
      <c r="I38" s="51" t="str">
        <f>VLOOKUP(H38,'[2]Chart of accounts'!A:H,2,FALSE)</f>
        <v>50103020 01</v>
      </c>
      <c r="J38" s="39"/>
      <c r="K38" s="39"/>
      <c r="L38" s="34"/>
      <c r="M38" s="34"/>
      <c r="N38" s="34"/>
      <c r="O38" s="53" t="s">
        <v>4</v>
      </c>
      <c r="P38" s="40" t="s">
        <v>862</v>
      </c>
      <c r="Q38" s="41" t="s">
        <v>769</v>
      </c>
      <c r="R38" s="42" t="s">
        <v>872</v>
      </c>
      <c r="S38" s="42" t="s">
        <v>864</v>
      </c>
      <c r="T38" s="44">
        <v>100</v>
      </c>
      <c r="U38" s="52"/>
      <c r="V38" s="44">
        <v>100</v>
      </c>
      <c r="W38" s="44">
        <f t="shared" si="0"/>
        <v>0</v>
      </c>
      <c r="X38" s="45"/>
      <c r="Y38" s="46"/>
      <c r="Z38" s="47"/>
      <c r="AA38" s="47"/>
      <c r="AB38" s="47"/>
      <c r="AC38" s="47"/>
      <c r="AD38" s="47"/>
      <c r="AE38" s="44"/>
      <c r="AF38" s="44"/>
      <c r="AG38" s="44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4"/>
      <c r="AZ38" s="44"/>
      <c r="BA38" s="44"/>
      <c r="BB38" s="44"/>
      <c r="BC38" s="44"/>
      <c r="BF38" s="44"/>
      <c r="BG38" s="44"/>
      <c r="BH38" s="44"/>
      <c r="BI38" s="44"/>
      <c r="BJ38" s="44"/>
      <c r="BK38" s="44"/>
      <c r="BL38" s="44"/>
      <c r="BN38" s="44">
        <v>100</v>
      </c>
      <c r="BO38" s="44"/>
      <c r="BP38" s="49"/>
      <c r="BQ38" s="44"/>
      <c r="BR38" s="44"/>
      <c r="BS38" s="44"/>
      <c r="BT38" s="129"/>
      <c r="BU38" s="47"/>
      <c r="BV38" s="44"/>
      <c r="BW38" s="44">
        <v>100</v>
      </c>
      <c r="BX38" s="44"/>
      <c r="BY38" s="44"/>
      <c r="BZ38" s="44"/>
      <c r="CA38" s="44"/>
      <c r="CB38" s="43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7"/>
      <c r="DY38" s="47"/>
      <c r="DZ38" s="47"/>
    </row>
    <row r="39" spans="1:130" s="32" customFormat="1" ht="41.4">
      <c r="A39" s="76">
        <v>44224</v>
      </c>
      <c r="B39" s="34" t="s">
        <v>759</v>
      </c>
      <c r="C39" s="286" t="s">
        <v>871</v>
      </c>
      <c r="D39" s="36">
        <v>0.6743055555555556</v>
      </c>
      <c r="E39" s="36">
        <v>0.67499999999999993</v>
      </c>
      <c r="F39" s="39" t="s">
        <v>0</v>
      </c>
      <c r="G39" s="34">
        <v>1</v>
      </c>
      <c r="H39" s="39">
        <v>733</v>
      </c>
      <c r="I39" s="51" t="str">
        <f>VLOOKUP(H39,'[2]Chart of accounts'!A:H,2,FALSE)</f>
        <v>50103030 01</v>
      </c>
      <c r="J39" s="39"/>
      <c r="K39" s="39"/>
      <c r="L39" s="34"/>
      <c r="M39" s="34"/>
      <c r="N39" s="34"/>
      <c r="O39" s="53" t="s">
        <v>4</v>
      </c>
      <c r="P39" s="40" t="s">
        <v>862</v>
      </c>
      <c r="Q39" s="41" t="s">
        <v>769</v>
      </c>
      <c r="R39" s="42" t="s">
        <v>872</v>
      </c>
      <c r="S39" s="42" t="s">
        <v>864</v>
      </c>
      <c r="T39" s="44">
        <v>503.63</v>
      </c>
      <c r="U39" s="52"/>
      <c r="V39" s="44">
        <v>503.63</v>
      </c>
      <c r="W39" s="44">
        <f t="shared" si="0"/>
        <v>0</v>
      </c>
      <c r="X39" s="45"/>
      <c r="Y39" s="46"/>
      <c r="Z39" s="47"/>
      <c r="AA39" s="47"/>
      <c r="AB39" s="47"/>
      <c r="AC39" s="47"/>
      <c r="AD39" s="47"/>
      <c r="AE39" s="44"/>
      <c r="AF39" s="44"/>
      <c r="AG39" s="44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4"/>
      <c r="AZ39" s="44"/>
      <c r="BA39" s="44"/>
      <c r="BB39" s="44"/>
      <c r="BC39" s="44"/>
      <c r="BF39" s="44"/>
      <c r="BG39" s="44"/>
      <c r="BH39" s="44"/>
      <c r="BI39" s="44"/>
      <c r="BJ39" s="44"/>
      <c r="BK39" s="44"/>
      <c r="BL39" s="44"/>
      <c r="BO39" s="44">
        <v>503.63</v>
      </c>
      <c r="BP39" s="49"/>
      <c r="BQ39" s="44"/>
      <c r="BR39" s="44"/>
      <c r="BS39" s="44"/>
      <c r="BT39" s="129"/>
      <c r="BU39" s="47"/>
      <c r="BV39" s="44"/>
      <c r="BW39" s="44">
        <v>503.63</v>
      </c>
      <c r="BX39" s="44"/>
      <c r="BY39" s="44"/>
      <c r="BZ39" s="44"/>
      <c r="CA39" s="44"/>
      <c r="CB39" s="43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/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7"/>
      <c r="DY39" s="47"/>
      <c r="DZ39" s="47"/>
    </row>
    <row r="40" spans="1:130" s="32" customFormat="1" ht="41.4">
      <c r="A40" s="76">
        <v>44224</v>
      </c>
      <c r="B40" s="34" t="s">
        <v>759</v>
      </c>
      <c r="C40" s="286" t="s">
        <v>871</v>
      </c>
      <c r="D40" s="36">
        <v>0.6743055555555556</v>
      </c>
      <c r="E40" s="36">
        <v>0.67499999999999993</v>
      </c>
      <c r="F40" s="39" t="s">
        <v>0</v>
      </c>
      <c r="G40" s="34">
        <v>1</v>
      </c>
      <c r="H40" s="39">
        <v>734</v>
      </c>
      <c r="I40" s="51" t="str">
        <f>VLOOKUP(H40,'[2]Chart of accounts'!A:H,2,FALSE)</f>
        <v>50103040 01</v>
      </c>
      <c r="J40" s="39"/>
      <c r="K40" s="39"/>
      <c r="L40" s="34"/>
      <c r="M40" s="34"/>
      <c r="N40" s="34"/>
      <c r="O40" s="53" t="s">
        <v>4</v>
      </c>
      <c r="P40" s="40" t="s">
        <v>862</v>
      </c>
      <c r="Q40" s="41" t="s">
        <v>769</v>
      </c>
      <c r="R40" s="42" t="s">
        <v>872</v>
      </c>
      <c r="S40" s="42" t="s">
        <v>864</v>
      </c>
      <c r="T40" s="44">
        <v>100</v>
      </c>
      <c r="U40" s="52"/>
      <c r="V40" s="44">
        <v>100</v>
      </c>
      <c r="W40" s="44">
        <f t="shared" si="0"/>
        <v>0</v>
      </c>
      <c r="X40" s="45"/>
      <c r="Y40" s="46"/>
      <c r="Z40" s="47"/>
      <c r="AA40" s="47"/>
      <c r="AB40" s="47"/>
      <c r="AC40" s="47"/>
      <c r="AD40" s="47"/>
      <c r="AE40" s="44"/>
      <c r="AF40" s="44"/>
      <c r="AG40" s="44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4"/>
      <c r="AZ40" s="44"/>
      <c r="BA40" s="44"/>
      <c r="BB40" s="44"/>
      <c r="BC40" s="44"/>
      <c r="BF40" s="44"/>
      <c r="BG40" s="44"/>
      <c r="BH40" s="44"/>
      <c r="BI40" s="44"/>
      <c r="BJ40" s="44"/>
      <c r="BK40" s="44"/>
      <c r="BL40" s="44"/>
      <c r="BP40" s="44">
        <v>100</v>
      </c>
      <c r="BQ40" s="44"/>
      <c r="BR40" s="44"/>
      <c r="BS40" s="44"/>
      <c r="BT40" s="129"/>
      <c r="BU40" s="47"/>
      <c r="BV40" s="44"/>
      <c r="BW40" s="44">
        <v>100</v>
      </c>
      <c r="BX40" s="44"/>
      <c r="BY40" s="44"/>
      <c r="BZ40" s="44"/>
      <c r="CA40" s="44"/>
      <c r="CB40" s="43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44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44"/>
      <c r="DJ40" s="44"/>
      <c r="DK40" s="44"/>
      <c r="DL40" s="44"/>
      <c r="DM40" s="44"/>
      <c r="DN40" s="44"/>
      <c r="DO40" s="44"/>
      <c r="DP40" s="44"/>
      <c r="DQ40" s="44"/>
      <c r="DR40" s="44"/>
      <c r="DS40" s="44"/>
      <c r="DT40" s="44"/>
      <c r="DU40" s="44"/>
      <c r="DV40" s="44"/>
      <c r="DW40" s="44"/>
      <c r="DX40" s="47"/>
      <c r="DY40" s="47"/>
      <c r="DZ40" s="47"/>
    </row>
    <row r="41" spans="1:130" s="75" customFormat="1">
      <c r="A41" s="33"/>
      <c r="B41" s="34"/>
      <c r="C41" s="35"/>
      <c r="D41" s="61"/>
      <c r="E41" s="61"/>
      <c r="F41" s="37"/>
      <c r="G41" s="38"/>
      <c r="H41" s="39"/>
      <c r="I41" s="39"/>
      <c r="J41" s="39"/>
      <c r="K41" s="39"/>
      <c r="L41" s="34"/>
      <c r="M41" s="34"/>
      <c r="N41" s="34"/>
      <c r="O41" s="53"/>
      <c r="P41" s="53"/>
      <c r="Q41" s="66"/>
      <c r="R41" s="58"/>
      <c r="S41" s="58"/>
      <c r="T41" s="43"/>
      <c r="U41" s="67"/>
      <c r="V41" s="43"/>
      <c r="W41" s="44"/>
      <c r="X41" s="69"/>
      <c r="Y41" s="70"/>
      <c r="Z41" s="71"/>
      <c r="AA41" s="71"/>
      <c r="AB41" s="71"/>
      <c r="AC41" s="71"/>
      <c r="AD41" s="71"/>
      <c r="AE41" s="43"/>
      <c r="AF41" s="43"/>
      <c r="AG41" s="43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71"/>
      <c r="AW41" s="71"/>
      <c r="AX41" s="71"/>
      <c r="AY41" s="43"/>
      <c r="AZ41" s="43"/>
      <c r="BA41" s="43"/>
      <c r="BB41" s="43"/>
      <c r="BC41" s="72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74"/>
      <c r="BQ41" s="43"/>
      <c r="BR41" s="43"/>
      <c r="BS41" s="43"/>
      <c r="BU41" s="71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71"/>
      <c r="DY41" s="71"/>
      <c r="DZ41" s="71"/>
    </row>
    <row r="42" spans="1:130" s="75" customFormat="1">
      <c r="A42" s="33"/>
      <c r="B42" s="34"/>
      <c r="C42" s="35"/>
      <c r="D42" s="61"/>
      <c r="E42" s="61"/>
      <c r="F42" s="37"/>
      <c r="G42" s="38"/>
      <c r="H42" s="39"/>
      <c r="I42" s="39"/>
      <c r="J42" s="39"/>
      <c r="K42" s="39"/>
      <c r="L42" s="34"/>
      <c r="M42" s="34"/>
      <c r="N42" s="34"/>
      <c r="O42" s="53"/>
      <c r="P42" s="53"/>
      <c r="Q42" s="66"/>
      <c r="R42" s="58"/>
      <c r="S42" s="58"/>
      <c r="T42" s="43"/>
      <c r="U42" s="67"/>
      <c r="V42" s="43"/>
      <c r="W42" s="44"/>
      <c r="X42" s="69"/>
      <c r="Y42" s="70"/>
      <c r="Z42" s="71"/>
      <c r="AA42" s="71"/>
      <c r="AB42" s="71"/>
      <c r="AC42" s="71"/>
      <c r="AD42" s="71"/>
      <c r="AE42" s="43"/>
      <c r="AF42" s="43"/>
      <c r="AG42" s="43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43"/>
      <c r="AZ42" s="43"/>
      <c r="BA42" s="43"/>
      <c r="BB42" s="43"/>
      <c r="BC42" s="72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74"/>
      <c r="BQ42" s="43"/>
      <c r="BR42" s="43"/>
      <c r="BS42" s="43"/>
      <c r="BU42" s="71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71"/>
      <c r="DY42" s="71"/>
      <c r="DZ42" s="71"/>
    </row>
    <row r="43" spans="1:130" s="75" customFormat="1">
      <c r="A43" s="33"/>
      <c r="B43" s="34"/>
      <c r="C43" s="60"/>
      <c r="D43" s="61"/>
      <c r="E43" s="61"/>
      <c r="F43" s="37"/>
      <c r="G43" s="38"/>
      <c r="H43" s="39"/>
      <c r="I43" s="39"/>
      <c r="J43" s="39"/>
      <c r="K43" s="39"/>
      <c r="L43" s="34"/>
      <c r="M43" s="34"/>
      <c r="N43" s="34"/>
      <c r="O43" s="53"/>
      <c r="P43" s="53"/>
      <c r="Q43" s="66"/>
      <c r="R43" s="58"/>
      <c r="S43" s="58"/>
      <c r="T43" s="43"/>
      <c r="U43" s="67"/>
      <c r="V43" s="43"/>
      <c r="W43" s="44"/>
      <c r="X43" s="69"/>
      <c r="Y43" s="70"/>
      <c r="Z43" s="71"/>
      <c r="AA43" s="71"/>
      <c r="AB43" s="71"/>
      <c r="AC43" s="71"/>
      <c r="AD43" s="71"/>
      <c r="AE43" s="43"/>
      <c r="AF43" s="43"/>
      <c r="AG43" s="43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71"/>
      <c r="AV43" s="71"/>
      <c r="AW43" s="71"/>
      <c r="AX43" s="71"/>
      <c r="AY43" s="43"/>
      <c r="AZ43" s="43"/>
      <c r="BA43" s="43"/>
      <c r="BB43" s="43"/>
      <c r="BC43" s="72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74"/>
      <c r="BQ43" s="43"/>
      <c r="BR43" s="43"/>
      <c r="BS43" s="43"/>
      <c r="BU43" s="71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71"/>
      <c r="DY43" s="71"/>
      <c r="DZ43" s="71"/>
    </row>
    <row r="44" spans="1:130" s="75" customFormat="1">
      <c r="A44" s="33"/>
      <c r="B44" s="34"/>
      <c r="C44" s="60"/>
      <c r="D44" s="61"/>
      <c r="E44" s="61"/>
      <c r="F44" s="37"/>
      <c r="G44" s="38"/>
      <c r="H44" s="39"/>
      <c r="I44" s="39"/>
      <c r="J44" s="39"/>
      <c r="K44" s="39"/>
      <c r="L44" s="34"/>
      <c r="M44" s="34"/>
      <c r="N44" s="34"/>
      <c r="O44" s="53"/>
      <c r="P44" s="53"/>
      <c r="Q44" s="66"/>
      <c r="R44" s="58"/>
      <c r="S44" s="58"/>
      <c r="T44" s="43"/>
      <c r="U44" s="67"/>
      <c r="V44" s="43"/>
      <c r="W44" s="44"/>
      <c r="X44" s="69"/>
      <c r="Y44" s="70"/>
      <c r="Z44" s="71"/>
      <c r="AA44" s="71"/>
      <c r="AB44" s="71"/>
      <c r="AC44" s="71"/>
      <c r="AD44" s="71"/>
      <c r="AE44" s="43"/>
      <c r="AF44" s="43"/>
      <c r="AG44" s="43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43"/>
      <c r="AZ44" s="43"/>
      <c r="BA44" s="43"/>
      <c r="BB44" s="43"/>
      <c r="BC44" s="72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74"/>
      <c r="BQ44" s="43"/>
      <c r="BR44" s="43"/>
      <c r="BS44" s="43"/>
      <c r="BU44" s="71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71"/>
      <c r="DY44" s="71"/>
      <c r="DZ44" s="71"/>
    </row>
    <row r="45" spans="1:130" s="75" customFormat="1">
      <c r="A45" s="33"/>
      <c r="B45" s="34"/>
      <c r="C45" s="60"/>
      <c r="D45" s="61"/>
      <c r="E45" s="61"/>
      <c r="F45" s="37"/>
      <c r="G45" s="38"/>
      <c r="H45" s="39"/>
      <c r="I45" s="39"/>
      <c r="J45" s="39"/>
      <c r="K45" s="39"/>
      <c r="L45" s="34"/>
      <c r="M45" s="34"/>
      <c r="N45" s="34"/>
      <c r="O45" s="53"/>
      <c r="P45" s="53"/>
      <c r="Q45" s="66"/>
      <c r="R45" s="58"/>
      <c r="S45" s="58"/>
      <c r="T45" s="43"/>
      <c r="U45" s="43"/>
      <c r="V45" s="43"/>
      <c r="W45" s="44"/>
      <c r="X45" s="69"/>
      <c r="Y45" s="70"/>
      <c r="Z45" s="71"/>
      <c r="AA45" s="71"/>
      <c r="AB45" s="71"/>
      <c r="AC45" s="71"/>
      <c r="AD45" s="71"/>
      <c r="AE45" s="43"/>
      <c r="AF45" s="43"/>
      <c r="AG45" s="43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43"/>
      <c r="AZ45" s="43"/>
      <c r="BA45" s="43"/>
      <c r="BB45" s="43"/>
      <c r="BC45" s="72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74"/>
      <c r="BQ45" s="43"/>
      <c r="BR45" s="43"/>
      <c r="BS45" s="43"/>
      <c r="BT45" s="43"/>
      <c r="BU45" s="71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71"/>
      <c r="DY45" s="71"/>
      <c r="DZ45" s="71"/>
    </row>
    <row r="46" spans="1:130" s="75" customFormat="1">
      <c r="A46" s="76"/>
      <c r="B46" s="56"/>
      <c r="C46" s="60"/>
      <c r="D46" s="61"/>
      <c r="E46" s="61"/>
      <c r="F46" s="55"/>
      <c r="G46" s="56"/>
      <c r="H46" s="55"/>
      <c r="I46" s="39"/>
      <c r="J46" s="55"/>
      <c r="K46" s="55"/>
      <c r="L46" s="56"/>
      <c r="M46" s="56"/>
      <c r="N46" s="56"/>
      <c r="O46" s="77"/>
      <c r="P46" s="77"/>
      <c r="Q46" s="66"/>
      <c r="R46" s="58"/>
      <c r="S46" s="58"/>
      <c r="T46" s="63"/>
      <c r="U46" s="67"/>
      <c r="V46" s="63"/>
      <c r="W46" s="65"/>
      <c r="X46" s="69"/>
      <c r="Y46" s="70"/>
      <c r="Z46" s="71"/>
      <c r="AA46" s="71"/>
      <c r="AB46" s="71"/>
      <c r="AC46" s="71"/>
      <c r="AD46" s="71"/>
      <c r="AE46" s="43"/>
      <c r="AF46" s="43"/>
      <c r="AG46" s="43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43"/>
      <c r="AZ46" s="43"/>
      <c r="BA46" s="43"/>
      <c r="BB46" s="43"/>
      <c r="BC46" s="72"/>
      <c r="BD46" s="7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74"/>
      <c r="BQ46" s="43"/>
      <c r="BR46" s="43"/>
      <c r="BS46" s="43"/>
      <c r="BT46" s="68"/>
      <c r="BU46" s="71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71"/>
      <c r="DY46" s="71"/>
      <c r="DZ46" s="71"/>
    </row>
    <row r="47" spans="1:130" s="75" customFormat="1">
      <c r="A47" s="76"/>
      <c r="B47" s="56"/>
      <c r="C47" s="60"/>
      <c r="D47" s="61"/>
      <c r="E47" s="61"/>
      <c r="F47" s="55"/>
      <c r="G47" s="56"/>
      <c r="H47" s="55"/>
      <c r="I47" s="39"/>
      <c r="J47" s="55"/>
      <c r="K47" s="55"/>
      <c r="L47" s="56"/>
      <c r="M47" s="56"/>
      <c r="N47" s="56"/>
      <c r="O47" s="77"/>
      <c r="P47" s="77"/>
      <c r="Q47" s="66"/>
      <c r="R47" s="58"/>
      <c r="S47" s="58"/>
      <c r="T47" s="63"/>
      <c r="U47" s="67"/>
      <c r="V47" s="63"/>
      <c r="W47" s="65"/>
      <c r="X47" s="69"/>
      <c r="Y47" s="70"/>
      <c r="Z47" s="71"/>
      <c r="AA47" s="71"/>
      <c r="AB47" s="71"/>
      <c r="AC47" s="71"/>
      <c r="AD47" s="71"/>
      <c r="AE47" s="43"/>
      <c r="AF47" s="43"/>
      <c r="AG47" s="43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43"/>
      <c r="AZ47" s="43"/>
      <c r="BA47" s="43"/>
      <c r="BB47" s="43"/>
      <c r="BC47" s="72"/>
      <c r="BD47" s="73"/>
      <c r="BE47" s="43"/>
      <c r="BF47" s="43"/>
      <c r="BG47" s="43"/>
      <c r="BH47" s="43"/>
      <c r="BI47" s="43"/>
      <c r="BJ47" s="43"/>
      <c r="BK47" s="43"/>
      <c r="BL47" s="43"/>
      <c r="BN47" s="43"/>
      <c r="BO47" s="43"/>
      <c r="BP47" s="43"/>
      <c r="BQ47" s="43"/>
      <c r="BR47" s="43"/>
      <c r="BS47" s="43"/>
      <c r="BT47" s="68"/>
      <c r="BU47" s="71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71"/>
      <c r="DY47" s="71"/>
      <c r="DZ47" s="71"/>
    </row>
    <row r="48" spans="1:130" s="75" customFormat="1">
      <c r="A48" s="76"/>
      <c r="B48" s="56"/>
      <c r="C48" s="60"/>
      <c r="D48" s="61"/>
      <c r="E48" s="61"/>
      <c r="F48" s="55"/>
      <c r="G48" s="56"/>
      <c r="H48" s="55"/>
      <c r="I48" s="39"/>
      <c r="J48" s="55"/>
      <c r="K48" s="55"/>
      <c r="L48" s="56"/>
      <c r="M48" s="56"/>
      <c r="N48" s="56"/>
      <c r="O48" s="77"/>
      <c r="P48" s="77"/>
      <c r="Q48" s="66"/>
      <c r="R48" s="58"/>
      <c r="S48" s="58"/>
      <c r="T48" s="63"/>
      <c r="U48" s="67"/>
      <c r="V48" s="63"/>
      <c r="W48" s="65"/>
      <c r="X48" s="69"/>
      <c r="Y48" s="70"/>
      <c r="Z48" s="71"/>
      <c r="AA48" s="71"/>
      <c r="AB48" s="71"/>
      <c r="AC48" s="71"/>
      <c r="AD48" s="71"/>
      <c r="AE48" s="43"/>
      <c r="AF48" s="43"/>
      <c r="AG48" s="43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43"/>
      <c r="AZ48" s="43"/>
      <c r="BA48" s="43"/>
      <c r="BB48" s="43"/>
      <c r="BC48" s="72"/>
      <c r="BD48" s="7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74"/>
      <c r="BQ48" s="43"/>
      <c r="BR48" s="43"/>
      <c r="BS48" s="43"/>
      <c r="BT48" s="68"/>
      <c r="BU48" s="71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71"/>
      <c r="DY48" s="71"/>
      <c r="DZ48" s="71"/>
    </row>
    <row r="49" spans="1:131" s="32" customFormat="1">
      <c r="A49" s="76"/>
      <c r="B49" s="56"/>
      <c r="C49" s="35"/>
      <c r="D49" s="36"/>
      <c r="E49" s="36"/>
      <c r="F49" s="37"/>
      <c r="G49" s="38"/>
      <c r="H49" s="39"/>
      <c r="I49" s="51"/>
      <c r="J49" s="39"/>
      <c r="K49" s="39"/>
      <c r="L49" s="34"/>
      <c r="M49" s="34"/>
      <c r="N49" s="34"/>
      <c r="O49" s="40"/>
      <c r="P49" s="40"/>
      <c r="Q49" s="41"/>
      <c r="R49" s="42"/>
      <c r="S49" s="42"/>
      <c r="T49" s="65"/>
      <c r="U49" s="46"/>
      <c r="V49" s="65"/>
      <c r="W49" s="65"/>
      <c r="X49" s="45"/>
      <c r="Y49" s="46"/>
      <c r="Z49" s="47"/>
      <c r="AA49" s="47"/>
      <c r="AB49" s="47"/>
      <c r="AC49" s="47"/>
      <c r="AD49" s="47"/>
      <c r="AE49" s="44"/>
      <c r="AF49" s="44"/>
      <c r="AG49" s="44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4"/>
      <c r="AZ49" s="44"/>
      <c r="BA49" s="44"/>
      <c r="BB49" s="44"/>
      <c r="BC49" s="44"/>
      <c r="BD49" s="48"/>
      <c r="BE49" s="44"/>
      <c r="BF49" s="44"/>
      <c r="BG49" s="44"/>
      <c r="BH49" s="44"/>
      <c r="BI49" s="44"/>
      <c r="BJ49" s="44"/>
      <c r="BK49" s="44"/>
      <c r="BL49" s="44"/>
      <c r="BM49" s="62"/>
      <c r="BN49" s="62"/>
      <c r="BO49" s="44"/>
      <c r="BQ49" s="44"/>
      <c r="BR49" s="44"/>
      <c r="BS49" s="44"/>
      <c r="BT49" s="129"/>
      <c r="BU49" s="47"/>
      <c r="BV49" s="44"/>
      <c r="BW49" s="44"/>
      <c r="BX49" s="44"/>
      <c r="BY49" s="44"/>
      <c r="BZ49" s="44"/>
      <c r="CA49" s="44"/>
      <c r="CB49" s="43"/>
      <c r="CC49" s="44"/>
      <c r="CD49" s="44"/>
      <c r="CE49" s="44"/>
      <c r="CF49" s="44"/>
      <c r="CG49" s="44"/>
      <c r="CH49" s="47"/>
      <c r="CI49" s="44"/>
      <c r="CJ49" s="44"/>
      <c r="CK49" s="44"/>
      <c r="CL49" s="44"/>
      <c r="CM49" s="44"/>
      <c r="CN49" s="44"/>
      <c r="CO49" s="44"/>
      <c r="CP49" s="44"/>
      <c r="CQ49" s="44"/>
      <c r="CR49" s="44"/>
      <c r="CS49" s="44"/>
      <c r="CT49" s="44"/>
      <c r="CU49" s="44"/>
      <c r="CV49" s="44"/>
      <c r="CW49" s="44"/>
      <c r="CX49" s="44"/>
      <c r="CY49" s="44"/>
      <c r="CZ49" s="44"/>
      <c r="DA49" s="44"/>
      <c r="DB49" s="44"/>
      <c r="DC49" s="44"/>
      <c r="DD49" s="44"/>
      <c r="DE49" s="44"/>
      <c r="DF49" s="44"/>
      <c r="DG49" s="44"/>
      <c r="DH49" s="44"/>
      <c r="DI49" s="44"/>
      <c r="DJ49" s="44"/>
      <c r="DK49" s="44"/>
      <c r="DL49" s="44"/>
      <c r="DM49" s="44"/>
      <c r="DN49" s="44"/>
      <c r="DO49" s="44"/>
      <c r="DP49" s="44"/>
      <c r="DQ49" s="44"/>
      <c r="DR49" s="44"/>
      <c r="DS49" s="44"/>
      <c r="DT49" s="44"/>
      <c r="DU49" s="44"/>
      <c r="DV49" s="44"/>
      <c r="DW49" s="44"/>
      <c r="DX49" s="47"/>
      <c r="DY49" s="47"/>
      <c r="DZ49" s="47"/>
      <c r="EA49" s="44"/>
    </row>
    <row r="50" spans="1:131" s="75" customFormat="1">
      <c r="A50" s="233"/>
      <c r="B50" s="56"/>
      <c r="C50" s="235"/>
      <c r="D50" s="61"/>
      <c r="E50" s="61"/>
      <c r="F50" s="55"/>
      <c r="G50" s="56"/>
      <c r="H50" s="55"/>
      <c r="I50" s="37"/>
      <c r="J50" s="55"/>
      <c r="K50" s="55"/>
      <c r="L50" s="56"/>
      <c r="M50" s="56"/>
      <c r="N50" s="56"/>
      <c r="O50" s="131"/>
      <c r="P50" s="131"/>
      <c r="Q50" s="66"/>
      <c r="R50" s="58"/>
      <c r="S50" s="58"/>
      <c r="T50" s="43"/>
      <c r="U50" s="67"/>
      <c r="V50" s="43"/>
      <c r="W50" s="239"/>
      <c r="X50" s="69"/>
      <c r="Y50" s="70"/>
      <c r="Z50" s="71"/>
      <c r="AA50" s="71"/>
      <c r="AB50" s="71"/>
      <c r="AC50" s="71"/>
      <c r="AD50" s="71"/>
      <c r="AE50" s="43"/>
      <c r="AF50" s="43"/>
      <c r="AG50" s="43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43"/>
      <c r="AZ50" s="43"/>
      <c r="BA50" s="43"/>
      <c r="BB50" s="43"/>
      <c r="BC50" s="43"/>
      <c r="BD50" s="135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74"/>
      <c r="BQ50" s="43"/>
      <c r="BR50" s="43"/>
      <c r="BS50" s="43"/>
      <c r="BT50" s="68"/>
      <c r="BU50" s="71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71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71"/>
      <c r="DY50" s="71"/>
      <c r="DZ50" s="71"/>
      <c r="EA50" s="43"/>
    </row>
    <row r="51" spans="1:131" s="75" customFormat="1">
      <c r="A51" s="233"/>
      <c r="B51" s="56"/>
      <c r="C51" s="235"/>
      <c r="D51" s="61"/>
      <c r="E51" s="61"/>
      <c r="F51" s="55"/>
      <c r="G51" s="56"/>
      <c r="H51" s="55"/>
      <c r="I51" s="37"/>
      <c r="J51" s="55"/>
      <c r="K51" s="55"/>
      <c r="L51" s="56"/>
      <c r="M51" s="56"/>
      <c r="N51" s="56"/>
      <c r="O51" s="57"/>
      <c r="P51" s="57"/>
      <c r="Q51" s="54"/>
      <c r="R51" s="58"/>
      <c r="S51" s="58"/>
      <c r="T51" s="43"/>
      <c r="U51" s="67"/>
      <c r="V51" s="43"/>
      <c r="W51" s="239"/>
      <c r="X51" s="241"/>
      <c r="Y51" s="70"/>
      <c r="Z51" s="71"/>
      <c r="AA51" s="71"/>
      <c r="AB51" s="71"/>
      <c r="AC51" s="71"/>
      <c r="AD51" s="71"/>
      <c r="AE51" s="43"/>
      <c r="AF51" s="43"/>
      <c r="AG51" s="43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43"/>
      <c r="AZ51" s="43"/>
      <c r="BA51" s="43"/>
      <c r="BB51" s="43"/>
      <c r="BC51" s="43"/>
      <c r="BD51" s="135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74"/>
      <c r="BQ51" s="43"/>
      <c r="BR51" s="43"/>
      <c r="BS51" s="43"/>
      <c r="BT51" s="43"/>
      <c r="BU51" s="71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71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71"/>
      <c r="DY51" s="71"/>
      <c r="DZ51" s="71"/>
      <c r="EA51" s="43"/>
    </row>
    <row r="52" spans="1:131" s="75" customFormat="1">
      <c r="A52" s="233"/>
      <c r="B52" s="56"/>
      <c r="C52" s="235"/>
      <c r="D52" s="61"/>
      <c r="E52" s="61"/>
      <c r="F52" s="55"/>
      <c r="G52" s="56"/>
      <c r="H52" s="55"/>
      <c r="I52" s="37"/>
      <c r="J52" s="55"/>
      <c r="K52" s="55"/>
      <c r="L52" s="56"/>
      <c r="M52" s="56"/>
      <c r="N52" s="56"/>
      <c r="O52" s="57"/>
      <c r="P52" s="57"/>
      <c r="Q52" s="54"/>
      <c r="R52" s="58"/>
      <c r="S52" s="58"/>
      <c r="T52" s="43"/>
      <c r="U52" s="67"/>
      <c r="V52" s="43"/>
      <c r="W52" s="239"/>
      <c r="X52" s="241"/>
      <c r="Y52" s="70"/>
      <c r="Z52" s="71"/>
      <c r="AA52" s="71"/>
      <c r="AB52" s="71"/>
      <c r="AC52" s="71"/>
      <c r="AD52" s="71"/>
      <c r="AE52" s="43"/>
      <c r="AF52" s="43"/>
      <c r="AG52" s="43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71"/>
      <c r="AY52" s="43"/>
      <c r="AZ52" s="43"/>
      <c r="BA52" s="43"/>
      <c r="BB52" s="43"/>
      <c r="BC52" s="43"/>
      <c r="BD52" s="135"/>
      <c r="BE52" s="43"/>
      <c r="BF52" s="43"/>
      <c r="BG52" s="43"/>
      <c r="BH52" s="43"/>
      <c r="BI52" s="43"/>
      <c r="BJ52" s="43"/>
      <c r="BL52" s="43"/>
      <c r="BM52" s="43"/>
      <c r="BN52" s="43"/>
      <c r="BO52" s="43"/>
      <c r="BP52" s="74"/>
      <c r="BQ52" s="43"/>
      <c r="BR52" s="43"/>
      <c r="BS52" s="43"/>
      <c r="BT52" s="43"/>
      <c r="BU52" s="71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71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71"/>
      <c r="DY52" s="71"/>
      <c r="DZ52" s="71"/>
      <c r="EA52" s="43"/>
    </row>
    <row r="53" spans="1:131" s="75" customFormat="1">
      <c r="A53" s="233"/>
      <c r="B53" s="56"/>
      <c r="C53" s="235"/>
      <c r="D53" s="61"/>
      <c r="E53" s="61"/>
      <c r="F53" s="55"/>
      <c r="G53" s="56"/>
      <c r="H53" s="55"/>
      <c r="I53" s="37"/>
      <c r="J53" s="55"/>
      <c r="K53" s="55"/>
      <c r="L53" s="56"/>
      <c r="M53" s="56"/>
      <c r="N53" s="56"/>
      <c r="O53" s="57"/>
      <c r="P53" s="57"/>
      <c r="Q53" s="54"/>
      <c r="R53" s="58"/>
      <c r="S53" s="58"/>
      <c r="T53" s="43"/>
      <c r="U53" s="67"/>
      <c r="V53" s="43"/>
      <c r="W53" s="239"/>
      <c r="X53" s="241"/>
      <c r="Y53" s="70"/>
      <c r="Z53" s="71"/>
      <c r="AA53" s="71"/>
      <c r="AB53" s="71"/>
      <c r="AC53" s="71"/>
      <c r="AD53" s="71"/>
      <c r="AE53" s="43"/>
      <c r="AF53" s="43"/>
      <c r="AG53" s="43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71"/>
      <c r="AY53" s="43"/>
      <c r="AZ53" s="43"/>
      <c r="BA53" s="43"/>
      <c r="BB53" s="43"/>
      <c r="BC53" s="43"/>
      <c r="BD53" s="135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74"/>
      <c r="BQ53" s="43"/>
      <c r="BR53" s="43"/>
      <c r="BS53" s="43"/>
      <c r="BT53" s="43"/>
      <c r="BU53" s="71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71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71"/>
      <c r="DY53" s="71"/>
      <c r="DZ53" s="71"/>
      <c r="EA53" s="43"/>
    </row>
    <row r="54" spans="1:131" s="75" customFormat="1">
      <c r="A54" s="233"/>
      <c r="B54" s="56"/>
      <c r="C54" s="235"/>
      <c r="D54" s="61"/>
      <c r="E54" s="61"/>
      <c r="F54" s="55"/>
      <c r="G54" s="56"/>
      <c r="H54" s="55"/>
      <c r="I54" s="37"/>
      <c r="J54" s="55"/>
      <c r="K54" s="55"/>
      <c r="L54" s="56"/>
      <c r="M54" s="56"/>
      <c r="N54" s="56"/>
      <c r="O54" s="57"/>
      <c r="P54" s="57"/>
      <c r="Q54" s="54"/>
      <c r="R54" s="58"/>
      <c r="S54" s="58"/>
      <c r="T54" s="43"/>
      <c r="U54" s="67"/>
      <c r="V54" s="43"/>
      <c r="W54" s="239"/>
      <c r="X54" s="241"/>
      <c r="Y54" s="70"/>
      <c r="Z54" s="71"/>
      <c r="AA54" s="71"/>
      <c r="AB54" s="71"/>
      <c r="AC54" s="71"/>
      <c r="AD54" s="71"/>
      <c r="AE54" s="43"/>
      <c r="AF54" s="43"/>
      <c r="AG54" s="43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71"/>
      <c r="AU54" s="71"/>
      <c r="AV54" s="71"/>
      <c r="AW54" s="71"/>
      <c r="AX54" s="71"/>
      <c r="AY54" s="43"/>
      <c r="AZ54" s="43"/>
      <c r="BA54" s="43"/>
      <c r="BB54" s="43"/>
      <c r="BC54" s="43"/>
      <c r="BD54" s="135"/>
      <c r="BE54" s="43"/>
      <c r="BF54" s="43"/>
      <c r="BG54" s="43"/>
      <c r="BH54" s="43"/>
      <c r="BI54" s="43"/>
      <c r="BJ54" s="43"/>
      <c r="BL54" s="43"/>
      <c r="BM54" s="43"/>
      <c r="BN54" s="43"/>
      <c r="BO54" s="43"/>
      <c r="BP54" s="74"/>
      <c r="BQ54" s="43"/>
      <c r="BR54" s="43"/>
      <c r="BS54" s="43"/>
      <c r="BT54" s="43"/>
      <c r="BU54" s="71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71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71"/>
      <c r="DY54" s="71"/>
      <c r="DZ54" s="71"/>
      <c r="EA54" s="43"/>
    </row>
    <row r="55" spans="1:131" s="75" customFormat="1">
      <c r="A55" s="130"/>
      <c r="B55" s="56"/>
      <c r="C55" s="60"/>
      <c r="D55" s="61"/>
      <c r="E55" s="61"/>
      <c r="F55" s="55"/>
      <c r="G55" s="56"/>
      <c r="H55" s="55"/>
      <c r="I55" s="55"/>
      <c r="J55" s="55"/>
      <c r="K55" s="55"/>
      <c r="L55" s="56"/>
      <c r="M55" s="56"/>
      <c r="N55" s="56"/>
      <c r="O55" s="131"/>
      <c r="P55" s="131"/>
      <c r="Q55" s="66"/>
      <c r="R55" s="58"/>
      <c r="S55" s="58"/>
      <c r="T55" s="43"/>
      <c r="U55" s="67"/>
      <c r="V55" s="43"/>
      <c r="W55" s="43"/>
      <c r="X55" s="69"/>
      <c r="Y55" s="70"/>
      <c r="Z55" s="71"/>
      <c r="AA55" s="71"/>
      <c r="AB55" s="71"/>
      <c r="AC55" s="71"/>
      <c r="AD55" s="71"/>
      <c r="AE55" s="43"/>
      <c r="AF55" s="43"/>
      <c r="AG55" s="43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71"/>
      <c r="AU55" s="71"/>
      <c r="AV55" s="71"/>
      <c r="AW55" s="71"/>
      <c r="AX55" s="71"/>
      <c r="AY55" s="43"/>
      <c r="AZ55" s="43"/>
      <c r="BA55" s="43"/>
      <c r="BB55" s="43"/>
      <c r="BC55" s="43"/>
      <c r="BD55" s="135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74"/>
      <c r="BQ55" s="43"/>
      <c r="BR55" s="43"/>
      <c r="BS55" s="43"/>
      <c r="BT55" s="43"/>
      <c r="BU55" s="71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71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71"/>
      <c r="DY55" s="71"/>
      <c r="DZ55" s="71"/>
      <c r="EA55" s="43"/>
    </row>
    <row r="56" spans="1:131" s="243" customFormat="1" ht="13.8">
      <c r="A56" s="234"/>
      <c r="B56" s="38"/>
      <c r="C56" s="235"/>
      <c r="D56" s="236"/>
      <c r="E56" s="236"/>
      <c r="F56" s="37"/>
      <c r="G56" s="38"/>
      <c r="H56" s="37"/>
      <c r="I56" s="37"/>
      <c r="J56" s="37"/>
      <c r="K56" s="37"/>
      <c r="L56" s="38"/>
      <c r="M56" s="38"/>
      <c r="N56" s="38"/>
      <c r="O56" s="237"/>
      <c r="P56" s="237"/>
      <c r="Q56" s="54"/>
      <c r="R56" s="238"/>
      <c r="S56" s="238"/>
      <c r="T56" s="239"/>
      <c r="U56" s="240"/>
      <c r="V56" s="239"/>
      <c r="W56" s="239"/>
      <c r="X56" s="241"/>
      <c r="Y56" s="240"/>
      <c r="Z56" s="241"/>
      <c r="AA56" s="241"/>
      <c r="AB56" s="241"/>
      <c r="AC56" s="241"/>
      <c r="AD56" s="241"/>
      <c r="AE56" s="239"/>
      <c r="AF56" s="239"/>
      <c r="AG56" s="239"/>
      <c r="AH56" s="241"/>
      <c r="AI56" s="241"/>
      <c r="AJ56" s="241"/>
      <c r="AK56" s="241"/>
      <c r="AL56" s="241"/>
      <c r="AM56" s="241"/>
      <c r="AN56" s="241"/>
      <c r="AO56" s="241"/>
      <c r="AP56" s="241"/>
      <c r="AQ56" s="241"/>
      <c r="AR56" s="241"/>
      <c r="AS56" s="241"/>
      <c r="AT56" s="241"/>
      <c r="AU56" s="241"/>
      <c r="AV56" s="241"/>
      <c r="AW56" s="241"/>
      <c r="AX56" s="241"/>
      <c r="AY56" s="239"/>
      <c r="AZ56" s="239"/>
      <c r="BA56" s="239"/>
      <c r="BB56" s="239"/>
      <c r="BC56" s="239"/>
      <c r="BD56" s="242"/>
      <c r="BE56" s="239"/>
      <c r="BG56" s="239"/>
      <c r="BH56" s="239"/>
      <c r="BI56" s="239"/>
      <c r="BJ56" s="239"/>
      <c r="BK56" s="239"/>
      <c r="BL56" s="239"/>
      <c r="BM56" s="239"/>
      <c r="BN56" s="239"/>
      <c r="BO56" s="239"/>
      <c r="BP56" s="244"/>
      <c r="BQ56" s="239"/>
      <c r="BR56" s="239"/>
      <c r="BS56" s="239"/>
      <c r="BT56" s="239"/>
      <c r="BU56" s="241"/>
      <c r="BV56" s="239"/>
      <c r="BW56" s="239"/>
      <c r="BX56" s="239"/>
      <c r="BY56" s="239"/>
      <c r="BZ56" s="239"/>
      <c r="CA56" s="239"/>
      <c r="CB56" s="239"/>
      <c r="CC56" s="239"/>
      <c r="CD56" s="239"/>
      <c r="CE56" s="239"/>
      <c r="CF56" s="239"/>
      <c r="CG56" s="239"/>
      <c r="CH56" s="241"/>
      <c r="CI56" s="239"/>
      <c r="CJ56" s="239"/>
      <c r="CK56" s="239"/>
      <c r="CL56" s="239"/>
      <c r="CM56" s="239"/>
      <c r="CN56" s="239"/>
      <c r="CO56" s="239"/>
      <c r="CP56" s="239"/>
      <c r="CQ56" s="239"/>
      <c r="CR56" s="239"/>
      <c r="CS56" s="239"/>
      <c r="CT56" s="239"/>
      <c r="CU56" s="239"/>
      <c r="CV56" s="239"/>
      <c r="CW56" s="239"/>
      <c r="CX56" s="239"/>
      <c r="CY56" s="239"/>
      <c r="CZ56" s="239"/>
      <c r="DA56" s="239"/>
      <c r="DB56" s="239"/>
      <c r="DD56" s="239"/>
      <c r="DE56" s="245"/>
      <c r="DF56" s="245"/>
      <c r="DG56" s="239"/>
      <c r="DH56" s="239"/>
      <c r="DI56" s="239"/>
      <c r="DJ56" s="239"/>
      <c r="DK56" s="239"/>
      <c r="DL56" s="239"/>
      <c r="DM56" s="239"/>
      <c r="DN56" s="239"/>
      <c r="DO56" s="239"/>
      <c r="DP56" s="239"/>
      <c r="DQ56" s="239"/>
      <c r="DR56" s="239"/>
      <c r="DS56" s="239"/>
      <c r="DT56" s="239"/>
      <c r="DU56" s="239"/>
      <c r="DV56" s="239"/>
      <c r="DW56" s="239"/>
      <c r="DX56" s="241"/>
      <c r="DY56" s="241"/>
      <c r="DZ56" s="241"/>
    </row>
    <row r="57" spans="1:131" s="243" customFormat="1" ht="13.8">
      <c r="A57" s="234"/>
      <c r="B57" s="38"/>
      <c r="C57" s="235"/>
      <c r="D57" s="236"/>
      <c r="E57" s="236"/>
      <c r="F57" s="37"/>
      <c r="G57" s="38"/>
      <c r="H57" s="37"/>
      <c r="I57" s="37"/>
      <c r="J57" s="37"/>
      <c r="K57" s="37"/>
      <c r="L57" s="38"/>
      <c r="M57" s="38"/>
      <c r="N57" s="38"/>
      <c r="O57" s="237"/>
      <c r="P57" s="237"/>
      <c r="Q57" s="237"/>
      <c r="R57" s="246"/>
      <c r="S57" s="238"/>
      <c r="T57" s="239"/>
      <c r="U57" s="240"/>
      <c r="V57" s="239"/>
      <c r="W57" s="239"/>
      <c r="X57" s="241"/>
      <c r="Y57" s="240"/>
      <c r="Z57" s="241"/>
      <c r="AA57" s="241"/>
      <c r="AB57" s="241"/>
      <c r="AC57" s="241"/>
      <c r="AD57" s="241"/>
      <c r="AE57" s="239"/>
      <c r="AF57" s="239"/>
      <c r="AG57" s="239"/>
      <c r="AH57" s="241"/>
      <c r="AI57" s="241"/>
      <c r="AJ57" s="241"/>
      <c r="AK57" s="241"/>
      <c r="AL57" s="241"/>
      <c r="AM57" s="241"/>
      <c r="AN57" s="241"/>
      <c r="AO57" s="241"/>
      <c r="AP57" s="241"/>
      <c r="AQ57" s="241"/>
      <c r="AR57" s="241"/>
      <c r="AS57" s="241"/>
      <c r="AT57" s="241"/>
      <c r="AU57" s="241"/>
      <c r="AV57" s="241"/>
      <c r="AW57" s="241"/>
      <c r="AX57" s="241"/>
      <c r="AY57" s="239"/>
      <c r="AZ57" s="239"/>
      <c r="BA57" s="239"/>
      <c r="BB57" s="239"/>
      <c r="BC57" s="239"/>
      <c r="BD57" s="242"/>
      <c r="BE57" s="239"/>
      <c r="BF57" s="239"/>
      <c r="BG57" s="239"/>
      <c r="BH57" s="239"/>
      <c r="BI57" s="239"/>
      <c r="BJ57" s="239"/>
      <c r="BK57" s="239"/>
      <c r="BL57" s="239"/>
      <c r="BM57" s="239"/>
      <c r="BN57" s="239"/>
      <c r="BO57" s="239"/>
      <c r="BP57" s="239"/>
      <c r="BQ57" s="239"/>
      <c r="BR57" s="239"/>
      <c r="BS57" s="239"/>
      <c r="BT57" s="239"/>
      <c r="BU57" s="241"/>
      <c r="BV57" s="239"/>
      <c r="BW57" s="239"/>
      <c r="BX57" s="239"/>
      <c r="BY57" s="239"/>
      <c r="BZ57" s="239"/>
      <c r="CA57" s="239"/>
      <c r="CB57" s="239"/>
      <c r="CC57" s="239"/>
      <c r="CD57" s="239"/>
      <c r="CE57" s="239"/>
      <c r="CF57" s="239"/>
      <c r="CG57" s="239"/>
      <c r="CH57" s="241"/>
      <c r="CI57" s="239"/>
      <c r="CJ57" s="239"/>
      <c r="CK57" s="239"/>
      <c r="CL57" s="239"/>
      <c r="CM57" s="239"/>
      <c r="CN57" s="239"/>
      <c r="CO57" s="239"/>
      <c r="CP57" s="239"/>
      <c r="CQ57" s="239"/>
      <c r="CR57" s="239"/>
      <c r="CS57" s="239"/>
      <c r="CT57" s="239"/>
      <c r="CU57" s="239"/>
      <c r="CV57" s="239"/>
      <c r="CW57" s="239"/>
      <c r="CX57" s="239"/>
      <c r="CY57" s="239"/>
      <c r="CZ57" s="239"/>
      <c r="DA57" s="239"/>
      <c r="DB57" s="239"/>
      <c r="DD57" s="239"/>
      <c r="DE57" s="245"/>
      <c r="DF57" s="245"/>
      <c r="DG57" s="239"/>
      <c r="DH57" s="239"/>
      <c r="DI57" s="239"/>
      <c r="DJ57" s="239"/>
      <c r="DK57" s="239"/>
      <c r="DL57" s="239"/>
      <c r="DM57" s="239"/>
      <c r="DN57" s="239"/>
      <c r="DO57" s="239"/>
      <c r="DP57" s="239"/>
      <c r="DQ57" s="239"/>
      <c r="DR57" s="239"/>
      <c r="DS57" s="239"/>
      <c r="DT57" s="239"/>
      <c r="DU57" s="239"/>
      <c r="DV57" s="239"/>
      <c r="DW57" s="239"/>
      <c r="DX57" s="241"/>
      <c r="DY57" s="241"/>
      <c r="DZ57" s="241"/>
    </row>
    <row r="58" spans="1:131" s="136" customFormat="1" ht="15.75" customHeight="1">
      <c r="A58" s="130"/>
      <c r="B58" s="56"/>
      <c r="C58" s="60"/>
      <c r="D58" s="61"/>
      <c r="E58" s="61"/>
      <c r="F58" s="55"/>
      <c r="G58" s="56"/>
      <c r="H58" s="55"/>
      <c r="I58" s="55"/>
      <c r="J58" s="55"/>
      <c r="K58" s="55"/>
      <c r="L58" s="56"/>
      <c r="M58" s="56"/>
      <c r="N58" s="56"/>
      <c r="O58" s="131"/>
      <c r="P58" s="131"/>
      <c r="Q58" s="132"/>
      <c r="R58" s="58"/>
      <c r="S58" s="58"/>
      <c r="T58" s="133"/>
      <c r="U58" s="134"/>
      <c r="V58" s="74"/>
      <c r="W58" s="43"/>
      <c r="X58" s="69"/>
      <c r="Y58" s="70"/>
      <c r="Z58" s="71"/>
      <c r="AA58" s="71"/>
      <c r="AB58" s="71"/>
      <c r="AC58" s="71"/>
      <c r="AD58" s="71"/>
      <c r="AE58" s="43"/>
      <c r="AF58" s="43"/>
      <c r="AG58" s="43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43"/>
      <c r="AZ58" s="43"/>
      <c r="BA58" s="43"/>
      <c r="BB58" s="43"/>
      <c r="BC58" s="43"/>
      <c r="BD58" s="135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74"/>
      <c r="BQ58" s="43"/>
      <c r="BR58" s="43"/>
      <c r="BS58" s="43"/>
      <c r="BT58" s="74"/>
      <c r="BU58" s="71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71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71"/>
      <c r="DY58" s="71"/>
      <c r="DZ58" s="43"/>
    </row>
    <row r="59" spans="1:131" s="136" customFormat="1" ht="15.75" customHeight="1" thickBot="1">
      <c r="A59" s="137"/>
      <c r="B59" s="138"/>
      <c r="C59" s="139"/>
      <c r="D59" s="140"/>
      <c r="E59" s="140"/>
      <c r="F59" s="141"/>
      <c r="G59" s="138"/>
      <c r="H59" s="141"/>
      <c r="I59" s="141"/>
      <c r="J59" s="141"/>
      <c r="K59" s="141"/>
      <c r="L59" s="138"/>
      <c r="M59" s="138"/>
      <c r="N59" s="138"/>
      <c r="O59" s="142"/>
      <c r="P59" s="142"/>
      <c r="Q59" s="143"/>
      <c r="R59" s="144"/>
      <c r="S59" s="144"/>
      <c r="T59" s="145">
        <f>SUM(T5:T58)</f>
        <v>356871.97</v>
      </c>
      <c r="U59" s="146"/>
      <c r="V59" s="147">
        <f t="shared" ref="V59:CG59" si="1">SUM(V5:V58)</f>
        <v>356871.97</v>
      </c>
      <c r="W59" s="147">
        <f t="shared" si="1"/>
        <v>0</v>
      </c>
      <c r="X59" s="147">
        <f t="shared" si="1"/>
        <v>0</v>
      </c>
      <c r="Y59" s="147">
        <f t="shared" si="1"/>
        <v>0</v>
      </c>
      <c r="Z59" s="147">
        <f t="shared" si="1"/>
        <v>0</v>
      </c>
      <c r="AA59" s="147">
        <f t="shared" si="1"/>
        <v>0</v>
      </c>
      <c r="AB59" s="147">
        <f t="shared" si="1"/>
        <v>0</v>
      </c>
      <c r="AC59" s="147">
        <f t="shared" si="1"/>
        <v>0</v>
      </c>
      <c r="AD59" s="147">
        <f t="shared" si="1"/>
        <v>0</v>
      </c>
      <c r="AE59" s="147">
        <f t="shared" si="1"/>
        <v>0</v>
      </c>
      <c r="AF59" s="147">
        <f t="shared" si="1"/>
        <v>0</v>
      </c>
      <c r="AG59" s="147">
        <f t="shared" si="1"/>
        <v>0</v>
      </c>
      <c r="AH59" s="147">
        <f t="shared" si="1"/>
        <v>0</v>
      </c>
      <c r="AI59" s="147">
        <f t="shared" si="1"/>
        <v>0</v>
      </c>
      <c r="AJ59" s="147">
        <f t="shared" si="1"/>
        <v>0</v>
      </c>
      <c r="AK59" s="147">
        <f t="shared" si="1"/>
        <v>0</v>
      </c>
      <c r="AL59" s="147">
        <f t="shared" si="1"/>
        <v>0</v>
      </c>
      <c r="AM59" s="147">
        <f t="shared" si="1"/>
        <v>0</v>
      </c>
      <c r="AN59" s="147">
        <f t="shared" si="1"/>
        <v>0</v>
      </c>
      <c r="AO59" s="147">
        <f t="shared" si="1"/>
        <v>0</v>
      </c>
      <c r="AP59" s="147">
        <f t="shared" si="1"/>
        <v>0</v>
      </c>
      <c r="AQ59" s="147">
        <f t="shared" si="1"/>
        <v>0</v>
      </c>
      <c r="AR59" s="147">
        <f t="shared" si="1"/>
        <v>0</v>
      </c>
      <c r="AS59" s="147">
        <f t="shared" si="1"/>
        <v>0</v>
      </c>
      <c r="AT59" s="147">
        <f t="shared" si="1"/>
        <v>0</v>
      </c>
      <c r="AU59" s="147">
        <f t="shared" si="1"/>
        <v>0</v>
      </c>
      <c r="AV59" s="147">
        <f t="shared" si="1"/>
        <v>0</v>
      </c>
      <c r="AW59" s="147">
        <f t="shared" si="1"/>
        <v>0</v>
      </c>
      <c r="AX59" s="147">
        <f t="shared" si="1"/>
        <v>0</v>
      </c>
      <c r="AY59" s="147">
        <f t="shared" si="1"/>
        <v>0</v>
      </c>
      <c r="AZ59" s="147">
        <f t="shared" si="1"/>
        <v>0</v>
      </c>
      <c r="BA59" s="147">
        <f t="shared" si="1"/>
        <v>0</v>
      </c>
      <c r="BB59" s="147">
        <f t="shared" si="1"/>
        <v>0</v>
      </c>
      <c r="BC59" s="147">
        <f t="shared" si="1"/>
        <v>0</v>
      </c>
      <c r="BD59" s="147">
        <f t="shared" si="1"/>
        <v>298918</v>
      </c>
      <c r="BE59" s="147">
        <f t="shared" si="1"/>
        <v>16000</v>
      </c>
      <c r="BF59" s="147">
        <f t="shared" si="1"/>
        <v>0</v>
      </c>
      <c r="BG59" s="147">
        <f t="shared" si="1"/>
        <v>0</v>
      </c>
      <c r="BH59" s="147">
        <f t="shared" si="1"/>
        <v>0</v>
      </c>
      <c r="BI59" s="147">
        <f t="shared" si="1"/>
        <v>0</v>
      </c>
      <c r="BJ59" s="147">
        <f t="shared" si="1"/>
        <v>0</v>
      </c>
      <c r="BK59" s="147">
        <f t="shared" si="1"/>
        <v>0</v>
      </c>
      <c r="BL59" s="147">
        <f t="shared" si="1"/>
        <v>0</v>
      </c>
      <c r="BM59" s="147">
        <f t="shared" si="1"/>
        <v>35870.159999999996</v>
      </c>
      <c r="BN59" s="147">
        <f t="shared" si="1"/>
        <v>800</v>
      </c>
      <c r="BO59" s="147">
        <f t="shared" si="1"/>
        <v>4483.8099999999995</v>
      </c>
      <c r="BP59" s="147">
        <f t="shared" si="1"/>
        <v>800</v>
      </c>
      <c r="BQ59" s="147">
        <f t="shared" si="1"/>
        <v>0</v>
      </c>
      <c r="BR59" s="147">
        <f t="shared" si="1"/>
        <v>0</v>
      </c>
      <c r="BS59" s="147">
        <f t="shared" si="1"/>
        <v>0</v>
      </c>
      <c r="BT59" s="147">
        <f t="shared" si="1"/>
        <v>0</v>
      </c>
      <c r="BU59" s="147">
        <f t="shared" si="1"/>
        <v>0</v>
      </c>
      <c r="BV59" s="147">
        <f t="shared" si="1"/>
        <v>0</v>
      </c>
      <c r="BW59" s="147">
        <f t="shared" si="1"/>
        <v>356871.97</v>
      </c>
      <c r="BX59" s="147">
        <f t="shared" si="1"/>
        <v>0</v>
      </c>
      <c r="BY59" s="147">
        <f t="shared" si="1"/>
        <v>0</v>
      </c>
      <c r="BZ59" s="147">
        <f t="shared" si="1"/>
        <v>0</v>
      </c>
      <c r="CA59" s="147">
        <f t="shared" si="1"/>
        <v>0</v>
      </c>
      <c r="CB59" s="147">
        <f t="shared" si="1"/>
        <v>0</v>
      </c>
      <c r="CC59" s="147">
        <f t="shared" si="1"/>
        <v>0</v>
      </c>
      <c r="CD59" s="147">
        <f t="shared" si="1"/>
        <v>0</v>
      </c>
      <c r="CE59" s="147">
        <f t="shared" si="1"/>
        <v>0</v>
      </c>
      <c r="CF59" s="147">
        <f t="shared" si="1"/>
        <v>0</v>
      </c>
      <c r="CG59" s="147">
        <f t="shared" si="1"/>
        <v>0</v>
      </c>
      <c r="CH59" s="147">
        <f t="shared" ref="CH59:DZ59" si="2">SUM(CH5:CH58)</f>
        <v>0</v>
      </c>
      <c r="CI59" s="147">
        <f t="shared" si="2"/>
        <v>0</v>
      </c>
      <c r="CJ59" s="147">
        <f t="shared" si="2"/>
        <v>0</v>
      </c>
      <c r="CK59" s="147">
        <f t="shared" si="2"/>
        <v>0</v>
      </c>
      <c r="CL59" s="147">
        <f t="shared" si="2"/>
        <v>0</v>
      </c>
      <c r="CM59" s="147">
        <f t="shared" si="2"/>
        <v>0</v>
      </c>
      <c r="CN59" s="147">
        <f t="shared" si="2"/>
        <v>0</v>
      </c>
      <c r="CO59" s="147">
        <f t="shared" si="2"/>
        <v>0</v>
      </c>
      <c r="CP59" s="147">
        <f t="shared" si="2"/>
        <v>0</v>
      </c>
      <c r="CQ59" s="147">
        <f t="shared" si="2"/>
        <v>0</v>
      </c>
      <c r="CR59" s="147">
        <f t="shared" si="2"/>
        <v>0</v>
      </c>
      <c r="CS59" s="147">
        <f t="shared" si="2"/>
        <v>0</v>
      </c>
      <c r="CT59" s="147">
        <f t="shared" si="2"/>
        <v>0</v>
      </c>
      <c r="CU59" s="147">
        <f t="shared" si="2"/>
        <v>0</v>
      </c>
      <c r="CV59" s="147">
        <f t="shared" si="2"/>
        <v>0</v>
      </c>
      <c r="CW59" s="147">
        <f t="shared" si="2"/>
        <v>0</v>
      </c>
      <c r="CX59" s="147">
        <f t="shared" si="2"/>
        <v>0</v>
      </c>
      <c r="CY59" s="147">
        <f t="shared" si="2"/>
        <v>0</v>
      </c>
      <c r="CZ59" s="147">
        <f t="shared" si="2"/>
        <v>0</v>
      </c>
      <c r="DA59" s="147">
        <f t="shared" si="2"/>
        <v>0</v>
      </c>
      <c r="DB59" s="147">
        <f t="shared" si="2"/>
        <v>0</v>
      </c>
      <c r="DC59" s="147">
        <f t="shared" si="2"/>
        <v>0</v>
      </c>
      <c r="DD59" s="147">
        <f t="shared" si="2"/>
        <v>0</v>
      </c>
      <c r="DE59" s="147">
        <f t="shared" si="2"/>
        <v>0</v>
      </c>
      <c r="DF59" s="147">
        <f t="shared" si="2"/>
        <v>0</v>
      </c>
      <c r="DG59" s="147">
        <f t="shared" si="2"/>
        <v>0</v>
      </c>
      <c r="DH59" s="147">
        <f t="shared" si="2"/>
        <v>0</v>
      </c>
      <c r="DI59" s="147">
        <f t="shared" si="2"/>
        <v>0</v>
      </c>
      <c r="DJ59" s="147">
        <f t="shared" si="2"/>
        <v>0</v>
      </c>
      <c r="DK59" s="147">
        <f t="shared" si="2"/>
        <v>0</v>
      </c>
      <c r="DL59" s="147">
        <f t="shared" si="2"/>
        <v>0</v>
      </c>
      <c r="DM59" s="147">
        <f t="shared" si="2"/>
        <v>0</v>
      </c>
      <c r="DN59" s="147">
        <f t="shared" si="2"/>
        <v>0</v>
      </c>
      <c r="DO59" s="147">
        <f t="shared" si="2"/>
        <v>0</v>
      </c>
      <c r="DP59" s="147">
        <f t="shared" si="2"/>
        <v>0</v>
      </c>
      <c r="DQ59" s="147">
        <f t="shared" si="2"/>
        <v>0</v>
      </c>
      <c r="DR59" s="147">
        <f t="shared" si="2"/>
        <v>0</v>
      </c>
      <c r="DS59" s="147">
        <f t="shared" si="2"/>
        <v>0</v>
      </c>
      <c r="DT59" s="147">
        <f t="shared" si="2"/>
        <v>0</v>
      </c>
      <c r="DU59" s="147">
        <f t="shared" si="2"/>
        <v>0</v>
      </c>
      <c r="DV59" s="147">
        <f t="shared" si="2"/>
        <v>0</v>
      </c>
      <c r="DW59" s="147">
        <f t="shared" si="2"/>
        <v>0</v>
      </c>
      <c r="DX59" s="147">
        <f t="shared" si="2"/>
        <v>0</v>
      </c>
      <c r="DY59" s="147">
        <f t="shared" si="2"/>
        <v>0</v>
      </c>
      <c r="DZ59" s="147">
        <f t="shared" si="2"/>
        <v>0</v>
      </c>
    </row>
    <row r="60" spans="1:131" s="136" customFormat="1" ht="15.75" customHeight="1" thickTop="1">
      <c r="A60" s="148"/>
      <c r="B60" s="149"/>
      <c r="C60" s="150"/>
      <c r="D60" s="151"/>
      <c r="E60" s="151"/>
      <c r="F60" s="152"/>
      <c r="G60" s="149"/>
      <c r="H60" s="152"/>
      <c r="I60" s="152"/>
      <c r="J60" s="152"/>
      <c r="K60" s="152"/>
      <c r="L60" s="149"/>
      <c r="M60" s="149"/>
      <c r="N60" s="149"/>
      <c r="O60" s="153"/>
      <c r="P60" s="153"/>
      <c r="Q60" s="154"/>
      <c r="R60" s="155"/>
      <c r="S60" s="155"/>
      <c r="T60" s="156"/>
      <c r="U60" s="157"/>
      <c r="V60" s="158"/>
      <c r="W60" s="159"/>
      <c r="X60" s="158"/>
      <c r="Y60" s="160"/>
      <c r="Z60" s="154"/>
      <c r="AA60" s="154"/>
      <c r="AB60" s="154"/>
      <c r="AC60" s="154"/>
      <c r="AD60" s="154"/>
      <c r="AE60" s="161"/>
      <c r="AF60" s="161"/>
      <c r="AG60" s="161"/>
      <c r="AH60" s="154"/>
      <c r="AI60" s="154"/>
      <c r="AJ60" s="154"/>
      <c r="AK60" s="154"/>
      <c r="AL60" s="154"/>
      <c r="AM60" s="154"/>
      <c r="AN60" s="154"/>
      <c r="AO60" s="154"/>
      <c r="AP60" s="154"/>
      <c r="AQ60" s="154"/>
      <c r="AR60" s="154"/>
      <c r="AS60" s="154"/>
      <c r="AT60" s="154"/>
      <c r="AU60" s="154"/>
      <c r="AV60" s="154"/>
      <c r="AW60" s="154"/>
      <c r="AX60" s="154"/>
      <c r="AY60" s="161"/>
      <c r="AZ60" s="161"/>
      <c r="BA60" s="161"/>
      <c r="BB60" s="161"/>
      <c r="BC60" s="74">
        <f>SUM(BC59:BS59)</f>
        <v>356871.97</v>
      </c>
      <c r="BD60" s="161"/>
      <c r="BE60" s="161"/>
      <c r="BF60" s="161"/>
      <c r="BG60" s="161"/>
      <c r="BH60" s="161"/>
      <c r="BI60" s="161"/>
      <c r="BJ60" s="161"/>
      <c r="BK60" s="161"/>
      <c r="BL60" s="161"/>
      <c r="BM60" s="161"/>
      <c r="BN60" s="161"/>
      <c r="BO60" s="161"/>
      <c r="BP60" s="161"/>
      <c r="BQ60" s="161"/>
      <c r="BR60" s="161"/>
      <c r="BS60" s="161"/>
      <c r="BT60" s="161"/>
      <c r="BU60" s="161"/>
      <c r="BV60" s="161"/>
      <c r="BW60" s="161"/>
      <c r="BX60" s="161"/>
      <c r="BY60" s="161"/>
      <c r="BZ60" s="161"/>
      <c r="CA60" s="74"/>
      <c r="CB60" s="74"/>
      <c r="CC60" s="74"/>
      <c r="CD60" s="74">
        <f>SUM(CD59:DZ59)</f>
        <v>0</v>
      </c>
      <c r="CE60" s="161"/>
      <c r="CF60" s="161"/>
      <c r="CG60" s="161"/>
      <c r="CH60" s="161"/>
      <c r="CI60" s="161"/>
      <c r="CJ60" s="161"/>
      <c r="CK60" s="161"/>
      <c r="CL60" s="161"/>
      <c r="CM60" s="161"/>
      <c r="CN60" s="161"/>
      <c r="CO60" s="161"/>
      <c r="CP60" s="161"/>
      <c r="CQ60" s="161"/>
      <c r="CR60" s="161"/>
      <c r="CS60" s="161"/>
      <c r="CT60" s="161"/>
      <c r="CU60" s="161"/>
      <c r="CV60" s="161"/>
      <c r="CW60" s="161"/>
      <c r="CX60" s="161"/>
      <c r="CY60" s="161"/>
      <c r="CZ60" s="161"/>
      <c r="DA60" s="161"/>
      <c r="DB60" s="161"/>
      <c r="DC60" s="161"/>
      <c r="DD60" s="161"/>
      <c r="DE60" s="74"/>
      <c r="DF60" s="161"/>
      <c r="DG60" s="161"/>
      <c r="DH60" s="161"/>
      <c r="DI60" s="161"/>
      <c r="DJ60" s="161"/>
      <c r="DK60" s="161"/>
      <c r="DL60" s="161"/>
      <c r="DM60" s="161"/>
      <c r="DN60" s="161"/>
      <c r="DO60" s="161"/>
      <c r="DP60" s="161"/>
      <c r="DQ60" s="161"/>
      <c r="DR60" s="161"/>
      <c r="DS60" s="161"/>
      <c r="DT60" s="161"/>
      <c r="DU60" s="161"/>
      <c r="DV60" s="161"/>
      <c r="DW60" s="161"/>
      <c r="DX60" s="161"/>
      <c r="DY60" s="161"/>
      <c r="DZ60" s="161"/>
    </row>
    <row r="61" spans="1:131" s="136" customFormat="1" ht="15" customHeight="1">
      <c r="BC61" s="162" t="s">
        <v>27</v>
      </c>
      <c r="BD61" s="162" t="s">
        <v>28</v>
      </c>
      <c r="BE61" s="163" t="s">
        <v>29</v>
      </c>
      <c r="BF61" s="164" t="s">
        <v>30</v>
      </c>
      <c r="BG61" s="164" t="s">
        <v>31</v>
      </c>
      <c r="BH61" s="165" t="s">
        <v>32</v>
      </c>
      <c r="BI61" s="165" t="s">
        <v>33</v>
      </c>
      <c r="BJ61" s="163" t="s">
        <v>34</v>
      </c>
      <c r="BK61" s="163" t="s">
        <v>35</v>
      </c>
      <c r="BL61" s="163" t="s">
        <v>36</v>
      </c>
      <c r="BM61" s="163" t="s">
        <v>37</v>
      </c>
      <c r="BN61" s="165" t="s">
        <v>38</v>
      </c>
      <c r="BO61" s="163" t="s">
        <v>39</v>
      </c>
      <c r="BP61" s="163" t="s">
        <v>40</v>
      </c>
      <c r="BQ61" s="163" t="s">
        <v>41</v>
      </c>
      <c r="BR61" s="163" t="s">
        <v>42</v>
      </c>
      <c r="BS61" s="166"/>
      <c r="BT61" s="166"/>
      <c r="BU61" s="166"/>
      <c r="BV61" s="166"/>
      <c r="BW61" s="166"/>
      <c r="BX61" s="166"/>
      <c r="BY61" s="166"/>
      <c r="BZ61" s="166"/>
      <c r="CA61" s="166"/>
      <c r="CB61" s="166"/>
      <c r="CC61" s="166"/>
      <c r="CD61" s="167" t="s">
        <v>43</v>
      </c>
      <c r="CE61" s="168" t="s">
        <v>44</v>
      </c>
      <c r="CF61" s="168">
        <v>752</v>
      </c>
      <c r="CG61" s="168" t="s">
        <v>45</v>
      </c>
      <c r="CH61" s="168" t="s">
        <v>46</v>
      </c>
      <c r="CI61" s="168" t="s">
        <v>47</v>
      </c>
      <c r="CJ61" s="168">
        <v>761</v>
      </c>
      <c r="CK61" s="168" t="s">
        <v>48</v>
      </c>
      <c r="CL61" s="168" t="s">
        <v>49</v>
      </c>
      <c r="CM61" s="168">
        <v>767</v>
      </c>
      <c r="CN61" s="168" t="s">
        <v>50</v>
      </c>
      <c r="CO61" s="168" t="s">
        <v>51</v>
      </c>
      <c r="CP61" s="168" t="s">
        <v>52</v>
      </c>
      <c r="CQ61" s="168" t="s">
        <v>53</v>
      </c>
      <c r="CR61" s="168" t="s">
        <v>54</v>
      </c>
      <c r="CS61" s="168" t="s">
        <v>55</v>
      </c>
      <c r="CT61" s="168" t="s">
        <v>56</v>
      </c>
      <c r="CU61" s="168" t="s">
        <v>57</v>
      </c>
      <c r="CV61" s="168" t="s">
        <v>58</v>
      </c>
      <c r="CW61" s="168" t="s">
        <v>58</v>
      </c>
      <c r="CX61" s="168" t="s">
        <v>59</v>
      </c>
      <c r="CY61" s="168" t="s">
        <v>60</v>
      </c>
      <c r="CZ61" s="168" t="s">
        <v>61</v>
      </c>
      <c r="DA61" s="168" t="s">
        <v>62</v>
      </c>
      <c r="DB61" s="168" t="s">
        <v>63</v>
      </c>
      <c r="DC61" s="168" t="s">
        <v>64</v>
      </c>
      <c r="DD61" s="168">
        <v>793</v>
      </c>
      <c r="DE61" s="168">
        <v>795</v>
      </c>
      <c r="DF61" s="168">
        <v>796</v>
      </c>
      <c r="DG61" s="168">
        <v>797</v>
      </c>
      <c r="DH61" s="168" t="s">
        <v>65</v>
      </c>
      <c r="DI61" s="168" t="s">
        <v>66</v>
      </c>
      <c r="DJ61" s="168" t="s">
        <v>67</v>
      </c>
      <c r="DK61" s="168" t="s">
        <v>68</v>
      </c>
      <c r="DL61" s="168" t="s">
        <v>69</v>
      </c>
      <c r="DM61" s="168" t="s">
        <v>70</v>
      </c>
      <c r="DN61" s="168" t="s">
        <v>71</v>
      </c>
      <c r="DO61" s="168" t="s">
        <v>72</v>
      </c>
      <c r="DP61" s="168" t="s">
        <v>73</v>
      </c>
      <c r="DQ61" s="168" t="s">
        <v>74</v>
      </c>
      <c r="DR61" s="168">
        <v>879</v>
      </c>
      <c r="DS61" s="168" t="s">
        <v>75</v>
      </c>
      <c r="DT61" s="168" t="s">
        <v>76</v>
      </c>
      <c r="DU61" s="168" t="s">
        <v>77</v>
      </c>
      <c r="DV61" s="168" t="s">
        <v>78</v>
      </c>
      <c r="DW61" s="168" t="s">
        <v>79</v>
      </c>
      <c r="DX61" s="168">
        <v>226</v>
      </c>
      <c r="DY61" s="168">
        <v>241</v>
      </c>
      <c r="DZ61" s="168">
        <v>222</v>
      </c>
    </row>
    <row r="62" spans="1:131" s="75" customFormat="1" ht="15.75" customHeight="1">
      <c r="A62" s="260"/>
      <c r="B62" s="261"/>
      <c r="C62" s="262"/>
      <c r="D62" s="263"/>
      <c r="E62" s="263"/>
      <c r="F62" s="264"/>
      <c r="G62" s="261"/>
      <c r="H62" s="264"/>
      <c r="I62" s="264"/>
      <c r="J62" s="264"/>
      <c r="K62" s="264"/>
      <c r="L62" s="261"/>
      <c r="M62" s="261"/>
      <c r="N62" s="261"/>
      <c r="O62" s="265"/>
      <c r="P62" s="265"/>
      <c r="Q62" s="266"/>
      <c r="R62" s="267"/>
      <c r="S62" s="267"/>
      <c r="T62" s="268"/>
      <c r="U62" s="269"/>
      <c r="V62" s="270"/>
      <c r="W62" s="268"/>
      <c r="X62" s="270"/>
      <c r="Y62" s="271"/>
      <c r="Z62" s="266"/>
      <c r="AA62" s="266"/>
      <c r="AB62" s="266"/>
      <c r="AC62" s="266"/>
      <c r="AD62" s="266"/>
      <c r="AE62" s="272"/>
      <c r="AF62" s="272"/>
      <c r="AG62" s="272"/>
      <c r="AH62" s="266"/>
      <c r="AI62" s="266"/>
      <c r="AJ62" s="266"/>
      <c r="AK62" s="266"/>
      <c r="AL62" s="266"/>
      <c r="AM62" s="266"/>
      <c r="AN62" s="266"/>
      <c r="AO62" s="266"/>
      <c r="AP62" s="266"/>
      <c r="AQ62" s="266"/>
      <c r="AR62" s="266"/>
      <c r="AS62" s="266"/>
      <c r="AT62" s="266"/>
      <c r="AU62" s="266"/>
      <c r="AV62" s="266"/>
      <c r="AW62" s="266"/>
      <c r="AX62" s="266"/>
      <c r="AY62" s="272"/>
      <c r="AZ62" s="272"/>
      <c r="BA62" s="272"/>
      <c r="BB62" s="272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2"/>
      <c r="BS62" s="272"/>
      <c r="BT62" s="272"/>
      <c r="BU62" s="272"/>
      <c r="BV62" s="272"/>
      <c r="BW62" s="272"/>
      <c r="BX62" s="272"/>
      <c r="BY62" s="272"/>
      <c r="BZ62" s="272"/>
      <c r="CA62" s="273"/>
      <c r="CB62" s="273"/>
      <c r="CC62" s="273"/>
      <c r="CD62" s="273"/>
      <c r="CE62" s="272"/>
      <c r="CF62" s="272"/>
      <c r="CG62" s="272"/>
      <c r="CH62" s="272"/>
      <c r="CI62" s="272"/>
      <c r="CJ62" s="272"/>
      <c r="CK62" s="272"/>
      <c r="CL62" s="272"/>
      <c r="CM62" s="272"/>
      <c r="CN62" s="272"/>
      <c r="CO62" s="272"/>
      <c r="CP62" s="272"/>
      <c r="CQ62" s="272"/>
      <c r="CR62" s="272"/>
      <c r="CS62" s="272"/>
      <c r="CT62" s="272"/>
      <c r="CU62" s="272"/>
      <c r="CV62" s="272"/>
      <c r="CW62" s="272"/>
      <c r="CX62" s="272"/>
      <c r="CY62" s="272"/>
      <c r="CZ62" s="272"/>
      <c r="DA62" s="272"/>
      <c r="DB62" s="272"/>
      <c r="DC62" s="272"/>
      <c r="DD62" s="272"/>
      <c r="DE62" s="273"/>
      <c r="DF62" s="272"/>
      <c r="DG62" s="272"/>
      <c r="DH62" s="272"/>
      <c r="DI62" s="272"/>
      <c r="DJ62" s="272"/>
      <c r="DK62" s="272"/>
      <c r="DL62" s="272"/>
      <c r="DM62" s="272"/>
      <c r="DN62" s="272"/>
      <c r="DO62" s="272"/>
      <c r="DP62" s="272"/>
      <c r="DQ62" s="272"/>
      <c r="DR62" s="272"/>
      <c r="DS62" s="272"/>
      <c r="DT62" s="272"/>
      <c r="DU62" s="272"/>
      <c r="DV62" s="272"/>
      <c r="DW62" s="272"/>
      <c r="DX62" s="272"/>
      <c r="DY62" s="272"/>
      <c r="DZ62" s="272"/>
    </row>
    <row r="63" spans="1:131" s="75" customFormat="1" ht="15.75" customHeight="1">
      <c r="A63" s="260"/>
      <c r="B63" s="261"/>
      <c r="C63" s="262"/>
      <c r="D63" s="263"/>
      <c r="E63" s="263"/>
      <c r="F63" s="264"/>
      <c r="G63" s="261"/>
      <c r="H63" s="264"/>
      <c r="I63" s="264"/>
      <c r="J63" s="264"/>
      <c r="K63" s="264"/>
      <c r="L63" s="261"/>
      <c r="M63" s="261"/>
      <c r="N63" s="261"/>
      <c r="O63" s="265"/>
      <c r="P63" s="265"/>
      <c r="Q63" s="266"/>
      <c r="R63" s="267"/>
      <c r="S63" s="267"/>
      <c r="T63" s="268"/>
      <c r="U63" s="269"/>
      <c r="V63" s="270"/>
      <c r="W63" s="268"/>
      <c r="X63" s="270"/>
      <c r="Y63" s="271"/>
      <c r="Z63" s="266"/>
      <c r="AA63" s="266"/>
      <c r="AB63" s="266"/>
      <c r="AC63" s="266"/>
      <c r="AD63" s="266"/>
      <c r="AE63" s="272"/>
      <c r="AF63" s="272"/>
      <c r="AG63" s="272"/>
      <c r="AH63" s="266"/>
      <c r="AI63" s="266"/>
      <c r="AJ63" s="266"/>
      <c r="AK63" s="266"/>
      <c r="AL63" s="266"/>
      <c r="AM63" s="266"/>
      <c r="AN63" s="266"/>
      <c r="AO63" s="266"/>
      <c r="AP63" s="266"/>
      <c r="AQ63" s="266"/>
      <c r="AR63" s="266"/>
      <c r="AS63" s="266"/>
      <c r="AT63" s="266"/>
      <c r="AU63" s="266"/>
      <c r="AV63" s="266"/>
      <c r="AW63" s="266"/>
      <c r="AX63" s="266"/>
      <c r="AY63" s="272"/>
      <c r="AZ63" s="272"/>
      <c r="BA63" s="272"/>
      <c r="BB63" s="272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2"/>
      <c r="BS63" s="272"/>
      <c r="BT63" s="272"/>
      <c r="BU63" s="272"/>
      <c r="BV63" s="272"/>
      <c r="BW63" s="272"/>
      <c r="BX63" s="272"/>
      <c r="BY63" s="272"/>
      <c r="BZ63" s="272"/>
      <c r="CA63" s="273"/>
      <c r="CB63" s="273"/>
      <c r="CC63" s="273"/>
      <c r="CD63" s="273"/>
      <c r="CE63" s="272"/>
      <c r="CF63" s="272"/>
      <c r="CG63" s="272"/>
      <c r="CH63" s="272"/>
      <c r="CI63" s="272"/>
      <c r="CJ63" s="272"/>
      <c r="CK63" s="272"/>
      <c r="CL63" s="272"/>
      <c r="CM63" s="272"/>
      <c r="CN63" s="272"/>
      <c r="CO63" s="272"/>
      <c r="CP63" s="272"/>
      <c r="CQ63" s="272"/>
      <c r="CR63" s="272"/>
      <c r="CS63" s="272"/>
      <c r="CT63" s="272"/>
      <c r="CU63" s="272"/>
      <c r="CV63" s="272"/>
      <c r="CW63" s="272"/>
      <c r="CX63" s="272"/>
      <c r="CY63" s="272"/>
      <c r="CZ63" s="272"/>
      <c r="DA63" s="272"/>
      <c r="DB63" s="272"/>
      <c r="DC63" s="272"/>
      <c r="DD63" s="272"/>
      <c r="DE63" s="273"/>
      <c r="DF63" s="272"/>
      <c r="DG63" s="272"/>
      <c r="DH63" s="272"/>
      <c r="DI63" s="272"/>
      <c r="DJ63" s="272"/>
      <c r="DK63" s="272"/>
      <c r="DL63" s="272"/>
      <c r="DM63" s="272"/>
      <c r="DN63" s="272"/>
      <c r="DO63" s="272"/>
      <c r="DP63" s="272"/>
      <c r="DQ63" s="272"/>
      <c r="DR63" s="272"/>
      <c r="DS63" s="272"/>
      <c r="DT63" s="272"/>
      <c r="DU63" s="272"/>
      <c r="DV63" s="272"/>
      <c r="DW63" s="272"/>
      <c r="DX63" s="272"/>
      <c r="DY63" s="272"/>
      <c r="DZ63" s="272"/>
    </row>
    <row r="64" spans="1:131" s="75" customFormat="1" ht="15.75" customHeight="1">
      <c r="A64" s="260"/>
      <c r="B64" s="261"/>
      <c r="C64" s="262"/>
      <c r="D64" s="263"/>
      <c r="E64" s="263"/>
      <c r="F64" s="264"/>
      <c r="G64" s="261"/>
      <c r="H64" s="264"/>
      <c r="I64" s="264"/>
      <c r="J64" s="264"/>
      <c r="K64" s="264"/>
      <c r="L64" s="261"/>
      <c r="M64" s="261"/>
      <c r="N64" s="261"/>
      <c r="O64" s="265"/>
      <c r="P64" s="265"/>
      <c r="Q64" s="266"/>
      <c r="R64" s="267"/>
      <c r="S64" s="267"/>
      <c r="T64" s="268"/>
      <c r="U64" s="269"/>
      <c r="V64" s="270"/>
      <c r="W64" s="268"/>
      <c r="X64" s="270"/>
      <c r="Y64" s="271"/>
      <c r="Z64" s="266"/>
      <c r="AA64" s="266"/>
      <c r="AB64" s="266"/>
      <c r="AC64" s="266"/>
      <c r="AD64" s="266"/>
      <c r="AE64" s="272"/>
      <c r="AF64" s="272"/>
      <c r="AG64" s="272"/>
      <c r="AH64" s="266"/>
      <c r="AI64" s="266"/>
      <c r="AJ64" s="266"/>
      <c r="AK64" s="266"/>
      <c r="AL64" s="266"/>
      <c r="AM64" s="266"/>
      <c r="AN64" s="266"/>
      <c r="AO64" s="266"/>
      <c r="AP64" s="266"/>
      <c r="AQ64" s="266"/>
      <c r="AR64" s="266"/>
      <c r="AS64" s="266"/>
      <c r="AT64" s="266"/>
      <c r="AU64" s="266"/>
      <c r="AV64" s="266"/>
      <c r="AW64" s="266"/>
      <c r="AX64" s="266"/>
      <c r="AY64" s="272"/>
      <c r="AZ64" s="272"/>
      <c r="BA64" s="272"/>
      <c r="BB64" s="272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272"/>
      <c r="BV64" s="272"/>
      <c r="BW64" s="272"/>
      <c r="BX64" s="272"/>
      <c r="BY64" s="272"/>
      <c r="BZ64" s="272"/>
      <c r="CA64" s="273"/>
      <c r="CB64" s="273"/>
      <c r="CC64" s="273"/>
      <c r="CD64" s="273"/>
      <c r="CE64" s="272"/>
      <c r="CF64" s="272"/>
      <c r="CG64" s="272"/>
      <c r="CH64" s="272"/>
      <c r="CI64" s="272"/>
      <c r="CJ64" s="272"/>
      <c r="CK64" s="272"/>
      <c r="CL64" s="272"/>
      <c r="CM64" s="272"/>
      <c r="CN64" s="272"/>
      <c r="CO64" s="272"/>
      <c r="CP64" s="272"/>
      <c r="CQ64" s="272"/>
      <c r="CR64" s="272"/>
      <c r="CS64" s="272"/>
      <c r="CT64" s="272"/>
      <c r="CU64" s="272"/>
      <c r="CV64" s="272"/>
      <c r="CW64" s="272"/>
      <c r="CX64" s="272"/>
      <c r="CY64" s="272"/>
      <c r="CZ64" s="272"/>
      <c r="DA64" s="272"/>
      <c r="DB64" s="272"/>
      <c r="DC64" s="272"/>
      <c r="DD64" s="272"/>
      <c r="DE64" s="273"/>
      <c r="DF64" s="272"/>
      <c r="DG64" s="272"/>
      <c r="DH64" s="272"/>
      <c r="DI64" s="272"/>
      <c r="DJ64" s="272"/>
      <c r="DK64" s="272"/>
      <c r="DL64" s="272"/>
      <c r="DM64" s="272"/>
      <c r="DN64" s="272"/>
      <c r="DO64" s="272"/>
      <c r="DP64" s="272"/>
      <c r="DQ64" s="272"/>
      <c r="DR64" s="272"/>
      <c r="DS64" s="272"/>
      <c r="DT64" s="272"/>
      <c r="DU64" s="272"/>
      <c r="DV64" s="272"/>
      <c r="DW64" s="272"/>
      <c r="DX64" s="272"/>
      <c r="DY64" s="272"/>
      <c r="DZ64" s="272"/>
    </row>
    <row r="65" spans="1:130" s="75" customFormat="1" ht="15.75" customHeight="1">
      <c r="A65" s="260"/>
      <c r="B65" s="261"/>
      <c r="C65" s="262"/>
      <c r="D65" s="263"/>
      <c r="E65" s="263"/>
      <c r="F65" s="264"/>
      <c r="G65" s="261"/>
      <c r="H65" s="264"/>
      <c r="I65" s="264"/>
      <c r="J65" s="264"/>
      <c r="K65" s="264"/>
      <c r="L65" s="261"/>
      <c r="M65" s="261"/>
      <c r="N65" s="261"/>
      <c r="O65" s="265"/>
      <c r="P65" s="265"/>
      <c r="Q65" s="266"/>
      <c r="R65" s="267"/>
      <c r="S65" s="267"/>
      <c r="T65" s="268"/>
      <c r="U65" s="269"/>
      <c r="V65" s="270"/>
      <c r="W65" s="268"/>
      <c r="X65" s="270"/>
      <c r="Y65" s="271"/>
      <c r="Z65" s="266"/>
      <c r="AA65" s="266"/>
      <c r="AB65" s="266"/>
      <c r="AC65" s="266"/>
      <c r="AD65" s="266"/>
      <c r="AE65" s="272"/>
      <c r="AF65" s="272"/>
      <c r="AG65" s="272"/>
      <c r="AH65" s="266"/>
      <c r="AI65" s="266"/>
      <c r="AJ65" s="266"/>
      <c r="AK65" s="266"/>
      <c r="AL65" s="266"/>
      <c r="AM65" s="266"/>
      <c r="AN65" s="266"/>
      <c r="AO65" s="266"/>
      <c r="AP65" s="266"/>
      <c r="AQ65" s="266"/>
      <c r="AR65" s="266"/>
      <c r="AS65" s="266"/>
      <c r="AT65" s="266"/>
      <c r="AU65" s="266"/>
      <c r="AV65" s="266"/>
      <c r="AW65" s="266"/>
      <c r="AX65" s="266"/>
      <c r="AY65" s="272"/>
      <c r="AZ65" s="272"/>
      <c r="BA65" s="272"/>
      <c r="BB65" s="272"/>
      <c r="BC65" s="272"/>
      <c r="BD65" s="272"/>
      <c r="BE65" s="272"/>
      <c r="BF65" s="277"/>
      <c r="BG65" s="277"/>
      <c r="BH65" s="272"/>
      <c r="BI65" s="272"/>
      <c r="BJ65" s="272"/>
      <c r="BK65" s="272"/>
      <c r="BL65" s="272"/>
      <c r="BM65" s="272"/>
      <c r="BN65" s="272"/>
      <c r="BO65" s="272"/>
      <c r="BP65" s="272"/>
      <c r="BQ65" s="272"/>
      <c r="BR65" s="272"/>
      <c r="BS65" s="272"/>
      <c r="BT65" s="272"/>
      <c r="BU65" s="272"/>
      <c r="BV65" s="272"/>
      <c r="BW65" s="272"/>
      <c r="BX65" s="272"/>
      <c r="BY65" s="272"/>
      <c r="BZ65" s="272"/>
      <c r="CA65" s="273"/>
      <c r="CB65" s="273"/>
      <c r="CC65" s="273"/>
      <c r="CD65" s="273"/>
      <c r="CE65" s="272"/>
      <c r="CF65" s="272"/>
      <c r="CG65" s="272"/>
      <c r="CH65" s="272"/>
      <c r="CI65" s="272"/>
      <c r="CJ65" s="272"/>
      <c r="CK65" s="272"/>
      <c r="CL65" s="272"/>
      <c r="CM65" s="272"/>
      <c r="CN65" s="272"/>
      <c r="CO65" s="272"/>
      <c r="CP65" s="272"/>
      <c r="CQ65" s="272"/>
      <c r="CR65" s="272"/>
      <c r="CS65" s="272"/>
      <c r="CT65" s="272"/>
      <c r="CU65" s="272"/>
      <c r="CV65" s="272"/>
      <c r="CW65" s="272"/>
      <c r="CX65" s="272"/>
      <c r="CY65" s="272"/>
      <c r="CZ65" s="272"/>
      <c r="DA65" s="272"/>
      <c r="DB65" s="272"/>
      <c r="DC65" s="272"/>
      <c r="DD65" s="272"/>
      <c r="DE65" s="273"/>
      <c r="DF65" s="272"/>
      <c r="DG65" s="272"/>
      <c r="DH65" s="272"/>
      <c r="DI65" s="272"/>
      <c r="DJ65" s="272"/>
      <c r="DK65" s="272"/>
      <c r="DL65" s="272"/>
      <c r="DM65" s="272"/>
      <c r="DN65" s="272"/>
      <c r="DO65" s="272"/>
      <c r="DP65" s="272"/>
      <c r="DQ65" s="272"/>
      <c r="DR65" s="272"/>
      <c r="DS65" s="272"/>
      <c r="DT65" s="272"/>
      <c r="DU65" s="272"/>
      <c r="DV65" s="272"/>
      <c r="DW65" s="272"/>
      <c r="DX65" s="272"/>
      <c r="DY65" s="272"/>
      <c r="DZ65" s="272"/>
    </row>
    <row r="66" spans="1:130" s="75" customFormat="1" ht="15.75" customHeight="1">
      <c r="A66" s="260"/>
      <c r="B66" s="261"/>
      <c r="C66" s="262"/>
      <c r="D66" s="263"/>
      <c r="E66" s="263"/>
      <c r="F66" s="264"/>
      <c r="G66" s="261"/>
      <c r="H66" s="264"/>
      <c r="I66" s="264"/>
      <c r="J66" s="264"/>
      <c r="K66" s="264"/>
      <c r="L66" s="261"/>
      <c r="M66" s="261"/>
      <c r="N66" s="261"/>
      <c r="O66" s="265"/>
      <c r="P66" s="265"/>
      <c r="Q66" s="266"/>
      <c r="R66" s="267"/>
      <c r="S66" s="267"/>
      <c r="T66" s="268"/>
      <c r="U66" s="269"/>
      <c r="V66" s="270"/>
      <c r="W66" s="268"/>
      <c r="X66" s="270"/>
      <c r="Y66" s="271"/>
      <c r="Z66" s="266"/>
      <c r="AA66" s="266"/>
      <c r="AB66" s="266"/>
      <c r="AC66" s="266"/>
      <c r="AD66" s="266"/>
      <c r="AE66" s="272"/>
      <c r="AF66" s="272"/>
      <c r="AG66" s="272"/>
      <c r="AH66" s="266"/>
      <c r="AI66" s="266"/>
      <c r="AJ66" s="266"/>
      <c r="AK66" s="266"/>
      <c r="AL66" s="266"/>
      <c r="AM66" s="266"/>
      <c r="AN66" s="266"/>
      <c r="AO66" s="266"/>
      <c r="AP66" s="266"/>
      <c r="AQ66" s="266"/>
      <c r="AR66" s="266"/>
      <c r="AS66" s="266"/>
      <c r="AT66" s="266"/>
      <c r="AU66" s="266"/>
      <c r="AV66" s="266"/>
      <c r="AW66" s="266"/>
      <c r="AX66" s="266"/>
      <c r="AY66" s="272"/>
      <c r="AZ66" s="272"/>
      <c r="BA66" s="272"/>
      <c r="BB66" s="272"/>
      <c r="BC66" s="272"/>
      <c r="BD66" s="272"/>
      <c r="BE66" s="272"/>
      <c r="BF66" s="277"/>
      <c r="BG66" s="277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2"/>
      <c r="BS66" s="272"/>
      <c r="BT66" s="272"/>
      <c r="BU66" s="272"/>
      <c r="BV66" s="272"/>
      <c r="BW66" s="272"/>
      <c r="BX66" s="272"/>
      <c r="BY66" s="272"/>
      <c r="BZ66" s="272"/>
      <c r="CA66" s="273"/>
      <c r="CB66" s="273"/>
      <c r="CC66" s="273"/>
      <c r="CD66" s="273"/>
      <c r="CE66" s="272"/>
      <c r="CF66" s="272"/>
      <c r="CG66" s="272"/>
      <c r="CH66" s="272"/>
      <c r="CI66" s="272"/>
      <c r="CJ66" s="272"/>
      <c r="CK66" s="272"/>
      <c r="CL66" s="272"/>
      <c r="CM66" s="272"/>
      <c r="CN66" s="272"/>
      <c r="CO66" s="272"/>
      <c r="CP66" s="272"/>
      <c r="CQ66" s="272"/>
      <c r="CR66" s="272"/>
      <c r="CS66" s="272"/>
      <c r="CT66" s="272"/>
      <c r="CU66" s="272"/>
      <c r="CV66" s="272"/>
      <c r="CW66" s="272"/>
      <c r="CX66" s="272"/>
      <c r="CY66" s="272"/>
      <c r="CZ66" s="272"/>
      <c r="DA66" s="272"/>
      <c r="DB66" s="272"/>
      <c r="DC66" s="272"/>
      <c r="DD66" s="272"/>
      <c r="DE66" s="273"/>
      <c r="DF66" s="272"/>
      <c r="DG66" s="272"/>
      <c r="DH66" s="272"/>
      <c r="DI66" s="272"/>
      <c r="DJ66" s="272"/>
      <c r="DK66" s="272"/>
      <c r="DL66" s="272"/>
      <c r="DM66" s="272"/>
      <c r="DN66" s="272"/>
      <c r="DO66" s="272"/>
      <c r="DP66" s="272"/>
      <c r="DQ66" s="272"/>
      <c r="DR66" s="272"/>
      <c r="DS66" s="272"/>
      <c r="DT66" s="272"/>
      <c r="DU66" s="272"/>
      <c r="DV66" s="272"/>
      <c r="DW66" s="272"/>
      <c r="DX66" s="272"/>
      <c r="DY66" s="272"/>
      <c r="DZ66" s="272"/>
    </row>
    <row r="67" spans="1:130">
      <c r="BF67" s="278"/>
      <c r="BG67" s="278"/>
    </row>
    <row r="68" spans="1:130">
      <c r="BF68" s="278"/>
      <c r="BG68" s="278"/>
    </row>
    <row r="69" spans="1:130">
      <c r="BF69" s="278"/>
      <c r="BG69" s="278"/>
    </row>
    <row r="70" spans="1:130">
      <c r="BF70" s="278"/>
      <c r="BG70" s="278"/>
    </row>
    <row r="71" spans="1:130">
      <c r="BF71" s="278"/>
      <c r="BG71" s="278"/>
    </row>
    <row r="72" spans="1:130">
      <c r="BF72" s="278"/>
      <c r="BG72" s="278"/>
    </row>
    <row r="73" spans="1:130">
      <c r="BF73" s="278"/>
      <c r="BG73" s="278"/>
    </row>
    <row r="74" spans="1:130">
      <c r="BF74" s="278"/>
      <c r="BG74" s="278"/>
    </row>
    <row r="75" spans="1:130">
      <c r="BG75" s="278"/>
    </row>
    <row r="76" spans="1:130">
      <c r="BG76" s="278"/>
    </row>
    <row r="77" spans="1:130">
      <c r="BG77" s="278"/>
    </row>
    <row r="78" spans="1:130">
      <c r="BG78" s="278"/>
    </row>
    <row r="79" spans="1:130">
      <c r="BF79" s="278"/>
      <c r="BG79" s="278"/>
    </row>
    <row r="80" spans="1:130">
      <c r="BF80" s="278"/>
      <c r="BG80" s="278"/>
    </row>
    <row r="81" spans="59:59">
      <c r="BG81" s="278"/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AD39B-71AE-48DB-A8F4-1CF3F9FE2C26}">
  <dimension ref="A1:EA25"/>
  <sheetViews>
    <sheetView workbookViewId="0">
      <selection activeCell="D40" sqref="D40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3">
        <v>0.7</v>
      </c>
      <c r="BV1" s="2"/>
      <c r="BW1" s="2"/>
      <c r="BX1" s="2"/>
      <c r="BY1" s="2"/>
      <c r="BZ1" s="1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75" customFormat="1">
      <c r="A5" s="33"/>
      <c r="B5" s="34"/>
      <c r="C5" s="35"/>
      <c r="D5" s="61"/>
      <c r="E5" s="61"/>
      <c r="F5" s="37"/>
      <c r="G5" s="38"/>
      <c r="H5" s="39"/>
      <c r="I5" s="39"/>
      <c r="J5" s="39"/>
      <c r="K5" s="39"/>
      <c r="L5" s="34"/>
      <c r="M5" s="34"/>
      <c r="N5" s="34"/>
      <c r="O5" s="53"/>
      <c r="P5" s="53"/>
      <c r="Q5" s="66"/>
      <c r="R5" s="58"/>
      <c r="S5" s="58"/>
      <c r="T5" s="43"/>
      <c r="U5" s="67"/>
      <c r="V5" s="43"/>
      <c r="W5" s="44"/>
      <c r="X5" s="69"/>
      <c r="Y5" s="70"/>
      <c r="Z5" s="71"/>
      <c r="AA5" s="71"/>
      <c r="AB5" s="71"/>
      <c r="AC5" s="71"/>
      <c r="AD5" s="71"/>
      <c r="AE5" s="43"/>
      <c r="AF5" s="43"/>
      <c r="AG5" s="4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43"/>
      <c r="AZ5" s="43"/>
      <c r="BA5" s="43"/>
      <c r="BB5" s="43"/>
      <c r="BC5" s="72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74"/>
      <c r="BQ5" s="43"/>
      <c r="BR5" s="43"/>
      <c r="BS5" s="43"/>
      <c r="BU5" s="71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71"/>
      <c r="DY5" s="71"/>
      <c r="DZ5" s="71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0</v>
      </c>
      <c r="U23" s="146"/>
      <c r="V23" s="147">
        <f t="shared" ref="V23:BA23" si="0">SUM(V5:V22)</f>
        <v>0</v>
      </c>
      <c r="W23" s="147">
        <f t="shared" si="0"/>
        <v>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33F9-92CF-4A05-A769-820D7E045783}">
  <dimension ref="A1:EA49"/>
  <sheetViews>
    <sheetView workbookViewId="0">
      <selection activeCell="A16" sqref="A16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3">
        <v>0.7</v>
      </c>
      <c r="BV1" s="2"/>
      <c r="BW1" s="2"/>
      <c r="BX1" s="2"/>
      <c r="BY1" s="2"/>
      <c r="BZ1" s="1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27.6">
      <c r="A5" s="33">
        <v>44209</v>
      </c>
      <c r="B5" s="34" t="s">
        <v>759</v>
      </c>
      <c r="C5" s="286" t="s">
        <v>8</v>
      </c>
      <c r="D5" s="36">
        <v>0.49236111111111108</v>
      </c>
      <c r="E5" s="36">
        <v>0.49305555555555558</v>
      </c>
      <c r="F5" s="37" t="s">
        <v>0</v>
      </c>
      <c r="G5" s="38">
        <v>1</v>
      </c>
      <c r="H5" s="39">
        <v>883</v>
      </c>
      <c r="I5" s="51" t="str">
        <f>VLOOKUP(H5,'[2]Chart of accounts'!A:H,2,FALSE)</f>
        <v>50210030 00</v>
      </c>
      <c r="J5" s="39"/>
      <c r="K5" s="39"/>
      <c r="L5" s="34"/>
      <c r="M5" s="34"/>
      <c r="N5" s="34"/>
      <c r="O5" s="53" t="s">
        <v>3</v>
      </c>
      <c r="P5" s="53" t="s">
        <v>3</v>
      </c>
      <c r="Q5" s="54" t="s">
        <v>2</v>
      </c>
      <c r="R5" s="42" t="s">
        <v>6</v>
      </c>
      <c r="S5" s="42" t="s">
        <v>761</v>
      </c>
      <c r="T5" s="43">
        <v>10000</v>
      </c>
      <c r="U5" s="52"/>
      <c r="V5" s="43"/>
      <c r="W5" s="44">
        <f>+T5-V5</f>
        <v>10000</v>
      </c>
      <c r="X5" s="59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3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43">
        <v>10000</v>
      </c>
      <c r="BU5" s="47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7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3">
        <v>10000</v>
      </c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32" customFormat="1" ht="27.6">
      <c r="A6" s="76">
        <v>44214</v>
      </c>
      <c r="B6" s="34" t="s">
        <v>759</v>
      </c>
      <c r="C6" s="286" t="s">
        <v>772</v>
      </c>
      <c r="D6" s="36">
        <v>0.38958333333333334</v>
      </c>
      <c r="E6" s="36">
        <v>0.39444444444444443</v>
      </c>
      <c r="F6" s="55" t="s">
        <v>0</v>
      </c>
      <c r="G6" s="38">
        <v>2</v>
      </c>
      <c r="H6" s="39">
        <v>755</v>
      </c>
      <c r="I6" s="39" t="str">
        <f>VLOOKUP(H6,'[3]Chart of accounts'!A:H,2,FALSE)</f>
        <v>50203010 00</v>
      </c>
      <c r="J6" s="39"/>
      <c r="K6" s="39"/>
      <c r="L6" s="34"/>
      <c r="M6" s="34"/>
      <c r="N6" s="34"/>
      <c r="O6" s="40" t="s">
        <v>3</v>
      </c>
      <c r="P6" s="40" t="s">
        <v>3</v>
      </c>
      <c r="Q6" s="78" t="s">
        <v>2</v>
      </c>
      <c r="R6" s="42" t="s">
        <v>773</v>
      </c>
      <c r="S6" s="42" t="s">
        <v>774</v>
      </c>
      <c r="T6" s="47">
        <v>1000</v>
      </c>
      <c r="U6" s="52"/>
      <c r="V6" s="49"/>
      <c r="W6" s="44">
        <f t="shared" ref="W6:W36" si="0">+T6-V6</f>
        <v>1000</v>
      </c>
      <c r="X6" s="45"/>
      <c r="Y6" s="46"/>
      <c r="Z6" s="47"/>
      <c r="AA6" s="47"/>
      <c r="AB6" s="47"/>
      <c r="AC6" s="47"/>
      <c r="AD6" s="47"/>
      <c r="AE6" s="44"/>
      <c r="AF6" s="44"/>
      <c r="AG6" s="44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4"/>
      <c r="AZ6" s="44"/>
      <c r="BA6" s="44"/>
      <c r="BB6" s="44"/>
      <c r="BC6" s="44"/>
      <c r="BD6" s="48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9"/>
      <c r="BQ6" s="44"/>
      <c r="BR6" s="44"/>
      <c r="BS6" s="44"/>
      <c r="BT6" s="47">
        <v>1000</v>
      </c>
      <c r="BU6" s="47"/>
      <c r="BV6" s="44"/>
      <c r="BW6" s="50"/>
      <c r="BX6" s="44"/>
      <c r="BY6" s="44"/>
      <c r="BZ6" s="44"/>
      <c r="CA6" s="44"/>
      <c r="CB6" s="43">
        <f t="shared" ref="CB6:CB11" si="1">SUM(CD6:DZ6)-W6</f>
        <v>0</v>
      </c>
      <c r="CC6" s="44"/>
      <c r="CD6" s="65"/>
      <c r="CE6" s="44"/>
      <c r="CF6" s="44"/>
      <c r="CG6" s="44"/>
      <c r="CH6" s="47">
        <v>1000</v>
      </c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50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7"/>
      <c r="DY6" s="47"/>
      <c r="DZ6" s="47"/>
    </row>
    <row r="7" spans="1:131" s="32" customFormat="1" ht="27.6">
      <c r="A7" s="76">
        <v>44214</v>
      </c>
      <c r="B7" s="34" t="s">
        <v>759</v>
      </c>
      <c r="C7" s="286" t="s">
        <v>772</v>
      </c>
      <c r="D7" s="36">
        <v>0.38958333333333334</v>
      </c>
      <c r="E7" s="36">
        <v>0.39444444444444443</v>
      </c>
      <c r="F7" s="55" t="s">
        <v>0</v>
      </c>
      <c r="G7" s="38">
        <v>2</v>
      </c>
      <c r="H7" s="39">
        <v>765</v>
      </c>
      <c r="I7" s="39" t="str">
        <f>VLOOKUP(H7,'[3]Chart of accounts'!A:H,2,FALSE)</f>
        <v>50203990 00</v>
      </c>
      <c r="J7" s="39"/>
      <c r="K7" s="39"/>
      <c r="L7" s="34"/>
      <c r="M7" s="34"/>
      <c r="N7" s="34"/>
      <c r="O7" s="40" t="s">
        <v>3</v>
      </c>
      <c r="P7" s="40" t="s">
        <v>3</v>
      </c>
      <c r="Q7" s="78" t="s">
        <v>2</v>
      </c>
      <c r="R7" s="42" t="s">
        <v>773</v>
      </c>
      <c r="S7" s="42" t="s">
        <v>774</v>
      </c>
      <c r="T7" s="47">
        <v>600</v>
      </c>
      <c r="U7" s="52"/>
      <c r="V7" s="49"/>
      <c r="W7" s="44">
        <f t="shared" si="0"/>
        <v>600</v>
      </c>
      <c r="X7" s="45"/>
      <c r="Y7" s="46"/>
      <c r="Z7" s="47"/>
      <c r="AA7" s="47"/>
      <c r="AB7" s="47"/>
      <c r="AC7" s="47"/>
      <c r="AD7" s="47"/>
      <c r="AE7" s="44"/>
      <c r="AF7" s="44"/>
      <c r="AG7" s="44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4"/>
      <c r="AZ7" s="44"/>
      <c r="BA7" s="44"/>
      <c r="BB7" s="44"/>
      <c r="BC7" s="44"/>
      <c r="BD7" s="48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9"/>
      <c r="BQ7" s="44"/>
      <c r="BR7" s="44"/>
      <c r="BS7" s="44"/>
      <c r="BT7" s="47">
        <v>600</v>
      </c>
      <c r="BU7" s="47"/>
      <c r="BV7" s="44"/>
      <c r="BW7" s="50"/>
      <c r="BX7" s="44"/>
      <c r="BY7" s="44"/>
      <c r="BZ7" s="44"/>
      <c r="CA7" s="44"/>
      <c r="CB7" s="43">
        <f t="shared" si="1"/>
        <v>0</v>
      </c>
      <c r="CC7" s="44"/>
      <c r="CD7" s="65"/>
      <c r="CE7" s="44"/>
      <c r="CF7" s="44"/>
      <c r="CG7" s="44"/>
      <c r="CI7" s="44"/>
      <c r="CJ7" s="44"/>
      <c r="CK7" s="47">
        <v>600</v>
      </c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50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7"/>
      <c r="DY7" s="47"/>
      <c r="DZ7" s="47"/>
    </row>
    <row r="8" spans="1:131" s="32" customFormat="1" ht="27.6">
      <c r="A8" s="76">
        <v>44214</v>
      </c>
      <c r="B8" s="34" t="s">
        <v>759</v>
      </c>
      <c r="C8" s="286" t="s">
        <v>772</v>
      </c>
      <c r="D8" s="36">
        <v>0.38958333333333334</v>
      </c>
      <c r="E8" s="36">
        <v>0.39444444444444443</v>
      </c>
      <c r="F8" s="55" t="s">
        <v>0</v>
      </c>
      <c r="G8" s="38">
        <v>2</v>
      </c>
      <c r="H8" s="39">
        <v>781</v>
      </c>
      <c r="I8" s="39" t="str">
        <f>VLOOKUP(H8,'[3]Chart of accounts'!A:H,2,FALSE)</f>
        <v>50299020 00</v>
      </c>
      <c r="J8" s="39"/>
      <c r="K8" s="39"/>
      <c r="L8" s="34"/>
      <c r="M8" s="34"/>
      <c r="N8" s="34"/>
      <c r="O8" s="40" t="s">
        <v>3</v>
      </c>
      <c r="P8" s="40" t="s">
        <v>3</v>
      </c>
      <c r="Q8" s="78" t="s">
        <v>2</v>
      </c>
      <c r="R8" s="42" t="s">
        <v>773</v>
      </c>
      <c r="S8" s="42" t="s">
        <v>774</v>
      </c>
      <c r="T8" s="47">
        <v>300</v>
      </c>
      <c r="U8" s="52"/>
      <c r="V8" s="49"/>
      <c r="W8" s="44">
        <f t="shared" si="0"/>
        <v>300</v>
      </c>
      <c r="X8" s="45"/>
      <c r="Y8" s="46"/>
      <c r="Z8" s="47"/>
      <c r="AA8" s="47"/>
      <c r="AB8" s="47"/>
      <c r="AC8" s="47"/>
      <c r="AD8" s="47"/>
      <c r="AE8" s="44"/>
      <c r="AF8" s="44"/>
      <c r="AG8" s="44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4"/>
      <c r="AZ8" s="44"/>
      <c r="BA8" s="44"/>
      <c r="BB8" s="44"/>
      <c r="BC8" s="44"/>
      <c r="BD8" s="48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9"/>
      <c r="BQ8" s="44"/>
      <c r="BR8" s="44"/>
      <c r="BS8" s="44"/>
      <c r="BT8" s="47">
        <v>300</v>
      </c>
      <c r="BU8" s="47"/>
      <c r="BV8" s="44"/>
      <c r="BW8" s="50"/>
      <c r="BX8" s="44"/>
      <c r="BY8" s="44"/>
      <c r="BZ8" s="44"/>
      <c r="CA8" s="44"/>
      <c r="CB8" s="43">
        <f t="shared" si="1"/>
        <v>0</v>
      </c>
      <c r="CC8" s="44"/>
      <c r="CD8" s="65"/>
      <c r="CE8" s="44"/>
      <c r="CF8" s="44"/>
      <c r="CG8" s="44"/>
      <c r="CI8" s="44"/>
      <c r="CJ8" s="44"/>
      <c r="CL8" s="44"/>
      <c r="CM8" s="44"/>
      <c r="CN8" s="44"/>
      <c r="CO8" s="44"/>
      <c r="CP8" s="44"/>
      <c r="CQ8" s="44"/>
      <c r="CR8" s="44"/>
      <c r="CS8" s="44"/>
      <c r="CT8" s="44"/>
      <c r="CU8" s="47">
        <v>300</v>
      </c>
      <c r="CV8" s="44"/>
      <c r="CW8" s="44"/>
      <c r="CX8" s="50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7"/>
      <c r="DY8" s="47"/>
      <c r="DZ8" s="47"/>
    </row>
    <row r="9" spans="1:131" s="32" customFormat="1" ht="27.6">
      <c r="A9" s="76">
        <v>44214</v>
      </c>
      <c r="B9" s="34" t="s">
        <v>759</v>
      </c>
      <c r="C9" s="286" t="s">
        <v>772</v>
      </c>
      <c r="D9" s="36">
        <v>0.38958333333333334</v>
      </c>
      <c r="E9" s="36">
        <v>0.39444444444444443</v>
      </c>
      <c r="F9" s="55" t="s">
        <v>0</v>
      </c>
      <c r="G9" s="38">
        <v>2</v>
      </c>
      <c r="H9" s="39">
        <v>795</v>
      </c>
      <c r="I9" s="39" t="str">
        <f>VLOOKUP(H9,'[3]Chart of accounts'!A:H,2,FALSE)</f>
        <v>50212990 00</v>
      </c>
      <c r="J9" s="39"/>
      <c r="K9" s="39"/>
      <c r="L9" s="34"/>
      <c r="M9" s="34"/>
      <c r="N9" s="34"/>
      <c r="O9" s="40" t="s">
        <v>3</v>
      </c>
      <c r="P9" s="40" t="s">
        <v>3</v>
      </c>
      <c r="Q9" s="78" t="s">
        <v>2</v>
      </c>
      <c r="R9" s="42" t="s">
        <v>773</v>
      </c>
      <c r="S9" s="42" t="s">
        <v>774</v>
      </c>
      <c r="T9" s="47">
        <v>1500</v>
      </c>
      <c r="U9" s="52"/>
      <c r="V9" s="49"/>
      <c r="W9" s="44">
        <f t="shared" si="0"/>
        <v>1500</v>
      </c>
      <c r="X9" s="45"/>
      <c r="Y9" s="46"/>
      <c r="Z9" s="47"/>
      <c r="AA9" s="47"/>
      <c r="AB9" s="47"/>
      <c r="AC9" s="47"/>
      <c r="AD9" s="47"/>
      <c r="AE9" s="44"/>
      <c r="AF9" s="44"/>
      <c r="AG9" s="44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4"/>
      <c r="AZ9" s="44"/>
      <c r="BA9" s="44"/>
      <c r="BB9" s="44"/>
      <c r="BC9" s="44"/>
      <c r="BD9" s="48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9"/>
      <c r="BQ9" s="44"/>
      <c r="BR9" s="44"/>
      <c r="BS9" s="44"/>
      <c r="BT9" s="47">
        <v>1500</v>
      </c>
      <c r="BU9" s="47"/>
      <c r="BV9" s="44"/>
      <c r="BW9" s="50"/>
      <c r="BX9" s="44"/>
      <c r="BY9" s="44"/>
      <c r="BZ9" s="44"/>
      <c r="CA9" s="44"/>
      <c r="CB9" s="43">
        <f t="shared" si="1"/>
        <v>0</v>
      </c>
      <c r="CC9" s="44"/>
      <c r="CD9" s="65"/>
      <c r="CE9" s="44"/>
      <c r="CF9" s="44"/>
      <c r="CG9" s="44"/>
      <c r="CI9" s="44"/>
      <c r="CJ9" s="44"/>
      <c r="CL9" s="44"/>
      <c r="CM9" s="44"/>
      <c r="CN9" s="44"/>
      <c r="CO9" s="44"/>
      <c r="CP9" s="44"/>
      <c r="CQ9" s="44"/>
      <c r="CR9" s="44"/>
      <c r="CS9" s="44"/>
      <c r="CT9" s="44"/>
      <c r="CV9" s="44"/>
      <c r="CW9" s="44"/>
      <c r="CX9" s="50"/>
      <c r="CY9" s="44"/>
      <c r="CZ9" s="44"/>
      <c r="DA9" s="44"/>
      <c r="DB9" s="44"/>
      <c r="DC9" s="44"/>
      <c r="DD9" s="44"/>
      <c r="DE9" s="47">
        <v>1500</v>
      </c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7"/>
      <c r="DY9" s="47"/>
      <c r="DZ9" s="47"/>
    </row>
    <row r="10" spans="1:131" s="32" customFormat="1" ht="27.6">
      <c r="A10" s="76">
        <v>44214</v>
      </c>
      <c r="B10" s="34" t="s">
        <v>759</v>
      </c>
      <c r="C10" s="286" t="s">
        <v>772</v>
      </c>
      <c r="D10" s="36">
        <v>0.38958333333333334</v>
      </c>
      <c r="E10" s="36">
        <v>0.39444444444444443</v>
      </c>
      <c r="F10" s="55" t="s">
        <v>0</v>
      </c>
      <c r="G10" s="38">
        <v>2</v>
      </c>
      <c r="H10" s="39">
        <v>799</v>
      </c>
      <c r="I10" s="39" t="str">
        <f>VLOOKUP(H10,'[3]Chart of accounts'!A:H,2,FALSE)</f>
        <v>50211990 00</v>
      </c>
      <c r="J10" s="39"/>
      <c r="K10" s="39"/>
      <c r="L10" s="34"/>
      <c r="M10" s="34"/>
      <c r="N10" s="34"/>
      <c r="O10" s="40" t="s">
        <v>3</v>
      </c>
      <c r="P10" s="40" t="s">
        <v>3</v>
      </c>
      <c r="Q10" s="78" t="s">
        <v>2</v>
      </c>
      <c r="R10" s="42" t="s">
        <v>773</v>
      </c>
      <c r="S10" s="42" t="s">
        <v>774</v>
      </c>
      <c r="T10" s="44">
        <v>1000</v>
      </c>
      <c r="U10" s="52"/>
      <c r="V10" s="49"/>
      <c r="W10" s="44">
        <f t="shared" si="0"/>
        <v>1000</v>
      </c>
      <c r="X10" s="45"/>
      <c r="Y10" s="46"/>
      <c r="Z10" s="47"/>
      <c r="AA10" s="47"/>
      <c r="AB10" s="47"/>
      <c r="AC10" s="47"/>
      <c r="AD10" s="47"/>
      <c r="AE10" s="44"/>
      <c r="AF10" s="44"/>
      <c r="AG10" s="44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4"/>
      <c r="AZ10" s="44"/>
      <c r="BA10" s="44"/>
      <c r="BB10" s="44"/>
      <c r="BC10" s="44"/>
      <c r="BD10" s="48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9"/>
      <c r="BQ10" s="44"/>
      <c r="BR10" s="44"/>
      <c r="BS10" s="44"/>
      <c r="BT10" s="44">
        <v>1000</v>
      </c>
      <c r="BU10" s="47"/>
      <c r="BV10" s="44"/>
      <c r="BW10" s="50"/>
      <c r="BX10" s="44"/>
      <c r="BY10" s="44"/>
      <c r="BZ10" s="44"/>
      <c r="CA10" s="44"/>
      <c r="CB10" s="43">
        <f t="shared" si="1"/>
        <v>0</v>
      </c>
      <c r="CC10" s="44"/>
      <c r="CD10" s="65"/>
      <c r="CE10" s="44"/>
      <c r="CF10" s="44"/>
      <c r="CG10" s="44"/>
      <c r="CI10" s="44"/>
      <c r="CJ10" s="44"/>
      <c r="CL10" s="44"/>
      <c r="CM10" s="44"/>
      <c r="CN10" s="44"/>
      <c r="CO10" s="44"/>
      <c r="CP10" s="44"/>
      <c r="CQ10" s="44"/>
      <c r="CR10" s="44"/>
      <c r="CS10" s="44"/>
      <c r="CT10" s="44"/>
      <c r="CV10" s="44"/>
      <c r="CW10" s="44"/>
      <c r="CX10" s="50"/>
      <c r="CY10" s="44"/>
      <c r="CZ10" s="44"/>
      <c r="DA10" s="44"/>
      <c r="DB10" s="44"/>
      <c r="DC10" s="44"/>
      <c r="DD10" s="44"/>
      <c r="DF10" s="44"/>
      <c r="DG10" s="44"/>
      <c r="DH10" s="44">
        <v>1000</v>
      </c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7"/>
      <c r="DY10" s="47"/>
      <c r="DZ10" s="47"/>
    </row>
    <row r="11" spans="1:131" s="32" customFormat="1" ht="27.6">
      <c r="A11" s="76">
        <v>44214</v>
      </c>
      <c r="B11" s="34" t="s">
        <v>759</v>
      </c>
      <c r="C11" s="286" t="s">
        <v>772</v>
      </c>
      <c r="D11" s="36">
        <v>0.38958333333333334</v>
      </c>
      <c r="E11" s="36">
        <v>0.39444444444444443</v>
      </c>
      <c r="F11" s="55" t="s">
        <v>0</v>
      </c>
      <c r="G11" s="38">
        <v>2</v>
      </c>
      <c r="H11" s="39">
        <v>969</v>
      </c>
      <c r="I11" s="39" t="str">
        <f>VLOOKUP(H11,'[3]Chart of accounts'!A:H,2,FALSE)</f>
        <v>50299990 99</v>
      </c>
      <c r="J11" s="39"/>
      <c r="K11" s="39"/>
      <c r="L11" s="34"/>
      <c r="M11" s="34"/>
      <c r="N11" s="34"/>
      <c r="O11" s="40" t="s">
        <v>3</v>
      </c>
      <c r="P11" s="40" t="s">
        <v>3</v>
      </c>
      <c r="Q11" s="78" t="s">
        <v>2</v>
      </c>
      <c r="R11" s="42" t="s">
        <v>773</v>
      </c>
      <c r="S11" s="42" t="s">
        <v>774</v>
      </c>
      <c r="T11" s="44">
        <v>600</v>
      </c>
      <c r="U11" s="52"/>
      <c r="V11" s="49"/>
      <c r="W11" s="44">
        <f t="shared" si="0"/>
        <v>600</v>
      </c>
      <c r="X11" s="45"/>
      <c r="Y11" s="46"/>
      <c r="Z11" s="47"/>
      <c r="AA11" s="47"/>
      <c r="AB11" s="47"/>
      <c r="AC11" s="47"/>
      <c r="AD11" s="47"/>
      <c r="AE11" s="44"/>
      <c r="AF11" s="44"/>
      <c r="AG11" s="44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4"/>
      <c r="AZ11" s="44"/>
      <c r="BA11" s="44"/>
      <c r="BB11" s="44"/>
      <c r="BC11" s="44"/>
      <c r="BD11" s="48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9"/>
      <c r="BQ11" s="44"/>
      <c r="BR11" s="44"/>
      <c r="BS11" s="44"/>
      <c r="BT11" s="44">
        <v>600</v>
      </c>
      <c r="BU11" s="47"/>
      <c r="BV11" s="44"/>
      <c r="BW11" s="50"/>
      <c r="BX11" s="44"/>
      <c r="BY11" s="44"/>
      <c r="BZ11" s="44"/>
      <c r="CA11" s="44"/>
      <c r="CB11" s="43">
        <f t="shared" si="1"/>
        <v>0</v>
      </c>
      <c r="CC11" s="44"/>
      <c r="CD11" s="65"/>
      <c r="CE11" s="44"/>
      <c r="CF11" s="44"/>
      <c r="CG11" s="44"/>
      <c r="CI11" s="44"/>
      <c r="CJ11" s="44"/>
      <c r="CL11" s="44"/>
      <c r="CM11" s="44"/>
      <c r="CN11" s="44"/>
      <c r="CO11" s="44"/>
      <c r="CP11" s="44"/>
      <c r="CQ11" s="44"/>
      <c r="CR11" s="44"/>
      <c r="CS11" s="44"/>
      <c r="CT11" s="44"/>
      <c r="CV11" s="44"/>
      <c r="CW11" s="44"/>
      <c r="CX11" s="50"/>
      <c r="CY11" s="44"/>
      <c r="CZ11" s="44"/>
      <c r="DA11" s="44"/>
      <c r="DB11" s="44"/>
      <c r="DC11" s="44"/>
      <c r="DD11" s="44"/>
      <c r="DF11" s="44"/>
      <c r="DG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>
        <v>600</v>
      </c>
      <c r="DX11" s="47"/>
      <c r="DY11" s="47"/>
      <c r="DZ11" s="47"/>
    </row>
    <row r="12" spans="1:131" s="75" customFormat="1" ht="27.6">
      <c r="A12" s="76">
        <v>44214</v>
      </c>
      <c r="B12" s="56" t="s">
        <v>759</v>
      </c>
      <c r="C12" s="293" t="s">
        <v>778</v>
      </c>
      <c r="D12" s="61">
        <v>0.72152777777777777</v>
      </c>
      <c r="E12" s="61">
        <v>0.72222222222222221</v>
      </c>
      <c r="F12" s="55" t="s">
        <v>0</v>
      </c>
      <c r="G12" s="38">
        <v>2</v>
      </c>
      <c r="H12" s="55">
        <v>782</v>
      </c>
      <c r="I12" s="37" t="str">
        <f>VLOOKUP(H12,'[2]Chart of accounts'!A:H,2,FALSE)</f>
        <v>50299050 01</v>
      </c>
      <c r="J12" s="55"/>
      <c r="K12" s="55"/>
      <c r="L12" s="56"/>
      <c r="M12" s="56"/>
      <c r="N12" s="56"/>
      <c r="O12" s="131" t="s">
        <v>3</v>
      </c>
      <c r="P12" s="131" t="s">
        <v>3</v>
      </c>
      <c r="Q12" s="66" t="s">
        <v>2</v>
      </c>
      <c r="R12" s="58" t="s">
        <v>779</v>
      </c>
      <c r="S12" s="58" t="s">
        <v>850</v>
      </c>
      <c r="T12" s="43">
        <f>160190.04</f>
        <v>160190.04</v>
      </c>
      <c r="U12" s="67"/>
      <c r="V12" s="74"/>
      <c r="W12" s="43">
        <f t="shared" si="0"/>
        <v>160190.04</v>
      </c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D12" s="135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43">
        <f>160190.04</f>
        <v>160190.04</v>
      </c>
      <c r="BU12" s="71"/>
      <c r="BV12" s="43"/>
      <c r="BW12" s="239"/>
      <c r="BX12" s="43"/>
      <c r="BY12" s="43"/>
      <c r="BZ12" s="43"/>
      <c r="CA12" s="43"/>
      <c r="CB12" s="43"/>
      <c r="CC12" s="43"/>
      <c r="CD12" s="63"/>
      <c r="CE12" s="43"/>
      <c r="CF12" s="43"/>
      <c r="CG12" s="43"/>
      <c r="CH12" s="164"/>
      <c r="CI12" s="43"/>
      <c r="CJ12" s="43"/>
      <c r="CK12" s="68"/>
      <c r="CL12" s="43"/>
      <c r="CM12" s="43"/>
      <c r="CN12" s="43"/>
      <c r="CO12" s="43"/>
      <c r="CP12" s="43"/>
      <c r="CQ12" s="43"/>
      <c r="CR12" s="43"/>
      <c r="CS12" s="43"/>
      <c r="CT12" s="43"/>
      <c r="CU12" s="68"/>
      <c r="CV12" s="43">
        <f>160190.04</f>
        <v>160190.04</v>
      </c>
      <c r="CW12" s="43"/>
      <c r="CX12" s="239"/>
      <c r="CY12" s="43"/>
      <c r="CZ12" s="43"/>
      <c r="DA12" s="43"/>
      <c r="DB12" s="43"/>
      <c r="DC12" s="43"/>
      <c r="DD12" s="43"/>
      <c r="DE12" s="68"/>
      <c r="DF12" s="43"/>
      <c r="DG12" s="43"/>
      <c r="DH12" s="68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 ht="27.6">
      <c r="A13" s="76">
        <v>44214</v>
      </c>
      <c r="B13" s="34" t="s">
        <v>759</v>
      </c>
      <c r="C13" s="286" t="s">
        <v>778</v>
      </c>
      <c r="D13" s="61">
        <v>0.72152777777777777</v>
      </c>
      <c r="E13" s="36">
        <v>0.72430555555555554</v>
      </c>
      <c r="F13" s="55" t="s">
        <v>0</v>
      </c>
      <c r="G13" s="38">
        <v>2</v>
      </c>
      <c r="H13" s="39">
        <v>782</v>
      </c>
      <c r="I13" s="51" t="str">
        <f>VLOOKUP(H13,'[2]Chart of accounts'!A:H,2,FALSE)</f>
        <v>50299050 01</v>
      </c>
      <c r="J13" s="39"/>
      <c r="K13" s="39"/>
      <c r="L13" s="34"/>
      <c r="M13" s="34"/>
      <c r="N13" s="34"/>
      <c r="O13" s="40" t="s">
        <v>3</v>
      </c>
      <c r="P13" s="40" t="s">
        <v>3</v>
      </c>
      <c r="Q13" s="41" t="s">
        <v>2</v>
      </c>
      <c r="R13" s="42" t="s">
        <v>779</v>
      </c>
      <c r="S13" s="42" t="s">
        <v>780</v>
      </c>
      <c r="T13" s="44">
        <v>10311.43</v>
      </c>
      <c r="U13" s="52"/>
      <c r="V13" s="49"/>
      <c r="W13" s="44">
        <f t="shared" si="0"/>
        <v>10311.43</v>
      </c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9"/>
      <c r="BQ13" s="44"/>
      <c r="BR13" s="44"/>
      <c r="BS13" s="44"/>
      <c r="BT13" s="44">
        <v>10311.43</v>
      </c>
      <c r="BU13" s="47"/>
      <c r="BV13" s="44"/>
      <c r="BW13" s="50"/>
      <c r="BX13" s="44"/>
      <c r="BY13" s="44"/>
      <c r="BZ13" s="44"/>
      <c r="CA13" s="44"/>
      <c r="CB13" s="43"/>
      <c r="CC13" s="44"/>
      <c r="CD13" s="65"/>
      <c r="CE13" s="44"/>
      <c r="CF13" s="44"/>
      <c r="CG13" s="44"/>
      <c r="CI13" s="44"/>
      <c r="CJ13" s="44"/>
      <c r="CL13" s="44"/>
      <c r="CM13" s="44"/>
      <c r="CN13" s="44"/>
      <c r="CO13" s="44"/>
      <c r="CP13" s="44"/>
      <c r="CQ13" s="44"/>
      <c r="CR13" s="44"/>
      <c r="CS13" s="44"/>
      <c r="CT13" s="44"/>
      <c r="CV13" s="44">
        <v>10311.43</v>
      </c>
      <c r="CW13" s="44"/>
      <c r="CX13" s="50"/>
      <c r="CY13" s="44"/>
      <c r="CZ13" s="44"/>
      <c r="DA13" s="44"/>
      <c r="DB13" s="44"/>
      <c r="DC13" s="44"/>
      <c r="DD13" s="44"/>
      <c r="DF13" s="44"/>
      <c r="DG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</row>
    <row r="14" spans="1:131" s="32" customFormat="1" ht="41.4">
      <c r="A14" s="76">
        <v>44215</v>
      </c>
      <c r="B14" s="34" t="s">
        <v>759</v>
      </c>
      <c r="C14" s="286" t="s">
        <v>781</v>
      </c>
      <c r="D14" s="36">
        <v>0.54305555555555551</v>
      </c>
      <c r="E14" s="36">
        <v>0.54375000000000007</v>
      </c>
      <c r="F14" s="55" t="s">
        <v>0</v>
      </c>
      <c r="G14" s="38">
        <v>2</v>
      </c>
      <c r="H14" s="39">
        <v>892</v>
      </c>
      <c r="I14" s="51" t="str">
        <f>VLOOKUP(H14,'[2]Chart of accounts'!A:H,2,FALSE)</f>
        <v>50215020 00</v>
      </c>
      <c r="J14" s="39"/>
      <c r="K14" s="39"/>
      <c r="L14" s="34"/>
      <c r="M14" s="34"/>
      <c r="N14" s="34"/>
      <c r="O14" s="40" t="s">
        <v>3</v>
      </c>
      <c r="P14" s="40" t="s">
        <v>3</v>
      </c>
      <c r="Q14" s="41" t="s">
        <v>2</v>
      </c>
      <c r="R14" s="42" t="s">
        <v>782</v>
      </c>
      <c r="S14" s="42" t="s">
        <v>783</v>
      </c>
      <c r="T14" s="44">
        <v>11250</v>
      </c>
      <c r="U14" s="52"/>
      <c r="V14" s="49"/>
      <c r="W14" s="44">
        <f t="shared" si="0"/>
        <v>11250</v>
      </c>
      <c r="X14" s="45"/>
      <c r="Y14" s="46"/>
      <c r="Z14" s="47"/>
      <c r="AA14" s="47"/>
      <c r="AB14" s="47"/>
      <c r="AC14" s="47"/>
      <c r="AD14" s="47"/>
      <c r="AE14" s="44"/>
      <c r="AF14" s="44"/>
      <c r="AG14" s="44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4"/>
      <c r="AZ14" s="44"/>
      <c r="BA14" s="44"/>
      <c r="BB14" s="44"/>
      <c r="BC14" s="44"/>
      <c r="BD14" s="48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9"/>
      <c r="BQ14" s="44"/>
      <c r="BR14" s="44"/>
      <c r="BS14" s="44"/>
      <c r="BT14" s="44">
        <v>11250</v>
      </c>
      <c r="BU14" s="47"/>
      <c r="BV14" s="44"/>
      <c r="BW14" s="50"/>
      <c r="BX14" s="44"/>
      <c r="BY14" s="44"/>
      <c r="BZ14" s="44"/>
      <c r="CA14" s="44"/>
      <c r="CB14" s="43"/>
      <c r="CC14" s="44"/>
      <c r="CD14" s="65"/>
      <c r="CE14" s="44"/>
      <c r="CF14" s="44"/>
      <c r="CG14" s="44"/>
      <c r="CI14" s="44"/>
      <c r="CJ14" s="44"/>
      <c r="CL14" s="44"/>
      <c r="CM14" s="44"/>
      <c r="CN14" s="44"/>
      <c r="CO14" s="44"/>
      <c r="CP14" s="44"/>
      <c r="CQ14" s="44"/>
      <c r="CR14" s="44"/>
      <c r="CS14" s="44"/>
      <c r="CT14" s="44"/>
      <c r="CV14" s="44"/>
      <c r="CW14" s="44"/>
      <c r="CX14" s="50"/>
      <c r="CY14" s="44"/>
      <c r="CZ14" s="44"/>
      <c r="DA14" s="44"/>
      <c r="DB14" s="44"/>
      <c r="DC14" s="44"/>
      <c r="DD14" s="44"/>
      <c r="DF14" s="44"/>
      <c r="DG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>
        <v>11250</v>
      </c>
      <c r="DU14" s="44"/>
      <c r="DV14" s="44"/>
      <c r="DW14" s="44"/>
      <c r="DX14" s="47"/>
      <c r="DY14" s="47"/>
      <c r="DZ14" s="47"/>
    </row>
    <row r="15" spans="1:131" s="32" customFormat="1" ht="41.4">
      <c r="A15" s="76">
        <v>44215</v>
      </c>
      <c r="B15" s="34" t="s">
        <v>759</v>
      </c>
      <c r="C15" s="286" t="s">
        <v>790</v>
      </c>
      <c r="D15" s="36">
        <v>0.71458333333333324</v>
      </c>
      <c r="E15" s="36">
        <v>0.71597222222222223</v>
      </c>
      <c r="F15" s="55" t="s">
        <v>0</v>
      </c>
      <c r="G15" s="38">
        <v>2</v>
      </c>
      <c r="H15" s="39">
        <v>773</v>
      </c>
      <c r="I15" s="51" t="str">
        <f>VLOOKUP(H15,'[2]Chart of accounts'!A:H,2,FALSE)</f>
        <v>50205020 01</v>
      </c>
      <c r="J15" s="39"/>
      <c r="K15" s="39"/>
      <c r="L15" s="34"/>
      <c r="M15" s="34"/>
      <c r="N15" s="34"/>
      <c r="O15" s="40" t="s">
        <v>3</v>
      </c>
      <c r="P15" s="40" t="s">
        <v>3</v>
      </c>
      <c r="Q15" s="41" t="s">
        <v>2</v>
      </c>
      <c r="R15" s="42" t="s">
        <v>791</v>
      </c>
      <c r="S15" s="42" t="s">
        <v>792</v>
      </c>
      <c r="T15" s="44">
        <v>2500</v>
      </c>
      <c r="U15" s="52"/>
      <c r="V15" s="49"/>
      <c r="W15" s="44">
        <f t="shared" si="0"/>
        <v>2500</v>
      </c>
      <c r="X15" s="45"/>
      <c r="Y15" s="46"/>
      <c r="Z15" s="47"/>
      <c r="AA15" s="47"/>
      <c r="AB15" s="47"/>
      <c r="AC15" s="47"/>
      <c r="AD15" s="47"/>
      <c r="AE15" s="44"/>
      <c r="AF15" s="44"/>
      <c r="AG15" s="44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4"/>
      <c r="AZ15" s="44"/>
      <c r="BA15" s="44"/>
      <c r="BB15" s="44"/>
      <c r="BC15" s="44"/>
      <c r="BD15" s="48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49"/>
      <c r="BQ15" s="44"/>
      <c r="BR15" s="44"/>
      <c r="BS15" s="44"/>
      <c r="BT15" s="44">
        <v>2500</v>
      </c>
      <c r="BU15" s="47"/>
      <c r="BV15" s="44"/>
      <c r="BW15" s="50"/>
      <c r="BX15" s="44"/>
      <c r="BY15" s="44"/>
      <c r="BZ15" s="44"/>
      <c r="CA15" s="44"/>
      <c r="CB15" s="43"/>
      <c r="CC15" s="44"/>
      <c r="CD15" s="65"/>
      <c r="CE15" s="44"/>
      <c r="CF15" s="44"/>
      <c r="CG15" s="44"/>
      <c r="CI15" s="44"/>
      <c r="CJ15" s="44"/>
      <c r="CL15" s="44"/>
      <c r="CM15" s="44"/>
      <c r="CN15" s="44"/>
      <c r="CO15" s="44"/>
      <c r="CP15" s="44">
        <v>2500</v>
      </c>
      <c r="CQ15" s="44"/>
      <c r="CR15" s="44"/>
      <c r="CS15" s="44"/>
      <c r="CT15" s="44"/>
      <c r="CV15" s="44"/>
      <c r="CW15" s="44"/>
      <c r="CX15" s="50"/>
      <c r="CY15" s="44"/>
      <c r="CZ15" s="44"/>
      <c r="DA15" s="44"/>
      <c r="DB15" s="44"/>
      <c r="DC15" s="44"/>
      <c r="DD15" s="44"/>
      <c r="DF15" s="44"/>
      <c r="DG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47"/>
      <c r="DY15" s="47"/>
      <c r="DZ15" s="47"/>
    </row>
    <row r="16" spans="1:131" s="411" customFormat="1" ht="41.4">
      <c r="A16" s="402">
        <v>44215</v>
      </c>
      <c r="B16" s="403" t="s">
        <v>759</v>
      </c>
      <c r="C16" s="404" t="s">
        <v>793</v>
      </c>
      <c r="D16" s="405">
        <v>0.71597222222222223</v>
      </c>
      <c r="E16" s="405">
        <v>0.71666666666666667</v>
      </c>
      <c r="F16" s="412" t="s">
        <v>0</v>
      </c>
      <c r="G16" s="413">
        <v>2</v>
      </c>
      <c r="H16" s="406">
        <v>775</v>
      </c>
      <c r="I16" s="406" t="str">
        <f>VLOOKUP(H16,'[2]Chart of accounts'!A:H,2,FALSE)</f>
        <v>50205040 00</v>
      </c>
      <c r="J16" s="406"/>
      <c r="K16" s="406"/>
      <c r="L16" s="403"/>
      <c r="M16" s="403"/>
      <c r="N16" s="403"/>
      <c r="O16" s="407" t="s">
        <v>3</v>
      </c>
      <c r="P16" s="407" t="s">
        <v>3</v>
      </c>
      <c r="Q16" s="414" t="s">
        <v>2</v>
      </c>
      <c r="R16" s="409" t="s">
        <v>794</v>
      </c>
      <c r="S16" s="409" t="s">
        <v>795</v>
      </c>
      <c r="T16" s="65"/>
      <c r="U16" s="46"/>
      <c r="V16" s="64"/>
      <c r="W16" s="65">
        <f t="shared" si="0"/>
        <v>0</v>
      </c>
      <c r="X16" s="45"/>
      <c r="Y16" s="46"/>
      <c r="Z16" s="45"/>
      <c r="AA16" s="45"/>
      <c r="AB16" s="45"/>
      <c r="AC16" s="45"/>
      <c r="AD16" s="45"/>
      <c r="AE16" s="65"/>
      <c r="AF16" s="65"/>
      <c r="AG16" s="6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65"/>
      <c r="AZ16" s="65"/>
      <c r="BA16" s="65"/>
      <c r="BB16" s="65"/>
      <c r="BC16" s="65"/>
      <c r="BD16" s="410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4"/>
      <c r="BQ16" s="65"/>
      <c r="BR16" s="65"/>
      <c r="BS16" s="65"/>
      <c r="BT16" s="65"/>
      <c r="BU16" s="45"/>
      <c r="BV16" s="65"/>
      <c r="BW16" s="65"/>
      <c r="BX16" s="65"/>
      <c r="BY16" s="65"/>
      <c r="BZ16" s="65"/>
      <c r="CA16" s="65"/>
      <c r="CB16" s="63"/>
      <c r="CC16" s="65"/>
      <c r="CD16" s="65"/>
      <c r="CE16" s="65"/>
      <c r="CF16" s="65"/>
      <c r="CG16" s="65"/>
      <c r="CI16" s="65"/>
      <c r="CJ16" s="65"/>
      <c r="CL16" s="65"/>
      <c r="CM16" s="65"/>
      <c r="CN16" s="65"/>
      <c r="CO16" s="65"/>
      <c r="CP16" s="65"/>
      <c r="CQ16" s="65"/>
      <c r="CR16" s="65"/>
      <c r="CS16" s="65"/>
      <c r="CT16" s="65"/>
      <c r="CV16" s="65"/>
      <c r="CW16" s="65"/>
      <c r="CX16" s="65"/>
      <c r="CY16" s="65"/>
      <c r="CZ16" s="65"/>
      <c r="DA16" s="65"/>
      <c r="DB16" s="65"/>
      <c r="DC16" s="65"/>
      <c r="DD16" s="65"/>
      <c r="DF16" s="65"/>
      <c r="DG16" s="65"/>
      <c r="DI16" s="65"/>
      <c r="DJ16" s="65"/>
      <c r="DK16" s="65"/>
      <c r="DL16" s="65"/>
      <c r="DM16" s="65"/>
      <c r="DN16" s="65"/>
      <c r="DO16" s="65"/>
      <c r="DP16" s="65"/>
      <c r="DQ16" s="65"/>
      <c r="DR16" s="65"/>
      <c r="DS16" s="65"/>
      <c r="DT16" s="65"/>
      <c r="DU16" s="65"/>
      <c r="DV16" s="65"/>
      <c r="DW16" s="65"/>
      <c r="DX16" s="45"/>
      <c r="DY16" s="45"/>
      <c r="DZ16" s="45"/>
    </row>
    <row r="17" spans="1:130" s="32" customFormat="1" ht="27.6">
      <c r="A17" s="76">
        <v>44217</v>
      </c>
      <c r="B17" s="34" t="s">
        <v>759</v>
      </c>
      <c r="C17" s="286" t="s">
        <v>807</v>
      </c>
      <c r="D17" s="36">
        <v>0.70000000000000007</v>
      </c>
      <c r="E17" s="36">
        <v>0.7006944444444444</v>
      </c>
      <c r="F17" s="55" t="s">
        <v>0</v>
      </c>
      <c r="G17" s="38">
        <v>2</v>
      </c>
      <c r="H17" s="39">
        <v>755</v>
      </c>
      <c r="I17" s="51" t="str">
        <f>VLOOKUP(H17,'[2]Chart of accounts'!A:H,2,FALSE)</f>
        <v>50203010 00</v>
      </c>
      <c r="J17" s="39"/>
      <c r="K17" s="39"/>
      <c r="L17" s="34"/>
      <c r="M17" s="34"/>
      <c r="N17" s="34"/>
      <c r="O17" s="40" t="s">
        <v>3</v>
      </c>
      <c r="P17" s="40" t="s">
        <v>3</v>
      </c>
      <c r="Q17" s="41" t="s">
        <v>2</v>
      </c>
      <c r="R17" s="42" t="s">
        <v>773</v>
      </c>
      <c r="S17" s="42" t="s">
        <v>808</v>
      </c>
      <c r="T17" s="44">
        <v>1834.25</v>
      </c>
      <c r="U17" s="52"/>
      <c r="V17" s="49"/>
      <c r="W17" s="44">
        <f t="shared" si="0"/>
        <v>1834.25</v>
      </c>
      <c r="X17" s="45"/>
      <c r="Y17" s="46"/>
      <c r="Z17" s="47"/>
      <c r="AA17" s="47"/>
      <c r="AB17" s="47"/>
      <c r="AC17" s="47"/>
      <c r="AD17" s="47"/>
      <c r="AE17" s="44"/>
      <c r="AF17" s="44"/>
      <c r="AG17" s="44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4"/>
      <c r="AZ17" s="44"/>
      <c r="BA17" s="44"/>
      <c r="BB17" s="44"/>
      <c r="BC17" s="44"/>
      <c r="BD17" s="48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9"/>
      <c r="BQ17" s="44"/>
      <c r="BR17" s="44"/>
      <c r="BS17" s="44"/>
      <c r="BT17" s="44">
        <v>1834.25</v>
      </c>
      <c r="BU17" s="47"/>
      <c r="BV17" s="44"/>
      <c r="BW17" s="50"/>
      <c r="BX17" s="44"/>
      <c r="BY17" s="44"/>
      <c r="BZ17" s="44"/>
      <c r="CA17" s="44"/>
      <c r="CB17" s="43"/>
      <c r="CC17" s="44"/>
      <c r="CD17" s="65"/>
      <c r="CE17" s="44"/>
      <c r="CF17" s="44"/>
      <c r="CG17" s="44"/>
      <c r="CH17" s="44">
        <v>1834.25</v>
      </c>
      <c r="CI17" s="44"/>
      <c r="CJ17" s="44"/>
      <c r="CL17" s="44"/>
      <c r="CM17" s="44"/>
      <c r="CN17" s="44"/>
      <c r="CO17" s="44"/>
      <c r="CP17" s="44"/>
      <c r="CQ17" s="44"/>
      <c r="CR17" s="44"/>
      <c r="CS17" s="44"/>
      <c r="CT17" s="44"/>
      <c r="CV17" s="44"/>
      <c r="CW17" s="44"/>
      <c r="CX17" s="50"/>
      <c r="CY17" s="44"/>
      <c r="CZ17" s="44"/>
      <c r="DA17" s="44"/>
      <c r="DB17" s="44"/>
      <c r="DC17" s="44"/>
      <c r="DD17" s="44"/>
      <c r="DF17" s="44"/>
      <c r="DG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47"/>
      <c r="DY17" s="47"/>
      <c r="DZ17" s="47"/>
    </row>
    <row r="18" spans="1:130" s="32" customFormat="1" ht="27.6">
      <c r="A18" s="76">
        <v>44217</v>
      </c>
      <c r="B18" s="34" t="s">
        <v>759</v>
      </c>
      <c r="C18" s="286" t="s">
        <v>807</v>
      </c>
      <c r="D18" s="36">
        <v>0.70000000000000007</v>
      </c>
      <c r="E18" s="36">
        <v>0.7006944444444444</v>
      </c>
      <c r="F18" s="55" t="s">
        <v>0</v>
      </c>
      <c r="G18" s="38">
        <v>2</v>
      </c>
      <c r="H18" s="39">
        <v>792</v>
      </c>
      <c r="I18" s="51" t="str">
        <f>VLOOKUP(H18,'[2]Chart of accounts'!A:H,2,FALSE)</f>
        <v>50211020 00</v>
      </c>
      <c r="J18" s="39"/>
      <c r="K18" s="39"/>
      <c r="L18" s="34"/>
      <c r="M18" s="34"/>
      <c r="N18" s="34"/>
      <c r="O18" s="40" t="s">
        <v>3</v>
      </c>
      <c r="P18" s="40" t="s">
        <v>3</v>
      </c>
      <c r="Q18" s="41" t="s">
        <v>2</v>
      </c>
      <c r="R18" s="42" t="s">
        <v>773</v>
      </c>
      <c r="S18" s="42" t="s">
        <v>808</v>
      </c>
      <c r="T18" s="44">
        <v>219</v>
      </c>
      <c r="U18" s="52"/>
      <c r="V18" s="49"/>
      <c r="W18" s="44">
        <f t="shared" si="0"/>
        <v>219</v>
      </c>
      <c r="X18" s="45"/>
      <c r="Y18" s="46"/>
      <c r="Z18" s="47"/>
      <c r="AA18" s="47"/>
      <c r="AB18" s="47"/>
      <c r="AC18" s="47"/>
      <c r="AD18" s="47"/>
      <c r="AE18" s="44"/>
      <c r="AF18" s="44"/>
      <c r="AG18" s="44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4"/>
      <c r="AZ18" s="44"/>
      <c r="BA18" s="44"/>
      <c r="BB18" s="44"/>
      <c r="BC18" s="44"/>
      <c r="BD18" s="48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9"/>
      <c r="BQ18" s="44"/>
      <c r="BR18" s="44"/>
      <c r="BS18" s="44"/>
      <c r="BT18" s="44">
        <v>219</v>
      </c>
      <c r="BU18" s="47"/>
      <c r="BV18" s="44"/>
      <c r="BW18" s="50"/>
      <c r="BX18" s="44"/>
      <c r="BY18" s="44"/>
      <c r="BZ18" s="44"/>
      <c r="CA18" s="44"/>
      <c r="CB18" s="43"/>
      <c r="CC18" s="44"/>
      <c r="CD18" s="65"/>
      <c r="CE18" s="44"/>
      <c r="CF18" s="44"/>
      <c r="CG18" s="44"/>
      <c r="CI18" s="44"/>
      <c r="CJ18" s="44"/>
      <c r="CL18" s="44"/>
      <c r="CM18" s="44"/>
      <c r="CN18" s="44"/>
      <c r="CO18" s="44"/>
      <c r="CP18" s="44"/>
      <c r="CQ18" s="44"/>
      <c r="CR18" s="44"/>
      <c r="CS18" s="44"/>
      <c r="CT18" s="44"/>
      <c r="CV18" s="44"/>
      <c r="CW18" s="44"/>
      <c r="CX18" s="50"/>
      <c r="CY18" s="44"/>
      <c r="CZ18" s="44"/>
      <c r="DA18" s="44"/>
      <c r="DB18" s="44"/>
      <c r="DC18" s="44">
        <v>219</v>
      </c>
      <c r="DD18" s="44"/>
      <c r="DF18" s="44"/>
      <c r="DG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7"/>
      <c r="DY18" s="47"/>
      <c r="DZ18" s="47"/>
    </row>
    <row r="19" spans="1:130" s="32" customFormat="1" ht="27.6">
      <c r="A19" s="76">
        <v>44217</v>
      </c>
      <c r="B19" s="34" t="s">
        <v>759</v>
      </c>
      <c r="C19" s="286" t="s">
        <v>807</v>
      </c>
      <c r="D19" s="36">
        <v>0.70000000000000007</v>
      </c>
      <c r="E19" s="36">
        <v>0.7006944444444444</v>
      </c>
      <c r="F19" s="55" t="s">
        <v>0</v>
      </c>
      <c r="G19" s="38">
        <v>2</v>
      </c>
      <c r="H19" s="39">
        <v>795</v>
      </c>
      <c r="I19" s="51" t="str">
        <f>VLOOKUP(H19,'[2]Chart of accounts'!A:H,2,FALSE)</f>
        <v>50212990 00</v>
      </c>
      <c r="J19" s="39"/>
      <c r="K19" s="39"/>
      <c r="L19" s="34"/>
      <c r="M19" s="34"/>
      <c r="N19" s="34"/>
      <c r="O19" s="40" t="s">
        <v>3</v>
      </c>
      <c r="P19" s="40" t="s">
        <v>3</v>
      </c>
      <c r="Q19" s="41" t="s">
        <v>2</v>
      </c>
      <c r="R19" s="42" t="s">
        <v>773</v>
      </c>
      <c r="S19" s="42" t="s">
        <v>808</v>
      </c>
      <c r="T19" s="44">
        <v>1960</v>
      </c>
      <c r="U19" s="52"/>
      <c r="V19" s="49"/>
      <c r="W19" s="44">
        <f t="shared" si="0"/>
        <v>1960</v>
      </c>
      <c r="X19" s="45"/>
      <c r="Y19" s="46"/>
      <c r="Z19" s="47"/>
      <c r="AA19" s="47"/>
      <c r="AB19" s="47"/>
      <c r="AC19" s="47"/>
      <c r="AD19" s="47"/>
      <c r="AE19" s="44"/>
      <c r="AF19" s="44"/>
      <c r="AG19" s="44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4"/>
      <c r="AZ19" s="44"/>
      <c r="BA19" s="44"/>
      <c r="BB19" s="44"/>
      <c r="BC19" s="44"/>
      <c r="BD19" s="48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49"/>
      <c r="BQ19" s="44"/>
      <c r="BR19" s="44"/>
      <c r="BS19" s="44"/>
      <c r="BT19" s="44">
        <v>1960</v>
      </c>
      <c r="BU19" s="47"/>
      <c r="BV19" s="44"/>
      <c r="BW19" s="50"/>
      <c r="BX19" s="44"/>
      <c r="BY19" s="44"/>
      <c r="BZ19" s="44"/>
      <c r="CA19" s="44"/>
      <c r="CB19" s="43"/>
      <c r="CC19" s="44"/>
      <c r="CD19" s="65"/>
      <c r="CE19" s="44"/>
      <c r="CF19" s="44"/>
      <c r="CG19" s="44"/>
      <c r="CI19" s="44"/>
      <c r="CJ19" s="44"/>
      <c r="CL19" s="44"/>
      <c r="CM19" s="44"/>
      <c r="CN19" s="44"/>
      <c r="CO19" s="44"/>
      <c r="CP19" s="44"/>
      <c r="CQ19" s="44"/>
      <c r="CR19" s="44"/>
      <c r="CS19" s="44"/>
      <c r="CT19" s="44"/>
      <c r="CV19" s="44"/>
      <c r="CW19" s="44"/>
      <c r="CX19" s="50"/>
      <c r="CY19" s="44"/>
      <c r="CZ19" s="44"/>
      <c r="DA19" s="44"/>
      <c r="DB19" s="44"/>
      <c r="DD19" s="44"/>
      <c r="DE19" s="44">
        <v>1960</v>
      </c>
      <c r="DF19" s="44"/>
      <c r="DG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7"/>
      <c r="DY19" s="47"/>
      <c r="DZ19" s="47"/>
    </row>
    <row r="20" spans="1:130" s="32" customFormat="1" ht="27.6">
      <c r="A20" s="76">
        <v>44217</v>
      </c>
      <c r="B20" s="34" t="s">
        <v>759</v>
      </c>
      <c r="C20" s="286" t="s">
        <v>807</v>
      </c>
      <c r="D20" s="36">
        <v>0.70000000000000007</v>
      </c>
      <c r="E20" s="36">
        <v>0.7006944444444444</v>
      </c>
      <c r="F20" s="55" t="s">
        <v>0</v>
      </c>
      <c r="G20" s="38">
        <v>2</v>
      </c>
      <c r="H20" s="39">
        <v>799</v>
      </c>
      <c r="I20" s="51" t="str">
        <f>VLOOKUP(H20,'[2]Chart of accounts'!A:H,2,FALSE)</f>
        <v>50211990 00</v>
      </c>
      <c r="J20" s="39"/>
      <c r="K20" s="39"/>
      <c r="L20" s="34"/>
      <c r="M20" s="34"/>
      <c r="N20" s="34"/>
      <c r="O20" s="40" t="s">
        <v>3</v>
      </c>
      <c r="P20" s="40" t="s">
        <v>3</v>
      </c>
      <c r="Q20" s="41" t="s">
        <v>2</v>
      </c>
      <c r="R20" s="42" t="s">
        <v>773</v>
      </c>
      <c r="S20" s="42" t="s">
        <v>808</v>
      </c>
      <c r="T20" s="44">
        <v>300</v>
      </c>
      <c r="U20" s="52"/>
      <c r="V20" s="49"/>
      <c r="W20" s="44">
        <f t="shared" si="0"/>
        <v>300</v>
      </c>
      <c r="X20" s="45"/>
      <c r="Y20" s="46"/>
      <c r="Z20" s="47"/>
      <c r="AA20" s="47"/>
      <c r="AB20" s="47"/>
      <c r="AC20" s="47"/>
      <c r="AD20" s="47"/>
      <c r="AE20" s="44"/>
      <c r="AF20" s="44"/>
      <c r="AG20" s="44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4"/>
      <c r="AZ20" s="44"/>
      <c r="BA20" s="44"/>
      <c r="BB20" s="44"/>
      <c r="BC20" s="44"/>
      <c r="BD20" s="48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9"/>
      <c r="BQ20" s="44"/>
      <c r="BR20" s="44"/>
      <c r="BS20" s="44"/>
      <c r="BT20" s="44">
        <v>300</v>
      </c>
      <c r="BU20" s="47"/>
      <c r="BV20" s="44"/>
      <c r="BW20" s="50"/>
      <c r="BX20" s="44"/>
      <c r="BY20" s="44"/>
      <c r="BZ20" s="44"/>
      <c r="CA20" s="44"/>
      <c r="CB20" s="43"/>
      <c r="CC20" s="44"/>
      <c r="CD20" s="65"/>
      <c r="CE20" s="44"/>
      <c r="CF20" s="44"/>
      <c r="CG20" s="44"/>
      <c r="CI20" s="44"/>
      <c r="CJ20" s="44"/>
      <c r="CL20" s="44"/>
      <c r="CM20" s="44"/>
      <c r="CN20" s="44"/>
      <c r="CO20" s="44"/>
      <c r="CP20" s="44"/>
      <c r="CQ20" s="44"/>
      <c r="CR20" s="44"/>
      <c r="CS20" s="44"/>
      <c r="CT20" s="44"/>
      <c r="CV20" s="44"/>
      <c r="CW20" s="44"/>
      <c r="CX20" s="50"/>
      <c r="CY20" s="44"/>
      <c r="CZ20" s="44"/>
      <c r="DA20" s="44"/>
      <c r="DB20" s="44"/>
      <c r="DD20" s="44"/>
      <c r="DF20" s="44"/>
      <c r="DG20" s="44"/>
      <c r="DH20" s="44">
        <v>300</v>
      </c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/>
      <c r="DV20" s="44"/>
      <c r="DW20" s="44"/>
      <c r="DX20" s="47"/>
      <c r="DY20" s="47"/>
      <c r="DZ20" s="47"/>
    </row>
    <row r="21" spans="1:130" s="32" customFormat="1" ht="27.6">
      <c r="A21" s="76">
        <v>44218</v>
      </c>
      <c r="B21" s="34" t="s">
        <v>759</v>
      </c>
      <c r="C21" s="286" t="s">
        <v>809</v>
      </c>
      <c r="D21" s="36">
        <v>0.70763888888888893</v>
      </c>
      <c r="E21" s="36">
        <v>0.70833333333333337</v>
      </c>
      <c r="F21" s="55" t="s">
        <v>0</v>
      </c>
      <c r="G21" s="38">
        <v>2</v>
      </c>
      <c r="H21" s="39">
        <v>761</v>
      </c>
      <c r="I21" s="51" t="str">
        <f>VLOOKUP(H21,'[2]Chart of accounts'!A:H,2,FALSE)</f>
        <v>50203090 00</v>
      </c>
      <c r="J21" s="39"/>
      <c r="K21" s="39"/>
      <c r="L21" s="34"/>
      <c r="M21" s="34"/>
      <c r="N21" s="34"/>
      <c r="O21" s="53" t="s">
        <v>11</v>
      </c>
      <c r="P21" s="40" t="s">
        <v>812</v>
      </c>
      <c r="Q21" s="41" t="s">
        <v>2</v>
      </c>
      <c r="R21" s="42" t="s">
        <v>810</v>
      </c>
      <c r="S21" s="42" t="s">
        <v>811</v>
      </c>
      <c r="T21" s="44">
        <v>6006.93</v>
      </c>
      <c r="U21" s="52"/>
      <c r="V21" s="49"/>
      <c r="W21" s="44">
        <f t="shared" si="0"/>
        <v>6006.93</v>
      </c>
      <c r="X21" s="45"/>
      <c r="Y21" s="46"/>
      <c r="Z21" s="47"/>
      <c r="AA21" s="47"/>
      <c r="AB21" s="47"/>
      <c r="AC21" s="47"/>
      <c r="AD21" s="47"/>
      <c r="AE21" s="44"/>
      <c r="AF21" s="44"/>
      <c r="AG21" s="44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4"/>
      <c r="AZ21" s="44"/>
      <c r="BA21" s="44"/>
      <c r="BB21" s="44"/>
      <c r="BC21" s="44"/>
      <c r="BD21" s="48"/>
      <c r="BE21" s="44"/>
      <c r="BF21" s="44"/>
      <c r="BG21" s="44"/>
      <c r="BH21" s="44"/>
      <c r="BI21" s="44"/>
      <c r="BJ21" s="44"/>
      <c r="BK21" s="44"/>
      <c r="BL21" s="44"/>
      <c r="BM21" s="44"/>
      <c r="BN21" s="44"/>
      <c r="BO21" s="44"/>
      <c r="BP21" s="49"/>
      <c r="BQ21" s="44"/>
      <c r="BR21" s="44"/>
      <c r="BS21" s="44"/>
      <c r="BT21" s="44"/>
      <c r="BU21" s="44">
        <v>6006.93</v>
      </c>
      <c r="BV21" s="44"/>
      <c r="BW21" s="50"/>
      <c r="BX21" s="44"/>
      <c r="BY21" s="44"/>
      <c r="BZ21" s="44"/>
      <c r="CA21" s="44"/>
      <c r="CB21" s="43"/>
      <c r="CC21" s="44"/>
      <c r="CD21" s="65"/>
      <c r="CE21" s="44"/>
      <c r="CF21" s="44"/>
      <c r="CG21" s="44"/>
      <c r="CI21" s="44"/>
      <c r="CJ21" s="44">
        <v>6006.93</v>
      </c>
      <c r="CL21" s="44"/>
      <c r="CM21" s="44"/>
      <c r="CN21" s="44"/>
      <c r="CO21" s="44"/>
      <c r="CP21" s="44"/>
      <c r="CQ21" s="44"/>
      <c r="CR21" s="44"/>
      <c r="CS21" s="44"/>
      <c r="CT21" s="44"/>
      <c r="CV21" s="44"/>
      <c r="CW21" s="44"/>
      <c r="CX21" s="50"/>
      <c r="CY21" s="44"/>
      <c r="CZ21" s="44"/>
      <c r="DA21" s="44"/>
      <c r="DB21" s="44"/>
      <c r="DD21" s="44"/>
      <c r="DF21" s="44"/>
      <c r="DG21" s="44"/>
      <c r="DH21" s="129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7"/>
      <c r="DY21" s="47"/>
      <c r="DZ21" s="47"/>
    </row>
    <row r="22" spans="1:130" s="32" customFormat="1" ht="27.6">
      <c r="A22" s="76">
        <v>44218</v>
      </c>
      <c r="B22" s="34" t="s">
        <v>759</v>
      </c>
      <c r="C22" s="286" t="s">
        <v>809</v>
      </c>
      <c r="D22" s="36">
        <v>0.70763888888888893</v>
      </c>
      <c r="E22" s="36">
        <v>0.70833333333333337</v>
      </c>
      <c r="F22" s="55" t="s">
        <v>0</v>
      </c>
      <c r="G22" s="38">
        <v>2</v>
      </c>
      <c r="H22" s="39">
        <v>761</v>
      </c>
      <c r="I22" s="51" t="str">
        <f>VLOOKUP(H22,'[2]Chart of accounts'!A:H,2,FALSE)</f>
        <v>50203090 00</v>
      </c>
      <c r="J22" s="39"/>
      <c r="K22" s="39"/>
      <c r="L22" s="34"/>
      <c r="M22" s="34"/>
      <c r="N22" s="34"/>
      <c r="O22" s="53" t="s">
        <v>4</v>
      </c>
      <c r="P22" s="40" t="s">
        <v>813</v>
      </c>
      <c r="Q22" s="41" t="s">
        <v>2</v>
      </c>
      <c r="R22" s="42" t="s">
        <v>810</v>
      </c>
      <c r="S22" s="42" t="s">
        <v>811</v>
      </c>
      <c r="T22" s="44">
        <v>5794.22</v>
      </c>
      <c r="U22" s="52"/>
      <c r="V22" s="49"/>
      <c r="W22" s="44">
        <f t="shared" si="0"/>
        <v>5794.22</v>
      </c>
      <c r="X22" s="45"/>
      <c r="Y22" s="46"/>
      <c r="Z22" s="47"/>
      <c r="AA22" s="47"/>
      <c r="AB22" s="47"/>
      <c r="AC22" s="47"/>
      <c r="AD22" s="47"/>
      <c r="AE22" s="44"/>
      <c r="AF22" s="44"/>
      <c r="AG22" s="44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4"/>
      <c r="AZ22" s="44"/>
      <c r="BA22" s="44"/>
      <c r="BB22" s="44"/>
      <c r="BC22" s="44"/>
      <c r="BD22" s="48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9"/>
      <c r="BQ22" s="44"/>
      <c r="BR22" s="44"/>
      <c r="BS22" s="44"/>
      <c r="BT22" s="44"/>
      <c r="BV22" s="44"/>
      <c r="BW22" s="44">
        <v>5794.22</v>
      </c>
      <c r="BX22" s="44"/>
      <c r="BY22" s="44"/>
      <c r="BZ22" s="44"/>
      <c r="CA22" s="44"/>
      <c r="CB22" s="43"/>
      <c r="CC22" s="44"/>
      <c r="CD22" s="65"/>
      <c r="CE22" s="44"/>
      <c r="CF22" s="44"/>
      <c r="CG22" s="44"/>
      <c r="CI22" s="44"/>
      <c r="CJ22" s="44">
        <v>5794.22</v>
      </c>
      <c r="CL22" s="44"/>
      <c r="CM22" s="44"/>
      <c r="CN22" s="44"/>
      <c r="CO22" s="44"/>
      <c r="CP22" s="44"/>
      <c r="CQ22" s="44"/>
      <c r="CR22" s="44"/>
      <c r="CS22" s="44"/>
      <c r="CT22" s="44"/>
      <c r="CV22" s="44"/>
      <c r="CW22" s="44"/>
      <c r="CX22" s="50"/>
      <c r="CY22" s="44"/>
      <c r="CZ22" s="44"/>
      <c r="DA22" s="44"/>
      <c r="DB22" s="44"/>
      <c r="DD22" s="44"/>
      <c r="DF22" s="44"/>
      <c r="DG22" s="44"/>
      <c r="DH22" s="129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7"/>
      <c r="DY22" s="47"/>
      <c r="DZ22" s="47"/>
    </row>
    <row r="23" spans="1:130" s="32" customFormat="1" ht="27.6">
      <c r="A23" s="76">
        <v>44218</v>
      </c>
      <c r="B23" s="34" t="s">
        <v>759</v>
      </c>
      <c r="C23" s="286" t="s">
        <v>809</v>
      </c>
      <c r="D23" s="36">
        <v>0.70763888888888893</v>
      </c>
      <c r="E23" s="36">
        <v>0.70833333333333337</v>
      </c>
      <c r="F23" s="55" t="s">
        <v>0</v>
      </c>
      <c r="G23" s="38">
        <v>2</v>
      </c>
      <c r="H23" s="39">
        <v>761</v>
      </c>
      <c r="I23" s="51" t="str">
        <f>VLOOKUP(H23,'[2]Chart of accounts'!A:H,2,FALSE)</f>
        <v>50203090 00</v>
      </c>
      <c r="J23" s="39"/>
      <c r="K23" s="39"/>
      <c r="L23" s="34"/>
      <c r="M23" s="34"/>
      <c r="N23" s="34"/>
      <c r="O23" s="53" t="s">
        <v>8</v>
      </c>
      <c r="P23" s="40" t="s">
        <v>814</v>
      </c>
      <c r="Q23" s="41" t="s">
        <v>2</v>
      </c>
      <c r="R23" s="42" t="s">
        <v>810</v>
      </c>
      <c r="S23" s="42" t="s">
        <v>811</v>
      </c>
      <c r="T23" s="44">
        <v>1558.07</v>
      </c>
      <c r="U23" s="52"/>
      <c r="V23" s="49"/>
      <c r="W23" s="44">
        <f t="shared" si="0"/>
        <v>1558.07</v>
      </c>
      <c r="X23" s="45"/>
      <c r="Y23" s="46"/>
      <c r="Z23" s="47"/>
      <c r="AA23" s="47"/>
      <c r="AB23" s="47"/>
      <c r="AC23" s="47"/>
      <c r="AD23" s="47"/>
      <c r="AE23" s="44"/>
      <c r="AF23" s="44"/>
      <c r="AG23" s="44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4"/>
      <c r="AZ23" s="44"/>
      <c r="BA23" s="44"/>
      <c r="BB23" s="44"/>
      <c r="BC23" s="44"/>
      <c r="BD23" s="48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9"/>
      <c r="BQ23" s="44"/>
      <c r="BR23" s="44"/>
      <c r="BS23" s="44"/>
      <c r="BT23" s="44"/>
      <c r="BV23" s="44">
        <v>1558.07</v>
      </c>
      <c r="BX23" s="44"/>
      <c r="BY23" s="44"/>
      <c r="BZ23" s="44"/>
      <c r="CA23" s="44"/>
      <c r="CB23" s="43"/>
      <c r="CC23" s="44"/>
      <c r="CD23" s="65"/>
      <c r="CE23" s="44"/>
      <c r="CF23" s="44"/>
      <c r="CG23" s="44"/>
      <c r="CI23" s="44"/>
      <c r="CJ23" s="44">
        <v>1558.07</v>
      </c>
      <c r="CL23" s="44"/>
      <c r="CM23" s="44"/>
      <c r="CN23" s="44"/>
      <c r="CO23" s="44"/>
      <c r="CP23" s="44"/>
      <c r="CQ23" s="44"/>
      <c r="CR23" s="44"/>
      <c r="CS23" s="44"/>
      <c r="CT23" s="44"/>
      <c r="CV23" s="44"/>
      <c r="CW23" s="44"/>
      <c r="CX23" s="50"/>
      <c r="CY23" s="44"/>
      <c r="CZ23" s="44"/>
      <c r="DA23" s="44"/>
      <c r="DB23" s="44"/>
      <c r="DD23" s="44"/>
      <c r="DF23" s="44"/>
      <c r="DG23" s="44"/>
      <c r="DH23" s="129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7"/>
      <c r="DY23" s="47"/>
      <c r="DZ23" s="47"/>
    </row>
    <row r="24" spans="1:130" s="32" customFormat="1" ht="27.6">
      <c r="A24" s="76">
        <v>44218</v>
      </c>
      <c r="B24" s="34" t="s">
        <v>759</v>
      </c>
      <c r="C24" s="286" t="s">
        <v>809</v>
      </c>
      <c r="D24" s="36">
        <v>0.70763888888888893</v>
      </c>
      <c r="E24" s="36">
        <v>0.70833333333333337</v>
      </c>
      <c r="F24" s="55" t="s">
        <v>0</v>
      </c>
      <c r="G24" s="38">
        <v>2</v>
      </c>
      <c r="H24" s="39">
        <v>761</v>
      </c>
      <c r="I24" s="51" t="str">
        <f>VLOOKUP(H24,'[2]Chart of accounts'!A:H,2,FALSE)</f>
        <v>50203090 00</v>
      </c>
      <c r="J24" s="39"/>
      <c r="K24" s="39"/>
      <c r="L24" s="34"/>
      <c r="M24" s="34"/>
      <c r="N24" s="34"/>
      <c r="O24" s="53" t="s">
        <v>763</v>
      </c>
      <c r="P24" s="40" t="s">
        <v>815</v>
      </c>
      <c r="Q24" s="41" t="s">
        <v>2</v>
      </c>
      <c r="R24" s="42" t="s">
        <v>810</v>
      </c>
      <c r="S24" s="42" t="s">
        <v>811</v>
      </c>
      <c r="T24" s="44">
        <v>759.68</v>
      </c>
      <c r="U24" s="52"/>
      <c r="V24" s="49"/>
      <c r="W24" s="44">
        <f t="shared" si="0"/>
        <v>759.68</v>
      </c>
      <c r="X24" s="45"/>
      <c r="Y24" s="46"/>
      <c r="Z24" s="47"/>
      <c r="AA24" s="47"/>
      <c r="AB24" s="47"/>
      <c r="AC24" s="47"/>
      <c r="AD24" s="47"/>
      <c r="AE24" s="44"/>
      <c r="AF24" s="44"/>
      <c r="AG24" s="44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4"/>
      <c r="AZ24" s="44"/>
      <c r="BA24" s="44"/>
      <c r="BB24" s="44"/>
      <c r="BC24" s="44"/>
      <c r="BD24" s="48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9"/>
      <c r="BQ24" s="44"/>
      <c r="BR24" s="44"/>
      <c r="BS24" s="44"/>
      <c r="BT24" s="44"/>
      <c r="BV24" s="44"/>
      <c r="BX24" s="44">
        <v>759.68</v>
      </c>
      <c r="BY24" s="44"/>
      <c r="BZ24" s="44"/>
      <c r="CA24" s="44"/>
      <c r="CB24" s="43"/>
      <c r="CC24" s="44"/>
      <c r="CD24" s="65"/>
      <c r="CE24" s="44"/>
      <c r="CF24" s="44"/>
      <c r="CG24" s="44"/>
      <c r="CI24" s="44"/>
      <c r="CJ24" s="44">
        <v>759.68</v>
      </c>
      <c r="CL24" s="44"/>
      <c r="CM24" s="44"/>
      <c r="CN24" s="44"/>
      <c r="CO24" s="44"/>
      <c r="CP24" s="44"/>
      <c r="CQ24" s="44"/>
      <c r="CR24" s="44"/>
      <c r="CS24" s="44"/>
      <c r="CT24" s="44"/>
      <c r="CV24" s="44"/>
      <c r="CW24" s="44"/>
      <c r="CX24" s="50"/>
      <c r="CY24" s="44"/>
      <c r="CZ24" s="44"/>
      <c r="DA24" s="44"/>
      <c r="DB24" s="44"/>
      <c r="DD24" s="44"/>
      <c r="DF24" s="44"/>
      <c r="DG24" s="44"/>
      <c r="DH24" s="129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7"/>
      <c r="DY24" s="47"/>
      <c r="DZ24" s="47"/>
    </row>
    <row r="25" spans="1:130" s="32" customFormat="1" ht="27.6">
      <c r="A25" s="76">
        <v>44218</v>
      </c>
      <c r="B25" s="34" t="s">
        <v>759</v>
      </c>
      <c r="C25" s="286" t="s">
        <v>809</v>
      </c>
      <c r="D25" s="36">
        <v>0.70763888888888893</v>
      </c>
      <c r="E25" s="36">
        <v>0.70833333333333337</v>
      </c>
      <c r="F25" s="55" t="s">
        <v>0</v>
      </c>
      <c r="G25" s="38">
        <v>2</v>
      </c>
      <c r="H25" s="39">
        <v>761</v>
      </c>
      <c r="I25" s="51" t="str">
        <f>VLOOKUP(H25,'[2]Chart of accounts'!A:H,2,FALSE)</f>
        <v>50203090 00</v>
      </c>
      <c r="J25" s="39"/>
      <c r="K25" s="39"/>
      <c r="L25" s="34"/>
      <c r="M25" s="34"/>
      <c r="N25" s="34"/>
      <c r="O25" s="53" t="s">
        <v>3</v>
      </c>
      <c r="P25" s="40" t="s">
        <v>816</v>
      </c>
      <c r="Q25" s="41" t="s">
        <v>2</v>
      </c>
      <c r="R25" s="42" t="s">
        <v>810</v>
      </c>
      <c r="S25" s="42" t="s">
        <v>811</v>
      </c>
      <c r="T25" s="44">
        <v>8431.59</v>
      </c>
      <c r="U25" s="52"/>
      <c r="V25" s="49"/>
      <c r="W25" s="44">
        <f t="shared" si="0"/>
        <v>8431.59</v>
      </c>
      <c r="X25" s="45"/>
      <c r="Y25" s="46"/>
      <c r="Z25" s="47"/>
      <c r="AA25" s="47"/>
      <c r="AB25" s="47"/>
      <c r="AC25" s="47"/>
      <c r="AD25" s="47"/>
      <c r="AE25" s="44"/>
      <c r="AF25" s="44"/>
      <c r="AG25" s="44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4"/>
      <c r="AZ25" s="44"/>
      <c r="BA25" s="44"/>
      <c r="BB25" s="44"/>
      <c r="BC25" s="44"/>
      <c r="BD25" s="48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9"/>
      <c r="BQ25" s="44"/>
      <c r="BR25" s="44"/>
      <c r="BS25" s="44"/>
      <c r="BT25" s="44">
        <v>8431.59</v>
      </c>
      <c r="BV25" s="44"/>
      <c r="BW25" s="50"/>
      <c r="BX25" s="44"/>
      <c r="BY25" s="44"/>
      <c r="BZ25" s="44"/>
      <c r="CA25" s="44"/>
      <c r="CB25" s="43"/>
      <c r="CC25" s="44"/>
      <c r="CD25" s="65"/>
      <c r="CE25" s="44"/>
      <c r="CF25" s="44"/>
      <c r="CG25" s="44"/>
      <c r="CI25" s="44"/>
      <c r="CJ25" s="44">
        <v>8431.59</v>
      </c>
      <c r="CL25" s="44"/>
      <c r="CM25" s="44"/>
      <c r="CN25" s="44"/>
      <c r="CO25" s="44"/>
      <c r="CP25" s="44"/>
      <c r="CQ25" s="44"/>
      <c r="CR25" s="44"/>
      <c r="CS25" s="44"/>
      <c r="CT25" s="44"/>
      <c r="CV25" s="44"/>
      <c r="CW25" s="44"/>
      <c r="CX25" s="50"/>
      <c r="CY25" s="44"/>
      <c r="CZ25" s="44"/>
      <c r="DA25" s="44"/>
      <c r="DB25" s="44"/>
      <c r="DD25" s="44"/>
      <c r="DF25" s="44"/>
      <c r="DG25" s="44"/>
      <c r="DH25" s="129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/>
      <c r="DX25" s="47"/>
      <c r="DY25" s="47"/>
      <c r="DZ25" s="47"/>
    </row>
    <row r="26" spans="1:130" s="32" customFormat="1" ht="27.6">
      <c r="A26" s="76">
        <v>44221</v>
      </c>
      <c r="B26" s="34" t="s">
        <v>759</v>
      </c>
      <c r="C26" s="286" t="s">
        <v>817</v>
      </c>
      <c r="D26" s="36">
        <v>0.59027777777777779</v>
      </c>
      <c r="E26" s="36">
        <v>0.59097222222222223</v>
      </c>
      <c r="F26" s="55" t="s">
        <v>0</v>
      </c>
      <c r="G26" s="38">
        <v>2</v>
      </c>
      <c r="H26" s="39">
        <v>783</v>
      </c>
      <c r="I26" s="51" t="str">
        <f>VLOOKUP(H26,'[2]Chart of accounts'!A:H,2,FALSE)</f>
        <v>50299030 00</v>
      </c>
      <c r="J26" s="39"/>
      <c r="K26" s="39"/>
      <c r="L26" s="34"/>
      <c r="M26" s="34"/>
      <c r="N26" s="34"/>
      <c r="O26" s="53" t="s">
        <v>3</v>
      </c>
      <c r="P26" s="53" t="s">
        <v>3</v>
      </c>
      <c r="Q26" s="41" t="s">
        <v>788</v>
      </c>
      <c r="R26" s="42" t="s">
        <v>818</v>
      </c>
      <c r="S26" s="42" t="s">
        <v>819</v>
      </c>
      <c r="T26" s="44">
        <v>7800</v>
      </c>
      <c r="U26" s="52"/>
      <c r="V26" s="49"/>
      <c r="W26" s="44">
        <f t="shared" si="0"/>
        <v>7800</v>
      </c>
      <c r="X26" s="45"/>
      <c r="Y26" s="46"/>
      <c r="Z26" s="47"/>
      <c r="AA26" s="47"/>
      <c r="AB26" s="47"/>
      <c r="AC26" s="47"/>
      <c r="AD26" s="47"/>
      <c r="AE26" s="44"/>
      <c r="AF26" s="44"/>
      <c r="AG26" s="44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4"/>
      <c r="AZ26" s="44"/>
      <c r="BA26" s="44"/>
      <c r="BB26" s="44"/>
      <c r="BC26" s="44"/>
      <c r="BD26" s="48"/>
      <c r="BE26" s="44"/>
      <c r="BF26" s="44"/>
      <c r="BG26" s="44"/>
      <c r="BH26" s="44"/>
      <c r="BI26" s="44"/>
      <c r="BJ26" s="44"/>
      <c r="BK26" s="44"/>
      <c r="BL26" s="44"/>
      <c r="BM26" s="44"/>
      <c r="BN26" s="44"/>
      <c r="BO26" s="44"/>
      <c r="BP26" s="49"/>
      <c r="BQ26" s="44"/>
      <c r="BR26" s="44"/>
      <c r="BS26" s="44"/>
      <c r="BT26" s="44">
        <v>7800</v>
      </c>
      <c r="BU26" s="47"/>
      <c r="BV26" s="44"/>
      <c r="BW26" s="50"/>
      <c r="BX26" s="44"/>
      <c r="BY26" s="44"/>
      <c r="BZ26" s="44"/>
      <c r="CA26" s="44"/>
      <c r="CB26" s="43"/>
      <c r="CC26" s="44"/>
      <c r="CD26" s="65"/>
      <c r="CE26" s="44"/>
      <c r="CF26" s="44"/>
      <c r="CG26" s="44"/>
      <c r="CI26" s="44"/>
      <c r="CJ26" s="44"/>
      <c r="CL26" s="44"/>
      <c r="CM26" s="44"/>
      <c r="CN26" s="44"/>
      <c r="CO26" s="44"/>
      <c r="CP26" s="44"/>
      <c r="CQ26" s="44"/>
      <c r="CR26" s="44"/>
      <c r="CS26" s="44"/>
      <c r="CT26" s="44"/>
      <c r="CV26" s="44"/>
      <c r="CW26" s="44"/>
      <c r="CX26" s="44">
        <v>7800</v>
      </c>
      <c r="CY26" s="44"/>
      <c r="CZ26" s="44"/>
      <c r="DA26" s="44"/>
      <c r="DB26" s="44"/>
      <c r="DD26" s="44"/>
      <c r="DF26" s="44"/>
      <c r="DG26" s="44"/>
      <c r="DH26" s="129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7"/>
      <c r="DY26" s="47"/>
      <c r="DZ26" s="47"/>
    </row>
    <row r="27" spans="1:130" s="32" customFormat="1" ht="27.6">
      <c r="A27" s="76">
        <v>44221</v>
      </c>
      <c r="B27" s="34" t="s">
        <v>759</v>
      </c>
      <c r="C27" s="286" t="s">
        <v>824</v>
      </c>
      <c r="D27" s="36">
        <v>0.59097222222222223</v>
      </c>
      <c r="E27" s="36">
        <v>0.59236111111111112</v>
      </c>
      <c r="F27" s="55" t="s">
        <v>0</v>
      </c>
      <c r="G27" s="38">
        <v>2</v>
      </c>
      <c r="H27" s="39">
        <v>783</v>
      </c>
      <c r="I27" s="51" t="str">
        <f>VLOOKUP(H27,'[2]Chart of accounts'!A:H,2,FALSE)</f>
        <v>50299030 00</v>
      </c>
      <c r="J27" s="39"/>
      <c r="K27" s="39"/>
      <c r="L27" s="34"/>
      <c r="M27" s="34"/>
      <c r="N27" s="34"/>
      <c r="O27" s="53" t="s">
        <v>3</v>
      </c>
      <c r="P27" s="53" t="s">
        <v>3</v>
      </c>
      <c r="Q27" s="41" t="s">
        <v>776</v>
      </c>
      <c r="R27" s="42" t="s">
        <v>820</v>
      </c>
      <c r="S27" s="42" t="s">
        <v>819</v>
      </c>
      <c r="T27" s="44">
        <v>7800</v>
      </c>
      <c r="U27" s="52"/>
      <c r="V27" s="49"/>
      <c r="W27" s="44">
        <f t="shared" si="0"/>
        <v>7800</v>
      </c>
      <c r="X27" s="45"/>
      <c r="Y27" s="46"/>
      <c r="Z27" s="47"/>
      <c r="AA27" s="47"/>
      <c r="AB27" s="47"/>
      <c r="AC27" s="47"/>
      <c r="AD27" s="47"/>
      <c r="AE27" s="44"/>
      <c r="AF27" s="44"/>
      <c r="AG27" s="44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4"/>
      <c r="AZ27" s="44"/>
      <c r="BA27" s="44"/>
      <c r="BB27" s="44"/>
      <c r="BC27" s="44"/>
      <c r="BD27" s="48"/>
      <c r="BE27" s="44"/>
      <c r="BF27" s="44"/>
      <c r="BG27" s="44"/>
      <c r="BH27" s="44"/>
      <c r="BI27" s="44"/>
      <c r="BJ27" s="44"/>
      <c r="BK27" s="44"/>
      <c r="BL27" s="44"/>
      <c r="BM27" s="44"/>
      <c r="BN27" s="44"/>
      <c r="BO27" s="44"/>
      <c r="BP27" s="49"/>
      <c r="BQ27" s="44"/>
      <c r="BR27" s="44"/>
      <c r="BS27" s="44"/>
      <c r="BT27" s="44">
        <v>7800</v>
      </c>
      <c r="BU27" s="47"/>
      <c r="BV27" s="44"/>
      <c r="BW27" s="50"/>
      <c r="BX27" s="44"/>
      <c r="BY27" s="44"/>
      <c r="BZ27" s="44"/>
      <c r="CA27" s="44"/>
      <c r="CB27" s="43"/>
      <c r="CC27" s="44"/>
      <c r="CD27" s="65"/>
      <c r="CE27" s="44"/>
      <c r="CF27" s="44"/>
      <c r="CG27" s="44"/>
      <c r="CI27" s="44"/>
      <c r="CJ27" s="44"/>
      <c r="CL27" s="44"/>
      <c r="CM27" s="44"/>
      <c r="CN27" s="44"/>
      <c r="CO27" s="44"/>
      <c r="CP27" s="44"/>
      <c r="CQ27" s="44"/>
      <c r="CR27" s="44"/>
      <c r="CS27" s="44"/>
      <c r="CT27" s="44"/>
      <c r="CV27" s="44"/>
      <c r="CW27" s="44"/>
      <c r="CX27" s="44">
        <v>7800</v>
      </c>
      <c r="CY27" s="44"/>
      <c r="CZ27" s="44"/>
      <c r="DA27" s="44"/>
      <c r="DB27" s="44"/>
      <c r="DD27" s="44"/>
      <c r="DF27" s="44"/>
      <c r="DG27" s="44"/>
      <c r="DH27" s="129"/>
      <c r="DI27" s="44"/>
      <c r="DJ27" s="44"/>
      <c r="DK27" s="44"/>
      <c r="DL27" s="44"/>
      <c r="DM27" s="44"/>
      <c r="DN27" s="44"/>
      <c r="DO27" s="44"/>
      <c r="DP27" s="44"/>
      <c r="DQ27" s="44"/>
      <c r="DR27" s="44"/>
      <c r="DS27" s="44"/>
      <c r="DT27" s="44"/>
      <c r="DU27" s="44"/>
      <c r="DV27" s="44"/>
      <c r="DW27" s="44"/>
      <c r="DX27" s="47"/>
      <c r="DY27" s="47"/>
      <c r="DZ27" s="47"/>
    </row>
    <row r="28" spans="1:130" s="32" customFormat="1" ht="27.6">
      <c r="A28" s="76">
        <v>44221</v>
      </c>
      <c r="B28" s="34" t="s">
        <v>759</v>
      </c>
      <c r="C28" s="286" t="s">
        <v>825</v>
      </c>
      <c r="D28" s="36">
        <v>0.59236111111111112</v>
      </c>
      <c r="E28" s="36">
        <v>0.59305555555555556</v>
      </c>
      <c r="F28" s="55" t="s">
        <v>0</v>
      </c>
      <c r="G28" s="38">
        <v>2</v>
      </c>
      <c r="H28" s="39">
        <v>783</v>
      </c>
      <c r="I28" s="51" t="str">
        <f>VLOOKUP(H28,'[2]Chart of accounts'!A:H,2,FALSE)</f>
        <v>50299030 00</v>
      </c>
      <c r="J28" s="39"/>
      <c r="K28" s="39"/>
      <c r="L28" s="34"/>
      <c r="M28" s="34"/>
      <c r="N28" s="34"/>
      <c r="O28" s="53" t="s">
        <v>3</v>
      </c>
      <c r="P28" s="53" t="s">
        <v>3</v>
      </c>
      <c r="Q28" s="41" t="s">
        <v>769</v>
      </c>
      <c r="R28" s="42" t="s">
        <v>821</v>
      </c>
      <c r="S28" s="42" t="s">
        <v>819</v>
      </c>
      <c r="T28" s="44">
        <v>7800</v>
      </c>
      <c r="U28" s="52"/>
      <c r="V28" s="49"/>
      <c r="W28" s="44">
        <f t="shared" si="0"/>
        <v>7800</v>
      </c>
      <c r="X28" s="45"/>
      <c r="Y28" s="46"/>
      <c r="Z28" s="47"/>
      <c r="AA28" s="47"/>
      <c r="AB28" s="47"/>
      <c r="AC28" s="47"/>
      <c r="AD28" s="47"/>
      <c r="AE28" s="44"/>
      <c r="AF28" s="44"/>
      <c r="AG28" s="44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4"/>
      <c r="AZ28" s="44"/>
      <c r="BA28" s="44"/>
      <c r="BB28" s="44"/>
      <c r="BC28" s="44"/>
      <c r="BD28" s="48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49"/>
      <c r="BQ28" s="44"/>
      <c r="BR28" s="44"/>
      <c r="BS28" s="44"/>
      <c r="BT28" s="44">
        <v>7800</v>
      </c>
      <c r="BU28" s="47"/>
      <c r="BV28" s="44"/>
      <c r="BW28" s="50"/>
      <c r="BX28" s="44"/>
      <c r="BY28" s="44"/>
      <c r="BZ28" s="44"/>
      <c r="CA28" s="44"/>
      <c r="CB28" s="43"/>
      <c r="CC28" s="44"/>
      <c r="CD28" s="65"/>
      <c r="CE28" s="44"/>
      <c r="CF28" s="44"/>
      <c r="CG28" s="44"/>
      <c r="CI28" s="44"/>
      <c r="CJ28" s="44"/>
      <c r="CL28" s="44"/>
      <c r="CM28" s="44"/>
      <c r="CN28" s="44"/>
      <c r="CO28" s="44"/>
      <c r="CP28" s="44"/>
      <c r="CQ28" s="44"/>
      <c r="CR28" s="44"/>
      <c r="CS28" s="44"/>
      <c r="CT28" s="44"/>
      <c r="CV28" s="44"/>
      <c r="CW28" s="44"/>
      <c r="CX28" s="44">
        <v>7800</v>
      </c>
      <c r="CY28" s="44"/>
      <c r="CZ28" s="44"/>
      <c r="DA28" s="44"/>
      <c r="DB28" s="44"/>
      <c r="DD28" s="44"/>
      <c r="DF28" s="44"/>
      <c r="DG28" s="44"/>
      <c r="DH28" s="129"/>
      <c r="DI28" s="44"/>
      <c r="DJ28" s="44"/>
      <c r="DK28" s="44"/>
      <c r="DL28" s="44"/>
      <c r="DM28" s="44"/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7"/>
      <c r="DY28" s="47"/>
      <c r="DZ28" s="47"/>
    </row>
    <row r="29" spans="1:130" s="32" customFormat="1" ht="27.6">
      <c r="A29" s="76">
        <v>44221</v>
      </c>
      <c r="B29" s="34" t="s">
        <v>759</v>
      </c>
      <c r="C29" s="286" t="s">
        <v>826</v>
      </c>
      <c r="D29" s="36">
        <v>0.59305555555555556</v>
      </c>
      <c r="E29" s="36">
        <v>0.59375</v>
      </c>
      <c r="F29" s="55" t="s">
        <v>0</v>
      </c>
      <c r="G29" s="38">
        <v>2</v>
      </c>
      <c r="H29" s="39">
        <v>783</v>
      </c>
      <c r="I29" s="51" t="str">
        <f>VLOOKUP(H29,'[2]Chart of accounts'!A:H,2,FALSE)</f>
        <v>50299030 00</v>
      </c>
      <c r="J29" s="39"/>
      <c r="K29" s="39"/>
      <c r="L29" s="34"/>
      <c r="M29" s="34"/>
      <c r="N29" s="34"/>
      <c r="O29" s="53" t="s">
        <v>3</v>
      </c>
      <c r="P29" s="53" t="s">
        <v>3</v>
      </c>
      <c r="Q29" s="41" t="s">
        <v>771</v>
      </c>
      <c r="R29" s="42" t="s">
        <v>822</v>
      </c>
      <c r="S29" s="42" t="s">
        <v>819</v>
      </c>
      <c r="T29" s="44">
        <v>7800</v>
      </c>
      <c r="U29" s="52"/>
      <c r="V29" s="49"/>
      <c r="W29" s="44">
        <f t="shared" si="0"/>
        <v>7800</v>
      </c>
      <c r="X29" s="45"/>
      <c r="Y29" s="46"/>
      <c r="Z29" s="47"/>
      <c r="AA29" s="47"/>
      <c r="AB29" s="47"/>
      <c r="AC29" s="47"/>
      <c r="AD29" s="47"/>
      <c r="AE29" s="44"/>
      <c r="AF29" s="44"/>
      <c r="AG29" s="44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4"/>
      <c r="AZ29" s="44"/>
      <c r="BA29" s="44"/>
      <c r="BB29" s="44"/>
      <c r="BC29" s="44"/>
      <c r="BD29" s="48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9"/>
      <c r="BQ29" s="44"/>
      <c r="BR29" s="44"/>
      <c r="BS29" s="44"/>
      <c r="BT29" s="44">
        <v>7800</v>
      </c>
      <c r="BU29" s="47"/>
      <c r="BV29" s="44"/>
      <c r="BW29" s="50"/>
      <c r="BX29" s="44"/>
      <c r="BY29" s="44"/>
      <c r="BZ29" s="44"/>
      <c r="CA29" s="44"/>
      <c r="CB29" s="43"/>
      <c r="CC29" s="44"/>
      <c r="CD29" s="65"/>
      <c r="CE29" s="44"/>
      <c r="CF29" s="44"/>
      <c r="CG29" s="44"/>
      <c r="CI29" s="44"/>
      <c r="CJ29" s="44"/>
      <c r="CL29" s="44"/>
      <c r="CM29" s="44"/>
      <c r="CN29" s="44"/>
      <c r="CO29" s="44"/>
      <c r="CP29" s="44"/>
      <c r="CQ29" s="44"/>
      <c r="CR29" s="44"/>
      <c r="CS29" s="44"/>
      <c r="CT29" s="44"/>
      <c r="CV29" s="44"/>
      <c r="CW29" s="44"/>
      <c r="CX29" s="44">
        <v>7800</v>
      </c>
      <c r="CY29" s="44"/>
      <c r="CZ29" s="44"/>
      <c r="DA29" s="44"/>
      <c r="DB29" s="44"/>
      <c r="DD29" s="44"/>
      <c r="DF29" s="44"/>
      <c r="DG29" s="44"/>
      <c r="DH29" s="129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7"/>
      <c r="DY29" s="47"/>
      <c r="DZ29" s="47"/>
    </row>
    <row r="30" spans="1:130" s="32" customFormat="1" ht="27.6">
      <c r="A30" s="76">
        <v>44221</v>
      </c>
      <c r="B30" s="34" t="s">
        <v>759</v>
      </c>
      <c r="C30" s="286" t="s">
        <v>827</v>
      </c>
      <c r="D30" s="36">
        <v>0.59375</v>
      </c>
      <c r="E30" s="36">
        <v>0.59444444444444444</v>
      </c>
      <c r="F30" s="55" t="s">
        <v>0</v>
      </c>
      <c r="G30" s="38">
        <v>2</v>
      </c>
      <c r="H30" s="39">
        <v>783</v>
      </c>
      <c r="I30" s="51" t="str">
        <f>VLOOKUP(H30,'[2]Chart of accounts'!A:H,2,FALSE)</f>
        <v>50299030 00</v>
      </c>
      <c r="J30" s="39"/>
      <c r="K30" s="39"/>
      <c r="L30" s="34"/>
      <c r="M30" s="34"/>
      <c r="N30" s="34"/>
      <c r="O30" s="53" t="s">
        <v>3</v>
      </c>
      <c r="P30" s="53" t="s">
        <v>3</v>
      </c>
      <c r="Q30" s="41" t="s">
        <v>770</v>
      </c>
      <c r="R30" s="42" t="s">
        <v>823</v>
      </c>
      <c r="S30" s="42" t="s">
        <v>819</v>
      </c>
      <c r="T30" s="44">
        <v>7800</v>
      </c>
      <c r="U30" s="52"/>
      <c r="V30" s="49"/>
      <c r="W30" s="44">
        <f t="shared" si="0"/>
        <v>7800</v>
      </c>
      <c r="X30" s="45"/>
      <c r="Y30" s="46"/>
      <c r="Z30" s="47"/>
      <c r="AA30" s="47"/>
      <c r="AB30" s="47"/>
      <c r="AC30" s="47"/>
      <c r="AD30" s="47"/>
      <c r="AE30" s="44"/>
      <c r="AF30" s="44"/>
      <c r="AG30" s="44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4"/>
      <c r="AZ30" s="44"/>
      <c r="BA30" s="44"/>
      <c r="BB30" s="44"/>
      <c r="BC30" s="44"/>
      <c r="BD30" s="48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9"/>
      <c r="BQ30" s="44"/>
      <c r="BR30" s="44"/>
      <c r="BS30" s="44"/>
      <c r="BT30" s="44">
        <v>7800</v>
      </c>
      <c r="BU30" s="47"/>
      <c r="BV30" s="44"/>
      <c r="BW30" s="50"/>
      <c r="BX30" s="44"/>
      <c r="BY30" s="44"/>
      <c r="BZ30" s="44"/>
      <c r="CA30" s="44"/>
      <c r="CB30" s="43"/>
      <c r="CC30" s="44"/>
      <c r="CD30" s="65"/>
      <c r="CE30" s="44"/>
      <c r="CF30" s="44"/>
      <c r="CG30" s="44"/>
      <c r="CI30" s="44"/>
      <c r="CJ30" s="44"/>
      <c r="CL30" s="44"/>
      <c r="CM30" s="44"/>
      <c r="CN30" s="44"/>
      <c r="CO30" s="44"/>
      <c r="CP30" s="44"/>
      <c r="CQ30" s="44"/>
      <c r="CR30" s="44"/>
      <c r="CS30" s="44"/>
      <c r="CT30" s="44"/>
      <c r="CV30" s="44"/>
      <c r="CW30" s="44"/>
      <c r="CX30" s="44">
        <v>7800</v>
      </c>
      <c r="CY30" s="44"/>
      <c r="CZ30" s="44"/>
      <c r="DA30" s="44"/>
      <c r="DB30" s="44"/>
      <c r="DD30" s="44"/>
      <c r="DF30" s="44"/>
      <c r="DG30" s="44"/>
      <c r="DH30" s="129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7"/>
      <c r="DY30" s="47"/>
      <c r="DZ30" s="47"/>
    </row>
    <row r="31" spans="1:130" s="32" customFormat="1" ht="41.4">
      <c r="A31" s="76">
        <v>44223</v>
      </c>
      <c r="B31" s="34" t="s">
        <v>759</v>
      </c>
      <c r="C31" s="286" t="s">
        <v>835</v>
      </c>
      <c r="D31" s="36">
        <v>0.48958333333333331</v>
      </c>
      <c r="E31" s="36">
        <v>0.49027777777777781</v>
      </c>
      <c r="F31" s="37" t="s">
        <v>0</v>
      </c>
      <c r="G31" s="38">
        <v>2</v>
      </c>
      <c r="H31" s="39">
        <v>766</v>
      </c>
      <c r="I31" s="51" t="str">
        <f>VLOOKUP(H31,'[2]Chart of accounts'!A:H,2,FALSE)</f>
        <v>50204010 00</v>
      </c>
      <c r="J31" s="39"/>
      <c r="K31" s="39"/>
      <c r="L31" s="34"/>
      <c r="M31" s="34"/>
      <c r="N31" s="34"/>
      <c r="O31" s="40" t="s">
        <v>3</v>
      </c>
      <c r="P31" s="40" t="s">
        <v>3</v>
      </c>
      <c r="Q31" s="78" t="s">
        <v>2</v>
      </c>
      <c r="R31" s="42" t="s">
        <v>836</v>
      </c>
      <c r="S31" s="42" t="s">
        <v>837</v>
      </c>
      <c r="T31" s="44">
        <v>3675</v>
      </c>
      <c r="U31" s="52"/>
      <c r="V31" s="49"/>
      <c r="W31" s="44">
        <f t="shared" si="0"/>
        <v>3675</v>
      </c>
      <c r="X31" s="45"/>
      <c r="Y31" s="46"/>
      <c r="Z31" s="47"/>
      <c r="AA31" s="47"/>
      <c r="AB31" s="47"/>
      <c r="AC31" s="47"/>
      <c r="AD31" s="47"/>
      <c r="AE31" s="44"/>
      <c r="AF31" s="44"/>
      <c r="AG31" s="44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4"/>
      <c r="AZ31" s="44"/>
      <c r="BA31" s="44"/>
      <c r="BB31" s="44"/>
      <c r="BC31" s="44"/>
      <c r="BD31" s="48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9"/>
      <c r="BQ31" s="44"/>
      <c r="BR31" s="44"/>
      <c r="BS31" s="44"/>
      <c r="BT31" s="44">
        <v>3675</v>
      </c>
      <c r="BU31" s="47"/>
      <c r="BV31" s="44"/>
      <c r="BW31" s="44"/>
      <c r="BX31" s="44"/>
      <c r="BY31" s="44"/>
      <c r="BZ31" s="44"/>
      <c r="CA31" s="44"/>
      <c r="CB31" s="43">
        <f>SUM(CF31:DZ31)-W31</f>
        <v>0</v>
      </c>
      <c r="CC31" s="44"/>
      <c r="CD31" s="44"/>
      <c r="CE31" s="44"/>
      <c r="CF31" s="44"/>
      <c r="CG31" s="44"/>
      <c r="CH31" s="47"/>
      <c r="CI31" s="44"/>
      <c r="CJ31" s="44"/>
      <c r="CK31" s="44"/>
      <c r="CL31" s="44">
        <v>3675</v>
      </c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7"/>
      <c r="DY31" s="47"/>
      <c r="DZ31" s="47"/>
    </row>
    <row r="32" spans="1:130" s="32" customFormat="1" ht="41.4">
      <c r="A32" s="76">
        <v>44223</v>
      </c>
      <c r="B32" s="34" t="s">
        <v>759</v>
      </c>
      <c r="C32" s="286" t="s">
        <v>838</v>
      </c>
      <c r="D32" s="36">
        <v>0.49027777777777781</v>
      </c>
      <c r="E32" s="36">
        <v>0.4909722222222222</v>
      </c>
      <c r="F32" s="39" t="s">
        <v>0</v>
      </c>
      <c r="G32" s="34">
        <v>2</v>
      </c>
      <c r="H32" s="39">
        <v>766</v>
      </c>
      <c r="I32" s="51" t="str">
        <f>VLOOKUP(H32,'[2]Chart of accounts'!A:H,2,FALSE)</f>
        <v>50204010 00</v>
      </c>
      <c r="J32" s="39"/>
      <c r="K32" s="39"/>
      <c r="L32" s="34"/>
      <c r="M32" s="34"/>
      <c r="N32" s="34"/>
      <c r="O32" s="40" t="s">
        <v>4</v>
      </c>
      <c r="P32" s="40" t="s">
        <v>4</v>
      </c>
      <c r="Q32" s="78" t="s">
        <v>2</v>
      </c>
      <c r="R32" s="42" t="s">
        <v>839</v>
      </c>
      <c r="S32" s="42" t="s">
        <v>840</v>
      </c>
      <c r="T32" s="44">
        <v>10895.41</v>
      </c>
      <c r="U32" s="52"/>
      <c r="V32" s="49"/>
      <c r="W32" s="44">
        <f t="shared" si="0"/>
        <v>10895.41</v>
      </c>
      <c r="X32" s="45"/>
      <c r="Y32" s="46"/>
      <c r="Z32" s="47"/>
      <c r="AA32" s="47"/>
      <c r="AB32" s="47"/>
      <c r="AC32" s="47"/>
      <c r="AD32" s="47"/>
      <c r="AE32" s="44"/>
      <c r="AF32" s="44"/>
      <c r="AG32" s="44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4"/>
      <c r="AZ32" s="44"/>
      <c r="BA32" s="44"/>
      <c r="BB32" s="44"/>
      <c r="BC32" s="44"/>
      <c r="BD32" s="48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49"/>
      <c r="BQ32" s="44"/>
      <c r="BR32" s="44"/>
      <c r="BS32" s="44"/>
      <c r="BU32" s="47"/>
      <c r="BV32" s="44"/>
      <c r="BW32" s="44">
        <v>10895.41</v>
      </c>
      <c r="BX32" s="44"/>
      <c r="BY32" s="44"/>
      <c r="BZ32" s="44"/>
      <c r="CA32" s="44"/>
      <c r="CB32" s="43">
        <f>SUM(CF32:DZ32)-W32</f>
        <v>0</v>
      </c>
      <c r="CC32" s="44"/>
      <c r="CD32" s="44"/>
      <c r="CE32" s="44"/>
      <c r="CF32" s="44"/>
      <c r="CG32" s="44"/>
      <c r="CH32" s="47"/>
      <c r="CI32" s="44"/>
      <c r="CJ32" s="44"/>
      <c r="CK32" s="44"/>
      <c r="CL32" s="44">
        <v>10895.41</v>
      </c>
      <c r="CM32" s="44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44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44"/>
      <c r="DJ32" s="44"/>
      <c r="DK32" s="44"/>
      <c r="DL32" s="44"/>
      <c r="DM32" s="44"/>
      <c r="DN32" s="44"/>
      <c r="DO32" s="44"/>
      <c r="DP32" s="44"/>
      <c r="DQ32" s="44"/>
      <c r="DR32" s="44"/>
      <c r="DS32" s="44"/>
      <c r="DT32" s="44"/>
      <c r="DU32" s="44"/>
      <c r="DV32" s="44"/>
      <c r="DW32" s="44"/>
      <c r="DX32" s="47"/>
      <c r="DY32" s="47"/>
      <c r="DZ32" s="47"/>
    </row>
    <row r="33" spans="1:130" s="32" customFormat="1" ht="27.6">
      <c r="A33" s="76">
        <v>44223</v>
      </c>
      <c r="B33" s="34" t="s">
        <v>759</v>
      </c>
      <c r="C33" s="286" t="s">
        <v>841</v>
      </c>
      <c r="D33" s="36">
        <v>0.4916666666666667</v>
      </c>
      <c r="E33" s="36">
        <v>0.49444444444444446</v>
      </c>
      <c r="F33" s="39" t="s">
        <v>0</v>
      </c>
      <c r="G33" s="34">
        <v>2</v>
      </c>
      <c r="H33" s="39">
        <v>795</v>
      </c>
      <c r="I33" s="51" t="str">
        <f>VLOOKUP(H33,'[2]Chart of accounts'!A:H,2,FALSE)</f>
        <v>50212990 00</v>
      </c>
      <c r="J33" s="39"/>
      <c r="K33" s="39"/>
      <c r="L33" s="34"/>
      <c r="M33" s="34"/>
      <c r="N33" s="34"/>
      <c r="O33" s="40" t="s">
        <v>3</v>
      </c>
      <c r="P33" s="40" t="s">
        <v>3</v>
      </c>
      <c r="Q33" s="78" t="s">
        <v>2</v>
      </c>
      <c r="R33" s="42" t="s">
        <v>843</v>
      </c>
      <c r="S33" s="42" t="s">
        <v>842</v>
      </c>
      <c r="T33" s="44">
        <v>2480</v>
      </c>
      <c r="U33" s="52"/>
      <c r="V33" s="49"/>
      <c r="W33" s="44">
        <f t="shared" si="0"/>
        <v>2480</v>
      </c>
      <c r="X33" s="45"/>
      <c r="Y33" s="46"/>
      <c r="Z33" s="47"/>
      <c r="AA33" s="47"/>
      <c r="AB33" s="47"/>
      <c r="AC33" s="47"/>
      <c r="AD33" s="47"/>
      <c r="AE33" s="44"/>
      <c r="AF33" s="44"/>
      <c r="AG33" s="44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4"/>
      <c r="AZ33" s="44"/>
      <c r="BA33" s="44"/>
      <c r="BB33" s="44"/>
      <c r="BC33" s="44"/>
      <c r="BD33" s="48"/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/>
      <c r="BP33" s="49"/>
      <c r="BQ33" s="44"/>
      <c r="BR33" s="44"/>
      <c r="BS33" s="44"/>
      <c r="BT33" s="44">
        <v>2480</v>
      </c>
      <c r="BU33" s="47"/>
      <c r="BV33" s="44"/>
      <c r="BW33" s="44"/>
      <c r="BX33" s="44"/>
      <c r="BY33" s="44"/>
      <c r="BZ33" s="44"/>
      <c r="CA33" s="44"/>
      <c r="CB33" s="43">
        <f>SUM(CF33:DZ33)-W33</f>
        <v>0</v>
      </c>
      <c r="CC33" s="44"/>
      <c r="CD33" s="44"/>
      <c r="CE33" s="44"/>
      <c r="CF33" s="44"/>
      <c r="CG33" s="44"/>
      <c r="CH33" s="47"/>
      <c r="CI33" s="44"/>
      <c r="CJ33" s="44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/>
      <c r="CW33" s="44"/>
      <c r="CX33" s="44"/>
      <c r="CY33" s="44"/>
      <c r="CZ33" s="44"/>
      <c r="DA33" s="44"/>
      <c r="DB33" s="44"/>
      <c r="DC33" s="44"/>
      <c r="DD33" s="44"/>
      <c r="DE33" s="44">
        <v>2480</v>
      </c>
      <c r="DF33" s="44"/>
      <c r="DG33" s="4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47"/>
      <c r="DY33" s="47"/>
      <c r="DZ33" s="47"/>
    </row>
    <row r="34" spans="1:130" s="32" customFormat="1" ht="27.6">
      <c r="A34" s="76">
        <v>44223</v>
      </c>
      <c r="B34" s="34" t="s">
        <v>759</v>
      </c>
      <c r="C34" s="286" t="s">
        <v>841</v>
      </c>
      <c r="D34" s="36">
        <v>0.4916666666666667</v>
      </c>
      <c r="E34" s="36">
        <v>0.49444444444444446</v>
      </c>
      <c r="F34" s="39" t="s">
        <v>0</v>
      </c>
      <c r="G34" s="34">
        <v>2</v>
      </c>
      <c r="H34" s="39">
        <v>796</v>
      </c>
      <c r="I34" s="51" t="str">
        <f>VLOOKUP(H34,'[2]Chart of accounts'!A:H,2,FALSE)</f>
        <v>50212020 00</v>
      </c>
      <c r="J34" s="39"/>
      <c r="K34" s="39"/>
      <c r="L34" s="34"/>
      <c r="M34" s="34"/>
      <c r="N34" s="34"/>
      <c r="O34" s="40" t="s">
        <v>3</v>
      </c>
      <c r="P34" s="40" t="s">
        <v>3</v>
      </c>
      <c r="Q34" s="78" t="s">
        <v>2</v>
      </c>
      <c r="R34" s="42" t="s">
        <v>843</v>
      </c>
      <c r="S34" s="42" t="s">
        <v>842</v>
      </c>
      <c r="T34" s="44">
        <f>3600+4000</f>
        <v>7600</v>
      </c>
      <c r="U34" s="52"/>
      <c r="V34" s="49"/>
      <c r="W34" s="44">
        <f t="shared" si="0"/>
        <v>7600</v>
      </c>
      <c r="X34" s="45"/>
      <c r="Y34" s="46"/>
      <c r="Z34" s="47"/>
      <c r="AA34" s="47"/>
      <c r="AB34" s="47"/>
      <c r="AC34" s="47"/>
      <c r="AD34" s="47"/>
      <c r="AE34" s="44"/>
      <c r="AF34" s="44"/>
      <c r="AG34" s="44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4"/>
      <c r="AZ34" s="44"/>
      <c r="BA34" s="44"/>
      <c r="BB34" s="44"/>
      <c r="BC34" s="44"/>
      <c r="BD34" s="48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9"/>
      <c r="BQ34" s="44"/>
      <c r="BR34" s="44"/>
      <c r="BS34" s="44"/>
      <c r="BT34" s="44">
        <f>3600+4000</f>
        <v>7600</v>
      </c>
      <c r="BU34" s="47"/>
      <c r="BV34" s="44"/>
      <c r="BW34" s="44"/>
      <c r="BX34" s="44"/>
      <c r="BY34" s="44"/>
      <c r="BZ34" s="44"/>
      <c r="CA34" s="44"/>
      <c r="CB34" s="43"/>
      <c r="CC34" s="44"/>
      <c r="CD34" s="44"/>
      <c r="CE34" s="44"/>
      <c r="CF34" s="44"/>
      <c r="CG34" s="44"/>
      <c r="CH34" s="47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F34" s="44">
        <f>3600+4000</f>
        <v>7600</v>
      </c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7"/>
      <c r="DY34" s="47"/>
      <c r="DZ34" s="47"/>
    </row>
    <row r="35" spans="1:130" s="32" customFormat="1" ht="27.6">
      <c r="A35" s="76">
        <v>44223</v>
      </c>
      <c r="B35" s="34" t="s">
        <v>759</v>
      </c>
      <c r="C35" s="286" t="s">
        <v>841</v>
      </c>
      <c r="D35" s="36">
        <v>0.4916666666666667</v>
      </c>
      <c r="E35" s="36">
        <v>0.49444444444444446</v>
      </c>
      <c r="F35" s="39" t="s">
        <v>0</v>
      </c>
      <c r="G35" s="34">
        <v>2</v>
      </c>
      <c r="H35" s="39">
        <v>799</v>
      </c>
      <c r="I35" s="51" t="str">
        <f>VLOOKUP(H35,'[2]Chart of accounts'!A:H,2,FALSE)</f>
        <v>50211990 00</v>
      </c>
      <c r="J35" s="39"/>
      <c r="K35" s="39"/>
      <c r="L35" s="34"/>
      <c r="M35" s="34"/>
      <c r="N35" s="34"/>
      <c r="O35" s="40" t="s">
        <v>844</v>
      </c>
      <c r="P35" s="40" t="s">
        <v>844</v>
      </c>
      <c r="Q35" s="78" t="s">
        <v>2</v>
      </c>
      <c r="R35" s="42" t="s">
        <v>843</v>
      </c>
      <c r="S35" s="42" t="s">
        <v>842</v>
      </c>
      <c r="T35" s="44">
        <v>4000</v>
      </c>
      <c r="U35" s="52"/>
      <c r="V35" s="49"/>
      <c r="W35" s="44">
        <f t="shared" si="0"/>
        <v>4000</v>
      </c>
      <c r="X35" s="45"/>
      <c r="Y35" s="46"/>
      <c r="Z35" s="47"/>
      <c r="AA35" s="47"/>
      <c r="AB35" s="47"/>
      <c r="AC35" s="47"/>
      <c r="AD35" s="47"/>
      <c r="AE35" s="44"/>
      <c r="AF35" s="44"/>
      <c r="AG35" s="44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4"/>
      <c r="AZ35" s="44"/>
      <c r="BA35" s="44"/>
      <c r="BB35" s="44"/>
      <c r="BC35" s="44"/>
      <c r="BD35" s="48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9"/>
      <c r="BQ35" s="44"/>
      <c r="BR35" s="44"/>
      <c r="BS35" s="44"/>
      <c r="BU35" s="47"/>
      <c r="BV35" s="44"/>
      <c r="BW35" s="44">
        <v>4000</v>
      </c>
      <c r="BX35" s="44"/>
      <c r="BY35" s="44"/>
      <c r="BZ35" s="44"/>
      <c r="CA35" s="44"/>
      <c r="CB35" s="43"/>
      <c r="CC35" s="44"/>
      <c r="CD35" s="44"/>
      <c r="CE35" s="44"/>
      <c r="CF35" s="44"/>
      <c r="CG35" s="44"/>
      <c r="CH35" s="47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>
        <v>4000</v>
      </c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7"/>
      <c r="DY35" s="47"/>
      <c r="DZ35" s="47"/>
    </row>
    <row r="36" spans="1:130" s="32" customFormat="1" ht="55.2">
      <c r="A36" s="76">
        <v>44223</v>
      </c>
      <c r="B36" s="34" t="s">
        <v>759</v>
      </c>
      <c r="C36" s="286" t="s">
        <v>846</v>
      </c>
      <c r="D36" s="36">
        <v>0.49513888888888885</v>
      </c>
      <c r="E36" s="36">
        <v>0.49583333333333335</v>
      </c>
      <c r="F36" s="39" t="s">
        <v>0</v>
      </c>
      <c r="G36" s="34">
        <v>2</v>
      </c>
      <c r="H36" s="39">
        <v>969</v>
      </c>
      <c r="I36" s="51" t="str">
        <f>VLOOKUP(H36,'[2]Chart of accounts'!A:H,2,FALSE)</f>
        <v>50299990 99</v>
      </c>
      <c r="J36" s="39"/>
      <c r="K36" s="39"/>
      <c r="L36" s="34"/>
      <c r="M36" s="34"/>
      <c r="N36" s="34"/>
      <c r="O36" s="40" t="s">
        <v>3</v>
      </c>
      <c r="P36" s="40" t="s">
        <v>3</v>
      </c>
      <c r="Q36" s="78" t="s">
        <v>2</v>
      </c>
      <c r="R36" s="42" t="s">
        <v>847</v>
      </c>
      <c r="S36" s="42" t="s">
        <v>848</v>
      </c>
      <c r="T36" s="44">
        <v>1880</v>
      </c>
      <c r="U36" s="52"/>
      <c r="V36" s="49"/>
      <c r="W36" s="44">
        <f t="shared" si="0"/>
        <v>1880</v>
      </c>
      <c r="X36" s="45"/>
      <c r="Y36" s="46"/>
      <c r="Z36" s="47"/>
      <c r="AA36" s="47"/>
      <c r="AB36" s="47"/>
      <c r="AC36" s="47"/>
      <c r="AD36" s="47"/>
      <c r="AE36" s="44"/>
      <c r="AF36" s="44"/>
      <c r="AG36" s="44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4"/>
      <c r="AZ36" s="44"/>
      <c r="BA36" s="44"/>
      <c r="BB36" s="44"/>
      <c r="BC36" s="44"/>
      <c r="BD36" s="48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9"/>
      <c r="BQ36" s="44"/>
      <c r="BR36" s="44"/>
      <c r="BS36" s="44"/>
      <c r="BT36" s="44">
        <v>1880</v>
      </c>
      <c r="BU36" s="47"/>
      <c r="BV36" s="44"/>
      <c r="BW36" s="44"/>
      <c r="BX36" s="44"/>
      <c r="BY36" s="44"/>
      <c r="BZ36" s="44"/>
      <c r="CA36" s="44"/>
      <c r="CB36" s="43"/>
      <c r="CC36" s="44"/>
      <c r="CD36" s="44"/>
      <c r="CE36" s="44"/>
      <c r="CF36" s="44"/>
      <c r="CG36" s="44"/>
      <c r="CH36" s="47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>
        <v>1880</v>
      </c>
      <c r="DX36" s="47"/>
      <c r="DY36" s="47"/>
      <c r="DZ36" s="47"/>
    </row>
    <row r="37" spans="1:130" s="411" customFormat="1" ht="27.6">
      <c r="A37" s="402">
        <v>44224</v>
      </c>
      <c r="B37" s="403" t="s">
        <v>759</v>
      </c>
      <c r="C37" s="404" t="s">
        <v>851</v>
      </c>
      <c r="D37" s="405">
        <v>0.42222222222222222</v>
      </c>
      <c r="E37" s="405">
        <v>0.42222222222222222</v>
      </c>
      <c r="F37" s="406" t="s">
        <v>0</v>
      </c>
      <c r="G37" s="403">
        <v>2</v>
      </c>
      <c r="H37" s="406">
        <v>782</v>
      </c>
      <c r="I37" s="406" t="str">
        <f>VLOOKUP(H37,'[2]Chart of accounts'!A:H,2,FALSE)</f>
        <v>50299050 01</v>
      </c>
      <c r="J37" s="406"/>
      <c r="K37" s="406"/>
      <c r="L37" s="403"/>
      <c r="M37" s="403"/>
      <c r="N37" s="403"/>
      <c r="O37" s="407" t="s">
        <v>3</v>
      </c>
      <c r="P37" s="407" t="s">
        <v>3</v>
      </c>
      <c r="Q37" s="408" t="s">
        <v>2</v>
      </c>
      <c r="R37" s="409" t="s">
        <v>852</v>
      </c>
      <c r="S37" s="409" t="s">
        <v>853</v>
      </c>
      <c r="T37" s="65"/>
      <c r="U37" s="46"/>
      <c r="V37" s="64"/>
      <c r="W37" s="65">
        <f>+T37-V37</f>
        <v>0</v>
      </c>
      <c r="X37" s="45"/>
      <c r="Y37" s="46"/>
      <c r="Z37" s="45"/>
      <c r="AA37" s="45"/>
      <c r="AB37" s="45"/>
      <c r="AC37" s="45"/>
      <c r="AD37" s="45"/>
      <c r="AE37" s="65"/>
      <c r="AF37" s="65"/>
      <c r="AG37" s="6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65"/>
      <c r="AZ37" s="65"/>
      <c r="BA37" s="65"/>
      <c r="BB37" s="65"/>
      <c r="BC37" s="65"/>
      <c r="BD37" s="410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4"/>
      <c r="BQ37" s="65"/>
      <c r="BR37" s="65"/>
      <c r="BS37" s="65"/>
      <c r="BT37" s="65"/>
      <c r="BU37" s="45"/>
      <c r="BV37" s="65"/>
      <c r="BW37" s="65"/>
      <c r="BX37" s="65"/>
      <c r="BY37" s="65"/>
      <c r="BZ37" s="65"/>
      <c r="CA37" s="65"/>
      <c r="CB37" s="63"/>
      <c r="CC37" s="65"/>
      <c r="CD37" s="65"/>
      <c r="CE37" s="65"/>
      <c r="CF37" s="65"/>
      <c r="CG37" s="65"/>
      <c r="CH37" s="45"/>
      <c r="CI37" s="65"/>
      <c r="CJ37" s="65"/>
      <c r="CK37" s="65"/>
      <c r="CL37" s="65"/>
      <c r="CM37" s="65"/>
      <c r="CN37" s="65"/>
      <c r="CO37" s="65"/>
      <c r="CP37" s="65"/>
      <c r="CQ37" s="65"/>
      <c r="CR37" s="65"/>
      <c r="CS37" s="65"/>
      <c r="CT37" s="65"/>
      <c r="CU37" s="65"/>
      <c r="CV37" s="65"/>
      <c r="CW37" s="65"/>
      <c r="CX37" s="65"/>
      <c r="CY37" s="65"/>
      <c r="CZ37" s="65"/>
      <c r="DA37" s="65"/>
      <c r="DB37" s="65"/>
      <c r="DC37" s="65"/>
      <c r="DD37" s="65"/>
      <c r="DE37" s="65"/>
      <c r="DF37" s="65"/>
      <c r="DG37" s="65"/>
      <c r="DH37" s="65"/>
      <c r="DI37" s="65"/>
      <c r="DJ37" s="65"/>
      <c r="DK37" s="65"/>
      <c r="DL37" s="65"/>
      <c r="DM37" s="65"/>
      <c r="DN37" s="65"/>
      <c r="DO37" s="65"/>
      <c r="DP37" s="65"/>
      <c r="DQ37" s="65"/>
      <c r="DR37" s="65"/>
      <c r="DS37" s="65"/>
      <c r="DT37" s="65"/>
      <c r="DU37" s="65"/>
      <c r="DV37" s="65"/>
      <c r="DW37" s="65"/>
      <c r="DX37" s="45"/>
      <c r="DY37" s="45"/>
      <c r="DZ37" s="45"/>
    </row>
    <row r="38" spans="1:130" s="32" customFormat="1" ht="27.6">
      <c r="A38" s="76">
        <v>44224</v>
      </c>
      <c r="B38" s="34" t="s">
        <v>759</v>
      </c>
      <c r="C38" s="286" t="s">
        <v>854</v>
      </c>
      <c r="D38" s="36">
        <v>0.44166666666666665</v>
      </c>
      <c r="E38" s="36">
        <v>0.4465277777777778</v>
      </c>
      <c r="F38" s="39" t="s">
        <v>0</v>
      </c>
      <c r="G38" s="34">
        <v>2</v>
      </c>
      <c r="H38" s="39">
        <v>792</v>
      </c>
      <c r="I38" s="51" t="s">
        <v>628</v>
      </c>
      <c r="J38" s="39"/>
      <c r="K38" s="39"/>
      <c r="L38" s="34"/>
      <c r="M38" s="34"/>
      <c r="N38" s="34"/>
      <c r="O38" s="40" t="s">
        <v>3</v>
      </c>
      <c r="P38" s="40" t="s">
        <v>3</v>
      </c>
      <c r="Q38" s="78" t="s">
        <v>2</v>
      </c>
      <c r="R38" s="42" t="s">
        <v>843</v>
      </c>
      <c r="S38" s="42" t="s">
        <v>855</v>
      </c>
      <c r="T38" s="44">
        <v>5534</v>
      </c>
      <c r="U38" s="52"/>
      <c r="V38" s="49"/>
      <c r="W38" s="44">
        <v>5534</v>
      </c>
      <c r="X38" s="45"/>
      <c r="Y38" s="46"/>
      <c r="Z38" s="47"/>
      <c r="AA38" s="47"/>
      <c r="AB38" s="47"/>
      <c r="AC38" s="47"/>
      <c r="AD38" s="47"/>
      <c r="AE38" s="44"/>
      <c r="AF38" s="44"/>
      <c r="AG38" s="44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4"/>
      <c r="AZ38" s="44"/>
      <c r="BA38" s="44"/>
      <c r="BB38" s="44"/>
      <c r="BC38" s="44"/>
      <c r="BD38" s="48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9"/>
      <c r="BQ38" s="44"/>
      <c r="BR38" s="44"/>
      <c r="BS38" s="44"/>
      <c r="BT38" s="44">
        <v>5534</v>
      </c>
      <c r="BU38" s="47"/>
      <c r="BV38" s="44"/>
      <c r="BW38" s="44"/>
      <c r="BX38" s="44"/>
      <c r="BY38" s="44"/>
      <c r="BZ38" s="44"/>
      <c r="CA38" s="44"/>
      <c r="CB38" s="43"/>
      <c r="CC38" s="44"/>
      <c r="CD38" s="44"/>
      <c r="CE38" s="44"/>
      <c r="CF38" s="44"/>
      <c r="CG38" s="44"/>
      <c r="CH38" s="47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C38" s="44">
        <v>5534</v>
      </c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7"/>
      <c r="DY38" s="47"/>
      <c r="DZ38" s="47"/>
    </row>
    <row r="39" spans="1:130" s="32" customFormat="1" ht="27.6">
      <c r="A39" s="76">
        <v>44224</v>
      </c>
      <c r="B39" s="34" t="s">
        <v>759</v>
      </c>
      <c r="C39" s="286" t="s">
        <v>854</v>
      </c>
      <c r="D39" s="36">
        <v>0.44166666666666665</v>
      </c>
      <c r="E39" s="36">
        <v>0.4465277777777778</v>
      </c>
      <c r="F39" s="39" t="s">
        <v>0</v>
      </c>
      <c r="G39" s="34">
        <v>2</v>
      </c>
      <c r="H39" s="39">
        <v>795</v>
      </c>
      <c r="I39" s="51" t="s">
        <v>641</v>
      </c>
      <c r="J39" s="39"/>
      <c r="K39" s="39"/>
      <c r="L39" s="34"/>
      <c r="M39" s="34"/>
      <c r="N39" s="34"/>
      <c r="O39" s="40" t="s">
        <v>3</v>
      </c>
      <c r="P39" s="40" t="s">
        <v>3</v>
      </c>
      <c r="Q39" s="78" t="s">
        <v>2</v>
      </c>
      <c r="R39" s="42" t="s">
        <v>843</v>
      </c>
      <c r="S39" s="42" t="s">
        <v>855</v>
      </c>
      <c r="T39" s="44">
        <v>4527.82</v>
      </c>
      <c r="U39" s="52"/>
      <c r="V39" s="49"/>
      <c r="W39" s="44">
        <v>4527.82</v>
      </c>
      <c r="X39" s="45"/>
      <c r="Y39" s="46"/>
      <c r="Z39" s="47"/>
      <c r="AA39" s="47"/>
      <c r="AB39" s="47"/>
      <c r="AC39" s="47"/>
      <c r="AD39" s="47"/>
      <c r="AE39" s="44"/>
      <c r="AF39" s="44"/>
      <c r="AG39" s="44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4"/>
      <c r="AZ39" s="44"/>
      <c r="BA39" s="44"/>
      <c r="BB39" s="44"/>
      <c r="BC39" s="44"/>
      <c r="BD39" s="48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9"/>
      <c r="BQ39" s="44"/>
      <c r="BR39" s="44"/>
      <c r="BS39" s="44"/>
      <c r="BT39" s="44">
        <v>4527.82</v>
      </c>
      <c r="BU39" s="47"/>
      <c r="BV39" s="44"/>
      <c r="BW39" s="44"/>
      <c r="BX39" s="44"/>
      <c r="BY39" s="44"/>
      <c r="BZ39" s="44"/>
      <c r="CA39" s="44"/>
      <c r="CB39" s="43"/>
      <c r="CC39" s="44"/>
      <c r="CD39" s="44"/>
      <c r="CE39" s="44"/>
      <c r="CF39" s="44"/>
      <c r="CG39" s="44"/>
      <c r="CH39" s="47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>
        <v>4527.82</v>
      </c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7"/>
      <c r="DY39" s="47"/>
      <c r="DZ39" s="47"/>
    </row>
    <row r="40" spans="1:130" s="411" customFormat="1" ht="27.6">
      <c r="A40" s="402">
        <v>44224</v>
      </c>
      <c r="B40" s="403" t="s">
        <v>759</v>
      </c>
      <c r="C40" s="404" t="s">
        <v>858</v>
      </c>
      <c r="D40" s="405">
        <v>0.45</v>
      </c>
      <c r="E40" s="405">
        <v>0.4548611111111111</v>
      </c>
      <c r="F40" s="406" t="s">
        <v>0</v>
      </c>
      <c r="G40" s="403">
        <v>2</v>
      </c>
      <c r="H40" s="406">
        <v>755</v>
      </c>
      <c r="I40" s="406" t="s">
        <v>564</v>
      </c>
      <c r="J40" s="406"/>
      <c r="K40" s="406"/>
      <c r="L40" s="403"/>
      <c r="M40" s="403"/>
      <c r="N40" s="403"/>
      <c r="O40" s="407" t="s">
        <v>3</v>
      </c>
      <c r="P40" s="407" t="s">
        <v>812</v>
      </c>
      <c r="Q40" s="408" t="s">
        <v>2</v>
      </c>
      <c r="R40" s="409" t="s">
        <v>859</v>
      </c>
      <c r="S40" s="409" t="s">
        <v>860</v>
      </c>
      <c r="T40" s="65"/>
      <c r="U40" s="46"/>
      <c r="V40" s="64"/>
      <c r="W40" s="65"/>
      <c r="X40" s="45"/>
      <c r="Y40" s="46"/>
      <c r="Z40" s="45"/>
      <c r="AA40" s="45"/>
      <c r="AB40" s="45"/>
      <c r="AC40" s="45"/>
      <c r="AD40" s="45"/>
      <c r="AE40" s="65"/>
      <c r="AF40" s="65"/>
      <c r="AG40" s="6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65"/>
      <c r="AZ40" s="65"/>
      <c r="BA40" s="65"/>
      <c r="BB40" s="65"/>
      <c r="BC40" s="65"/>
      <c r="BD40" s="410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4"/>
      <c r="BQ40" s="65"/>
      <c r="BR40" s="65"/>
      <c r="BS40" s="65"/>
      <c r="BT40" s="65"/>
      <c r="BU40" s="45"/>
      <c r="BV40" s="65"/>
      <c r="BW40" s="65"/>
      <c r="BX40" s="65"/>
      <c r="BY40" s="65"/>
      <c r="BZ40" s="65"/>
      <c r="CA40" s="65"/>
      <c r="CB40" s="63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45"/>
      <c r="DY40" s="45"/>
      <c r="DZ40" s="45"/>
    </row>
    <row r="41" spans="1:130" s="32" customFormat="1">
      <c r="A41" s="76"/>
      <c r="B41" s="34"/>
      <c r="C41" s="286"/>
      <c r="D41" s="36"/>
      <c r="E41" s="36"/>
      <c r="F41" s="39"/>
      <c r="G41" s="34"/>
      <c r="H41" s="39"/>
      <c r="I41" s="51"/>
      <c r="J41" s="39"/>
      <c r="K41" s="39"/>
      <c r="L41" s="34"/>
      <c r="M41" s="34"/>
      <c r="N41" s="34"/>
      <c r="O41" s="40"/>
      <c r="P41" s="40"/>
      <c r="Q41" s="78"/>
      <c r="R41" s="42"/>
      <c r="S41" s="42"/>
      <c r="T41" s="44"/>
      <c r="U41" s="52"/>
      <c r="V41" s="49"/>
      <c r="W41" s="44"/>
      <c r="X41" s="45"/>
      <c r="Y41" s="46"/>
      <c r="Z41" s="47"/>
      <c r="AA41" s="47"/>
      <c r="AB41" s="47"/>
      <c r="AC41" s="47"/>
      <c r="AD41" s="47"/>
      <c r="AE41" s="44"/>
      <c r="AF41" s="44"/>
      <c r="AG41" s="44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4"/>
      <c r="AZ41" s="44"/>
      <c r="BA41" s="44"/>
      <c r="BB41" s="44"/>
      <c r="BC41" s="44"/>
      <c r="BD41" s="48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9"/>
      <c r="BQ41" s="44"/>
      <c r="BR41" s="44"/>
      <c r="BS41" s="44"/>
      <c r="BT41" s="44"/>
      <c r="BU41" s="47"/>
      <c r="BV41" s="44"/>
      <c r="BW41" s="44"/>
      <c r="BX41" s="44"/>
      <c r="BY41" s="44"/>
      <c r="BZ41" s="44"/>
      <c r="CA41" s="44"/>
      <c r="CB41" s="43"/>
      <c r="CC41" s="44"/>
      <c r="CD41" s="44"/>
      <c r="CE41" s="44"/>
      <c r="CF41" s="44"/>
      <c r="CG41" s="44"/>
      <c r="CH41" s="47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129"/>
      <c r="DD41" s="44"/>
      <c r="DE41" s="44"/>
      <c r="DF41" s="44"/>
      <c r="DG41" s="44"/>
      <c r="DH41" s="44"/>
      <c r="DI41" s="44"/>
      <c r="DJ41" s="44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47"/>
      <c r="DY41" s="47"/>
      <c r="DZ41" s="47"/>
    </row>
    <row r="42" spans="1:130" s="32" customFormat="1">
      <c r="A42" s="76"/>
      <c r="B42" s="34"/>
      <c r="C42" s="286"/>
      <c r="D42" s="36"/>
      <c r="E42" s="36"/>
      <c r="F42" s="39"/>
      <c r="G42" s="34"/>
      <c r="H42" s="39"/>
      <c r="I42" s="51"/>
      <c r="J42" s="39"/>
      <c r="K42" s="39"/>
      <c r="L42" s="34"/>
      <c r="M42" s="34"/>
      <c r="N42" s="34"/>
      <c r="O42" s="40"/>
      <c r="P42" s="40"/>
      <c r="Q42" s="78"/>
      <c r="R42" s="42"/>
      <c r="S42" s="42"/>
      <c r="T42" s="44"/>
      <c r="U42" s="52"/>
      <c r="V42" s="49"/>
      <c r="W42" s="44"/>
      <c r="X42" s="45"/>
      <c r="Y42" s="46"/>
      <c r="Z42" s="47"/>
      <c r="AA42" s="47"/>
      <c r="AB42" s="47"/>
      <c r="AC42" s="47"/>
      <c r="AD42" s="47"/>
      <c r="AE42" s="44"/>
      <c r="AF42" s="44"/>
      <c r="AG42" s="44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4"/>
      <c r="AZ42" s="44"/>
      <c r="BA42" s="44"/>
      <c r="BB42" s="44"/>
      <c r="BC42" s="44"/>
      <c r="BD42" s="48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9"/>
      <c r="BQ42" s="44"/>
      <c r="BR42" s="44"/>
      <c r="BS42" s="44"/>
      <c r="BT42" s="44"/>
      <c r="BU42" s="47"/>
      <c r="BV42" s="44"/>
      <c r="BW42" s="44"/>
      <c r="BX42" s="44"/>
      <c r="BY42" s="44"/>
      <c r="BZ42" s="44"/>
      <c r="CA42" s="44"/>
      <c r="CB42" s="43"/>
      <c r="CC42" s="44"/>
      <c r="CD42" s="44"/>
      <c r="CE42" s="44"/>
      <c r="CF42" s="44"/>
      <c r="CG42" s="44"/>
      <c r="CH42" s="47"/>
      <c r="CI42" s="44"/>
      <c r="CJ42" s="44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44"/>
      <c r="CY42" s="44"/>
      <c r="CZ42" s="44"/>
      <c r="DA42" s="44"/>
      <c r="DB42" s="44"/>
      <c r="DC42" s="129"/>
      <c r="DD42" s="44"/>
      <c r="DE42" s="44"/>
      <c r="DF42" s="44"/>
      <c r="DG42" s="44"/>
      <c r="DH42" s="44"/>
      <c r="DI42" s="44"/>
      <c r="DJ42" s="44"/>
      <c r="DK42" s="44"/>
      <c r="DL42" s="44"/>
      <c r="DM42" s="44"/>
      <c r="DN42" s="44"/>
      <c r="DO42" s="44"/>
      <c r="DP42" s="44"/>
      <c r="DQ42" s="44"/>
      <c r="DR42" s="44"/>
      <c r="DS42" s="44"/>
      <c r="DT42" s="44"/>
      <c r="DU42" s="44"/>
      <c r="DV42" s="44"/>
      <c r="DW42" s="44"/>
      <c r="DX42" s="47"/>
      <c r="DY42" s="47"/>
      <c r="DZ42" s="47"/>
    </row>
    <row r="43" spans="1:130" s="32" customFormat="1">
      <c r="A43" s="76"/>
      <c r="B43" s="34"/>
      <c r="C43" s="286"/>
      <c r="D43" s="36"/>
      <c r="E43" s="36"/>
      <c r="F43" s="39"/>
      <c r="G43" s="34"/>
      <c r="H43" s="39"/>
      <c r="I43" s="51"/>
      <c r="J43" s="39"/>
      <c r="K43" s="39"/>
      <c r="L43" s="34"/>
      <c r="M43" s="34"/>
      <c r="N43" s="34"/>
      <c r="O43" s="40"/>
      <c r="P43" s="40"/>
      <c r="Q43" s="78"/>
      <c r="R43" s="42"/>
      <c r="S43" s="42"/>
      <c r="T43" s="44"/>
      <c r="U43" s="52"/>
      <c r="V43" s="49"/>
      <c r="W43" s="44"/>
      <c r="X43" s="45"/>
      <c r="Y43" s="46"/>
      <c r="Z43" s="47"/>
      <c r="AA43" s="47"/>
      <c r="AB43" s="47"/>
      <c r="AC43" s="47"/>
      <c r="AD43" s="47"/>
      <c r="AE43" s="44"/>
      <c r="AF43" s="44"/>
      <c r="AG43" s="44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4"/>
      <c r="AZ43" s="44"/>
      <c r="BA43" s="44"/>
      <c r="BB43" s="44"/>
      <c r="BC43" s="44"/>
      <c r="BD43" s="48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9"/>
      <c r="BQ43" s="44"/>
      <c r="BR43" s="44"/>
      <c r="BS43" s="44"/>
      <c r="BT43" s="44"/>
      <c r="BU43" s="47"/>
      <c r="BV43" s="44"/>
      <c r="BW43" s="44"/>
      <c r="BX43" s="44"/>
      <c r="BY43" s="44"/>
      <c r="BZ43" s="44"/>
      <c r="CA43" s="44"/>
      <c r="CB43" s="43"/>
      <c r="CC43" s="44"/>
      <c r="CD43" s="44"/>
      <c r="CE43" s="44"/>
      <c r="CF43" s="44"/>
      <c r="CG43" s="44"/>
      <c r="CH43" s="47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44"/>
      <c r="DA43" s="44"/>
      <c r="DB43" s="44"/>
      <c r="DC43" s="129"/>
      <c r="DD43" s="44"/>
      <c r="DE43" s="44"/>
      <c r="DF43" s="44"/>
      <c r="DG43" s="44"/>
      <c r="DH43" s="44"/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/>
      <c r="DT43" s="44"/>
      <c r="DU43" s="44"/>
      <c r="DV43" s="44"/>
      <c r="DW43" s="44"/>
      <c r="DX43" s="47"/>
      <c r="DY43" s="47"/>
      <c r="DZ43" s="47"/>
    </row>
    <row r="44" spans="1:130" s="32" customFormat="1">
      <c r="A44" s="76"/>
      <c r="B44" s="34"/>
      <c r="C44" s="286"/>
      <c r="D44" s="36"/>
      <c r="E44" s="36"/>
      <c r="F44" s="39"/>
      <c r="G44" s="34"/>
      <c r="H44" s="39"/>
      <c r="I44" s="51"/>
      <c r="J44" s="39"/>
      <c r="K44" s="39"/>
      <c r="L44" s="34"/>
      <c r="M44" s="34"/>
      <c r="N44" s="34"/>
      <c r="O44" s="40"/>
      <c r="P44" s="40"/>
      <c r="Q44" s="78"/>
      <c r="R44" s="42"/>
      <c r="S44" s="42"/>
      <c r="T44" s="44"/>
      <c r="U44" s="52"/>
      <c r="V44" s="49"/>
      <c r="W44" s="44"/>
      <c r="X44" s="45"/>
      <c r="Y44" s="46"/>
      <c r="Z44" s="47"/>
      <c r="AA44" s="47"/>
      <c r="AB44" s="47"/>
      <c r="AC44" s="47"/>
      <c r="AD44" s="47"/>
      <c r="AE44" s="44"/>
      <c r="AF44" s="44"/>
      <c r="AG44" s="44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4"/>
      <c r="AZ44" s="44"/>
      <c r="BA44" s="44"/>
      <c r="BB44" s="44"/>
      <c r="BC44" s="44"/>
      <c r="BD44" s="48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9"/>
      <c r="BQ44" s="44"/>
      <c r="BR44" s="44"/>
      <c r="BS44" s="44"/>
      <c r="BT44" s="44"/>
      <c r="BU44" s="47"/>
      <c r="BV44" s="44"/>
      <c r="BW44" s="44"/>
      <c r="BX44" s="44"/>
      <c r="BY44" s="44"/>
      <c r="BZ44" s="44"/>
      <c r="CA44" s="44"/>
      <c r="CB44" s="43"/>
      <c r="CC44" s="44"/>
      <c r="CD44" s="44"/>
      <c r="CE44" s="44"/>
      <c r="CF44" s="44"/>
      <c r="CG44" s="44"/>
      <c r="CH44" s="47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44"/>
      <c r="DA44" s="44"/>
      <c r="DB44" s="44"/>
      <c r="DC44" s="129"/>
      <c r="DD44" s="44"/>
      <c r="DE44" s="44"/>
      <c r="DF44" s="44"/>
      <c r="DG44" s="44"/>
      <c r="DH44" s="44"/>
      <c r="DI44" s="44"/>
      <c r="DJ44" s="44"/>
      <c r="DK44" s="44"/>
      <c r="DL44" s="44"/>
      <c r="DM44" s="44"/>
      <c r="DN44" s="44"/>
      <c r="DO44" s="44"/>
      <c r="DP44" s="44"/>
      <c r="DQ44" s="44"/>
      <c r="DR44" s="44"/>
      <c r="DS44" s="44"/>
      <c r="DT44" s="44"/>
      <c r="DU44" s="44"/>
      <c r="DV44" s="44"/>
      <c r="DW44" s="44"/>
      <c r="DX44" s="47"/>
      <c r="DY44" s="47"/>
      <c r="DZ44" s="47"/>
    </row>
    <row r="45" spans="1:130" s="243" customFormat="1" ht="13.8">
      <c r="A45" s="234"/>
      <c r="B45" s="38"/>
      <c r="C45" s="235"/>
      <c r="D45" s="236"/>
      <c r="E45" s="236"/>
      <c r="F45" s="37"/>
      <c r="G45" s="38"/>
      <c r="H45" s="37"/>
      <c r="I45" s="37"/>
      <c r="J45" s="37"/>
      <c r="K45" s="37"/>
      <c r="L45" s="38"/>
      <c r="M45" s="38"/>
      <c r="N45" s="38"/>
      <c r="O45" s="237"/>
      <c r="P45" s="237"/>
      <c r="Q45" s="237"/>
      <c r="R45" s="246"/>
      <c r="S45" s="238"/>
      <c r="T45" s="239"/>
      <c r="U45" s="240"/>
      <c r="V45" s="239"/>
      <c r="W45" s="239"/>
      <c r="X45" s="241"/>
      <c r="Y45" s="240"/>
      <c r="Z45" s="241"/>
      <c r="AA45" s="241"/>
      <c r="AB45" s="241"/>
      <c r="AC45" s="241"/>
      <c r="AD45" s="241"/>
      <c r="AE45" s="239"/>
      <c r="AF45" s="239"/>
      <c r="AG45" s="239"/>
      <c r="AH45" s="241"/>
      <c r="AI45" s="241"/>
      <c r="AJ45" s="241"/>
      <c r="AK45" s="241"/>
      <c r="AL45" s="241"/>
      <c r="AM45" s="241"/>
      <c r="AN45" s="241"/>
      <c r="AO45" s="241"/>
      <c r="AP45" s="241"/>
      <c r="AQ45" s="241"/>
      <c r="AR45" s="241"/>
      <c r="AS45" s="241"/>
      <c r="AT45" s="241"/>
      <c r="AU45" s="241"/>
      <c r="AV45" s="241"/>
      <c r="AW45" s="241"/>
      <c r="AX45" s="241"/>
      <c r="AY45" s="239"/>
      <c r="AZ45" s="239"/>
      <c r="BA45" s="239"/>
      <c r="BB45" s="239"/>
      <c r="BC45" s="239"/>
      <c r="BD45" s="242"/>
      <c r="BE45" s="239"/>
      <c r="BF45" s="239"/>
      <c r="BG45" s="239"/>
      <c r="BH45" s="239"/>
      <c r="BI45" s="239"/>
      <c r="BJ45" s="239"/>
      <c r="BK45" s="239"/>
      <c r="BL45" s="239"/>
      <c r="BM45" s="239"/>
      <c r="BN45" s="239"/>
      <c r="BO45" s="239"/>
      <c r="BP45" s="239"/>
      <c r="BQ45" s="239"/>
      <c r="BR45" s="239"/>
      <c r="BS45" s="239"/>
      <c r="BT45" s="239"/>
      <c r="BU45" s="241"/>
      <c r="BV45" s="239"/>
      <c r="BW45" s="239"/>
      <c r="BX45" s="239"/>
      <c r="BY45" s="239"/>
      <c r="BZ45" s="239"/>
      <c r="CA45" s="239"/>
      <c r="CB45" s="239"/>
      <c r="CC45" s="239"/>
      <c r="CD45" s="239"/>
      <c r="CE45" s="239"/>
      <c r="CF45" s="239"/>
      <c r="CG45" s="239"/>
      <c r="CH45" s="241"/>
      <c r="CI45" s="239"/>
      <c r="CJ45" s="239"/>
      <c r="CK45" s="239"/>
      <c r="CL45" s="239"/>
      <c r="CM45" s="239"/>
      <c r="CN45" s="239"/>
      <c r="CO45" s="239"/>
      <c r="CP45" s="239"/>
      <c r="CQ45" s="239"/>
      <c r="CR45" s="239"/>
      <c r="CS45" s="239"/>
      <c r="CT45" s="239"/>
      <c r="CU45" s="239"/>
      <c r="CV45" s="239"/>
      <c r="CW45" s="239"/>
      <c r="CX45" s="239"/>
      <c r="CY45" s="239"/>
      <c r="CZ45" s="239"/>
      <c r="DA45" s="239"/>
      <c r="DB45" s="239"/>
      <c r="DD45" s="239"/>
      <c r="DE45" s="245"/>
      <c r="DF45" s="245"/>
      <c r="DG45" s="239"/>
      <c r="DH45" s="239"/>
      <c r="DI45" s="239"/>
      <c r="DJ45" s="239"/>
      <c r="DK45" s="239"/>
      <c r="DL45" s="239"/>
      <c r="DM45" s="239"/>
      <c r="DN45" s="239"/>
      <c r="DO45" s="239"/>
      <c r="DP45" s="239"/>
      <c r="DQ45" s="239"/>
      <c r="DR45" s="239"/>
      <c r="DS45" s="239"/>
      <c r="DT45" s="239"/>
      <c r="DU45" s="239"/>
      <c r="DV45" s="239"/>
      <c r="DW45" s="239"/>
      <c r="DX45" s="241"/>
      <c r="DY45" s="241"/>
      <c r="DZ45" s="241"/>
    </row>
    <row r="46" spans="1:130" s="136" customFormat="1" ht="15.75" customHeight="1">
      <c r="A46" s="130"/>
      <c r="B46" s="56"/>
      <c r="C46" s="60"/>
      <c r="D46" s="61"/>
      <c r="E46" s="61"/>
      <c r="F46" s="55"/>
      <c r="G46" s="56"/>
      <c r="H46" s="55"/>
      <c r="I46" s="55"/>
      <c r="J46" s="55"/>
      <c r="K46" s="55"/>
      <c r="L46" s="56"/>
      <c r="M46" s="56"/>
      <c r="N46" s="56"/>
      <c r="O46" s="131"/>
      <c r="P46" s="131"/>
      <c r="Q46" s="132"/>
      <c r="R46" s="58"/>
      <c r="S46" s="58"/>
      <c r="T46" s="133"/>
      <c r="U46" s="134"/>
      <c r="V46" s="74"/>
      <c r="W46" s="43"/>
      <c r="X46" s="69"/>
      <c r="Y46" s="70"/>
      <c r="Z46" s="71"/>
      <c r="AA46" s="71"/>
      <c r="AB46" s="71"/>
      <c r="AC46" s="71"/>
      <c r="AD46" s="71"/>
      <c r="AE46" s="43"/>
      <c r="AF46" s="43"/>
      <c r="AG46" s="43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43"/>
      <c r="AZ46" s="43"/>
      <c r="BA46" s="43"/>
      <c r="BB46" s="43"/>
      <c r="BC46" s="43"/>
      <c r="BD46" s="135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74"/>
      <c r="BQ46" s="43"/>
      <c r="BR46" s="43"/>
      <c r="BS46" s="43"/>
      <c r="BT46" s="74"/>
      <c r="BU46" s="71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71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71"/>
      <c r="DY46" s="71"/>
      <c r="DZ46" s="43"/>
    </row>
    <row r="47" spans="1:130" s="136" customFormat="1" ht="15.75" customHeight="1" thickBot="1">
      <c r="A47" s="137"/>
      <c r="B47" s="138"/>
      <c r="C47" s="139"/>
      <c r="D47" s="140"/>
      <c r="E47" s="140"/>
      <c r="F47" s="141"/>
      <c r="G47" s="138"/>
      <c r="H47" s="141"/>
      <c r="I47" s="141"/>
      <c r="J47" s="141"/>
      <c r="K47" s="141"/>
      <c r="L47" s="138"/>
      <c r="M47" s="138"/>
      <c r="N47" s="138"/>
      <c r="O47" s="142"/>
      <c r="P47" s="142"/>
      <c r="Q47" s="143"/>
      <c r="R47" s="144"/>
      <c r="S47" s="144"/>
      <c r="T47" s="145">
        <f>SUM(T5:T46)</f>
        <v>305707.43999999994</v>
      </c>
      <c r="U47" s="146"/>
      <c r="V47" s="147">
        <f t="shared" ref="V47:BA47" si="2">SUM(V5:V46)</f>
        <v>0</v>
      </c>
      <c r="W47" s="147">
        <f t="shared" si="2"/>
        <v>305707.43999999994</v>
      </c>
      <c r="X47" s="147">
        <f t="shared" si="2"/>
        <v>0</v>
      </c>
      <c r="Y47" s="147">
        <f t="shared" si="2"/>
        <v>0</v>
      </c>
      <c r="Z47" s="147">
        <f t="shared" si="2"/>
        <v>0</v>
      </c>
      <c r="AA47" s="147">
        <f t="shared" si="2"/>
        <v>0</v>
      </c>
      <c r="AB47" s="147">
        <f t="shared" si="2"/>
        <v>0</v>
      </c>
      <c r="AC47" s="147">
        <f t="shared" si="2"/>
        <v>0</v>
      </c>
      <c r="AD47" s="147">
        <f t="shared" si="2"/>
        <v>0</v>
      </c>
      <c r="AE47" s="147">
        <f t="shared" si="2"/>
        <v>0</v>
      </c>
      <c r="AF47" s="147">
        <f t="shared" si="2"/>
        <v>0</v>
      </c>
      <c r="AG47" s="147">
        <f t="shared" si="2"/>
        <v>0</v>
      </c>
      <c r="AH47" s="147">
        <f t="shared" si="2"/>
        <v>0</v>
      </c>
      <c r="AI47" s="147">
        <f t="shared" si="2"/>
        <v>0</v>
      </c>
      <c r="AJ47" s="147">
        <f t="shared" si="2"/>
        <v>0</v>
      </c>
      <c r="AK47" s="147">
        <f t="shared" si="2"/>
        <v>0</v>
      </c>
      <c r="AL47" s="147">
        <f t="shared" si="2"/>
        <v>0</v>
      </c>
      <c r="AM47" s="147">
        <f t="shared" si="2"/>
        <v>0</v>
      </c>
      <c r="AN47" s="147">
        <f t="shared" si="2"/>
        <v>0</v>
      </c>
      <c r="AO47" s="147">
        <f t="shared" si="2"/>
        <v>0</v>
      </c>
      <c r="AP47" s="147">
        <f t="shared" si="2"/>
        <v>0</v>
      </c>
      <c r="AQ47" s="147">
        <f t="shared" si="2"/>
        <v>0</v>
      </c>
      <c r="AR47" s="147">
        <f t="shared" si="2"/>
        <v>0</v>
      </c>
      <c r="AS47" s="147">
        <f t="shared" si="2"/>
        <v>0</v>
      </c>
      <c r="AT47" s="147">
        <f t="shared" si="2"/>
        <v>0</v>
      </c>
      <c r="AU47" s="147">
        <f t="shared" si="2"/>
        <v>0</v>
      </c>
      <c r="AV47" s="147">
        <f t="shared" si="2"/>
        <v>0</v>
      </c>
      <c r="AW47" s="147">
        <f t="shared" si="2"/>
        <v>0</v>
      </c>
      <c r="AX47" s="147">
        <f t="shared" si="2"/>
        <v>0</v>
      </c>
      <c r="AY47" s="147">
        <f t="shared" si="2"/>
        <v>0</v>
      </c>
      <c r="AZ47" s="147">
        <f t="shared" si="2"/>
        <v>0</v>
      </c>
      <c r="BA47" s="147">
        <f t="shared" si="2"/>
        <v>0</v>
      </c>
      <c r="BB47" s="147">
        <f t="shared" ref="BB47:CG47" si="3">SUM(BB5:BB46)</f>
        <v>0</v>
      </c>
      <c r="BC47" s="147">
        <f t="shared" si="3"/>
        <v>0</v>
      </c>
      <c r="BD47" s="147">
        <f t="shared" si="3"/>
        <v>0</v>
      </c>
      <c r="BE47" s="147">
        <f t="shared" si="3"/>
        <v>0</v>
      </c>
      <c r="BF47" s="147">
        <f t="shared" si="3"/>
        <v>0</v>
      </c>
      <c r="BG47" s="147">
        <f t="shared" si="3"/>
        <v>0</v>
      </c>
      <c r="BH47" s="147">
        <f t="shared" si="3"/>
        <v>0</v>
      </c>
      <c r="BI47" s="147">
        <f t="shared" si="3"/>
        <v>0</v>
      </c>
      <c r="BJ47" s="147">
        <f t="shared" si="3"/>
        <v>0</v>
      </c>
      <c r="BK47" s="147">
        <f t="shared" si="3"/>
        <v>0</v>
      </c>
      <c r="BL47" s="147">
        <f t="shared" si="3"/>
        <v>0</v>
      </c>
      <c r="BM47" s="147">
        <f t="shared" si="3"/>
        <v>0</v>
      </c>
      <c r="BN47" s="147">
        <f t="shared" si="3"/>
        <v>0</v>
      </c>
      <c r="BO47" s="147">
        <f t="shared" si="3"/>
        <v>0</v>
      </c>
      <c r="BP47" s="147">
        <f t="shared" si="3"/>
        <v>0</v>
      </c>
      <c r="BQ47" s="147">
        <f t="shared" si="3"/>
        <v>0</v>
      </c>
      <c r="BR47" s="147">
        <f t="shared" si="3"/>
        <v>0</v>
      </c>
      <c r="BS47" s="147">
        <f t="shared" si="3"/>
        <v>0</v>
      </c>
      <c r="BT47" s="147">
        <f t="shared" si="3"/>
        <v>276693.13</v>
      </c>
      <c r="BU47" s="147">
        <f t="shared" si="3"/>
        <v>6006.93</v>
      </c>
      <c r="BV47" s="147">
        <f t="shared" si="3"/>
        <v>1558.07</v>
      </c>
      <c r="BW47" s="147">
        <f t="shared" si="3"/>
        <v>20689.63</v>
      </c>
      <c r="BX47" s="147">
        <f t="shared" si="3"/>
        <v>759.68</v>
      </c>
      <c r="BY47" s="147">
        <f t="shared" si="3"/>
        <v>0</v>
      </c>
      <c r="BZ47" s="147">
        <f t="shared" si="3"/>
        <v>0</v>
      </c>
      <c r="CA47" s="147">
        <f t="shared" si="3"/>
        <v>0</v>
      </c>
      <c r="CB47" s="147">
        <f t="shared" si="3"/>
        <v>0</v>
      </c>
      <c r="CC47" s="147">
        <f t="shared" si="3"/>
        <v>0</v>
      </c>
      <c r="CD47" s="147">
        <f t="shared" si="3"/>
        <v>0</v>
      </c>
      <c r="CE47" s="147">
        <f t="shared" si="3"/>
        <v>0</v>
      </c>
      <c r="CF47" s="147">
        <f t="shared" si="3"/>
        <v>0</v>
      </c>
      <c r="CG47" s="147">
        <f t="shared" si="3"/>
        <v>0</v>
      </c>
      <c r="CH47" s="147">
        <f t="shared" ref="CH47:DM47" si="4">SUM(CH5:CH46)</f>
        <v>2834.25</v>
      </c>
      <c r="CI47" s="147">
        <f t="shared" si="4"/>
        <v>0</v>
      </c>
      <c r="CJ47" s="147">
        <f t="shared" si="4"/>
        <v>22550.49</v>
      </c>
      <c r="CK47" s="147">
        <f t="shared" si="4"/>
        <v>600</v>
      </c>
      <c r="CL47" s="147">
        <f t="shared" si="4"/>
        <v>14570.41</v>
      </c>
      <c r="CM47" s="147">
        <f t="shared" si="4"/>
        <v>0</v>
      </c>
      <c r="CN47" s="147">
        <f t="shared" si="4"/>
        <v>0</v>
      </c>
      <c r="CO47" s="147">
        <f t="shared" si="4"/>
        <v>0</v>
      </c>
      <c r="CP47" s="147">
        <f t="shared" si="4"/>
        <v>2500</v>
      </c>
      <c r="CQ47" s="147">
        <f t="shared" si="4"/>
        <v>0</v>
      </c>
      <c r="CR47" s="147">
        <f t="shared" si="4"/>
        <v>0</v>
      </c>
      <c r="CS47" s="147">
        <f t="shared" si="4"/>
        <v>0</v>
      </c>
      <c r="CT47" s="147">
        <f t="shared" si="4"/>
        <v>0</v>
      </c>
      <c r="CU47" s="147">
        <f t="shared" si="4"/>
        <v>300</v>
      </c>
      <c r="CV47" s="147">
        <f t="shared" si="4"/>
        <v>170501.47</v>
      </c>
      <c r="CW47" s="147">
        <f t="shared" si="4"/>
        <v>0</v>
      </c>
      <c r="CX47" s="147">
        <f t="shared" si="4"/>
        <v>39000</v>
      </c>
      <c r="CY47" s="147">
        <f t="shared" si="4"/>
        <v>0</v>
      </c>
      <c r="CZ47" s="147">
        <f t="shared" si="4"/>
        <v>0</v>
      </c>
      <c r="DA47" s="147">
        <f t="shared" si="4"/>
        <v>0</v>
      </c>
      <c r="DB47" s="147">
        <f t="shared" si="4"/>
        <v>0</v>
      </c>
      <c r="DC47" s="147">
        <f t="shared" si="4"/>
        <v>5753</v>
      </c>
      <c r="DD47" s="147">
        <f t="shared" si="4"/>
        <v>0</v>
      </c>
      <c r="DE47" s="147">
        <f t="shared" si="4"/>
        <v>10467.82</v>
      </c>
      <c r="DF47" s="147">
        <f t="shared" si="4"/>
        <v>7600</v>
      </c>
      <c r="DG47" s="147">
        <f t="shared" si="4"/>
        <v>0</v>
      </c>
      <c r="DH47" s="147">
        <f t="shared" si="4"/>
        <v>5300</v>
      </c>
      <c r="DI47" s="147">
        <f t="shared" si="4"/>
        <v>0</v>
      </c>
      <c r="DJ47" s="147">
        <f t="shared" si="4"/>
        <v>0</v>
      </c>
      <c r="DK47" s="147">
        <f t="shared" si="4"/>
        <v>0</v>
      </c>
      <c r="DL47" s="147">
        <f t="shared" si="4"/>
        <v>0</v>
      </c>
      <c r="DM47" s="147">
        <f t="shared" si="4"/>
        <v>0</v>
      </c>
      <c r="DN47" s="147">
        <f t="shared" ref="DN47:DZ47" si="5">SUM(DN5:DN46)</f>
        <v>0</v>
      </c>
      <c r="DO47" s="147">
        <f t="shared" si="5"/>
        <v>10000</v>
      </c>
      <c r="DP47" s="147">
        <f t="shared" si="5"/>
        <v>0</v>
      </c>
      <c r="DQ47" s="147">
        <f t="shared" si="5"/>
        <v>0</v>
      </c>
      <c r="DR47" s="147">
        <f t="shared" si="5"/>
        <v>0</v>
      </c>
      <c r="DS47" s="147">
        <f t="shared" si="5"/>
        <v>0</v>
      </c>
      <c r="DT47" s="147">
        <f t="shared" si="5"/>
        <v>11250</v>
      </c>
      <c r="DU47" s="147">
        <f t="shared" si="5"/>
        <v>0</v>
      </c>
      <c r="DV47" s="147">
        <f t="shared" si="5"/>
        <v>0</v>
      </c>
      <c r="DW47" s="147">
        <f t="shared" si="5"/>
        <v>2480</v>
      </c>
      <c r="DX47" s="147">
        <f t="shared" si="5"/>
        <v>0</v>
      </c>
      <c r="DY47" s="147">
        <f t="shared" si="5"/>
        <v>0</v>
      </c>
      <c r="DZ47" s="147">
        <f t="shared" si="5"/>
        <v>0</v>
      </c>
    </row>
    <row r="48" spans="1:130" s="136" customFormat="1" ht="15.75" customHeight="1" thickTop="1">
      <c r="A48" s="148"/>
      <c r="B48" s="149"/>
      <c r="C48" s="150"/>
      <c r="D48" s="151"/>
      <c r="E48" s="151"/>
      <c r="F48" s="152"/>
      <c r="G48" s="149"/>
      <c r="H48" s="152"/>
      <c r="I48" s="152"/>
      <c r="J48" s="152"/>
      <c r="K48" s="152"/>
      <c r="L48" s="149"/>
      <c r="M48" s="149"/>
      <c r="N48" s="149"/>
      <c r="O48" s="153"/>
      <c r="P48" s="153"/>
      <c r="Q48" s="154"/>
      <c r="R48" s="155"/>
      <c r="S48" s="155"/>
      <c r="T48" s="156"/>
      <c r="U48" s="157"/>
      <c r="V48" s="158"/>
      <c r="W48" s="159"/>
      <c r="X48" s="158"/>
      <c r="Y48" s="160"/>
      <c r="Z48" s="154"/>
      <c r="AA48" s="154"/>
      <c r="AB48" s="154"/>
      <c r="AC48" s="154"/>
      <c r="AD48" s="154"/>
      <c r="AE48" s="161"/>
      <c r="AF48" s="161"/>
      <c r="AG48" s="161"/>
      <c r="AH48" s="154"/>
      <c r="AI48" s="154"/>
      <c r="AJ48" s="154"/>
      <c r="AK48" s="154"/>
      <c r="AL48" s="154"/>
      <c r="AM48" s="154"/>
      <c r="AN48" s="154"/>
      <c r="AO48" s="154"/>
      <c r="AP48" s="154"/>
      <c r="AQ48" s="154"/>
      <c r="AR48" s="154"/>
      <c r="AS48" s="154"/>
      <c r="AT48" s="154"/>
      <c r="AU48" s="154"/>
      <c r="AV48" s="154"/>
      <c r="AW48" s="154"/>
      <c r="AX48" s="154"/>
      <c r="AY48" s="161"/>
      <c r="AZ48" s="161"/>
      <c r="BA48" s="161"/>
      <c r="BB48" s="161"/>
      <c r="BC48" s="74">
        <f>SUM(BC47:BS47)</f>
        <v>0</v>
      </c>
      <c r="BD48" s="161"/>
      <c r="BE48" s="161"/>
      <c r="BF48" s="161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74"/>
      <c r="CB48" s="74"/>
      <c r="CC48" s="74"/>
      <c r="CD48" s="74">
        <f>SUM(CD47:DZ47)</f>
        <v>305707.44</v>
      </c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74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</row>
    <row r="49" spans="55:130" s="136" customFormat="1" ht="15" customHeight="1">
      <c r="BC49" s="162" t="s">
        <v>27</v>
      </c>
      <c r="BD49" s="162" t="s">
        <v>28</v>
      </c>
      <c r="BE49" s="163" t="s">
        <v>29</v>
      </c>
      <c r="BF49" s="164" t="s">
        <v>30</v>
      </c>
      <c r="BG49" s="164" t="s">
        <v>31</v>
      </c>
      <c r="BH49" s="165" t="s">
        <v>32</v>
      </c>
      <c r="BI49" s="165" t="s">
        <v>33</v>
      </c>
      <c r="BJ49" s="163" t="s">
        <v>34</v>
      </c>
      <c r="BK49" s="163" t="s">
        <v>35</v>
      </c>
      <c r="BL49" s="163" t="s">
        <v>36</v>
      </c>
      <c r="BM49" s="163" t="s">
        <v>37</v>
      </c>
      <c r="BN49" s="165" t="s">
        <v>38</v>
      </c>
      <c r="BO49" s="163" t="s">
        <v>39</v>
      </c>
      <c r="BP49" s="163" t="s">
        <v>40</v>
      </c>
      <c r="BQ49" s="163" t="s">
        <v>41</v>
      </c>
      <c r="BR49" s="163" t="s">
        <v>42</v>
      </c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7" t="s">
        <v>43</v>
      </c>
      <c r="CE49" s="168" t="s">
        <v>44</v>
      </c>
      <c r="CF49" s="168">
        <v>752</v>
      </c>
      <c r="CG49" s="168" t="s">
        <v>45</v>
      </c>
      <c r="CH49" s="168" t="s">
        <v>46</v>
      </c>
      <c r="CI49" s="168" t="s">
        <v>47</v>
      </c>
      <c r="CJ49" s="168">
        <v>761</v>
      </c>
      <c r="CK49" s="168" t="s">
        <v>48</v>
      </c>
      <c r="CL49" s="168" t="s">
        <v>49</v>
      </c>
      <c r="CM49" s="168">
        <v>767</v>
      </c>
      <c r="CN49" s="168" t="s">
        <v>50</v>
      </c>
      <c r="CO49" s="168" t="s">
        <v>51</v>
      </c>
      <c r="CP49" s="168" t="s">
        <v>52</v>
      </c>
      <c r="CQ49" s="168" t="s">
        <v>53</v>
      </c>
      <c r="CR49" s="168" t="s">
        <v>54</v>
      </c>
      <c r="CS49" s="168" t="s">
        <v>55</v>
      </c>
      <c r="CT49" s="168" t="s">
        <v>56</v>
      </c>
      <c r="CU49" s="168" t="s">
        <v>57</v>
      </c>
      <c r="CV49" s="168" t="s">
        <v>58</v>
      </c>
      <c r="CW49" s="168" t="s">
        <v>58</v>
      </c>
      <c r="CX49" s="168" t="s">
        <v>59</v>
      </c>
      <c r="CY49" s="168" t="s">
        <v>60</v>
      </c>
      <c r="CZ49" s="168" t="s">
        <v>61</v>
      </c>
      <c r="DA49" s="168" t="s">
        <v>62</v>
      </c>
      <c r="DB49" s="168" t="s">
        <v>63</v>
      </c>
      <c r="DC49" s="168" t="s">
        <v>64</v>
      </c>
      <c r="DD49" s="168">
        <v>793</v>
      </c>
      <c r="DE49" s="168">
        <v>795</v>
      </c>
      <c r="DF49" s="168">
        <v>796</v>
      </c>
      <c r="DG49" s="168">
        <v>797</v>
      </c>
      <c r="DH49" s="168" t="s">
        <v>65</v>
      </c>
      <c r="DI49" s="168" t="s">
        <v>66</v>
      </c>
      <c r="DJ49" s="168" t="s">
        <v>67</v>
      </c>
      <c r="DK49" s="168" t="s">
        <v>68</v>
      </c>
      <c r="DL49" s="168" t="s">
        <v>69</v>
      </c>
      <c r="DM49" s="168" t="s">
        <v>70</v>
      </c>
      <c r="DN49" s="168" t="s">
        <v>71</v>
      </c>
      <c r="DO49" s="168" t="s">
        <v>72</v>
      </c>
      <c r="DP49" s="168" t="s">
        <v>73</v>
      </c>
      <c r="DQ49" s="168" t="s">
        <v>74</v>
      </c>
      <c r="DR49" s="168">
        <v>879</v>
      </c>
      <c r="DS49" s="168" t="s">
        <v>75</v>
      </c>
      <c r="DT49" s="168" t="s">
        <v>76</v>
      </c>
      <c r="DU49" s="168" t="s">
        <v>77</v>
      </c>
      <c r="DV49" s="168" t="s">
        <v>78</v>
      </c>
      <c r="DW49" s="168" t="s">
        <v>79</v>
      </c>
      <c r="DX49" s="168">
        <v>226</v>
      </c>
      <c r="DY49" s="168">
        <v>241</v>
      </c>
      <c r="DZ49" s="168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80AF5-9F9D-4940-A7DE-776E9220C3E2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S32" sqref="S32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3">
        <v>0.7</v>
      </c>
      <c r="BV1" s="2"/>
      <c r="BW1" s="2"/>
      <c r="BX1" s="2"/>
      <c r="BY1" s="2"/>
      <c r="BZ1" s="1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27.6">
      <c r="A5" s="76">
        <v>44224</v>
      </c>
      <c r="B5" s="34" t="s">
        <v>759</v>
      </c>
      <c r="C5" s="286" t="s">
        <v>856</v>
      </c>
      <c r="D5" s="36">
        <v>0.4465277777777778</v>
      </c>
      <c r="E5" s="36">
        <v>0.45</v>
      </c>
      <c r="F5" s="39" t="s">
        <v>0</v>
      </c>
      <c r="G5" s="34">
        <v>2</v>
      </c>
      <c r="H5" s="39">
        <v>799</v>
      </c>
      <c r="I5" s="51" t="str">
        <f>VLOOKUP(H5,'[2]Chart of accounts'!A:H,2,FALSE)</f>
        <v>50211990 00</v>
      </c>
      <c r="J5" s="39"/>
      <c r="K5" s="39"/>
      <c r="L5" s="34"/>
      <c r="M5" s="34"/>
      <c r="N5" s="34"/>
      <c r="O5" s="53" t="s">
        <v>4</v>
      </c>
      <c r="P5" s="40" t="s">
        <v>857</v>
      </c>
      <c r="Q5" s="78" t="s">
        <v>2</v>
      </c>
      <c r="R5" s="42" t="s">
        <v>843</v>
      </c>
      <c r="S5" s="42" t="s">
        <v>855</v>
      </c>
      <c r="T5" s="44">
        <v>11158</v>
      </c>
      <c r="U5" s="52"/>
      <c r="V5" s="49"/>
      <c r="W5" s="44">
        <f>+T5-V5</f>
        <v>11158</v>
      </c>
      <c r="X5" s="45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49"/>
      <c r="BU5" s="47"/>
      <c r="BV5" s="44"/>
      <c r="BW5" s="44">
        <v>11158</v>
      </c>
      <c r="BX5" s="44"/>
      <c r="BY5" s="44"/>
      <c r="BZ5" s="44"/>
      <c r="CA5" s="44"/>
      <c r="CB5" s="43"/>
      <c r="CC5" s="44"/>
      <c r="CD5" s="44"/>
      <c r="CE5" s="44"/>
      <c r="CF5" s="44"/>
      <c r="CG5" s="44"/>
      <c r="CH5" s="47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>
        <v>11158</v>
      </c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11158</v>
      </c>
      <c r="U23" s="146"/>
      <c r="V23" s="147">
        <f t="shared" ref="V23:BA23" si="0">SUM(V5:V22)</f>
        <v>0</v>
      </c>
      <c r="W23" s="147">
        <f t="shared" si="0"/>
        <v>11158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11158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11158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11158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paperSize="9" scale="90" orientation="portrait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9109-3170-4C34-BA3B-603E4E09FC6D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3">
        <v>0.7</v>
      </c>
      <c r="BV1" s="2"/>
      <c r="BW1" s="2"/>
      <c r="BX1" s="2"/>
      <c r="BY1" s="2"/>
      <c r="BZ1" s="1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27.6">
      <c r="A5" s="76">
        <v>44224</v>
      </c>
      <c r="B5" s="34" t="s">
        <v>759</v>
      </c>
      <c r="C5" s="286" t="s">
        <v>856</v>
      </c>
      <c r="D5" s="36">
        <v>0.4465277777777778</v>
      </c>
      <c r="E5" s="36">
        <v>0.45</v>
      </c>
      <c r="F5" s="39" t="s">
        <v>0</v>
      </c>
      <c r="G5" s="34">
        <v>2</v>
      </c>
      <c r="H5" s="39">
        <v>799</v>
      </c>
      <c r="I5" s="51" t="str">
        <f>VLOOKUP(H5,'[2]Chart of accounts'!A:H,2,FALSE)</f>
        <v>50211990 00</v>
      </c>
      <c r="J5" s="39"/>
      <c r="K5" s="39"/>
      <c r="L5" s="34"/>
      <c r="M5" s="34"/>
      <c r="N5" s="34"/>
      <c r="O5" s="53" t="s">
        <v>4</v>
      </c>
      <c r="P5" s="40" t="s">
        <v>845</v>
      </c>
      <c r="Q5" s="78" t="s">
        <v>2</v>
      </c>
      <c r="R5" s="42" t="s">
        <v>843</v>
      </c>
      <c r="S5" s="42" t="s">
        <v>855</v>
      </c>
      <c r="T5" s="44">
        <v>11158</v>
      </c>
      <c r="U5" s="52"/>
      <c r="V5" s="49"/>
      <c r="W5" s="44">
        <f>+T5-V5</f>
        <v>11158</v>
      </c>
      <c r="X5" s="45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49"/>
      <c r="BU5" s="47"/>
      <c r="BV5" s="44"/>
      <c r="BW5" s="44">
        <v>11158</v>
      </c>
      <c r="BX5" s="44"/>
      <c r="BY5" s="44"/>
      <c r="BZ5" s="44"/>
      <c r="CA5" s="44"/>
      <c r="CB5" s="43"/>
      <c r="CC5" s="44"/>
      <c r="CD5" s="44"/>
      <c r="CE5" s="44"/>
      <c r="CF5" s="44"/>
      <c r="CG5" s="44"/>
      <c r="CH5" s="47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>
        <v>11158</v>
      </c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11158</v>
      </c>
      <c r="U23" s="146"/>
      <c r="V23" s="147">
        <f t="shared" ref="V23:BA23" si="0">SUM(V5:V22)</f>
        <v>0</v>
      </c>
      <c r="W23" s="147">
        <f t="shared" si="0"/>
        <v>11158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11158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11158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11158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65C49-D1CE-42EA-8F5D-3BB3C18ACC2D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3">
        <v>0.7</v>
      </c>
      <c r="BV1" s="2"/>
      <c r="BW1" s="2"/>
      <c r="BX1" s="2"/>
      <c r="BY1" s="2"/>
      <c r="BZ1" s="1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27.6">
      <c r="A5" s="76">
        <v>44224</v>
      </c>
      <c r="B5" s="34" t="s">
        <v>759</v>
      </c>
      <c r="C5" s="286" t="s">
        <v>854</v>
      </c>
      <c r="D5" s="36">
        <v>0.44166666666666665</v>
      </c>
      <c r="E5" s="36">
        <v>0.4465277777777778</v>
      </c>
      <c r="F5" s="39" t="s">
        <v>0</v>
      </c>
      <c r="G5" s="34">
        <v>2</v>
      </c>
      <c r="H5" s="39">
        <v>799</v>
      </c>
      <c r="I5" s="51" t="str">
        <f>VLOOKUP(H5,'[2]Chart of accounts'!A:H,2,FALSE)</f>
        <v>50211990 00</v>
      </c>
      <c r="J5" s="39"/>
      <c r="K5" s="39"/>
      <c r="L5" s="34"/>
      <c r="M5" s="34"/>
      <c r="N5" s="34"/>
      <c r="O5" s="53" t="s">
        <v>4</v>
      </c>
      <c r="P5" s="40" t="s">
        <v>5</v>
      </c>
      <c r="Q5" s="78" t="s">
        <v>2</v>
      </c>
      <c r="R5" s="42" t="s">
        <v>843</v>
      </c>
      <c r="S5" s="42" t="s">
        <v>855</v>
      </c>
      <c r="T5" s="44">
        <v>10000</v>
      </c>
      <c r="U5" s="52"/>
      <c r="V5" s="49"/>
      <c r="W5" s="44">
        <f>+T5-V5</f>
        <v>10000</v>
      </c>
      <c r="X5" s="45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U5" s="47"/>
      <c r="BV5" s="44"/>
      <c r="BW5" s="44">
        <v>10000</v>
      </c>
      <c r="BX5" s="44"/>
      <c r="BY5" s="44"/>
      <c r="BZ5" s="44"/>
      <c r="CA5" s="44"/>
      <c r="CB5" s="43"/>
      <c r="CC5" s="44"/>
      <c r="CD5" s="44"/>
      <c r="CE5" s="44"/>
      <c r="CF5" s="44"/>
      <c r="CG5" s="44"/>
      <c r="CH5" s="47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>
        <v>10000</v>
      </c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10000</v>
      </c>
      <c r="U23" s="146"/>
      <c r="V23" s="147">
        <f t="shared" ref="V23:BA23" si="0">SUM(V5:V22)</f>
        <v>0</v>
      </c>
      <c r="W23" s="147">
        <f t="shared" si="0"/>
        <v>10000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10000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10000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10000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D9DB5-3BF2-48AC-99DC-6D3024B4B133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3">
        <v>0.7</v>
      </c>
      <c r="BV1" s="2"/>
      <c r="BW1" s="2"/>
      <c r="BX1" s="2"/>
      <c r="BY1" s="2"/>
      <c r="BZ1" s="1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41.4">
      <c r="A5" s="76">
        <v>44222</v>
      </c>
      <c r="B5" s="34" t="s">
        <v>759</v>
      </c>
      <c r="C5" s="286" t="s">
        <v>829</v>
      </c>
      <c r="D5" s="36">
        <v>0.46666666666666662</v>
      </c>
      <c r="E5" s="36">
        <v>0.46736111111111112</v>
      </c>
      <c r="F5" s="55" t="s">
        <v>0</v>
      </c>
      <c r="G5" s="38">
        <v>2</v>
      </c>
      <c r="H5" s="39" t="s">
        <v>828</v>
      </c>
      <c r="I5" s="51" t="str">
        <f>VLOOKUP(H5,'[2]Chart of accounts'!A:H,2,FALSE)</f>
        <v>50604050 03</v>
      </c>
      <c r="J5" s="39"/>
      <c r="K5" s="39"/>
      <c r="L5" s="34"/>
      <c r="M5" s="34"/>
      <c r="N5" s="34"/>
      <c r="O5" s="53" t="s">
        <v>4</v>
      </c>
      <c r="P5" s="40" t="s">
        <v>753</v>
      </c>
      <c r="Q5" s="41" t="s">
        <v>2</v>
      </c>
      <c r="R5" s="42" t="s">
        <v>830</v>
      </c>
      <c r="S5" s="42" t="s">
        <v>831</v>
      </c>
      <c r="T5" s="44">
        <v>59500</v>
      </c>
      <c r="U5" s="52"/>
      <c r="V5" s="49"/>
      <c r="W5" s="44">
        <f>+T5-V5</f>
        <v>59500</v>
      </c>
      <c r="X5" s="45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44"/>
      <c r="BU5" s="47"/>
      <c r="BV5" s="44"/>
      <c r="BW5" s="44">
        <v>59500</v>
      </c>
      <c r="BX5" s="44"/>
      <c r="BY5" s="44"/>
      <c r="BZ5" s="44"/>
      <c r="CA5" s="44"/>
      <c r="CB5" s="43"/>
      <c r="CC5" s="44"/>
      <c r="CD5" s="65"/>
      <c r="CE5" s="44"/>
      <c r="CF5" s="44"/>
      <c r="CG5" s="44"/>
      <c r="CI5" s="44"/>
      <c r="CJ5" s="44"/>
      <c r="CL5" s="44"/>
      <c r="CM5" s="44"/>
      <c r="CN5" s="44"/>
      <c r="CO5" s="44"/>
      <c r="CP5" s="44"/>
      <c r="CQ5" s="44"/>
      <c r="CR5" s="44"/>
      <c r="CS5" s="44"/>
      <c r="CT5" s="44"/>
      <c r="CV5" s="44"/>
      <c r="CW5" s="44"/>
      <c r="CX5" s="50"/>
      <c r="CY5" s="44"/>
      <c r="CZ5" s="44"/>
      <c r="DA5" s="44"/>
      <c r="DB5" s="44"/>
      <c r="DD5" s="44"/>
      <c r="DF5" s="44"/>
      <c r="DG5" s="44"/>
      <c r="DH5" s="129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4">
        <v>59500</v>
      </c>
      <c r="DZ5" s="47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59500</v>
      </c>
      <c r="U23" s="146"/>
      <c r="V23" s="147">
        <f t="shared" ref="V23:BA23" si="0">SUM(V5:V22)</f>
        <v>0</v>
      </c>
      <c r="W23" s="147">
        <f t="shared" si="0"/>
        <v>59500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59500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59500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59500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291BB-7367-4565-A4F4-80019FF666E1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3">
        <v>0.7</v>
      </c>
      <c r="BV1" s="2"/>
      <c r="BW1" s="2"/>
      <c r="BX1" s="2"/>
      <c r="BY1" s="2"/>
      <c r="BZ1" s="1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27.6">
      <c r="A5" s="76">
        <v>44224</v>
      </c>
      <c r="B5" s="34" t="s">
        <v>759</v>
      </c>
      <c r="C5" s="286" t="s">
        <v>856</v>
      </c>
      <c r="D5" s="36">
        <v>0.4465277777777778</v>
      </c>
      <c r="E5" s="36">
        <v>0.45</v>
      </c>
      <c r="F5" s="39" t="s">
        <v>0</v>
      </c>
      <c r="G5" s="34">
        <v>2</v>
      </c>
      <c r="H5" s="39">
        <v>799</v>
      </c>
      <c r="I5" s="51" t="str">
        <f>VLOOKUP(H5,'[2]Chart of accounts'!A:H,2,FALSE)</f>
        <v>50211990 00</v>
      </c>
      <c r="J5" s="39"/>
      <c r="K5" s="39"/>
      <c r="L5" s="34"/>
      <c r="M5" s="34"/>
      <c r="N5" s="34"/>
      <c r="O5" s="53" t="s">
        <v>4</v>
      </c>
      <c r="P5" s="40" t="s">
        <v>7</v>
      </c>
      <c r="Q5" s="78" t="s">
        <v>2</v>
      </c>
      <c r="R5" s="42" t="s">
        <v>843</v>
      </c>
      <c r="S5" s="42" t="s">
        <v>855</v>
      </c>
      <c r="T5" s="44">
        <v>11158</v>
      </c>
      <c r="U5" s="52"/>
      <c r="V5" s="49"/>
      <c r="W5" s="44">
        <f>+T5-V5</f>
        <v>11158</v>
      </c>
      <c r="X5" s="45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49"/>
      <c r="BU5" s="47"/>
      <c r="BV5" s="44"/>
      <c r="BW5" s="44">
        <v>11158</v>
      </c>
      <c r="BX5" s="44"/>
      <c r="BY5" s="44"/>
      <c r="BZ5" s="44"/>
      <c r="CA5" s="44"/>
      <c r="CB5" s="43"/>
      <c r="CC5" s="44"/>
      <c r="CD5" s="44"/>
      <c r="CE5" s="44"/>
      <c r="CF5" s="44"/>
      <c r="CG5" s="44"/>
      <c r="CH5" s="47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>
        <v>11158</v>
      </c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11158</v>
      </c>
      <c r="U23" s="146"/>
      <c r="V23" s="147">
        <f t="shared" ref="V23:BA23" si="0">SUM(V5:V22)</f>
        <v>0</v>
      </c>
      <c r="W23" s="147">
        <f t="shared" si="0"/>
        <v>11158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11158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11158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11158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54316-8BBE-4E44-8C5D-A66DF94BB290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3">
        <v>0.7</v>
      </c>
      <c r="BV1" s="2"/>
      <c r="BW1" s="2"/>
      <c r="BX1" s="2"/>
      <c r="BY1" s="2"/>
      <c r="BZ1" s="1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75" customFormat="1">
      <c r="A5" s="33"/>
      <c r="B5" s="34"/>
      <c r="C5" s="35"/>
      <c r="D5" s="61"/>
      <c r="E5" s="61"/>
      <c r="F5" s="37"/>
      <c r="G5" s="38"/>
      <c r="H5" s="39"/>
      <c r="I5" s="39"/>
      <c r="J5" s="39"/>
      <c r="K5" s="39"/>
      <c r="L5" s="34"/>
      <c r="M5" s="34"/>
      <c r="N5" s="34"/>
      <c r="O5" s="53"/>
      <c r="P5" s="53"/>
      <c r="Q5" s="66"/>
      <c r="R5" s="58"/>
      <c r="S5" s="58"/>
      <c r="T5" s="43"/>
      <c r="U5" s="67"/>
      <c r="V5" s="43"/>
      <c r="W5" s="44"/>
      <c r="X5" s="69"/>
      <c r="Y5" s="70"/>
      <c r="Z5" s="71"/>
      <c r="AA5" s="71"/>
      <c r="AB5" s="71"/>
      <c r="AC5" s="71"/>
      <c r="AD5" s="71"/>
      <c r="AE5" s="43"/>
      <c r="AF5" s="43"/>
      <c r="AG5" s="4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43"/>
      <c r="AZ5" s="43"/>
      <c r="BA5" s="43"/>
      <c r="BB5" s="43"/>
      <c r="BC5" s="72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74"/>
      <c r="BQ5" s="43"/>
      <c r="BR5" s="43"/>
      <c r="BS5" s="43"/>
      <c r="BU5" s="71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71"/>
      <c r="DY5" s="71"/>
      <c r="DZ5" s="71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0</v>
      </c>
      <c r="U23" s="146"/>
      <c r="V23" s="147">
        <f t="shared" ref="V23:BA23" si="0">SUM(V5:V22)</f>
        <v>0</v>
      </c>
      <c r="W23" s="147">
        <f t="shared" si="0"/>
        <v>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69454-F4DE-4AB5-ACE3-ABD964EEA16B}">
  <dimension ref="A1:EA25"/>
  <sheetViews>
    <sheetView workbookViewId="0">
      <selection activeCell="A43" sqref="A1:IV16384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3">
        <v>0.7</v>
      </c>
      <c r="BV1" s="2"/>
      <c r="BW1" s="2"/>
      <c r="BX1" s="2"/>
      <c r="BY1" s="2"/>
      <c r="BZ1" s="1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75" customFormat="1">
      <c r="A5" s="33"/>
      <c r="B5" s="34"/>
      <c r="C5" s="35"/>
      <c r="D5" s="61"/>
      <c r="E5" s="61"/>
      <c r="F5" s="37"/>
      <c r="G5" s="38"/>
      <c r="H5" s="39"/>
      <c r="I5" s="39"/>
      <c r="J5" s="39"/>
      <c r="K5" s="39"/>
      <c r="L5" s="34"/>
      <c r="M5" s="34"/>
      <c r="N5" s="34"/>
      <c r="O5" s="53"/>
      <c r="P5" s="53"/>
      <c r="Q5" s="66"/>
      <c r="R5" s="58"/>
      <c r="S5" s="58"/>
      <c r="T5" s="43"/>
      <c r="U5" s="67"/>
      <c r="V5" s="43"/>
      <c r="W5" s="44"/>
      <c r="X5" s="69"/>
      <c r="Y5" s="70"/>
      <c r="Z5" s="71"/>
      <c r="AA5" s="71"/>
      <c r="AB5" s="71"/>
      <c r="AC5" s="71"/>
      <c r="AD5" s="71"/>
      <c r="AE5" s="43"/>
      <c r="AF5" s="43"/>
      <c r="AG5" s="4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43"/>
      <c r="AZ5" s="43"/>
      <c r="BA5" s="43"/>
      <c r="BB5" s="43"/>
      <c r="BC5" s="72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74"/>
      <c r="BQ5" s="43"/>
      <c r="BR5" s="43"/>
      <c r="BS5" s="43"/>
      <c r="BU5" s="71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71"/>
      <c r="DY5" s="71"/>
      <c r="DZ5" s="71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0</v>
      </c>
      <c r="U23" s="146"/>
      <c r="V23" s="147">
        <f t="shared" ref="V23:BA23" si="0">SUM(V5:V22)</f>
        <v>0</v>
      </c>
      <c r="W23" s="147">
        <f t="shared" si="0"/>
        <v>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35E64-E682-4E0B-8CC9-84C8CC894F18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3">
        <v>0.7</v>
      </c>
      <c r="BV1" s="2"/>
      <c r="BW1" s="2"/>
      <c r="BX1" s="2"/>
      <c r="BY1" s="2"/>
      <c r="BZ1" s="1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75" customFormat="1">
      <c r="A5" s="33"/>
      <c r="B5" s="34"/>
      <c r="C5" s="35"/>
      <c r="D5" s="61"/>
      <c r="E5" s="61"/>
      <c r="F5" s="37"/>
      <c r="G5" s="38"/>
      <c r="H5" s="39"/>
      <c r="I5" s="39"/>
      <c r="J5" s="39"/>
      <c r="K5" s="39"/>
      <c r="L5" s="34"/>
      <c r="M5" s="34"/>
      <c r="N5" s="34"/>
      <c r="O5" s="53"/>
      <c r="P5" s="53"/>
      <c r="Q5" s="66"/>
      <c r="R5" s="58"/>
      <c r="S5" s="58"/>
      <c r="T5" s="43"/>
      <c r="U5" s="67"/>
      <c r="V5" s="43"/>
      <c r="W5" s="44"/>
      <c r="X5" s="69"/>
      <c r="Y5" s="70"/>
      <c r="Z5" s="71"/>
      <c r="AA5" s="71"/>
      <c r="AB5" s="71"/>
      <c r="AC5" s="71"/>
      <c r="AD5" s="71"/>
      <c r="AE5" s="43"/>
      <c r="AF5" s="43"/>
      <c r="AG5" s="4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43"/>
      <c r="AZ5" s="43"/>
      <c r="BA5" s="43"/>
      <c r="BB5" s="43"/>
      <c r="BC5" s="72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74"/>
      <c r="BQ5" s="43"/>
      <c r="BR5" s="43"/>
      <c r="BS5" s="43"/>
      <c r="BU5" s="71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71"/>
      <c r="DY5" s="71"/>
      <c r="DZ5" s="71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0</v>
      </c>
      <c r="U23" s="146"/>
      <c r="V23" s="147">
        <f t="shared" ref="V23:BA23" si="0">SUM(V5:V22)</f>
        <v>0</v>
      </c>
      <c r="W23" s="147">
        <f t="shared" si="0"/>
        <v>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75E8D-2C5E-49F8-AE2D-F574786CA415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3">
        <v>0.7</v>
      </c>
      <c r="BV1" s="2"/>
      <c r="BW1" s="2"/>
      <c r="BX1" s="2"/>
      <c r="BY1" s="2"/>
      <c r="BZ1" s="1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75" customFormat="1">
      <c r="A5" s="33"/>
      <c r="B5" s="34"/>
      <c r="C5" s="35"/>
      <c r="D5" s="61"/>
      <c r="E5" s="61"/>
      <c r="F5" s="37"/>
      <c r="G5" s="38"/>
      <c r="H5" s="39"/>
      <c r="I5" s="39"/>
      <c r="J5" s="39"/>
      <c r="K5" s="39"/>
      <c r="L5" s="34"/>
      <c r="M5" s="34"/>
      <c r="N5" s="34"/>
      <c r="O5" s="53"/>
      <c r="P5" s="53"/>
      <c r="Q5" s="66"/>
      <c r="R5" s="58"/>
      <c r="S5" s="58"/>
      <c r="T5" s="43"/>
      <c r="U5" s="67"/>
      <c r="V5" s="43"/>
      <c r="W5" s="44"/>
      <c r="X5" s="69"/>
      <c r="Y5" s="70"/>
      <c r="Z5" s="71"/>
      <c r="AA5" s="71"/>
      <c r="AB5" s="71"/>
      <c r="AC5" s="71"/>
      <c r="AD5" s="71"/>
      <c r="AE5" s="43"/>
      <c r="AF5" s="43"/>
      <c r="AG5" s="4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43"/>
      <c r="AZ5" s="43"/>
      <c r="BA5" s="43"/>
      <c r="BB5" s="43"/>
      <c r="BC5" s="72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74"/>
      <c r="BQ5" s="43"/>
      <c r="BR5" s="43"/>
      <c r="BS5" s="43"/>
      <c r="BU5" s="71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71"/>
      <c r="DY5" s="71"/>
      <c r="DZ5" s="71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0</v>
      </c>
      <c r="U23" s="146"/>
      <c r="V23" s="147">
        <f t="shared" ref="V23:BA23" si="0">SUM(V5:V22)</f>
        <v>0</v>
      </c>
      <c r="W23" s="147">
        <f t="shared" si="0"/>
        <v>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3037D-DFE2-457E-A21E-9FC464621044}">
  <dimension ref="A1:EA25"/>
  <sheetViews>
    <sheetView workbookViewId="0">
      <selection activeCell="A10" sqref="A1:IV16384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3">
        <v>0.7</v>
      </c>
      <c r="BV1" s="2"/>
      <c r="BW1" s="2"/>
      <c r="BX1" s="2"/>
      <c r="BY1" s="2"/>
      <c r="BZ1" s="1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75" customFormat="1">
      <c r="A5" s="33"/>
      <c r="B5" s="34"/>
      <c r="C5" s="35"/>
      <c r="D5" s="61"/>
      <c r="E5" s="61"/>
      <c r="F5" s="37"/>
      <c r="G5" s="38"/>
      <c r="H5" s="39"/>
      <c r="I5" s="39"/>
      <c r="J5" s="39"/>
      <c r="K5" s="39"/>
      <c r="L5" s="34"/>
      <c r="M5" s="34"/>
      <c r="N5" s="34"/>
      <c r="O5" s="53"/>
      <c r="P5" s="53"/>
      <c r="Q5" s="66"/>
      <c r="R5" s="58"/>
      <c r="S5" s="58"/>
      <c r="T5" s="43"/>
      <c r="U5" s="67"/>
      <c r="V5" s="43"/>
      <c r="W5" s="44"/>
      <c r="X5" s="69"/>
      <c r="Y5" s="70"/>
      <c r="Z5" s="71"/>
      <c r="AA5" s="71"/>
      <c r="AB5" s="71"/>
      <c r="AC5" s="71"/>
      <c r="AD5" s="71"/>
      <c r="AE5" s="43"/>
      <c r="AF5" s="43"/>
      <c r="AG5" s="4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43"/>
      <c r="AZ5" s="43"/>
      <c r="BA5" s="43"/>
      <c r="BB5" s="43"/>
      <c r="BC5" s="72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74"/>
      <c r="BQ5" s="43"/>
      <c r="BR5" s="43"/>
      <c r="BS5" s="43"/>
      <c r="BU5" s="71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71"/>
      <c r="DY5" s="71"/>
      <c r="DZ5" s="71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0</v>
      </c>
      <c r="U23" s="146"/>
      <c r="V23" s="147">
        <f t="shared" ref="V23:BA23" si="0">SUM(V5:V22)</f>
        <v>0</v>
      </c>
      <c r="W23" s="147">
        <f t="shared" si="0"/>
        <v>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1</vt:i4>
      </vt:variant>
    </vt:vector>
  </HeadingPairs>
  <TitlesOfParts>
    <vt:vector size="40" baseType="lpstr">
      <vt:lpstr>Import Transactions (2)</vt:lpstr>
      <vt:lpstr>Import Process ORS (2)</vt:lpstr>
      <vt:lpstr>Import DV AUCS</vt:lpstr>
      <vt:lpstr>TRA Table</vt:lpstr>
      <vt:lpstr> Import Record Allotments</vt:lpstr>
      <vt:lpstr>Import Transactions</vt:lpstr>
      <vt:lpstr>Import Process ORS</vt:lpstr>
      <vt:lpstr>Taxes Withheld</vt:lpstr>
      <vt:lpstr>Sheet3</vt:lpstr>
      <vt:lpstr>DV List for import</vt:lpstr>
      <vt:lpstr>Fund Utilization Report</vt:lpstr>
      <vt:lpstr>Format for Import of DV</vt:lpstr>
      <vt:lpstr>Recon of ORS and DV</vt:lpstr>
      <vt:lpstr>DV List</vt:lpstr>
      <vt:lpstr>Revised RAO</vt:lpstr>
      <vt:lpstr>Transactions for Import (2)</vt:lpstr>
      <vt:lpstr>Payor,Payee</vt:lpstr>
      <vt:lpstr>Sheet6</vt:lpstr>
      <vt:lpstr>Sheet2</vt:lpstr>
      <vt:lpstr>Pivot (2)</vt:lpstr>
      <vt:lpstr>Pivot</vt:lpstr>
      <vt:lpstr>Summary</vt:lpstr>
      <vt:lpstr>Dropdown List</vt:lpstr>
      <vt:lpstr>Chart of accounts</vt:lpstr>
      <vt:lpstr>RAO</vt:lpstr>
      <vt:lpstr>PS 101</vt:lpstr>
      <vt:lpstr>PS CARP</vt:lpstr>
      <vt:lpstr>CARP MOOE</vt:lpstr>
      <vt:lpstr>MOOE OTHERS</vt:lpstr>
      <vt:lpstr>OTOP</vt:lpstr>
      <vt:lpstr>NC</vt:lpstr>
      <vt:lpstr>SSF</vt:lpstr>
      <vt:lpstr>SSF CO</vt:lpstr>
      <vt:lpstr>LSP NSB</vt:lpstr>
      <vt:lpstr>RAPID LP</vt:lpstr>
      <vt:lpstr>RAPID GOP</vt:lpstr>
      <vt:lpstr>INTERNET SAA</vt:lpstr>
      <vt:lpstr>RCC</vt:lpstr>
      <vt:lpstr>PPG</vt:lpstr>
      <vt:lpstr>Sheet3!Print_Area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cp:lastModifiedBy>Reynan Mercado</cp:lastModifiedBy>
  <cp:lastPrinted>2021-04-08T05:36:43Z</cp:lastPrinted>
  <dcterms:created xsi:type="dcterms:W3CDTF">2020-12-14T01:42:21Z</dcterms:created>
  <dcterms:modified xsi:type="dcterms:W3CDTF">2021-04-13T09:32:20Z</dcterms:modified>
  <cp:category/>
</cp:coreProperties>
</file>